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4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6.xml" ContentType="application/vnd.openxmlformats-officedocument.spreadsheetml.worksheet+xml"/>
  <Override PartName="/xl/worksheets/sheet5.xml" ContentType="application/vnd.openxmlformats-officedocument.spreadsheetml.worksheet+xml"/>
  <Override PartName="/xl/worksheets/sheet15.xml" ContentType="application/vnd.openxmlformats-officedocument.spreadsheetml.worksheet+xml"/>
  <Override PartName="/xl/worksheets/sheet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7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8.xml" ContentType="application/vnd.openxmlformats-officedocument.spreadsheetml.externalLink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30" yWindow="6240" windowWidth="20610" windowHeight="6075"/>
  </bookViews>
  <sheets>
    <sheet name="Rate Base" sheetId="18" r:id="rId1"/>
    <sheet name="Capitalization" sheetId="19" r:id="rId2"/>
    <sheet name="Rate Base Detail" sheetId="10" r:id="rId3"/>
    <sheet name="Balance Sheet Detail" sheetId="1" r:id="rId4"/>
    <sheet name="Items Not in Rate Base" sheetId="17" r:id="rId5"/>
    <sheet name="IB-CWIP" sheetId="15" r:id="rId6"/>
    <sheet name="WC_Purch Power" sheetId="8" r:id="rId7"/>
    <sheet name="Hedge Margin" sheetId="5" r:id="rId8"/>
    <sheet name="EEPS Elec" sheetId="13" r:id="rId9"/>
    <sheet name="EEPS Gas" sheetId="14" r:id="rId10"/>
    <sheet name="PSC Assess Liab" sheetId="11" r:id="rId11"/>
    <sheet name="Bonus Depr ADIT" sheetId="12" r:id="rId12"/>
    <sheet name="P12GAAP - TME 12-31-14" sheetId="30" r:id="rId13"/>
    <sheet name="Allocators" sheetId="2" r:id="rId14"/>
    <sheet name="Categories" sheetId="3" r:id="rId15"/>
    <sheet name="591040 (2014)" sheetId="31" r:id="rId16"/>
    <sheet name="591050 (2014)" sheetId="32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\R" localSheetId="11">#REF!</definedName>
    <definedName name="\R" localSheetId="1">#REF!</definedName>
    <definedName name="\R" localSheetId="5">#REF!</definedName>
    <definedName name="\R" localSheetId="10">#REF!</definedName>
    <definedName name="\R" localSheetId="0">#REF!</definedName>
    <definedName name="\R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12_1_2006" localSheetId="1">#REF!</definedName>
    <definedName name="_12_1_2006" localSheetId="0">#REF!</definedName>
    <definedName name="_12_1_2006">#REF!</definedName>
    <definedName name="_apr06" localSheetId="1">#REF!</definedName>
    <definedName name="_apr06" localSheetId="0">#REF!</definedName>
    <definedName name="_apr06">#REF!</definedName>
    <definedName name="_aug06">#REF!</definedName>
    <definedName name="_DAT1" localSheetId="11">#REF!</definedName>
    <definedName name="_DAT1" localSheetId="10">#REF!</definedName>
    <definedName name="_DAT1">#REF!</definedName>
    <definedName name="_DAT10" localSheetId="11">#REF!</definedName>
    <definedName name="_DAT10" localSheetId="10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c06">#REF!</definedName>
    <definedName name="_Feb06">#REF!</definedName>
    <definedName name="_Feb07">#REF!</definedName>
    <definedName name="_Fill" localSheetId="5" hidden="1">#REF!</definedName>
    <definedName name="_Fill" localSheetId="6" hidden="1">#REF!</definedName>
    <definedName name="_Fill" hidden="1">#REF!</definedName>
    <definedName name="_xlnm._FilterDatabase" localSheetId="3" hidden="1">'Balance Sheet Detail'!$A$5:$CM$2493</definedName>
    <definedName name="_xlnm._FilterDatabase" localSheetId="2" hidden="1">'Rate Base Detail'!$B$199:$J$404</definedName>
    <definedName name="_Jan06" localSheetId="1">#REF!</definedName>
    <definedName name="_Jan06" localSheetId="4">#REF!</definedName>
    <definedName name="_Jan06" localSheetId="0">#REF!</definedName>
    <definedName name="_Jan06">#REF!</definedName>
    <definedName name="_Jan07" localSheetId="1">#REF!</definedName>
    <definedName name="_Jan07" localSheetId="4">#REF!</definedName>
    <definedName name="_Jan07" localSheetId="0">#REF!</definedName>
    <definedName name="_Jan07">#REF!</definedName>
    <definedName name="_jul06" localSheetId="1">#REF!</definedName>
    <definedName name="_jul06" localSheetId="0">#REF!</definedName>
    <definedName name="_jul06">#REF!</definedName>
    <definedName name="_jun06">#REF!</definedName>
    <definedName name="_mar06">#REF!</definedName>
    <definedName name="_mar07">#REF!</definedName>
    <definedName name="_may06">#REF!</definedName>
    <definedName name="_nov06">#REF!</definedName>
    <definedName name="_oct06">#REF!</definedName>
    <definedName name="_P" localSheetId="11">'[1]Close Template'!#REF!</definedName>
    <definedName name="_P" localSheetId="1">'[1]Close Template'!#REF!</definedName>
    <definedName name="_P" localSheetId="5">'[1]Close Template'!#REF!</definedName>
    <definedName name="_P" localSheetId="4">'[1]Close Template'!#REF!</definedName>
    <definedName name="_P" localSheetId="10">'[2]Close Template'!#REF!</definedName>
    <definedName name="_P" localSheetId="0">'[1]Close Template'!#REF!</definedName>
    <definedName name="_P">'[2]Close Template'!#REF!</definedName>
    <definedName name="_sep06" localSheetId="1">#REF!</definedName>
    <definedName name="_sep06" localSheetId="4">#REF!</definedName>
    <definedName name="_sep06" localSheetId="0">#REF!</definedName>
    <definedName name="_sep06">#REF!</definedName>
    <definedName name="Acct_Assignments" localSheetId="1">#REF!</definedName>
    <definedName name="Acct_Assignments" localSheetId="4">#REF!</definedName>
    <definedName name="Acct_Assignments" localSheetId="0">#REF!</definedName>
    <definedName name="Acct_Assignments">#REF!</definedName>
    <definedName name="Average_rates" localSheetId="1">#REF!</definedName>
    <definedName name="Average_rates" localSheetId="4">#REF!</definedName>
    <definedName name="Average_rates" localSheetId="0">#REF!</definedName>
    <definedName name="Average_rates">#REF!</definedName>
    <definedName name="Bill_Mit_Rate_Binghamton">#REF!</definedName>
    <definedName name="Bill_Mit_Rate_Champlain">#REF!</definedName>
    <definedName name="Bill_Mit_Rate_Combined">#REF!</definedName>
    <definedName name="Bill_Mit_Rate_Elmira">#REF!</definedName>
    <definedName name="Bill_Mit_Rate_Goshen">#REF!</definedName>
    <definedName name="Bill_Mit_Rate_Lockport">#REF!</definedName>
    <definedName name="Bill_Mit_Rate_Owego">#REF!</definedName>
    <definedName name="CONEXP">#REF!</definedName>
    <definedName name="DATA1" localSheetId="11">#REF!</definedName>
    <definedName name="DATA1" localSheetId="5">#REF!</definedName>
    <definedName name="DATA1" localSheetId="10">#REF!</definedName>
    <definedName name="DATA1">#REF!</definedName>
    <definedName name="DATA10" localSheetId="11">#REF!</definedName>
    <definedName name="DATA10" localSheetId="5">#REF!</definedName>
    <definedName name="DATA10" localSheetId="10">#REF!</definedName>
    <definedName name="DATA10">#REF!</definedName>
    <definedName name="DATA11" localSheetId="11">#REF!</definedName>
    <definedName name="DATA11" localSheetId="5">#REF!</definedName>
    <definedName name="DATA11" localSheetId="10">#REF!</definedName>
    <definedName name="DATA11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DayCol">#REF!</definedName>
    <definedName name="daytotal" localSheetId="11">[3]VPOPrices!#REF!</definedName>
    <definedName name="daytotal" localSheetId="1">[3]VPOPrices!#REF!</definedName>
    <definedName name="daytotal" localSheetId="5">[3]VPOPrices!#REF!</definedName>
    <definedName name="daytotal" localSheetId="4">[3]VPOPrices!#REF!</definedName>
    <definedName name="daytotal" localSheetId="0">[3]VPOPrices!#REF!</definedName>
    <definedName name="daytotal">[4]VPOPrices!#REF!</definedName>
    <definedName name="EffectiveDate">[5]Input!$D$7</definedName>
    <definedName name="Electric" localSheetId="11">'[6]17-Rate Base'!#REF!</definedName>
    <definedName name="Electric" localSheetId="1">#REF!</definedName>
    <definedName name="Electric" localSheetId="5">'[6]17-Rate Base'!#REF!</definedName>
    <definedName name="Electric" localSheetId="4">#REF!</definedName>
    <definedName name="Electric" localSheetId="10">#REF!</definedName>
    <definedName name="Electric" localSheetId="0">#REF!</definedName>
    <definedName name="Electric">'[6]17-Rate Base'!#REF!</definedName>
    <definedName name="FPINDEX">'[7]ISS INPUTS'!$H$16</definedName>
    <definedName name="FPYN">'[7]ISS INPUTS'!$H$14</definedName>
    <definedName name="Gas" localSheetId="1">#REF!</definedName>
    <definedName name="Gas" localSheetId="4">#REF!</definedName>
    <definedName name="Gas" localSheetId="10">#REF!</definedName>
    <definedName name="Gas" localSheetId="0">#REF!</definedName>
    <definedName name="Gas">#REF!</definedName>
    <definedName name="GL" localSheetId="1">#REF!</definedName>
    <definedName name="GL" localSheetId="5">'[6]1-GL Input'!$B$2:$Y$2112</definedName>
    <definedName name="GL" localSheetId="4">#REF!</definedName>
    <definedName name="GL" localSheetId="10">#REF!</definedName>
    <definedName name="GL" localSheetId="0">#REF!</definedName>
    <definedName name="GL">'[6]1-GL Input'!$B$2:$Y$2112</definedName>
    <definedName name="GSA2_Reliability_Cap_Req_Difference" localSheetId="1">#REF!</definedName>
    <definedName name="GSA2_Reliability_Cap_Req_Difference" localSheetId="4">#REF!</definedName>
    <definedName name="GSA2_Reliability_Cap_Req_Difference" localSheetId="0">#REF!</definedName>
    <definedName name="GSA2_Reliability_Cap_Req_Difference">#REF!</definedName>
    <definedName name="gsc1basis" localSheetId="1">'[8]Commodity Bill &amp; Unb'!#REF!</definedName>
    <definedName name="gsc1basis" localSheetId="4">'[8]Commodity Bill &amp; Unb'!#REF!</definedName>
    <definedName name="gsc1basis" localSheetId="0">'[8]Commodity Bill &amp; Unb'!#REF!</definedName>
    <definedName name="gsc1basis">'[8]Commodity Bill &amp; Unb'!#REF!</definedName>
    <definedName name="header" localSheetId="1">#REF!</definedName>
    <definedName name="header" localSheetId="4">#REF!</definedName>
    <definedName name="header" localSheetId="0">#REF!</definedName>
    <definedName name="header">#REF!</definedName>
    <definedName name="IndexKey" localSheetId="1">#REF!</definedName>
    <definedName name="IndexKey" localSheetId="4">#REF!</definedName>
    <definedName name="IndexKey" localSheetId="0">#REF!</definedName>
    <definedName name="IndexKey">#REF!</definedName>
    <definedName name="Inflators" localSheetId="11">[9]Inflators!$B$14:$K$18</definedName>
    <definedName name="Inflators" localSheetId="1">[9]Inflators!$B$14:$K$18</definedName>
    <definedName name="Inflators" localSheetId="5">[9]Inflators!$B$14:$K$18</definedName>
    <definedName name="Inflators" localSheetId="4">[9]Inflators!$B$14:$K$18</definedName>
    <definedName name="Inflators" localSheetId="10">[10]Inflators!$B$14:$K$18</definedName>
    <definedName name="Inflators" localSheetId="0">[9]Inflators!$B$14:$K$18</definedName>
    <definedName name="Inflators">[10]Inflators!$B$14:$K$18</definedName>
    <definedName name="items" localSheetId="1">#REF!</definedName>
    <definedName name="items" localSheetId="4">#REF!</definedName>
    <definedName name="items" localSheetId="0">#REF!</definedName>
    <definedName name="items">#REF!</definedName>
    <definedName name="May">[11]RevisedData!$H$4:$H$802</definedName>
    <definedName name="Misc20" localSheetId="11">'[6]17-Rate Base'!#REF!</definedName>
    <definedName name="Misc20" localSheetId="1">#REF!</definedName>
    <definedName name="Misc20" localSheetId="5">'[6]17-Rate Base'!#REF!</definedName>
    <definedName name="Misc20" localSheetId="4">#REF!</definedName>
    <definedName name="Misc20" localSheetId="10">#REF!</definedName>
    <definedName name="Misc20" localSheetId="0">#REF!</definedName>
    <definedName name="Misc20">'[6]17-Rate Base'!#REF!</definedName>
    <definedName name="Misc70" localSheetId="11">'[6]17-Rate Base'!#REF!</definedName>
    <definedName name="Misc70" localSheetId="1">#REF!</definedName>
    <definedName name="Misc70" localSheetId="5">'[6]17-Rate Base'!#REF!</definedName>
    <definedName name="Misc70" localSheetId="4">#REF!</definedName>
    <definedName name="Misc70" localSheetId="10">#REF!</definedName>
    <definedName name="Misc70" localSheetId="0">#REF!</definedName>
    <definedName name="Misc70">'[6]17-Rate Base'!#REF!</definedName>
    <definedName name="Misc77" localSheetId="11">'[6]17-Rate Base'!#REF!</definedName>
    <definedName name="Misc77" localSheetId="1">#REF!</definedName>
    <definedName name="Misc77" localSheetId="5">'[6]17-Rate Base'!#REF!</definedName>
    <definedName name="Misc77" localSheetId="4">#REF!</definedName>
    <definedName name="Misc77" localSheetId="10">#REF!</definedName>
    <definedName name="Misc77" localSheetId="0">#REF!</definedName>
    <definedName name="Misc77">'[6]17-Rate Base'!#REF!</definedName>
    <definedName name="Misc81" localSheetId="11">'[6]17-Rate Base'!#REF!</definedName>
    <definedName name="Misc81" localSheetId="1">#REF!</definedName>
    <definedName name="Misc81" localSheetId="5">'[6]17-Rate Base'!#REF!</definedName>
    <definedName name="Misc81" localSheetId="4">#REF!</definedName>
    <definedName name="Misc81" localSheetId="10">#REF!</definedName>
    <definedName name="Misc81" localSheetId="0">#REF!</definedName>
    <definedName name="Misc81">'[6]17-Rate Base'!#REF!</definedName>
    <definedName name="month" localSheetId="11">[3]VPOPrices!#REF!</definedName>
    <definedName name="month" localSheetId="1">[3]VPOPrices!#REF!</definedName>
    <definedName name="month" localSheetId="5">[3]VPOPrices!#REF!</definedName>
    <definedName name="month" localSheetId="4">[3]VPOPrices!#REF!</definedName>
    <definedName name="month" localSheetId="10">[4]VPOPrices!#REF!</definedName>
    <definedName name="month" localSheetId="0">[3]VPOPrices!#REF!</definedName>
    <definedName name="month">[4]VPOPrices!#REF!</definedName>
    <definedName name="Nov_Dec" localSheetId="1">#REF!</definedName>
    <definedName name="Nov_Dec" localSheetId="4">#REF!</definedName>
    <definedName name="Nov_Dec" localSheetId="0">#REF!</definedName>
    <definedName name="Nov_Dec">#REF!</definedName>
    <definedName name="NvsASD">"V2003-12-31"</definedName>
    <definedName name="NvsAutoDrillOk">"VN"</definedName>
    <definedName name="NvsElapsedTime">0.0000788194447522983</definedName>
    <definedName name="NvsEndTime">37999.4283290509</definedName>
    <definedName name="NvsInstSpec">"%"</definedName>
    <definedName name="NvsLayoutType">"M3"</definedName>
    <definedName name="NvsPanelEffdt">"V2000-09-30"</definedName>
    <definedName name="NvsPanelSetid">"V11"</definedName>
    <definedName name="NvsReqBU">"V11"</definedName>
    <definedName name="NvsReqBUOnly">"VY"</definedName>
    <definedName name="NvsTransLed">"VN"</definedName>
    <definedName name="NvsTreeASD">"V2003-12-31"</definedName>
    <definedName name="PAGE1" localSheetId="1">#REF!</definedName>
    <definedName name="PAGE1" localSheetId="4">#REF!</definedName>
    <definedName name="PAGE1" localSheetId="0">#REF!</definedName>
    <definedName name="PAGE1">#REF!</definedName>
    <definedName name="PAGE2" localSheetId="1">#REF!</definedName>
    <definedName name="PAGE2" localSheetId="4">#REF!</definedName>
    <definedName name="PAGE2" localSheetId="0">#REF!</definedName>
    <definedName name="PAGE2">#REF!</definedName>
    <definedName name="PAGE3" localSheetId="1">#REF!</definedName>
    <definedName name="PAGE3" localSheetId="4">#REF!</definedName>
    <definedName name="PAGE3" localSheetId="0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yroll" localSheetId="1">#REF!</definedName>
    <definedName name="Payroll" localSheetId="5">'[6]17-Rate Base'!#REF!</definedName>
    <definedName name="Payroll" localSheetId="4">#REF!</definedName>
    <definedName name="Payroll" localSheetId="10">#REF!</definedName>
    <definedName name="Payroll" localSheetId="0">#REF!</definedName>
    <definedName name="Payroll">'[6]17-Rate Base'!#REF!</definedName>
    <definedName name="PerBooks" localSheetId="11">#REF!</definedName>
    <definedName name="PerBooks" localSheetId="5">#REF!</definedName>
    <definedName name="PerBooks" localSheetId="10">#REF!</definedName>
    <definedName name="PerBooks">#REF!</definedName>
    <definedName name="Plant" localSheetId="11">'[6]17-Rate Base'!#REF!</definedName>
    <definedName name="Plant" localSheetId="1">#REF!</definedName>
    <definedName name="Plant" localSheetId="5">'[6]17-Rate Base'!#REF!</definedName>
    <definedName name="Plant" localSheetId="4">#REF!</definedName>
    <definedName name="Plant" localSheetId="10">#REF!</definedName>
    <definedName name="Plant" localSheetId="0">#REF!</definedName>
    <definedName name="Plant">'[6]17-Rate Base'!#REF!</definedName>
    <definedName name="PrevMthTable" localSheetId="11">#REF!</definedName>
    <definedName name="PrevMthTable" localSheetId="5">#REF!</definedName>
    <definedName name="PrevMthTable" localSheetId="10">#REF!</definedName>
    <definedName name="PrevMthTable">#REF!</definedName>
    <definedName name="price" localSheetId="11">[3]VPOPrices!#REF!</definedName>
    <definedName name="price" localSheetId="1">[3]VPOPrices!#REF!</definedName>
    <definedName name="price" localSheetId="5">[3]VPOPrices!#REF!</definedName>
    <definedName name="price" localSheetId="4">[3]VPOPrices!#REF!</definedName>
    <definedName name="price" localSheetId="0">[3]VPOPrices!#REF!</definedName>
    <definedName name="price">[4]VPOPrices!#REF!</definedName>
    <definedName name="Print_1" localSheetId="11">#REF!</definedName>
    <definedName name="Print_1" localSheetId="5">#REF!</definedName>
    <definedName name="Print_1" localSheetId="10">#REF!</definedName>
    <definedName name="Print_1">#REF!</definedName>
    <definedName name="Print_2" localSheetId="11">#REF!</definedName>
    <definedName name="Print_2" localSheetId="5">#REF!</definedName>
    <definedName name="Print_2" localSheetId="10">#REF!</definedName>
    <definedName name="Print_2">#REF!</definedName>
    <definedName name="_xlnm.Print_Area" localSheetId="15">'591040 (2014)'!$A$1:$I$41</definedName>
    <definedName name="_xlnm.Print_Area" localSheetId="13">Allocators!$A$1:$E$101</definedName>
    <definedName name="_xlnm.Print_Area" localSheetId="3">'Balance Sheet Detail'!$A$1:$AO$3179</definedName>
    <definedName name="_xlnm.Print_Area" localSheetId="11">'Bonus Depr ADIT'!$A$1:$AI$148</definedName>
    <definedName name="_xlnm.Print_Area" localSheetId="1">Capitalization!$D$1:$K$144</definedName>
    <definedName name="_xlnm.Print_Area" localSheetId="8">'EEPS Elec'!$A$1:$N$69</definedName>
    <definedName name="_xlnm.Print_Area" localSheetId="9">'EEPS Gas'!$A$1:$O$71</definedName>
    <definedName name="_xlnm.Print_Area" localSheetId="7">'Hedge Margin'!$A$1:$Q$30</definedName>
    <definedName name="_xlnm.Print_Area" localSheetId="4">'Items Not in Rate Base'!$A$1:$P$1102</definedName>
    <definedName name="_xlnm.Print_Area" localSheetId="12">'P12GAAP - TME 12-31-14'!$A$1:$O$332</definedName>
    <definedName name="_xlnm.Print_Area" localSheetId="10">#REF!</definedName>
    <definedName name="_xlnm.Print_Area" localSheetId="0">'Rate Base'!$A$1:$I$259</definedName>
    <definedName name="_xlnm.Print_Area" localSheetId="2">'Rate Base Detail'!$A$1:$J$457</definedName>
    <definedName name="_xlnm.Print_Area">#REF!</definedName>
    <definedName name="_xlnm.Print_Titles" localSheetId="3">'Balance Sheet Detail'!$1:$5</definedName>
    <definedName name="_xlnm.Print_Titles" localSheetId="1">Capitalization!$1:$7</definedName>
    <definedName name="_xlnm.Print_Titles" localSheetId="8">'EEPS Elec'!$A:$A</definedName>
    <definedName name="_xlnm.Print_Titles" localSheetId="9">'EEPS Gas'!$A:$B</definedName>
    <definedName name="_xlnm.Print_Titles" localSheetId="4">'Items Not in Rate Base'!$1:$7</definedName>
    <definedName name="_xlnm.Print_Titles" localSheetId="12">'P12GAAP - TME 12-31-14'!$1:$9</definedName>
    <definedName name="_xlnm.Print_Titles" localSheetId="0">'Rate Base'!$2:$9</definedName>
    <definedName name="Profile" localSheetId="11">[3]VPOPrices!#REF!</definedName>
    <definedName name="Profile" localSheetId="1">[3]VPOPrices!#REF!</definedName>
    <definedName name="Profile" localSheetId="5">[3]VPOPrices!#REF!</definedName>
    <definedName name="Profile" localSheetId="4">[3]VPOPrices!#REF!</definedName>
    <definedName name="Profile" localSheetId="10">[4]VPOPrices!#REF!</definedName>
    <definedName name="Profile" localSheetId="0">[3]VPOPrices!#REF!</definedName>
    <definedName name="Profile">[4]VPOPrices!#REF!</definedName>
    <definedName name="Ptable" localSheetId="11">#REF!</definedName>
    <definedName name="Ptable" localSheetId="1">#REF!</definedName>
    <definedName name="Ptable" localSheetId="5">#REF!</definedName>
    <definedName name="Ptable" localSheetId="4">#REF!</definedName>
    <definedName name="Ptable" localSheetId="10">#REF!</definedName>
    <definedName name="Ptable" localSheetId="0">#REF!</definedName>
    <definedName name="Ptable">#REF!</definedName>
    <definedName name="Ratios" localSheetId="1">#REF!</definedName>
    <definedName name="Ratios" localSheetId="5">'[6]Allocators - 2011'!$B$8:$F$19</definedName>
    <definedName name="Ratios" localSheetId="4">#REF!</definedName>
    <definedName name="Ratios" localSheetId="10">#REF!</definedName>
    <definedName name="Ratios" localSheetId="0">#REF!</definedName>
    <definedName name="Ratios">'[6]Allocators - 2011'!$B$8:$F$19</definedName>
    <definedName name="Recon" localSheetId="1">#REF!</definedName>
    <definedName name="Recon" localSheetId="5">#REF!</definedName>
    <definedName name="Recon" localSheetId="4">#REF!</definedName>
    <definedName name="Recon" localSheetId="0">#REF!</definedName>
    <definedName name="Recon">#REF!</definedName>
    <definedName name="Reliability_Cap_Req_GSA1_and_2">#REF!</definedName>
    <definedName name="RIS_Rate">[12]Standby!#REF!</definedName>
    <definedName name="SAPBEXrevision" localSheetId="1" hidden="1">7</definedName>
    <definedName name="SAPBEXrevision" localSheetId="5" hidden="1">17</definedName>
    <definedName name="SAPBEXrevision" localSheetId="4" hidden="1">7</definedName>
    <definedName name="SAPBEXrevision" localSheetId="0" hidden="1">7</definedName>
    <definedName name="SAPBEXrevision" hidden="1">17</definedName>
    <definedName name="SAPBEXsysID" hidden="1">"PBW"</definedName>
    <definedName name="SAPBEXwbID" localSheetId="1" hidden="1">"45VHZTSTFDGVEP1HZXE57HOP2"</definedName>
    <definedName name="SAPBEXwbID" localSheetId="5" hidden="1">"3UU3TFCENPZ5B2MUM8U0OEJHM"</definedName>
    <definedName name="SAPBEXwbID" localSheetId="4" hidden="1">"45VHZTSTFDGVEP1HZXE57HOP2"</definedName>
    <definedName name="SAPBEXwbID" localSheetId="0" hidden="1">"45VHZTSTFDGVEP1HZXE57HOP2"</definedName>
    <definedName name="SAPBEXwbID" hidden="1">"3UU3TFCENPZ5B2MUM8U0OEJHM"</definedName>
    <definedName name="SC_13T_BINGHAMTON_TH" localSheetId="1">#REF!</definedName>
    <definedName name="SC_13T_BINGHAMTON_TH" localSheetId="4">#REF!</definedName>
    <definedName name="SC_13T_BINGHAMTON_TH" localSheetId="0">#REF!</definedName>
    <definedName name="SC_13T_BINGHAMTON_TH">#REF!</definedName>
    <definedName name="SC_13T_CHAMPLAIN_TH" localSheetId="1">'[12]Bill Mit'!#REF!</definedName>
    <definedName name="SC_13T_CHAMPLAIN_TH" localSheetId="4">'[12]Bill Mit'!#REF!</definedName>
    <definedName name="SC_13T_CHAMPLAIN_TH" localSheetId="0">'[12]Bill Mit'!#REF!</definedName>
    <definedName name="SC_13T_CHAMPLAIN_TH">'[12]Bill Mit'!#REF!</definedName>
    <definedName name="SC_13T_COMBINED_TH" localSheetId="1">'[12]Bill Mit'!#REF!</definedName>
    <definedName name="SC_13T_COMBINED_TH" localSheetId="4">'[12]Bill Mit'!#REF!</definedName>
    <definedName name="SC_13T_COMBINED_TH" localSheetId="0">'[12]Bill Mit'!#REF!</definedName>
    <definedName name="SC_13T_COMBINED_TH">'[12]Bill Mit'!#REF!</definedName>
    <definedName name="SC_13T_ELMIRA_TH" localSheetId="1">'[12]Bill Mit'!#REF!</definedName>
    <definedName name="SC_13T_ELMIRA_TH" localSheetId="4">'[12]Bill Mit'!#REF!</definedName>
    <definedName name="SC_13T_ELMIRA_TH" localSheetId="0">'[12]Bill Mit'!#REF!</definedName>
    <definedName name="SC_13T_ELMIRA_TH">'[12]Bill Mit'!#REF!</definedName>
    <definedName name="SC_13T_GOSHEN_TH" localSheetId="1">'[12]Bill Mit'!#REF!</definedName>
    <definedName name="SC_13T_GOSHEN_TH" localSheetId="4">'[12]Bill Mit'!#REF!</definedName>
    <definedName name="SC_13T_GOSHEN_TH" localSheetId="0">'[12]Bill Mit'!#REF!</definedName>
    <definedName name="SC_13T_GOSHEN_TH">'[12]Bill Mit'!#REF!</definedName>
    <definedName name="SC_13T_LOCKPORT_TH" localSheetId="1">#REF!</definedName>
    <definedName name="SC_13T_LOCKPORT_TH" localSheetId="4">#REF!</definedName>
    <definedName name="SC_13T_LOCKPORT_TH" localSheetId="0">#REF!</definedName>
    <definedName name="SC_13T_LOCKPORT_TH">#REF!</definedName>
    <definedName name="SC_13T_OWEGO_TH" localSheetId="1">#REF!</definedName>
    <definedName name="SC_13T_OWEGO_TH" localSheetId="4">#REF!</definedName>
    <definedName name="SC_13T_OWEGO_TH" localSheetId="0">#REF!</definedName>
    <definedName name="SC_13T_OWEGO_TH">#REF!</definedName>
    <definedName name="SC_1S_BINGHAMTON_TH" localSheetId="1">#REF!</definedName>
    <definedName name="SC_1S_BINGHAMTON_TH" localSheetId="4">#REF!</definedName>
    <definedName name="SC_1S_BINGHAMTON_TH" localSheetId="0">#REF!</definedName>
    <definedName name="SC_1S_BINGHAMTON_TH">#REF!</definedName>
    <definedName name="SC_1S_CHAMPLAIN_TH" localSheetId="1">'[12]Bill Mit'!#REF!</definedName>
    <definedName name="SC_1S_CHAMPLAIN_TH" localSheetId="4">'[12]Bill Mit'!#REF!</definedName>
    <definedName name="SC_1S_CHAMPLAIN_TH" localSheetId="0">'[12]Bill Mit'!#REF!</definedName>
    <definedName name="SC_1S_CHAMPLAIN_TH">'[12]Bill Mit'!#REF!</definedName>
    <definedName name="SC_1S_COMBINED_TH" localSheetId="1">'[12]Bill Mit'!#REF!</definedName>
    <definedName name="SC_1S_COMBINED_TH" localSheetId="4">'[12]Bill Mit'!#REF!</definedName>
    <definedName name="SC_1S_COMBINED_TH" localSheetId="0">'[12]Bill Mit'!#REF!</definedName>
    <definedName name="SC_1S_COMBINED_TH">'[12]Bill Mit'!#REF!</definedName>
    <definedName name="SC_1S_ELMIRA_TH" localSheetId="1">'[12]Bill Mit'!#REF!</definedName>
    <definedName name="SC_1S_ELMIRA_TH" localSheetId="4">'[12]Bill Mit'!#REF!</definedName>
    <definedName name="SC_1S_ELMIRA_TH" localSheetId="0">'[12]Bill Mit'!#REF!</definedName>
    <definedName name="SC_1S_ELMIRA_TH">'[12]Bill Mit'!#REF!</definedName>
    <definedName name="SC_1S_GOSHEN_TH" localSheetId="1">'[12]Bill Mit'!#REF!</definedName>
    <definedName name="SC_1S_GOSHEN_TH" localSheetId="4">'[12]Bill Mit'!#REF!</definedName>
    <definedName name="SC_1S_GOSHEN_TH" localSheetId="0">'[12]Bill Mit'!#REF!</definedName>
    <definedName name="SC_1S_GOSHEN_TH">'[12]Bill Mit'!#REF!</definedName>
    <definedName name="SC_1S_LOCKPORT_TH" localSheetId="1">#REF!</definedName>
    <definedName name="SC_1S_LOCKPORT_TH" localSheetId="4">#REF!</definedName>
    <definedName name="SC_1S_LOCKPORT_TH" localSheetId="0">#REF!</definedName>
    <definedName name="SC_1S_LOCKPORT_TH">#REF!</definedName>
    <definedName name="SC_1S_OWEGO_TH" localSheetId="1">#REF!</definedName>
    <definedName name="SC_1S_OWEGO_TH" localSheetId="4">#REF!</definedName>
    <definedName name="SC_1S_OWEGO_TH" localSheetId="0">#REF!</definedName>
    <definedName name="SC_1S_OWEGO_TH">#REF!</definedName>
    <definedName name="SCdate">[13]RGE!$C$21</definedName>
    <definedName name="search" localSheetId="11">[3]VPOPrices!#REF!</definedName>
    <definedName name="search" localSheetId="1">[3]VPOPrices!#REF!</definedName>
    <definedName name="search" localSheetId="5">[3]VPOPrices!#REF!</definedName>
    <definedName name="search" localSheetId="4">[3]VPOPrices!#REF!</definedName>
    <definedName name="search" localSheetId="0">[3]VPOPrices!#REF!</definedName>
    <definedName name="search">[4]VPOPrices!#REF!</definedName>
    <definedName name="SearchKey" localSheetId="1">#REF!</definedName>
    <definedName name="SearchKey" localSheetId="4">#REF!</definedName>
    <definedName name="SearchKey" localSheetId="0">#REF!</definedName>
    <definedName name="SearchKey">#REF!</definedName>
    <definedName name="SecLoss" localSheetId="11">#REF!</definedName>
    <definedName name="SecLoss" localSheetId="1">#REF!</definedName>
    <definedName name="SecLoss" localSheetId="5">#REF!</definedName>
    <definedName name="SecLoss" localSheetId="4">#REF!</definedName>
    <definedName name="SecLoss" localSheetId="10">#REF!</definedName>
    <definedName name="SecLoss" localSheetId="0">#REF!</definedName>
    <definedName name="SecLoss">#REF!</definedName>
    <definedName name="Summary" localSheetId="11">#REF!</definedName>
    <definedName name="Summary" localSheetId="10">#REF!</definedName>
    <definedName name="Summary">#REF!</definedName>
    <definedName name="TEST0" localSheetId="10">#REF!</definedName>
    <definedName name="TEST0">#REF!</definedName>
    <definedName name="TEST1">#REF!</definedName>
    <definedName name="TEST2">#REF!</definedName>
    <definedName name="TEST3">#REF!</definedName>
    <definedName name="TESTHKEY">#REF!</definedName>
    <definedName name="TESTKEYS">#REF!</definedName>
    <definedName name="TESTVKEY">#REF!</definedName>
    <definedName name="total">#REF!</definedName>
    <definedName name="Total_Seneca_Capacity">#REF!</definedName>
    <definedName name="TS_Bing_1S_13T">[14]TS!#REF!</definedName>
    <definedName name="TS_Champlain_1S_13T">[15]TS!#REF!</definedName>
    <definedName name="TS_Champlain_1T_5T_14TD">[16]TS!#REF!</definedName>
    <definedName name="TS_Champlain_2S_5S_8S_14TND">[16]TS!#REF!</definedName>
    <definedName name="TS_Combined_1S_13T">[15]TS!#REF!</definedName>
    <definedName name="TS_Elmira_1S_13T">[15]TS!#REF!</definedName>
    <definedName name="TS_Elmira_1T_5T_14TD">[16]TS!#REF!</definedName>
    <definedName name="TS_Elmira_2S_5S_14TND">[16]TS!#REF!</definedName>
    <definedName name="TS_Goshen_1S_13T">[15]TS!#REF!</definedName>
    <definedName name="TS_Goshen_1T_5T_14TD">[16]TS!#REF!</definedName>
    <definedName name="TS_Goshen_2S_5S_14TND">[16]TS!#REF!</definedName>
    <definedName name="TS_Lockport_1S_13T">[17]TS!#REF!</definedName>
    <definedName name="TS_Owego_1S_13T">[14]TS!#REF!</definedName>
    <definedName name="TS_Owego_1T_5T_14TD">[18]TS!#REF!</definedName>
    <definedName name="TUtable" localSheetId="1">#REF!</definedName>
    <definedName name="TUtable" localSheetId="5">#REF!</definedName>
    <definedName name="TUtable" localSheetId="4">#REF!</definedName>
    <definedName name="TUtable" localSheetId="0">#REF!</definedName>
    <definedName name="TUtable">#REF!</definedName>
    <definedName name="wrn.MAIN._.PAGE._.1." localSheetId="11" hidden="1">{#N/A,#N/A,FALSE,"MAIN";#N/A,#N/A,FALSE,"MAIN"}</definedName>
    <definedName name="wrn.MAIN._.PAGE._.1." localSheetId="1" hidden="1">{#N/A,#N/A,FALSE,"MAIN";#N/A,#N/A,FALSE,"MAIN"}</definedName>
    <definedName name="wrn.MAIN._.PAGE._.1." localSheetId="5" hidden="1">{#N/A,#N/A,FALSE,"MAIN";#N/A,#N/A,FALSE,"MAIN"}</definedName>
    <definedName name="wrn.MAIN._.PAGE._.1." localSheetId="4" hidden="1">{#N/A,#N/A,FALSE,"MAIN";#N/A,#N/A,FALSE,"MAIN"}</definedName>
    <definedName name="wrn.MAIN._.PAGE._.1." localSheetId="10" hidden="1">{#N/A,#N/A,FALSE,"MAIN";#N/A,#N/A,FALSE,"MAIN"}</definedName>
    <definedName name="wrn.MAIN._.PAGE._.1." localSheetId="0" hidden="1">{#N/A,#N/A,FALSE,"MAIN";#N/A,#N/A,FALSE,"MAIN"}</definedName>
    <definedName name="wrn.MAIN._.PAGE._.1." localSheetId="2" hidden="1">{#N/A,#N/A,FALSE,"MAIN";#N/A,#N/A,FALSE,"MAIN"}</definedName>
    <definedName name="wrn.MAIN._.PAGE._.1." localSheetId="6" hidden="1">{#N/A,#N/A,FALSE,"MAIN";#N/A,#N/A,FALSE,"MAIN"}</definedName>
    <definedName name="wrn.MAIN._.PAGE._.1." hidden="1">{#N/A,#N/A,FALSE,"MAIN";#N/A,#N/A,FALSE,"MAIN"}</definedName>
  </definedNames>
  <calcPr calcId="145621"/>
</workbook>
</file>

<file path=xl/calcChain.xml><?xml version="1.0" encoding="utf-8"?>
<calcChain xmlns="http://schemas.openxmlformats.org/spreadsheetml/2006/main">
  <c r="P1030" i="17" l="1"/>
  <c r="AB975" i="1" l="1"/>
  <c r="X975" i="1"/>
  <c r="T975" i="1"/>
  <c r="Q975" i="1"/>
  <c r="O975" i="1"/>
  <c r="N975" i="1"/>
  <c r="M975" i="1"/>
  <c r="AP975" i="1" s="1"/>
  <c r="AQ975" i="1" s="1"/>
  <c r="K975" i="1"/>
  <c r="J975" i="1"/>
  <c r="AR975" i="1" s="1"/>
  <c r="F975" i="1"/>
  <c r="B975" i="1"/>
  <c r="AA975" i="1" l="1"/>
  <c r="W975" i="1"/>
  <c r="AC2495" i="1" l="1"/>
  <c r="D87" i="2" l="1"/>
  <c r="C87" i="2"/>
  <c r="AB1917" i="1" l="1"/>
  <c r="X1917" i="1"/>
  <c r="Q1917" i="1"/>
  <c r="M1917" i="1"/>
  <c r="P24" i="15" l="1"/>
  <c r="T1917" i="1"/>
  <c r="W1917" i="1" s="1"/>
  <c r="O1917" i="1"/>
  <c r="S1917" i="1"/>
  <c r="V1917" i="1" s="1"/>
  <c r="N1917" i="1"/>
  <c r="R1917" i="1"/>
  <c r="U1917" i="1" s="1"/>
  <c r="P18" i="15"/>
  <c r="Z1917" i="1" l="1"/>
  <c r="Y1917" i="1"/>
  <c r="AA1917" i="1"/>
  <c r="AP1003" i="1" l="1"/>
  <c r="AQ1003" i="1" s="1"/>
  <c r="AR1003" i="1"/>
  <c r="AP1139" i="1"/>
  <c r="AP1140" i="1"/>
  <c r="AP1917" i="1"/>
  <c r="AB1815" i="1"/>
  <c r="X1815" i="1"/>
  <c r="Q1815" i="1"/>
  <c r="M1815" i="1"/>
  <c r="AP1815" i="1" s="1"/>
  <c r="AB1366" i="1"/>
  <c r="X1366" i="1"/>
  <c r="Q1366" i="1"/>
  <c r="AB1136" i="1"/>
  <c r="X1136" i="1"/>
  <c r="Q1136" i="1"/>
  <c r="AB1135" i="1"/>
  <c r="X1135" i="1"/>
  <c r="Q1135" i="1"/>
  <c r="AB1017" i="1"/>
  <c r="X1017" i="1"/>
  <c r="Q1017" i="1"/>
  <c r="AB1016" i="1"/>
  <c r="X1016" i="1"/>
  <c r="Q1016" i="1"/>
  <c r="AQ1815" i="1" l="1"/>
  <c r="AQ1917" i="1"/>
  <c r="M1016" i="1"/>
  <c r="AP1016" i="1" s="1"/>
  <c r="AQ1016" i="1" s="1"/>
  <c r="AR1016" i="1"/>
  <c r="O1366" i="1"/>
  <c r="AR1366" i="1"/>
  <c r="O1136" i="1"/>
  <c r="AR1136" i="1"/>
  <c r="M1367" i="1"/>
  <c r="AP1367" i="1" s="1"/>
  <c r="AR1917" i="1"/>
  <c r="M1135" i="1"/>
  <c r="AP1135" i="1" s="1"/>
  <c r="AQ1135" i="1" s="1"/>
  <c r="AR1135" i="1"/>
  <c r="AR1815" i="1"/>
  <c r="M1017" i="1"/>
  <c r="AP1017" i="1" s="1"/>
  <c r="AQ1017" i="1" s="1"/>
  <c r="AR1017" i="1"/>
  <c r="R1815" i="1"/>
  <c r="Y1815" i="1" s="1"/>
  <c r="S1815" i="1"/>
  <c r="V1815" i="1" s="1"/>
  <c r="N1136" i="1"/>
  <c r="O1815" i="1"/>
  <c r="N1815" i="1"/>
  <c r="T1815" i="1"/>
  <c r="R1366" i="1"/>
  <c r="Y1366" i="1" s="1"/>
  <c r="S1366" i="1"/>
  <c r="V1366" i="1" s="1"/>
  <c r="T1366" i="1"/>
  <c r="N1366" i="1"/>
  <c r="M1366" i="1"/>
  <c r="AP1366" i="1" s="1"/>
  <c r="AQ1366" i="1" s="1"/>
  <c r="N1367" i="1"/>
  <c r="O1367" i="1"/>
  <c r="M1136" i="1"/>
  <c r="AP1136" i="1" s="1"/>
  <c r="AQ1136" i="1" s="1"/>
  <c r="S1136" i="1"/>
  <c r="Z1136" i="1" s="1"/>
  <c r="R1136" i="1"/>
  <c r="Y1136" i="1" s="1"/>
  <c r="T1136" i="1"/>
  <c r="O1135" i="1"/>
  <c r="N1135" i="1"/>
  <c r="S1135" i="1"/>
  <c r="Z1135" i="1" s="1"/>
  <c r="R1135" i="1"/>
  <c r="U1135" i="1" s="1"/>
  <c r="T1135" i="1"/>
  <c r="N1017" i="1"/>
  <c r="O1017" i="1"/>
  <c r="S1017" i="1"/>
  <c r="Z1017" i="1" s="1"/>
  <c r="R1017" i="1"/>
  <c r="U1017" i="1" s="1"/>
  <c r="T1017" i="1"/>
  <c r="T1016" i="1"/>
  <c r="AA1016" i="1" s="1"/>
  <c r="S1016" i="1"/>
  <c r="Z1016" i="1" s="1"/>
  <c r="R1016" i="1"/>
  <c r="U1016" i="1" s="1"/>
  <c r="O1016" i="1"/>
  <c r="N1016" i="1"/>
  <c r="U1815" i="1" l="1"/>
  <c r="Z1815" i="1"/>
  <c r="AA1815" i="1"/>
  <c r="W1815" i="1"/>
  <c r="U1366" i="1"/>
  <c r="Z1366" i="1"/>
  <c r="AA1366" i="1"/>
  <c r="W1366" i="1"/>
  <c r="U1136" i="1"/>
  <c r="V1136" i="1"/>
  <c r="AA1136" i="1"/>
  <c r="W1136" i="1"/>
  <c r="V1135" i="1"/>
  <c r="Y1135" i="1"/>
  <c r="AA1135" i="1"/>
  <c r="W1135" i="1"/>
  <c r="Y1017" i="1"/>
  <c r="V1016" i="1"/>
  <c r="V1017" i="1"/>
  <c r="AA1017" i="1"/>
  <c r="W1017" i="1"/>
  <c r="W1016" i="1"/>
  <c r="Y1016" i="1"/>
  <c r="AB1002" i="1" l="1"/>
  <c r="X1002" i="1"/>
  <c r="Q1002" i="1"/>
  <c r="AB983" i="1"/>
  <c r="X983" i="1"/>
  <c r="N983" i="1" l="1"/>
  <c r="AR983" i="1"/>
  <c r="M1002" i="1"/>
  <c r="AP1002" i="1" s="1"/>
  <c r="AQ1002" i="1" s="1"/>
  <c r="AR1002" i="1"/>
  <c r="T1002" i="1"/>
  <c r="AA1002" i="1" s="1"/>
  <c r="O1002" i="1"/>
  <c r="S1002" i="1"/>
  <c r="Z1002" i="1" s="1"/>
  <c r="N1002" i="1"/>
  <c r="R1002" i="1"/>
  <c r="U1002" i="1" s="1"/>
  <c r="M983" i="1"/>
  <c r="AP983" i="1" s="1"/>
  <c r="AQ983" i="1" s="1"/>
  <c r="O983" i="1"/>
  <c r="Q983" i="1"/>
  <c r="T983" i="1"/>
  <c r="W983" i="1" s="1"/>
  <c r="W1002" i="1" l="1"/>
  <c r="V1002" i="1"/>
  <c r="Y1002" i="1"/>
  <c r="AA983" i="1"/>
  <c r="F1917" i="1" l="1"/>
  <c r="B1917" i="1"/>
  <c r="F1815" i="1"/>
  <c r="B1815" i="1"/>
  <c r="F1366" i="1"/>
  <c r="B1366" i="1"/>
  <c r="AO2495" i="1" l="1"/>
  <c r="AO2497" i="1" s="1"/>
  <c r="F1136" i="1" l="1"/>
  <c r="F1135" i="1"/>
  <c r="B1136" i="1"/>
  <c r="B1135" i="1"/>
  <c r="F1016" i="1"/>
  <c r="B1016" i="1"/>
  <c r="F1017" i="1"/>
  <c r="B1017" i="1"/>
  <c r="F1002" i="1" l="1"/>
  <c r="B1002" i="1"/>
  <c r="F983" i="1"/>
  <c r="B983" i="1"/>
  <c r="J238" i="10" l="1"/>
  <c r="X730" i="1"/>
  <c r="Q730" i="1"/>
  <c r="T730" i="1" l="1"/>
  <c r="W730" i="1" s="1"/>
  <c r="Q91" i="1" l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AB258" i="1"/>
  <c r="AB259" i="1"/>
  <c r="AB260" i="1"/>
  <c r="AB261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AB275" i="1"/>
  <c r="AB276" i="1"/>
  <c r="AB277" i="1"/>
  <c r="AB278" i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92" i="1"/>
  <c r="AB293" i="1"/>
  <c r="AB294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AB355" i="1"/>
  <c r="AB356" i="1"/>
  <c r="AB357" i="1"/>
  <c r="AB358" i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AB371" i="1"/>
  <c r="AB372" i="1"/>
  <c r="AB373" i="1"/>
  <c r="AB374" i="1"/>
  <c r="AB375" i="1"/>
  <c r="AB376" i="1"/>
  <c r="AB377" i="1"/>
  <c r="AB378" i="1"/>
  <c r="AB379" i="1"/>
  <c r="AB380" i="1"/>
  <c r="AB381" i="1"/>
  <c r="AB382" i="1"/>
  <c r="AB383" i="1"/>
  <c r="AB384" i="1"/>
  <c r="AB385" i="1"/>
  <c r="AB386" i="1"/>
  <c r="AB387" i="1"/>
  <c r="AB388" i="1"/>
  <c r="AB389" i="1"/>
  <c r="AB390" i="1"/>
  <c r="AB391" i="1"/>
  <c r="AB392" i="1"/>
  <c r="AB393" i="1"/>
  <c r="AB394" i="1"/>
  <c r="AB395" i="1"/>
  <c r="AB396" i="1"/>
  <c r="AB397" i="1"/>
  <c r="AB398" i="1"/>
  <c r="AB399" i="1"/>
  <c r="AB400" i="1"/>
  <c r="AB401" i="1"/>
  <c r="AB402" i="1"/>
  <c r="AB403" i="1"/>
  <c r="AB404" i="1"/>
  <c r="AB405" i="1"/>
  <c r="AB406" i="1"/>
  <c r="AB407" i="1"/>
  <c r="AB408" i="1"/>
  <c r="AB409" i="1"/>
  <c r="AB410" i="1"/>
  <c r="AB411" i="1"/>
  <c r="AB412" i="1"/>
  <c r="AB413" i="1"/>
  <c r="AB414" i="1"/>
  <c r="AB415" i="1"/>
  <c r="AB416" i="1"/>
  <c r="AB417" i="1"/>
  <c r="AB418" i="1"/>
  <c r="AB419" i="1"/>
  <c r="AB420" i="1"/>
  <c r="AB421" i="1"/>
  <c r="AB422" i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AB435" i="1"/>
  <c r="AB436" i="1"/>
  <c r="AB437" i="1"/>
  <c r="AB438" i="1"/>
  <c r="AB439" i="1"/>
  <c r="AB440" i="1"/>
  <c r="AB441" i="1"/>
  <c r="AB442" i="1"/>
  <c r="AB443" i="1"/>
  <c r="AB444" i="1"/>
  <c r="AB445" i="1"/>
  <c r="AB44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AB467" i="1"/>
  <c r="AB468" i="1"/>
  <c r="AB469" i="1"/>
  <c r="AB470" i="1"/>
  <c r="AB471" i="1"/>
  <c r="AB472" i="1"/>
  <c r="AB473" i="1"/>
  <c r="AB474" i="1"/>
  <c r="AB475" i="1"/>
  <c r="AB476" i="1"/>
  <c r="AB477" i="1"/>
  <c r="AB478" i="1"/>
  <c r="AB479" i="1"/>
  <c r="AB480" i="1"/>
  <c r="AB481" i="1"/>
  <c r="AB482" i="1"/>
  <c r="AB483" i="1"/>
  <c r="AB484" i="1"/>
  <c r="AB485" i="1"/>
  <c r="AB486" i="1"/>
  <c r="AB487" i="1"/>
  <c r="AB488" i="1"/>
  <c r="AB489" i="1"/>
  <c r="AB490" i="1"/>
  <c r="AB491" i="1"/>
  <c r="AB492" i="1"/>
  <c r="AB493" i="1"/>
  <c r="AB494" i="1"/>
  <c r="AB495" i="1"/>
  <c r="AB496" i="1"/>
  <c r="AB497" i="1"/>
  <c r="AB498" i="1"/>
  <c r="AB499" i="1"/>
  <c r="AB500" i="1"/>
  <c r="AB501" i="1"/>
  <c r="AB502" i="1"/>
  <c r="AB503" i="1"/>
  <c r="AB504" i="1"/>
  <c r="AB505" i="1"/>
  <c r="AB506" i="1"/>
  <c r="AB507" i="1"/>
  <c r="AB508" i="1"/>
  <c r="AB509" i="1"/>
  <c r="AB510" i="1"/>
  <c r="AB511" i="1"/>
  <c r="AB512" i="1"/>
  <c r="AB513" i="1"/>
  <c r="AB514" i="1"/>
  <c r="AB515" i="1"/>
  <c r="AB516" i="1"/>
  <c r="AB517" i="1"/>
  <c r="AB518" i="1"/>
  <c r="AB519" i="1"/>
  <c r="AB520" i="1"/>
  <c r="AB521" i="1"/>
  <c r="AB522" i="1"/>
  <c r="AB523" i="1"/>
  <c r="AB524" i="1"/>
  <c r="AB525" i="1"/>
  <c r="AB526" i="1"/>
  <c r="AB527" i="1"/>
  <c r="AB528" i="1"/>
  <c r="AB529" i="1"/>
  <c r="AB530" i="1"/>
  <c r="AB531" i="1"/>
  <c r="AB532" i="1"/>
  <c r="AB533" i="1"/>
  <c r="AB534" i="1"/>
  <c r="AB535" i="1"/>
  <c r="AB536" i="1"/>
  <c r="AB537" i="1"/>
  <c r="AB538" i="1"/>
  <c r="AB539" i="1"/>
  <c r="AB540" i="1"/>
  <c r="AB541" i="1"/>
  <c r="AB542" i="1"/>
  <c r="AB543" i="1"/>
  <c r="AB544" i="1"/>
  <c r="AB545" i="1"/>
  <c r="AB546" i="1"/>
  <c r="AB547" i="1"/>
  <c r="AB548" i="1"/>
  <c r="AB549" i="1"/>
  <c r="AB550" i="1"/>
  <c r="AB551" i="1"/>
  <c r="AB552" i="1"/>
  <c r="AB553" i="1"/>
  <c r="AB554" i="1"/>
  <c r="AB555" i="1"/>
  <c r="AB556" i="1"/>
  <c r="AB557" i="1"/>
  <c r="AB558" i="1"/>
  <c r="AB559" i="1"/>
  <c r="AB560" i="1"/>
  <c r="AB561" i="1"/>
  <c r="AB562" i="1"/>
  <c r="AB563" i="1"/>
  <c r="AB564" i="1"/>
  <c r="AB565" i="1"/>
  <c r="AB566" i="1"/>
  <c r="AB567" i="1"/>
  <c r="AB568" i="1"/>
  <c r="AB569" i="1"/>
  <c r="AB570" i="1"/>
  <c r="AB571" i="1"/>
  <c r="AB572" i="1"/>
  <c r="AB573" i="1"/>
  <c r="AB574" i="1"/>
  <c r="AB575" i="1"/>
  <c r="AB576" i="1"/>
  <c r="AB577" i="1"/>
  <c r="AB578" i="1"/>
  <c r="AB579" i="1"/>
  <c r="AB580" i="1"/>
  <c r="AB581" i="1"/>
  <c r="AB582" i="1"/>
  <c r="AB583" i="1"/>
  <c r="AB584" i="1"/>
  <c r="AB585" i="1"/>
  <c r="AB586" i="1"/>
  <c r="AB587" i="1"/>
  <c r="AB588" i="1"/>
  <c r="AB589" i="1"/>
  <c r="AB590" i="1"/>
  <c r="AB591" i="1"/>
  <c r="AB592" i="1"/>
  <c r="AB593" i="1"/>
  <c r="AB594" i="1"/>
  <c r="AB595" i="1"/>
  <c r="AB596" i="1"/>
  <c r="AB597" i="1"/>
  <c r="AB598" i="1"/>
  <c r="AB599" i="1"/>
  <c r="AB600" i="1"/>
  <c r="AB601" i="1"/>
  <c r="AB602" i="1"/>
  <c r="AB603" i="1"/>
  <c r="AB604" i="1"/>
  <c r="AB605" i="1"/>
  <c r="AB606" i="1"/>
  <c r="AB607" i="1"/>
  <c r="AB608" i="1"/>
  <c r="AB609" i="1"/>
  <c r="AB610" i="1"/>
  <c r="AB611" i="1"/>
  <c r="AB612" i="1"/>
  <c r="AB613" i="1"/>
  <c r="AB614" i="1"/>
  <c r="AB615" i="1"/>
  <c r="AB616" i="1"/>
  <c r="AB617" i="1"/>
  <c r="AB618" i="1"/>
  <c r="AB619" i="1"/>
  <c r="AB620" i="1"/>
  <c r="AB621" i="1"/>
  <c r="AB622" i="1"/>
  <c r="AB623" i="1"/>
  <c r="AB624" i="1"/>
  <c r="AB625" i="1"/>
  <c r="AB626" i="1"/>
  <c r="AB627" i="1"/>
  <c r="AB628" i="1"/>
  <c r="AB629" i="1"/>
  <c r="AB630" i="1"/>
  <c r="AB631" i="1"/>
  <c r="AB632" i="1"/>
  <c r="AB633" i="1"/>
  <c r="AB634" i="1"/>
  <c r="AB635" i="1"/>
  <c r="AB636" i="1"/>
  <c r="AB637" i="1"/>
  <c r="AB638" i="1"/>
  <c r="AB639" i="1"/>
  <c r="AB640" i="1"/>
  <c r="AB641" i="1"/>
  <c r="AB642" i="1"/>
  <c r="AB643" i="1"/>
  <c r="AB644" i="1"/>
  <c r="AB645" i="1"/>
  <c r="AB646" i="1"/>
  <c r="AB647" i="1"/>
  <c r="AB648" i="1"/>
  <c r="AB649" i="1"/>
  <c r="AB650" i="1"/>
  <c r="AB651" i="1"/>
  <c r="AB652" i="1"/>
  <c r="AB653" i="1"/>
  <c r="AB654" i="1"/>
  <c r="AB655" i="1"/>
  <c r="AB656" i="1"/>
  <c r="AB657" i="1"/>
  <c r="AB658" i="1"/>
  <c r="AB659" i="1"/>
  <c r="AB660" i="1"/>
  <c r="AB661" i="1"/>
  <c r="AB662" i="1"/>
  <c r="AB663" i="1"/>
  <c r="AB664" i="1"/>
  <c r="AB665" i="1"/>
  <c r="AB666" i="1"/>
  <c r="AB667" i="1"/>
  <c r="AB668" i="1"/>
  <c r="AB669" i="1"/>
  <c r="AB670" i="1"/>
  <c r="AB671" i="1"/>
  <c r="AB672" i="1"/>
  <c r="AB673" i="1"/>
  <c r="AB674" i="1"/>
  <c r="AB675" i="1"/>
  <c r="AB676" i="1"/>
  <c r="AB677" i="1"/>
  <c r="AB678" i="1"/>
  <c r="AB679" i="1"/>
  <c r="AB680" i="1"/>
  <c r="AB681" i="1"/>
  <c r="AB682" i="1"/>
  <c r="AB683" i="1"/>
  <c r="AB684" i="1"/>
  <c r="AB685" i="1"/>
  <c r="AB686" i="1"/>
  <c r="AB687" i="1"/>
  <c r="AB688" i="1"/>
  <c r="AB689" i="1"/>
  <c r="AB690" i="1"/>
  <c r="AB691" i="1"/>
  <c r="AB692" i="1"/>
  <c r="AB693" i="1"/>
  <c r="AB694" i="1"/>
  <c r="AB695" i="1"/>
  <c r="AB696" i="1"/>
  <c r="AB697" i="1"/>
  <c r="AB698" i="1"/>
  <c r="AB699" i="1"/>
  <c r="AB700" i="1"/>
  <c r="AB701" i="1"/>
  <c r="AB702" i="1"/>
  <c r="AB703" i="1"/>
  <c r="AB704" i="1"/>
  <c r="AB705" i="1"/>
  <c r="AB706" i="1"/>
  <c r="AB707" i="1"/>
  <c r="AB708" i="1"/>
  <c r="AB709" i="1"/>
  <c r="AB710" i="1"/>
  <c r="AB711" i="1"/>
  <c r="AB712" i="1"/>
  <c r="AB713" i="1"/>
  <c r="AB714" i="1"/>
  <c r="AB715" i="1"/>
  <c r="AB716" i="1"/>
  <c r="AB717" i="1"/>
  <c r="AB718" i="1"/>
  <c r="AB719" i="1"/>
  <c r="AB720" i="1"/>
  <c r="AB721" i="1"/>
  <c r="AB722" i="1"/>
  <c r="AB723" i="1"/>
  <c r="AB724" i="1"/>
  <c r="AB725" i="1"/>
  <c r="AB726" i="1"/>
  <c r="AB727" i="1"/>
  <c r="AB728" i="1"/>
  <c r="AB729" i="1"/>
  <c r="AB730" i="1"/>
  <c r="AB731" i="1"/>
  <c r="AB732" i="1"/>
  <c r="AB733" i="1"/>
  <c r="AB734" i="1"/>
  <c r="AB735" i="1"/>
  <c r="AB736" i="1"/>
  <c r="AB737" i="1"/>
  <c r="AB738" i="1"/>
  <c r="AB739" i="1"/>
  <c r="AB740" i="1"/>
  <c r="AB741" i="1"/>
  <c r="AB742" i="1"/>
  <c r="AB743" i="1"/>
  <c r="AB744" i="1"/>
  <c r="AB745" i="1"/>
  <c r="AB746" i="1"/>
  <c r="AB747" i="1"/>
  <c r="AB748" i="1"/>
  <c r="AB749" i="1"/>
  <c r="AB750" i="1"/>
  <c r="AB751" i="1"/>
  <c r="AB752" i="1"/>
  <c r="AB753" i="1"/>
  <c r="AB754" i="1"/>
  <c r="AB755" i="1"/>
  <c r="AB756" i="1"/>
  <c r="AB757" i="1"/>
  <c r="AB758" i="1"/>
  <c r="AB759" i="1"/>
  <c r="AB760" i="1"/>
  <c r="AB761" i="1"/>
  <c r="AB762" i="1"/>
  <c r="AB763" i="1"/>
  <c r="AB764" i="1"/>
  <c r="AB765" i="1"/>
  <c r="AB766" i="1"/>
  <c r="AB767" i="1"/>
  <c r="AB768" i="1"/>
  <c r="AB769" i="1"/>
  <c r="AB770" i="1"/>
  <c r="AB771" i="1"/>
  <c r="AB772" i="1"/>
  <c r="AB773" i="1"/>
  <c r="AB774" i="1"/>
  <c r="AB775" i="1"/>
  <c r="AB776" i="1"/>
  <c r="AB777" i="1"/>
  <c r="AB778" i="1"/>
  <c r="AB779" i="1"/>
  <c r="AB780" i="1"/>
  <c r="AB781" i="1"/>
  <c r="AB782" i="1"/>
  <c r="AB783" i="1"/>
  <c r="AB784" i="1"/>
  <c r="AB785" i="1"/>
  <c r="AB786" i="1"/>
  <c r="AB787" i="1"/>
  <c r="AB788" i="1"/>
  <c r="AB789" i="1"/>
  <c r="AB790" i="1"/>
  <c r="AB791" i="1"/>
  <c r="AB792" i="1"/>
  <c r="AB793" i="1"/>
  <c r="AB794" i="1"/>
  <c r="AB795" i="1"/>
  <c r="AB796" i="1"/>
  <c r="AB797" i="1"/>
  <c r="AB798" i="1"/>
  <c r="AB799" i="1"/>
  <c r="AB800" i="1"/>
  <c r="AB801" i="1"/>
  <c r="AB802" i="1"/>
  <c r="AB803" i="1"/>
  <c r="AB804" i="1"/>
  <c r="AB805" i="1"/>
  <c r="AB806" i="1"/>
  <c r="AB807" i="1"/>
  <c r="AB808" i="1"/>
  <c r="AB809" i="1"/>
  <c r="AB810" i="1"/>
  <c r="AB811" i="1"/>
  <c r="AB812" i="1"/>
  <c r="AB813" i="1"/>
  <c r="AB814" i="1"/>
  <c r="AB815" i="1"/>
  <c r="AB816" i="1"/>
  <c r="AB817" i="1"/>
  <c r="AB818" i="1"/>
  <c r="AB819" i="1"/>
  <c r="AB820" i="1"/>
  <c r="AB821" i="1"/>
  <c r="AB822" i="1"/>
  <c r="AB823" i="1"/>
  <c r="AB824" i="1"/>
  <c r="AB825" i="1"/>
  <c r="AB826" i="1"/>
  <c r="AB827" i="1"/>
  <c r="AB828" i="1"/>
  <c r="AB829" i="1"/>
  <c r="AB830" i="1"/>
  <c r="AB831" i="1"/>
  <c r="AB832" i="1"/>
  <c r="AB833" i="1"/>
  <c r="AB834" i="1"/>
  <c r="AB835" i="1"/>
  <c r="AB836" i="1"/>
  <c r="AB837" i="1"/>
  <c r="AB838" i="1"/>
  <c r="AB839" i="1"/>
  <c r="AB840" i="1"/>
  <c r="AB841" i="1"/>
  <c r="AB842" i="1"/>
  <c r="AB843" i="1"/>
  <c r="AB844" i="1"/>
  <c r="AB845" i="1"/>
  <c r="AB846" i="1"/>
  <c r="AB847" i="1"/>
  <c r="AB848" i="1"/>
  <c r="AB849" i="1"/>
  <c r="AB850" i="1"/>
  <c r="AB851" i="1"/>
  <c r="AB852" i="1"/>
  <c r="AB853" i="1"/>
  <c r="AB854" i="1"/>
  <c r="AB855" i="1"/>
  <c r="AB856" i="1"/>
  <c r="AB857" i="1"/>
  <c r="AB858" i="1"/>
  <c r="AB859" i="1"/>
  <c r="AB860" i="1"/>
  <c r="AB861" i="1"/>
  <c r="AB862" i="1"/>
  <c r="AB863" i="1"/>
  <c r="AB864" i="1"/>
  <c r="AB865" i="1"/>
  <c r="AB866" i="1"/>
  <c r="AB867" i="1"/>
  <c r="AB868" i="1"/>
  <c r="AB869" i="1"/>
  <c r="AB870" i="1"/>
  <c r="AB871" i="1"/>
  <c r="AB872" i="1"/>
  <c r="AB873" i="1"/>
  <c r="AB874" i="1"/>
  <c r="AB875" i="1"/>
  <c r="AB876" i="1"/>
  <c r="AB877" i="1"/>
  <c r="AB878" i="1"/>
  <c r="AB879" i="1"/>
  <c r="AB880" i="1"/>
  <c r="AB881" i="1"/>
  <c r="AB882" i="1"/>
  <c r="AB883" i="1"/>
  <c r="AB884" i="1"/>
  <c r="AB885" i="1"/>
  <c r="AB886" i="1"/>
  <c r="AB887" i="1"/>
  <c r="AB888" i="1"/>
  <c r="AB889" i="1"/>
  <c r="AB890" i="1"/>
  <c r="AB891" i="1"/>
  <c r="AB892" i="1"/>
  <c r="AB893" i="1"/>
  <c r="AB894" i="1"/>
  <c r="AB895" i="1"/>
  <c r="AB896" i="1"/>
  <c r="AB897" i="1"/>
  <c r="AB898" i="1"/>
  <c r="AB899" i="1"/>
  <c r="AB900" i="1"/>
  <c r="AB901" i="1"/>
  <c r="AB902" i="1"/>
  <c r="AB903" i="1"/>
  <c r="AB904" i="1"/>
  <c r="AB905" i="1"/>
  <c r="AB906" i="1"/>
  <c r="AB907" i="1"/>
  <c r="AB908" i="1"/>
  <c r="AB909" i="1"/>
  <c r="AB910" i="1"/>
  <c r="AB911" i="1"/>
  <c r="AB912" i="1"/>
  <c r="AB913" i="1"/>
  <c r="AB914" i="1"/>
  <c r="AB915" i="1"/>
  <c r="AB916" i="1"/>
  <c r="AB917" i="1"/>
  <c r="AB918" i="1"/>
  <c r="AB919" i="1"/>
  <c r="AB920" i="1"/>
  <c r="AB921" i="1"/>
  <c r="AB922" i="1"/>
  <c r="AB923" i="1"/>
  <c r="AB924" i="1"/>
  <c r="AB925" i="1"/>
  <c r="AB926" i="1"/>
  <c r="AB927" i="1"/>
  <c r="AB928" i="1"/>
  <c r="AB929" i="1"/>
  <c r="AB930" i="1"/>
  <c r="AB931" i="1"/>
  <c r="AB932" i="1"/>
  <c r="AB933" i="1"/>
  <c r="AB934" i="1"/>
  <c r="AB935" i="1"/>
  <c r="AB936" i="1"/>
  <c r="AB937" i="1"/>
  <c r="AB938" i="1"/>
  <c r="AB939" i="1"/>
  <c r="AB940" i="1"/>
  <c r="AB941" i="1"/>
  <c r="AB942" i="1"/>
  <c r="AB943" i="1"/>
  <c r="AB944" i="1"/>
  <c r="AB945" i="1"/>
  <c r="AB946" i="1"/>
  <c r="AB947" i="1"/>
  <c r="AB948" i="1"/>
  <c r="AB949" i="1"/>
  <c r="AB950" i="1"/>
  <c r="AB951" i="1"/>
  <c r="AB952" i="1"/>
  <c r="AB953" i="1"/>
  <c r="AB954" i="1"/>
  <c r="AB955" i="1"/>
  <c r="AB956" i="1"/>
  <c r="AB957" i="1"/>
  <c r="AB958" i="1"/>
  <c r="AB959" i="1"/>
  <c r="AB960" i="1"/>
  <c r="AB961" i="1"/>
  <c r="AB962" i="1"/>
  <c r="AB963" i="1"/>
  <c r="AB964" i="1"/>
  <c r="AB965" i="1"/>
  <c r="AB966" i="1"/>
  <c r="AB967" i="1"/>
  <c r="AB968" i="1"/>
  <c r="AB969" i="1"/>
  <c r="AB970" i="1"/>
  <c r="AB971" i="1"/>
  <c r="AB972" i="1"/>
  <c r="AB973" i="1"/>
  <c r="AB974" i="1"/>
  <c r="AB976" i="1"/>
  <c r="AB977" i="1"/>
  <c r="AB978" i="1"/>
  <c r="AB979" i="1"/>
  <c r="AB980" i="1"/>
  <c r="AB981" i="1"/>
  <c r="AB982" i="1"/>
  <c r="AB984" i="1"/>
  <c r="AB985" i="1"/>
  <c r="AB986" i="1"/>
  <c r="AB987" i="1"/>
  <c r="AB988" i="1"/>
  <c r="AB989" i="1"/>
  <c r="AB990" i="1"/>
  <c r="AB991" i="1"/>
  <c r="AB992" i="1"/>
  <c r="AB993" i="1"/>
  <c r="AB994" i="1"/>
  <c r="AB995" i="1"/>
  <c r="AB996" i="1"/>
  <c r="AB997" i="1"/>
  <c r="AB998" i="1"/>
  <c r="AB999" i="1"/>
  <c r="AB1000" i="1"/>
  <c r="AB1001" i="1"/>
  <c r="AB1003" i="1"/>
  <c r="AB1004" i="1"/>
  <c r="AB1005" i="1"/>
  <c r="AB1006" i="1"/>
  <c r="AB1007" i="1"/>
  <c r="AB1008" i="1"/>
  <c r="AB1009" i="1"/>
  <c r="AB1010" i="1"/>
  <c r="AB1011" i="1"/>
  <c r="AB1012" i="1"/>
  <c r="AB1013" i="1"/>
  <c r="AB1014" i="1"/>
  <c r="AB1015" i="1"/>
  <c r="AB1018" i="1"/>
  <c r="AB1019" i="1"/>
  <c r="AB1020" i="1"/>
  <c r="AB1021" i="1"/>
  <c r="AB1022" i="1"/>
  <c r="AB1023" i="1"/>
  <c r="AB1024" i="1"/>
  <c r="AB1025" i="1"/>
  <c r="AB1026" i="1"/>
  <c r="AB1027" i="1"/>
  <c r="AB1028" i="1"/>
  <c r="AB1029" i="1"/>
  <c r="AB1030" i="1"/>
  <c r="AB1031" i="1"/>
  <c r="AB1032" i="1"/>
  <c r="AB1033" i="1"/>
  <c r="AB1034" i="1"/>
  <c r="AB1035" i="1"/>
  <c r="AB1036" i="1"/>
  <c r="AB1037" i="1"/>
  <c r="AB1038" i="1"/>
  <c r="AB1039" i="1"/>
  <c r="AB1040" i="1"/>
  <c r="AB1041" i="1"/>
  <c r="AB1042" i="1"/>
  <c r="AB1043" i="1"/>
  <c r="AB1044" i="1"/>
  <c r="AB1045" i="1"/>
  <c r="AB1046" i="1"/>
  <c r="AB1047" i="1"/>
  <c r="AB1048" i="1"/>
  <c r="AB1049" i="1"/>
  <c r="AB1050" i="1"/>
  <c r="AB1051" i="1"/>
  <c r="AB1052" i="1"/>
  <c r="AB1053" i="1"/>
  <c r="AB1054" i="1"/>
  <c r="AB1055" i="1"/>
  <c r="AB1056" i="1"/>
  <c r="AB1057" i="1"/>
  <c r="AB1058" i="1"/>
  <c r="AB1059" i="1"/>
  <c r="AB1060" i="1"/>
  <c r="AB1061" i="1"/>
  <c r="AB1062" i="1"/>
  <c r="AB1063" i="1"/>
  <c r="AB1064" i="1"/>
  <c r="AB1065" i="1"/>
  <c r="AB1066" i="1"/>
  <c r="AB1067" i="1"/>
  <c r="AB1068" i="1"/>
  <c r="AB1069" i="1"/>
  <c r="AB1070" i="1"/>
  <c r="AB1071" i="1"/>
  <c r="AB1072" i="1"/>
  <c r="AB1073" i="1"/>
  <c r="AB1074" i="1"/>
  <c r="AB1075" i="1"/>
  <c r="AB1076" i="1"/>
  <c r="AB1077" i="1"/>
  <c r="AB1078" i="1"/>
  <c r="AB1079" i="1"/>
  <c r="AB1080" i="1"/>
  <c r="AB1081" i="1"/>
  <c r="AB1082" i="1"/>
  <c r="AB1083" i="1"/>
  <c r="AB1084" i="1"/>
  <c r="AB1085" i="1"/>
  <c r="AB1086" i="1"/>
  <c r="AB1087" i="1"/>
  <c r="AB1088" i="1"/>
  <c r="AB1089" i="1"/>
  <c r="AB1090" i="1"/>
  <c r="AB1091" i="1"/>
  <c r="AB1092" i="1"/>
  <c r="AB1093" i="1"/>
  <c r="AB1094" i="1"/>
  <c r="AB1095" i="1"/>
  <c r="AB1096" i="1"/>
  <c r="AB1097" i="1"/>
  <c r="AB1098" i="1"/>
  <c r="AB1099" i="1"/>
  <c r="AB1100" i="1"/>
  <c r="AB1101" i="1"/>
  <c r="AB1102" i="1"/>
  <c r="AB1103" i="1"/>
  <c r="AB1104" i="1"/>
  <c r="AB1105" i="1"/>
  <c r="AB1106" i="1"/>
  <c r="AB1107" i="1"/>
  <c r="AB1108" i="1"/>
  <c r="AB1109" i="1"/>
  <c r="AB1110" i="1"/>
  <c r="AB1111" i="1"/>
  <c r="AB1112" i="1"/>
  <c r="AB1113" i="1"/>
  <c r="AB1114" i="1"/>
  <c r="AB1115" i="1"/>
  <c r="AB1116" i="1"/>
  <c r="AB1117" i="1"/>
  <c r="AB1118" i="1"/>
  <c r="AB1119" i="1"/>
  <c r="AB1120" i="1"/>
  <c r="AB1121" i="1"/>
  <c r="AB1122" i="1"/>
  <c r="AB1123" i="1"/>
  <c r="AB1124" i="1"/>
  <c r="AB1125" i="1"/>
  <c r="AB1126" i="1"/>
  <c r="AB1127" i="1"/>
  <c r="AB1128" i="1"/>
  <c r="AB1129" i="1"/>
  <c r="AB1130" i="1"/>
  <c r="AB1131" i="1"/>
  <c r="AB1132" i="1"/>
  <c r="AB1133" i="1"/>
  <c r="AB1134" i="1"/>
  <c r="AB1137" i="1"/>
  <c r="AB1138" i="1"/>
  <c r="AB1139" i="1"/>
  <c r="AB1140" i="1"/>
  <c r="AB1141" i="1"/>
  <c r="AB1142" i="1"/>
  <c r="AB1143" i="1"/>
  <c r="AB1144" i="1"/>
  <c r="AB1145" i="1"/>
  <c r="AB1146" i="1"/>
  <c r="AB1147" i="1"/>
  <c r="AB1148" i="1"/>
  <c r="AB1149" i="1"/>
  <c r="AB1150" i="1"/>
  <c r="AB1151" i="1"/>
  <c r="AB1152" i="1"/>
  <c r="AB1153" i="1"/>
  <c r="AB1154" i="1"/>
  <c r="AB1155" i="1"/>
  <c r="AB1156" i="1"/>
  <c r="AB1157" i="1"/>
  <c r="AB1158" i="1"/>
  <c r="AB1159" i="1"/>
  <c r="AB1160" i="1"/>
  <c r="AB1161" i="1"/>
  <c r="AB1162" i="1"/>
  <c r="AB1163" i="1"/>
  <c r="AB1164" i="1"/>
  <c r="AB1165" i="1"/>
  <c r="AB1166" i="1"/>
  <c r="AB1167" i="1"/>
  <c r="AB1168" i="1"/>
  <c r="AB1169" i="1"/>
  <c r="AB1170" i="1"/>
  <c r="AB1171" i="1"/>
  <c r="AB1172" i="1"/>
  <c r="AB1173" i="1"/>
  <c r="AB1174" i="1"/>
  <c r="AB1175" i="1"/>
  <c r="AB1176" i="1"/>
  <c r="AB1177" i="1"/>
  <c r="AB1178" i="1"/>
  <c r="AB1179" i="1"/>
  <c r="AB1180" i="1"/>
  <c r="AB1181" i="1"/>
  <c r="AB1182" i="1"/>
  <c r="AB1183" i="1"/>
  <c r="AB1184" i="1"/>
  <c r="AB1185" i="1"/>
  <c r="AB1186" i="1"/>
  <c r="AB1187" i="1"/>
  <c r="AB1188" i="1"/>
  <c r="AB1189" i="1"/>
  <c r="AB1190" i="1"/>
  <c r="AB1191" i="1"/>
  <c r="AB1192" i="1"/>
  <c r="AB1193" i="1"/>
  <c r="AB1194" i="1"/>
  <c r="AB1195" i="1"/>
  <c r="AB1196" i="1"/>
  <c r="AB1197" i="1"/>
  <c r="AB1198" i="1"/>
  <c r="AB1199" i="1"/>
  <c r="AB1200" i="1"/>
  <c r="AB1201" i="1"/>
  <c r="AB1202" i="1"/>
  <c r="AB1203" i="1"/>
  <c r="AB1204" i="1"/>
  <c r="AB1205" i="1"/>
  <c r="AB1206" i="1"/>
  <c r="AB1207" i="1"/>
  <c r="AB1208" i="1"/>
  <c r="AB1209" i="1"/>
  <c r="AB1210" i="1"/>
  <c r="AB1211" i="1"/>
  <c r="AB1212" i="1"/>
  <c r="AB1213" i="1"/>
  <c r="AB1214" i="1"/>
  <c r="AB1215" i="1"/>
  <c r="AB1216" i="1"/>
  <c r="AB1217" i="1"/>
  <c r="AB1218" i="1"/>
  <c r="AB1219" i="1"/>
  <c r="AB1220" i="1"/>
  <c r="AB1221" i="1"/>
  <c r="AB1222" i="1"/>
  <c r="AB1223" i="1"/>
  <c r="AB1224" i="1"/>
  <c r="AB1225" i="1"/>
  <c r="AB1226" i="1"/>
  <c r="AB1227" i="1"/>
  <c r="AB1228" i="1"/>
  <c r="AB1229" i="1"/>
  <c r="AB1230" i="1"/>
  <c r="AB1231" i="1"/>
  <c r="AB1232" i="1"/>
  <c r="AB1233" i="1"/>
  <c r="AB1234" i="1"/>
  <c r="AB1235" i="1"/>
  <c r="AB1236" i="1"/>
  <c r="AB1237" i="1"/>
  <c r="AB1238" i="1"/>
  <c r="AB1239" i="1"/>
  <c r="AB1240" i="1"/>
  <c r="AB1241" i="1"/>
  <c r="AB1242" i="1"/>
  <c r="AB1243" i="1"/>
  <c r="AB1244" i="1"/>
  <c r="AB1245" i="1"/>
  <c r="AB1246" i="1"/>
  <c r="AB1247" i="1"/>
  <c r="AB1248" i="1"/>
  <c r="AB1249" i="1"/>
  <c r="AB1250" i="1"/>
  <c r="AB1251" i="1"/>
  <c r="AB1252" i="1"/>
  <c r="AB1253" i="1"/>
  <c r="AB1254" i="1"/>
  <c r="AB1255" i="1"/>
  <c r="AB1256" i="1"/>
  <c r="AB1257" i="1"/>
  <c r="AB1258" i="1"/>
  <c r="AB1259" i="1"/>
  <c r="AB1260" i="1"/>
  <c r="AB1261" i="1"/>
  <c r="AB1262" i="1"/>
  <c r="AB1263" i="1"/>
  <c r="AB1264" i="1"/>
  <c r="AB1265" i="1"/>
  <c r="AB1266" i="1"/>
  <c r="AB1267" i="1"/>
  <c r="AB1268" i="1"/>
  <c r="AB1269" i="1"/>
  <c r="AB1270" i="1"/>
  <c r="AB1271" i="1"/>
  <c r="AB1272" i="1"/>
  <c r="AB1273" i="1"/>
  <c r="AB1274" i="1"/>
  <c r="AB1275" i="1"/>
  <c r="AB1276" i="1"/>
  <c r="AB1277" i="1"/>
  <c r="AB1278" i="1"/>
  <c r="AB1279" i="1"/>
  <c r="AB1280" i="1"/>
  <c r="AB1281" i="1"/>
  <c r="AB1282" i="1"/>
  <c r="AB1283" i="1"/>
  <c r="AB1284" i="1"/>
  <c r="AB1285" i="1"/>
  <c r="AB1286" i="1"/>
  <c r="AB1287" i="1"/>
  <c r="AB1288" i="1"/>
  <c r="AB1289" i="1"/>
  <c r="AB1290" i="1"/>
  <c r="AB1291" i="1"/>
  <c r="AB1292" i="1"/>
  <c r="AB1293" i="1"/>
  <c r="AB1294" i="1"/>
  <c r="AB1295" i="1"/>
  <c r="AB1296" i="1"/>
  <c r="AB1297" i="1"/>
  <c r="AB1298" i="1"/>
  <c r="AB1299" i="1"/>
  <c r="AB1300" i="1"/>
  <c r="AB1301" i="1"/>
  <c r="AB1302" i="1"/>
  <c r="AB1303" i="1"/>
  <c r="AB1304" i="1"/>
  <c r="AB1305" i="1"/>
  <c r="AB1306" i="1"/>
  <c r="AB1307" i="1"/>
  <c r="AB1308" i="1"/>
  <c r="AB1309" i="1"/>
  <c r="AB1310" i="1"/>
  <c r="AB1311" i="1"/>
  <c r="AB1312" i="1"/>
  <c r="AB1313" i="1"/>
  <c r="AB1314" i="1"/>
  <c r="AB1315" i="1"/>
  <c r="AB1316" i="1"/>
  <c r="AB1317" i="1"/>
  <c r="AB1318" i="1"/>
  <c r="AB1319" i="1"/>
  <c r="AB1320" i="1"/>
  <c r="AB1321" i="1"/>
  <c r="AB1322" i="1"/>
  <c r="AB1323" i="1"/>
  <c r="AB1324" i="1"/>
  <c r="AB1325" i="1"/>
  <c r="AB1326" i="1"/>
  <c r="AB1327" i="1"/>
  <c r="AB1328" i="1"/>
  <c r="AB1329" i="1"/>
  <c r="AB1330" i="1"/>
  <c r="AB1331" i="1"/>
  <c r="AB1332" i="1"/>
  <c r="AB1333" i="1"/>
  <c r="AB1334" i="1"/>
  <c r="AB1335" i="1"/>
  <c r="AB1336" i="1"/>
  <c r="AB1337" i="1"/>
  <c r="AB1338" i="1"/>
  <c r="AB1339" i="1"/>
  <c r="AB1340" i="1"/>
  <c r="AB1341" i="1"/>
  <c r="AB1342" i="1"/>
  <c r="AB1343" i="1"/>
  <c r="AB1344" i="1"/>
  <c r="AB1345" i="1"/>
  <c r="AB1346" i="1"/>
  <c r="AB1347" i="1"/>
  <c r="AB1348" i="1"/>
  <c r="AB1349" i="1"/>
  <c r="AB1350" i="1"/>
  <c r="AB1351" i="1"/>
  <c r="AB1352" i="1"/>
  <c r="AB1353" i="1"/>
  <c r="AB1354" i="1"/>
  <c r="AB1355" i="1"/>
  <c r="AB1356" i="1"/>
  <c r="AB1357" i="1"/>
  <c r="AB1358" i="1"/>
  <c r="AB1359" i="1"/>
  <c r="AB1360" i="1"/>
  <c r="AB1361" i="1"/>
  <c r="AB1362" i="1"/>
  <c r="AB1363" i="1"/>
  <c r="AB1364" i="1"/>
  <c r="AB1365" i="1"/>
  <c r="AB1367" i="1"/>
  <c r="AB1368" i="1"/>
  <c r="AB1369" i="1"/>
  <c r="AB1370" i="1"/>
  <c r="AB1371" i="1"/>
  <c r="AB1372" i="1"/>
  <c r="AB1373" i="1"/>
  <c r="AB1374" i="1"/>
  <c r="AB1375" i="1"/>
  <c r="AB1376" i="1"/>
  <c r="AB1377" i="1"/>
  <c r="AB1378" i="1"/>
  <c r="AB1379" i="1"/>
  <c r="AB1380" i="1"/>
  <c r="AB1381" i="1"/>
  <c r="AB1382" i="1"/>
  <c r="AB1383" i="1"/>
  <c r="AB1384" i="1"/>
  <c r="AB1385" i="1"/>
  <c r="AB1386" i="1"/>
  <c r="AB1387" i="1"/>
  <c r="AB1388" i="1"/>
  <c r="AB1389" i="1"/>
  <c r="AB1390" i="1"/>
  <c r="AB1391" i="1"/>
  <c r="AB1392" i="1"/>
  <c r="AB1393" i="1"/>
  <c r="AB1394" i="1"/>
  <c r="AB1395" i="1"/>
  <c r="AB1396" i="1"/>
  <c r="AB1397" i="1"/>
  <c r="AB1398" i="1"/>
  <c r="AB1399" i="1"/>
  <c r="AB1400" i="1"/>
  <c r="AB1401" i="1"/>
  <c r="AB1402" i="1"/>
  <c r="AB1403" i="1"/>
  <c r="AB1404" i="1"/>
  <c r="AB1405" i="1"/>
  <c r="AB1406" i="1"/>
  <c r="AB1407" i="1"/>
  <c r="AB1408" i="1"/>
  <c r="AB1409" i="1"/>
  <c r="AB1410" i="1"/>
  <c r="AB1411" i="1"/>
  <c r="AB1412" i="1"/>
  <c r="AB1413" i="1"/>
  <c r="AB1414" i="1"/>
  <c r="AB1415" i="1"/>
  <c r="AB1416" i="1"/>
  <c r="AB1417" i="1"/>
  <c r="AB1418" i="1"/>
  <c r="AB1419" i="1"/>
  <c r="AB1420" i="1"/>
  <c r="AB1421" i="1"/>
  <c r="AB1422" i="1"/>
  <c r="AB1423" i="1"/>
  <c r="AB1424" i="1"/>
  <c r="AB1425" i="1"/>
  <c r="AB1426" i="1"/>
  <c r="AB1427" i="1"/>
  <c r="AB1428" i="1"/>
  <c r="AB1429" i="1"/>
  <c r="AB1430" i="1"/>
  <c r="AB1431" i="1"/>
  <c r="AB1432" i="1"/>
  <c r="AB1433" i="1"/>
  <c r="AB1434" i="1"/>
  <c r="AB1435" i="1"/>
  <c r="AB1436" i="1"/>
  <c r="AB1437" i="1"/>
  <c r="AB1438" i="1"/>
  <c r="AB1439" i="1"/>
  <c r="AB1440" i="1"/>
  <c r="AB1441" i="1"/>
  <c r="AB1442" i="1"/>
  <c r="AB1443" i="1"/>
  <c r="AB1444" i="1"/>
  <c r="AB1445" i="1"/>
  <c r="AB1446" i="1"/>
  <c r="AB1447" i="1"/>
  <c r="AB1448" i="1"/>
  <c r="AB1449" i="1"/>
  <c r="AB1450" i="1"/>
  <c r="AB1451" i="1"/>
  <c r="AB1452" i="1"/>
  <c r="AB1453" i="1"/>
  <c r="AB1454" i="1"/>
  <c r="AB1455" i="1"/>
  <c r="AB1456" i="1"/>
  <c r="AB1457" i="1"/>
  <c r="AB1458" i="1"/>
  <c r="AB1459" i="1"/>
  <c r="AB1460" i="1"/>
  <c r="AB1461" i="1"/>
  <c r="AB1462" i="1"/>
  <c r="AB1463" i="1"/>
  <c r="AB1464" i="1"/>
  <c r="AB1465" i="1"/>
  <c r="AB1466" i="1"/>
  <c r="AB1467" i="1"/>
  <c r="AB1468" i="1"/>
  <c r="AB1469" i="1"/>
  <c r="AB1470" i="1"/>
  <c r="AB1471" i="1"/>
  <c r="AB1472" i="1"/>
  <c r="AB1473" i="1"/>
  <c r="AB1474" i="1"/>
  <c r="AB1475" i="1"/>
  <c r="AB1476" i="1"/>
  <c r="AB1477" i="1"/>
  <c r="AB1478" i="1"/>
  <c r="AB1479" i="1"/>
  <c r="AB1480" i="1"/>
  <c r="AB1481" i="1"/>
  <c r="AB1482" i="1"/>
  <c r="AB1483" i="1"/>
  <c r="AB1484" i="1"/>
  <c r="AB1485" i="1"/>
  <c r="AB1486" i="1"/>
  <c r="AB1487" i="1"/>
  <c r="AB1488" i="1"/>
  <c r="AB1489" i="1"/>
  <c r="AB1490" i="1"/>
  <c r="AB1491" i="1"/>
  <c r="AB1492" i="1"/>
  <c r="AB1493" i="1"/>
  <c r="AB1494" i="1"/>
  <c r="AB1495" i="1"/>
  <c r="AB1496" i="1"/>
  <c r="AB1497" i="1"/>
  <c r="AB1498" i="1"/>
  <c r="AB1499" i="1"/>
  <c r="AB1500" i="1"/>
  <c r="AB1501" i="1"/>
  <c r="AB1502" i="1"/>
  <c r="AB1503" i="1"/>
  <c r="AB1504" i="1"/>
  <c r="AB1505" i="1"/>
  <c r="AB1506" i="1"/>
  <c r="AB1507" i="1"/>
  <c r="AB1508" i="1"/>
  <c r="AB1509" i="1"/>
  <c r="AB1510" i="1"/>
  <c r="AB1511" i="1"/>
  <c r="AB1512" i="1"/>
  <c r="AB1513" i="1"/>
  <c r="AB1514" i="1"/>
  <c r="AB1515" i="1"/>
  <c r="AB1516" i="1"/>
  <c r="AB1517" i="1"/>
  <c r="AB1518" i="1"/>
  <c r="AB1519" i="1"/>
  <c r="AB1520" i="1"/>
  <c r="AB1521" i="1"/>
  <c r="AB1522" i="1"/>
  <c r="AB1523" i="1"/>
  <c r="AB1524" i="1"/>
  <c r="AB1525" i="1"/>
  <c r="AB1526" i="1"/>
  <c r="AB1527" i="1"/>
  <c r="AB1528" i="1"/>
  <c r="AB1529" i="1"/>
  <c r="AB1530" i="1"/>
  <c r="AB1531" i="1"/>
  <c r="AB1532" i="1"/>
  <c r="AB1533" i="1"/>
  <c r="AB1534" i="1"/>
  <c r="AB1535" i="1"/>
  <c r="AB1536" i="1"/>
  <c r="AB1537" i="1"/>
  <c r="AB1538" i="1"/>
  <c r="AB1539" i="1"/>
  <c r="AB1540" i="1"/>
  <c r="AB1541" i="1"/>
  <c r="AB1542" i="1"/>
  <c r="AB1543" i="1"/>
  <c r="AB1544" i="1"/>
  <c r="AB1545" i="1"/>
  <c r="AB1546" i="1"/>
  <c r="AB1547" i="1"/>
  <c r="AB1548" i="1"/>
  <c r="AB1549" i="1"/>
  <c r="AB1550" i="1"/>
  <c r="AB1551" i="1"/>
  <c r="AB1552" i="1"/>
  <c r="AB1553" i="1"/>
  <c r="AB1554" i="1"/>
  <c r="AB1555" i="1"/>
  <c r="AB1556" i="1"/>
  <c r="AB1557" i="1"/>
  <c r="AB1558" i="1"/>
  <c r="AB1559" i="1"/>
  <c r="AB1560" i="1"/>
  <c r="AB1561" i="1"/>
  <c r="AB1562" i="1"/>
  <c r="AB1563" i="1"/>
  <c r="AB1564" i="1"/>
  <c r="AB1565" i="1"/>
  <c r="AB1566" i="1"/>
  <c r="AB1567" i="1"/>
  <c r="AB1568" i="1"/>
  <c r="AB1569" i="1"/>
  <c r="AB1570" i="1"/>
  <c r="AB1571" i="1"/>
  <c r="AB1572" i="1"/>
  <c r="AB1573" i="1"/>
  <c r="AB1574" i="1"/>
  <c r="AB1575" i="1"/>
  <c r="AB1576" i="1"/>
  <c r="AB1577" i="1"/>
  <c r="AB1578" i="1"/>
  <c r="AB1579" i="1"/>
  <c r="AB1580" i="1"/>
  <c r="AB1581" i="1"/>
  <c r="AB1582" i="1"/>
  <c r="AB1583" i="1"/>
  <c r="AB1584" i="1"/>
  <c r="AB1585" i="1"/>
  <c r="AB1586" i="1"/>
  <c r="AB1587" i="1"/>
  <c r="AB1588" i="1"/>
  <c r="AB1589" i="1"/>
  <c r="AB1590" i="1"/>
  <c r="AB1591" i="1"/>
  <c r="AB1592" i="1"/>
  <c r="AB1593" i="1"/>
  <c r="AB1594" i="1"/>
  <c r="AB1595" i="1"/>
  <c r="AB1596" i="1"/>
  <c r="AB1597" i="1"/>
  <c r="AB1598" i="1"/>
  <c r="AB1599" i="1"/>
  <c r="AB1600" i="1"/>
  <c r="AB1601" i="1"/>
  <c r="AB1602" i="1"/>
  <c r="AB1603" i="1"/>
  <c r="AB1604" i="1"/>
  <c r="AB1605" i="1"/>
  <c r="AB1606" i="1"/>
  <c r="AB1607" i="1"/>
  <c r="AB1608" i="1"/>
  <c r="AB1609" i="1"/>
  <c r="AB1610" i="1"/>
  <c r="AB1611" i="1"/>
  <c r="AB1612" i="1"/>
  <c r="AB1613" i="1"/>
  <c r="AB1614" i="1"/>
  <c r="AB1615" i="1"/>
  <c r="AB1616" i="1"/>
  <c r="AB1617" i="1"/>
  <c r="AB1618" i="1"/>
  <c r="AB1619" i="1"/>
  <c r="AB1620" i="1"/>
  <c r="AB1621" i="1"/>
  <c r="AB1622" i="1"/>
  <c r="AB1623" i="1"/>
  <c r="AB1624" i="1"/>
  <c r="AB1625" i="1"/>
  <c r="AB1626" i="1"/>
  <c r="AB1627" i="1"/>
  <c r="AB1628" i="1"/>
  <c r="AB1629" i="1"/>
  <c r="AB1630" i="1"/>
  <c r="AB1631" i="1"/>
  <c r="AB1632" i="1"/>
  <c r="AB1633" i="1"/>
  <c r="AB1634" i="1"/>
  <c r="AB1635" i="1"/>
  <c r="AB1636" i="1"/>
  <c r="AB1637" i="1"/>
  <c r="AB1638" i="1"/>
  <c r="AB1639" i="1"/>
  <c r="AB1640" i="1"/>
  <c r="AB1641" i="1"/>
  <c r="AB1642" i="1"/>
  <c r="AB1643" i="1"/>
  <c r="AB1644" i="1"/>
  <c r="AB1645" i="1"/>
  <c r="AB1646" i="1"/>
  <c r="AB1647" i="1"/>
  <c r="AB1648" i="1"/>
  <c r="AB1649" i="1"/>
  <c r="AB1650" i="1"/>
  <c r="AB1651" i="1"/>
  <c r="AB1652" i="1"/>
  <c r="AB1653" i="1"/>
  <c r="AB1654" i="1"/>
  <c r="AB1655" i="1"/>
  <c r="AB1656" i="1"/>
  <c r="AB1657" i="1"/>
  <c r="AB1658" i="1"/>
  <c r="AB1659" i="1"/>
  <c r="AB1660" i="1"/>
  <c r="AB1661" i="1"/>
  <c r="AB1662" i="1"/>
  <c r="AB1663" i="1"/>
  <c r="AB1664" i="1"/>
  <c r="AB1665" i="1"/>
  <c r="AB1666" i="1"/>
  <c r="AB1667" i="1"/>
  <c r="AB1668" i="1"/>
  <c r="AB1669" i="1"/>
  <c r="AB1670" i="1"/>
  <c r="AB1671" i="1"/>
  <c r="AB1672" i="1"/>
  <c r="AB1673" i="1"/>
  <c r="AB1674" i="1"/>
  <c r="AB1675" i="1"/>
  <c r="AB1676" i="1"/>
  <c r="AB1677" i="1"/>
  <c r="AB1678" i="1"/>
  <c r="AB1679" i="1"/>
  <c r="AB1680" i="1"/>
  <c r="AB1681" i="1"/>
  <c r="AB1682" i="1"/>
  <c r="AB1683" i="1"/>
  <c r="AB1684" i="1"/>
  <c r="AB1685" i="1"/>
  <c r="AB1686" i="1"/>
  <c r="AB1687" i="1"/>
  <c r="AB1688" i="1"/>
  <c r="AB1689" i="1"/>
  <c r="AB1690" i="1"/>
  <c r="AB1691" i="1"/>
  <c r="AB1692" i="1"/>
  <c r="AB1693" i="1"/>
  <c r="AB1694" i="1"/>
  <c r="AB1695" i="1"/>
  <c r="AB1696" i="1"/>
  <c r="AB1697" i="1"/>
  <c r="AB1698" i="1"/>
  <c r="AB1699" i="1"/>
  <c r="AB1700" i="1"/>
  <c r="AB1701" i="1"/>
  <c r="AB1702" i="1"/>
  <c r="AB1703" i="1"/>
  <c r="AB1704" i="1"/>
  <c r="AB1705" i="1"/>
  <c r="AB1706" i="1"/>
  <c r="AB1707" i="1"/>
  <c r="AB1708" i="1"/>
  <c r="AB1709" i="1"/>
  <c r="AB1710" i="1"/>
  <c r="AB1711" i="1"/>
  <c r="AB1712" i="1"/>
  <c r="AB1713" i="1"/>
  <c r="AB1714" i="1"/>
  <c r="AB1715" i="1"/>
  <c r="AB1716" i="1"/>
  <c r="AB1717" i="1"/>
  <c r="AB1718" i="1"/>
  <c r="AB1719" i="1"/>
  <c r="AB1720" i="1"/>
  <c r="AB1721" i="1"/>
  <c r="AB1722" i="1"/>
  <c r="AB1723" i="1"/>
  <c r="AB1724" i="1"/>
  <c r="AB1725" i="1"/>
  <c r="AB1726" i="1"/>
  <c r="AB1727" i="1"/>
  <c r="AB1728" i="1"/>
  <c r="AB1729" i="1"/>
  <c r="AB1730" i="1"/>
  <c r="AB1731" i="1"/>
  <c r="AB1732" i="1"/>
  <c r="AB1733" i="1"/>
  <c r="AB1734" i="1"/>
  <c r="AB1735" i="1"/>
  <c r="AB1736" i="1"/>
  <c r="AB1737" i="1"/>
  <c r="AB1738" i="1"/>
  <c r="AB1739" i="1"/>
  <c r="AB1740" i="1"/>
  <c r="AB1741" i="1"/>
  <c r="AB1742" i="1"/>
  <c r="AB1743" i="1"/>
  <c r="AB1744" i="1"/>
  <c r="AB1745" i="1"/>
  <c r="AB1746" i="1"/>
  <c r="AB1747" i="1"/>
  <c r="AB1748" i="1"/>
  <c r="AB1749" i="1"/>
  <c r="AB1750" i="1"/>
  <c r="AB1751" i="1"/>
  <c r="AB1752" i="1"/>
  <c r="AB1753" i="1"/>
  <c r="AB1754" i="1"/>
  <c r="AB1755" i="1"/>
  <c r="AB1756" i="1"/>
  <c r="AB1757" i="1"/>
  <c r="AB1758" i="1"/>
  <c r="AB1759" i="1"/>
  <c r="AB1760" i="1"/>
  <c r="AB1761" i="1"/>
  <c r="AB1762" i="1"/>
  <c r="AB1763" i="1"/>
  <c r="AB1764" i="1"/>
  <c r="AB1765" i="1"/>
  <c r="AB1766" i="1"/>
  <c r="AB1767" i="1"/>
  <c r="AB1768" i="1"/>
  <c r="AB1769" i="1"/>
  <c r="AB1770" i="1"/>
  <c r="AB1771" i="1"/>
  <c r="AB1772" i="1"/>
  <c r="AB1773" i="1"/>
  <c r="AB1774" i="1"/>
  <c r="AB1775" i="1"/>
  <c r="AB1776" i="1"/>
  <c r="AB1777" i="1"/>
  <c r="AB1778" i="1"/>
  <c r="AB1779" i="1"/>
  <c r="AB1780" i="1"/>
  <c r="AB1781" i="1"/>
  <c r="AB1782" i="1"/>
  <c r="AB1783" i="1"/>
  <c r="AB1784" i="1"/>
  <c r="AB1785" i="1"/>
  <c r="AB1786" i="1"/>
  <c r="AB1787" i="1"/>
  <c r="AB1788" i="1"/>
  <c r="AB1789" i="1"/>
  <c r="AB1790" i="1"/>
  <c r="AB1791" i="1"/>
  <c r="AB1792" i="1"/>
  <c r="AB1793" i="1"/>
  <c r="AB1794" i="1"/>
  <c r="AB1795" i="1"/>
  <c r="AB1796" i="1"/>
  <c r="AB1797" i="1"/>
  <c r="AB1798" i="1"/>
  <c r="AB1799" i="1"/>
  <c r="AB1800" i="1"/>
  <c r="AB1801" i="1"/>
  <c r="AB1802" i="1"/>
  <c r="AB1803" i="1"/>
  <c r="AB1804" i="1"/>
  <c r="AB1805" i="1"/>
  <c r="AB1806" i="1"/>
  <c r="AB1807" i="1"/>
  <c r="AB1808" i="1"/>
  <c r="AB1809" i="1"/>
  <c r="AB1810" i="1"/>
  <c r="AB1811" i="1"/>
  <c r="AB1812" i="1"/>
  <c r="AB1813" i="1"/>
  <c r="AB1814" i="1"/>
  <c r="AB1816" i="1"/>
  <c r="AB1817" i="1"/>
  <c r="AB1818" i="1"/>
  <c r="AB1819" i="1"/>
  <c r="AB1820" i="1"/>
  <c r="AB1821" i="1"/>
  <c r="AB1822" i="1"/>
  <c r="AB1823" i="1"/>
  <c r="AB1824" i="1"/>
  <c r="AB1825" i="1"/>
  <c r="AB1826" i="1"/>
  <c r="AB1827" i="1"/>
  <c r="AB1828" i="1"/>
  <c r="AB1829" i="1"/>
  <c r="AB1830" i="1"/>
  <c r="AB1831" i="1"/>
  <c r="AB1832" i="1"/>
  <c r="AB1833" i="1"/>
  <c r="AB1834" i="1"/>
  <c r="AB1835" i="1"/>
  <c r="AB1836" i="1"/>
  <c r="AB1837" i="1"/>
  <c r="AB1838" i="1"/>
  <c r="AB1839" i="1"/>
  <c r="AB1840" i="1"/>
  <c r="AB1841" i="1"/>
  <c r="AB1842" i="1"/>
  <c r="AB1843" i="1"/>
  <c r="AB1844" i="1"/>
  <c r="AB1845" i="1"/>
  <c r="AB1846" i="1"/>
  <c r="AB1847" i="1"/>
  <c r="AB1848" i="1"/>
  <c r="AB1849" i="1"/>
  <c r="AB1850" i="1"/>
  <c r="AB1851" i="1"/>
  <c r="AB1852" i="1"/>
  <c r="AB1853" i="1"/>
  <c r="AB1854" i="1"/>
  <c r="AB1855" i="1"/>
  <c r="AB1856" i="1"/>
  <c r="AB1857" i="1"/>
  <c r="AB1858" i="1"/>
  <c r="AB1859" i="1"/>
  <c r="AB1860" i="1"/>
  <c r="AB1861" i="1"/>
  <c r="AB1862" i="1"/>
  <c r="AB1863" i="1"/>
  <c r="AB1864" i="1"/>
  <c r="AB1865" i="1"/>
  <c r="AB1866" i="1"/>
  <c r="AB1867" i="1"/>
  <c r="AB1868" i="1"/>
  <c r="AB1869" i="1"/>
  <c r="AB1870" i="1"/>
  <c r="AB1871" i="1"/>
  <c r="AB1872" i="1"/>
  <c r="AB1873" i="1"/>
  <c r="AB1874" i="1"/>
  <c r="AB1875" i="1"/>
  <c r="AB1876" i="1"/>
  <c r="AB1877" i="1"/>
  <c r="AB1878" i="1"/>
  <c r="AB1879" i="1"/>
  <c r="AB1880" i="1"/>
  <c r="AB1881" i="1"/>
  <c r="AB1882" i="1"/>
  <c r="AB1883" i="1"/>
  <c r="AB1884" i="1"/>
  <c r="AB1885" i="1"/>
  <c r="AB1886" i="1"/>
  <c r="AB1887" i="1"/>
  <c r="AB1888" i="1"/>
  <c r="AB1889" i="1"/>
  <c r="AB1890" i="1"/>
  <c r="AB1891" i="1"/>
  <c r="AB1892" i="1"/>
  <c r="AB1893" i="1"/>
  <c r="AB1894" i="1"/>
  <c r="AB1895" i="1"/>
  <c r="AB1896" i="1"/>
  <c r="AB1897" i="1"/>
  <c r="AB1898" i="1"/>
  <c r="AB1899" i="1"/>
  <c r="AB1900" i="1"/>
  <c r="AB1901" i="1"/>
  <c r="AB1902" i="1"/>
  <c r="AB1903" i="1"/>
  <c r="AB1904" i="1"/>
  <c r="AB1905" i="1"/>
  <c r="AB1906" i="1"/>
  <c r="AB1907" i="1"/>
  <c r="AB1908" i="1"/>
  <c r="AB1909" i="1"/>
  <c r="AB1910" i="1"/>
  <c r="AB1911" i="1"/>
  <c r="AB1912" i="1"/>
  <c r="AB1913" i="1"/>
  <c r="AB1914" i="1"/>
  <c r="AB1915" i="1"/>
  <c r="AB1916" i="1"/>
  <c r="AB1918" i="1"/>
  <c r="AB1919" i="1"/>
  <c r="AB1920" i="1"/>
  <c r="AB1921" i="1"/>
  <c r="AB1922" i="1"/>
  <c r="AB1923" i="1"/>
  <c r="AB1924" i="1"/>
  <c r="AB1925" i="1"/>
  <c r="AB1926" i="1"/>
  <c r="AB1927" i="1"/>
  <c r="AB1928" i="1"/>
  <c r="AB1929" i="1"/>
  <c r="AB1930" i="1"/>
  <c r="AB1931" i="1"/>
  <c r="AB1932" i="1"/>
  <c r="AB1933" i="1"/>
  <c r="AB1934" i="1"/>
  <c r="AB1935" i="1"/>
  <c r="AB1936" i="1"/>
  <c r="AB1937" i="1"/>
  <c r="AB1938" i="1"/>
  <c r="AB1939" i="1"/>
  <c r="AB1940" i="1"/>
  <c r="AB1941" i="1"/>
  <c r="AB1942" i="1"/>
  <c r="AB1943" i="1"/>
  <c r="AB1944" i="1"/>
  <c r="AB1945" i="1"/>
  <c r="AB1946" i="1"/>
  <c r="AB1947" i="1"/>
  <c r="AB1948" i="1"/>
  <c r="AB1949" i="1"/>
  <c r="AB1950" i="1"/>
  <c r="AB1951" i="1"/>
  <c r="AB1952" i="1"/>
  <c r="AB1953" i="1"/>
  <c r="AB1954" i="1"/>
  <c r="AB1955" i="1"/>
  <c r="AB1956" i="1"/>
  <c r="AB1957" i="1"/>
  <c r="AB1958" i="1"/>
  <c r="AB1959" i="1"/>
  <c r="AB1960" i="1"/>
  <c r="AB1961" i="1"/>
  <c r="AB1962" i="1"/>
  <c r="AB1963" i="1"/>
  <c r="AB1964" i="1"/>
  <c r="AB1965" i="1"/>
  <c r="AB1966" i="1"/>
  <c r="AB1967" i="1"/>
  <c r="AB1968" i="1"/>
  <c r="AB1969" i="1"/>
  <c r="AB1970" i="1"/>
  <c r="AB1971" i="1"/>
  <c r="AB1972" i="1"/>
  <c r="AB1973" i="1"/>
  <c r="AB1974" i="1"/>
  <c r="AB1975" i="1"/>
  <c r="AB1976" i="1"/>
  <c r="AB1977" i="1"/>
  <c r="AB1978" i="1"/>
  <c r="AB1979" i="1"/>
  <c r="AB1980" i="1"/>
  <c r="AB1981" i="1"/>
  <c r="AB1982" i="1"/>
  <c r="AB1983" i="1"/>
  <c r="AB1984" i="1"/>
  <c r="AB1985" i="1"/>
  <c r="AB1986" i="1"/>
  <c r="AB1987" i="1"/>
  <c r="AB1988" i="1"/>
  <c r="AB1989" i="1"/>
  <c r="AB1990" i="1"/>
  <c r="AB1991" i="1"/>
  <c r="AB1992" i="1"/>
  <c r="AB1993" i="1"/>
  <c r="AB1994" i="1"/>
  <c r="AB1995" i="1"/>
  <c r="AB1996" i="1"/>
  <c r="AB1997" i="1"/>
  <c r="AB1998" i="1"/>
  <c r="AB1999" i="1"/>
  <c r="AB2000" i="1"/>
  <c r="AB2001" i="1"/>
  <c r="AB2002" i="1"/>
  <c r="AB2003" i="1"/>
  <c r="AB2004" i="1"/>
  <c r="AB2005" i="1"/>
  <c r="AB2006" i="1"/>
  <c r="AB2007" i="1"/>
  <c r="AB2008" i="1"/>
  <c r="AB2009" i="1"/>
  <c r="AB2010" i="1"/>
  <c r="AB2011" i="1"/>
  <c r="AB2012" i="1"/>
  <c r="AB2013" i="1"/>
  <c r="AB2014" i="1"/>
  <c r="AB2015" i="1"/>
  <c r="AB2016" i="1"/>
  <c r="AB2017" i="1"/>
  <c r="AB2018" i="1"/>
  <c r="AB2019" i="1"/>
  <c r="AB2020" i="1"/>
  <c r="AB2021" i="1"/>
  <c r="AB2022" i="1"/>
  <c r="AB2023" i="1"/>
  <c r="AB2024" i="1"/>
  <c r="AB2025" i="1"/>
  <c r="AB2026" i="1"/>
  <c r="AB2027" i="1"/>
  <c r="AB2028" i="1"/>
  <c r="AB2029" i="1"/>
  <c r="AB2030" i="1"/>
  <c r="AB2031" i="1"/>
  <c r="AB2032" i="1"/>
  <c r="AB2033" i="1"/>
  <c r="AB2034" i="1"/>
  <c r="AB2035" i="1"/>
  <c r="AB2036" i="1"/>
  <c r="AB2037" i="1"/>
  <c r="AB2038" i="1"/>
  <c r="AB2039" i="1"/>
  <c r="AB2040" i="1"/>
  <c r="AB2041" i="1"/>
  <c r="AB2042" i="1"/>
  <c r="AB2043" i="1"/>
  <c r="AB2044" i="1"/>
  <c r="AB2045" i="1"/>
  <c r="AB2046" i="1"/>
  <c r="AB2047" i="1"/>
  <c r="AB2048" i="1"/>
  <c r="AB2049" i="1"/>
  <c r="AB2050" i="1"/>
  <c r="AB2051" i="1"/>
  <c r="AB2052" i="1"/>
  <c r="AB2053" i="1"/>
  <c r="AB2054" i="1"/>
  <c r="AB2055" i="1"/>
  <c r="AB2056" i="1"/>
  <c r="AB2057" i="1"/>
  <c r="AB2058" i="1"/>
  <c r="AB2059" i="1"/>
  <c r="AB2060" i="1"/>
  <c r="AB2061" i="1"/>
  <c r="AB2062" i="1"/>
  <c r="AB2063" i="1"/>
  <c r="AB2064" i="1"/>
  <c r="AB2065" i="1"/>
  <c r="AB2066" i="1"/>
  <c r="AB2067" i="1"/>
  <c r="AB2068" i="1"/>
  <c r="AB2069" i="1"/>
  <c r="AB2070" i="1"/>
  <c r="AB2071" i="1"/>
  <c r="AB2072" i="1"/>
  <c r="AB2073" i="1"/>
  <c r="AB2074" i="1"/>
  <c r="AB2075" i="1"/>
  <c r="AB2076" i="1"/>
  <c r="AB2077" i="1"/>
  <c r="AB2078" i="1"/>
  <c r="AB2079" i="1"/>
  <c r="AB2080" i="1"/>
  <c r="AB2081" i="1"/>
  <c r="AB2082" i="1"/>
  <c r="AB2083" i="1"/>
  <c r="AB2084" i="1"/>
  <c r="AB2085" i="1"/>
  <c r="AB2086" i="1"/>
  <c r="AB2087" i="1"/>
  <c r="AB2088" i="1"/>
  <c r="AB2089" i="1"/>
  <c r="AB2090" i="1"/>
  <c r="AB2091" i="1"/>
  <c r="AB2092" i="1"/>
  <c r="AB2093" i="1"/>
  <c r="AB2094" i="1"/>
  <c r="AB2095" i="1"/>
  <c r="AB2096" i="1"/>
  <c r="AB2097" i="1"/>
  <c r="AB2098" i="1"/>
  <c r="AB2099" i="1"/>
  <c r="AB2100" i="1"/>
  <c r="AB2101" i="1"/>
  <c r="AB2102" i="1"/>
  <c r="AB2103" i="1"/>
  <c r="AB2104" i="1"/>
  <c r="AB2105" i="1"/>
  <c r="AB2106" i="1"/>
  <c r="AB2107" i="1"/>
  <c r="AB2108" i="1"/>
  <c r="AB2109" i="1"/>
  <c r="AB2110" i="1"/>
  <c r="AB2111" i="1"/>
  <c r="AB2112" i="1"/>
  <c r="AB2113" i="1"/>
  <c r="AB2114" i="1"/>
  <c r="AB2115" i="1"/>
  <c r="AB2116" i="1"/>
  <c r="AB2117" i="1"/>
  <c r="AB2118" i="1"/>
  <c r="AB2119" i="1"/>
  <c r="AB2120" i="1"/>
  <c r="AB2121" i="1"/>
  <c r="AB2122" i="1"/>
  <c r="AB2123" i="1"/>
  <c r="AB2124" i="1"/>
  <c r="AB2125" i="1"/>
  <c r="AB2126" i="1"/>
  <c r="AB2127" i="1"/>
  <c r="AB2128" i="1"/>
  <c r="AB2129" i="1"/>
  <c r="AB2130" i="1"/>
  <c r="AB2131" i="1"/>
  <c r="AB2132" i="1"/>
  <c r="AB2133" i="1"/>
  <c r="AB2134" i="1"/>
  <c r="AB2135" i="1"/>
  <c r="AB2136" i="1"/>
  <c r="AB2137" i="1"/>
  <c r="AB2138" i="1"/>
  <c r="AB2139" i="1"/>
  <c r="AB2140" i="1"/>
  <c r="AB2141" i="1"/>
  <c r="AB2142" i="1"/>
  <c r="AB2143" i="1"/>
  <c r="AB2144" i="1"/>
  <c r="AB2145" i="1"/>
  <c r="AB2146" i="1"/>
  <c r="AB2147" i="1"/>
  <c r="AB2148" i="1"/>
  <c r="AB2149" i="1"/>
  <c r="AB2150" i="1"/>
  <c r="AB2151" i="1"/>
  <c r="AB2152" i="1"/>
  <c r="AB2153" i="1"/>
  <c r="AB2154" i="1"/>
  <c r="AB2155" i="1"/>
  <c r="AB2156" i="1"/>
  <c r="AB2157" i="1"/>
  <c r="AB2158" i="1"/>
  <c r="AB2159" i="1"/>
  <c r="AB2160" i="1"/>
  <c r="AB2161" i="1"/>
  <c r="AB2162" i="1"/>
  <c r="AB2163" i="1"/>
  <c r="AB2164" i="1"/>
  <c r="AB2165" i="1"/>
  <c r="AB2166" i="1"/>
  <c r="AB2167" i="1"/>
  <c r="AB2168" i="1"/>
  <c r="AB2169" i="1"/>
  <c r="AB2170" i="1"/>
  <c r="AB2171" i="1"/>
  <c r="AB2172" i="1"/>
  <c r="AB2173" i="1"/>
  <c r="AB2174" i="1"/>
  <c r="AB2175" i="1"/>
  <c r="AB2176" i="1"/>
  <c r="AB2177" i="1"/>
  <c r="AB2178" i="1"/>
  <c r="AB2179" i="1"/>
  <c r="AB2180" i="1"/>
  <c r="AB2181" i="1"/>
  <c r="AB2182" i="1"/>
  <c r="AB2183" i="1"/>
  <c r="AB2184" i="1"/>
  <c r="AB2185" i="1"/>
  <c r="AB2186" i="1"/>
  <c r="AB2187" i="1"/>
  <c r="AB2188" i="1"/>
  <c r="AB2189" i="1"/>
  <c r="AB2190" i="1"/>
  <c r="AB2191" i="1"/>
  <c r="AB2192" i="1"/>
  <c r="AB2193" i="1"/>
  <c r="AB2194" i="1"/>
  <c r="AB2195" i="1"/>
  <c r="AB2196" i="1"/>
  <c r="AB2197" i="1"/>
  <c r="AB2198" i="1"/>
  <c r="AB2199" i="1"/>
  <c r="AB2200" i="1"/>
  <c r="AB2201" i="1"/>
  <c r="AB2202" i="1"/>
  <c r="AB2203" i="1"/>
  <c r="AB2204" i="1"/>
  <c r="AB2205" i="1"/>
  <c r="AB2206" i="1"/>
  <c r="AB2207" i="1"/>
  <c r="AB2208" i="1"/>
  <c r="AB2209" i="1"/>
  <c r="AB2210" i="1"/>
  <c r="AB2211" i="1"/>
  <c r="AB2212" i="1"/>
  <c r="AB2213" i="1"/>
  <c r="AB2214" i="1"/>
  <c r="AB2215" i="1"/>
  <c r="AB2216" i="1"/>
  <c r="AB2217" i="1"/>
  <c r="AB2218" i="1"/>
  <c r="AB2219" i="1"/>
  <c r="AB2220" i="1"/>
  <c r="AB2221" i="1"/>
  <c r="AB2222" i="1"/>
  <c r="AB2223" i="1"/>
  <c r="AB2224" i="1"/>
  <c r="AB2225" i="1"/>
  <c r="AB2226" i="1"/>
  <c r="AB2227" i="1"/>
  <c r="AB2228" i="1"/>
  <c r="AB2229" i="1"/>
  <c r="AB2230" i="1"/>
  <c r="AB2231" i="1"/>
  <c r="AB2232" i="1"/>
  <c r="AB2233" i="1"/>
  <c r="AB2234" i="1"/>
  <c r="AB2235" i="1"/>
  <c r="AB2236" i="1"/>
  <c r="AB2237" i="1"/>
  <c r="AB2238" i="1"/>
  <c r="AB2239" i="1"/>
  <c r="AB2240" i="1"/>
  <c r="AB2241" i="1"/>
  <c r="AB2242" i="1"/>
  <c r="AB2243" i="1"/>
  <c r="AB2244" i="1"/>
  <c r="AB2245" i="1"/>
  <c r="AB2246" i="1"/>
  <c r="AB2247" i="1"/>
  <c r="AB2248" i="1"/>
  <c r="AB2249" i="1"/>
  <c r="AB2250" i="1"/>
  <c r="AB2251" i="1"/>
  <c r="AB2252" i="1"/>
  <c r="AB2253" i="1"/>
  <c r="AB2254" i="1"/>
  <c r="AB2255" i="1"/>
  <c r="AB2256" i="1"/>
  <c r="AB2257" i="1"/>
  <c r="AB2258" i="1"/>
  <c r="AB2259" i="1"/>
  <c r="AB2260" i="1"/>
  <c r="AB2261" i="1"/>
  <c r="AB2262" i="1"/>
  <c r="AB2263" i="1"/>
  <c r="AB2264" i="1"/>
  <c r="AB2265" i="1"/>
  <c r="AB2266" i="1"/>
  <c r="AB2267" i="1"/>
  <c r="AB2268" i="1"/>
  <c r="AB2269" i="1"/>
  <c r="AB2270" i="1"/>
  <c r="AB2271" i="1"/>
  <c r="AB2272" i="1"/>
  <c r="AB2273" i="1"/>
  <c r="AB2274" i="1"/>
  <c r="AB2275" i="1"/>
  <c r="AB2276" i="1"/>
  <c r="AB2277" i="1"/>
  <c r="AB2278" i="1"/>
  <c r="AB2279" i="1"/>
  <c r="AB2280" i="1"/>
  <c r="AB2281" i="1"/>
  <c r="AB2282" i="1"/>
  <c r="AB2283" i="1"/>
  <c r="AB2284" i="1"/>
  <c r="AB2285" i="1"/>
  <c r="AB2286" i="1"/>
  <c r="AB2287" i="1"/>
  <c r="AB2288" i="1"/>
  <c r="AB2289" i="1"/>
  <c r="AB2290" i="1"/>
  <c r="AB2291" i="1"/>
  <c r="AB2292" i="1"/>
  <c r="AB2293" i="1"/>
  <c r="AB2294" i="1"/>
  <c r="AB2295" i="1"/>
  <c r="AB2296" i="1"/>
  <c r="AB2297" i="1"/>
  <c r="AB2298" i="1"/>
  <c r="AB2299" i="1"/>
  <c r="AB2300" i="1"/>
  <c r="AB2301" i="1"/>
  <c r="AB2302" i="1"/>
  <c r="AB2303" i="1"/>
  <c r="AB2304" i="1"/>
  <c r="AB2305" i="1"/>
  <c r="AB2306" i="1"/>
  <c r="AB2307" i="1"/>
  <c r="AB2308" i="1"/>
  <c r="AB2309" i="1"/>
  <c r="AB2310" i="1"/>
  <c r="AB2311" i="1"/>
  <c r="AB2312" i="1"/>
  <c r="AB2313" i="1"/>
  <c r="AB2314" i="1"/>
  <c r="AB2315" i="1"/>
  <c r="AB2316" i="1"/>
  <c r="AB2317" i="1"/>
  <c r="AB2318" i="1"/>
  <c r="AB2319" i="1"/>
  <c r="AB2320" i="1"/>
  <c r="AB2321" i="1"/>
  <c r="AB2322" i="1"/>
  <c r="AB2323" i="1"/>
  <c r="AB2324" i="1"/>
  <c r="AB2325" i="1"/>
  <c r="AB2326" i="1"/>
  <c r="AB2327" i="1"/>
  <c r="AB2328" i="1"/>
  <c r="AB2329" i="1"/>
  <c r="AB2330" i="1"/>
  <c r="AB2331" i="1"/>
  <c r="AB2332" i="1"/>
  <c r="AB2333" i="1"/>
  <c r="AB2334" i="1"/>
  <c r="AB2335" i="1"/>
  <c r="AB2336" i="1"/>
  <c r="AB2337" i="1"/>
  <c r="AB2338" i="1"/>
  <c r="AB2339" i="1"/>
  <c r="AB2340" i="1"/>
  <c r="AB2341" i="1"/>
  <c r="AB2342" i="1"/>
  <c r="AB2343" i="1"/>
  <c r="AB2344" i="1"/>
  <c r="AB2345" i="1"/>
  <c r="AB2346" i="1"/>
  <c r="AB2347" i="1"/>
  <c r="AB2348" i="1"/>
  <c r="AB2349" i="1"/>
  <c r="AB2350" i="1"/>
  <c r="AB2351" i="1"/>
  <c r="AB2352" i="1"/>
  <c r="AB2353" i="1"/>
  <c r="AB2354" i="1"/>
  <c r="AB2355" i="1"/>
  <c r="AB2356" i="1"/>
  <c r="AB2357" i="1"/>
  <c r="AB2358" i="1"/>
  <c r="AB2359" i="1"/>
  <c r="AB2360" i="1"/>
  <c r="AB2361" i="1"/>
  <c r="AB2362" i="1"/>
  <c r="AB2363" i="1"/>
  <c r="AB2364" i="1"/>
  <c r="AB2365" i="1"/>
  <c r="AB2366" i="1"/>
  <c r="AB2367" i="1"/>
  <c r="AB2368" i="1"/>
  <c r="AB2369" i="1"/>
  <c r="AB2370" i="1"/>
  <c r="AB2371" i="1"/>
  <c r="AB2372" i="1"/>
  <c r="AB2373" i="1"/>
  <c r="AB2374" i="1"/>
  <c r="AB2375" i="1"/>
  <c r="AB2376" i="1"/>
  <c r="AB2377" i="1"/>
  <c r="AB2378" i="1"/>
  <c r="AB2379" i="1"/>
  <c r="AB2380" i="1"/>
  <c r="AB2381" i="1"/>
  <c r="AB2382" i="1"/>
  <c r="AB2383" i="1"/>
  <c r="AB2384" i="1"/>
  <c r="AB2385" i="1"/>
  <c r="AB2386" i="1"/>
  <c r="AB2387" i="1"/>
  <c r="AB2388" i="1"/>
  <c r="AB2389" i="1"/>
  <c r="AB2390" i="1"/>
  <c r="AB2391" i="1"/>
  <c r="AB2392" i="1"/>
  <c r="AB2393" i="1"/>
  <c r="AB2394" i="1"/>
  <c r="AB2395" i="1"/>
  <c r="AB2396" i="1"/>
  <c r="AB2397" i="1"/>
  <c r="AB2398" i="1"/>
  <c r="AB2399" i="1"/>
  <c r="AB2400" i="1"/>
  <c r="AB2401" i="1"/>
  <c r="AB2402" i="1"/>
  <c r="AB2403" i="1"/>
  <c r="AB2404" i="1"/>
  <c r="AB2405" i="1"/>
  <c r="AB2406" i="1"/>
  <c r="AB2407" i="1"/>
  <c r="AB2408" i="1"/>
  <c r="AB2409" i="1"/>
  <c r="AB2410" i="1"/>
  <c r="AB2411" i="1"/>
  <c r="AB2412" i="1"/>
  <c r="AB2413" i="1"/>
  <c r="AB2414" i="1"/>
  <c r="AB2415" i="1"/>
  <c r="AB2416" i="1"/>
  <c r="AB2417" i="1"/>
  <c r="AB2418" i="1"/>
  <c r="AB2419" i="1"/>
  <c r="AB2420" i="1"/>
  <c r="AB2421" i="1"/>
  <c r="AB2422" i="1"/>
  <c r="AB2423" i="1"/>
  <c r="AB2424" i="1"/>
  <c r="AB2425" i="1"/>
  <c r="AB2426" i="1"/>
  <c r="AB2427" i="1"/>
  <c r="AB2428" i="1"/>
  <c r="AB2429" i="1"/>
  <c r="AB2430" i="1"/>
  <c r="AB2431" i="1"/>
  <c r="AB2432" i="1"/>
  <c r="AB2433" i="1"/>
  <c r="AB2434" i="1"/>
  <c r="AB2435" i="1"/>
  <c r="AB2436" i="1"/>
  <c r="AB2437" i="1"/>
  <c r="AB2438" i="1"/>
  <c r="AB2439" i="1"/>
  <c r="AB2440" i="1"/>
  <c r="AB2441" i="1"/>
  <c r="AB2442" i="1"/>
  <c r="AB2443" i="1"/>
  <c r="AB2444" i="1"/>
  <c r="AB2445" i="1"/>
  <c r="AB2446" i="1"/>
  <c r="AB2447" i="1"/>
  <c r="AB2448" i="1"/>
  <c r="AB2449" i="1"/>
  <c r="AB2450" i="1"/>
  <c r="AB2451" i="1"/>
  <c r="AB2452" i="1"/>
  <c r="AB2453" i="1"/>
  <c r="AB2454" i="1"/>
  <c r="AB2455" i="1"/>
  <c r="AB2456" i="1"/>
  <c r="AB2457" i="1"/>
  <c r="AB2458" i="1"/>
  <c r="AB2459" i="1"/>
  <c r="AB2460" i="1"/>
  <c r="AB2461" i="1"/>
  <c r="AB2462" i="1"/>
  <c r="AB2463" i="1"/>
  <c r="AB2464" i="1"/>
  <c r="AB2465" i="1"/>
  <c r="AB2466" i="1"/>
  <c r="AB2467" i="1"/>
  <c r="AB2468" i="1"/>
  <c r="AB2469" i="1"/>
  <c r="AB2470" i="1"/>
  <c r="AB2471" i="1"/>
  <c r="AB2472" i="1"/>
  <c r="AB2473" i="1"/>
  <c r="AB2474" i="1"/>
  <c r="AB2475" i="1"/>
  <c r="AB2476" i="1"/>
  <c r="AB2477" i="1"/>
  <c r="AB2478" i="1"/>
  <c r="AB2479" i="1"/>
  <c r="AB2480" i="1"/>
  <c r="AB2481" i="1"/>
  <c r="AB2482" i="1"/>
  <c r="AB2483" i="1"/>
  <c r="AB2484" i="1"/>
  <c r="AB2485" i="1"/>
  <c r="AB2486" i="1"/>
  <c r="AB2487" i="1"/>
  <c r="AB2488" i="1"/>
  <c r="AB2489" i="1"/>
  <c r="AB2490" i="1"/>
  <c r="AB2491" i="1"/>
  <c r="AB2492" i="1"/>
  <c r="AB2493" i="1"/>
  <c r="AB7" i="1"/>
  <c r="I185" i="10"/>
  <c r="H185" i="10"/>
  <c r="H183" i="10"/>
  <c r="N63" i="13"/>
  <c r="N65" i="13" s="1"/>
  <c r="M63" i="13"/>
  <c r="M65" i="13" s="1"/>
  <c r="L63" i="13"/>
  <c r="L65" i="13" s="1"/>
  <c r="V9" i="11"/>
  <c r="V8" i="1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6" i="1"/>
  <c r="X977" i="1"/>
  <c r="X978" i="1"/>
  <c r="X979" i="1"/>
  <c r="X980" i="1"/>
  <c r="X981" i="1"/>
  <c r="X982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7" i="1"/>
  <c r="AA730" i="1" l="1"/>
  <c r="M91" i="1"/>
  <c r="AP91" i="1" s="1"/>
  <c r="AQ91" i="1" s="1"/>
  <c r="AR91" i="1"/>
  <c r="O91" i="1"/>
  <c r="N91" i="1"/>
  <c r="T91" i="1"/>
  <c r="U10" i="11"/>
  <c r="U18" i="11" s="1"/>
  <c r="U20" i="11" s="1"/>
  <c r="E329" i="30"/>
  <c r="F329" i="30"/>
  <c r="G329" i="30"/>
  <c r="H329" i="30"/>
  <c r="I329" i="30"/>
  <c r="J329" i="30"/>
  <c r="K329" i="30"/>
  <c r="L329" i="30"/>
  <c r="M329" i="30"/>
  <c r="N329" i="30"/>
  <c r="O329" i="30"/>
  <c r="H182" i="10" s="1"/>
  <c r="E330" i="30"/>
  <c r="F330" i="30"/>
  <c r="G330" i="30"/>
  <c r="H330" i="30"/>
  <c r="I330" i="30"/>
  <c r="J330" i="30"/>
  <c r="K330" i="30"/>
  <c r="L330" i="30"/>
  <c r="M330" i="30"/>
  <c r="N330" i="30"/>
  <c r="O330" i="30"/>
  <c r="I182" i="10" s="1"/>
  <c r="E331" i="30"/>
  <c r="F331" i="30"/>
  <c r="G331" i="30"/>
  <c r="H331" i="30"/>
  <c r="I331" i="30"/>
  <c r="J331" i="30"/>
  <c r="K331" i="30"/>
  <c r="L331" i="30"/>
  <c r="M331" i="30"/>
  <c r="N331" i="30"/>
  <c r="O331" i="30"/>
  <c r="G34" i="8" s="1"/>
  <c r="E332" i="30"/>
  <c r="F332" i="30"/>
  <c r="G332" i="30"/>
  <c r="H332" i="30"/>
  <c r="I332" i="30"/>
  <c r="J332" i="30"/>
  <c r="K332" i="30"/>
  <c r="L332" i="30"/>
  <c r="M332" i="30"/>
  <c r="N332" i="30"/>
  <c r="O332" i="30"/>
  <c r="D329" i="30"/>
  <c r="D330" i="30"/>
  <c r="D331" i="30"/>
  <c r="D332" i="30"/>
  <c r="C332" i="30"/>
  <c r="C331" i="30"/>
  <c r="C330" i="30"/>
  <c r="C329" i="30"/>
  <c r="B91" i="1"/>
  <c r="Q27" i="5"/>
  <c r="Q26" i="5"/>
  <c r="Q29" i="5" l="1"/>
  <c r="Q1772" i="1"/>
  <c r="M1772" i="1" l="1"/>
  <c r="AP1772" i="1" s="1"/>
  <c r="T1772" i="1"/>
  <c r="AA1772" i="1" s="1"/>
  <c r="O1772" i="1"/>
  <c r="S1772" i="1"/>
  <c r="Z1772" i="1" s="1"/>
  <c r="N1772" i="1"/>
  <c r="R1772" i="1"/>
  <c r="AR1772" i="1"/>
  <c r="F1772" i="1"/>
  <c r="B1772" i="1"/>
  <c r="AQ1772" i="1" l="1"/>
  <c r="W1772" i="1"/>
  <c r="Y1772" i="1"/>
  <c r="U1772" i="1"/>
  <c r="V1772" i="1"/>
  <c r="AN2495" i="1"/>
  <c r="AN2497" i="1" s="1"/>
  <c r="D93" i="2" l="1"/>
  <c r="C93" i="2"/>
  <c r="T10" i="11" l="1"/>
  <c r="T18" i="11" s="1"/>
  <c r="T20" i="11" s="1"/>
  <c r="Q1074" i="1"/>
  <c r="O1074" i="1" l="1"/>
  <c r="AR1074" i="1"/>
  <c r="N1074" i="1"/>
  <c r="M1074" i="1"/>
  <c r="AP1074" i="1" s="1"/>
  <c r="AQ1074" i="1" s="1"/>
  <c r="S1074" i="1"/>
  <c r="Z1074" i="1" s="1"/>
  <c r="R1074" i="1"/>
  <c r="Y1074" i="1" s="1"/>
  <c r="T1074" i="1"/>
  <c r="S1134" i="1"/>
  <c r="AA1074" i="1" l="1"/>
  <c r="W1074" i="1"/>
  <c r="V1074" i="1"/>
  <c r="U1074" i="1"/>
  <c r="R1134" i="1"/>
  <c r="Q1134" i="1"/>
  <c r="T1134" i="1"/>
  <c r="AA1134" i="1" s="1"/>
  <c r="V1134" i="1"/>
  <c r="Z1134" i="1"/>
  <c r="W1134" i="1" l="1"/>
  <c r="Y1134" i="1"/>
  <c r="U1134" i="1"/>
  <c r="S1073" i="1"/>
  <c r="S619" i="1"/>
  <c r="Z619" i="1" s="1"/>
  <c r="T618" i="1"/>
  <c r="N730" i="1" l="1"/>
  <c r="AR730" i="1"/>
  <c r="N619" i="1"/>
  <c r="AR619" i="1"/>
  <c r="N1073" i="1"/>
  <c r="AR1073" i="1"/>
  <c r="O618" i="1"/>
  <c r="AR618" i="1"/>
  <c r="M1134" i="1"/>
  <c r="AP1134" i="1" s="1"/>
  <c r="AQ1134" i="1" s="1"/>
  <c r="AR1134" i="1"/>
  <c r="V619" i="1"/>
  <c r="Q1073" i="1"/>
  <c r="O1134" i="1"/>
  <c r="N1134" i="1"/>
  <c r="R1073" i="1"/>
  <c r="Y1073" i="1" s="1"/>
  <c r="M1073" i="1"/>
  <c r="AP1073" i="1" s="1"/>
  <c r="AQ1073" i="1" s="1"/>
  <c r="V1073" i="1"/>
  <c r="Z1073" i="1"/>
  <c r="O1073" i="1"/>
  <c r="T1073" i="1"/>
  <c r="O730" i="1"/>
  <c r="M730" i="1"/>
  <c r="AP730" i="1" s="1"/>
  <c r="AQ730" i="1" s="1"/>
  <c r="S618" i="1"/>
  <c r="M619" i="1"/>
  <c r="AP619" i="1" s="1"/>
  <c r="AQ619" i="1" s="1"/>
  <c r="O619" i="1"/>
  <c r="Q619" i="1"/>
  <c r="AA618" i="1"/>
  <c r="T619" i="1"/>
  <c r="AA619" i="1" s="1"/>
  <c r="R619" i="1"/>
  <c r="Y619" i="1" s="1"/>
  <c r="N618" i="1"/>
  <c r="R618" i="1"/>
  <c r="Y618" i="1" s="1"/>
  <c r="W618" i="1"/>
  <c r="M618" i="1"/>
  <c r="AP618" i="1" s="1"/>
  <c r="AQ618" i="1" s="1"/>
  <c r="Q618" i="1"/>
  <c r="AA1073" i="1" l="1"/>
  <c r="W1073" i="1"/>
  <c r="W619" i="1"/>
  <c r="U618" i="1"/>
  <c r="U1073" i="1"/>
  <c r="U619" i="1"/>
  <c r="Z618" i="1"/>
  <c r="V618" i="1"/>
  <c r="P27" i="5"/>
  <c r="P26" i="5"/>
  <c r="P29" i="5" s="1"/>
  <c r="F1134" i="1"/>
  <c r="B1134" i="1"/>
  <c r="F1073" i="1"/>
  <c r="B1073" i="1"/>
  <c r="F1074" i="1"/>
  <c r="B1074" i="1"/>
  <c r="B730" i="1" l="1"/>
  <c r="B619" i="1"/>
  <c r="B618" i="1"/>
  <c r="O27" i="5" l="1"/>
  <c r="O26" i="5"/>
  <c r="O29" i="5" l="1"/>
  <c r="AM2495" i="1"/>
  <c r="AM2497" i="1" s="1"/>
  <c r="S10" i="11" l="1"/>
  <c r="S18" i="11" s="1"/>
  <c r="S20" i="11" l="1"/>
  <c r="R19" i="11" l="1"/>
  <c r="AP2261" i="1" l="1"/>
  <c r="AQ2261" i="1" s="1"/>
  <c r="AR2261" i="1"/>
  <c r="AA10" i="1" l="1"/>
  <c r="Y18" i="1"/>
  <c r="Z21" i="1"/>
  <c r="AA22" i="1"/>
  <c r="Z24" i="1"/>
  <c r="AA26" i="1"/>
  <c r="AA28" i="1"/>
  <c r="AA30" i="1"/>
  <c r="Z32" i="1"/>
  <c r="Z33" i="1"/>
  <c r="AA34" i="1"/>
  <c r="Z36" i="1"/>
  <c r="AA37" i="1"/>
  <c r="AA38" i="1"/>
  <c r="Z40" i="1"/>
  <c r="AA41" i="1"/>
  <c r="Z45" i="1"/>
  <c r="AA46" i="1"/>
  <c r="AA57" i="1"/>
  <c r="AA60" i="1"/>
  <c r="AA62" i="1"/>
  <c r="AA68" i="1"/>
  <c r="AA69" i="1"/>
  <c r="AA72" i="1"/>
  <c r="AA73" i="1"/>
  <c r="AA76" i="1"/>
  <c r="AA77" i="1"/>
  <c r="AA78" i="1"/>
  <c r="AA80" i="1"/>
  <c r="AA82" i="1"/>
  <c r="AA86" i="1"/>
  <c r="AA89" i="1"/>
  <c r="AA94" i="1"/>
  <c r="AA95" i="1"/>
  <c r="AA97" i="1"/>
  <c r="AA98" i="1"/>
  <c r="AA105" i="1"/>
  <c r="AA107" i="1"/>
  <c r="AA109" i="1"/>
  <c r="AA110" i="1"/>
  <c r="AA111" i="1"/>
  <c r="AA115" i="1"/>
  <c r="AA126" i="1"/>
  <c r="AA127" i="1"/>
  <c r="AA129" i="1"/>
  <c r="AA130" i="1"/>
  <c r="AA131" i="1"/>
  <c r="AA134" i="1"/>
  <c r="AA135" i="1"/>
  <c r="Z137" i="1"/>
  <c r="Z138" i="1"/>
  <c r="Y142" i="1"/>
  <c r="Z145" i="1"/>
  <c r="Z146" i="1"/>
  <c r="Z147" i="1"/>
  <c r="Z149" i="1"/>
  <c r="Y150" i="1"/>
  <c r="Z151" i="1"/>
  <c r="Z153" i="1"/>
  <c r="AA154" i="1"/>
  <c r="Z155" i="1"/>
  <c r="Z157" i="1"/>
  <c r="Z158" i="1"/>
  <c r="Z159" i="1"/>
  <c r="Z161" i="1"/>
  <c r="AA162" i="1"/>
  <c r="AA163" i="1"/>
  <c r="Z165" i="1"/>
  <c r="Z166" i="1"/>
  <c r="Z169" i="1"/>
  <c r="AA170" i="1"/>
  <c r="AA171" i="1"/>
  <c r="Z173" i="1"/>
  <c r="Z174" i="1"/>
  <c r="AA175" i="1"/>
  <c r="Y178" i="1"/>
  <c r="AA179" i="1"/>
  <c r="AA181" i="1"/>
  <c r="AA182" i="1"/>
  <c r="Z183" i="1"/>
  <c r="Z185" i="1"/>
  <c r="Z190" i="1"/>
  <c r="Z193" i="1"/>
  <c r="AA195" i="1"/>
  <c r="Z197" i="1"/>
  <c r="Z201" i="1"/>
  <c r="Z206" i="1"/>
  <c r="AA207" i="1"/>
  <c r="Z209" i="1"/>
  <c r="AA210" i="1"/>
  <c r="AA211" i="1"/>
  <c r="Z213" i="1"/>
  <c r="AA215" i="1"/>
  <c r="AA217" i="1"/>
  <c r="Z227" i="1"/>
  <c r="Z229" i="1"/>
  <c r="Z230" i="1"/>
  <c r="Z231" i="1"/>
  <c r="Z233" i="1"/>
  <c r="Z234" i="1"/>
  <c r="Z235" i="1"/>
  <c r="Z237" i="1"/>
  <c r="Z238" i="1"/>
  <c r="Z239" i="1"/>
  <c r="Z241" i="1"/>
  <c r="Z242" i="1"/>
  <c r="Z249" i="1"/>
  <c r="Z254" i="1"/>
  <c r="Z257" i="1"/>
  <c r="Z258" i="1"/>
  <c r="Z263" i="1"/>
  <c r="Z265" i="1"/>
  <c r="Z267" i="1"/>
  <c r="Y269" i="1"/>
  <c r="AA270" i="1"/>
  <c r="Z271" i="1"/>
  <c r="Y273" i="1"/>
  <c r="Y275" i="1"/>
  <c r="Y277" i="1"/>
  <c r="AA278" i="1"/>
  <c r="Z279" i="1"/>
  <c r="Y281" i="1"/>
  <c r="AA283" i="1"/>
  <c r="Y285" i="1"/>
  <c r="AA286" i="1"/>
  <c r="Z287" i="1"/>
  <c r="Y289" i="1"/>
  <c r="AA290" i="1"/>
  <c r="Y291" i="1"/>
  <c r="Y293" i="1"/>
  <c r="AA294" i="1"/>
  <c r="Z295" i="1"/>
  <c r="Z297" i="1"/>
  <c r="AA299" i="1"/>
  <c r="Z301" i="1"/>
  <c r="Z305" i="1"/>
  <c r="AA306" i="1"/>
  <c r="Z307" i="1"/>
  <c r="Z309" i="1"/>
  <c r="AA314" i="1"/>
  <c r="AA315" i="1"/>
  <c r="AA317" i="1"/>
  <c r="AA318" i="1"/>
  <c r="AA319" i="1"/>
  <c r="AA323" i="1"/>
  <c r="AA325" i="1"/>
  <c r="Z335" i="1"/>
  <c r="AA339" i="1"/>
  <c r="AA341" i="1"/>
  <c r="AA345" i="1"/>
  <c r="AA357" i="1"/>
  <c r="AA374" i="1"/>
  <c r="AA375" i="1"/>
  <c r="AA377" i="1"/>
  <c r="AA378" i="1"/>
  <c r="Z379" i="1"/>
  <c r="Y381" i="1"/>
  <c r="Z382" i="1"/>
  <c r="Y383" i="1"/>
  <c r="Y385" i="1"/>
  <c r="AA386" i="1"/>
  <c r="Z398" i="1"/>
  <c r="Y417" i="1"/>
  <c r="Z418" i="1"/>
  <c r="Z419" i="1"/>
  <c r="AA421" i="1"/>
  <c r="Z423" i="1"/>
  <c r="Y425" i="1"/>
  <c r="AA426" i="1"/>
  <c r="Y427" i="1"/>
  <c r="Y429" i="1"/>
  <c r="AA438" i="1"/>
  <c r="AA441" i="1"/>
  <c r="AA442" i="1"/>
  <c r="Z445" i="1"/>
  <c r="AA446" i="1"/>
  <c r="AA447" i="1"/>
  <c r="Z449" i="1"/>
  <c r="AA455" i="1"/>
  <c r="AA459" i="1"/>
  <c r="AA462" i="1"/>
  <c r="AA465" i="1"/>
  <c r="AA469" i="1"/>
  <c r="Z471" i="1"/>
  <c r="AA473" i="1"/>
  <c r="AA474" i="1"/>
  <c r="AA475" i="1"/>
  <c r="AA477" i="1"/>
  <c r="AA478" i="1"/>
  <c r="Z479" i="1"/>
  <c r="AA481" i="1"/>
  <c r="AA482" i="1"/>
  <c r="Y483" i="1"/>
  <c r="AA485" i="1"/>
  <c r="AA486" i="1"/>
  <c r="Z489" i="1"/>
  <c r="AA490" i="1"/>
  <c r="AA491" i="1"/>
  <c r="AA493" i="1"/>
  <c r="Z495" i="1"/>
  <c r="AA497" i="1"/>
  <c r="AA498" i="1"/>
  <c r="AA499" i="1"/>
  <c r="AA501" i="1"/>
  <c r="AA502" i="1"/>
  <c r="Z503" i="1"/>
  <c r="AA505" i="1"/>
  <c r="AA506" i="1"/>
  <c r="Y507" i="1"/>
  <c r="AA510" i="1"/>
  <c r="Z511" i="1"/>
  <c r="Z513" i="1"/>
  <c r="AA514" i="1"/>
  <c r="AA515" i="1"/>
  <c r="Z517" i="1"/>
  <c r="Z519" i="1"/>
  <c r="AA522" i="1"/>
  <c r="Y523" i="1"/>
  <c r="Z525" i="1"/>
  <c r="AA526" i="1"/>
  <c r="Z527" i="1"/>
  <c r="Z529" i="1"/>
  <c r="AA530" i="1"/>
  <c r="Z531" i="1"/>
  <c r="Y537" i="1"/>
  <c r="AA538" i="1"/>
  <c r="Z539" i="1"/>
  <c r="AA542" i="1"/>
  <c r="AA543" i="1"/>
  <c r="Z557" i="1"/>
  <c r="Z561" i="1"/>
  <c r="AA581" i="1"/>
  <c r="Y582" i="1"/>
  <c r="AA583" i="1"/>
  <c r="AA586" i="1"/>
  <c r="AA589" i="1"/>
  <c r="AA594" i="1"/>
  <c r="AA597" i="1"/>
  <c r="Y599" i="1"/>
  <c r="AA601" i="1"/>
  <c r="Y602" i="1"/>
  <c r="AA603" i="1"/>
  <c r="AA605" i="1"/>
  <c r="AA607" i="1"/>
  <c r="Y610" i="1"/>
  <c r="AA611" i="1"/>
  <c r="Y625" i="1"/>
  <c r="Y627" i="1"/>
  <c r="Y628" i="1"/>
  <c r="Y629" i="1"/>
  <c r="Y635" i="1"/>
  <c r="Y639" i="1"/>
  <c r="Y641" i="1"/>
  <c r="Y644" i="1"/>
  <c r="Y645" i="1"/>
  <c r="Y647" i="1"/>
  <c r="Y648" i="1"/>
  <c r="Y649" i="1"/>
  <c r="Y651" i="1"/>
  <c r="Y655" i="1"/>
  <c r="Y657" i="1"/>
  <c r="Y659" i="1"/>
  <c r="Y660" i="1"/>
  <c r="Y661" i="1"/>
  <c r="Y663" i="1"/>
  <c r="Y667" i="1"/>
  <c r="Y671" i="1"/>
  <c r="Y675" i="1"/>
  <c r="Y676" i="1"/>
  <c r="Y677" i="1"/>
  <c r="Y679" i="1"/>
  <c r="Y691" i="1"/>
  <c r="Y692" i="1"/>
  <c r="Y695" i="1"/>
  <c r="Y697" i="1"/>
  <c r="Y701" i="1"/>
  <c r="Y703" i="1"/>
  <c r="Y704" i="1"/>
  <c r="Y705" i="1"/>
  <c r="Y711" i="1"/>
  <c r="Y712" i="1"/>
  <c r="Y713" i="1"/>
  <c r="Y715" i="1"/>
  <c r="Y719" i="1"/>
  <c r="Y720" i="1"/>
  <c r="Y721" i="1"/>
  <c r="Y723" i="1"/>
  <c r="Y727" i="1"/>
  <c r="Y732" i="1"/>
  <c r="Y733" i="1"/>
  <c r="Y734" i="1"/>
  <c r="Y744" i="1"/>
  <c r="Y745" i="1"/>
  <c r="Y746" i="1"/>
  <c r="Y748" i="1"/>
  <c r="Y749" i="1"/>
  <c r="Y750" i="1"/>
  <c r="Y752" i="1"/>
  <c r="Y778" i="1"/>
  <c r="Y780" i="1"/>
  <c r="Y781" i="1"/>
  <c r="AA884" i="1"/>
  <c r="Z885" i="1"/>
  <c r="AA886" i="1"/>
  <c r="AA888" i="1"/>
  <c r="Z889" i="1"/>
  <c r="AA890" i="1"/>
  <c r="AA892" i="1"/>
  <c r="Y893" i="1"/>
  <c r="AA900" i="1"/>
  <c r="Z901" i="1"/>
  <c r="AA904" i="1"/>
  <c r="AA905" i="1"/>
  <c r="AA908" i="1"/>
  <c r="Z909" i="1"/>
  <c r="AA912" i="1"/>
  <c r="AA913" i="1"/>
  <c r="AA916" i="1"/>
  <c r="Z917" i="1"/>
  <c r="AA920" i="1"/>
  <c r="AA924" i="1"/>
  <c r="AA925" i="1"/>
  <c r="AA928" i="1"/>
  <c r="Z929" i="1"/>
  <c r="AA932" i="1"/>
  <c r="Y933" i="1"/>
  <c r="Z937" i="1"/>
  <c r="Y941" i="1"/>
  <c r="AA942" i="1"/>
  <c r="Y944" i="1"/>
  <c r="Z945" i="1"/>
  <c r="AA946" i="1"/>
  <c r="Z948" i="1"/>
  <c r="Z949" i="1"/>
  <c r="Z950" i="1"/>
  <c r="Y952" i="1"/>
  <c r="Y954" i="1"/>
  <c r="AA957" i="1"/>
  <c r="AA958" i="1"/>
  <c r="AA961" i="1"/>
  <c r="Z962" i="1"/>
  <c r="AA965" i="1"/>
  <c r="AA966" i="1"/>
  <c r="Z969" i="1"/>
  <c r="AA973" i="1"/>
  <c r="AA981" i="1"/>
  <c r="Z982" i="1"/>
  <c r="AA984" i="1"/>
  <c r="AA987" i="1"/>
  <c r="Y988" i="1"/>
  <c r="Y994" i="1"/>
  <c r="Z995" i="1"/>
  <c r="Z998" i="1"/>
  <c r="AA999" i="1"/>
  <c r="AA1000" i="1"/>
  <c r="AA1003" i="1"/>
  <c r="AA1005" i="1"/>
  <c r="Z1008" i="1"/>
  <c r="Z1021" i="1"/>
  <c r="Z1022" i="1"/>
  <c r="Z1023" i="1"/>
  <c r="Z1025" i="1"/>
  <c r="Z1026" i="1"/>
  <c r="Z1030" i="1"/>
  <c r="Z1031" i="1"/>
  <c r="Z1033" i="1"/>
  <c r="Z1035" i="1"/>
  <c r="Z1038" i="1"/>
  <c r="Z1039" i="1"/>
  <c r="Z1041" i="1"/>
  <c r="Z1046" i="1"/>
  <c r="Z1047" i="1"/>
  <c r="Z1049" i="1"/>
  <c r="Z1050" i="1"/>
  <c r="Z1055" i="1"/>
  <c r="Z1075" i="1"/>
  <c r="Z1076" i="1"/>
  <c r="Z1077" i="1"/>
  <c r="Z1080" i="1"/>
  <c r="Z1081" i="1"/>
  <c r="Z1083" i="1"/>
  <c r="Z1085" i="1"/>
  <c r="Z1087" i="1"/>
  <c r="Z1088" i="1"/>
  <c r="Z1089" i="1"/>
  <c r="Z1091" i="1"/>
  <c r="Z1092" i="1"/>
  <c r="Z1093" i="1"/>
  <c r="Z1095" i="1"/>
  <c r="Z1096" i="1"/>
  <c r="Z1097" i="1"/>
  <c r="Z1099" i="1"/>
  <c r="Z1100" i="1"/>
  <c r="Z1103" i="1"/>
  <c r="Z1104" i="1"/>
  <c r="Z1105" i="1"/>
  <c r="Z1107" i="1"/>
  <c r="Z1108" i="1"/>
  <c r="Z1111" i="1"/>
  <c r="Z1116" i="1"/>
  <c r="Z1119" i="1"/>
  <c r="Z1152" i="1"/>
  <c r="Z1160" i="1"/>
  <c r="Z1167" i="1"/>
  <c r="Z1170" i="1"/>
  <c r="Z1171" i="1"/>
  <c r="Z1192" i="1"/>
  <c r="Y1219" i="1"/>
  <c r="Z1235" i="1"/>
  <c r="AA1239" i="1"/>
  <c r="Y1247" i="1"/>
  <c r="Z1251" i="1"/>
  <c r="AA1255" i="1"/>
  <c r="Y1259" i="1"/>
  <c r="Z1263" i="1"/>
  <c r="Y1267" i="1"/>
  <c r="AA1275" i="1"/>
  <c r="Y1279" i="1"/>
  <c r="Z1283" i="1"/>
  <c r="AA1286" i="1"/>
  <c r="AA1290" i="1"/>
  <c r="AA1291" i="1"/>
  <c r="AA1292" i="1"/>
  <c r="AA1294" i="1"/>
  <c r="AA1295" i="1"/>
  <c r="Z1296" i="1"/>
  <c r="Z1298" i="1"/>
  <c r="Z1299" i="1"/>
  <c r="Z1300" i="1"/>
  <c r="Z1302" i="1"/>
  <c r="Z1303" i="1"/>
  <c r="Z1304" i="1"/>
  <c r="AA1306" i="1"/>
  <c r="AA1307" i="1"/>
  <c r="AA1308" i="1"/>
  <c r="AA1316" i="1"/>
  <c r="AA1319" i="1"/>
  <c r="AA1320" i="1"/>
  <c r="AA1327" i="1"/>
  <c r="AA1332" i="1"/>
  <c r="AA1334" i="1"/>
  <c r="AA1336" i="1"/>
  <c r="AA1338" i="1"/>
  <c r="AA1339" i="1"/>
  <c r="AA1340" i="1"/>
  <c r="AA1343" i="1"/>
  <c r="AA1347" i="1"/>
  <c r="AA1348" i="1"/>
  <c r="AA1350" i="1"/>
  <c r="AA1351" i="1"/>
  <c r="AA1352" i="1"/>
  <c r="AA1355" i="1"/>
  <c r="AA1356" i="1"/>
  <c r="AA1358" i="1"/>
  <c r="AA1360" i="1"/>
  <c r="AA1362" i="1"/>
  <c r="AA1367" i="1"/>
  <c r="AA1368" i="1"/>
  <c r="AA1369" i="1"/>
  <c r="AA1373" i="1"/>
  <c r="AA1377" i="1"/>
  <c r="AA1379" i="1"/>
  <c r="AA1380" i="1"/>
  <c r="AA1381" i="1"/>
  <c r="AA1383" i="1"/>
  <c r="AA1387" i="1"/>
  <c r="AA1388" i="1"/>
  <c r="AA1389" i="1"/>
  <c r="AA1391" i="1"/>
  <c r="AA1392" i="1"/>
  <c r="AA1393" i="1"/>
  <c r="AA1395" i="1"/>
  <c r="AA1396" i="1"/>
  <c r="AA1397" i="1"/>
  <c r="AA1400" i="1"/>
  <c r="AA1403" i="1"/>
  <c r="AA1404" i="1"/>
  <c r="AA1407" i="1"/>
  <c r="AA1411" i="1"/>
  <c r="AA1412" i="1"/>
  <c r="AA1413" i="1"/>
  <c r="AA1416" i="1"/>
  <c r="AA1417" i="1"/>
  <c r="AA1419" i="1"/>
  <c r="AA1421" i="1"/>
  <c r="AA1423" i="1"/>
  <c r="AA1425" i="1"/>
  <c r="AA1427" i="1"/>
  <c r="AA1428" i="1"/>
  <c r="AA1429" i="1"/>
  <c r="AA1431" i="1"/>
  <c r="AA1433" i="1"/>
  <c r="AA1435" i="1"/>
  <c r="AA1436" i="1"/>
  <c r="AA1437" i="1"/>
  <c r="AA1439" i="1"/>
  <c r="AA1440" i="1"/>
  <c r="AA1441" i="1"/>
  <c r="AA1443" i="1"/>
  <c r="AA1444" i="1"/>
  <c r="AA1445" i="1"/>
  <c r="AA1447" i="1"/>
  <c r="AA1448" i="1"/>
  <c r="AA1449" i="1"/>
  <c r="AA1451" i="1"/>
  <c r="AA1452" i="1"/>
  <c r="AA1453" i="1"/>
  <c r="AA1457" i="1"/>
  <c r="AA1459" i="1"/>
  <c r="AA1460" i="1"/>
  <c r="AA1461" i="1"/>
  <c r="AA1463" i="1"/>
  <c r="AA1465" i="1"/>
  <c r="AA1471" i="1"/>
  <c r="AA1472" i="1"/>
  <c r="AA1473" i="1"/>
  <c r="AA1475" i="1"/>
  <c r="AA1477" i="1"/>
  <c r="AA1480" i="1"/>
  <c r="AA1487" i="1"/>
  <c r="AA1488" i="1"/>
  <c r="AA1489" i="1"/>
  <c r="AA1491" i="1"/>
  <c r="AA1493" i="1"/>
  <c r="AA1495" i="1"/>
  <c r="AA1497" i="1"/>
  <c r="AA1499" i="1"/>
  <c r="AA1500" i="1"/>
  <c r="AA1501" i="1"/>
  <c r="AA1505" i="1"/>
  <c r="AA1507" i="1"/>
  <c r="AA1508" i="1"/>
  <c r="AA1509" i="1"/>
  <c r="AA1511" i="1"/>
  <c r="AA1513" i="1"/>
  <c r="AA1515" i="1"/>
  <c r="AA1517" i="1"/>
  <c r="AA1519" i="1"/>
  <c r="AA1521" i="1"/>
  <c r="AA1525" i="1"/>
  <c r="AA1528" i="1"/>
  <c r="AA1529" i="1"/>
  <c r="AA1535" i="1"/>
  <c r="AA1537" i="1"/>
  <c r="AA1539" i="1"/>
  <c r="AA1540" i="1"/>
  <c r="AA1541" i="1"/>
  <c r="AA1549" i="1"/>
  <c r="AA1551" i="1"/>
  <c r="AA1552" i="1"/>
  <c r="AA1553" i="1"/>
  <c r="AA1555" i="1"/>
  <c r="AA1557" i="1"/>
  <c r="AA1559" i="1"/>
  <c r="AA1560" i="1"/>
  <c r="AA1561" i="1"/>
  <c r="AA1563" i="1"/>
  <c r="AA1567" i="1"/>
  <c r="AA1568" i="1"/>
  <c r="AA1571" i="1"/>
  <c r="AA1573" i="1"/>
  <c r="AA1575" i="1"/>
  <c r="AA1576" i="1"/>
  <c r="AA1577" i="1"/>
  <c r="AA1579" i="1"/>
  <c r="AA1580" i="1"/>
  <c r="AA1581" i="1"/>
  <c r="AA1583" i="1"/>
  <c r="AA1584" i="1"/>
  <c r="AA1585" i="1"/>
  <c r="AA1587" i="1"/>
  <c r="AA1588" i="1"/>
  <c r="AA1589" i="1"/>
  <c r="AA1591" i="1"/>
  <c r="AA1592" i="1"/>
  <c r="AA1593" i="1"/>
  <c r="AA1597" i="1"/>
  <c r="AA1599" i="1"/>
  <c r="AA1600" i="1"/>
  <c r="AA1601" i="1"/>
  <c r="AA1603" i="1"/>
  <c r="AA1605" i="1"/>
  <c r="AA1611" i="1"/>
  <c r="AA1612" i="1"/>
  <c r="AA1613" i="1"/>
  <c r="AA1615" i="1"/>
  <c r="AA1617" i="1"/>
  <c r="AA1619" i="1"/>
  <c r="AA1631" i="1"/>
  <c r="Z1636" i="1"/>
  <c r="Y1637" i="1"/>
  <c r="Y1653" i="1"/>
  <c r="Y1655" i="1"/>
  <c r="Z1660" i="1"/>
  <c r="Y1665" i="1"/>
  <c r="Y1676" i="1"/>
  <c r="Y1681" i="1"/>
  <c r="AA1691" i="1"/>
  <c r="AA1696" i="1"/>
  <c r="AA1700" i="1"/>
  <c r="AA1704" i="1"/>
  <c r="AA1709" i="1"/>
  <c r="AA1712" i="1"/>
  <c r="AA1716" i="1"/>
  <c r="AA1717" i="1"/>
  <c r="AA1721" i="1"/>
  <c r="AA1723" i="1"/>
  <c r="AA1728" i="1"/>
  <c r="AA1731" i="1"/>
  <c r="AA1735" i="1"/>
  <c r="AA1736" i="1"/>
  <c r="AA1740" i="1"/>
  <c r="AA1741" i="1"/>
  <c r="AA1743" i="1"/>
  <c r="AA1744" i="1"/>
  <c r="AA2028" i="1"/>
  <c r="AA2031" i="1"/>
  <c r="AA2034" i="1"/>
  <c r="AA2036" i="1"/>
  <c r="AA2050" i="1"/>
  <c r="AA2052" i="1"/>
  <c r="AA2054" i="1"/>
  <c r="AA2056" i="1"/>
  <c r="AA2058" i="1"/>
  <c r="AA2059" i="1"/>
  <c r="AA2072" i="1"/>
  <c r="AA2074" i="1"/>
  <c r="AA2075" i="1"/>
  <c r="AA2076" i="1"/>
  <c r="AA2078" i="1"/>
  <c r="AA2079" i="1"/>
  <c r="AA2080" i="1"/>
  <c r="AA2082" i="1"/>
  <c r="AA2083" i="1"/>
  <c r="AA2084" i="1"/>
  <c r="AA2086" i="1"/>
  <c r="AA2087" i="1"/>
  <c r="AA2088" i="1"/>
  <c r="AA2090" i="1"/>
  <c r="AA2094" i="1"/>
  <c r="AA2096" i="1"/>
  <c r="AA2098" i="1"/>
  <c r="AA2099" i="1"/>
  <c r="AA2100" i="1"/>
  <c r="AA2102" i="1"/>
  <c r="AA2106" i="1"/>
  <c r="AA2107" i="1"/>
  <c r="AA2108" i="1"/>
  <c r="AA2110" i="1"/>
  <c r="AA2112" i="1"/>
  <c r="AA2114" i="1"/>
  <c r="AA2115" i="1"/>
  <c r="AA2116" i="1"/>
  <c r="AA2118" i="1"/>
  <c r="AA2119" i="1"/>
  <c r="AA2120" i="1"/>
  <c r="AA2122" i="1"/>
  <c r="AA2123" i="1"/>
  <c r="AA2124" i="1"/>
  <c r="AA2128" i="1"/>
  <c r="AA2130" i="1"/>
  <c r="AA2132" i="1"/>
  <c r="AA2134" i="1"/>
  <c r="AA2136" i="1"/>
  <c r="AA2164" i="1"/>
  <c r="Z2166" i="1"/>
  <c r="Y2167" i="1"/>
  <c r="Z2168" i="1"/>
  <c r="AA2170" i="1"/>
  <c r="Z2171" i="1"/>
  <c r="Z2172" i="1"/>
  <c r="Z2175" i="1"/>
  <c r="Y2178" i="1"/>
  <c r="AA2179" i="1"/>
  <c r="AA2180" i="1"/>
  <c r="Z2182" i="1"/>
  <c r="Z2183" i="1"/>
  <c r="AA2184" i="1"/>
  <c r="Y2186" i="1"/>
  <c r="Y2187" i="1"/>
  <c r="AA2188" i="1"/>
  <c r="Z2191" i="1"/>
  <c r="Z2192" i="1"/>
  <c r="Z2194" i="1"/>
  <c r="Z2195" i="1"/>
  <c r="AA2196" i="1"/>
  <c r="Y2198" i="1"/>
  <c r="AA2199" i="1"/>
  <c r="AA2200" i="1"/>
  <c r="Z2202" i="1"/>
  <c r="Z2203" i="1"/>
  <c r="AA2204" i="1"/>
  <c r="Y2207" i="1"/>
  <c r="Y2208" i="1"/>
  <c r="Z2210" i="1"/>
  <c r="Z2211" i="1"/>
  <c r="Y2212" i="1"/>
  <c r="AA2214" i="1"/>
  <c r="Y2215" i="1"/>
  <c r="Y2216" i="1"/>
  <c r="Y2218" i="1"/>
  <c r="Z2219" i="1"/>
  <c r="Y2220" i="1"/>
  <c r="Z2222" i="1"/>
  <c r="Z2223" i="1"/>
  <c r="AA2226" i="1"/>
  <c r="Z2227" i="1"/>
  <c r="Z2228" i="1"/>
  <c r="Z2230" i="1"/>
  <c r="Y2231" i="1"/>
  <c r="Z2232" i="1"/>
  <c r="Z2235" i="1"/>
  <c r="AA2236" i="1"/>
  <c r="Z2238" i="1"/>
  <c r="Y2239" i="1"/>
  <c r="AA2240" i="1"/>
  <c r="Y2242" i="1"/>
  <c r="Y2244" i="1"/>
  <c r="Z2246" i="1"/>
  <c r="Z2247" i="1"/>
  <c r="Y2248" i="1"/>
  <c r="AA2250" i="1"/>
  <c r="AA2252" i="1"/>
  <c r="Y2254" i="1"/>
  <c r="Z2255" i="1"/>
  <c r="AA2256" i="1"/>
  <c r="Z2258" i="1"/>
  <c r="Z2262" i="1"/>
  <c r="Z2263" i="1"/>
  <c r="AA2264" i="1"/>
  <c r="Y2266" i="1"/>
  <c r="AA2268" i="1"/>
  <c r="Z2270" i="1"/>
  <c r="Z2271" i="1"/>
  <c r="Z2275" i="1"/>
  <c r="Z2276" i="1"/>
  <c r="Z2278" i="1"/>
  <c r="Z2279" i="1"/>
  <c r="Z2282" i="1"/>
  <c r="Z2283" i="1"/>
  <c r="AA2286" i="1"/>
  <c r="Z2287" i="1"/>
  <c r="Y2288" i="1"/>
  <c r="Y2290" i="1"/>
  <c r="Y2292" i="1"/>
  <c r="Z2294" i="1"/>
  <c r="Z2295" i="1"/>
  <c r="Y2296" i="1"/>
  <c r="Z2298" i="1"/>
  <c r="AA2300" i="1"/>
  <c r="AA2302" i="1"/>
  <c r="Z2303" i="1"/>
  <c r="AA2304" i="1"/>
  <c r="Z2307" i="1"/>
  <c r="Y2308" i="1"/>
  <c r="AA2310" i="1"/>
  <c r="Z2311" i="1"/>
  <c r="Y2312" i="1"/>
  <c r="Y2314" i="1"/>
  <c r="Z2315" i="1"/>
  <c r="Z2318" i="1"/>
  <c r="Y2324" i="1"/>
  <c r="AA2336" i="1"/>
  <c r="AA2338" i="1"/>
  <c r="AA2340" i="1"/>
  <c r="Y2342" i="1"/>
  <c r="Z2344" i="1"/>
  <c r="Y2346" i="1"/>
  <c r="AA2350" i="1"/>
  <c r="AA2352" i="1"/>
  <c r="Z2355" i="1"/>
  <c r="Y2358" i="1"/>
  <c r="Z2359" i="1"/>
  <c r="Y2362" i="1"/>
  <c r="Z2363" i="1"/>
  <c r="AA2364" i="1"/>
  <c r="Z2367" i="1"/>
  <c r="Y2368" i="1"/>
  <c r="AA2376" i="1"/>
  <c r="Z2386" i="1"/>
  <c r="Z2387" i="1"/>
  <c r="Z2390" i="1"/>
  <c r="AA2400" i="1"/>
  <c r="AA2402" i="1"/>
  <c r="AA2406" i="1"/>
  <c r="Z2411" i="1"/>
  <c r="AA2412" i="1"/>
  <c r="Z2423" i="1"/>
  <c r="Y2424" i="1"/>
  <c r="Z2426" i="1"/>
  <c r="Z2428" i="1"/>
  <c r="AA2440" i="1"/>
  <c r="AA2446" i="1"/>
  <c r="Y2460" i="1"/>
  <c r="Y2462" i="1"/>
  <c r="AA2464" i="1"/>
  <c r="AA2467" i="1"/>
  <c r="AA2484" i="1"/>
  <c r="Z2486" i="1"/>
  <c r="AA2487" i="1"/>
  <c r="AA2488" i="1"/>
  <c r="Z2490" i="1"/>
  <c r="AA2491" i="1"/>
  <c r="AA2492" i="1"/>
  <c r="V18" i="1"/>
  <c r="Y19" i="1"/>
  <c r="AA19" i="1"/>
  <c r="Z19" i="1"/>
  <c r="V21" i="1"/>
  <c r="V22" i="1"/>
  <c r="V23" i="1"/>
  <c r="AA23" i="1"/>
  <c r="Z23" i="1"/>
  <c r="V24" i="1"/>
  <c r="V26" i="1"/>
  <c r="V27" i="1"/>
  <c r="AA27" i="1"/>
  <c r="Z27" i="1"/>
  <c r="V28" i="1"/>
  <c r="V30" i="1"/>
  <c r="V31" i="1"/>
  <c r="AA31" i="1"/>
  <c r="Z31" i="1"/>
  <c r="V32" i="1"/>
  <c r="V33" i="1"/>
  <c r="V34" i="1"/>
  <c r="V35" i="1"/>
  <c r="AA35" i="1"/>
  <c r="Z35" i="1"/>
  <c r="V36" i="1"/>
  <c r="V37" i="1"/>
  <c r="V38" i="1"/>
  <c r="V39" i="1"/>
  <c r="AA39" i="1"/>
  <c r="Z39" i="1"/>
  <c r="V40" i="1"/>
  <c r="V41" i="1"/>
  <c r="V45" i="1"/>
  <c r="AA45" i="1"/>
  <c r="V46" i="1"/>
  <c r="V47" i="1"/>
  <c r="AA47" i="1"/>
  <c r="Z47" i="1"/>
  <c r="W55" i="1"/>
  <c r="AA55" i="1"/>
  <c r="W57" i="1"/>
  <c r="W59" i="1"/>
  <c r="AA59" i="1"/>
  <c r="W60" i="1"/>
  <c r="W62" i="1"/>
  <c r="W63" i="1"/>
  <c r="AA63" i="1"/>
  <c r="W69" i="1"/>
  <c r="W71" i="1"/>
  <c r="AA71" i="1"/>
  <c r="W72" i="1"/>
  <c r="W73" i="1"/>
  <c r="W75" i="1"/>
  <c r="AA75" i="1"/>
  <c r="W77" i="1"/>
  <c r="W78" i="1"/>
  <c r="W79" i="1"/>
  <c r="AA79" i="1"/>
  <c r="W80" i="1"/>
  <c r="W82" i="1"/>
  <c r="W83" i="1"/>
  <c r="AA83" i="1"/>
  <c r="W85" i="1"/>
  <c r="AA85" i="1"/>
  <c r="W86" i="1"/>
  <c r="AA106" i="1"/>
  <c r="AA112" i="1"/>
  <c r="AA114" i="1"/>
  <c r="AA124" i="1"/>
  <c r="AA128" i="1"/>
  <c r="W137" i="1"/>
  <c r="V138" i="1"/>
  <c r="AA138" i="1"/>
  <c r="V142" i="1"/>
  <c r="Z142" i="1"/>
  <c r="Y144" i="1"/>
  <c r="AA144" i="1"/>
  <c r="Z144" i="1"/>
  <c r="V145" i="1"/>
  <c r="V146" i="1"/>
  <c r="Y146" i="1"/>
  <c r="V147" i="1"/>
  <c r="V148" i="1"/>
  <c r="Y148" i="1"/>
  <c r="AA148" i="1"/>
  <c r="Z148" i="1"/>
  <c r="V149" i="1"/>
  <c r="V150" i="1"/>
  <c r="Z150" i="1"/>
  <c r="V151" i="1"/>
  <c r="V153" i="1"/>
  <c r="V154" i="1"/>
  <c r="V155" i="1"/>
  <c r="V156" i="1"/>
  <c r="Y156" i="1"/>
  <c r="AA156" i="1"/>
  <c r="Z156" i="1"/>
  <c r="V157" i="1"/>
  <c r="V158" i="1"/>
  <c r="AA158" i="1"/>
  <c r="V159" i="1"/>
  <c r="V160" i="1"/>
  <c r="Y160" i="1"/>
  <c r="AA160" i="1"/>
  <c r="Z160" i="1"/>
  <c r="V161" i="1"/>
  <c r="V162" i="1"/>
  <c r="V163" i="1"/>
  <c r="V164" i="1"/>
  <c r="Y164" i="1"/>
  <c r="AA164" i="1"/>
  <c r="Z164" i="1"/>
  <c r="V165" i="1"/>
  <c r="V166" i="1"/>
  <c r="AA166" i="1"/>
  <c r="Y168" i="1"/>
  <c r="AA168" i="1"/>
  <c r="Z168" i="1"/>
  <c r="V170" i="1"/>
  <c r="V171" i="1"/>
  <c r="Y172" i="1"/>
  <c r="AA172" i="1"/>
  <c r="Z172" i="1"/>
  <c r="V174" i="1"/>
  <c r="Y174" i="1"/>
  <c r="V175" i="1"/>
  <c r="V176" i="1"/>
  <c r="Y176" i="1"/>
  <c r="AA176" i="1"/>
  <c r="Z176" i="1"/>
  <c r="V178" i="1"/>
  <c r="Z178" i="1"/>
  <c r="V181" i="1"/>
  <c r="V183" i="1"/>
  <c r="V184" i="1"/>
  <c r="Y184" i="1"/>
  <c r="AA184" i="1"/>
  <c r="Z184" i="1"/>
  <c r="V185" i="1"/>
  <c r="V190" i="1"/>
  <c r="AA190" i="1"/>
  <c r="V192" i="1"/>
  <c r="Y192" i="1"/>
  <c r="AA192" i="1"/>
  <c r="Z192" i="1"/>
  <c r="V193" i="1"/>
  <c r="Y196" i="1"/>
  <c r="AA196" i="1"/>
  <c r="Z196" i="1"/>
  <c r="V197" i="1"/>
  <c r="V200" i="1"/>
  <c r="Y200" i="1"/>
  <c r="AA200" i="1"/>
  <c r="Z200" i="1"/>
  <c r="V201" i="1"/>
  <c r="V204" i="1"/>
  <c r="Y204" i="1"/>
  <c r="AA204" i="1"/>
  <c r="Z204" i="1"/>
  <c r="AA206" i="1"/>
  <c r="Y208" i="1"/>
  <c r="AA208" i="1"/>
  <c r="Z208" i="1"/>
  <c r="V209" i="1"/>
  <c r="V211" i="1"/>
  <c r="Y212" i="1"/>
  <c r="AA212" i="1"/>
  <c r="Z212" i="1"/>
  <c r="V213" i="1"/>
  <c r="V215" i="1"/>
  <c r="Y216" i="1"/>
  <c r="AA216" i="1"/>
  <c r="Z216" i="1"/>
  <c r="V217" i="1"/>
  <c r="V227" i="1"/>
  <c r="V228" i="1"/>
  <c r="Z228" i="1"/>
  <c r="V229" i="1"/>
  <c r="V230" i="1"/>
  <c r="V231" i="1"/>
  <c r="V232" i="1"/>
  <c r="Z232" i="1"/>
  <c r="V233" i="1"/>
  <c r="V234" i="1"/>
  <c r="V235" i="1"/>
  <c r="V236" i="1"/>
  <c r="Z236" i="1"/>
  <c r="V237" i="1"/>
  <c r="V238" i="1"/>
  <c r="V239" i="1"/>
  <c r="V240" i="1"/>
  <c r="Z240" i="1"/>
  <c r="V241" i="1"/>
  <c r="V242" i="1"/>
  <c r="V249" i="1"/>
  <c r="V254" i="1"/>
  <c r="V263" i="1"/>
  <c r="Z266" i="1"/>
  <c r="V267" i="1"/>
  <c r="V268" i="1"/>
  <c r="AA268" i="1"/>
  <c r="W269" i="1"/>
  <c r="W270" i="1"/>
  <c r="W271" i="1"/>
  <c r="W272" i="1"/>
  <c r="AA272" i="1"/>
  <c r="W273" i="1"/>
  <c r="W274" i="1"/>
  <c r="AA274" i="1"/>
  <c r="W275" i="1"/>
  <c r="W276" i="1"/>
  <c r="AA276" i="1"/>
  <c r="W277" i="1"/>
  <c r="W278" i="1"/>
  <c r="W279" i="1"/>
  <c r="W280" i="1"/>
  <c r="AA280" i="1"/>
  <c r="W281" i="1"/>
  <c r="W282" i="1"/>
  <c r="AA282" i="1"/>
  <c r="W283" i="1"/>
  <c r="W284" i="1"/>
  <c r="AA284" i="1"/>
  <c r="W285" i="1"/>
  <c r="W286" i="1"/>
  <c r="W287" i="1"/>
  <c r="W288" i="1"/>
  <c r="AA288" i="1"/>
  <c r="W289" i="1"/>
  <c r="W290" i="1"/>
  <c r="W291" i="1"/>
  <c r="W292" i="1"/>
  <c r="AA292" i="1"/>
  <c r="W293" i="1"/>
  <c r="W294" i="1"/>
  <c r="W295" i="1"/>
  <c r="W297" i="1"/>
  <c r="W298" i="1"/>
  <c r="AA298" i="1"/>
  <c r="W300" i="1"/>
  <c r="AA300" i="1"/>
  <c r="W301" i="1"/>
  <c r="W304" i="1"/>
  <c r="AA304" i="1"/>
  <c r="W306" i="1"/>
  <c r="W307" i="1"/>
  <c r="W308" i="1"/>
  <c r="AA308" i="1"/>
  <c r="W309" i="1"/>
  <c r="W314" i="1"/>
  <c r="W315" i="1"/>
  <c r="W317" i="1"/>
  <c r="W318" i="1"/>
  <c r="W319" i="1"/>
  <c r="W320" i="1"/>
  <c r="AA320" i="1"/>
  <c r="W323" i="1"/>
  <c r="AA324" i="1"/>
  <c r="W325" i="1"/>
  <c r="W335" i="1"/>
  <c r="W339" i="1"/>
  <c r="AA340" i="1"/>
  <c r="W341" i="1"/>
  <c r="AA344" i="1"/>
  <c r="W345" i="1"/>
  <c r="Z356" i="1"/>
  <c r="AA356" i="1"/>
  <c r="W357" i="1"/>
  <c r="Z360" i="1"/>
  <c r="AA360" i="1"/>
  <c r="W375" i="1"/>
  <c r="Z376" i="1"/>
  <c r="AA376" i="1"/>
  <c r="W377" i="1"/>
  <c r="W379" i="1"/>
  <c r="Z380" i="1"/>
  <c r="AA380" i="1"/>
  <c r="W381" i="1"/>
  <c r="W383" i="1"/>
  <c r="W385" i="1"/>
  <c r="Z386" i="1"/>
  <c r="U398" i="1"/>
  <c r="U416" i="1"/>
  <c r="Z416" i="1"/>
  <c r="AA416" i="1"/>
  <c r="U417" i="1"/>
  <c r="U418" i="1"/>
  <c r="U419" i="1"/>
  <c r="W420" i="1"/>
  <c r="Z420" i="1"/>
  <c r="U421" i="1"/>
  <c r="U423" i="1"/>
  <c r="W424" i="1"/>
  <c r="Z424" i="1"/>
  <c r="U425" i="1"/>
  <c r="W426" i="1"/>
  <c r="W427" i="1"/>
  <c r="W428" i="1"/>
  <c r="AA428" i="1"/>
  <c r="W429" i="1"/>
  <c r="W430" i="1"/>
  <c r="AA430" i="1"/>
  <c r="W432" i="1"/>
  <c r="AA432" i="1"/>
  <c r="W438" i="1"/>
  <c r="W441" i="1"/>
  <c r="W442" i="1"/>
  <c r="W444" i="1"/>
  <c r="AA444" i="1"/>
  <c r="W445" i="1"/>
  <c r="W446" i="1"/>
  <c r="W447" i="1"/>
  <c r="W448" i="1"/>
  <c r="AA448" i="1"/>
  <c r="W449" i="1"/>
  <c r="W452" i="1"/>
  <c r="AA452" i="1"/>
  <c r="W460" i="1"/>
  <c r="AA460" i="1"/>
  <c r="W462" i="1"/>
  <c r="W465" i="1"/>
  <c r="W468" i="1"/>
  <c r="AA468" i="1"/>
  <c r="AA470" i="1"/>
  <c r="W471" i="1"/>
  <c r="W472" i="1"/>
  <c r="AA472" i="1"/>
  <c r="W473" i="1"/>
  <c r="W475" i="1"/>
  <c r="Z475" i="1"/>
  <c r="AA476" i="1"/>
  <c r="W477" i="1"/>
  <c r="W478" i="1"/>
  <c r="W479" i="1"/>
  <c r="W480" i="1"/>
  <c r="AA480" i="1"/>
  <c r="W481" i="1"/>
  <c r="W482" i="1"/>
  <c r="W483" i="1"/>
  <c r="W484" i="1"/>
  <c r="AA484" i="1"/>
  <c r="W485" i="1"/>
  <c r="W486" i="1"/>
  <c r="W488" i="1"/>
  <c r="AA488" i="1"/>
  <c r="W489" i="1"/>
  <c r="W494" i="1"/>
  <c r="AA494" i="1"/>
  <c r="W495" i="1"/>
  <c r="W496" i="1"/>
  <c r="AA496" i="1"/>
  <c r="W497" i="1"/>
  <c r="W498" i="1"/>
  <c r="W499" i="1"/>
  <c r="W500" i="1"/>
  <c r="AA500" i="1"/>
  <c r="W501" i="1"/>
  <c r="W502" i="1"/>
  <c r="W503" i="1"/>
  <c r="W504" i="1"/>
  <c r="AA504" i="1"/>
  <c r="W505" i="1"/>
  <c r="W506" i="1"/>
  <c r="W507" i="1"/>
  <c r="W508" i="1"/>
  <c r="AA508" i="1"/>
  <c r="W511" i="1"/>
  <c r="W512" i="1"/>
  <c r="AA512" i="1"/>
  <c r="W513" i="1"/>
  <c r="W514" i="1"/>
  <c r="W515" i="1"/>
  <c r="W516" i="1"/>
  <c r="AA516" i="1"/>
  <c r="W517" i="1"/>
  <c r="W519" i="1"/>
  <c r="W520" i="1"/>
  <c r="AA520" i="1"/>
  <c r="W523" i="1"/>
  <c r="W524" i="1"/>
  <c r="AA524" i="1"/>
  <c r="W525" i="1"/>
  <c r="W526" i="1"/>
  <c r="W527" i="1"/>
  <c r="W528" i="1"/>
  <c r="AA528" i="1"/>
  <c r="W529" i="1"/>
  <c r="W530" i="1"/>
  <c r="W531" i="1"/>
  <c r="W532" i="1"/>
  <c r="AA532" i="1"/>
  <c r="W536" i="1"/>
  <c r="AA536" i="1"/>
  <c r="W537" i="1"/>
  <c r="W538" i="1"/>
  <c r="W539" i="1"/>
  <c r="AA539" i="1"/>
  <c r="AA540" i="1"/>
  <c r="W542" i="1"/>
  <c r="W543" i="1"/>
  <c r="W544" i="1"/>
  <c r="AA544" i="1"/>
  <c r="W546" i="1"/>
  <c r="AA546" i="1"/>
  <c r="W556" i="1"/>
  <c r="AA556" i="1"/>
  <c r="W557" i="1"/>
  <c r="W560" i="1"/>
  <c r="AA560" i="1"/>
  <c r="W561" i="1"/>
  <c r="W581" i="1"/>
  <c r="W582" i="1"/>
  <c r="AA582" i="1"/>
  <c r="W583" i="1"/>
  <c r="W586" i="1"/>
  <c r="W589" i="1"/>
  <c r="W597" i="1"/>
  <c r="W599" i="1"/>
  <c r="W600" i="1"/>
  <c r="Y600" i="1"/>
  <c r="AA600" i="1"/>
  <c r="W601" i="1"/>
  <c r="W602" i="1"/>
  <c r="W603" i="1"/>
  <c r="W605" i="1"/>
  <c r="W607" i="1"/>
  <c r="W608" i="1"/>
  <c r="Y608" i="1"/>
  <c r="AA608" i="1"/>
  <c r="W610" i="1"/>
  <c r="W611" i="1"/>
  <c r="Y624" i="1"/>
  <c r="U625" i="1"/>
  <c r="U626" i="1"/>
  <c r="Y626" i="1"/>
  <c r="U627" i="1"/>
  <c r="U628" i="1"/>
  <c r="U629" i="1"/>
  <c r="U635" i="1"/>
  <c r="Y642" i="1"/>
  <c r="Y646" i="1"/>
  <c r="Y654" i="1"/>
  <c r="Y658" i="1"/>
  <c r="Y662" i="1"/>
  <c r="Y664" i="1"/>
  <c r="Y666" i="1"/>
  <c r="Y674" i="1"/>
  <c r="Y678" i="1"/>
  <c r="Y686" i="1"/>
  <c r="Y693" i="1"/>
  <c r="Y694" i="1"/>
  <c r="Y698" i="1"/>
  <c r="Y706" i="1"/>
  <c r="Y718" i="1"/>
  <c r="Y722" i="1"/>
  <c r="Y726" i="1"/>
  <c r="Y731" i="1"/>
  <c r="Y737" i="1"/>
  <c r="Y747" i="1"/>
  <c r="Y751" i="1"/>
  <c r="Y755" i="1"/>
  <c r="Y779" i="1"/>
  <c r="U859" i="1"/>
  <c r="U868" i="1"/>
  <c r="U869" i="1"/>
  <c r="U872" i="1"/>
  <c r="U873" i="1"/>
  <c r="U874" i="1"/>
  <c r="U875" i="1"/>
  <c r="U876" i="1"/>
  <c r="U879" i="1"/>
  <c r="U880" i="1"/>
  <c r="U881" i="1"/>
  <c r="U884" i="1"/>
  <c r="U885" i="1"/>
  <c r="Y885" i="1"/>
  <c r="V886" i="1"/>
  <c r="U887" i="1"/>
  <c r="Y887" i="1"/>
  <c r="AA887" i="1"/>
  <c r="Z887" i="1"/>
  <c r="V888" i="1"/>
  <c r="U889" i="1"/>
  <c r="AA889" i="1"/>
  <c r="V892" i="1"/>
  <c r="U893" i="1"/>
  <c r="Z893" i="1"/>
  <c r="V894" i="1"/>
  <c r="Y895" i="1"/>
  <c r="AA895" i="1"/>
  <c r="Z895" i="1"/>
  <c r="V898" i="1"/>
  <c r="U899" i="1"/>
  <c r="Y899" i="1"/>
  <c r="AA899" i="1"/>
  <c r="Z899" i="1"/>
  <c r="AA901" i="1"/>
  <c r="V902" i="1"/>
  <c r="U903" i="1"/>
  <c r="Y903" i="1"/>
  <c r="AA903" i="1"/>
  <c r="Z903" i="1"/>
  <c r="V906" i="1"/>
  <c r="U907" i="1"/>
  <c r="Y907" i="1"/>
  <c r="AA907" i="1"/>
  <c r="Z907" i="1"/>
  <c r="AA909" i="1"/>
  <c r="V910" i="1"/>
  <c r="Y911" i="1"/>
  <c r="AA911" i="1"/>
  <c r="Z911" i="1"/>
  <c r="V914" i="1"/>
  <c r="U915" i="1"/>
  <c r="Y915" i="1"/>
  <c r="AA915" i="1"/>
  <c r="Z915" i="1"/>
  <c r="AA917" i="1"/>
  <c r="U919" i="1"/>
  <c r="Y919" i="1"/>
  <c r="AA919" i="1"/>
  <c r="Z919" i="1"/>
  <c r="Y929" i="1"/>
  <c r="V930" i="1"/>
  <c r="U931" i="1"/>
  <c r="Y931" i="1"/>
  <c r="AA931" i="1"/>
  <c r="Z931" i="1"/>
  <c r="Z933" i="1"/>
  <c r="Y935" i="1"/>
  <c r="AA935" i="1"/>
  <c r="Z935" i="1"/>
  <c r="U936" i="1"/>
  <c r="Y937" i="1"/>
  <c r="U938" i="1"/>
  <c r="Y939" i="1"/>
  <c r="AA939" i="1"/>
  <c r="Z939" i="1"/>
  <c r="U940" i="1"/>
  <c r="Z941" i="1"/>
  <c r="U944" i="1"/>
  <c r="U945" i="1"/>
  <c r="U946" i="1"/>
  <c r="U947" i="1"/>
  <c r="AA947" i="1"/>
  <c r="Z947" i="1"/>
  <c r="U948" i="1"/>
  <c r="U949" i="1"/>
  <c r="U950" i="1"/>
  <c r="AA951" i="1"/>
  <c r="Z951" i="1"/>
  <c r="U952" i="1"/>
  <c r="U954" i="1"/>
  <c r="AA955" i="1"/>
  <c r="Z955" i="1"/>
  <c r="U957" i="1"/>
  <c r="Z957" i="1"/>
  <c r="AA959" i="1"/>
  <c r="Z959" i="1"/>
  <c r="Z961" i="1"/>
  <c r="U962" i="1"/>
  <c r="AA963" i="1"/>
  <c r="Z963" i="1"/>
  <c r="Z965" i="1"/>
  <c r="U969" i="1"/>
  <c r="U973" i="1"/>
  <c r="Z973" i="1"/>
  <c r="U981" i="1"/>
  <c r="U982" i="1"/>
  <c r="U984" i="1"/>
  <c r="U987" i="1"/>
  <c r="Z987" i="1"/>
  <c r="U988" i="1"/>
  <c r="U998" i="1"/>
  <c r="U999" i="1"/>
  <c r="Z999" i="1"/>
  <c r="U1003" i="1"/>
  <c r="U1005" i="1"/>
  <c r="Z1007" i="1"/>
  <c r="V1014" i="1"/>
  <c r="Z1014" i="1"/>
  <c r="Z1018" i="1"/>
  <c r="V1021" i="1"/>
  <c r="V1022" i="1"/>
  <c r="V1023" i="1"/>
  <c r="V1024" i="1"/>
  <c r="Z1024" i="1"/>
  <c r="V1028" i="1"/>
  <c r="Z1028" i="1"/>
  <c r="Z1029" i="1"/>
  <c r="V1031" i="1"/>
  <c r="Z1032" i="1"/>
  <c r="V1034" i="1"/>
  <c r="Z1034" i="1"/>
  <c r="V1035" i="1"/>
  <c r="Z1036" i="1"/>
  <c r="V1040" i="1"/>
  <c r="Z1040" i="1"/>
  <c r="Z1044" i="1"/>
  <c r="V1046" i="1"/>
  <c r="V1047" i="1"/>
  <c r="V1050" i="1"/>
  <c r="Z1051" i="1"/>
  <c r="V1056" i="1"/>
  <c r="Z1056" i="1"/>
  <c r="Z1060" i="1"/>
  <c r="V1077" i="1"/>
  <c r="V1080" i="1"/>
  <c r="V1081" i="1"/>
  <c r="V1082" i="1"/>
  <c r="Z1082" i="1"/>
  <c r="V1086" i="1"/>
  <c r="Z1086" i="1"/>
  <c r="V1087" i="1"/>
  <c r="V1088" i="1"/>
  <c r="V1090" i="1"/>
  <c r="Z1090" i="1"/>
  <c r="V1091" i="1"/>
  <c r="V1095" i="1"/>
  <c r="V1096" i="1"/>
  <c r="V1100" i="1"/>
  <c r="Z1102" i="1"/>
  <c r="V1103" i="1"/>
  <c r="V1104" i="1"/>
  <c r="V1107" i="1"/>
  <c r="V1108" i="1"/>
  <c r="Z1109" i="1"/>
  <c r="V1111" i="1"/>
  <c r="Z1112" i="1"/>
  <c r="Z1118" i="1"/>
  <c r="V1122" i="1"/>
  <c r="Z1122" i="1"/>
  <c r="V1128" i="1"/>
  <c r="Z1128" i="1"/>
  <c r="Z1161" i="1"/>
  <c r="U1197" i="1"/>
  <c r="Z1197" i="1"/>
  <c r="AA1197" i="1"/>
  <c r="Y1197" i="1"/>
  <c r="U1208" i="1"/>
  <c r="U1219" i="1"/>
  <c r="AA1219" i="1"/>
  <c r="Y1235" i="1"/>
  <c r="U1239" i="1"/>
  <c r="Z1247" i="1"/>
  <c r="U1248" i="1"/>
  <c r="U1249" i="1"/>
  <c r="Z1249" i="1"/>
  <c r="AA1249" i="1"/>
  <c r="Y1249" i="1"/>
  <c r="U1250" i="1"/>
  <c r="Y1251" i="1"/>
  <c r="U1254" i="1"/>
  <c r="U1255" i="1"/>
  <c r="U1256" i="1"/>
  <c r="U1258" i="1"/>
  <c r="U1259" i="1"/>
  <c r="Z1259" i="1"/>
  <c r="U1260" i="1"/>
  <c r="U1261" i="1"/>
  <c r="Z1261" i="1"/>
  <c r="AA1261" i="1"/>
  <c r="Y1261" i="1"/>
  <c r="U1262" i="1"/>
  <c r="U1263" i="1"/>
  <c r="Y1263" i="1"/>
  <c r="U1264" i="1"/>
  <c r="U1266" i="1"/>
  <c r="U1267" i="1"/>
  <c r="Z1267" i="1"/>
  <c r="U1269" i="1"/>
  <c r="Z1269" i="1"/>
  <c r="AA1269" i="1"/>
  <c r="Y1269" i="1"/>
  <c r="U1272" i="1"/>
  <c r="U1273" i="1"/>
  <c r="Z1273" i="1"/>
  <c r="AA1273" i="1"/>
  <c r="Y1273" i="1"/>
  <c r="U1274" i="1"/>
  <c r="U1275" i="1"/>
  <c r="U1278" i="1"/>
  <c r="U1279" i="1"/>
  <c r="Z1279" i="1"/>
  <c r="AA1281" i="1"/>
  <c r="V1283" i="1"/>
  <c r="AA1283" i="1"/>
  <c r="V1285" i="1"/>
  <c r="AA1285" i="1"/>
  <c r="Z1285" i="1"/>
  <c r="V1286" i="1"/>
  <c r="AA1289" i="1"/>
  <c r="Z1289" i="1"/>
  <c r="V1290" i="1"/>
  <c r="V1291" i="1"/>
  <c r="V1292" i="1"/>
  <c r="V1293" i="1"/>
  <c r="AA1293" i="1"/>
  <c r="Z1293" i="1"/>
  <c r="V1294" i="1"/>
  <c r="Z1294" i="1"/>
  <c r="V1295" i="1"/>
  <c r="Z1295" i="1"/>
  <c r="V1296" i="1"/>
  <c r="V1298" i="1"/>
  <c r="V1299" i="1"/>
  <c r="V1300" i="1"/>
  <c r="V1301" i="1"/>
  <c r="AA1301" i="1"/>
  <c r="Z1301" i="1"/>
  <c r="V1302" i="1"/>
  <c r="V1303" i="1"/>
  <c r="V1304" i="1"/>
  <c r="V1306" i="1"/>
  <c r="V1307" i="1"/>
  <c r="Z1307" i="1"/>
  <c r="V1308" i="1"/>
  <c r="AA1309" i="1"/>
  <c r="Z1309" i="1"/>
  <c r="W1316" i="1"/>
  <c r="W1319" i="1"/>
  <c r="W1320" i="1"/>
  <c r="W1321" i="1"/>
  <c r="AA1321" i="1"/>
  <c r="W1327" i="1"/>
  <c r="W1332" i="1"/>
  <c r="W1333" i="1"/>
  <c r="AA1333" i="1"/>
  <c r="W1334" i="1"/>
  <c r="W1336" i="1"/>
  <c r="W1338" i="1"/>
  <c r="W1339" i="1"/>
  <c r="W1340" i="1"/>
  <c r="W1341" i="1"/>
  <c r="AA1341" i="1"/>
  <c r="W1343" i="1"/>
  <c r="AA1349" i="1"/>
  <c r="AA1353" i="1"/>
  <c r="AA1359" i="1"/>
  <c r="AA1365" i="1"/>
  <c r="AA1370" i="1"/>
  <c r="AA1372" i="1"/>
  <c r="AA1374" i="1"/>
  <c r="AA1378" i="1"/>
  <c r="AA1382" i="1"/>
  <c r="AA1386" i="1"/>
  <c r="AA1390" i="1"/>
  <c r="AA1394" i="1"/>
  <c r="AA1398" i="1"/>
  <c r="AA1402" i="1"/>
  <c r="AA1408" i="1"/>
  <c r="AA1410" i="1"/>
  <c r="AA1422" i="1"/>
  <c r="AA1426" i="1"/>
  <c r="AA1430" i="1"/>
  <c r="AA1432" i="1"/>
  <c r="AA1434" i="1"/>
  <c r="AA1442" i="1"/>
  <c r="AA1446" i="1"/>
  <c r="AA1450" i="1"/>
  <c r="AA1462" i="1"/>
  <c r="AA1464" i="1"/>
  <c r="AA1466" i="1"/>
  <c r="AA1474" i="1"/>
  <c r="AA1476" i="1"/>
  <c r="AA1478" i="1"/>
  <c r="AA1496" i="1"/>
  <c r="AA1498" i="1"/>
  <c r="AA1504" i="1"/>
  <c r="AA1506" i="1"/>
  <c r="AA1510" i="1"/>
  <c r="AA1512" i="1"/>
  <c r="AA1514" i="1"/>
  <c r="AA1518" i="1"/>
  <c r="AA1522" i="1"/>
  <c r="AA1526" i="1"/>
  <c r="AA1530" i="1"/>
  <c r="AA1534" i="1"/>
  <c r="AA1536" i="1"/>
  <c r="AA1538" i="1"/>
  <c r="AA1546" i="1"/>
  <c r="AA1548" i="1"/>
  <c r="AA1550" i="1"/>
  <c r="AA1554" i="1"/>
  <c r="AA1556" i="1"/>
  <c r="AA1558" i="1"/>
  <c r="AA1562" i="1"/>
  <c r="AA1564" i="1"/>
  <c r="AA1566" i="1"/>
  <c r="AA1570" i="1"/>
  <c r="AA1574" i="1"/>
  <c r="AA1578" i="1"/>
  <c r="AA1582" i="1"/>
  <c r="AA1586" i="1"/>
  <c r="AA1590" i="1"/>
  <c r="AA1602" i="1"/>
  <c r="AA1604" i="1"/>
  <c r="AA1610" i="1"/>
  <c r="AA1614" i="1"/>
  <c r="AA1616" i="1"/>
  <c r="AA1618" i="1"/>
  <c r="W1636" i="1"/>
  <c r="U1637" i="1"/>
  <c r="W1648" i="1"/>
  <c r="Z1648" i="1"/>
  <c r="U1653" i="1"/>
  <c r="W1654" i="1"/>
  <c r="Z1654" i="1"/>
  <c r="U1655" i="1"/>
  <c r="W1660" i="1"/>
  <c r="U1665" i="1"/>
  <c r="U1676" i="1"/>
  <c r="U1681" i="1"/>
  <c r="U1691" i="1"/>
  <c r="Y1691" i="1"/>
  <c r="W1696" i="1"/>
  <c r="W1700" i="1"/>
  <c r="W1704" i="1"/>
  <c r="W1708" i="1"/>
  <c r="AA1708" i="1"/>
  <c r="W1709" i="1"/>
  <c r="W1712" i="1"/>
  <c r="W1716" i="1"/>
  <c r="W1717" i="1"/>
  <c r="W1719" i="1"/>
  <c r="AA1719" i="1"/>
  <c r="W1720" i="1"/>
  <c r="AA1720" i="1"/>
  <c r="W1721" i="1"/>
  <c r="W1722" i="1"/>
  <c r="AA1722" i="1"/>
  <c r="W1723" i="1"/>
  <c r="W1726" i="1"/>
  <c r="AA1726" i="1"/>
  <c r="W1728" i="1"/>
  <c r="W1730" i="1"/>
  <c r="AA1730" i="1"/>
  <c r="W1735" i="1"/>
  <c r="W1736" i="1"/>
  <c r="W1738" i="1"/>
  <c r="AA1738" i="1"/>
  <c r="W1740" i="1"/>
  <c r="W1741" i="1"/>
  <c r="W1742" i="1"/>
  <c r="AA1742" i="1"/>
  <c r="W1743" i="1"/>
  <c r="W1744" i="1"/>
  <c r="AA2033" i="1"/>
  <c r="AA2035" i="1"/>
  <c r="AA2037" i="1"/>
  <c r="AA2042" i="1"/>
  <c r="AA2053" i="1"/>
  <c r="AA2057" i="1"/>
  <c r="AA2073" i="1"/>
  <c r="AA2077" i="1"/>
  <c r="AA2081" i="1"/>
  <c r="AA2085" i="1"/>
  <c r="AA2089" i="1"/>
  <c r="AA2093" i="1"/>
  <c r="AA2095" i="1"/>
  <c r="AA2097" i="1"/>
  <c r="AA2103" i="1"/>
  <c r="AA2105" i="1"/>
  <c r="AA2109" i="1"/>
  <c r="AA2111" i="1"/>
  <c r="AA2113" i="1"/>
  <c r="AA2121" i="1"/>
  <c r="AA2125" i="1"/>
  <c r="AA2129" i="1"/>
  <c r="AA2131" i="1"/>
  <c r="AA2133" i="1"/>
  <c r="V2166" i="1"/>
  <c r="V2167" i="1"/>
  <c r="Z2167" i="1"/>
  <c r="V2168" i="1"/>
  <c r="V2169" i="1"/>
  <c r="Y2169" i="1"/>
  <c r="AA2169" i="1"/>
  <c r="Z2169" i="1"/>
  <c r="V2170" i="1"/>
  <c r="V2171" i="1"/>
  <c r="Y2171" i="1"/>
  <c r="V2172" i="1"/>
  <c r="V2175" i="1"/>
  <c r="AA2175" i="1"/>
  <c r="V2177" i="1"/>
  <c r="Y2177" i="1"/>
  <c r="AA2177" i="1"/>
  <c r="Z2177" i="1"/>
  <c r="V2178" i="1"/>
  <c r="V2179" i="1"/>
  <c r="V2180" i="1"/>
  <c r="V2181" i="1"/>
  <c r="Y2181" i="1"/>
  <c r="AA2181" i="1"/>
  <c r="Z2181" i="1"/>
  <c r="V2182" i="1"/>
  <c r="V2183" i="1"/>
  <c r="AA2183" i="1"/>
  <c r="V2184" i="1"/>
  <c r="V2185" i="1"/>
  <c r="Y2185" i="1"/>
  <c r="AA2185" i="1"/>
  <c r="Z2185" i="1"/>
  <c r="V2186" i="1"/>
  <c r="AA2186" i="1"/>
  <c r="V2187" i="1"/>
  <c r="Z2187" i="1"/>
  <c r="V2188" i="1"/>
  <c r="V2189" i="1"/>
  <c r="Y2189" i="1"/>
  <c r="AA2189" i="1"/>
  <c r="Z2189" i="1"/>
  <c r="V2191" i="1"/>
  <c r="Y2191" i="1"/>
  <c r="V2192" i="1"/>
  <c r="V2194" i="1"/>
  <c r="V2195" i="1"/>
  <c r="AA2195" i="1"/>
  <c r="V2196" i="1"/>
  <c r="V2197" i="1"/>
  <c r="Y2197" i="1"/>
  <c r="AA2197" i="1"/>
  <c r="Z2197" i="1"/>
  <c r="V2198" i="1"/>
  <c r="V2199" i="1"/>
  <c r="V2200" i="1"/>
  <c r="Y2200" i="1"/>
  <c r="V2201" i="1"/>
  <c r="Y2201" i="1"/>
  <c r="AA2201" i="1"/>
  <c r="Z2201" i="1"/>
  <c r="V2202" i="1"/>
  <c r="V2203" i="1"/>
  <c r="Y2203" i="1"/>
  <c r="V2204" i="1"/>
  <c r="V2205" i="1"/>
  <c r="Y2205" i="1"/>
  <c r="AA2205" i="1"/>
  <c r="Z2205" i="1"/>
  <c r="V2207" i="1"/>
  <c r="Z2207" i="1"/>
  <c r="V2208" i="1"/>
  <c r="V2209" i="1"/>
  <c r="Y2209" i="1"/>
  <c r="AA2209" i="1"/>
  <c r="Z2209" i="1"/>
  <c r="V2210" i="1"/>
  <c r="V2211" i="1"/>
  <c r="Y2211" i="1"/>
  <c r="V2212" i="1"/>
  <c r="V2213" i="1"/>
  <c r="Y2213" i="1"/>
  <c r="AA2213" i="1"/>
  <c r="Z2213" i="1"/>
  <c r="V2214" i="1"/>
  <c r="V2215" i="1"/>
  <c r="Z2215" i="1"/>
  <c r="V2216" i="1"/>
  <c r="V2217" i="1"/>
  <c r="Y2217" i="1"/>
  <c r="AA2217" i="1"/>
  <c r="Z2217" i="1"/>
  <c r="V2218" i="1"/>
  <c r="V2219" i="1"/>
  <c r="Y2219" i="1"/>
  <c r="V2220" i="1"/>
  <c r="V2221" i="1"/>
  <c r="Y2221" i="1"/>
  <c r="AA2221" i="1"/>
  <c r="Z2221" i="1"/>
  <c r="V2222" i="1"/>
  <c r="Y2222" i="1"/>
  <c r="V2223" i="1"/>
  <c r="AA2223" i="1"/>
  <c r="V2226" i="1"/>
  <c r="Z2226" i="1"/>
  <c r="V2227" i="1"/>
  <c r="AA2227" i="1"/>
  <c r="V2228" i="1"/>
  <c r="V2229" i="1"/>
  <c r="Y2229" i="1"/>
  <c r="AA2229" i="1"/>
  <c r="Z2229" i="1"/>
  <c r="V2230" i="1"/>
  <c r="Y2230" i="1"/>
  <c r="V2231" i="1"/>
  <c r="Z2231" i="1"/>
  <c r="V2232" i="1"/>
  <c r="V2233" i="1"/>
  <c r="Y2233" i="1"/>
  <c r="AA2233" i="1"/>
  <c r="Z2233" i="1"/>
  <c r="V2235" i="1"/>
  <c r="Y2235" i="1"/>
  <c r="V2236" i="1"/>
  <c r="V2237" i="1"/>
  <c r="Y2237" i="1"/>
  <c r="AA2237" i="1"/>
  <c r="Z2237" i="1"/>
  <c r="V2238" i="1"/>
  <c r="V2239" i="1"/>
  <c r="Z2239" i="1"/>
  <c r="V2240" i="1"/>
  <c r="V2241" i="1"/>
  <c r="Y2241" i="1"/>
  <c r="AA2241" i="1"/>
  <c r="Z2241" i="1"/>
  <c r="V2242" i="1"/>
  <c r="V2244" i="1"/>
  <c r="V2245" i="1"/>
  <c r="Y2245" i="1"/>
  <c r="AA2245" i="1"/>
  <c r="Z2245" i="1"/>
  <c r="V2246" i="1"/>
  <c r="V2247" i="1"/>
  <c r="AA2247" i="1"/>
  <c r="V2248" i="1"/>
  <c r="V2249" i="1"/>
  <c r="Y2249" i="1"/>
  <c r="AA2249" i="1"/>
  <c r="Z2249" i="1"/>
  <c r="V2250" i="1"/>
  <c r="Z2250" i="1"/>
  <c r="V2252" i="1"/>
  <c r="V2253" i="1"/>
  <c r="Z2253" i="1"/>
  <c r="V2254" i="1"/>
  <c r="V2255" i="1"/>
  <c r="V2256" i="1"/>
  <c r="V2257" i="1"/>
  <c r="Z2257" i="1"/>
  <c r="V2258" i="1"/>
  <c r="V2261" i="1"/>
  <c r="Z2261" i="1"/>
  <c r="V2262" i="1"/>
  <c r="V2263" i="1"/>
  <c r="V2264" i="1"/>
  <c r="V2265" i="1"/>
  <c r="Z2265" i="1"/>
  <c r="V2266" i="1"/>
  <c r="V2267" i="1"/>
  <c r="Z2267" i="1"/>
  <c r="V2268" i="1"/>
  <c r="V2269" i="1"/>
  <c r="Z2269" i="1"/>
  <c r="V2270" i="1"/>
  <c r="V2271" i="1"/>
  <c r="V2275" i="1"/>
  <c r="V2276" i="1"/>
  <c r="V2277" i="1"/>
  <c r="Z2277" i="1"/>
  <c r="V2278" i="1"/>
  <c r="V2279" i="1"/>
  <c r="V2281" i="1"/>
  <c r="Z2281" i="1"/>
  <c r="V2282" i="1"/>
  <c r="V2283" i="1"/>
  <c r="V2285" i="1"/>
  <c r="Z2285" i="1"/>
  <c r="V2286" i="1"/>
  <c r="Z2286" i="1"/>
  <c r="V2287" i="1"/>
  <c r="V2288" i="1"/>
  <c r="V2289" i="1"/>
  <c r="Z2289" i="1"/>
  <c r="V2290" i="1"/>
  <c r="V2291" i="1"/>
  <c r="Z2291" i="1"/>
  <c r="V2292" i="1"/>
  <c r="V2293" i="1"/>
  <c r="Z2293" i="1"/>
  <c r="V2294" i="1"/>
  <c r="V2295" i="1"/>
  <c r="V2296" i="1"/>
  <c r="V2298" i="1"/>
  <c r="Y2298" i="1"/>
  <c r="V2299" i="1"/>
  <c r="Z2299" i="1"/>
  <c r="V2300" i="1"/>
  <c r="V2301" i="1"/>
  <c r="Z2301" i="1"/>
  <c r="V2302" i="1"/>
  <c r="Z2302" i="1"/>
  <c r="V2303" i="1"/>
  <c r="V2304" i="1"/>
  <c r="V2305" i="1"/>
  <c r="Z2305" i="1"/>
  <c r="V2307" i="1"/>
  <c r="V2308" i="1"/>
  <c r="V2309" i="1"/>
  <c r="Z2309" i="1"/>
  <c r="V2310" i="1"/>
  <c r="V2311" i="1"/>
  <c r="V2312" i="1"/>
  <c r="V2313" i="1"/>
  <c r="Z2313" i="1"/>
  <c r="V2314" i="1"/>
  <c r="V2315" i="1"/>
  <c r="V2317" i="1"/>
  <c r="Z2317" i="1"/>
  <c r="V2318" i="1"/>
  <c r="Y2318" i="1"/>
  <c r="V2324" i="1"/>
  <c r="V2325" i="1"/>
  <c r="Z2325" i="1"/>
  <c r="V2329" i="1"/>
  <c r="Z2329" i="1"/>
  <c r="V2336" i="1"/>
  <c r="V2338" i="1"/>
  <c r="Z2338" i="1"/>
  <c r="V2340" i="1"/>
  <c r="V2341" i="1"/>
  <c r="Z2341" i="1"/>
  <c r="V2342" i="1"/>
  <c r="V2344" i="1"/>
  <c r="V2346" i="1"/>
  <c r="V2350" i="1"/>
  <c r="V2352" i="1"/>
  <c r="V2355" i="1"/>
  <c r="V2358" i="1"/>
  <c r="V2359" i="1"/>
  <c r="V2362" i="1"/>
  <c r="V2363" i="1"/>
  <c r="V2364" i="1"/>
  <c r="V2365" i="1"/>
  <c r="Z2365" i="1"/>
  <c r="V2367" i="1"/>
  <c r="V2368" i="1"/>
  <c r="V2376" i="1"/>
  <c r="V2385" i="1"/>
  <c r="Z2385" i="1"/>
  <c r="V2386" i="1"/>
  <c r="V2387" i="1"/>
  <c r="V2389" i="1"/>
  <c r="Z2389" i="1"/>
  <c r="V2390" i="1"/>
  <c r="V2400" i="1"/>
  <c r="V2401" i="1"/>
  <c r="Z2401" i="1"/>
  <c r="V2402" i="1"/>
  <c r="V2405" i="1"/>
  <c r="Z2405" i="1"/>
  <c r="V2406" i="1"/>
  <c r="V2411" i="1"/>
  <c r="V2412" i="1"/>
  <c r="V2415" i="1"/>
  <c r="Z2415" i="1"/>
  <c r="V2423" i="1"/>
  <c r="V2424" i="1"/>
  <c r="V2426" i="1"/>
  <c r="V2428" i="1"/>
  <c r="V2429" i="1"/>
  <c r="Z2429" i="1"/>
  <c r="Z2437" i="1"/>
  <c r="V2440" i="1"/>
  <c r="V2441" i="1"/>
  <c r="Z2441" i="1"/>
  <c r="V2445" i="1"/>
  <c r="Z2445" i="1"/>
  <c r="V2446" i="1"/>
  <c r="Z2446" i="1"/>
  <c r="V2451" i="1"/>
  <c r="Z2451" i="1"/>
  <c r="V2460" i="1"/>
  <c r="V2461" i="1"/>
  <c r="Z2461" i="1"/>
  <c r="V2462" i="1"/>
  <c r="V2464" i="1"/>
  <c r="V2465" i="1"/>
  <c r="Z2465" i="1"/>
  <c r="V2467" i="1"/>
  <c r="Z2467" i="1"/>
  <c r="V2484" i="1"/>
  <c r="V2485" i="1"/>
  <c r="AA2485" i="1"/>
  <c r="Z2485" i="1"/>
  <c r="V2486" i="1"/>
  <c r="V2487" i="1"/>
  <c r="Z2487" i="1"/>
  <c r="V2488" i="1"/>
  <c r="V2489" i="1"/>
  <c r="AA2489" i="1"/>
  <c r="Z2489" i="1"/>
  <c r="V2490" i="1"/>
  <c r="V2491" i="1"/>
  <c r="Z2491" i="1"/>
  <c r="V2492" i="1"/>
  <c r="V2493" i="1"/>
  <c r="AA2493" i="1"/>
  <c r="Z2493" i="1"/>
  <c r="K63" i="13"/>
  <c r="K65" i="13" s="1"/>
  <c r="Z2492" i="1" l="1"/>
  <c r="AA495" i="1"/>
  <c r="Z319" i="1"/>
  <c r="Y2440" i="1"/>
  <c r="Y287" i="1"/>
  <c r="Z195" i="1"/>
  <c r="Z171" i="1"/>
  <c r="Z34" i="1"/>
  <c r="Y2340" i="1"/>
  <c r="Y531" i="1"/>
  <c r="Y519" i="1"/>
  <c r="AA379" i="1"/>
  <c r="Y2247" i="1"/>
  <c r="AA2239" i="1"/>
  <c r="AA2231" i="1"/>
  <c r="Y2227" i="1"/>
  <c r="Y2223" i="1"/>
  <c r="AA2215" i="1"/>
  <c r="AA2207" i="1"/>
  <c r="Z2199" i="1"/>
  <c r="Y2195" i="1"/>
  <c r="AA2187" i="1"/>
  <c r="Y2183" i="1"/>
  <c r="Z2179" i="1"/>
  <c r="Y2175" i="1"/>
  <c r="AA2167" i="1"/>
  <c r="Z1291" i="1"/>
  <c r="Y1275" i="1"/>
  <c r="AA1263" i="1"/>
  <c r="Y1255" i="1"/>
  <c r="AA1251" i="1"/>
  <c r="Y1239" i="1"/>
  <c r="AA1235" i="1"/>
  <c r="Z1219" i="1"/>
  <c r="AA941" i="1"/>
  <c r="AA933" i="1"/>
  <c r="Z925" i="1"/>
  <c r="Y917" i="1"/>
  <c r="Z913" i="1"/>
  <c r="Y909" i="1"/>
  <c r="Z905" i="1"/>
  <c r="Y901" i="1"/>
  <c r="AA893" i="1"/>
  <c r="Y889" i="1"/>
  <c r="AA610" i="1"/>
  <c r="AA602" i="1"/>
  <c r="AA418" i="1"/>
  <c r="AA398" i="1"/>
  <c r="AA382" i="1"/>
  <c r="Z210" i="1"/>
  <c r="Y206" i="1"/>
  <c r="Y190" i="1"/>
  <c r="Z182" i="1"/>
  <c r="AA178" i="1"/>
  <c r="Z170" i="1"/>
  <c r="Y166" i="1"/>
  <c r="Z162" i="1"/>
  <c r="Y158" i="1"/>
  <c r="Z154" i="1"/>
  <c r="AA150" i="1"/>
  <c r="AA142" i="1"/>
  <c r="Y138" i="1"/>
  <c r="Z41" i="1"/>
  <c r="Z37" i="1"/>
  <c r="AA2235" i="1"/>
  <c r="AA2219" i="1"/>
  <c r="AA2211" i="1"/>
  <c r="AA2203" i="1"/>
  <c r="Y2199" i="1"/>
  <c r="AA2191" i="1"/>
  <c r="Y2179" i="1"/>
  <c r="AA2171" i="1"/>
  <c r="AA1303" i="1"/>
  <c r="AA1299" i="1"/>
  <c r="AA1279" i="1"/>
  <c r="Z1275" i="1"/>
  <c r="AA1267" i="1"/>
  <c r="AA1259" i="1"/>
  <c r="Z1255" i="1"/>
  <c r="AA1247" i="1"/>
  <c r="Z1239" i="1"/>
  <c r="AA995" i="1"/>
  <c r="AA982" i="1"/>
  <c r="AA969" i="1"/>
  <c r="AA949" i="1"/>
  <c r="AA945" i="1"/>
  <c r="AA937" i="1"/>
  <c r="AA929" i="1"/>
  <c r="Y925" i="1"/>
  <c r="Y913" i="1"/>
  <c r="Y905" i="1"/>
  <c r="AA885" i="1"/>
  <c r="Y586" i="1"/>
  <c r="Z378" i="1"/>
  <c r="Z374" i="1"/>
  <c r="Y210" i="1"/>
  <c r="Y182" i="1"/>
  <c r="AA174" i="1"/>
  <c r="Y170" i="1"/>
  <c r="Y162" i="1"/>
  <c r="Y154" i="1"/>
  <c r="AA146" i="1"/>
  <c r="AA33" i="1"/>
  <c r="AA21" i="1"/>
  <c r="Z2484" i="1"/>
  <c r="Y2376" i="1"/>
  <c r="Z2336" i="1"/>
  <c r="Z2256" i="1"/>
  <c r="Y2236" i="1"/>
  <c r="Z2188" i="1"/>
  <c r="Z2184" i="1"/>
  <c r="AA2168" i="1"/>
  <c r="Y2164" i="1"/>
  <c r="AA1304" i="1"/>
  <c r="Z1292" i="1"/>
  <c r="Y984" i="1"/>
  <c r="AA962" i="1"/>
  <c r="AA950" i="1"/>
  <c r="Z942" i="1"/>
  <c r="Y611" i="1"/>
  <c r="Z515" i="1"/>
  <c r="Y503" i="1"/>
  <c r="Z339" i="1"/>
  <c r="Z323" i="1"/>
  <c r="Z315" i="1"/>
  <c r="AA279" i="1"/>
  <c r="Z215" i="1"/>
  <c r="AA183" i="1"/>
  <c r="Z179" i="1"/>
  <c r="Z10" i="1"/>
  <c r="Y2464" i="1"/>
  <c r="Y2412" i="1"/>
  <c r="Y2400" i="1"/>
  <c r="AA2344" i="1"/>
  <c r="Z2264" i="1"/>
  <c r="Y2488" i="1"/>
  <c r="Y2364" i="1"/>
  <c r="Y2352" i="1"/>
  <c r="Y2304" i="1"/>
  <c r="Y2300" i="1"/>
  <c r="Z2252" i="1"/>
  <c r="AA2232" i="1"/>
  <c r="AA2228" i="1"/>
  <c r="Y2204" i="1"/>
  <c r="Z2180" i="1"/>
  <c r="Z966" i="1"/>
  <c r="Z543" i="1"/>
  <c r="AA511" i="1"/>
  <c r="Z499" i="1"/>
  <c r="Y479" i="1"/>
  <c r="Y423" i="1"/>
  <c r="Z375" i="1"/>
  <c r="AA307" i="1"/>
  <c r="Z299" i="1"/>
  <c r="Z175" i="1"/>
  <c r="AA2428" i="1"/>
  <c r="AA2276" i="1"/>
  <c r="Z2268" i="1"/>
  <c r="Y2240" i="1"/>
  <c r="Y2196" i="1"/>
  <c r="AA2192" i="1"/>
  <c r="AA2172" i="1"/>
  <c r="AA1681" i="1"/>
  <c r="Y1005" i="1"/>
  <c r="Y958" i="1"/>
  <c r="Y946" i="1"/>
  <c r="Y603" i="1"/>
  <c r="AA527" i="1"/>
  <c r="AA471" i="1"/>
  <c r="Z447" i="1"/>
  <c r="Y419" i="1"/>
  <c r="Y335" i="1"/>
  <c r="AA295" i="1"/>
  <c r="Z283" i="1"/>
  <c r="Y271" i="1"/>
  <c r="AA159" i="1"/>
  <c r="Z2406" i="1"/>
  <c r="AA2358" i="1"/>
  <c r="AA2346" i="1"/>
  <c r="AA2314" i="1"/>
  <c r="AA2218" i="1"/>
  <c r="AA2178" i="1"/>
  <c r="Y2386" i="1"/>
  <c r="Z2350" i="1"/>
  <c r="Z2310" i="1"/>
  <c r="Y2294" i="1"/>
  <c r="AA2242" i="1"/>
  <c r="Z2214" i="1"/>
  <c r="Z2170" i="1"/>
  <c r="Y2166" i="1"/>
  <c r="AA994" i="1"/>
  <c r="AA213" i="1"/>
  <c r="AA2462" i="1"/>
  <c r="Z2402" i="1"/>
  <c r="AA2362" i="1"/>
  <c r="AA2342" i="1"/>
  <c r="AA2290" i="1"/>
  <c r="Y2278" i="1"/>
  <c r="AA2266" i="1"/>
  <c r="AA2254" i="1"/>
  <c r="AA2198" i="1"/>
  <c r="Y2490" i="1"/>
  <c r="Y2486" i="1"/>
  <c r="Z2462" i="1"/>
  <c r="Y2426" i="1"/>
  <c r="Y2390" i="1"/>
  <c r="AA2386" i="1"/>
  <c r="Z2362" i="1"/>
  <c r="Z2358" i="1"/>
  <c r="Z2346" i="1"/>
  <c r="Z2342" i="1"/>
  <c r="AA2318" i="1"/>
  <c r="Z2314" i="1"/>
  <c r="AA2298" i="1"/>
  <c r="AA2294" i="1"/>
  <c r="Z2290" i="1"/>
  <c r="Y2282" i="1"/>
  <c r="AA2278" i="1"/>
  <c r="Y2270" i="1"/>
  <c r="Z2266" i="1"/>
  <c r="Y2262" i="1"/>
  <c r="Y2258" i="1"/>
  <c r="Z2254" i="1"/>
  <c r="Y2246" i="1"/>
  <c r="Z2242" i="1"/>
  <c r="Y2238" i="1"/>
  <c r="AA2230" i="1"/>
  <c r="AA2222" i="1"/>
  <c r="Z2218" i="1"/>
  <c r="Y2210" i="1"/>
  <c r="Y2202" i="1"/>
  <c r="Z2198" i="1"/>
  <c r="Y2194" i="1"/>
  <c r="Z2186" i="1"/>
  <c r="Y2182" i="1"/>
  <c r="Z2178" i="1"/>
  <c r="AA2166" i="1"/>
  <c r="Y601" i="1"/>
  <c r="AA561" i="1"/>
  <c r="Y341" i="1"/>
  <c r="AA297" i="1"/>
  <c r="AA2490" i="1"/>
  <c r="AA2486" i="1"/>
  <c r="Y2402" i="1"/>
  <c r="AA2390" i="1"/>
  <c r="Y2350" i="1"/>
  <c r="Y2302" i="1"/>
  <c r="Y2286" i="1"/>
  <c r="AA2282" i="1"/>
  <c r="AA2270" i="1"/>
  <c r="AA2262" i="1"/>
  <c r="AA2258" i="1"/>
  <c r="Y2250" i="1"/>
  <c r="AA2246" i="1"/>
  <c r="AA2238" i="1"/>
  <c r="Y2226" i="1"/>
  <c r="Y2214" i="1"/>
  <c r="AA2210" i="1"/>
  <c r="AA2202" i="1"/>
  <c r="AA2194" i="1"/>
  <c r="AA2182" i="1"/>
  <c r="Y2170" i="1"/>
  <c r="Z1691" i="1"/>
  <c r="Z1306" i="1"/>
  <c r="Z1290" i="1"/>
  <c r="Z1003" i="1"/>
  <c r="Z981" i="1"/>
  <c r="AA952" i="1"/>
  <c r="AA529" i="1"/>
  <c r="AA517" i="1"/>
  <c r="AA305" i="1"/>
  <c r="AA161" i="1"/>
  <c r="Y2446" i="1"/>
  <c r="AA2426" i="1"/>
  <c r="Y2406" i="1"/>
  <c r="Y2338" i="1"/>
  <c r="Y2310" i="1"/>
  <c r="Z1286" i="1"/>
  <c r="Y998" i="1"/>
  <c r="AA944" i="1"/>
  <c r="AA557" i="1"/>
  <c r="Y2492" i="1"/>
  <c r="Z2488" i="1"/>
  <c r="Y2484" i="1"/>
  <c r="Z2464" i="1"/>
  <c r="AA2460" i="1"/>
  <c r="Z2440" i="1"/>
  <c r="AA2424" i="1"/>
  <c r="Z2412" i="1"/>
  <c r="Z2400" i="1"/>
  <c r="Z2376" i="1"/>
  <c r="AA2368" i="1"/>
  <c r="Z2364" i="1"/>
  <c r="Z2352" i="1"/>
  <c r="Z2340" i="1"/>
  <c r="Y2336" i="1"/>
  <c r="AA2324" i="1"/>
  <c r="AA2312" i="1"/>
  <c r="AA2308" i="1"/>
  <c r="Z2304" i="1"/>
  <c r="Z2300" i="1"/>
  <c r="AA2296" i="1"/>
  <c r="AA2292" i="1"/>
  <c r="AA2288" i="1"/>
  <c r="Y2268" i="1"/>
  <c r="Y2264" i="1"/>
  <c r="Y2256" i="1"/>
  <c r="Y2252" i="1"/>
  <c r="AA2248" i="1"/>
  <c r="AA2244" i="1"/>
  <c r="Z2240" i="1"/>
  <c r="Z2236" i="1"/>
  <c r="AA2220" i="1"/>
  <c r="AA2216" i="1"/>
  <c r="AA2212" i="1"/>
  <c r="AA2208" i="1"/>
  <c r="Z2204" i="1"/>
  <c r="Z2200" i="1"/>
  <c r="Z2196" i="1"/>
  <c r="Y2188" i="1"/>
  <c r="Y2184" i="1"/>
  <c r="Y2180" i="1"/>
  <c r="Z1308" i="1"/>
  <c r="AA1300" i="1"/>
  <c r="AA1296" i="1"/>
  <c r="Z1005" i="1"/>
  <c r="AA988" i="1"/>
  <c r="Z984" i="1"/>
  <c r="Y966" i="1"/>
  <c r="Z958" i="1"/>
  <c r="AA954" i="1"/>
  <c r="Z946" i="1"/>
  <c r="Y942" i="1"/>
  <c r="Y607" i="1"/>
  <c r="AA599" i="1"/>
  <c r="Y583" i="1"/>
  <c r="Y539" i="1"/>
  <c r="AA531" i="1"/>
  <c r="Y527" i="1"/>
  <c r="Z523" i="1"/>
  <c r="AA519" i="1"/>
  <c r="Y511" i="1"/>
  <c r="Z507" i="1"/>
  <c r="AA503" i="1"/>
  <c r="Y495" i="1"/>
  <c r="Z483" i="1"/>
  <c r="AA479" i="1"/>
  <c r="Y471" i="1"/>
  <c r="Z427" i="1"/>
  <c r="AA423" i="1"/>
  <c r="AA419" i="1"/>
  <c r="Z383" i="1"/>
  <c r="Y379" i="1"/>
  <c r="AA335" i="1"/>
  <c r="Y307" i="1"/>
  <c r="Y295" i="1"/>
  <c r="Z291" i="1"/>
  <c r="AA287" i="1"/>
  <c r="Y279" i="1"/>
  <c r="Z275" i="1"/>
  <c r="AA271" i="1"/>
  <c r="Z211" i="1"/>
  <c r="Z207" i="1"/>
  <c r="Z163" i="1"/>
  <c r="Z46" i="1"/>
  <c r="Z38" i="1"/>
  <c r="Z30" i="1"/>
  <c r="Z26" i="1"/>
  <c r="Z22" i="1"/>
  <c r="AA18" i="1"/>
  <c r="Y10" i="1"/>
  <c r="Z2460" i="1"/>
  <c r="Y2428" i="1"/>
  <c r="Z2424" i="1"/>
  <c r="Z2368" i="1"/>
  <c r="Y2344" i="1"/>
  <c r="Z2324" i="1"/>
  <c r="Z2312" i="1"/>
  <c r="Z2308" i="1"/>
  <c r="Z2296" i="1"/>
  <c r="Z2292" i="1"/>
  <c r="Z2288" i="1"/>
  <c r="Y2276" i="1"/>
  <c r="Z2248" i="1"/>
  <c r="Z2244" i="1"/>
  <c r="Y2232" i="1"/>
  <c r="Y2228" i="1"/>
  <c r="Z2220" i="1"/>
  <c r="Z2216" i="1"/>
  <c r="Z2212" i="1"/>
  <c r="Z2208" i="1"/>
  <c r="Y2192" i="1"/>
  <c r="Y2172" i="1"/>
  <c r="Y2168" i="1"/>
  <c r="Z1681" i="1"/>
  <c r="Z988" i="1"/>
  <c r="Y962" i="1"/>
  <c r="Z954" i="1"/>
  <c r="Y950" i="1"/>
  <c r="Y543" i="1"/>
  <c r="AA523" i="1"/>
  <c r="Y515" i="1"/>
  <c r="AA507" i="1"/>
  <c r="Y499" i="1"/>
  <c r="AA483" i="1"/>
  <c r="Y475" i="1"/>
  <c r="Y447" i="1"/>
  <c r="AA427" i="1"/>
  <c r="AA383" i="1"/>
  <c r="Y375" i="1"/>
  <c r="Y339" i="1"/>
  <c r="Y323" i="1"/>
  <c r="Y319" i="1"/>
  <c r="Y315" i="1"/>
  <c r="Y299" i="1"/>
  <c r="AA291" i="1"/>
  <c r="Y283" i="1"/>
  <c r="AA275" i="1"/>
  <c r="Z18" i="1"/>
  <c r="AA449" i="1"/>
  <c r="Z429" i="1"/>
  <c r="Z381" i="1"/>
  <c r="Z289" i="1"/>
  <c r="Z281" i="1"/>
  <c r="Z273" i="1"/>
  <c r="AA197" i="1"/>
  <c r="Z181" i="1"/>
  <c r="Z28" i="1"/>
  <c r="AA525" i="1"/>
  <c r="AA513" i="1"/>
  <c r="AA489" i="1"/>
  <c r="Y421" i="1"/>
  <c r="Y345" i="1"/>
  <c r="AA309" i="1"/>
  <c r="AA301" i="1"/>
  <c r="Z217" i="1"/>
  <c r="Z537" i="1"/>
  <c r="AA445" i="1"/>
  <c r="Z425" i="1"/>
  <c r="Z417" i="1"/>
  <c r="Z385" i="1"/>
  <c r="Z293" i="1"/>
  <c r="Z285" i="1"/>
  <c r="Z277" i="1"/>
  <c r="Z269" i="1"/>
  <c r="AA173" i="1"/>
  <c r="Z1655" i="1"/>
  <c r="AA1302" i="1"/>
  <c r="AA1298" i="1"/>
  <c r="AA998" i="1"/>
  <c r="Z994" i="1"/>
  <c r="Z952" i="1"/>
  <c r="Y948" i="1"/>
  <c r="Z944" i="1"/>
  <c r="Y589" i="1"/>
  <c r="Y581" i="1"/>
  <c r="AA537" i="1"/>
  <c r="Y505" i="1"/>
  <c r="Y501" i="1"/>
  <c r="Y497" i="1"/>
  <c r="Y485" i="1"/>
  <c r="Y481" i="1"/>
  <c r="Y477" i="1"/>
  <c r="Y473" i="1"/>
  <c r="Y469" i="1"/>
  <c r="Y465" i="1"/>
  <c r="Y441" i="1"/>
  <c r="AA429" i="1"/>
  <c r="AA425" i="1"/>
  <c r="Z421" i="1"/>
  <c r="AA417" i="1"/>
  <c r="AA385" i="1"/>
  <c r="AA381" i="1"/>
  <c r="Y377" i="1"/>
  <c r="Y357" i="1"/>
  <c r="Z345" i="1"/>
  <c r="Z341" i="1"/>
  <c r="Y325" i="1"/>
  <c r="Y317" i="1"/>
  <c r="AA293" i="1"/>
  <c r="AA289" i="1"/>
  <c r="AA285" i="1"/>
  <c r="AA281" i="1"/>
  <c r="AA277" i="1"/>
  <c r="AA273" i="1"/>
  <c r="AA269" i="1"/>
  <c r="AA201" i="1"/>
  <c r="AA193" i="1"/>
  <c r="AA185" i="1"/>
  <c r="AA40" i="1"/>
  <c r="AA36" i="1"/>
  <c r="AA32" i="1"/>
  <c r="AA24" i="1"/>
  <c r="AA1655" i="1"/>
  <c r="Y1003" i="1"/>
  <c r="Y981" i="1"/>
  <c r="AA948" i="1"/>
  <c r="Y605" i="1"/>
  <c r="Y597" i="1"/>
  <c r="Y561" i="1"/>
  <c r="Y557" i="1"/>
  <c r="Y529" i="1"/>
  <c r="Y525" i="1"/>
  <c r="Y517" i="1"/>
  <c r="Y513" i="1"/>
  <c r="Z505" i="1"/>
  <c r="Z501" i="1"/>
  <c r="Z497" i="1"/>
  <c r="Y489" i="1"/>
  <c r="Z485" i="1"/>
  <c r="Z481" i="1"/>
  <c r="Z477" i="1"/>
  <c r="Z473" i="1"/>
  <c r="Z469" i="1"/>
  <c r="Z465" i="1"/>
  <c r="Y449" i="1"/>
  <c r="Y445" i="1"/>
  <c r="Z441" i="1"/>
  <c r="Z377" i="1"/>
  <c r="Z357" i="1"/>
  <c r="Z325" i="1"/>
  <c r="Z317" i="1"/>
  <c r="Y309" i="1"/>
  <c r="Y305" i="1"/>
  <c r="Y301" i="1"/>
  <c r="Y297" i="1"/>
  <c r="AA209" i="1"/>
  <c r="AA169" i="1"/>
  <c r="AA165" i="1"/>
  <c r="U2202" i="1"/>
  <c r="U269" i="1"/>
  <c r="U471" i="1"/>
  <c r="U2304" i="1"/>
  <c r="U2187" i="1"/>
  <c r="W2239" i="1"/>
  <c r="W2197" i="1"/>
  <c r="W2180" i="1"/>
  <c r="W2237" i="1"/>
  <c r="U2221" i="1"/>
  <c r="W2177" i="1"/>
  <c r="U2168" i="1"/>
  <c r="U501" i="1"/>
  <c r="U2294" i="1"/>
  <c r="U2249" i="1"/>
  <c r="W2402" i="1"/>
  <c r="U2300" i="1"/>
  <c r="U2247" i="1"/>
  <c r="U2211" i="1"/>
  <c r="W2182" i="1"/>
  <c r="U281" i="1"/>
  <c r="U2462" i="1"/>
  <c r="U603" i="1"/>
  <c r="U602" i="1"/>
  <c r="U601" i="1"/>
  <c r="U600" i="1"/>
  <c r="U599" i="1"/>
  <c r="W2289" i="1"/>
  <c r="W2261" i="1"/>
  <c r="U2192" i="1"/>
  <c r="U2232" i="1"/>
  <c r="U2213" i="1"/>
  <c r="W2202" i="1"/>
  <c r="W2187" i="1"/>
  <c r="W2352" i="1"/>
  <c r="W2203" i="1"/>
  <c r="W2195" i="1"/>
  <c r="W2188" i="1"/>
  <c r="U385" i="1"/>
  <c r="V1653" i="1"/>
  <c r="W2350" i="1"/>
  <c r="W2318" i="1"/>
  <c r="U2302" i="1"/>
  <c r="U2292" i="1"/>
  <c r="W2277" i="1"/>
  <c r="W2262" i="1"/>
  <c r="U2177" i="1"/>
  <c r="V452" i="1"/>
  <c r="U2242" i="1"/>
  <c r="U2236" i="1"/>
  <c r="U2200" i="1"/>
  <c r="U2194" i="1"/>
  <c r="U2185" i="1"/>
  <c r="U2179" i="1"/>
  <c r="U2446" i="1"/>
  <c r="W2368" i="1"/>
  <c r="W2358" i="1"/>
  <c r="U2324" i="1"/>
  <c r="U2268" i="1"/>
  <c r="U2262" i="1"/>
  <c r="W2242" i="1"/>
  <c r="W2236" i="1"/>
  <c r="U2226" i="1"/>
  <c r="U2219" i="1"/>
  <c r="W2205" i="1"/>
  <c r="W2200" i="1"/>
  <c r="W2194" i="1"/>
  <c r="W2185" i="1"/>
  <c r="W2179" i="1"/>
  <c r="U2166" i="1"/>
  <c r="W1278" i="1"/>
  <c r="W1250" i="1"/>
  <c r="U424" i="1"/>
  <c r="U357" i="1"/>
  <c r="U339" i="1"/>
  <c r="U285" i="1"/>
  <c r="V1219" i="1"/>
  <c r="U197" i="1"/>
  <c r="W171" i="1"/>
  <c r="W165" i="1"/>
  <c r="U163" i="1"/>
  <c r="W161" i="1"/>
  <c r="V446" i="1"/>
  <c r="W197" i="1"/>
  <c r="W2426" i="1"/>
  <c r="W2390" i="1"/>
  <c r="U2358" i="1"/>
  <c r="W2324" i="1"/>
  <c r="W2304" i="1"/>
  <c r="W2302" i="1"/>
  <c r="W2301" i="1"/>
  <c r="W2298" i="1"/>
  <c r="W2294" i="1"/>
  <c r="W2293" i="1"/>
  <c r="W2290" i="1"/>
  <c r="W2278" i="1"/>
  <c r="U2270" i="1"/>
  <c r="U2240" i="1"/>
  <c r="U2198" i="1"/>
  <c r="U2183" i="1"/>
  <c r="W1676" i="1"/>
  <c r="W1653" i="1"/>
  <c r="W1637" i="1"/>
  <c r="V1275" i="1"/>
  <c r="W1266" i="1"/>
  <c r="W1258" i="1"/>
  <c r="V1255" i="1"/>
  <c r="U605" i="1"/>
  <c r="U543" i="1"/>
  <c r="U537" i="1"/>
  <c r="U511" i="1"/>
  <c r="U505" i="1"/>
  <c r="U475" i="1"/>
  <c r="V444" i="1"/>
  <c r="U441" i="1"/>
  <c r="V432" i="1"/>
  <c r="U429" i="1"/>
  <c r="U2286" i="1"/>
  <c r="W2270" i="1"/>
  <c r="W2269" i="1"/>
  <c r="W2266" i="1"/>
  <c r="U2256" i="1"/>
  <c r="U2254" i="1"/>
  <c r="W2240" i="1"/>
  <c r="U2238" i="1"/>
  <c r="W2235" i="1"/>
  <c r="U2228" i="1"/>
  <c r="U2223" i="1"/>
  <c r="U2215" i="1"/>
  <c r="U2207" i="1"/>
  <c r="U2204" i="1"/>
  <c r="W2201" i="1"/>
  <c r="W2198" i="1"/>
  <c r="U2196" i="1"/>
  <c r="U2189" i="1"/>
  <c r="W2186" i="1"/>
  <c r="W2183" i="1"/>
  <c r="U2181" i="1"/>
  <c r="W2178" i="1"/>
  <c r="U2175" i="1"/>
  <c r="U2170" i="1"/>
  <c r="V1655" i="1"/>
  <c r="V1263" i="1"/>
  <c r="W1256" i="1"/>
  <c r="W1248" i="1"/>
  <c r="U608" i="1"/>
  <c r="U607" i="1"/>
  <c r="U561" i="1"/>
  <c r="U525" i="1"/>
  <c r="U519" i="1"/>
  <c r="U515" i="1"/>
  <c r="U479" i="1"/>
  <c r="U427" i="1"/>
  <c r="U325" i="1"/>
  <c r="U307" i="1"/>
  <c r="U289" i="1"/>
  <c r="U273" i="1"/>
  <c r="U201" i="1"/>
  <c r="W47" i="1"/>
  <c r="W46" i="1"/>
  <c r="W45" i="1"/>
  <c r="W28" i="1"/>
  <c r="W27" i="1"/>
  <c r="W26" i="1"/>
  <c r="U2460" i="1"/>
  <c r="W2428" i="1"/>
  <c r="W2424" i="1"/>
  <c r="U2406" i="1"/>
  <c r="W2400" i="1"/>
  <c r="W2286" i="1"/>
  <c r="W2285" i="1"/>
  <c r="W2283" i="1"/>
  <c r="W2265" i="1"/>
  <c r="W2256" i="1"/>
  <c r="W2255" i="1"/>
  <c r="W2252" i="1"/>
  <c r="U2245" i="1"/>
  <c r="W2241" i="1"/>
  <c r="W2238" i="1"/>
  <c r="U2230" i="1"/>
  <c r="U2217" i="1"/>
  <c r="U2209" i="1"/>
  <c r="W2204" i="1"/>
  <c r="W2199" i="1"/>
  <c r="W2196" i="1"/>
  <c r="W2189" i="1"/>
  <c r="W2184" i="1"/>
  <c r="W2181" i="1"/>
  <c r="U2172" i="1"/>
  <c r="V1273" i="1"/>
  <c r="W1260" i="1"/>
  <c r="U930" i="1"/>
  <c r="U886" i="1"/>
  <c r="U611" i="1"/>
  <c r="U610" i="1"/>
  <c r="U597" i="1"/>
  <c r="U529" i="1"/>
  <c r="U497" i="1"/>
  <c r="U489" i="1"/>
  <c r="U483" i="1"/>
  <c r="V448" i="1"/>
  <c r="U345" i="1"/>
  <c r="U319" i="1"/>
  <c r="U315" i="1"/>
  <c r="U297" i="1"/>
  <c r="U293" i="1"/>
  <c r="U277" i="1"/>
  <c r="U185" i="1"/>
  <c r="W183" i="1"/>
  <c r="U175" i="1"/>
  <c r="W18" i="1"/>
  <c r="U2412" i="1"/>
  <c r="U2386" i="1"/>
  <c r="U2376" i="1"/>
  <c r="U2364" i="1"/>
  <c r="U2362" i="1"/>
  <c r="U2346" i="1"/>
  <c r="U2344" i="1"/>
  <c r="U2342" i="1"/>
  <c r="U2340" i="1"/>
  <c r="U2338" i="1"/>
  <c r="U2336" i="1"/>
  <c r="U2314" i="1"/>
  <c r="U2312" i="1"/>
  <c r="U2310" i="1"/>
  <c r="U2308" i="1"/>
  <c r="U2296" i="1"/>
  <c r="U2288" i="1"/>
  <c r="U2282" i="1"/>
  <c r="U2276" i="1"/>
  <c r="U2264" i="1"/>
  <c r="U2258" i="1"/>
  <c r="U2250" i="1"/>
  <c r="U2248" i="1"/>
  <c r="U2246" i="1"/>
  <c r="U2244" i="1"/>
  <c r="U2233" i="1"/>
  <c r="U2231" i="1"/>
  <c r="U2229" i="1"/>
  <c r="U2227" i="1"/>
  <c r="U2222" i="1"/>
  <c r="U2220" i="1"/>
  <c r="U2218" i="1"/>
  <c r="U2216" i="1"/>
  <c r="U2214" i="1"/>
  <c r="U2212" i="1"/>
  <c r="U2210" i="1"/>
  <c r="U2208" i="1"/>
  <c r="U2191" i="1"/>
  <c r="U2171" i="1"/>
  <c r="U2169" i="1"/>
  <c r="U2167" i="1"/>
  <c r="U2492" i="1"/>
  <c r="U2490" i="1"/>
  <c r="U2488" i="1"/>
  <c r="U2486" i="1"/>
  <c r="U2484" i="1"/>
  <c r="U2464" i="1"/>
  <c r="U2440" i="1"/>
  <c r="U2428" i="1"/>
  <c r="U2426" i="1"/>
  <c r="U2424" i="1"/>
  <c r="W2412" i="1"/>
  <c r="U2402" i="1"/>
  <c r="U2400" i="1"/>
  <c r="U2390" i="1"/>
  <c r="W2386" i="1"/>
  <c r="W2376" i="1"/>
  <c r="U2368" i="1"/>
  <c r="W2364" i="1"/>
  <c r="W2362" i="1"/>
  <c r="U2352" i="1"/>
  <c r="U2350" i="1"/>
  <c r="W2346" i="1"/>
  <c r="W2344" i="1"/>
  <c r="W2342" i="1"/>
  <c r="W2340" i="1"/>
  <c r="W2338" i="1"/>
  <c r="W2336" i="1"/>
  <c r="U2318" i="1"/>
  <c r="W2314" i="1"/>
  <c r="W2312" i="1"/>
  <c r="W2310" i="1"/>
  <c r="W2308" i="1"/>
  <c r="U2298" i="1"/>
  <c r="W2296" i="1"/>
  <c r="W2295" i="1"/>
  <c r="U2290" i="1"/>
  <c r="W2288" i="1"/>
  <c r="W2287" i="1"/>
  <c r="W2282" i="1"/>
  <c r="W2281" i="1"/>
  <c r="U2278" i="1"/>
  <c r="W2276" i="1"/>
  <c r="W2275" i="1"/>
  <c r="W2271" i="1"/>
  <c r="U2266" i="1"/>
  <c r="W2264" i="1"/>
  <c r="W2263" i="1"/>
  <c r="W2258" i="1"/>
  <c r="W2257" i="1"/>
  <c r="U2252" i="1"/>
  <c r="W2250" i="1"/>
  <c r="W2248" i="1"/>
  <c r="W2246" i="1"/>
  <c r="W2244" i="1"/>
  <c r="U2241" i="1"/>
  <c r="U2239" i="1"/>
  <c r="U2237" i="1"/>
  <c r="U2235" i="1"/>
  <c r="W2233" i="1"/>
  <c r="W2231" i="1"/>
  <c r="W2229" i="1"/>
  <c r="W2227" i="1"/>
  <c r="W2222" i="1"/>
  <c r="W2220" i="1"/>
  <c r="W2218" i="1"/>
  <c r="W2216" i="1"/>
  <c r="W2214" i="1"/>
  <c r="W2212" i="1"/>
  <c r="W2210" i="1"/>
  <c r="W2208" i="1"/>
  <c r="U2205" i="1"/>
  <c r="U2203" i="1"/>
  <c r="U2201" i="1"/>
  <c r="U2199" i="1"/>
  <c r="U2197" i="1"/>
  <c r="U2195" i="1"/>
  <c r="W2191" i="1"/>
  <c r="U2188" i="1"/>
  <c r="U2186" i="1"/>
  <c r="U2184" i="1"/>
  <c r="U2182" i="1"/>
  <c r="U2180" i="1"/>
  <c r="U2178" i="1"/>
  <c r="W2171" i="1"/>
  <c r="W2169" i="1"/>
  <c r="W2167" i="1"/>
  <c r="W2406" i="1"/>
  <c r="W2300" i="1"/>
  <c r="W2299" i="1"/>
  <c r="W2292" i="1"/>
  <c r="W2291" i="1"/>
  <c r="W2279" i="1"/>
  <c r="W2268" i="1"/>
  <c r="W2267" i="1"/>
  <c r="W2254" i="1"/>
  <c r="W2253" i="1"/>
  <c r="W2249" i="1"/>
  <c r="W2247" i="1"/>
  <c r="W2245" i="1"/>
  <c r="W2232" i="1"/>
  <c r="W2230" i="1"/>
  <c r="W2228" i="1"/>
  <c r="W2226" i="1"/>
  <c r="W2223" i="1"/>
  <c r="W2221" i="1"/>
  <c r="W2219" i="1"/>
  <c r="W2217" i="1"/>
  <c r="W2215" i="1"/>
  <c r="W2213" i="1"/>
  <c r="W2211" i="1"/>
  <c r="W2209" i="1"/>
  <c r="W2207" i="1"/>
  <c r="W2192" i="1"/>
  <c r="W2175" i="1"/>
  <c r="W2172" i="1"/>
  <c r="W2170" i="1"/>
  <c r="W2168" i="1"/>
  <c r="W2166" i="1"/>
  <c r="W1296" i="1"/>
  <c r="W1295" i="1"/>
  <c r="W1294" i="1"/>
  <c r="W1293" i="1"/>
  <c r="W1292" i="1"/>
  <c r="W1291" i="1"/>
  <c r="W1290" i="1"/>
  <c r="U914" i="1"/>
  <c r="U910" i="1"/>
  <c r="U906" i="1"/>
  <c r="U902" i="1"/>
  <c r="U898" i="1"/>
  <c r="U589" i="1"/>
  <c r="U586" i="1"/>
  <c r="U583" i="1"/>
  <c r="U582" i="1"/>
  <c r="U581" i="1"/>
  <c r="U539" i="1"/>
  <c r="U527" i="1"/>
  <c r="U517" i="1"/>
  <c r="U507" i="1"/>
  <c r="U499" i="1"/>
  <c r="U485" i="1"/>
  <c r="U477" i="1"/>
  <c r="U449" i="1"/>
  <c r="U447" i="1"/>
  <c r="U445" i="1"/>
  <c r="V442" i="1"/>
  <c r="V438" i="1"/>
  <c r="U335" i="1"/>
  <c r="U317" i="1"/>
  <c r="U291" i="1"/>
  <c r="U283" i="1"/>
  <c r="U275" i="1"/>
  <c r="U213" i="1"/>
  <c r="U211" i="1"/>
  <c r="U209" i="1"/>
  <c r="W193" i="1"/>
  <c r="U183" i="1"/>
  <c r="W181" i="1"/>
  <c r="U171" i="1"/>
  <c r="U165" i="1"/>
  <c r="W163" i="1"/>
  <c r="W151" i="1"/>
  <c r="W149" i="1"/>
  <c r="W147" i="1"/>
  <c r="W145" i="1"/>
  <c r="W1655" i="1"/>
  <c r="U159" i="1"/>
  <c r="U157" i="1"/>
  <c r="U155" i="1"/>
  <c r="U153" i="1"/>
  <c r="W41" i="1"/>
  <c r="W40" i="1"/>
  <c r="W39" i="1"/>
  <c r="W38" i="1"/>
  <c r="W37" i="1"/>
  <c r="W36" i="1"/>
  <c r="W35" i="1"/>
  <c r="W34" i="1"/>
  <c r="W33" i="1"/>
  <c r="W32" i="1"/>
  <c r="W31" i="1"/>
  <c r="W30" i="1"/>
  <c r="U18" i="1"/>
  <c r="V1691" i="1"/>
  <c r="V1681" i="1"/>
  <c r="V1665" i="1"/>
  <c r="W1308" i="1"/>
  <c r="W1307" i="1"/>
  <c r="W1306" i="1"/>
  <c r="W1286" i="1"/>
  <c r="W1285" i="1"/>
  <c r="W1274" i="1"/>
  <c r="V1269" i="1"/>
  <c r="W1264" i="1"/>
  <c r="V1261" i="1"/>
  <c r="W1254" i="1"/>
  <c r="V1239" i="1"/>
  <c r="V1197" i="1"/>
  <c r="U894" i="1"/>
  <c r="U557" i="1"/>
  <c r="U531" i="1"/>
  <c r="U523" i="1"/>
  <c r="U513" i="1"/>
  <c r="U503" i="1"/>
  <c r="U495" i="1"/>
  <c r="U481" i="1"/>
  <c r="U473" i="1"/>
  <c r="U465" i="1"/>
  <c r="V430" i="1"/>
  <c r="V428" i="1"/>
  <c r="V426" i="1"/>
  <c r="U420" i="1"/>
  <c r="U383" i="1"/>
  <c r="U381" i="1"/>
  <c r="U379" i="1"/>
  <c r="U377" i="1"/>
  <c r="U375" i="1"/>
  <c r="U341" i="1"/>
  <c r="U323" i="1"/>
  <c r="U309" i="1"/>
  <c r="U301" i="1"/>
  <c r="U295" i="1"/>
  <c r="U287" i="1"/>
  <c r="U279" i="1"/>
  <c r="U271" i="1"/>
  <c r="U217" i="1"/>
  <c r="U215" i="1"/>
  <c r="W185" i="1"/>
  <c r="W175" i="1"/>
  <c r="U161" i="1"/>
  <c r="W159" i="1"/>
  <c r="W157" i="1"/>
  <c r="W155" i="1"/>
  <c r="W153" i="1"/>
  <c r="W1691" i="1"/>
  <c r="W1681" i="1"/>
  <c r="W1665" i="1"/>
  <c r="V1637" i="1"/>
  <c r="W1304" i="1"/>
  <c r="W1303" i="1"/>
  <c r="W1302" i="1"/>
  <c r="W1301" i="1"/>
  <c r="W1300" i="1"/>
  <c r="W1299" i="1"/>
  <c r="W1298" i="1"/>
  <c r="W1283" i="1"/>
  <c r="V1279" i="1"/>
  <c r="W1272" i="1"/>
  <c r="V1267" i="1"/>
  <c r="W1262" i="1"/>
  <c r="V1259" i="1"/>
  <c r="V1249" i="1"/>
  <c r="W1208" i="1"/>
  <c r="U193" i="1"/>
  <c r="U181" i="1"/>
  <c r="U151" i="1"/>
  <c r="U149" i="1"/>
  <c r="U147" i="1"/>
  <c r="U145" i="1"/>
  <c r="W24" i="1"/>
  <c r="W23" i="1"/>
  <c r="W22" i="1"/>
  <c r="W21" i="1"/>
  <c r="Z2163" i="1"/>
  <c r="Y2163" i="1"/>
  <c r="AA2163" i="1"/>
  <c r="Z2161" i="1"/>
  <c r="Y2161" i="1"/>
  <c r="AA2161" i="1"/>
  <c r="Z2157" i="1"/>
  <c r="Y2157" i="1"/>
  <c r="AA2157" i="1"/>
  <c r="Z2155" i="1"/>
  <c r="Y2155" i="1"/>
  <c r="AA2155" i="1"/>
  <c r="Z2151" i="1"/>
  <c r="Y2151" i="1"/>
  <c r="AA2151" i="1"/>
  <c r="Z2149" i="1"/>
  <c r="Y2149" i="1"/>
  <c r="AA2149" i="1"/>
  <c r="Z2147" i="1"/>
  <c r="Y2147" i="1"/>
  <c r="AA2147" i="1"/>
  <c r="Z2143" i="1"/>
  <c r="Y2143" i="1"/>
  <c r="AA2143" i="1"/>
  <c r="Z2141" i="1"/>
  <c r="Y2141" i="1"/>
  <c r="AA2141" i="1"/>
  <c r="Z2139" i="1"/>
  <c r="Y2139" i="1"/>
  <c r="AA2139" i="1"/>
  <c r="Z2137" i="1"/>
  <c r="Y2137" i="1"/>
  <c r="AA2137" i="1"/>
  <c r="U2491" i="1"/>
  <c r="U2487" i="1"/>
  <c r="U2467" i="1"/>
  <c r="AA2465" i="1"/>
  <c r="U2465" i="1"/>
  <c r="AA2461" i="1"/>
  <c r="U2461" i="1"/>
  <c r="AA2451" i="1"/>
  <c r="U2451" i="1"/>
  <c r="AA2445" i="1"/>
  <c r="U2445" i="1"/>
  <c r="AA2441" i="1"/>
  <c r="U2441" i="1"/>
  <c r="AA2437" i="1"/>
  <c r="AA2429" i="1"/>
  <c r="U2429" i="1"/>
  <c r="AA2423" i="1"/>
  <c r="U2423" i="1"/>
  <c r="AA2415" i="1"/>
  <c r="U2415" i="1"/>
  <c r="AA2411" i="1"/>
  <c r="U2411" i="1"/>
  <c r="AA2405" i="1"/>
  <c r="U2405" i="1"/>
  <c r="AA2401" i="1"/>
  <c r="U2401" i="1"/>
  <c r="AA2389" i="1"/>
  <c r="U2389" i="1"/>
  <c r="AA2387" i="1"/>
  <c r="U2387" i="1"/>
  <c r="AA2385" i="1"/>
  <c r="U2385" i="1"/>
  <c r="AA2367" i="1"/>
  <c r="U2367" i="1"/>
  <c r="AA2365" i="1"/>
  <c r="U2365" i="1"/>
  <c r="AA2363" i="1"/>
  <c r="U2363" i="1"/>
  <c r="AA2359" i="1"/>
  <c r="U2359" i="1"/>
  <c r="AA2355" i="1"/>
  <c r="U2355" i="1"/>
  <c r="AA2341" i="1"/>
  <c r="U2341" i="1"/>
  <c r="AA2329" i="1"/>
  <c r="U2329" i="1"/>
  <c r="AA2325" i="1"/>
  <c r="U2325" i="1"/>
  <c r="AA2317" i="1"/>
  <c r="U2317" i="1"/>
  <c r="AA2315" i="1"/>
  <c r="U2315" i="1"/>
  <c r="AA2313" i="1"/>
  <c r="U2313" i="1"/>
  <c r="AA2311" i="1"/>
  <c r="U2311" i="1"/>
  <c r="AA2309" i="1"/>
  <c r="U2309" i="1"/>
  <c r="AA2307" i="1"/>
  <c r="U2307" i="1"/>
  <c r="AA2305" i="1"/>
  <c r="U2305" i="1"/>
  <c r="AA2303" i="1"/>
  <c r="U2303" i="1"/>
  <c r="AA2301" i="1"/>
  <c r="U2301" i="1"/>
  <c r="AA2299" i="1"/>
  <c r="U2299" i="1"/>
  <c r="AA2295" i="1"/>
  <c r="U2295" i="1"/>
  <c r="AA2293" i="1"/>
  <c r="U2293" i="1"/>
  <c r="AA2291" i="1"/>
  <c r="U2291" i="1"/>
  <c r="AA2289" i="1"/>
  <c r="U2289" i="1"/>
  <c r="AA2287" i="1"/>
  <c r="U2287" i="1"/>
  <c r="AA2285" i="1"/>
  <c r="U2285" i="1"/>
  <c r="AA2283" i="1"/>
  <c r="U2283" i="1"/>
  <c r="AA2281" i="1"/>
  <c r="U2281" i="1"/>
  <c r="AA2279" i="1"/>
  <c r="U2279" i="1"/>
  <c r="AA2277" i="1"/>
  <c r="U2277" i="1"/>
  <c r="AA2275" i="1"/>
  <c r="U2275" i="1"/>
  <c r="AA2271" i="1"/>
  <c r="U2271" i="1"/>
  <c r="AA2269" i="1"/>
  <c r="U2269" i="1"/>
  <c r="AA2267" i="1"/>
  <c r="U2267" i="1"/>
  <c r="AA2265" i="1"/>
  <c r="U2265" i="1"/>
  <c r="AA2263" i="1"/>
  <c r="U2263" i="1"/>
  <c r="AA2261" i="1"/>
  <c r="U2261" i="1"/>
  <c r="AA2257" i="1"/>
  <c r="U2257" i="1"/>
  <c r="AA2255" i="1"/>
  <c r="U2255" i="1"/>
  <c r="AA2253" i="1"/>
  <c r="U2253" i="1"/>
  <c r="V2164" i="1"/>
  <c r="U2164" i="1"/>
  <c r="W2164" i="1"/>
  <c r="V2162" i="1"/>
  <c r="U2162" i="1"/>
  <c r="W2162" i="1"/>
  <c r="V2160" i="1"/>
  <c r="U2160" i="1"/>
  <c r="W2160" i="1"/>
  <c r="V2158" i="1"/>
  <c r="U2158" i="1"/>
  <c r="W2158" i="1"/>
  <c r="V2156" i="1"/>
  <c r="U2156" i="1"/>
  <c r="W2156" i="1"/>
  <c r="V2154" i="1"/>
  <c r="U2154" i="1"/>
  <c r="W2154" i="1"/>
  <c r="V2152" i="1"/>
  <c r="U2152" i="1"/>
  <c r="W2152" i="1"/>
  <c r="V2150" i="1"/>
  <c r="U2150" i="1"/>
  <c r="W2150" i="1"/>
  <c r="V2148" i="1"/>
  <c r="U2148" i="1"/>
  <c r="W2148" i="1"/>
  <c r="V2146" i="1"/>
  <c r="U2146" i="1"/>
  <c r="W2146" i="1"/>
  <c r="V2144" i="1"/>
  <c r="U2144" i="1"/>
  <c r="W2144" i="1"/>
  <c r="V2142" i="1"/>
  <c r="U2142" i="1"/>
  <c r="W2142" i="1"/>
  <c r="V2140" i="1"/>
  <c r="U2140" i="1"/>
  <c r="W2140" i="1"/>
  <c r="V2138" i="1"/>
  <c r="U2138" i="1"/>
  <c r="W2138" i="1"/>
  <c r="V2136" i="1"/>
  <c r="U2136" i="1"/>
  <c r="W2136" i="1"/>
  <c r="V2134" i="1"/>
  <c r="U2134" i="1"/>
  <c r="W2134" i="1"/>
  <c r="V2132" i="1"/>
  <c r="U2132" i="1"/>
  <c r="W2132" i="1"/>
  <c r="V2130" i="1"/>
  <c r="U2130" i="1"/>
  <c r="W2130" i="1"/>
  <c r="V2128" i="1"/>
  <c r="U2128" i="1"/>
  <c r="W2128" i="1"/>
  <c r="V2124" i="1"/>
  <c r="U2124" i="1"/>
  <c r="W2124" i="1"/>
  <c r="V2122" i="1"/>
  <c r="U2122" i="1"/>
  <c r="W2122" i="1"/>
  <c r="V2120" i="1"/>
  <c r="U2120" i="1"/>
  <c r="W2120" i="1"/>
  <c r="V2118" i="1"/>
  <c r="U2118" i="1"/>
  <c r="W2118" i="1"/>
  <c r="V2116" i="1"/>
  <c r="U2116" i="1"/>
  <c r="W2116" i="1"/>
  <c r="V2114" i="1"/>
  <c r="U2114" i="1"/>
  <c r="W2114" i="1"/>
  <c r="V2112" i="1"/>
  <c r="U2112" i="1"/>
  <c r="W2112" i="1"/>
  <c r="V2110" i="1"/>
  <c r="U2110" i="1"/>
  <c r="W2110" i="1"/>
  <c r="V2108" i="1"/>
  <c r="U2108" i="1"/>
  <c r="W2108" i="1"/>
  <c r="V2106" i="1"/>
  <c r="U2106" i="1"/>
  <c r="W2106" i="1"/>
  <c r="V2102" i="1"/>
  <c r="U2102" i="1"/>
  <c r="W2102" i="1"/>
  <c r="V2100" i="1"/>
  <c r="U2100" i="1"/>
  <c r="W2100" i="1"/>
  <c r="V2098" i="1"/>
  <c r="U2098" i="1"/>
  <c r="W2098" i="1"/>
  <c r="V2096" i="1"/>
  <c r="U2096" i="1"/>
  <c r="W2096" i="1"/>
  <c r="V2094" i="1"/>
  <c r="U2094" i="1"/>
  <c r="W2094" i="1"/>
  <c r="V2090" i="1"/>
  <c r="U2090" i="1"/>
  <c r="W2090" i="1"/>
  <c r="V2088" i="1"/>
  <c r="U2088" i="1"/>
  <c r="W2088" i="1"/>
  <c r="V2086" i="1"/>
  <c r="U2086" i="1"/>
  <c r="W2086" i="1"/>
  <c r="V2084" i="1"/>
  <c r="U2084" i="1"/>
  <c r="W2084" i="1"/>
  <c r="V2082" i="1"/>
  <c r="U2082" i="1"/>
  <c r="W2082" i="1"/>
  <c r="V2080" i="1"/>
  <c r="U2080" i="1"/>
  <c r="W2080" i="1"/>
  <c r="V2078" i="1"/>
  <c r="U2078" i="1"/>
  <c r="W2078" i="1"/>
  <c r="V2076" i="1"/>
  <c r="U2076" i="1"/>
  <c r="W2076" i="1"/>
  <c r="V2074" i="1"/>
  <c r="U2074" i="1"/>
  <c r="W2074" i="1"/>
  <c r="V2072" i="1"/>
  <c r="U2072" i="1"/>
  <c r="W2072" i="1"/>
  <c r="V2058" i="1"/>
  <c r="U2058" i="1"/>
  <c r="W2058" i="1"/>
  <c r="V2056" i="1"/>
  <c r="U2056" i="1"/>
  <c r="W2056" i="1"/>
  <c r="V2054" i="1"/>
  <c r="U2054" i="1"/>
  <c r="W2054" i="1"/>
  <c r="V2052" i="1"/>
  <c r="U2052" i="1"/>
  <c r="W2052" i="1"/>
  <c r="V2050" i="1"/>
  <c r="U2050" i="1"/>
  <c r="W2050" i="1"/>
  <c r="V2042" i="1"/>
  <c r="U2042" i="1"/>
  <c r="W2042" i="1"/>
  <c r="V2036" i="1"/>
  <c r="U2036" i="1"/>
  <c r="W2036" i="1"/>
  <c r="V2034" i="1"/>
  <c r="U2034" i="1"/>
  <c r="W2034" i="1"/>
  <c r="V2028" i="1"/>
  <c r="U2028" i="1"/>
  <c r="W2028" i="1"/>
  <c r="U2493" i="1"/>
  <c r="U2489" i="1"/>
  <c r="U2485" i="1"/>
  <c r="W2493" i="1"/>
  <c r="W2491" i="1"/>
  <c r="W2489" i="1"/>
  <c r="W2487" i="1"/>
  <c r="W2485" i="1"/>
  <c r="W2467" i="1"/>
  <c r="W2465" i="1"/>
  <c r="W2461" i="1"/>
  <c r="W2451" i="1"/>
  <c r="W2445" i="1"/>
  <c r="W2441" i="1"/>
  <c r="W2429" i="1"/>
  <c r="W2423" i="1"/>
  <c r="W2415" i="1"/>
  <c r="W2411" i="1"/>
  <c r="W2405" i="1"/>
  <c r="W2401" i="1"/>
  <c r="W2389" i="1"/>
  <c r="W2387" i="1"/>
  <c r="W2385" i="1"/>
  <c r="W2367" i="1"/>
  <c r="W2365" i="1"/>
  <c r="W2363" i="1"/>
  <c r="W2359" i="1"/>
  <c r="W2355" i="1"/>
  <c r="W2341" i="1"/>
  <c r="W2329" i="1"/>
  <c r="W2325" i="1"/>
  <c r="W2317" i="1"/>
  <c r="W2315" i="1"/>
  <c r="W2313" i="1"/>
  <c r="W2311" i="1"/>
  <c r="W2309" i="1"/>
  <c r="W2307" i="1"/>
  <c r="W2305" i="1"/>
  <c r="W2303" i="1"/>
  <c r="Z2162" i="1"/>
  <c r="Y2162" i="1"/>
  <c r="AA2162" i="1"/>
  <c r="Z2160" i="1"/>
  <c r="Y2160" i="1"/>
  <c r="AA2160" i="1"/>
  <c r="Z2158" i="1"/>
  <c r="Y2158" i="1"/>
  <c r="AA2158" i="1"/>
  <c r="Z2156" i="1"/>
  <c r="Y2156" i="1"/>
  <c r="AA2156" i="1"/>
  <c r="Z2154" i="1"/>
  <c r="Y2154" i="1"/>
  <c r="AA2154" i="1"/>
  <c r="Z2152" i="1"/>
  <c r="Y2152" i="1"/>
  <c r="AA2152" i="1"/>
  <c r="Z2150" i="1"/>
  <c r="Y2150" i="1"/>
  <c r="AA2150" i="1"/>
  <c r="Z2148" i="1"/>
  <c r="Y2148" i="1"/>
  <c r="AA2148" i="1"/>
  <c r="Z2146" i="1"/>
  <c r="Y2146" i="1"/>
  <c r="AA2146" i="1"/>
  <c r="Z2144" i="1"/>
  <c r="Y2144" i="1"/>
  <c r="AA2144" i="1"/>
  <c r="Z2142" i="1"/>
  <c r="Y2142" i="1"/>
  <c r="AA2142" i="1"/>
  <c r="Z2140" i="1"/>
  <c r="Y2140" i="1"/>
  <c r="AA2140" i="1"/>
  <c r="Z2138" i="1"/>
  <c r="Y2138" i="1"/>
  <c r="AA2138" i="1"/>
  <c r="V2163" i="1"/>
  <c r="U2163" i="1"/>
  <c r="W2163" i="1"/>
  <c r="V2161" i="1"/>
  <c r="U2161" i="1"/>
  <c r="W2161" i="1"/>
  <c r="V2157" i="1"/>
  <c r="U2157" i="1"/>
  <c r="W2157" i="1"/>
  <c r="V2155" i="1"/>
  <c r="U2155" i="1"/>
  <c r="W2155" i="1"/>
  <c r="V2151" i="1"/>
  <c r="U2151" i="1"/>
  <c r="W2151" i="1"/>
  <c r="V2149" i="1"/>
  <c r="U2149" i="1"/>
  <c r="W2149" i="1"/>
  <c r="V2147" i="1"/>
  <c r="U2147" i="1"/>
  <c r="W2147" i="1"/>
  <c r="V2143" i="1"/>
  <c r="U2143" i="1"/>
  <c r="W2143" i="1"/>
  <c r="V2141" i="1"/>
  <c r="U2141" i="1"/>
  <c r="W2141" i="1"/>
  <c r="V2139" i="1"/>
  <c r="U2139" i="1"/>
  <c r="W2139" i="1"/>
  <c r="V2137" i="1"/>
  <c r="U2137" i="1"/>
  <c r="W2137" i="1"/>
  <c r="V2133" i="1"/>
  <c r="U2133" i="1"/>
  <c r="W2133" i="1"/>
  <c r="V2131" i="1"/>
  <c r="U2131" i="1"/>
  <c r="W2131" i="1"/>
  <c r="V2129" i="1"/>
  <c r="U2129" i="1"/>
  <c r="W2129" i="1"/>
  <c r="V2125" i="1"/>
  <c r="U2125" i="1"/>
  <c r="W2125" i="1"/>
  <c r="V2123" i="1"/>
  <c r="U2123" i="1"/>
  <c r="W2123" i="1"/>
  <c r="V2121" i="1"/>
  <c r="U2121" i="1"/>
  <c r="W2121" i="1"/>
  <c r="V2119" i="1"/>
  <c r="U2119" i="1"/>
  <c r="W2119" i="1"/>
  <c r="V2115" i="1"/>
  <c r="U2115" i="1"/>
  <c r="W2115" i="1"/>
  <c r="V2113" i="1"/>
  <c r="U2113" i="1"/>
  <c r="W2113" i="1"/>
  <c r="V2111" i="1"/>
  <c r="U2111" i="1"/>
  <c r="W2111" i="1"/>
  <c r="V2109" i="1"/>
  <c r="U2109" i="1"/>
  <c r="W2109" i="1"/>
  <c r="V2107" i="1"/>
  <c r="U2107" i="1"/>
  <c r="W2107" i="1"/>
  <c r="V2105" i="1"/>
  <c r="U2105" i="1"/>
  <c r="W2105" i="1"/>
  <c r="V2103" i="1"/>
  <c r="U2103" i="1"/>
  <c r="W2103" i="1"/>
  <c r="V2099" i="1"/>
  <c r="U2099" i="1"/>
  <c r="W2099" i="1"/>
  <c r="V2097" i="1"/>
  <c r="U2097" i="1"/>
  <c r="W2097" i="1"/>
  <c r="V2095" i="1"/>
  <c r="U2095" i="1"/>
  <c r="W2095" i="1"/>
  <c r="V2093" i="1"/>
  <c r="U2093" i="1"/>
  <c r="W2093" i="1"/>
  <c r="V2089" i="1"/>
  <c r="U2089" i="1"/>
  <c r="W2089" i="1"/>
  <c r="V2087" i="1"/>
  <c r="U2087" i="1"/>
  <c r="W2087" i="1"/>
  <c r="V2085" i="1"/>
  <c r="U2085" i="1"/>
  <c r="W2085" i="1"/>
  <c r="V2083" i="1"/>
  <c r="U2083" i="1"/>
  <c r="W2083" i="1"/>
  <c r="V2081" i="1"/>
  <c r="U2081" i="1"/>
  <c r="W2081" i="1"/>
  <c r="V2079" i="1"/>
  <c r="U2079" i="1"/>
  <c r="W2079" i="1"/>
  <c r="V2077" i="1"/>
  <c r="U2077" i="1"/>
  <c r="W2077" i="1"/>
  <c r="V2075" i="1"/>
  <c r="U2075" i="1"/>
  <c r="W2075" i="1"/>
  <c r="V2073" i="1"/>
  <c r="U2073" i="1"/>
  <c r="W2073" i="1"/>
  <c r="V2059" i="1"/>
  <c r="U2059" i="1"/>
  <c r="W2059" i="1"/>
  <c r="V2057" i="1"/>
  <c r="U2057" i="1"/>
  <c r="W2057" i="1"/>
  <c r="V2053" i="1"/>
  <c r="U2053" i="1"/>
  <c r="W2053" i="1"/>
  <c r="V2037" i="1"/>
  <c r="U2037" i="1"/>
  <c r="W2037" i="1"/>
  <c r="V2035" i="1"/>
  <c r="U2035" i="1"/>
  <c r="W2035" i="1"/>
  <c r="V2033" i="1"/>
  <c r="U2033" i="1"/>
  <c r="W2033" i="1"/>
  <c r="V2031" i="1"/>
  <c r="U2031" i="1"/>
  <c r="W2031" i="1"/>
  <c r="Y2493" i="1"/>
  <c r="W2492" i="1"/>
  <c r="Y2491" i="1"/>
  <c r="W2490" i="1"/>
  <c r="Y2489" i="1"/>
  <c r="W2488" i="1"/>
  <c r="Y2487" i="1"/>
  <c r="W2486" i="1"/>
  <c r="Y2485" i="1"/>
  <c r="W2484" i="1"/>
  <c r="Y2467" i="1"/>
  <c r="Y2465" i="1"/>
  <c r="W2464" i="1"/>
  <c r="W2462" i="1"/>
  <c r="Y2461" i="1"/>
  <c r="W2460" i="1"/>
  <c r="Y2451" i="1"/>
  <c r="W2446" i="1"/>
  <c r="Y2445" i="1"/>
  <c r="Y2441" i="1"/>
  <c r="W2440" i="1"/>
  <c r="Y2437" i="1"/>
  <c r="Y2429" i="1"/>
  <c r="Y2423" i="1"/>
  <c r="Y2415" i="1"/>
  <c r="Y2411" i="1"/>
  <c r="Y2405" i="1"/>
  <c r="Y2401" i="1"/>
  <c r="Y2389" i="1"/>
  <c r="Y2387" i="1"/>
  <c r="Y2385" i="1"/>
  <c r="Y2367" i="1"/>
  <c r="Y2365" i="1"/>
  <c r="Y2363" i="1"/>
  <c r="Y2359" i="1"/>
  <c r="Y2355" i="1"/>
  <c r="Y2341" i="1"/>
  <c r="Y2329" i="1"/>
  <c r="Y2325" i="1"/>
  <c r="Y2317" i="1"/>
  <c r="Y2315" i="1"/>
  <c r="Y2313" i="1"/>
  <c r="Y2311" i="1"/>
  <c r="Y2309" i="1"/>
  <c r="Y2307" i="1"/>
  <c r="Y2305" i="1"/>
  <c r="Y2303" i="1"/>
  <c r="Y2301" i="1"/>
  <c r="Y2299" i="1"/>
  <c r="Y2295" i="1"/>
  <c r="Y2293" i="1"/>
  <c r="Y2291" i="1"/>
  <c r="Y2289" i="1"/>
  <c r="Y2287" i="1"/>
  <c r="Y2285" i="1"/>
  <c r="Y2283" i="1"/>
  <c r="Y2281" i="1"/>
  <c r="Y2279" i="1"/>
  <c r="Y2277" i="1"/>
  <c r="Y2275" i="1"/>
  <c r="Y2271" i="1"/>
  <c r="Y2269" i="1"/>
  <c r="Y2267" i="1"/>
  <c r="Y2265" i="1"/>
  <c r="Y2263" i="1"/>
  <c r="Y2261" i="1"/>
  <c r="Y2257" i="1"/>
  <c r="Y2255" i="1"/>
  <c r="Y2253" i="1"/>
  <c r="AA2011" i="1"/>
  <c r="Z2011" i="1"/>
  <c r="Y2011" i="1"/>
  <c r="AA2009" i="1"/>
  <c r="Z2009" i="1"/>
  <c r="Y2009" i="1"/>
  <c r="AA2007" i="1"/>
  <c r="Z2007" i="1"/>
  <c r="Y2007" i="1"/>
  <c r="AA2001" i="1"/>
  <c r="Z2001" i="1"/>
  <c r="Y2001" i="1"/>
  <c r="AA1999" i="1"/>
  <c r="Z1999" i="1"/>
  <c r="Y1999" i="1"/>
  <c r="AA1997" i="1"/>
  <c r="Z1997" i="1"/>
  <c r="Y1997" i="1"/>
  <c r="AA1983" i="1"/>
  <c r="Z1983" i="1"/>
  <c r="Y1983" i="1"/>
  <c r="AA1981" i="1"/>
  <c r="Z1981" i="1"/>
  <c r="Y1981" i="1"/>
  <c r="AA1979" i="1"/>
  <c r="Z1979" i="1"/>
  <c r="Y1979" i="1"/>
  <c r="AA1975" i="1"/>
  <c r="Z1975" i="1"/>
  <c r="Y1975" i="1"/>
  <c r="AA1973" i="1"/>
  <c r="Z1973" i="1"/>
  <c r="Y1973" i="1"/>
  <c r="AA1963" i="1"/>
  <c r="Z1963" i="1"/>
  <c r="Y1963" i="1"/>
  <c r="AA1957" i="1"/>
  <c r="Z1957" i="1"/>
  <c r="Y1957" i="1"/>
  <c r="AA1955" i="1"/>
  <c r="Z1955" i="1"/>
  <c r="Y1955" i="1"/>
  <c r="AA1953" i="1"/>
  <c r="Z1953" i="1"/>
  <c r="Y1953" i="1"/>
  <c r="AA1910" i="1"/>
  <c r="Z1910" i="1"/>
  <c r="Y1910" i="1"/>
  <c r="AA1904" i="1"/>
  <c r="Z1904" i="1"/>
  <c r="Y1904" i="1"/>
  <c r="AA1902" i="1"/>
  <c r="Z1902" i="1"/>
  <c r="Y1902" i="1"/>
  <c r="AA1900" i="1"/>
  <c r="Z1900" i="1"/>
  <c r="Y1900" i="1"/>
  <c r="AA1892" i="1"/>
  <c r="Z1892" i="1"/>
  <c r="Y1892" i="1"/>
  <c r="AA1888" i="1"/>
  <c r="Z1888" i="1"/>
  <c r="Y1888" i="1"/>
  <c r="AA1886" i="1"/>
  <c r="Z1886" i="1"/>
  <c r="Y1886" i="1"/>
  <c r="AA1882" i="1"/>
  <c r="Z1882" i="1"/>
  <c r="Y1882" i="1"/>
  <c r="AA1878" i="1"/>
  <c r="Z1878" i="1"/>
  <c r="Y1878" i="1"/>
  <c r="AA1864" i="1"/>
  <c r="Z1864" i="1"/>
  <c r="Y1864" i="1"/>
  <c r="AA1862" i="1"/>
  <c r="Z1862" i="1"/>
  <c r="Y1862" i="1"/>
  <c r="AA1852" i="1"/>
  <c r="Z1852" i="1"/>
  <c r="Y1852" i="1"/>
  <c r="AA1850" i="1"/>
  <c r="Z1850" i="1"/>
  <c r="Y1850" i="1"/>
  <c r="AA1844" i="1"/>
  <c r="Z1844" i="1"/>
  <c r="Y1844" i="1"/>
  <c r="AA1840" i="1"/>
  <c r="Z1840" i="1"/>
  <c r="Y1840" i="1"/>
  <c r="AA1838" i="1"/>
  <c r="Z1838" i="1"/>
  <c r="Y1838" i="1"/>
  <c r="AA1836" i="1"/>
  <c r="Z1836" i="1"/>
  <c r="Y1836" i="1"/>
  <c r="AA1834" i="1"/>
  <c r="Z1834" i="1"/>
  <c r="Y1834" i="1"/>
  <c r="AA1832" i="1"/>
  <c r="Z1832" i="1"/>
  <c r="Y1832" i="1"/>
  <c r="AA1830" i="1"/>
  <c r="Z1830" i="1"/>
  <c r="Y1830" i="1"/>
  <c r="AA1826" i="1"/>
  <c r="Z1826" i="1"/>
  <c r="Y1826" i="1"/>
  <c r="AA1824" i="1"/>
  <c r="Z1824" i="1"/>
  <c r="Y1824" i="1"/>
  <c r="AA1818" i="1"/>
  <c r="Z1818" i="1"/>
  <c r="Y1818" i="1"/>
  <c r="AA1809" i="1"/>
  <c r="Z1809" i="1"/>
  <c r="Y1809" i="1"/>
  <c r="AA1807" i="1"/>
  <c r="Z1807" i="1"/>
  <c r="Y1807" i="1"/>
  <c r="AA1805" i="1"/>
  <c r="Z1805" i="1"/>
  <c r="Y1805" i="1"/>
  <c r="AA1801" i="1"/>
  <c r="Z1801" i="1"/>
  <c r="Y1801" i="1"/>
  <c r="AA1799" i="1"/>
  <c r="Z1799" i="1"/>
  <c r="Y1799" i="1"/>
  <c r="AA1797" i="1"/>
  <c r="Z1797" i="1"/>
  <c r="Y1797" i="1"/>
  <c r="AA1795" i="1"/>
  <c r="Z1795" i="1"/>
  <c r="Y1795" i="1"/>
  <c r="AA1793" i="1"/>
  <c r="Z1793" i="1"/>
  <c r="Y1793" i="1"/>
  <c r="AA1781" i="1"/>
  <c r="Z1781" i="1"/>
  <c r="Y1781" i="1"/>
  <c r="AA1779" i="1"/>
  <c r="Z1779" i="1"/>
  <c r="Y1779" i="1"/>
  <c r="AA1773" i="1"/>
  <c r="Z1773" i="1"/>
  <c r="Y1773" i="1"/>
  <c r="AA1762" i="1"/>
  <c r="Z1762" i="1"/>
  <c r="Y1762" i="1"/>
  <c r="AA1760" i="1"/>
  <c r="Z1760" i="1"/>
  <c r="Y1760" i="1"/>
  <c r="AA1756" i="1"/>
  <c r="Z1756" i="1"/>
  <c r="Y1756" i="1"/>
  <c r="AA1750" i="1"/>
  <c r="Z1750" i="1"/>
  <c r="Y1750" i="1"/>
  <c r="AA1746" i="1"/>
  <c r="Z1746" i="1"/>
  <c r="Y1746" i="1"/>
  <c r="Z2164" i="1"/>
  <c r="Z2136" i="1"/>
  <c r="Y2136" i="1"/>
  <c r="Z2134" i="1"/>
  <c r="Y2134" i="1"/>
  <c r="Z2133" i="1"/>
  <c r="Y2133" i="1"/>
  <c r="Z2132" i="1"/>
  <c r="Y2132" i="1"/>
  <c r="Z2131" i="1"/>
  <c r="Y2131" i="1"/>
  <c r="Z2130" i="1"/>
  <c r="Y2130" i="1"/>
  <c r="Z2129" i="1"/>
  <c r="Y2129" i="1"/>
  <c r="Z2128" i="1"/>
  <c r="Y2128" i="1"/>
  <c r="Z2125" i="1"/>
  <c r="Y2125" i="1"/>
  <c r="Z2124" i="1"/>
  <c r="Y2124" i="1"/>
  <c r="Z2123" i="1"/>
  <c r="Y2123" i="1"/>
  <c r="Z2122" i="1"/>
  <c r="Y2122" i="1"/>
  <c r="Z2121" i="1"/>
  <c r="Y2121" i="1"/>
  <c r="Z2120" i="1"/>
  <c r="Y2120" i="1"/>
  <c r="Z2119" i="1"/>
  <c r="Y2119" i="1"/>
  <c r="Z2118" i="1"/>
  <c r="Y2118" i="1"/>
  <c r="Z2116" i="1"/>
  <c r="Y2116" i="1"/>
  <c r="Z2115" i="1"/>
  <c r="Y2115" i="1"/>
  <c r="Z2114" i="1"/>
  <c r="Y2114" i="1"/>
  <c r="Z2113" i="1"/>
  <c r="Y2113" i="1"/>
  <c r="Z2112" i="1"/>
  <c r="Y2112" i="1"/>
  <c r="Z2111" i="1"/>
  <c r="Y2111" i="1"/>
  <c r="Z2110" i="1"/>
  <c r="Y2110" i="1"/>
  <c r="Z2109" i="1"/>
  <c r="Y2109" i="1"/>
  <c r="Z2108" i="1"/>
  <c r="Y2108" i="1"/>
  <c r="Z2107" i="1"/>
  <c r="Y2107" i="1"/>
  <c r="Z2106" i="1"/>
  <c r="Y2106" i="1"/>
  <c r="Z2105" i="1"/>
  <c r="Y2105" i="1"/>
  <c r="Z2103" i="1"/>
  <c r="Y2103" i="1"/>
  <c r="Z2102" i="1"/>
  <c r="Y2102" i="1"/>
  <c r="Z2100" i="1"/>
  <c r="Y2100" i="1"/>
  <c r="Z2099" i="1"/>
  <c r="Y2099" i="1"/>
  <c r="Z2098" i="1"/>
  <c r="Y2098" i="1"/>
  <c r="Z2097" i="1"/>
  <c r="Y2097" i="1"/>
  <c r="Z2096" i="1"/>
  <c r="Y2096" i="1"/>
  <c r="Z2095" i="1"/>
  <c r="Y2095" i="1"/>
  <c r="Z2094" i="1"/>
  <c r="Y2094" i="1"/>
  <c r="Z2093" i="1"/>
  <c r="Y2093" i="1"/>
  <c r="Z2090" i="1"/>
  <c r="Y2090" i="1"/>
  <c r="Z2089" i="1"/>
  <c r="Y2089" i="1"/>
  <c r="Z2088" i="1"/>
  <c r="Y2088" i="1"/>
  <c r="Z2087" i="1"/>
  <c r="Y2087" i="1"/>
  <c r="Z2086" i="1"/>
  <c r="Y2086" i="1"/>
  <c r="Z2085" i="1"/>
  <c r="Y2085" i="1"/>
  <c r="Z2084" i="1"/>
  <c r="Y2084" i="1"/>
  <c r="Z2083" i="1"/>
  <c r="Y2083" i="1"/>
  <c r="Z2082" i="1"/>
  <c r="Y2082" i="1"/>
  <c r="Z2081" i="1"/>
  <c r="Y2081" i="1"/>
  <c r="Z2080" i="1"/>
  <c r="Y2080" i="1"/>
  <c r="Z2079" i="1"/>
  <c r="Y2079" i="1"/>
  <c r="Z2078" i="1"/>
  <c r="Y2078" i="1"/>
  <c r="Z2077" i="1"/>
  <c r="Y2077" i="1"/>
  <c r="Z2076" i="1"/>
  <c r="Y2076" i="1"/>
  <c r="Z2075" i="1"/>
  <c r="Y2075" i="1"/>
  <c r="Z2074" i="1"/>
  <c r="Y2074" i="1"/>
  <c r="Z2073" i="1"/>
  <c r="Y2073" i="1"/>
  <c r="Z2072" i="1"/>
  <c r="Y2072" i="1"/>
  <c r="Z2059" i="1"/>
  <c r="Y2059" i="1"/>
  <c r="Z2058" i="1"/>
  <c r="Y2058" i="1"/>
  <c r="Z2057" i="1"/>
  <c r="Y2057" i="1"/>
  <c r="Z2056" i="1"/>
  <c r="Y2056" i="1"/>
  <c r="Z2054" i="1"/>
  <c r="Y2054" i="1"/>
  <c r="Z2053" i="1"/>
  <c r="Y2053" i="1"/>
  <c r="Z2052" i="1"/>
  <c r="Y2052" i="1"/>
  <c r="Z2050" i="1"/>
  <c r="Y2050" i="1"/>
  <c r="Z2042" i="1"/>
  <c r="Y2042" i="1"/>
  <c r="Z2037" i="1"/>
  <c r="Y2037" i="1"/>
  <c r="Z2036" i="1"/>
  <c r="Y2036" i="1"/>
  <c r="Z2035" i="1"/>
  <c r="Y2035" i="1"/>
  <c r="Z2034" i="1"/>
  <c r="Y2034" i="1"/>
  <c r="Z2033" i="1"/>
  <c r="Y2033" i="1"/>
  <c r="Z2031" i="1"/>
  <c r="Y2031" i="1"/>
  <c r="Z2028" i="1"/>
  <c r="Y2028" i="1"/>
  <c r="W2012" i="1"/>
  <c r="V2012" i="1"/>
  <c r="U2012" i="1"/>
  <c r="W2010" i="1"/>
  <c r="V2010" i="1"/>
  <c r="U2010" i="1"/>
  <c r="W2008" i="1"/>
  <c r="V2008" i="1"/>
  <c r="U2008" i="1"/>
  <c r="W2000" i="1"/>
  <c r="V2000" i="1"/>
  <c r="U2000" i="1"/>
  <c r="W1992" i="1"/>
  <c r="V1992" i="1"/>
  <c r="U1992" i="1"/>
  <c r="W1982" i="1"/>
  <c r="V1982" i="1"/>
  <c r="U1982" i="1"/>
  <c r="W1980" i="1"/>
  <c r="V1980" i="1"/>
  <c r="U1980" i="1"/>
  <c r="W1978" i="1"/>
  <c r="V1978" i="1"/>
  <c r="U1978" i="1"/>
  <c r="W1976" i="1"/>
  <c r="V1976" i="1"/>
  <c r="U1976" i="1"/>
  <c r="W1966" i="1"/>
  <c r="V1966" i="1"/>
  <c r="U1966" i="1"/>
  <c r="W1964" i="1"/>
  <c r="V1964" i="1"/>
  <c r="U1964" i="1"/>
  <c r="W1960" i="1"/>
  <c r="V1960" i="1"/>
  <c r="U1960" i="1"/>
  <c r="W1946" i="1"/>
  <c r="V1946" i="1"/>
  <c r="U1946" i="1"/>
  <c r="W1944" i="1"/>
  <c r="V1944" i="1"/>
  <c r="U1944" i="1"/>
  <c r="W1942" i="1"/>
  <c r="V1942" i="1"/>
  <c r="U1942" i="1"/>
  <c r="W1940" i="1"/>
  <c r="V1940" i="1"/>
  <c r="U1940" i="1"/>
  <c r="W1911" i="1"/>
  <c r="V1911" i="1"/>
  <c r="U1911" i="1"/>
  <c r="W1909" i="1"/>
  <c r="V1909" i="1"/>
  <c r="U1909" i="1"/>
  <c r="W1907" i="1"/>
  <c r="V1907" i="1"/>
  <c r="U1907" i="1"/>
  <c r="W1901" i="1"/>
  <c r="V1901" i="1"/>
  <c r="U1901" i="1"/>
  <c r="W1899" i="1"/>
  <c r="V1899" i="1"/>
  <c r="U1899" i="1"/>
  <c r="W1897" i="1"/>
  <c r="V1897" i="1"/>
  <c r="U1897" i="1"/>
  <c r="W1885" i="1"/>
  <c r="V1885" i="1"/>
  <c r="U1885" i="1"/>
  <c r="W1883" i="1"/>
  <c r="V1883" i="1"/>
  <c r="U1883" i="1"/>
  <c r="W1877" i="1"/>
  <c r="V1877" i="1"/>
  <c r="U1877" i="1"/>
  <c r="W1867" i="1"/>
  <c r="V1867" i="1"/>
  <c r="U1867" i="1"/>
  <c r="W1861" i="1"/>
  <c r="V1861" i="1"/>
  <c r="U1861" i="1"/>
  <c r="W1855" i="1"/>
  <c r="V1855" i="1"/>
  <c r="U1855" i="1"/>
  <c r="W1853" i="1"/>
  <c r="V1853" i="1"/>
  <c r="U1853" i="1"/>
  <c r="W1849" i="1"/>
  <c r="V1849" i="1"/>
  <c r="U1849" i="1"/>
  <c r="W1847" i="1"/>
  <c r="V1847" i="1"/>
  <c r="U1847" i="1"/>
  <c r="W1845" i="1"/>
  <c r="V1845" i="1"/>
  <c r="U1845" i="1"/>
  <c r="W1831" i="1"/>
  <c r="V1831" i="1"/>
  <c r="U1831" i="1"/>
  <c r="W1829" i="1"/>
  <c r="V1829" i="1"/>
  <c r="U1829" i="1"/>
  <c r="W1819" i="1"/>
  <c r="V1819" i="1"/>
  <c r="U1819" i="1"/>
  <c r="W1817" i="1"/>
  <c r="V1817" i="1"/>
  <c r="U1817" i="1"/>
  <c r="W1808" i="1"/>
  <c r="V1808" i="1"/>
  <c r="U1808" i="1"/>
  <c r="W1804" i="1"/>
  <c r="V1804" i="1"/>
  <c r="U1804" i="1"/>
  <c r="W1798" i="1"/>
  <c r="V1798" i="1"/>
  <c r="U1798" i="1"/>
  <c r="W1796" i="1"/>
  <c r="V1796" i="1"/>
  <c r="U1796" i="1"/>
  <c r="W1788" i="1"/>
  <c r="V1788" i="1"/>
  <c r="U1788" i="1"/>
  <c r="W1784" i="1"/>
  <c r="V1784" i="1"/>
  <c r="U1784" i="1"/>
  <c r="W1782" i="1"/>
  <c r="V1782" i="1"/>
  <c r="U1782" i="1"/>
  <c r="W1778" i="1"/>
  <c r="V1778" i="1"/>
  <c r="U1778" i="1"/>
  <c r="W1774" i="1"/>
  <c r="V1774" i="1"/>
  <c r="U1774" i="1"/>
  <c r="W1765" i="1"/>
  <c r="V1765" i="1"/>
  <c r="U1765" i="1"/>
  <c r="W1757" i="1"/>
  <c r="V1757" i="1"/>
  <c r="U1757" i="1"/>
  <c r="W1749" i="1"/>
  <c r="V1749" i="1"/>
  <c r="U1749" i="1"/>
  <c r="W1745" i="1"/>
  <c r="V1745" i="1"/>
  <c r="U1745" i="1"/>
  <c r="AA2012" i="1"/>
  <c r="Z2012" i="1"/>
  <c r="Y2012" i="1"/>
  <c r="AA2010" i="1"/>
  <c r="Z2010" i="1"/>
  <c r="Y2010" i="1"/>
  <c r="AA2008" i="1"/>
  <c r="Z2008" i="1"/>
  <c r="Y2008" i="1"/>
  <c r="AA2000" i="1"/>
  <c r="Z2000" i="1"/>
  <c r="Y2000" i="1"/>
  <c r="AA1992" i="1"/>
  <c r="Z1992" i="1"/>
  <c r="Y1992" i="1"/>
  <c r="AA1982" i="1"/>
  <c r="Z1982" i="1"/>
  <c r="Y1982" i="1"/>
  <c r="AA1980" i="1"/>
  <c r="Z1980" i="1"/>
  <c r="Y1980" i="1"/>
  <c r="AA1978" i="1"/>
  <c r="Z1978" i="1"/>
  <c r="Y1978" i="1"/>
  <c r="AA1976" i="1"/>
  <c r="Z1976" i="1"/>
  <c r="Y1976" i="1"/>
  <c r="AA1966" i="1"/>
  <c r="Z1966" i="1"/>
  <c r="Y1966" i="1"/>
  <c r="AA1964" i="1"/>
  <c r="Z1964" i="1"/>
  <c r="Y1964" i="1"/>
  <c r="AA1960" i="1"/>
  <c r="Z1960" i="1"/>
  <c r="Y1960" i="1"/>
  <c r="AA1946" i="1"/>
  <c r="Z1946" i="1"/>
  <c r="Y1946" i="1"/>
  <c r="AA1944" i="1"/>
  <c r="Z1944" i="1"/>
  <c r="Y1944" i="1"/>
  <c r="AA1942" i="1"/>
  <c r="Z1942" i="1"/>
  <c r="Y1942" i="1"/>
  <c r="AA1940" i="1"/>
  <c r="Z1940" i="1"/>
  <c r="Y1940" i="1"/>
  <c r="AA1911" i="1"/>
  <c r="Z1911" i="1"/>
  <c r="Y1911" i="1"/>
  <c r="AA1909" i="1"/>
  <c r="Z1909" i="1"/>
  <c r="Y1909" i="1"/>
  <c r="AA1907" i="1"/>
  <c r="Z1907" i="1"/>
  <c r="Y1907" i="1"/>
  <c r="AA1903" i="1"/>
  <c r="Z1903" i="1"/>
  <c r="Y1903" i="1"/>
  <c r="AA1901" i="1"/>
  <c r="Z1901" i="1"/>
  <c r="Y1901" i="1"/>
  <c r="AA1899" i="1"/>
  <c r="Z1899" i="1"/>
  <c r="Y1899" i="1"/>
  <c r="AA1897" i="1"/>
  <c r="Z1897" i="1"/>
  <c r="Y1897" i="1"/>
  <c r="AA1885" i="1"/>
  <c r="Z1885" i="1"/>
  <c r="Y1885" i="1"/>
  <c r="AA1883" i="1"/>
  <c r="Z1883" i="1"/>
  <c r="Y1883" i="1"/>
  <c r="AA1877" i="1"/>
  <c r="Z1877" i="1"/>
  <c r="Y1877" i="1"/>
  <c r="AA1867" i="1"/>
  <c r="Z1867" i="1"/>
  <c r="Y1867" i="1"/>
  <c r="AA1861" i="1"/>
  <c r="Z1861" i="1"/>
  <c r="Y1861" i="1"/>
  <c r="AA1857" i="1"/>
  <c r="Z1857" i="1"/>
  <c r="Y1857" i="1"/>
  <c r="AA1855" i="1"/>
  <c r="Z1855" i="1"/>
  <c r="Y1855" i="1"/>
  <c r="AA1853" i="1"/>
  <c r="Z1853" i="1"/>
  <c r="Y1853" i="1"/>
  <c r="AA1849" i="1"/>
  <c r="Z1849" i="1"/>
  <c r="Y1849" i="1"/>
  <c r="AA1847" i="1"/>
  <c r="Z1847" i="1"/>
  <c r="Y1847" i="1"/>
  <c r="AA1845" i="1"/>
  <c r="Z1845" i="1"/>
  <c r="Y1845" i="1"/>
  <c r="AA1841" i="1"/>
  <c r="Z1841" i="1"/>
  <c r="Y1841" i="1"/>
  <c r="AA1831" i="1"/>
  <c r="Z1831" i="1"/>
  <c r="Y1831" i="1"/>
  <c r="AA1829" i="1"/>
  <c r="Z1829" i="1"/>
  <c r="Y1829" i="1"/>
  <c r="AA1819" i="1"/>
  <c r="Z1819" i="1"/>
  <c r="Y1819" i="1"/>
  <c r="AA1817" i="1"/>
  <c r="Z1817" i="1"/>
  <c r="Y1817" i="1"/>
  <c r="AA1808" i="1"/>
  <c r="Z1808" i="1"/>
  <c r="Y1808" i="1"/>
  <c r="AA1804" i="1"/>
  <c r="Z1804" i="1"/>
  <c r="Y1804" i="1"/>
  <c r="AA1798" i="1"/>
  <c r="Z1798" i="1"/>
  <c r="Y1798" i="1"/>
  <c r="AA1796" i="1"/>
  <c r="Z1796" i="1"/>
  <c r="Y1796" i="1"/>
  <c r="AA1788" i="1"/>
  <c r="Z1788" i="1"/>
  <c r="Y1788" i="1"/>
  <c r="AA1784" i="1"/>
  <c r="Z1784" i="1"/>
  <c r="Y1784" i="1"/>
  <c r="AA1782" i="1"/>
  <c r="Z1782" i="1"/>
  <c r="Y1782" i="1"/>
  <c r="AA1778" i="1"/>
  <c r="Z1778" i="1"/>
  <c r="Y1778" i="1"/>
  <c r="AA1774" i="1"/>
  <c r="Z1774" i="1"/>
  <c r="Y1774" i="1"/>
  <c r="AA1765" i="1"/>
  <c r="Z1765" i="1"/>
  <c r="Y1765" i="1"/>
  <c r="AA1757" i="1"/>
  <c r="Z1757" i="1"/>
  <c r="Y1757" i="1"/>
  <c r="AA1749" i="1"/>
  <c r="Z1749" i="1"/>
  <c r="Y1749" i="1"/>
  <c r="AA1747" i="1"/>
  <c r="Z1747" i="1"/>
  <c r="Y1747" i="1"/>
  <c r="AA1745" i="1"/>
  <c r="Z1745" i="1"/>
  <c r="Y1745" i="1"/>
  <c r="W2011" i="1"/>
  <c r="V2011" i="1"/>
  <c r="U2011" i="1"/>
  <c r="W2009" i="1"/>
  <c r="V2009" i="1"/>
  <c r="U2009" i="1"/>
  <c r="W2007" i="1"/>
  <c r="V2007" i="1"/>
  <c r="U2007" i="1"/>
  <c r="W2001" i="1"/>
  <c r="V2001" i="1"/>
  <c r="U2001" i="1"/>
  <c r="W1999" i="1"/>
  <c r="V1999" i="1"/>
  <c r="U1999" i="1"/>
  <c r="W1997" i="1"/>
  <c r="V1997" i="1"/>
  <c r="U1997" i="1"/>
  <c r="W1983" i="1"/>
  <c r="V1983" i="1"/>
  <c r="U1983" i="1"/>
  <c r="W1981" i="1"/>
  <c r="V1981" i="1"/>
  <c r="U1981" i="1"/>
  <c r="W1979" i="1"/>
  <c r="V1979" i="1"/>
  <c r="U1979" i="1"/>
  <c r="W1975" i="1"/>
  <c r="V1975" i="1"/>
  <c r="U1975" i="1"/>
  <c r="W1973" i="1"/>
  <c r="V1973" i="1"/>
  <c r="U1973" i="1"/>
  <c r="W1963" i="1"/>
  <c r="V1963" i="1"/>
  <c r="U1963" i="1"/>
  <c r="W1957" i="1"/>
  <c r="V1957" i="1"/>
  <c r="U1957" i="1"/>
  <c r="W1955" i="1"/>
  <c r="V1955" i="1"/>
  <c r="U1955" i="1"/>
  <c r="W1953" i="1"/>
  <c r="V1953" i="1"/>
  <c r="U1953" i="1"/>
  <c r="W1910" i="1"/>
  <c r="V1910" i="1"/>
  <c r="U1910" i="1"/>
  <c r="W1904" i="1"/>
  <c r="V1904" i="1"/>
  <c r="U1904" i="1"/>
  <c r="W1902" i="1"/>
  <c r="V1902" i="1"/>
  <c r="U1902" i="1"/>
  <c r="W1900" i="1"/>
  <c r="V1900" i="1"/>
  <c r="U1900" i="1"/>
  <c r="W1892" i="1"/>
  <c r="V1892" i="1"/>
  <c r="U1892" i="1"/>
  <c r="W1888" i="1"/>
  <c r="V1888" i="1"/>
  <c r="U1888" i="1"/>
  <c r="W1886" i="1"/>
  <c r="V1886" i="1"/>
  <c r="U1886" i="1"/>
  <c r="W1882" i="1"/>
  <c r="V1882" i="1"/>
  <c r="U1882" i="1"/>
  <c r="W1878" i="1"/>
  <c r="V1878" i="1"/>
  <c r="U1878" i="1"/>
  <c r="W1864" i="1"/>
  <c r="V1864" i="1"/>
  <c r="U1864" i="1"/>
  <c r="W1862" i="1"/>
  <c r="V1862" i="1"/>
  <c r="U1862" i="1"/>
  <c r="W1852" i="1"/>
  <c r="V1852" i="1"/>
  <c r="U1852" i="1"/>
  <c r="W1850" i="1"/>
  <c r="V1850" i="1"/>
  <c r="U1850" i="1"/>
  <c r="W1844" i="1"/>
  <c r="V1844" i="1"/>
  <c r="U1844" i="1"/>
  <c r="W1840" i="1"/>
  <c r="V1840" i="1"/>
  <c r="U1840" i="1"/>
  <c r="W1838" i="1"/>
  <c r="V1838" i="1"/>
  <c r="U1838" i="1"/>
  <c r="W1836" i="1"/>
  <c r="V1836" i="1"/>
  <c r="U1836" i="1"/>
  <c r="W1834" i="1"/>
  <c r="V1834" i="1"/>
  <c r="U1834" i="1"/>
  <c r="W1832" i="1"/>
  <c r="V1832" i="1"/>
  <c r="U1832" i="1"/>
  <c r="W1830" i="1"/>
  <c r="V1830" i="1"/>
  <c r="U1830" i="1"/>
  <c r="W1826" i="1"/>
  <c r="V1826" i="1"/>
  <c r="U1826" i="1"/>
  <c r="W1824" i="1"/>
  <c r="V1824" i="1"/>
  <c r="U1824" i="1"/>
  <c r="W1818" i="1"/>
  <c r="V1818" i="1"/>
  <c r="U1818" i="1"/>
  <c r="W1809" i="1"/>
  <c r="V1809" i="1"/>
  <c r="U1809" i="1"/>
  <c r="W1807" i="1"/>
  <c r="V1807" i="1"/>
  <c r="U1807" i="1"/>
  <c r="W1805" i="1"/>
  <c r="V1805" i="1"/>
  <c r="U1805" i="1"/>
  <c r="W1801" i="1"/>
  <c r="V1801" i="1"/>
  <c r="U1801" i="1"/>
  <c r="W1799" i="1"/>
  <c r="V1799" i="1"/>
  <c r="U1799" i="1"/>
  <c r="W1797" i="1"/>
  <c r="V1797" i="1"/>
  <c r="U1797" i="1"/>
  <c r="W1795" i="1"/>
  <c r="V1795" i="1"/>
  <c r="U1795" i="1"/>
  <c r="W1793" i="1"/>
  <c r="V1793" i="1"/>
  <c r="U1793" i="1"/>
  <c r="W1781" i="1"/>
  <c r="V1781" i="1"/>
  <c r="U1781" i="1"/>
  <c r="W1779" i="1"/>
  <c r="V1779" i="1"/>
  <c r="U1779" i="1"/>
  <c r="W1773" i="1"/>
  <c r="V1773" i="1"/>
  <c r="U1773" i="1"/>
  <c r="W1762" i="1"/>
  <c r="V1762" i="1"/>
  <c r="U1762" i="1"/>
  <c r="W1760" i="1"/>
  <c r="V1760" i="1"/>
  <c r="U1760" i="1"/>
  <c r="W1756" i="1"/>
  <c r="V1756" i="1"/>
  <c r="U1756" i="1"/>
  <c r="W1750" i="1"/>
  <c r="V1750" i="1"/>
  <c r="U1750" i="1"/>
  <c r="W1746" i="1"/>
  <c r="V1746" i="1"/>
  <c r="U1746" i="1"/>
  <c r="Y1660" i="1"/>
  <c r="AA1660" i="1"/>
  <c r="U1654" i="1"/>
  <c r="V1654" i="1"/>
  <c r="Y1648" i="1"/>
  <c r="AA1648" i="1"/>
  <c r="Y1636" i="1"/>
  <c r="AA1636" i="1"/>
  <c r="Z1631" i="1"/>
  <c r="Y1631" i="1"/>
  <c r="Z1619" i="1"/>
  <c r="Y1619" i="1"/>
  <c r="V1617" i="1"/>
  <c r="U1617" i="1"/>
  <c r="W1617" i="1"/>
  <c r="Z1615" i="1"/>
  <c r="Y1615" i="1"/>
  <c r="V1613" i="1"/>
  <c r="U1613" i="1"/>
  <c r="W1613" i="1"/>
  <c r="Z1611" i="1"/>
  <c r="Y1611" i="1"/>
  <c r="V1605" i="1"/>
  <c r="U1605" i="1"/>
  <c r="W1605" i="1"/>
  <c r="Z1603" i="1"/>
  <c r="Y1603" i="1"/>
  <c r="V1601" i="1"/>
  <c r="U1601" i="1"/>
  <c r="W1601" i="1"/>
  <c r="Z1599" i="1"/>
  <c r="Y1599" i="1"/>
  <c r="V1597" i="1"/>
  <c r="U1597" i="1"/>
  <c r="W1597" i="1"/>
  <c r="V1593" i="1"/>
  <c r="U1593" i="1"/>
  <c r="W1593" i="1"/>
  <c r="Z1591" i="1"/>
  <c r="Y1591" i="1"/>
  <c r="V1589" i="1"/>
  <c r="U1589" i="1"/>
  <c r="W1589" i="1"/>
  <c r="Z1587" i="1"/>
  <c r="Y1587" i="1"/>
  <c r="V1585" i="1"/>
  <c r="U1585" i="1"/>
  <c r="W1585" i="1"/>
  <c r="Z1583" i="1"/>
  <c r="Y1583" i="1"/>
  <c r="V1581" i="1"/>
  <c r="U1581" i="1"/>
  <c r="W1581" i="1"/>
  <c r="Z1579" i="1"/>
  <c r="Y1579" i="1"/>
  <c r="V1577" i="1"/>
  <c r="U1577" i="1"/>
  <c r="W1577" i="1"/>
  <c r="Z1575" i="1"/>
  <c r="Y1575" i="1"/>
  <c r="Z1571" i="1"/>
  <c r="Y1571" i="1"/>
  <c r="Z1567" i="1"/>
  <c r="Y1567" i="1"/>
  <c r="Z1563" i="1"/>
  <c r="Y1563" i="1"/>
  <c r="V1561" i="1"/>
  <c r="U1561" i="1"/>
  <c r="W1561" i="1"/>
  <c r="Z1559" i="1"/>
  <c r="Y1559" i="1"/>
  <c r="V1557" i="1"/>
  <c r="U1557" i="1"/>
  <c r="W1557" i="1"/>
  <c r="Z1555" i="1"/>
  <c r="Y1555" i="1"/>
  <c r="V1553" i="1"/>
  <c r="U1553" i="1"/>
  <c r="W1553" i="1"/>
  <c r="Z1551" i="1"/>
  <c r="Y1551" i="1"/>
  <c r="V1549" i="1"/>
  <c r="U1549" i="1"/>
  <c r="W1549" i="1"/>
  <c r="V1541" i="1"/>
  <c r="U1541" i="1"/>
  <c r="W1541" i="1"/>
  <c r="V1537" i="1"/>
  <c r="U1537" i="1"/>
  <c r="W1537" i="1"/>
  <c r="V1529" i="1"/>
  <c r="U1529" i="1"/>
  <c r="W1529" i="1"/>
  <c r="V1521" i="1"/>
  <c r="U1521" i="1"/>
  <c r="W1521" i="1"/>
  <c r="V1517" i="1"/>
  <c r="U1517" i="1"/>
  <c r="W1517" i="1"/>
  <c r="V1513" i="1"/>
  <c r="U1513" i="1"/>
  <c r="W1513" i="1"/>
  <c r="V1509" i="1"/>
  <c r="U1509" i="1"/>
  <c r="W1509" i="1"/>
  <c r="V1505" i="1"/>
  <c r="U1505" i="1"/>
  <c r="W1505" i="1"/>
  <c r="V1501" i="1"/>
  <c r="U1501" i="1"/>
  <c r="W1501" i="1"/>
  <c r="V1497" i="1"/>
  <c r="U1497" i="1"/>
  <c r="W1497" i="1"/>
  <c r="V1493" i="1"/>
  <c r="U1493" i="1"/>
  <c r="W1493" i="1"/>
  <c r="V1489" i="1"/>
  <c r="U1489" i="1"/>
  <c r="W1489" i="1"/>
  <c r="V1477" i="1"/>
  <c r="U1477" i="1"/>
  <c r="W1477" i="1"/>
  <c r="V1473" i="1"/>
  <c r="U1473" i="1"/>
  <c r="W1473" i="1"/>
  <c r="V1465" i="1"/>
  <c r="U1465" i="1"/>
  <c r="W1465" i="1"/>
  <c r="V1461" i="1"/>
  <c r="U1461" i="1"/>
  <c r="W1461" i="1"/>
  <c r="V1457" i="1"/>
  <c r="U1457" i="1"/>
  <c r="W1457" i="1"/>
  <c r="V1453" i="1"/>
  <c r="U1453" i="1"/>
  <c r="W1453" i="1"/>
  <c r="V1449" i="1"/>
  <c r="U1449" i="1"/>
  <c r="W1449" i="1"/>
  <c r="V1445" i="1"/>
  <c r="U1445" i="1"/>
  <c r="W1445" i="1"/>
  <c r="V1441" i="1"/>
  <c r="U1441" i="1"/>
  <c r="W1441" i="1"/>
  <c r="V1437" i="1"/>
  <c r="U1437" i="1"/>
  <c r="W1437" i="1"/>
  <c r="V1433" i="1"/>
  <c r="U1433" i="1"/>
  <c r="W1433" i="1"/>
  <c r="V1429" i="1"/>
  <c r="U1429" i="1"/>
  <c r="W1429" i="1"/>
  <c r="V1425" i="1"/>
  <c r="U1425" i="1"/>
  <c r="W1425" i="1"/>
  <c r="V1421" i="1"/>
  <c r="U1421" i="1"/>
  <c r="W1421" i="1"/>
  <c r="V1417" i="1"/>
  <c r="U1417" i="1"/>
  <c r="W1417" i="1"/>
  <c r="V1413" i="1"/>
  <c r="U1413" i="1"/>
  <c r="W1413" i="1"/>
  <c r="V1397" i="1"/>
  <c r="U1397" i="1"/>
  <c r="W1397" i="1"/>
  <c r="V1393" i="1"/>
  <c r="U1393" i="1"/>
  <c r="W1393" i="1"/>
  <c r="V1389" i="1"/>
  <c r="U1389" i="1"/>
  <c r="W1389" i="1"/>
  <c r="V1381" i="1"/>
  <c r="U1381" i="1"/>
  <c r="W1381" i="1"/>
  <c r="V1377" i="1"/>
  <c r="U1377" i="1"/>
  <c r="W1377" i="1"/>
  <c r="V1373" i="1"/>
  <c r="U1373" i="1"/>
  <c r="W1373" i="1"/>
  <c r="V1369" i="1"/>
  <c r="U1369" i="1"/>
  <c r="W1369" i="1"/>
  <c r="V1360" i="1"/>
  <c r="U1360" i="1"/>
  <c r="W1360" i="1"/>
  <c r="V1356" i="1"/>
  <c r="U1356" i="1"/>
  <c r="W1356" i="1"/>
  <c r="V1352" i="1"/>
  <c r="U1352" i="1"/>
  <c r="W1352" i="1"/>
  <c r="V1348" i="1"/>
  <c r="U1348" i="1"/>
  <c r="W1348" i="1"/>
  <c r="Y1744" i="1"/>
  <c r="U1744" i="1"/>
  <c r="Y1743" i="1"/>
  <c r="U1743" i="1"/>
  <c r="Y1742" i="1"/>
  <c r="U1742" i="1"/>
  <c r="Y1741" i="1"/>
  <c r="U1741" i="1"/>
  <c r="Y1740" i="1"/>
  <c r="U1740" i="1"/>
  <c r="Y1738" i="1"/>
  <c r="U1738" i="1"/>
  <c r="Y1736" i="1"/>
  <c r="U1736" i="1"/>
  <c r="Y1735" i="1"/>
  <c r="U1735" i="1"/>
  <c r="Y1731" i="1"/>
  <c r="Y1730" i="1"/>
  <c r="U1730" i="1"/>
  <c r="Y1728" i="1"/>
  <c r="U1728" i="1"/>
  <c r="Y1726" i="1"/>
  <c r="U1726" i="1"/>
  <c r="Y1723" i="1"/>
  <c r="U1723" i="1"/>
  <c r="Y1722" i="1"/>
  <c r="U1722" i="1"/>
  <c r="Y1721" i="1"/>
  <c r="U1721" i="1"/>
  <c r="Y1720" i="1"/>
  <c r="U1720" i="1"/>
  <c r="Y1719" i="1"/>
  <c r="U1719" i="1"/>
  <c r="Y1717" i="1"/>
  <c r="U1717" i="1"/>
  <c r="Y1716" i="1"/>
  <c r="U1716" i="1"/>
  <c r="Y1712" i="1"/>
  <c r="U1712" i="1"/>
  <c r="Y1709" i="1"/>
  <c r="U1709" i="1"/>
  <c r="Y1708" i="1"/>
  <c r="U1708" i="1"/>
  <c r="Y1704" i="1"/>
  <c r="U1704" i="1"/>
  <c r="Y1700" i="1"/>
  <c r="U1700" i="1"/>
  <c r="Y1696" i="1"/>
  <c r="U1696" i="1"/>
  <c r="Z1676" i="1"/>
  <c r="Z1665" i="1"/>
  <c r="Z1653" i="1"/>
  <c r="Z1637" i="1"/>
  <c r="Z1618" i="1"/>
  <c r="Y1618" i="1"/>
  <c r="V1616" i="1"/>
  <c r="U1616" i="1"/>
  <c r="W1616" i="1"/>
  <c r="Z1614" i="1"/>
  <c r="Y1614" i="1"/>
  <c r="V1612" i="1"/>
  <c r="U1612" i="1"/>
  <c r="W1612" i="1"/>
  <c r="Z1610" i="1"/>
  <c r="Y1610" i="1"/>
  <c r="V1604" i="1"/>
  <c r="U1604" i="1"/>
  <c r="W1604" i="1"/>
  <c r="Z1602" i="1"/>
  <c r="Y1602" i="1"/>
  <c r="V1600" i="1"/>
  <c r="U1600" i="1"/>
  <c r="W1600" i="1"/>
  <c r="V1592" i="1"/>
  <c r="U1592" i="1"/>
  <c r="W1592" i="1"/>
  <c r="Z1590" i="1"/>
  <c r="Y1590" i="1"/>
  <c r="V1588" i="1"/>
  <c r="U1588" i="1"/>
  <c r="W1588" i="1"/>
  <c r="Z1586" i="1"/>
  <c r="Y1586" i="1"/>
  <c r="V1584" i="1"/>
  <c r="U1584" i="1"/>
  <c r="W1584" i="1"/>
  <c r="Z1582" i="1"/>
  <c r="Y1582" i="1"/>
  <c r="V1580" i="1"/>
  <c r="U1580" i="1"/>
  <c r="W1580" i="1"/>
  <c r="Z1578" i="1"/>
  <c r="Y1578" i="1"/>
  <c r="V1576" i="1"/>
  <c r="U1576" i="1"/>
  <c r="W1576" i="1"/>
  <c r="Z1574" i="1"/>
  <c r="Y1574" i="1"/>
  <c r="Z1570" i="1"/>
  <c r="Y1570" i="1"/>
  <c r="V1568" i="1"/>
  <c r="U1568" i="1"/>
  <c r="W1568" i="1"/>
  <c r="Z1566" i="1"/>
  <c r="Y1566" i="1"/>
  <c r="V1564" i="1"/>
  <c r="U1564" i="1"/>
  <c r="W1564" i="1"/>
  <c r="Z1562" i="1"/>
  <c r="Y1562" i="1"/>
  <c r="V1560" i="1"/>
  <c r="U1560" i="1"/>
  <c r="W1560" i="1"/>
  <c r="Z1558" i="1"/>
  <c r="Y1558" i="1"/>
  <c r="V1556" i="1"/>
  <c r="U1556" i="1"/>
  <c r="W1556" i="1"/>
  <c r="Z1554" i="1"/>
  <c r="Y1554" i="1"/>
  <c r="V1552" i="1"/>
  <c r="U1552" i="1"/>
  <c r="W1552" i="1"/>
  <c r="Z1550" i="1"/>
  <c r="Y1550" i="1"/>
  <c r="V1548" i="1"/>
  <c r="U1548" i="1"/>
  <c r="W1548" i="1"/>
  <c r="Z1546" i="1"/>
  <c r="Y1546" i="1"/>
  <c r="V1540" i="1"/>
  <c r="U1540" i="1"/>
  <c r="W1540" i="1"/>
  <c r="V1536" i="1"/>
  <c r="U1536" i="1"/>
  <c r="W1536" i="1"/>
  <c r="V1528" i="1"/>
  <c r="U1528" i="1"/>
  <c r="W1528" i="1"/>
  <c r="V1512" i="1"/>
  <c r="U1512" i="1"/>
  <c r="W1512" i="1"/>
  <c r="V1508" i="1"/>
  <c r="U1508" i="1"/>
  <c r="W1508" i="1"/>
  <c r="V1504" i="1"/>
  <c r="U1504" i="1"/>
  <c r="W1504" i="1"/>
  <c r="V1500" i="1"/>
  <c r="U1500" i="1"/>
  <c r="W1500" i="1"/>
  <c r="V1496" i="1"/>
  <c r="U1496" i="1"/>
  <c r="W1496" i="1"/>
  <c r="V1488" i="1"/>
  <c r="U1488" i="1"/>
  <c r="W1488" i="1"/>
  <c r="V1476" i="1"/>
  <c r="U1476" i="1"/>
  <c r="W1476" i="1"/>
  <c r="V1472" i="1"/>
  <c r="U1472" i="1"/>
  <c r="W1472" i="1"/>
  <c r="V1464" i="1"/>
  <c r="U1464" i="1"/>
  <c r="W1464" i="1"/>
  <c r="V1460" i="1"/>
  <c r="U1460" i="1"/>
  <c r="W1460" i="1"/>
  <c r="V1452" i="1"/>
  <c r="U1452" i="1"/>
  <c r="W1452" i="1"/>
  <c r="V1448" i="1"/>
  <c r="U1448" i="1"/>
  <c r="W1448" i="1"/>
  <c r="V1444" i="1"/>
  <c r="U1444" i="1"/>
  <c r="W1444" i="1"/>
  <c r="V1440" i="1"/>
  <c r="U1440" i="1"/>
  <c r="W1440" i="1"/>
  <c r="V1436" i="1"/>
  <c r="U1436" i="1"/>
  <c r="W1436" i="1"/>
  <c r="V1432" i="1"/>
  <c r="U1432" i="1"/>
  <c r="W1432" i="1"/>
  <c r="V1428" i="1"/>
  <c r="U1428" i="1"/>
  <c r="W1428" i="1"/>
  <c r="V1416" i="1"/>
  <c r="U1416" i="1"/>
  <c r="W1416" i="1"/>
  <c r="V1412" i="1"/>
  <c r="U1412" i="1"/>
  <c r="W1412" i="1"/>
  <c r="V1408" i="1"/>
  <c r="U1408" i="1"/>
  <c r="W1408" i="1"/>
  <c r="V1404" i="1"/>
  <c r="U1404" i="1"/>
  <c r="W1404" i="1"/>
  <c r="V1400" i="1"/>
  <c r="U1400" i="1"/>
  <c r="W1400" i="1"/>
  <c r="V1396" i="1"/>
  <c r="U1396" i="1"/>
  <c r="W1396" i="1"/>
  <c r="V1392" i="1"/>
  <c r="U1392" i="1"/>
  <c r="W1392" i="1"/>
  <c r="V1388" i="1"/>
  <c r="U1388" i="1"/>
  <c r="W1388" i="1"/>
  <c r="V1380" i="1"/>
  <c r="U1380" i="1"/>
  <c r="W1380" i="1"/>
  <c r="V1372" i="1"/>
  <c r="U1372" i="1"/>
  <c r="W1372" i="1"/>
  <c r="V1368" i="1"/>
  <c r="U1368" i="1"/>
  <c r="W1368" i="1"/>
  <c r="V1359" i="1"/>
  <c r="U1359" i="1"/>
  <c r="W1359" i="1"/>
  <c r="V1355" i="1"/>
  <c r="U1355" i="1"/>
  <c r="W1355" i="1"/>
  <c r="V1351" i="1"/>
  <c r="U1351" i="1"/>
  <c r="W1351" i="1"/>
  <c r="V1347" i="1"/>
  <c r="U1347" i="1"/>
  <c r="W1347" i="1"/>
  <c r="Z1744" i="1"/>
  <c r="V1744" i="1"/>
  <c r="Z1743" i="1"/>
  <c r="V1743" i="1"/>
  <c r="Z1742" i="1"/>
  <c r="V1742" i="1"/>
  <c r="Z1741" i="1"/>
  <c r="V1741" i="1"/>
  <c r="Z1740" i="1"/>
  <c r="V1740" i="1"/>
  <c r="Z1738" i="1"/>
  <c r="V1738" i="1"/>
  <c r="Z1736" i="1"/>
  <c r="V1736" i="1"/>
  <c r="Z1735" i="1"/>
  <c r="V1735" i="1"/>
  <c r="Z1731" i="1"/>
  <c r="Z1730" i="1"/>
  <c r="V1730" i="1"/>
  <c r="Z1728" i="1"/>
  <c r="V1728" i="1"/>
  <c r="Z1726" i="1"/>
  <c r="V1726" i="1"/>
  <c r="Z1723" i="1"/>
  <c r="V1723" i="1"/>
  <c r="Z1722" i="1"/>
  <c r="V1722" i="1"/>
  <c r="Z1721" i="1"/>
  <c r="V1721" i="1"/>
  <c r="Z1720" i="1"/>
  <c r="V1720" i="1"/>
  <c r="Z1719" i="1"/>
  <c r="V1719" i="1"/>
  <c r="Z1717" i="1"/>
  <c r="V1717" i="1"/>
  <c r="Z1716" i="1"/>
  <c r="V1716" i="1"/>
  <c r="Z1712" i="1"/>
  <c r="V1712" i="1"/>
  <c r="Z1709" i="1"/>
  <c r="V1709" i="1"/>
  <c r="Z1708" i="1"/>
  <c r="V1708" i="1"/>
  <c r="Z1704" i="1"/>
  <c r="V1704" i="1"/>
  <c r="Z1700" i="1"/>
  <c r="V1700" i="1"/>
  <c r="Z1696" i="1"/>
  <c r="V1696" i="1"/>
  <c r="AA1676" i="1"/>
  <c r="V1676" i="1"/>
  <c r="AA1665" i="1"/>
  <c r="AA1653" i="1"/>
  <c r="AA1637" i="1"/>
  <c r="U1660" i="1"/>
  <c r="V1660" i="1"/>
  <c r="Y1654" i="1"/>
  <c r="AA1654" i="1"/>
  <c r="U1648" i="1"/>
  <c r="V1648" i="1"/>
  <c r="U1636" i="1"/>
  <c r="V1636" i="1"/>
  <c r="V1631" i="1"/>
  <c r="U1631" i="1"/>
  <c r="W1631" i="1"/>
  <c r="V1619" i="1"/>
  <c r="U1619" i="1"/>
  <c r="W1619" i="1"/>
  <c r="Z1617" i="1"/>
  <c r="Y1617" i="1"/>
  <c r="V1615" i="1"/>
  <c r="U1615" i="1"/>
  <c r="W1615" i="1"/>
  <c r="Z1613" i="1"/>
  <c r="Y1613" i="1"/>
  <c r="V1611" i="1"/>
  <c r="U1611" i="1"/>
  <c r="W1611" i="1"/>
  <c r="Z1605" i="1"/>
  <c r="Y1605" i="1"/>
  <c r="V1603" i="1"/>
  <c r="U1603" i="1"/>
  <c r="W1603" i="1"/>
  <c r="Z1601" i="1"/>
  <c r="Y1601" i="1"/>
  <c r="V1599" i="1"/>
  <c r="U1599" i="1"/>
  <c r="W1599" i="1"/>
  <c r="Z1597" i="1"/>
  <c r="Y1597" i="1"/>
  <c r="Z1593" i="1"/>
  <c r="Y1593" i="1"/>
  <c r="V1591" i="1"/>
  <c r="U1591" i="1"/>
  <c r="W1591" i="1"/>
  <c r="Z1589" i="1"/>
  <c r="Y1589" i="1"/>
  <c r="V1587" i="1"/>
  <c r="U1587" i="1"/>
  <c r="W1587" i="1"/>
  <c r="Z1585" i="1"/>
  <c r="Y1585" i="1"/>
  <c r="V1583" i="1"/>
  <c r="U1583" i="1"/>
  <c r="W1583" i="1"/>
  <c r="Z1581" i="1"/>
  <c r="Y1581" i="1"/>
  <c r="V1579" i="1"/>
  <c r="U1579" i="1"/>
  <c r="W1579" i="1"/>
  <c r="Z1577" i="1"/>
  <c r="Y1577" i="1"/>
  <c r="V1575" i="1"/>
  <c r="U1575" i="1"/>
  <c r="W1575" i="1"/>
  <c r="Z1573" i="1"/>
  <c r="Y1573" i="1"/>
  <c r="V1571" i="1"/>
  <c r="U1571" i="1"/>
  <c r="W1571" i="1"/>
  <c r="V1567" i="1"/>
  <c r="U1567" i="1"/>
  <c r="W1567" i="1"/>
  <c r="V1563" i="1"/>
  <c r="U1563" i="1"/>
  <c r="W1563" i="1"/>
  <c r="Z1561" i="1"/>
  <c r="Y1561" i="1"/>
  <c r="V1559" i="1"/>
  <c r="U1559" i="1"/>
  <c r="W1559" i="1"/>
  <c r="Z1557" i="1"/>
  <c r="Y1557" i="1"/>
  <c r="V1555" i="1"/>
  <c r="U1555" i="1"/>
  <c r="W1555" i="1"/>
  <c r="Z1553" i="1"/>
  <c r="Y1553" i="1"/>
  <c r="V1551" i="1"/>
  <c r="U1551" i="1"/>
  <c r="W1551" i="1"/>
  <c r="Z1549" i="1"/>
  <c r="Y1549" i="1"/>
  <c r="V1539" i="1"/>
  <c r="U1539" i="1"/>
  <c r="W1539" i="1"/>
  <c r="V1535" i="1"/>
  <c r="U1535" i="1"/>
  <c r="W1535" i="1"/>
  <c r="V1519" i="1"/>
  <c r="U1519" i="1"/>
  <c r="W1519" i="1"/>
  <c r="V1515" i="1"/>
  <c r="U1515" i="1"/>
  <c r="W1515" i="1"/>
  <c r="V1511" i="1"/>
  <c r="U1511" i="1"/>
  <c r="W1511" i="1"/>
  <c r="V1507" i="1"/>
  <c r="U1507" i="1"/>
  <c r="W1507" i="1"/>
  <c r="V1499" i="1"/>
  <c r="U1499" i="1"/>
  <c r="W1499" i="1"/>
  <c r="V1495" i="1"/>
  <c r="U1495" i="1"/>
  <c r="W1495" i="1"/>
  <c r="V1491" i="1"/>
  <c r="U1491" i="1"/>
  <c r="W1491" i="1"/>
  <c r="V1487" i="1"/>
  <c r="U1487" i="1"/>
  <c r="W1487" i="1"/>
  <c r="V1475" i="1"/>
  <c r="U1475" i="1"/>
  <c r="W1475" i="1"/>
  <c r="V1471" i="1"/>
  <c r="U1471" i="1"/>
  <c r="W1471" i="1"/>
  <c r="V1463" i="1"/>
  <c r="U1463" i="1"/>
  <c r="W1463" i="1"/>
  <c r="V1459" i="1"/>
  <c r="U1459" i="1"/>
  <c r="W1459" i="1"/>
  <c r="V1451" i="1"/>
  <c r="U1451" i="1"/>
  <c r="W1451" i="1"/>
  <c r="V1447" i="1"/>
  <c r="U1447" i="1"/>
  <c r="W1447" i="1"/>
  <c r="V1443" i="1"/>
  <c r="U1443" i="1"/>
  <c r="W1443" i="1"/>
  <c r="V1439" i="1"/>
  <c r="U1439" i="1"/>
  <c r="W1439" i="1"/>
  <c r="V1435" i="1"/>
  <c r="U1435" i="1"/>
  <c r="W1435" i="1"/>
  <c r="V1431" i="1"/>
  <c r="U1431" i="1"/>
  <c r="W1431" i="1"/>
  <c r="V1427" i="1"/>
  <c r="U1427" i="1"/>
  <c r="W1427" i="1"/>
  <c r="V1423" i="1"/>
  <c r="U1423" i="1"/>
  <c r="W1423" i="1"/>
  <c r="V1419" i="1"/>
  <c r="U1419" i="1"/>
  <c r="W1419" i="1"/>
  <c r="V1411" i="1"/>
  <c r="U1411" i="1"/>
  <c r="W1411" i="1"/>
  <c r="V1407" i="1"/>
  <c r="U1407" i="1"/>
  <c r="W1407" i="1"/>
  <c r="V1403" i="1"/>
  <c r="U1403" i="1"/>
  <c r="W1403" i="1"/>
  <c r="V1395" i="1"/>
  <c r="U1395" i="1"/>
  <c r="W1395" i="1"/>
  <c r="V1391" i="1"/>
  <c r="U1391" i="1"/>
  <c r="W1391" i="1"/>
  <c r="V1387" i="1"/>
  <c r="U1387" i="1"/>
  <c r="W1387" i="1"/>
  <c r="V1383" i="1"/>
  <c r="U1383" i="1"/>
  <c r="W1383" i="1"/>
  <c r="V1379" i="1"/>
  <c r="U1379" i="1"/>
  <c r="W1379" i="1"/>
  <c r="V1367" i="1"/>
  <c r="U1367" i="1"/>
  <c r="W1367" i="1"/>
  <c r="V1362" i="1"/>
  <c r="U1362" i="1"/>
  <c r="W1362" i="1"/>
  <c r="V1358" i="1"/>
  <c r="U1358" i="1"/>
  <c r="W1358" i="1"/>
  <c r="V1350" i="1"/>
  <c r="U1350" i="1"/>
  <c r="W1350" i="1"/>
  <c r="V1618" i="1"/>
  <c r="U1618" i="1"/>
  <c r="W1618" i="1"/>
  <c r="Z1616" i="1"/>
  <c r="Y1616" i="1"/>
  <c r="V1614" i="1"/>
  <c r="U1614" i="1"/>
  <c r="W1614" i="1"/>
  <c r="Z1612" i="1"/>
  <c r="Y1612" i="1"/>
  <c r="V1610" i="1"/>
  <c r="U1610" i="1"/>
  <c r="W1610" i="1"/>
  <c r="Z1604" i="1"/>
  <c r="Y1604" i="1"/>
  <c r="V1602" i="1"/>
  <c r="U1602" i="1"/>
  <c r="W1602" i="1"/>
  <c r="Z1600" i="1"/>
  <c r="Y1600" i="1"/>
  <c r="Z1592" i="1"/>
  <c r="Y1592" i="1"/>
  <c r="V1590" i="1"/>
  <c r="U1590" i="1"/>
  <c r="W1590" i="1"/>
  <c r="Z1588" i="1"/>
  <c r="Y1588" i="1"/>
  <c r="V1586" i="1"/>
  <c r="U1586" i="1"/>
  <c r="W1586" i="1"/>
  <c r="Z1584" i="1"/>
  <c r="Y1584" i="1"/>
  <c r="V1582" i="1"/>
  <c r="U1582" i="1"/>
  <c r="W1582" i="1"/>
  <c r="Z1580" i="1"/>
  <c r="Y1580" i="1"/>
  <c r="V1578" i="1"/>
  <c r="U1578" i="1"/>
  <c r="W1578" i="1"/>
  <c r="Z1576" i="1"/>
  <c r="Y1576" i="1"/>
  <c r="V1574" i="1"/>
  <c r="U1574" i="1"/>
  <c r="W1574" i="1"/>
  <c r="V1570" i="1"/>
  <c r="U1570" i="1"/>
  <c r="W1570" i="1"/>
  <c r="Z1568" i="1"/>
  <c r="Y1568" i="1"/>
  <c r="V1566" i="1"/>
  <c r="U1566" i="1"/>
  <c r="W1566" i="1"/>
  <c r="Z1564" i="1"/>
  <c r="Y1564" i="1"/>
  <c r="V1562" i="1"/>
  <c r="U1562" i="1"/>
  <c r="W1562" i="1"/>
  <c r="Z1560" i="1"/>
  <c r="Y1560" i="1"/>
  <c r="V1558" i="1"/>
  <c r="U1558" i="1"/>
  <c r="W1558" i="1"/>
  <c r="Z1556" i="1"/>
  <c r="Y1556" i="1"/>
  <c r="V1554" i="1"/>
  <c r="U1554" i="1"/>
  <c r="W1554" i="1"/>
  <c r="Z1552" i="1"/>
  <c r="Y1552" i="1"/>
  <c r="V1550" i="1"/>
  <c r="U1550" i="1"/>
  <c r="W1550" i="1"/>
  <c r="Z1548" i="1"/>
  <c r="Y1548" i="1"/>
  <c r="V1546" i="1"/>
  <c r="U1546" i="1"/>
  <c r="W1546" i="1"/>
  <c r="V1538" i="1"/>
  <c r="U1538" i="1"/>
  <c r="W1538" i="1"/>
  <c r="V1534" i="1"/>
  <c r="U1534" i="1"/>
  <c r="W1534" i="1"/>
  <c r="V1530" i="1"/>
  <c r="U1530" i="1"/>
  <c r="W1530" i="1"/>
  <c r="V1526" i="1"/>
  <c r="U1526" i="1"/>
  <c r="W1526" i="1"/>
  <c r="V1522" i="1"/>
  <c r="U1522" i="1"/>
  <c r="W1522" i="1"/>
  <c r="V1518" i="1"/>
  <c r="U1518" i="1"/>
  <c r="W1518" i="1"/>
  <c r="V1514" i="1"/>
  <c r="U1514" i="1"/>
  <c r="W1514" i="1"/>
  <c r="V1510" i="1"/>
  <c r="U1510" i="1"/>
  <c r="W1510" i="1"/>
  <c r="V1506" i="1"/>
  <c r="U1506" i="1"/>
  <c r="W1506" i="1"/>
  <c r="V1498" i="1"/>
  <c r="U1498" i="1"/>
  <c r="W1498" i="1"/>
  <c r="V1478" i="1"/>
  <c r="U1478" i="1"/>
  <c r="W1478" i="1"/>
  <c r="V1474" i="1"/>
  <c r="U1474" i="1"/>
  <c r="W1474" i="1"/>
  <c r="V1466" i="1"/>
  <c r="U1466" i="1"/>
  <c r="W1466" i="1"/>
  <c r="V1462" i="1"/>
  <c r="U1462" i="1"/>
  <c r="W1462" i="1"/>
  <c r="V1450" i="1"/>
  <c r="U1450" i="1"/>
  <c r="W1450" i="1"/>
  <c r="V1446" i="1"/>
  <c r="U1446" i="1"/>
  <c r="W1446" i="1"/>
  <c r="V1442" i="1"/>
  <c r="U1442" i="1"/>
  <c r="W1442" i="1"/>
  <c r="V1434" i="1"/>
  <c r="U1434" i="1"/>
  <c r="W1434" i="1"/>
  <c r="V1430" i="1"/>
  <c r="U1430" i="1"/>
  <c r="W1430" i="1"/>
  <c r="V1426" i="1"/>
  <c r="U1426" i="1"/>
  <c r="W1426" i="1"/>
  <c r="V1422" i="1"/>
  <c r="U1422" i="1"/>
  <c r="W1422" i="1"/>
  <c r="V1410" i="1"/>
  <c r="U1410" i="1"/>
  <c r="W1410" i="1"/>
  <c r="V1402" i="1"/>
  <c r="U1402" i="1"/>
  <c r="W1402" i="1"/>
  <c r="V1398" i="1"/>
  <c r="U1398" i="1"/>
  <c r="W1398" i="1"/>
  <c r="V1394" i="1"/>
  <c r="U1394" i="1"/>
  <c r="W1394" i="1"/>
  <c r="V1390" i="1"/>
  <c r="U1390" i="1"/>
  <c r="W1390" i="1"/>
  <c r="V1386" i="1"/>
  <c r="U1386" i="1"/>
  <c r="W1386" i="1"/>
  <c r="V1382" i="1"/>
  <c r="U1382" i="1"/>
  <c r="W1382" i="1"/>
  <c r="V1378" i="1"/>
  <c r="U1378" i="1"/>
  <c r="W1378" i="1"/>
  <c r="V1374" i="1"/>
  <c r="U1374" i="1"/>
  <c r="W1374" i="1"/>
  <c r="V1370" i="1"/>
  <c r="U1370" i="1"/>
  <c r="W1370" i="1"/>
  <c r="V1365" i="1"/>
  <c r="U1365" i="1"/>
  <c r="W1365" i="1"/>
  <c r="V1353" i="1"/>
  <c r="U1353" i="1"/>
  <c r="W1353" i="1"/>
  <c r="V1349" i="1"/>
  <c r="U1349" i="1"/>
  <c r="W1349" i="1"/>
  <c r="Z1541" i="1"/>
  <c r="Y1541" i="1"/>
  <c r="Z1540" i="1"/>
  <c r="Y1540" i="1"/>
  <c r="Z1539" i="1"/>
  <c r="Y1539" i="1"/>
  <c r="Z1538" i="1"/>
  <c r="Y1538" i="1"/>
  <c r="Z1537" i="1"/>
  <c r="Y1537" i="1"/>
  <c r="Z1536" i="1"/>
  <c r="Y1536" i="1"/>
  <c r="Z1535" i="1"/>
  <c r="Y1535" i="1"/>
  <c r="Z1534" i="1"/>
  <c r="Y1534" i="1"/>
  <c r="Z1530" i="1"/>
  <c r="Y1530" i="1"/>
  <c r="Z1529" i="1"/>
  <c r="Y1529" i="1"/>
  <c r="Z1528" i="1"/>
  <c r="Y1528" i="1"/>
  <c r="Z1526" i="1"/>
  <c r="Y1526" i="1"/>
  <c r="Z1525" i="1"/>
  <c r="Y1525" i="1"/>
  <c r="Z1522" i="1"/>
  <c r="Y1522" i="1"/>
  <c r="Z1521" i="1"/>
  <c r="Y1521" i="1"/>
  <c r="Z1519" i="1"/>
  <c r="Y1519" i="1"/>
  <c r="Z1518" i="1"/>
  <c r="Y1518" i="1"/>
  <c r="Z1517" i="1"/>
  <c r="Y1517" i="1"/>
  <c r="Z1515" i="1"/>
  <c r="Y1515" i="1"/>
  <c r="Z1514" i="1"/>
  <c r="Y1514" i="1"/>
  <c r="Z1513" i="1"/>
  <c r="Y1513" i="1"/>
  <c r="Z1512" i="1"/>
  <c r="Y1512" i="1"/>
  <c r="Z1511" i="1"/>
  <c r="Y1511" i="1"/>
  <c r="Z1510" i="1"/>
  <c r="Y1510" i="1"/>
  <c r="Z1509" i="1"/>
  <c r="Y1509" i="1"/>
  <c r="Z1508" i="1"/>
  <c r="Y1508" i="1"/>
  <c r="Z1507" i="1"/>
  <c r="Y1507" i="1"/>
  <c r="Z1506" i="1"/>
  <c r="Y1506" i="1"/>
  <c r="Z1505" i="1"/>
  <c r="Y1505" i="1"/>
  <c r="Z1504" i="1"/>
  <c r="Y1504" i="1"/>
  <c r="Z1501" i="1"/>
  <c r="Y1501" i="1"/>
  <c r="Z1500" i="1"/>
  <c r="Y1500" i="1"/>
  <c r="Z1499" i="1"/>
  <c r="Y1499" i="1"/>
  <c r="Z1498" i="1"/>
  <c r="Y1498" i="1"/>
  <c r="Z1497" i="1"/>
  <c r="Y1497" i="1"/>
  <c r="Z1496" i="1"/>
  <c r="Y1496" i="1"/>
  <c r="Z1495" i="1"/>
  <c r="Y1495" i="1"/>
  <c r="Z1493" i="1"/>
  <c r="Y1493" i="1"/>
  <c r="Z1491" i="1"/>
  <c r="Y1491" i="1"/>
  <c r="Z1489" i="1"/>
  <c r="Y1489" i="1"/>
  <c r="Z1488" i="1"/>
  <c r="Y1488" i="1"/>
  <c r="Z1487" i="1"/>
  <c r="Y1487" i="1"/>
  <c r="Z1480" i="1"/>
  <c r="Y1480" i="1"/>
  <c r="Z1478" i="1"/>
  <c r="Y1478" i="1"/>
  <c r="Z1477" i="1"/>
  <c r="Y1477" i="1"/>
  <c r="Z1476" i="1"/>
  <c r="Y1476" i="1"/>
  <c r="Z1475" i="1"/>
  <c r="Y1475" i="1"/>
  <c r="Z1474" i="1"/>
  <c r="Y1474" i="1"/>
  <c r="Z1473" i="1"/>
  <c r="Y1473" i="1"/>
  <c r="Z1472" i="1"/>
  <c r="Y1472" i="1"/>
  <c r="Z1471" i="1"/>
  <c r="Y1471" i="1"/>
  <c r="Z1466" i="1"/>
  <c r="Y1466" i="1"/>
  <c r="Z1465" i="1"/>
  <c r="Y1465" i="1"/>
  <c r="Z1464" i="1"/>
  <c r="Y1464" i="1"/>
  <c r="Z1463" i="1"/>
  <c r="Y1463" i="1"/>
  <c r="Z1462" i="1"/>
  <c r="Y1462" i="1"/>
  <c r="Z1461" i="1"/>
  <c r="Y1461" i="1"/>
  <c r="Z1460" i="1"/>
  <c r="Y1460" i="1"/>
  <c r="Z1459" i="1"/>
  <c r="Y1459" i="1"/>
  <c r="Z1457" i="1"/>
  <c r="Y1457" i="1"/>
  <c r="Z1453" i="1"/>
  <c r="Y1453" i="1"/>
  <c r="Z1452" i="1"/>
  <c r="Y1452" i="1"/>
  <c r="Z1451" i="1"/>
  <c r="Y1451" i="1"/>
  <c r="Z1450" i="1"/>
  <c r="Y1450" i="1"/>
  <c r="Z1449" i="1"/>
  <c r="Y1449" i="1"/>
  <c r="Z1448" i="1"/>
  <c r="Y1448" i="1"/>
  <c r="Z1447" i="1"/>
  <c r="Y1447" i="1"/>
  <c r="Z1446" i="1"/>
  <c r="Y1446" i="1"/>
  <c r="Z1445" i="1"/>
  <c r="Y1445" i="1"/>
  <c r="Z1444" i="1"/>
  <c r="Y1444" i="1"/>
  <c r="Z1443" i="1"/>
  <c r="Y1443" i="1"/>
  <c r="Z1442" i="1"/>
  <c r="Y1442" i="1"/>
  <c r="Z1441" i="1"/>
  <c r="Y1441" i="1"/>
  <c r="Z1440" i="1"/>
  <c r="Y1440" i="1"/>
  <c r="Z1439" i="1"/>
  <c r="Y1439" i="1"/>
  <c r="Z1437" i="1"/>
  <c r="Y1437" i="1"/>
  <c r="Z1436" i="1"/>
  <c r="Y1436" i="1"/>
  <c r="Z1435" i="1"/>
  <c r="Y1435" i="1"/>
  <c r="Z1434" i="1"/>
  <c r="Y1434" i="1"/>
  <c r="Z1433" i="1"/>
  <c r="Y1433" i="1"/>
  <c r="Z1432" i="1"/>
  <c r="Y1432" i="1"/>
  <c r="Z1431" i="1"/>
  <c r="Y1431" i="1"/>
  <c r="Z1430" i="1"/>
  <c r="Y1430" i="1"/>
  <c r="Z1429" i="1"/>
  <c r="Y1429" i="1"/>
  <c r="Z1428" i="1"/>
  <c r="Y1428" i="1"/>
  <c r="Z1427" i="1"/>
  <c r="Y1427" i="1"/>
  <c r="Z1426" i="1"/>
  <c r="Y1426" i="1"/>
  <c r="Z1425" i="1"/>
  <c r="Y1425" i="1"/>
  <c r="Z1423" i="1"/>
  <c r="Y1423" i="1"/>
  <c r="Z1422" i="1"/>
  <c r="Y1422" i="1"/>
  <c r="Z1421" i="1"/>
  <c r="Y1421" i="1"/>
  <c r="Z1419" i="1"/>
  <c r="Y1419" i="1"/>
  <c r="Z1417" i="1"/>
  <c r="Y1417" i="1"/>
  <c r="Z1416" i="1"/>
  <c r="Y1416" i="1"/>
  <c r="Z1413" i="1"/>
  <c r="Y1413" i="1"/>
  <c r="Z1412" i="1"/>
  <c r="Y1412" i="1"/>
  <c r="Z1411" i="1"/>
  <c r="Y1411" i="1"/>
  <c r="Z1410" i="1"/>
  <c r="Y1410" i="1"/>
  <c r="Z1408" i="1"/>
  <c r="Y1408" i="1"/>
  <c r="Z1407" i="1"/>
  <c r="Y1407" i="1"/>
  <c r="Z1404" i="1"/>
  <c r="Y1404" i="1"/>
  <c r="Z1403" i="1"/>
  <c r="Y1403" i="1"/>
  <c r="Z1402" i="1"/>
  <c r="Y1402" i="1"/>
  <c r="Z1400" i="1"/>
  <c r="Y1400" i="1"/>
  <c r="Z1398" i="1"/>
  <c r="Y1398" i="1"/>
  <c r="Z1397" i="1"/>
  <c r="Y1397" i="1"/>
  <c r="Z1396" i="1"/>
  <c r="Y1396" i="1"/>
  <c r="Z1395" i="1"/>
  <c r="Y1395" i="1"/>
  <c r="Z1394" i="1"/>
  <c r="Y1394" i="1"/>
  <c r="Z1393" i="1"/>
  <c r="Y1393" i="1"/>
  <c r="Z1392" i="1"/>
  <c r="Y1392" i="1"/>
  <c r="Z1391" i="1"/>
  <c r="Y1391" i="1"/>
  <c r="Z1390" i="1"/>
  <c r="Y1390" i="1"/>
  <c r="Z1389" i="1"/>
  <c r="Y1389" i="1"/>
  <c r="Z1388" i="1"/>
  <c r="Y1388" i="1"/>
  <c r="Z1387" i="1"/>
  <c r="Y1387" i="1"/>
  <c r="Z1386" i="1"/>
  <c r="Y1386" i="1"/>
  <c r="Z1383" i="1"/>
  <c r="Y1383" i="1"/>
  <c r="Z1382" i="1"/>
  <c r="Y1382" i="1"/>
  <c r="Z1381" i="1"/>
  <c r="Y1381" i="1"/>
  <c r="Z1380" i="1"/>
  <c r="Y1380" i="1"/>
  <c r="Z1379" i="1"/>
  <c r="Y1379" i="1"/>
  <c r="Z1378" i="1"/>
  <c r="Y1378" i="1"/>
  <c r="Z1377" i="1"/>
  <c r="Y1377" i="1"/>
  <c r="Z1374" i="1"/>
  <c r="Y1374" i="1"/>
  <c r="Z1373" i="1"/>
  <c r="Y1373" i="1"/>
  <c r="Z1372" i="1"/>
  <c r="Y1372" i="1"/>
  <c r="Z1370" i="1"/>
  <c r="Y1370" i="1"/>
  <c r="Z1369" i="1"/>
  <c r="Y1369" i="1"/>
  <c r="Z1368" i="1"/>
  <c r="Y1368" i="1"/>
  <c r="Z1367" i="1"/>
  <c r="Y1367" i="1"/>
  <c r="Z1365" i="1"/>
  <c r="Y1365" i="1"/>
  <c r="Z1362" i="1"/>
  <c r="Y1362" i="1"/>
  <c r="Z1360" i="1"/>
  <c r="Y1360" i="1"/>
  <c r="Z1359" i="1"/>
  <c r="Y1359" i="1"/>
  <c r="Z1358" i="1"/>
  <c r="Y1358" i="1"/>
  <c r="Z1356" i="1"/>
  <c r="Y1356" i="1"/>
  <c r="Z1355" i="1"/>
  <c r="Y1355" i="1"/>
  <c r="Z1353" i="1"/>
  <c r="Y1353" i="1"/>
  <c r="Z1352" i="1"/>
  <c r="Y1352" i="1"/>
  <c r="Z1351" i="1"/>
  <c r="Y1351" i="1"/>
  <c r="Z1350" i="1"/>
  <c r="Y1350" i="1"/>
  <c r="Z1349" i="1"/>
  <c r="Y1349" i="1"/>
  <c r="Z1348" i="1"/>
  <c r="Y1348" i="1"/>
  <c r="Z1347" i="1"/>
  <c r="Y1347" i="1"/>
  <c r="Z1343" i="1"/>
  <c r="Y1343" i="1"/>
  <c r="Z1341" i="1"/>
  <c r="Y1341" i="1"/>
  <c r="Z1340" i="1"/>
  <c r="Y1340" i="1"/>
  <c r="Z1339" i="1"/>
  <c r="Y1339" i="1"/>
  <c r="Z1338" i="1"/>
  <c r="Y1338" i="1"/>
  <c r="Z1336" i="1"/>
  <c r="Y1336" i="1"/>
  <c r="Z1334" i="1"/>
  <c r="Y1334" i="1"/>
  <c r="Z1333" i="1"/>
  <c r="Y1333" i="1"/>
  <c r="Z1332" i="1"/>
  <c r="Y1332" i="1"/>
  <c r="Z1327" i="1"/>
  <c r="Y1327" i="1"/>
  <c r="Z1320" i="1"/>
  <c r="Y1320" i="1"/>
  <c r="Z1319" i="1"/>
  <c r="Y1319" i="1"/>
  <c r="Z1316" i="1"/>
  <c r="Y1316" i="1"/>
  <c r="Y1278" i="1"/>
  <c r="AA1278" i="1"/>
  <c r="Z1278" i="1"/>
  <c r="W1170" i="1"/>
  <c r="U1170" i="1"/>
  <c r="V1170" i="1"/>
  <c r="W1167" i="1"/>
  <c r="U1167" i="1"/>
  <c r="V1167" i="1"/>
  <c r="Y1274" i="1"/>
  <c r="AA1274" i="1"/>
  <c r="Z1274" i="1"/>
  <c r="Y1272" i="1"/>
  <c r="AA1272" i="1"/>
  <c r="Z1272" i="1"/>
  <c r="Y1250" i="1"/>
  <c r="AA1250" i="1"/>
  <c r="Z1250" i="1"/>
  <c r="Y1248" i="1"/>
  <c r="AA1248" i="1"/>
  <c r="Z1248" i="1"/>
  <c r="V1343" i="1"/>
  <c r="U1343" i="1"/>
  <c r="V1341" i="1"/>
  <c r="U1341" i="1"/>
  <c r="V1340" i="1"/>
  <c r="U1340" i="1"/>
  <c r="V1339" i="1"/>
  <c r="U1339" i="1"/>
  <c r="V1338" i="1"/>
  <c r="U1338" i="1"/>
  <c r="V1336" i="1"/>
  <c r="U1336" i="1"/>
  <c r="V1334" i="1"/>
  <c r="U1334" i="1"/>
  <c r="V1333" i="1"/>
  <c r="U1333" i="1"/>
  <c r="V1332" i="1"/>
  <c r="U1332" i="1"/>
  <c r="V1327" i="1"/>
  <c r="U1327" i="1"/>
  <c r="V1320" i="1"/>
  <c r="U1320" i="1"/>
  <c r="V1319" i="1"/>
  <c r="U1319" i="1"/>
  <c r="V1316" i="1"/>
  <c r="U1316" i="1"/>
  <c r="Y1266" i="1"/>
  <c r="AA1266" i="1"/>
  <c r="Z1266" i="1"/>
  <c r="Y1264" i="1"/>
  <c r="AA1264" i="1"/>
  <c r="Z1264" i="1"/>
  <c r="Y1262" i="1"/>
  <c r="AA1262" i="1"/>
  <c r="Z1262" i="1"/>
  <c r="Y1260" i="1"/>
  <c r="AA1260" i="1"/>
  <c r="Z1260" i="1"/>
  <c r="Y1258" i="1"/>
  <c r="AA1258" i="1"/>
  <c r="Z1258" i="1"/>
  <c r="W1192" i="1"/>
  <c r="U1192" i="1"/>
  <c r="V1192" i="1"/>
  <c r="Y1256" i="1"/>
  <c r="AA1256" i="1"/>
  <c r="Z1256" i="1"/>
  <c r="Y1254" i="1"/>
  <c r="AA1254" i="1"/>
  <c r="Z1254" i="1"/>
  <c r="Y1244" i="1"/>
  <c r="AA1244" i="1"/>
  <c r="Z1244" i="1"/>
  <c r="Y1208" i="1"/>
  <c r="AA1208" i="1"/>
  <c r="Z1208" i="1"/>
  <c r="W1171" i="1"/>
  <c r="U1171" i="1"/>
  <c r="V1171" i="1"/>
  <c r="V998" i="1"/>
  <c r="W998" i="1"/>
  <c r="V981" i="1"/>
  <c r="W981" i="1"/>
  <c r="V973" i="1"/>
  <c r="W973" i="1"/>
  <c r="V969" i="1"/>
  <c r="W969" i="1"/>
  <c r="V954" i="1"/>
  <c r="W954" i="1"/>
  <c r="V946" i="1"/>
  <c r="W946" i="1"/>
  <c r="V945" i="1"/>
  <c r="W945" i="1"/>
  <c r="Z940" i="1"/>
  <c r="Y940" i="1"/>
  <c r="AA940" i="1"/>
  <c r="V938" i="1"/>
  <c r="W938" i="1"/>
  <c r="V929" i="1"/>
  <c r="W929" i="1"/>
  <c r="U929" i="1"/>
  <c r="Z910" i="1"/>
  <c r="Y910" i="1"/>
  <c r="AA910" i="1"/>
  <c r="V908" i="1"/>
  <c r="W908" i="1"/>
  <c r="U908" i="1"/>
  <c r="V901" i="1"/>
  <c r="W901" i="1"/>
  <c r="U901" i="1"/>
  <c r="AA1192" i="1"/>
  <c r="Y1192" i="1"/>
  <c r="AA1171" i="1"/>
  <c r="Y1171" i="1"/>
  <c r="AA1170" i="1"/>
  <c r="Y1170" i="1"/>
  <c r="AA1167" i="1"/>
  <c r="Y1167" i="1"/>
  <c r="AA1161" i="1"/>
  <c r="Y1161" i="1"/>
  <c r="AA1160" i="1"/>
  <c r="Y1160" i="1"/>
  <c r="AA1152" i="1"/>
  <c r="Y1152" i="1"/>
  <c r="AA1128" i="1"/>
  <c r="Y1128" i="1"/>
  <c r="AA1122" i="1"/>
  <c r="Y1122" i="1"/>
  <c r="AA1119" i="1"/>
  <c r="Y1119" i="1"/>
  <c r="AA1118" i="1"/>
  <c r="Y1118" i="1"/>
  <c r="AA1116" i="1"/>
  <c r="Y1116" i="1"/>
  <c r="AA1112" i="1"/>
  <c r="Y1112" i="1"/>
  <c r="AA1111" i="1"/>
  <c r="Y1111" i="1"/>
  <c r="AA1109" i="1"/>
  <c r="Y1109" i="1"/>
  <c r="AA1108" i="1"/>
  <c r="Y1108" i="1"/>
  <c r="AA1107" i="1"/>
  <c r="Y1107" i="1"/>
  <c r="AA1105" i="1"/>
  <c r="Y1105" i="1"/>
  <c r="AA1104" i="1"/>
  <c r="Y1104" i="1"/>
  <c r="AA1103" i="1"/>
  <c r="Y1103" i="1"/>
  <c r="AA1102" i="1"/>
  <c r="Y1102" i="1"/>
  <c r="AA1100" i="1"/>
  <c r="Y1100" i="1"/>
  <c r="AA1099" i="1"/>
  <c r="Y1099" i="1"/>
  <c r="AA1097" i="1"/>
  <c r="Y1097" i="1"/>
  <c r="AA1096" i="1"/>
  <c r="Y1096" i="1"/>
  <c r="AA1095" i="1"/>
  <c r="Y1095" i="1"/>
  <c r="AA1093" i="1"/>
  <c r="Y1093" i="1"/>
  <c r="AA1092" i="1"/>
  <c r="Y1092" i="1"/>
  <c r="AA1091" i="1"/>
  <c r="Y1091" i="1"/>
  <c r="AA1090" i="1"/>
  <c r="Y1090" i="1"/>
  <c r="AA1089" i="1"/>
  <c r="Y1089" i="1"/>
  <c r="AA1088" i="1"/>
  <c r="Y1088" i="1"/>
  <c r="AA1087" i="1"/>
  <c r="Y1087" i="1"/>
  <c r="AA1086" i="1"/>
  <c r="Y1086" i="1"/>
  <c r="AA1085" i="1"/>
  <c r="Y1085" i="1"/>
  <c r="AA1083" i="1"/>
  <c r="Y1083" i="1"/>
  <c r="AA1082" i="1"/>
  <c r="Y1082" i="1"/>
  <c r="AA1081" i="1"/>
  <c r="Y1081" i="1"/>
  <c r="AA1080" i="1"/>
  <c r="Y1080" i="1"/>
  <c r="AA1077" i="1"/>
  <c r="Y1077" i="1"/>
  <c r="AA1076" i="1"/>
  <c r="Y1076" i="1"/>
  <c r="AA1075" i="1"/>
  <c r="Y1075" i="1"/>
  <c r="AA1060" i="1"/>
  <c r="Y1060" i="1"/>
  <c r="AA1056" i="1"/>
  <c r="Y1056" i="1"/>
  <c r="AA1055" i="1"/>
  <c r="Y1055" i="1"/>
  <c r="AA1051" i="1"/>
  <c r="Y1051" i="1"/>
  <c r="AA1050" i="1"/>
  <c r="Y1050" i="1"/>
  <c r="AA1049" i="1"/>
  <c r="Y1049" i="1"/>
  <c r="AA1047" i="1"/>
  <c r="Y1047" i="1"/>
  <c r="AA1046" i="1"/>
  <c r="Y1046" i="1"/>
  <c r="AA1044" i="1"/>
  <c r="Y1044" i="1"/>
  <c r="AA1041" i="1"/>
  <c r="Y1041" i="1"/>
  <c r="AA1040" i="1"/>
  <c r="Y1040" i="1"/>
  <c r="AA1039" i="1"/>
  <c r="Y1039" i="1"/>
  <c r="AA1038" i="1"/>
  <c r="Y1038" i="1"/>
  <c r="AA1036" i="1"/>
  <c r="Y1036" i="1"/>
  <c r="AA1035" i="1"/>
  <c r="Y1035" i="1"/>
  <c r="AA1034" i="1"/>
  <c r="Y1034" i="1"/>
  <c r="AA1033" i="1"/>
  <c r="Y1033" i="1"/>
  <c r="AA1032" i="1"/>
  <c r="Y1032" i="1"/>
  <c r="AA1031" i="1"/>
  <c r="Y1031" i="1"/>
  <c r="AA1030" i="1"/>
  <c r="Y1030" i="1"/>
  <c r="AA1029" i="1"/>
  <c r="Y1029" i="1"/>
  <c r="AA1028" i="1"/>
  <c r="Y1028" i="1"/>
  <c r="AA1026" i="1"/>
  <c r="Y1026" i="1"/>
  <c r="AA1025" i="1"/>
  <c r="Y1025" i="1"/>
  <c r="AA1024" i="1"/>
  <c r="Y1024" i="1"/>
  <c r="AA1023" i="1"/>
  <c r="Y1023" i="1"/>
  <c r="AA1022" i="1"/>
  <c r="Y1022" i="1"/>
  <c r="AA1021" i="1"/>
  <c r="Y1021" i="1"/>
  <c r="AA1018" i="1"/>
  <c r="Y1018" i="1"/>
  <c r="AA1014" i="1"/>
  <c r="Y1014" i="1"/>
  <c r="AA1009" i="1"/>
  <c r="AA1008" i="1"/>
  <c r="Y1008" i="1"/>
  <c r="AA1007" i="1"/>
  <c r="Y1007" i="1"/>
  <c r="V1003" i="1"/>
  <c r="W1003" i="1"/>
  <c r="V999" i="1"/>
  <c r="W999" i="1"/>
  <c r="V984" i="1"/>
  <c r="W984" i="1"/>
  <c r="V982" i="1"/>
  <c r="W982" i="1"/>
  <c r="V957" i="1"/>
  <c r="W957" i="1"/>
  <c r="V948" i="1"/>
  <c r="W948" i="1"/>
  <c r="V947" i="1"/>
  <c r="W947" i="1"/>
  <c r="V941" i="1"/>
  <c r="W941" i="1"/>
  <c r="U941" i="1"/>
  <c r="Z938" i="1"/>
  <c r="Y938" i="1"/>
  <c r="AA938" i="1"/>
  <c r="V936" i="1"/>
  <c r="W936" i="1"/>
  <c r="V933" i="1"/>
  <c r="W933" i="1"/>
  <c r="U933" i="1"/>
  <c r="Z914" i="1"/>
  <c r="Y914" i="1"/>
  <c r="AA914" i="1"/>
  <c r="V905" i="1"/>
  <c r="W905" i="1"/>
  <c r="U905" i="1"/>
  <c r="Z898" i="1"/>
  <c r="Y898" i="1"/>
  <c r="AA898" i="1"/>
  <c r="Z894" i="1"/>
  <c r="Y894" i="1"/>
  <c r="AA894" i="1"/>
  <c r="Y1309" i="1"/>
  <c r="Y1308" i="1"/>
  <c r="U1308" i="1"/>
  <c r="Y1307" i="1"/>
  <c r="U1307" i="1"/>
  <c r="Y1306" i="1"/>
  <c r="U1306" i="1"/>
  <c r="Y1304" i="1"/>
  <c r="U1304" i="1"/>
  <c r="Y1303" i="1"/>
  <c r="U1303" i="1"/>
  <c r="Y1302" i="1"/>
  <c r="U1302" i="1"/>
  <c r="Y1301" i="1"/>
  <c r="U1301" i="1"/>
  <c r="Y1300" i="1"/>
  <c r="U1300" i="1"/>
  <c r="Y1299" i="1"/>
  <c r="U1299" i="1"/>
  <c r="Y1298" i="1"/>
  <c r="U1298" i="1"/>
  <c r="Y1296" i="1"/>
  <c r="U1296" i="1"/>
  <c r="Y1295" i="1"/>
  <c r="U1295" i="1"/>
  <c r="Y1294" i="1"/>
  <c r="U1294" i="1"/>
  <c r="Y1293" i="1"/>
  <c r="U1293" i="1"/>
  <c r="Y1292" i="1"/>
  <c r="U1292" i="1"/>
  <c r="Y1291" i="1"/>
  <c r="U1291" i="1"/>
  <c r="Y1290" i="1"/>
  <c r="U1290" i="1"/>
  <c r="Y1289" i="1"/>
  <c r="Y1286" i="1"/>
  <c r="U1286" i="1"/>
  <c r="Y1285" i="1"/>
  <c r="U1285" i="1"/>
  <c r="Y1283" i="1"/>
  <c r="U1283" i="1"/>
  <c r="W1279" i="1"/>
  <c r="W1275" i="1"/>
  <c r="W1273" i="1"/>
  <c r="W1269" i="1"/>
  <c r="W1267" i="1"/>
  <c r="W1263" i="1"/>
  <c r="W1261" i="1"/>
  <c r="W1259" i="1"/>
  <c r="W1255" i="1"/>
  <c r="W1249" i="1"/>
  <c r="W1239" i="1"/>
  <c r="W1219" i="1"/>
  <c r="W1197" i="1"/>
  <c r="V1005" i="1"/>
  <c r="W1005" i="1"/>
  <c r="V988" i="1"/>
  <c r="W988" i="1"/>
  <c r="V987" i="1"/>
  <c r="W987" i="1"/>
  <c r="V962" i="1"/>
  <c r="W962" i="1"/>
  <c r="V950" i="1"/>
  <c r="W950" i="1"/>
  <c r="V949" i="1"/>
  <c r="W949" i="1"/>
  <c r="V939" i="1"/>
  <c r="W939" i="1"/>
  <c r="U939" i="1"/>
  <c r="Z936" i="1"/>
  <c r="Y936" i="1"/>
  <c r="AA936" i="1"/>
  <c r="Z930" i="1"/>
  <c r="Y930" i="1"/>
  <c r="AA930" i="1"/>
  <c r="V928" i="1"/>
  <c r="W928" i="1"/>
  <c r="U928" i="1"/>
  <c r="Z926" i="1"/>
  <c r="Y926" i="1"/>
  <c r="AA926" i="1"/>
  <c r="Z922" i="1"/>
  <c r="Y922" i="1"/>
  <c r="AA922" i="1"/>
  <c r="V916" i="1"/>
  <c r="W916" i="1"/>
  <c r="U916" i="1"/>
  <c r="V909" i="1"/>
  <c r="W909" i="1"/>
  <c r="U909" i="1"/>
  <c r="Z902" i="1"/>
  <c r="Y902" i="1"/>
  <c r="AA902" i="1"/>
  <c r="V900" i="1"/>
  <c r="W900" i="1"/>
  <c r="U900" i="1"/>
  <c r="V1278" i="1"/>
  <c r="V1274" i="1"/>
  <c r="V1272" i="1"/>
  <c r="V1266" i="1"/>
  <c r="V1264" i="1"/>
  <c r="V1262" i="1"/>
  <c r="V1260" i="1"/>
  <c r="V1258" i="1"/>
  <c r="V1256" i="1"/>
  <c r="V1254" i="1"/>
  <c r="V1250" i="1"/>
  <c r="V1248" i="1"/>
  <c r="V1208" i="1"/>
  <c r="W1128" i="1"/>
  <c r="U1128" i="1"/>
  <c r="W1122" i="1"/>
  <c r="U1122" i="1"/>
  <c r="W1111" i="1"/>
  <c r="U1111" i="1"/>
  <c r="W1108" i="1"/>
  <c r="U1108" i="1"/>
  <c r="W1107" i="1"/>
  <c r="U1107" i="1"/>
  <c r="W1104" i="1"/>
  <c r="U1104" i="1"/>
  <c r="W1103" i="1"/>
  <c r="U1103" i="1"/>
  <c r="W1100" i="1"/>
  <c r="U1100" i="1"/>
  <c r="W1096" i="1"/>
  <c r="U1096" i="1"/>
  <c r="W1095" i="1"/>
  <c r="U1095" i="1"/>
  <c r="W1091" i="1"/>
  <c r="U1091" i="1"/>
  <c r="W1090" i="1"/>
  <c r="U1090" i="1"/>
  <c r="W1088" i="1"/>
  <c r="U1088" i="1"/>
  <c r="W1087" i="1"/>
  <c r="U1087" i="1"/>
  <c r="W1086" i="1"/>
  <c r="U1086" i="1"/>
  <c r="W1082" i="1"/>
  <c r="U1082" i="1"/>
  <c r="W1081" i="1"/>
  <c r="U1081" i="1"/>
  <c r="W1080" i="1"/>
  <c r="U1080" i="1"/>
  <c r="W1077" i="1"/>
  <c r="U1077" i="1"/>
  <c r="W1056" i="1"/>
  <c r="U1056" i="1"/>
  <c r="W1050" i="1"/>
  <c r="U1050" i="1"/>
  <c r="W1047" i="1"/>
  <c r="U1047" i="1"/>
  <c r="W1046" i="1"/>
  <c r="U1046" i="1"/>
  <c r="W1040" i="1"/>
  <c r="U1040" i="1"/>
  <c r="W1035" i="1"/>
  <c r="U1035" i="1"/>
  <c r="W1034" i="1"/>
  <c r="U1034" i="1"/>
  <c r="W1031" i="1"/>
  <c r="U1031" i="1"/>
  <c r="W1028" i="1"/>
  <c r="U1028" i="1"/>
  <c r="W1024" i="1"/>
  <c r="U1024" i="1"/>
  <c r="W1023" i="1"/>
  <c r="U1023" i="1"/>
  <c r="W1022" i="1"/>
  <c r="U1022" i="1"/>
  <c r="W1021" i="1"/>
  <c r="U1021" i="1"/>
  <c r="W1014" i="1"/>
  <c r="U1014" i="1"/>
  <c r="W1009" i="1"/>
  <c r="V952" i="1"/>
  <c r="W952" i="1"/>
  <c r="V944" i="1"/>
  <c r="W944" i="1"/>
  <c r="V940" i="1"/>
  <c r="W940" i="1"/>
  <c r="V937" i="1"/>
  <c r="W937" i="1"/>
  <c r="U937" i="1"/>
  <c r="Z934" i="1"/>
  <c r="Y934" i="1"/>
  <c r="AA934" i="1"/>
  <c r="V932" i="1"/>
  <c r="W932" i="1"/>
  <c r="U932" i="1"/>
  <c r="V913" i="1"/>
  <c r="W913" i="1"/>
  <c r="U913" i="1"/>
  <c r="Z906" i="1"/>
  <c r="Y906" i="1"/>
  <c r="AA906" i="1"/>
  <c r="V904" i="1"/>
  <c r="W904" i="1"/>
  <c r="U904" i="1"/>
  <c r="AA880" i="1"/>
  <c r="Z880" i="1"/>
  <c r="Y880" i="1"/>
  <c r="W879" i="1"/>
  <c r="V879" i="1"/>
  <c r="AA876" i="1"/>
  <c r="Z876" i="1"/>
  <c r="Y876" i="1"/>
  <c r="W875" i="1"/>
  <c r="V875" i="1"/>
  <c r="AA872" i="1"/>
  <c r="Z872" i="1"/>
  <c r="Y872" i="1"/>
  <c r="AA868" i="1"/>
  <c r="Z868" i="1"/>
  <c r="Y868" i="1"/>
  <c r="W859" i="1"/>
  <c r="V859" i="1"/>
  <c r="AA852" i="1"/>
  <c r="Z852" i="1"/>
  <c r="Y852" i="1"/>
  <c r="AA850" i="1"/>
  <c r="Z850" i="1"/>
  <c r="Y850" i="1"/>
  <c r="AA848" i="1"/>
  <c r="Z848" i="1"/>
  <c r="Y848" i="1"/>
  <c r="AA846" i="1"/>
  <c r="Z846" i="1"/>
  <c r="Y846" i="1"/>
  <c r="AA844" i="1"/>
  <c r="Z844" i="1"/>
  <c r="Y844" i="1"/>
  <c r="AA842" i="1"/>
  <c r="Z842" i="1"/>
  <c r="Y842" i="1"/>
  <c r="AA840" i="1"/>
  <c r="Z840" i="1"/>
  <c r="Y840" i="1"/>
  <c r="AA836" i="1"/>
  <c r="Z836" i="1"/>
  <c r="Y836" i="1"/>
  <c r="AA818" i="1"/>
  <c r="Z818" i="1"/>
  <c r="Y818" i="1"/>
  <c r="AA814" i="1"/>
  <c r="Z814" i="1"/>
  <c r="Y814" i="1"/>
  <c r="AA812" i="1"/>
  <c r="Z812" i="1"/>
  <c r="Y812" i="1"/>
  <c r="AA808" i="1"/>
  <c r="Z808" i="1"/>
  <c r="Y808" i="1"/>
  <c r="AA796" i="1"/>
  <c r="Z796" i="1"/>
  <c r="Y796" i="1"/>
  <c r="AA794" i="1"/>
  <c r="Z794" i="1"/>
  <c r="Y794" i="1"/>
  <c r="AA790" i="1"/>
  <c r="Z790" i="1"/>
  <c r="Y790" i="1"/>
  <c r="AA786" i="1"/>
  <c r="Z786" i="1"/>
  <c r="Y786" i="1"/>
  <c r="AA784" i="1"/>
  <c r="Z784" i="1"/>
  <c r="Y784" i="1"/>
  <c r="Y999" i="1"/>
  <c r="Y995" i="1"/>
  <c r="Y987" i="1"/>
  <c r="Y982" i="1"/>
  <c r="Y973" i="1"/>
  <c r="Y969" i="1"/>
  <c r="Y965" i="1"/>
  <c r="Y963" i="1"/>
  <c r="Y961" i="1"/>
  <c r="Y959" i="1"/>
  <c r="Y957" i="1"/>
  <c r="Y955" i="1"/>
  <c r="Y951" i="1"/>
  <c r="Y949" i="1"/>
  <c r="Y947" i="1"/>
  <c r="Y945" i="1"/>
  <c r="W930" i="1"/>
  <c r="W914" i="1"/>
  <c r="W910" i="1"/>
  <c r="W906" i="1"/>
  <c r="W902" i="1"/>
  <c r="W898" i="1"/>
  <c r="W894" i="1"/>
  <c r="W886" i="1"/>
  <c r="Z932" i="1"/>
  <c r="Y932" i="1"/>
  <c r="V931" i="1"/>
  <c r="W931" i="1"/>
  <c r="Z928" i="1"/>
  <c r="Y928" i="1"/>
  <c r="Z924" i="1"/>
  <c r="Y924" i="1"/>
  <c r="Z920" i="1"/>
  <c r="Y920" i="1"/>
  <c r="V919" i="1"/>
  <c r="W919" i="1"/>
  <c r="Z916" i="1"/>
  <c r="Y916" i="1"/>
  <c r="V915" i="1"/>
  <c r="W915" i="1"/>
  <c r="Z912" i="1"/>
  <c r="Y912" i="1"/>
  <c r="Z908" i="1"/>
  <c r="Y908" i="1"/>
  <c r="V907" i="1"/>
  <c r="W907" i="1"/>
  <c r="Z904" i="1"/>
  <c r="Y904" i="1"/>
  <c r="V903" i="1"/>
  <c r="W903" i="1"/>
  <c r="Z900" i="1"/>
  <c r="Y900" i="1"/>
  <c r="V899" i="1"/>
  <c r="W899" i="1"/>
  <c r="Z892" i="1"/>
  <c r="Y892" i="1"/>
  <c r="Z888" i="1"/>
  <c r="Y888" i="1"/>
  <c r="V887" i="1"/>
  <c r="W887" i="1"/>
  <c r="Z884" i="1"/>
  <c r="Y884" i="1"/>
  <c r="AA879" i="1"/>
  <c r="Z879" i="1"/>
  <c r="Y879" i="1"/>
  <c r="AA875" i="1"/>
  <c r="Z875" i="1"/>
  <c r="Y875" i="1"/>
  <c r="W874" i="1"/>
  <c r="V874" i="1"/>
  <c r="AA871" i="1"/>
  <c r="Z871" i="1"/>
  <c r="Y871" i="1"/>
  <c r="AA859" i="1"/>
  <c r="Z859" i="1"/>
  <c r="Y859" i="1"/>
  <c r="W849" i="1"/>
  <c r="V849" i="1"/>
  <c r="U849" i="1"/>
  <c r="W847" i="1"/>
  <c r="V847" i="1"/>
  <c r="U847" i="1"/>
  <c r="W845" i="1"/>
  <c r="V845" i="1"/>
  <c r="U845" i="1"/>
  <c r="W841" i="1"/>
  <c r="V841" i="1"/>
  <c r="U841" i="1"/>
  <c r="W839" i="1"/>
  <c r="V839" i="1"/>
  <c r="U839" i="1"/>
  <c r="W831" i="1"/>
  <c r="V831" i="1"/>
  <c r="U831" i="1"/>
  <c r="W817" i="1"/>
  <c r="V817" i="1"/>
  <c r="U817" i="1"/>
  <c r="W815" i="1"/>
  <c r="V815" i="1"/>
  <c r="U815" i="1"/>
  <c r="W811" i="1"/>
  <c r="V811" i="1"/>
  <c r="U811" i="1"/>
  <c r="W809" i="1"/>
  <c r="V809" i="1"/>
  <c r="U809" i="1"/>
  <c r="W807" i="1"/>
  <c r="V807" i="1"/>
  <c r="U807" i="1"/>
  <c r="W795" i="1"/>
  <c r="V795" i="1"/>
  <c r="U795" i="1"/>
  <c r="W793" i="1"/>
  <c r="V793" i="1"/>
  <c r="U793" i="1"/>
  <c r="W785" i="1"/>
  <c r="V785" i="1"/>
  <c r="U785" i="1"/>
  <c r="W781" i="1"/>
  <c r="V781" i="1"/>
  <c r="U781" i="1"/>
  <c r="W779" i="1"/>
  <c r="V779" i="1"/>
  <c r="U779" i="1"/>
  <c r="W755" i="1"/>
  <c r="V755" i="1"/>
  <c r="U755" i="1"/>
  <c r="W751" i="1"/>
  <c r="V751" i="1"/>
  <c r="U751" i="1"/>
  <c r="W749" i="1"/>
  <c r="V749" i="1"/>
  <c r="U749" i="1"/>
  <c r="W747" i="1"/>
  <c r="V747" i="1"/>
  <c r="U747" i="1"/>
  <c r="W745" i="1"/>
  <c r="V745" i="1"/>
  <c r="U745" i="1"/>
  <c r="W737" i="1"/>
  <c r="V737" i="1"/>
  <c r="U737" i="1"/>
  <c r="W733" i="1"/>
  <c r="V733" i="1"/>
  <c r="U733" i="1"/>
  <c r="W731" i="1"/>
  <c r="V731" i="1"/>
  <c r="U731" i="1"/>
  <c r="W726" i="1"/>
  <c r="V726" i="1"/>
  <c r="U726" i="1"/>
  <c r="W720" i="1"/>
  <c r="V720" i="1"/>
  <c r="U720" i="1"/>
  <c r="W718" i="1"/>
  <c r="V718" i="1"/>
  <c r="U718" i="1"/>
  <c r="W712" i="1"/>
  <c r="V712" i="1"/>
  <c r="U712" i="1"/>
  <c r="W706" i="1"/>
  <c r="V706" i="1"/>
  <c r="U706" i="1"/>
  <c r="W704" i="1"/>
  <c r="V704" i="1"/>
  <c r="U704" i="1"/>
  <c r="W698" i="1"/>
  <c r="V698" i="1"/>
  <c r="U698" i="1"/>
  <c r="W694" i="1"/>
  <c r="V694" i="1"/>
  <c r="U694" i="1"/>
  <c r="W692" i="1"/>
  <c r="V692" i="1"/>
  <c r="U692" i="1"/>
  <c r="W686" i="1"/>
  <c r="V686" i="1"/>
  <c r="U686" i="1"/>
  <c r="W678" i="1"/>
  <c r="V678" i="1"/>
  <c r="U678" i="1"/>
  <c r="W676" i="1"/>
  <c r="V676" i="1"/>
  <c r="U676" i="1"/>
  <c r="W674" i="1"/>
  <c r="V674" i="1"/>
  <c r="U674" i="1"/>
  <c r="W666" i="1"/>
  <c r="V666" i="1"/>
  <c r="U666" i="1"/>
  <c r="W664" i="1"/>
  <c r="V664" i="1"/>
  <c r="U664" i="1"/>
  <c r="W662" i="1"/>
  <c r="V662" i="1"/>
  <c r="U662" i="1"/>
  <c r="W660" i="1"/>
  <c r="V660" i="1"/>
  <c r="U660" i="1"/>
  <c r="W658" i="1"/>
  <c r="V658" i="1"/>
  <c r="U658" i="1"/>
  <c r="W654" i="1"/>
  <c r="V654" i="1"/>
  <c r="U654" i="1"/>
  <c r="W648" i="1"/>
  <c r="V648" i="1"/>
  <c r="U648" i="1"/>
  <c r="W646" i="1"/>
  <c r="V646" i="1"/>
  <c r="U646" i="1"/>
  <c r="W644" i="1"/>
  <c r="V644" i="1"/>
  <c r="U644" i="1"/>
  <c r="U892" i="1"/>
  <c r="U888" i="1"/>
  <c r="AA882" i="1"/>
  <c r="Z882" i="1"/>
  <c r="Y882" i="1"/>
  <c r="W881" i="1"/>
  <c r="V881" i="1"/>
  <c r="AA874" i="1"/>
  <c r="Z874" i="1"/>
  <c r="Y874" i="1"/>
  <c r="W873" i="1"/>
  <c r="V873" i="1"/>
  <c r="W869" i="1"/>
  <c r="V869" i="1"/>
  <c r="AA849" i="1"/>
  <c r="Z849" i="1"/>
  <c r="Y849" i="1"/>
  <c r="AA847" i="1"/>
  <c r="Z847" i="1"/>
  <c r="Y847" i="1"/>
  <c r="AA845" i="1"/>
  <c r="Z845" i="1"/>
  <c r="Y845" i="1"/>
  <c r="AA841" i="1"/>
  <c r="Z841" i="1"/>
  <c r="Y841" i="1"/>
  <c r="AA839" i="1"/>
  <c r="Z839" i="1"/>
  <c r="Y839" i="1"/>
  <c r="AA831" i="1"/>
  <c r="Z831" i="1"/>
  <c r="Y831" i="1"/>
  <c r="AA817" i="1"/>
  <c r="Z817" i="1"/>
  <c r="Y817" i="1"/>
  <c r="AA815" i="1"/>
  <c r="Z815" i="1"/>
  <c r="Y815" i="1"/>
  <c r="AA813" i="1"/>
  <c r="Z813" i="1"/>
  <c r="Y813" i="1"/>
  <c r="AA811" i="1"/>
  <c r="Z811" i="1"/>
  <c r="Y811" i="1"/>
  <c r="AA809" i="1"/>
  <c r="Z809" i="1"/>
  <c r="Y809" i="1"/>
  <c r="AA807" i="1"/>
  <c r="Z807" i="1"/>
  <c r="Y807" i="1"/>
  <c r="AA805" i="1"/>
  <c r="Z805" i="1"/>
  <c r="Y805" i="1"/>
  <c r="AA797" i="1"/>
  <c r="Z797" i="1"/>
  <c r="Y797" i="1"/>
  <c r="AA795" i="1"/>
  <c r="Z795" i="1"/>
  <c r="Y795" i="1"/>
  <c r="AA793" i="1"/>
  <c r="Z793" i="1"/>
  <c r="Y793" i="1"/>
  <c r="AA785" i="1"/>
  <c r="Z785" i="1"/>
  <c r="Y785" i="1"/>
  <c r="W892" i="1"/>
  <c r="W888" i="1"/>
  <c r="V893" i="1"/>
  <c r="W893" i="1"/>
  <c r="Z890" i="1"/>
  <c r="Y890" i="1"/>
  <c r="V889" i="1"/>
  <c r="W889" i="1"/>
  <c r="Z886" i="1"/>
  <c r="Y886" i="1"/>
  <c r="V885" i="1"/>
  <c r="W885" i="1"/>
  <c r="W884" i="1"/>
  <c r="V884" i="1"/>
  <c r="AA881" i="1"/>
  <c r="Z881" i="1"/>
  <c r="Y881" i="1"/>
  <c r="W880" i="1"/>
  <c r="V880" i="1"/>
  <c r="AA877" i="1"/>
  <c r="Z877" i="1"/>
  <c r="Y877" i="1"/>
  <c r="W876" i="1"/>
  <c r="V876" i="1"/>
  <c r="AA873" i="1"/>
  <c r="Z873" i="1"/>
  <c r="Y873" i="1"/>
  <c r="W872" i="1"/>
  <c r="V872" i="1"/>
  <c r="AA869" i="1"/>
  <c r="Z869" i="1"/>
  <c r="Y869" i="1"/>
  <c r="W868" i="1"/>
  <c r="V868" i="1"/>
  <c r="AA865" i="1"/>
  <c r="Z865" i="1"/>
  <c r="Y865" i="1"/>
  <c r="W852" i="1"/>
  <c r="V852" i="1"/>
  <c r="U852" i="1"/>
  <c r="W850" i="1"/>
  <c r="V850" i="1"/>
  <c r="U850" i="1"/>
  <c r="W848" i="1"/>
  <c r="V848" i="1"/>
  <c r="U848" i="1"/>
  <c r="W844" i="1"/>
  <c r="V844" i="1"/>
  <c r="U844" i="1"/>
  <c r="W842" i="1"/>
  <c r="V842" i="1"/>
  <c r="U842" i="1"/>
  <c r="W836" i="1"/>
  <c r="V836" i="1"/>
  <c r="U836" i="1"/>
  <c r="W814" i="1"/>
  <c r="V814" i="1"/>
  <c r="U814" i="1"/>
  <c r="W812" i="1"/>
  <c r="V812" i="1"/>
  <c r="U812" i="1"/>
  <c r="W808" i="1"/>
  <c r="V808" i="1"/>
  <c r="U808" i="1"/>
  <c r="W796" i="1"/>
  <c r="V796" i="1"/>
  <c r="U796" i="1"/>
  <c r="W794" i="1"/>
  <c r="V794" i="1"/>
  <c r="U794" i="1"/>
  <c r="W790" i="1"/>
  <c r="V790" i="1"/>
  <c r="U790" i="1"/>
  <c r="W786" i="1"/>
  <c r="V786" i="1"/>
  <c r="U786" i="1"/>
  <c r="W784" i="1"/>
  <c r="V784" i="1"/>
  <c r="U784" i="1"/>
  <c r="W780" i="1"/>
  <c r="V780" i="1"/>
  <c r="U780" i="1"/>
  <c r="W778" i="1"/>
  <c r="V778" i="1"/>
  <c r="U778" i="1"/>
  <c r="W752" i="1"/>
  <c r="V752" i="1"/>
  <c r="U752" i="1"/>
  <c r="W750" i="1"/>
  <c r="V750" i="1"/>
  <c r="U750" i="1"/>
  <c r="W748" i="1"/>
  <c r="V748" i="1"/>
  <c r="U748" i="1"/>
  <c r="W746" i="1"/>
  <c r="V746" i="1"/>
  <c r="U746" i="1"/>
  <c r="W744" i="1"/>
  <c r="V744" i="1"/>
  <c r="U744" i="1"/>
  <c r="W734" i="1"/>
  <c r="V734" i="1"/>
  <c r="U734" i="1"/>
  <c r="W732" i="1"/>
  <c r="V732" i="1"/>
  <c r="U732" i="1"/>
  <c r="W727" i="1"/>
  <c r="V727" i="1"/>
  <c r="U727" i="1"/>
  <c r="W721" i="1"/>
  <c r="V721" i="1"/>
  <c r="U721" i="1"/>
  <c r="W719" i="1"/>
  <c r="V719" i="1"/>
  <c r="U719" i="1"/>
  <c r="W715" i="1"/>
  <c r="V715" i="1"/>
  <c r="U715" i="1"/>
  <c r="W713" i="1"/>
  <c r="V713" i="1"/>
  <c r="U713" i="1"/>
  <c r="W705" i="1"/>
  <c r="V705" i="1"/>
  <c r="U705" i="1"/>
  <c r="W703" i="1"/>
  <c r="V703" i="1"/>
  <c r="U703" i="1"/>
  <c r="W701" i="1"/>
  <c r="V701" i="1"/>
  <c r="U701" i="1"/>
  <c r="W697" i="1"/>
  <c r="V697" i="1"/>
  <c r="U697" i="1"/>
  <c r="W695" i="1"/>
  <c r="V695" i="1"/>
  <c r="U695" i="1"/>
  <c r="W693" i="1"/>
  <c r="V693" i="1"/>
  <c r="U693" i="1"/>
  <c r="W691" i="1"/>
  <c r="V691" i="1"/>
  <c r="U691" i="1"/>
  <c r="W679" i="1"/>
  <c r="V679" i="1"/>
  <c r="U679" i="1"/>
  <c r="W677" i="1"/>
  <c r="V677" i="1"/>
  <c r="U677" i="1"/>
  <c r="W675" i="1"/>
  <c r="V675" i="1"/>
  <c r="U675" i="1"/>
  <c r="W671" i="1"/>
  <c r="V671" i="1"/>
  <c r="U671" i="1"/>
  <c r="W667" i="1"/>
  <c r="V667" i="1"/>
  <c r="U667" i="1"/>
  <c r="W663" i="1"/>
  <c r="V663" i="1"/>
  <c r="U663" i="1"/>
  <c r="W661" i="1"/>
  <c r="V661" i="1"/>
  <c r="U661" i="1"/>
  <c r="W659" i="1"/>
  <c r="V659" i="1"/>
  <c r="U659" i="1"/>
  <c r="W651" i="1"/>
  <c r="V651" i="1"/>
  <c r="U651" i="1"/>
  <c r="W649" i="1"/>
  <c r="V649" i="1"/>
  <c r="U649" i="1"/>
  <c r="W647" i="1"/>
  <c r="V647" i="1"/>
  <c r="U647" i="1"/>
  <c r="W645" i="1"/>
  <c r="V645" i="1"/>
  <c r="U645" i="1"/>
  <c r="W641" i="1"/>
  <c r="V641" i="1"/>
  <c r="U641" i="1"/>
  <c r="W639" i="1"/>
  <c r="V639" i="1"/>
  <c r="U639" i="1"/>
  <c r="AA781" i="1"/>
  <c r="Z781" i="1"/>
  <c r="AA780" i="1"/>
  <c r="Z780" i="1"/>
  <c r="AA779" i="1"/>
  <c r="Z779" i="1"/>
  <c r="AA778" i="1"/>
  <c r="Z778" i="1"/>
  <c r="AA755" i="1"/>
  <c r="Z755" i="1"/>
  <c r="AA752" i="1"/>
  <c r="Z752" i="1"/>
  <c r="AA751" i="1"/>
  <c r="Z751" i="1"/>
  <c r="AA750" i="1"/>
  <c r="Z750" i="1"/>
  <c r="AA749" i="1"/>
  <c r="Z749" i="1"/>
  <c r="AA748" i="1"/>
  <c r="Z748" i="1"/>
  <c r="AA747" i="1"/>
  <c r="Z747" i="1"/>
  <c r="AA746" i="1"/>
  <c r="Z746" i="1"/>
  <c r="AA745" i="1"/>
  <c r="Z745" i="1"/>
  <c r="AA744" i="1"/>
  <c r="Z744" i="1"/>
  <c r="AA737" i="1"/>
  <c r="Z737" i="1"/>
  <c r="AA734" i="1"/>
  <c r="Z734" i="1"/>
  <c r="AA733" i="1"/>
  <c r="Z733" i="1"/>
  <c r="AA732" i="1"/>
  <c r="Z732" i="1"/>
  <c r="AA731" i="1"/>
  <c r="Z731" i="1"/>
  <c r="AA727" i="1"/>
  <c r="Z727" i="1"/>
  <c r="AA726" i="1"/>
  <c r="Z726" i="1"/>
  <c r="AA723" i="1"/>
  <c r="Z723" i="1"/>
  <c r="AA722" i="1"/>
  <c r="Z722" i="1"/>
  <c r="AA721" i="1"/>
  <c r="Z721" i="1"/>
  <c r="AA720" i="1"/>
  <c r="Z720" i="1"/>
  <c r="AA719" i="1"/>
  <c r="Z719" i="1"/>
  <c r="AA718" i="1"/>
  <c r="Z718" i="1"/>
  <c r="AA715" i="1"/>
  <c r="Z715" i="1"/>
  <c r="AA713" i="1"/>
  <c r="Z713" i="1"/>
  <c r="AA712" i="1"/>
  <c r="Z712" i="1"/>
  <c r="AA711" i="1"/>
  <c r="Z711" i="1"/>
  <c r="AA706" i="1"/>
  <c r="Z706" i="1"/>
  <c r="AA705" i="1"/>
  <c r="Z705" i="1"/>
  <c r="AA704" i="1"/>
  <c r="Z704" i="1"/>
  <c r="AA703" i="1"/>
  <c r="Z703" i="1"/>
  <c r="AA701" i="1"/>
  <c r="Z701" i="1"/>
  <c r="AA698" i="1"/>
  <c r="Z698" i="1"/>
  <c r="AA697" i="1"/>
  <c r="Z697" i="1"/>
  <c r="AA695" i="1"/>
  <c r="Z695" i="1"/>
  <c r="AA694" i="1"/>
  <c r="Z694" i="1"/>
  <c r="AA693" i="1"/>
  <c r="Z693" i="1"/>
  <c r="AA692" i="1"/>
  <c r="Z692" i="1"/>
  <c r="AA691" i="1"/>
  <c r="Z691" i="1"/>
  <c r="AA686" i="1"/>
  <c r="Z686" i="1"/>
  <c r="AA679" i="1"/>
  <c r="Z679" i="1"/>
  <c r="AA678" i="1"/>
  <c r="Z678" i="1"/>
  <c r="AA677" i="1"/>
  <c r="Z677" i="1"/>
  <c r="AA676" i="1"/>
  <c r="Z676" i="1"/>
  <c r="AA675" i="1"/>
  <c r="Z675" i="1"/>
  <c r="AA674" i="1"/>
  <c r="Z674" i="1"/>
  <c r="AA671" i="1"/>
  <c r="Z671" i="1"/>
  <c r="AA667" i="1"/>
  <c r="Z667" i="1"/>
  <c r="AA666" i="1"/>
  <c r="Z666" i="1"/>
  <c r="AA664" i="1"/>
  <c r="Z664" i="1"/>
  <c r="AA663" i="1"/>
  <c r="Z663" i="1"/>
  <c r="AA662" i="1"/>
  <c r="Z662" i="1"/>
  <c r="AA661" i="1"/>
  <c r="Z661" i="1"/>
  <c r="AA660" i="1"/>
  <c r="Z660" i="1"/>
  <c r="AA659" i="1"/>
  <c r="Z659" i="1"/>
  <c r="AA658" i="1"/>
  <c r="Z658" i="1"/>
  <c r="AA657" i="1"/>
  <c r="Z657" i="1"/>
  <c r="AA655" i="1"/>
  <c r="Z655" i="1"/>
  <c r="AA654" i="1"/>
  <c r="Z654" i="1"/>
  <c r="AA651" i="1"/>
  <c r="Z651" i="1"/>
  <c r="AA649" i="1"/>
  <c r="Z649" i="1"/>
  <c r="AA648" i="1"/>
  <c r="Z648" i="1"/>
  <c r="AA647" i="1"/>
  <c r="Z647" i="1"/>
  <c r="AA646" i="1"/>
  <c r="Z646" i="1"/>
  <c r="AA645" i="1"/>
  <c r="Z645" i="1"/>
  <c r="AA644" i="1"/>
  <c r="Z644" i="1"/>
  <c r="AA642" i="1"/>
  <c r="Z642" i="1"/>
  <c r="AA641" i="1"/>
  <c r="Z641" i="1"/>
  <c r="AA639" i="1"/>
  <c r="Z639" i="1"/>
  <c r="AA635" i="1"/>
  <c r="Z635" i="1"/>
  <c r="AA629" i="1"/>
  <c r="Z629" i="1"/>
  <c r="AA628" i="1"/>
  <c r="Z628" i="1"/>
  <c r="AA627" i="1"/>
  <c r="Z627" i="1"/>
  <c r="AA626" i="1"/>
  <c r="Z626" i="1"/>
  <c r="AA625" i="1"/>
  <c r="Z625" i="1"/>
  <c r="AA624" i="1"/>
  <c r="Z624" i="1"/>
  <c r="W635" i="1"/>
  <c r="V635" i="1"/>
  <c r="W629" i="1"/>
  <c r="V629" i="1"/>
  <c r="W628" i="1"/>
  <c r="V628" i="1"/>
  <c r="W627" i="1"/>
  <c r="V627" i="1"/>
  <c r="W626" i="1"/>
  <c r="V626" i="1"/>
  <c r="W625" i="1"/>
  <c r="V625" i="1"/>
  <c r="W382" i="1"/>
  <c r="V382" i="1"/>
  <c r="U382" i="1"/>
  <c r="W380" i="1"/>
  <c r="V380" i="1"/>
  <c r="U380" i="1"/>
  <c r="W378" i="1"/>
  <c r="V378" i="1"/>
  <c r="U378" i="1"/>
  <c r="W376" i="1"/>
  <c r="V376" i="1"/>
  <c r="U376" i="1"/>
  <c r="W374" i="1"/>
  <c r="V374" i="1"/>
  <c r="U374" i="1"/>
  <c r="Z611" i="1"/>
  <c r="V611" i="1"/>
  <c r="Z610" i="1"/>
  <c r="V610" i="1"/>
  <c r="Z608" i="1"/>
  <c r="V608" i="1"/>
  <c r="Z607" i="1"/>
  <c r="V607" i="1"/>
  <c r="Z605" i="1"/>
  <c r="V605" i="1"/>
  <c r="Z603" i="1"/>
  <c r="V603" i="1"/>
  <c r="Z602" i="1"/>
  <c r="V602" i="1"/>
  <c r="Z601" i="1"/>
  <c r="V601" i="1"/>
  <c r="Z600" i="1"/>
  <c r="V600" i="1"/>
  <c r="Z599" i="1"/>
  <c r="V599" i="1"/>
  <c r="Z597" i="1"/>
  <c r="V597" i="1"/>
  <c r="Z589" i="1"/>
  <c r="V589" i="1"/>
  <c r="Z586" i="1"/>
  <c r="V586" i="1"/>
  <c r="Z583" i="1"/>
  <c r="V583" i="1"/>
  <c r="Z582" i="1"/>
  <c r="V582" i="1"/>
  <c r="Z581" i="1"/>
  <c r="V581" i="1"/>
  <c r="V561" i="1"/>
  <c r="Y560" i="1"/>
  <c r="V557" i="1"/>
  <c r="Y556" i="1"/>
  <c r="Y546" i="1"/>
  <c r="Y544" i="1"/>
  <c r="V543" i="1"/>
  <c r="Y542" i="1"/>
  <c r="Y540" i="1"/>
  <c r="V539" i="1"/>
  <c r="Y538" i="1"/>
  <c r="V537" i="1"/>
  <c r="Y536" i="1"/>
  <c r="Y532" i="1"/>
  <c r="V531" i="1"/>
  <c r="Y530" i="1"/>
  <c r="V529" i="1"/>
  <c r="Y528" i="1"/>
  <c r="V527" i="1"/>
  <c r="Y526" i="1"/>
  <c r="V525" i="1"/>
  <c r="Y524" i="1"/>
  <c r="V523" i="1"/>
  <c r="Y520" i="1"/>
  <c r="V519" i="1"/>
  <c r="V517" i="1"/>
  <c r="Y516" i="1"/>
  <c r="V515" i="1"/>
  <c r="Y514" i="1"/>
  <c r="V513" i="1"/>
  <c r="Y512" i="1"/>
  <c r="V511" i="1"/>
  <c r="Y510" i="1"/>
  <c r="Y508" i="1"/>
  <c r="V507" i="1"/>
  <c r="Y506" i="1"/>
  <c r="V505" i="1"/>
  <c r="Y504" i="1"/>
  <c r="V503" i="1"/>
  <c r="Y502" i="1"/>
  <c r="V501" i="1"/>
  <c r="Y500" i="1"/>
  <c r="V499" i="1"/>
  <c r="Y498" i="1"/>
  <c r="V497" i="1"/>
  <c r="Y496" i="1"/>
  <c r="V495" i="1"/>
  <c r="Y494" i="1"/>
  <c r="V489" i="1"/>
  <c r="Y488" i="1"/>
  <c r="Y486" i="1"/>
  <c r="V485" i="1"/>
  <c r="Y484" i="1"/>
  <c r="V483" i="1"/>
  <c r="Y482" i="1"/>
  <c r="V481" i="1"/>
  <c r="Y480" i="1"/>
  <c r="V479" i="1"/>
  <c r="Y478" i="1"/>
  <c r="V477" i="1"/>
  <c r="Y476" i="1"/>
  <c r="V475" i="1"/>
  <c r="Y474" i="1"/>
  <c r="V473" i="1"/>
  <c r="Y472" i="1"/>
  <c r="V471" i="1"/>
  <c r="Y470" i="1"/>
  <c r="Y468" i="1"/>
  <c r="V465" i="1"/>
  <c r="Y462" i="1"/>
  <c r="Y460" i="1"/>
  <c r="Y452" i="1"/>
  <c r="V449" i="1"/>
  <c r="Y448" i="1"/>
  <c r="V447" i="1"/>
  <c r="Y446" i="1"/>
  <c r="V445" i="1"/>
  <c r="Y444" i="1"/>
  <c r="Y442" i="1"/>
  <c r="V441" i="1"/>
  <c r="Y438" i="1"/>
  <c r="Y432" i="1"/>
  <c r="Y430" i="1"/>
  <c r="V429" i="1"/>
  <c r="Y428" i="1"/>
  <c r="V427" i="1"/>
  <c r="Y426" i="1"/>
  <c r="V424" i="1"/>
  <c r="V420" i="1"/>
  <c r="W425" i="1"/>
  <c r="V425" i="1"/>
  <c r="W421" i="1"/>
  <c r="V421" i="1"/>
  <c r="W360" i="1"/>
  <c r="V360" i="1"/>
  <c r="U360" i="1"/>
  <c r="W340" i="1"/>
  <c r="V340" i="1"/>
  <c r="U340" i="1"/>
  <c r="Z560" i="1"/>
  <c r="U560" i="1"/>
  <c r="Z556" i="1"/>
  <c r="U556" i="1"/>
  <c r="Z546" i="1"/>
  <c r="U546" i="1"/>
  <c r="Z544" i="1"/>
  <c r="U544" i="1"/>
  <c r="Z542" i="1"/>
  <c r="U542" i="1"/>
  <c r="Z540" i="1"/>
  <c r="Z538" i="1"/>
  <c r="U538" i="1"/>
  <c r="Z536" i="1"/>
  <c r="U536" i="1"/>
  <c r="Z532" i="1"/>
  <c r="U532" i="1"/>
  <c r="Z530" i="1"/>
  <c r="U530" i="1"/>
  <c r="Z528" i="1"/>
  <c r="U528" i="1"/>
  <c r="Z526" i="1"/>
  <c r="U526" i="1"/>
  <c r="Z524" i="1"/>
  <c r="U524" i="1"/>
  <c r="Z520" i="1"/>
  <c r="U520" i="1"/>
  <c r="Z516" i="1"/>
  <c r="U516" i="1"/>
  <c r="Z514" i="1"/>
  <c r="U514" i="1"/>
  <c r="Z512" i="1"/>
  <c r="U512" i="1"/>
  <c r="Z510" i="1"/>
  <c r="Z508" i="1"/>
  <c r="U508" i="1"/>
  <c r="Z506" i="1"/>
  <c r="U506" i="1"/>
  <c r="Z504" i="1"/>
  <c r="U504" i="1"/>
  <c r="Z502" i="1"/>
  <c r="U502" i="1"/>
  <c r="Z500" i="1"/>
  <c r="U500" i="1"/>
  <c r="Z498" i="1"/>
  <c r="U498" i="1"/>
  <c r="Z496" i="1"/>
  <c r="U496" i="1"/>
  <c r="Z494" i="1"/>
  <c r="U494" i="1"/>
  <c r="Z488" i="1"/>
  <c r="U488" i="1"/>
  <c r="Z486" i="1"/>
  <c r="U486" i="1"/>
  <c r="Z484" i="1"/>
  <c r="U484" i="1"/>
  <c r="Z482" i="1"/>
  <c r="U482" i="1"/>
  <c r="Z480" i="1"/>
  <c r="U480" i="1"/>
  <c r="Z478" i="1"/>
  <c r="U478" i="1"/>
  <c r="Z476" i="1"/>
  <c r="Z474" i="1"/>
  <c r="Z472" i="1"/>
  <c r="U472" i="1"/>
  <c r="Z470" i="1"/>
  <c r="Z468" i="1"/>
  <c r="U468" i="1"/>
  <c r="Z462" i="1"/>
  <c r="U462" i="1"/>
  <c r="Z460" i="1"/>
  <c r="U460" i="1"/>
  <c r="Z452" i="1"/>
  <c r="U452" i="1"/>
  <c r="Z448" i="1"/>
  <c r="U448" i="1"/>
  <c r="Z446" i="1"/>
  <c r="U446" i="1"/>
  <c r="Z444" i="1"/>
  <c r="U444" i="1"/>
  <c r="Z442" i="1"/>
  <c r="U442" i="1"/>
  <c r="Z438" i="1"/>
  <c r="U438" i="1"/>
  <c r="Z432" i="1"/>
  <c r="U432" i="1"/>
  <c r="Z430" i="1"/>
  <c r="U430" i="1"/>
  <c r="Z428" i="1"/>
  <c r="U428" i="1"/>
  <c r="Z426" i="1"/>
  <c r="U426" i="1"/>
  <c r="W417" i="1"/>
  <c r="V417" i="1"/>
  <c r="W416" i="1"/>
  <c r="V416" i="1"/>
  <c r="W398" i="1"/>
  <c r="V398" i="1"/>
  <c r="W344" i="1"/>
  <c r="V344" i="1"/>
  <c r="U344" i="1"/>
  <c r="W324" i="1"/>
  <c r="V324" i="1"/>
  <c r="U324" i="1"/>
  <c r="V560" i="1"/>
  <c r="V556" i="1"/>
  <c r="V546" i="1"/>
  <c r="V544" i="1"/>
  <c r="V542" i="1"/>
  <c r="V538" i="1"/>
  <c r="V536" i="1"/>
  <c r="V532" i="1"/>
  <c r="V530" i="1"/>
  <c r="V528" i="1"/>
  <c r="V526" i="1"/>
  <c r="V524" i="1"/>
  <c r="V520" i="1"/>
  <c r="V516" i="1"/>
  <c r="V514" i="1"/>
  <c r="V512" i="1"/>
  <c r="V508" i="1"/>
  <c r="V506" i="1"/>
  <c r="V504" i="1"/>
  <c r="V502" i="1"/>
  <c r="V500" i="1"/>
  <c r="V498" i="1"/>
  <c r="V496" i="1"/>
  <c r="V494" i="1"/>
  <c r="V488" i="1"/>
  <c r="V486" i="1"/>
  <c r="V484" i="1"/>
  <c r="V482" i="1"/>
  <c r="V480" i="1"/>
  <c r="V478" i="1"/>
  <c r="V472" i="1"/>
  <c r="V468" i="1"/>
  <c r="V462" i="1"/>
  <c r="V460" i="1"/>
  <c r="AA424" i="1"/>
  <c r="Y424" i="1"/>
  <c r="W423" i="1"/>
  <c r="V423" i="1"/>
  <c r="AA420" i="1"/>
  <c r="Y420" i="1"/>
  <c r="W419" i="1"/>
  <c r="V419" i="1"/>
  <c r="W418" i="1"/>
  <c r="V418" i="1"/>
  <c r="W386" i="1"/>
  <c r="V386" i="1"/>
  <c r="U386" i="1"/>
  <c r="W356" i="1"/>
  <c r="V356" i="1"/>
  <c r="U356" i="1"/>
  <c r="U225" i="1"/>
  <c r="W225" i="1"/>
  <c r="V225" i="1"/>
  <c r="U223" i="1"/>
  <c r="W223" i="1"/>
  <c r="V223" i="1"/>
  <c r="U221" i="1"/>
  <c r="W221" i="1"/>
  <c r="V221" i="1"/>
  <c r="Y418" i="1"/>
  <c r="Y416" i="1"/>
  <c r="Y398" i="1"/>
  <c r="Y386" i="1"/>
  <c r="V385" i="1"/>
  <c r="V383" i="1"/>
  <c r="Y382" i="1"/>
  <c r="V381" i="1"/>
  <c r="Y380" i="1"/>
  <c r="V379" i="1"/>
  <c r="Y378" i="1"/>
  <c r="V377" i="1"/>
  <c r="Y376" i="1"/>
  <c r="V375" i="1"/>
  <c r="Y374" i="1"/>
  <c r="Y360" i="1"/>
  <c r="V357" i="1"/>
  <c r="Y356" i="1"/>
  <c r="V345" i="1"/>
  <c r="Y344" i="1"/>
  <c r="V341" i="1"/>
  <c r="Y340" i="1"/>
  <c r="V339" i="1"/>
  <c r="V335" i="1"/>
  <c r="V325" i="1"/>
  <c r="Y324" i="1"/>
  <c r="V323" i="1"/>
  <c r="Y320" i="1"/>
  <c r="V319" i="1"/>
  <c r="Y318" i="1"/>
  <c r="V317" i="1"/>
  <c r="V315" i="1"/>
  <c r="Y314" i="1"/>
  <c r="V309" i="1"/>
  <c r="Y308" i="1"/>
  <c r="V307" i="1"/>
  <c r="Y306" i="1"/>
  <c r="Y304" i="1"/>
  <c r="V301" i="1"/>
  <c r="Y300" i="1"/>
  <c r="Y298" i="1"/>
  <c r="V297" i="1"/>
  <c r="V295" i="1"/>
  <c r="Y294" i="1"/>
  <c r="V293" i="1"/>
  <c r="Y292" i="1"/>
  <c r="V291" i="1"/>
  <c r="Y290" i="1"/>
  <c r="V289" i="1"/>
  <c r="Y288" i="1"/>
  <c r="V287" i="1"/>
  <c r="Y286" i="1"/>
  <c r="V285" i="1"/>
  <c r="Y284" i="1"/>
  <c r="V283" i="1"/>
  <c r="Y282" i="1"/>
  <c r="V281" i="1"/>
  <c r="Y280" i="1"/>
  <c r="V279" i="1"/>
  <c r="Y278" i="1"/>
  <c r="V277" i="1"/>
  <c r="Y276" i="1"/>
  <c r="V275" i="1"/>
  <c r="Y274" i="1"/>
  <c r="V273" i="1"/>
  <c r="Y272" i="1"/>
  <c r="V271" i="1"/>
  <c r="Y270" i="1"/>
  <c r="V269" i="1"/>
  <c r="Y268" i="1"/>
  <c r="Y267" i="1"/>
  <c r="AA267" i="1"/>
  <c r="Y266" i="1"/>
  <c r="AA266" i="1"/>
  <c r="Y265" i="1"/>
  <c r="AA265" i="1"/>
  <c r="Y263" i="1"/>
  <c r="AA263" i="1"/>
  <c r="Y258" i="1"/>
  <c r="AA258" i="1"/>
  <c r="Y257" i="1"/>
  <c r="AA257" i="1"/>
  <c r="Y254" i="1"/>
  <c r="AA254" i="1"/>
  <c r="Y249" i="1"/>
  <c r="AA249" i="1"/>
  <c r="Y242" i="1"/>
  <c r="AA242" i="1"/>
  <c r="Y241" i="1"/>
  <c r="AA241" i="1"/>
  <c r="Y240" i="1"/>
  <c r="AA240" i="1"/>
  <c r="Y239" i="1"/>
  <c r="AA239" i="1"/>
  <c r="Y238" i="1"/>
  <c r="AA238" i="1"/>
  <c r="Y237" i="1"/>
  <c r="AA237" i="1"/>
  <c r="Y236" i="1"/>
  <c r="AA236" i="1"/>
  <c r="Y235" i="1"/>
  <c r="AA235" i="1"/>
  <c r="Y234" i="1"/>
  <c r="AA234" i="1"/>
  <c r="Y233" i="1"/>
  <c r="AA233" i="1"/>
  <c r="Y232" i="1"/>
  <c r="AA232" i="1"/>
  <c r="Y231" i="1"/>
  <c r="AA231" i="1"/>
  <c r="Y230" i="1"/>
  <c r="AA230" i="1"/>
  <c r="Y229" i="1"/>
  <c r="AA229" i="1"/>
  <c r="Y228" i="1"/>
  <c r="AA228" i="1"/>
  <c r="Y227" i="1"/>
  <c r="AA227" i="1"/>
  <c r="Y225" i="1"/>
  <c r="AA225" i="1"/>
  <c r="Z225" i="1"/>
  <c r="Y223" i="1"/>
  <c r="AA223" i="1"/>
  <c r="Z223" i="1"/>
  <c r="Y221" i="1"/>
  <c r="AA221" i="1"/>
  <c r="Z221" i="1"/>
  <c r="Z344" i="1"/>
  <c r="Z340" i="1"/>
  <c r="Z324" i="1"/>
  <c r="Z320" i="1"/>
  <c r="U320" i="1"/>
  <c r="Z318" i="1"/>
  <c r="U318" i="1"/>
  <c r="Z314" i="1"/>
  <c r="U314" i="1"/>
  <c r="Z308" i="1"/>
  <c r="U308" i="1"/>
  <c r="Z306" i="1"/>
  <c r="U306" i="1"/>
  <c r="Z304" i="1"/>
  <c r="U304" i="1"/>
  <c r="Z300" i="1"/>
  <c r="U300" i="1"/>
  <c r="Z298" i="1"/>
  <c r="U298" i="1"/>
  <c r="Z294" i="1"/>
  <c r="U294" i="1"/>
  <c r="Z292" i="1"/>
  <c r="U292" i="1"/>
  <c r="Z290" i="1"/>
  <c r="U290" i="1"/>
  <c r="Z288" i="1"/>
  <c r="U288" i="1"/>
  <c r="Z286" i="1"/>
  <c r="U286" i="1"/>
  <c r="Z284" i="1"/>
  <c r="U284" i="1"/>
  <c r="Z282" i="1"/>
  <c r="U282" i="1"/>
  <c r="Z280" i="1"/>
  <c r="U280" i="1"/>
  <c r="Z278" i="1"/>
  <c r="U278" i="1"/>
  <c r="Z276" i="1"/>
  <c r="U276" i="1"/>
  <c r="Z274" i="1"/>
  <c r="U274" i="1"/>
  <c r="Z272" i="1"/>
  <c r="U272" i="1"/>
  <c r="Z270" i="1"/>
  <c r="U270" i="1"/>
  <c r="Z268" i="1"/>
  <c r="U224" i="1"/>
  <c r="W224" i="1"/>
  <c r="V224" i="1"/>
  <c r="U222" i="1"/>
  <c r="W222" i="1"/>
  <c r="V222" i="1"/>
  <c r="U220" i="1"/>
  <c r="W220" i="1"/>
  <c r="V220" i="1"/>
  <c r="V216" i="1"/>
  <c r="W216" i="1"/>
  <c r="U216" i="1"/>
  <c r="V320" i="1"/>
  <c r="V318" i="1"/>
  <c r="V314" i="1"/>
  <c r="V308" i="1"/>
  <c r="V306" i="1"/>
  <c r="V304" i="1"/>
  <c r="V300" i="1"/>
  <c r="V298" i="1"/>
  <c r="V294" i="1"/>
  <c r="V292" i="1"/>
  <c r="V290" i="1"/>
  <c r="V288" i="1"/>
  <c r="V286" i="1"/>
  <c r="V284" i="1"/>
  <c r="V282" i="1"/>
  <c r="V280" i="1"/>
  <c r="V278" i="1"/>
  <c r="V276" i="1"/>
  <c r="V274" i="1"/>
  <c r="V272" i="1"/>
  <c r="V270" i="1"/>
  <c r="U268" i="1"/>
  <c r="W268" i="1"/>
  <c r="U267" i="1"/>
  <c r="W267" i="1"/>
  <c r="U263" i="1"/>
  <c r="W263" i="1"/>
  <c r="U254" i="1"/>
  <c r="W254" i="1"/>
  <c r="U249" i="1"/>
  <c r="W249" i="1"/>
  <c r="U242" i="1"/>
  <c r="W242" i="1"/>
  <c r="U241" i="1"/>
  <c r="W241" i="1"/>
  <c r="U240" i="1"/>
  <c r="W240" i="1"/>
  <c r="U239" i="1"/>
  <c r="W239" i="1"/>
  <c r="U238" i="1"/>
  <c r="W238" i="1"/>
  <c r="U237" i="1"/>
  <c r="W237" i="1"/>
  <c r="U236" i="1"/>
  <c r="W236" i="1"/>
  <c r="U235" i="1"/>
  <c r="W235" i="1"/>
  <c r="U234" i="1"/>
  <c r="W234" i="1"/>
  <c r="U233" i="1"/>
  <c r="W233" i="1"/>
  <c r="U232" i="1"/>
  <c r="W232" i="1"/>
  <c r="U231" i="1"/>
  <c r="W231" i="1"/>
  <c r="U230" i="1"/>
  <c r="W230" i="1"/>
  <c r="U229" i="1"/>
  <c r="W229" i="1"/>
  <c r="U228" i="1"/>
  <c r="W228" i="1"/>
  <c r="U227" i="1"/>
  <c r="W227" i="1"/>
  <c r="Y224" i="1"/>
  <c r="AA224" i="1"/>
  <c r="Z224" i="1"/>
  <c r="Y222" i="1"/>
  <c r="AA222" i="1"/>
  <c r="Z222" i="1"/>
  <c r="Y220" i="1"/>
  <c r="AA220" i="1"/>
  <c r="Z220" i="1"/>
  <c r="V212" i="1"/>
  <c r="W212" i="1"/>
  <c r="U212" i="1"/>
  <c r="V210" i="1"/>
  <c r="W210" i="1"/>
  <c r="U210" i="1"/>
  <c r="V208" i="1"/>
  <c r="W208" i="1"/>
  <c r="U208" i="1"/>
  <c r="U137" i="1"/>
  <c r="V137" i="1"/>
  <c r="Z134" i="1"/>
  <c r="Y134" i="1"/>
  <c r="Z130" i="1"/>
  <c r="Y130" i="1"/>
  <c r="V128" i="1"/>
  <c r="U128" i="1"/>
  <c r="W128" i="1"/>
  <c r="Z126" i="1"/>
  <c r="Y126" i="1"/>
  <c r="Z114" i="1"/>
  <c r="Y114" i="1"/>
  <c r="V112" i="1"/>
  <c r="U112" i="1"/>
  <c r="W112" i="1"/>
  <c r="U204" i="1"/>
  <c r="U200" i="1"/>
  <c r="U192" i="1"/>
  <c r="U190" i="1"/>
  <c r="U184" i="1"/>
  <c r="U178" i="1"/>
  <c r="U176" i="1"/>
  <c r="U174" i="1"/>
  <c r="U170" i="1"/>
  <c r="U166" i="1"/>
  <c r="U164" i="1"/>
  <c r="U162" i="1"/>
  <c r="U160" i="1"/>
  <c r="U158" i="1"/>
  <c r="U156" i="1"/>
  <c r="U154" i="1"/>
  <c r="U150" i="1"/>
  <c r="U148" i="1"/>
  <c r="U146" i="1"/>
  <c r="U142" i="1"/>
  <c r="U138" i="1"/>
  <c r="V135" i="1"/>
  <c r="U135" i="1"/>
  <c r="W135" i="1"/>
  <c r="V131" i="1"/>
  <c r="U131" i="1"/>
  <c r="W131" i="1"/>
  <c r="Z129" i="1"/>
  <c r="Y129" i="1"/>
  <c r="V127" i="1"/>
  <c r="U127" i="1"/>
  <c r="W127" i="1"/>
  <c r="V111" i="1"/>
  <c r="U111" i="1"/>
  <c r="W111" i="1"/>
  <c r="V107" i="1"/>
  <c r="U107" i="1"/>
  <c r="W107" i="1"/>
  <c r="V95" i="1"/>
  <c r="U95" i="1"/>
  <c r="W95" i="1"/>
  <c r="Y217" i="1"/>
  <c r="Y215" i="1"/>
  <c r="Y213" i="1"/>
  <c r="Y211" i="1"/>
  <c r="Y209" i="1"/>
  <c r="Y207" i="1"/>
  <c r="W204" i="1"/>
  <c r="Y201" i="1"/>
  <c r="W200" i="1"/>
  <c r="Y197" i="1"/>
  <c r="Y195" i="1"/>
  <c r="Y193" i="1"/>
  <c r="W192" i="1"/>
  <c r="W190" i="1"/>
  <c r="Y185" i="1"/>
  <c r="W184" i="1"/>
  <c r="Y183" i="1"/>
  <c r="Y181" i="1"/>
  <c r="Y179" i="1"/>
  <c r="W178" i="1"/>
  <c r="W176" i="1"/>
  <c r="Y175" i="1"/>
  <c r="W174" i="1"/>
  <c r="Y173" i="1"/>
  <c r="Y171" i="1"/>
  <c r="W170" i="1"/>
  <c r="Y169" i="1"/>
  <c r="W166" i="1"/>
  <c r="Y165" i="1"/>
  <c r="W164" i="1"/>
  <c r="Y163" i="1"/>
  <c r="W162" i="1"/>
  <c r="Y161" i="1"/>
  <c r="W160" i="1"/>
  <c r="Y159" i="1"/>
  <c r="W158" i="1"/>
  <c r="Y157" i="1"/>
  <c r="W156" i="1"/>
  <c r="Y155" i="1"/>
  <c r="W154" i="1"/>
  <c r="Y153" i="1"/>
  <c r="Y151" i="1"/>
  <c r="W150" i="1"/>
  <c r="Y149" i="1"/>
  <c r="W148" i="1"/>
  <c r="Y147" i="1"/>
  <c r="W146" i="1"/>
  <c r="Y145" i="1"/>
  <c r="W142" i="1"/>
  <c r="W138" i="1"/>
  <c r="Y137" i="1"/>
  <c r="V134" i="1"/>
  <c r="U134" i="1"/>
  <c r="W134" i="1"/>
  <c r="V130" i="1"/>
  <c r="U130" i="1"/>
  <c r="W130" i="1"/>
  <c r="Z128" i="1"/>
  <c r="Y128" i="1"/>
  <c r="V126" i="1"/>
  <c r="U126" i="1"/>
  <c r="W126" i="1"/>
  <c r="Z124" i="1"/>
  <c r="Y124" i="1"/>
  <c r="V114" i="1"/>
  <c r="U114" i="1"/>
  <c r="W114" i="1"/>
  <c r="Z112" i="1"/>
  <c r="Y112" i="1"/>
  <c r="V110" i="1"/>
  <c r="U110" i="1"/>
  <c r="W110" i="1"/>
  <c r="V106" i="1"/>
  <c r="U106" i="1"/>
  <c r="W106" i="1"/>
  <c r="V98" i="1"/>
  <c r="U98" i="1"/>
  <c r="W98" i="1"/>
  <c r="V94" i="1"/>
  <c r="U94" i="1"/>
  <c r="W94" i="1"/>
  <c r="V89" i="1"/>
  <c r="U89" i="1"/>
  <c r="W89" i="1"/>
  <c r="AA157" i="1"/>
  <c r="AA155" i="1"/>
  <c r="AA153" i="1"/>
  <c r="AA151" i="1"/>
  <c r="AA149" i="1"/>
  <c r="AA147" i="1"/>
  <c r="AA145" i="1"/>
  <c r="AA137" i="1"/>
  <c r="Z135" i="1"/>
  <c r="Y135" i="1"/>
  <c r="Z131" i="1"/>
  <c r="Y131" i="1"/>
  <c r="V129" i="1"/>
  <c r="U129" i="1"/>
  <c r="W129" i="1"/>
  <c r="Z127" i="1"/>
  <c r="Y127" i="1"/>
  <c r="Z115" i="1"/>
  <c r="Y115" i="1"/>
  <c r="V109" i="1"/>
  <c r="U109" i="1"/>
  <c r="W109" i="1"/>
  <c r="V105" i="1"/>
  <c r="U105" i="1"/>
  <c r="W105" i="1"/>
  <c r="V97" i="1"/>
  <c r="U97" i="1"/>
  <c r="W97" i="1"/>
  <c r="W217" i="1"/>
  <c r="W215" i="1"/>
  <c r="W213" i="1"/>
  <c r="W211" i="1"/>
  <c r="W209" i="1"/>
  <c r="W201" i="1"/>
  <c r="V86" i="1"/>
  <c r="U86" i="1"/>
  <c r="V85" i="1"/>
  <c r="U85" i="1"/>
  <c r="V83" i="1"/>
  <c r="U83" i="1"/>
  <c r="V82" i="1"/>
  <c r="U82" i="1"/>
  <c r="V80" i="1"/>
  <c r="U80" i="1"/>
  <c r="V79" i="1"/>
  <c r="U79" i="1"/>
  <c r="V78" i="1"/>
  <c r="U78" i="1"/>
  <c r="V77" i="1"/>
  <c r="U77" i="1"/>
  <c r="V75" i="1"/>
  <c r="U75" i="1"/>
  <c r="V73" i="1"/>
  <c r="U73" i="1"/>
  <c r="V72" i="1"/>
  <c r="U72" i="1"/>
  <c r="V71" i="1"/>
  <c r="U71" i="1"/>
  <c r="V69" i="1"/>
  <c r="U69" i="1"/>
  <c r="V63" i="1"/>
  <c r="U63" i="1"/>
  <c r="V62" i="1"/>
  <c r="U62" i="1"/>
  <c r="V60" i="1"/>
  <c r="U60" i="1"/>
  <c r="V59" i="1"/>
  <c r="U59" i="1"/>
  <c r="V57" i="1"/>
  <c r="U57" i="1"/>
  <c r="V55" i="1"/>
  <c r="U55" i="1"/>
  <c r="Z111" i="1"/>
  <c r="Y111" i="1"/>
  <c r="Z110" i="1"/>
  <c r="Y110" i="1"/>
  <c r="Z109" i="1"/>
  <c r="Y109" i="1"/>
  <c r="Z107" i="1"/>
  <c r="Y107" i="1"/>
  <c r="Z106" i="1"/>
  <c r="Y106" i="1"/>
  <c r="Z105" i="1"/>
  <c r="Y105" i="1"/>
  <c r="Z98" i="1"/>
  <c r="Y98" i="1"/>
  <c r="Z97" i="1"/>
  <c r="Y97" i="1"/>
  <c r="Z95" i="1"/>
  <c r="Y95" i="1"/>
  <c r="Z94" i="1"/>
  <c r="Y94" i="1"/>
  <c r="Z89" i="1"/>
  <c r="Y89" i="1"/>
  <c r="Z86" i="1"/>
  <c r="Y86" i="1"/>
  <c r="Z85" i="1"/>
  <c r="Y85" i="1"/>
  <c r="Z83" i="1"/>
  <c r="Y83" i="1"/>
  <c r="Z82" i="1"/>
  <c r="Y82" i="1"/>
  <c r="Z80" i="1"/>
  <c r="Y80" i="1"/>
  <c r="Z79" i="1"/>
  <c r="Y79" i="1"/>
  <c r="Z78" i="1"/>
  <c r="Y78" i="1"/>
  <c r="Z77" i="1"/>
  <c r="Y77" i="1"/>
  <c r="Z76" i="1"/>
  <c r="Y76" i="1"/>
  <c r="Z75" i="1"/>
  <c r="Y75" i="1"/>
  <c r="Z73" i="1"/>
  <c r="Y73" i="1"/>
  <c r="Z72" i="1"/>
  <c r="Y72" i="1"/>
  <c r="Z71" i="1"/>
  <c r="Y71" i="1"/>
  <c r="Z69" i="1"/>
  <c r="Y69" i="1"/>
  <c r="Z68" i="1"/>
  <c r="Y68" i="1"/>
  <c r="Z63" i="1"/>
  <c r="Y63" i="1"/>
  <c r="Z62" i="1"/>
  <c r="Y62" i="1"/>
  <c r="Z60" i="1"/>
  <c r="Y60" i="1"/>
  <c r="Z59" i="1"/>
  <c r="Y59" i="1"/>
  <c r="Z57" i="1"/>
  <c r="Y57" i="1"/>
  <c r="Z55" i="1"/>
  <c r="Y55" i="1"/>
  <c r="Y47" i="1"/>
  <c r="U47" i="1"/>
  <c r="Y46" i="1"/>
  <c r="U46" i="1"/>
  <c r="Y45" i="1"/>
  <c r="U45" i="1"/>
  <c r="Y41" i="1"/>
  <c r="U41" i="1"/>
  <c r="Y40" i="1"/>
  <c r="U40" i="1"/>
  <c r="Y39" i="1"/>
  <c r="U39" i="1"/>
  <c r="Y38" i="1"/>
  <c r="U38" i="1"/>
  <c r="Y37" i="1"/>
  <c r="U37" i="1"/>
  <c r="Y36" i="1"/>
  <c r="U36" i="1"/>
  <c r="Y35" i="1"/>
  <c r="U35" i="1"/>
  <c r="Y34" i="1"/>
  <c r="U34" i="1"/>
  <c r="Y33" i="1"/>
  <c r="U33" i="1"/>
  <c r="Y32" i="1"/>
  <c r="U32" i="1"/>
  <c r="Y31" i="1"/>
  <c r="U31" i="1"/>
  <c r="Y30" i="1"/>
  <c r="U30" i="1"/>
  <c r="Y28" i="1"/>
  <c r="U28" i="1"/>
  <c r="Y27" i="1"/>
  <c r="U27" i="1"/>
  <c r="Y26" i="1"/>
  <c r="U26" i="1"/>
  <c r="Y24" i="1"/>
  <c r="U24" i="1"/>
  <c r="Y23" i="1"/>
  <c r="U23" i="1"/>
  <c r="Y22" i="1"/>
  <c r="U22" i="1"/>
  <c r="Y21" i="1"/>
  <c r="U21" i="1"/>
  <c r="M24" i="15" l="1"/>
  <c r="M18" i="15" l="1"/>
  <c r="Q1874" i="1"/>
  <c r="Q1769" i="1"/>
  <c r="S1070" i="1"/>
  <c r="Q1875" i="1"/>
  <c r="T1770" i="1"/>
  <c r="Q1069" i="1"/>
  <c r="Q1068" i="1"/>
  <c r="M1769" i="1" l="1"/>
  <c r="AP1769" i="1" s="1"/>
  <c r="O1069" i="1"/>
  <c r="M1875" i="1"/>
  <c r="AP1875" i="1" s="1"/>
  <c r="M1874" i="1"/>
  <c r="AP1874" i="1" s="1"/>
  <c r="M1068" i="1"/>
  <c r="AP1068" i="1" s="1"/>
  <c r="O1770" i="1"/>
  <c r="O1070" i="1"/>
  <c r="M1069" i="1"/>
  <c r="AP1069" i="1" s="1"/>
  <c r="AA1770" i="1"/>
  <c r="W1770" i="1"/>
  <c r="V1070" i="1"/>
  <c r="Z1070" i="1"/>
  <c r="N1070" i="1"/>
  <c r="M1070" i="1"/>
  <c r="AP1070" i="1" s="1"/>
  <c r="R1070" i="1"/>
  <c r="Q1070" i="1"/>
  <c r="T1874" i="1"/>
  <c r="O1874" i="1"/>
  <c r="S1874" i="1"/>
  <c r="N1874" i="1"/>
  <c r="R1874" i="1"/>
  <c r="T1769" i="1"/>
  <c r="O1769" i="1"/>
  <c r="S1769" i="1"/>
  <c r="N1769" i="1"/>
  <c r="R1769" i="1"/>
  <c r="T1070" i="1"/>
  <c r="M1770" i="1"/>
  <c r="AP1770" i="1" s="1"/>
  <c r="N1069" i="1"/>
  <c r="N1770" i="1"/>
  <c r="Q1770" i="1"/>
  <c r="T1875" i="1"/>
  <c r="O1875" i="1"/>
  <c r="N1875" i="1"/>
  <c r="T1069" i="1"/>
  <c r="T1068" i="1"/>
  <c r="O1068" i="1"/>
  <c r="N1068" i="1"/>
  <c r="W1769" i="1" l="1"/>
  <c r="AA1769" i="1"/>
  <c r="W1069" i="1"/>
  <c r="AA1069" i="1"/>
  <c r="AA1068" i="1"/>
  <c r="W1068" i="1"/>
  <c r="AA1875" i="1"/>
  <c r="W1875" i="1"/>
  <c r="W1874" i="1"/>
  <c r="AA1874" i="1"/>
  <c r="AA1070" i="1"/>
  <c r="W1070" i="1"/>
  <c r="V1769" i="1"/>
  <c r="Z1769" i="1"/>
  <c r="U1070" i="1"/>
  <c r="Y1070" i="1"/>
  <c r="U1874" i="1"/>
  <c r="Y1874" i="1"/>
  <c r="V1874" i="1"/>
  <c r="Z1874" i="1"/>
  <c r="U1769" i="1"/>
  <c r="Y1769" i="1"/>
  <c r="R1814" i="1"/>
  <c r="S1771" i="1"/>
  <c r="Q1916" i="1"/>
  <c r="S1876" i="1"/>
  <c r="AR1875" i="1"/>
  <c r="AR1874" i="1"/>
  <c r="AR1769" i="1"/>
  <c r="AR1770" i="1"/>
  <c r="S1132" i="1"/>
  <c r="S1131" i="1"/>
  <c r="S1282" i="1"/>
  <c r="S1133" i="1"/>
  <c r="S1072" i="1"/>
  <c r="Q1071" i="1"/>
  <c r="AR1070" i="1"/>
  <c r="AR1069" i="1"/>
  <c r="AR1068" i="1"/>
  <c r="Q1067" i="1"/>
  <c r="S855" i="1"/>
  <c r="Q821" i="1"/>
  <c r="AR821" i="1" l="1"/>
  <c r="AR1282" i="1"/>
  <c r="AR1071" i="1"/>
  <c r="AR1876" i="1"/>
  <c r="AR1771" i="1"/>
  <c r="AQ1874" i="1"/>
  <c r="AQ1070" i="1"/>
  <c r="AQ1068" i="1"/>
  <c r="AQ1875" i="1"/>
  <c r="AR855" i="1"/>
  <c r="AR1072" i="1"/>
  <c r="AR1132" i="1"/>
  <c r="AR1916" i="1"/>
  <c r="AR1814" i="1"/>
  <c r="AQ1769" i="1"/>
  <c r="AQ1770" i="1"/>
  <c r="AQ1069" i="1"/>
  <c r="M821" i="1"/>
  <c r="AP821" i="1" s="1"/>
  <c r="AQ821" i="1" s="1"/>
  <c r="O855" i="1"/>
  <c r="O1133" i="1"/>
  <c r="O1132" i="1"/>
  <c r="M1916" i="1"/>
  <c r="AP1916" i="1" s="1"/>
  <c r="AQ1916" i="1" s="1"/>
  <c r="M1067" i="1"/>
  <c r="AP1067" i="1" s="1"/>
  <c r="AQ1067" i="1" s="1"/>
  <c r="M1071" i="1"/>
  <c r="AP1071" i="1" s="1"/>
  <c r="AQ1071" i="1" s="1"/>
  <c r="O1876" i="1"/>
  <c r="O1771" i="1"/>
  <c r="O1131" i="1"/>
  <c r="N1814" i="1"/>
  <c r="O1072" i="1"/>
  <c r="O1282" i="1"/>
  <c r="V1072" i="1"/>
  <c r="Z1072" i="1"/>
  <c r="V1876" i="1"/>
  <c r="Z1876" i="1"/>
  <c r="V1771" i="1"/>
  <c r="Z1771" i="1"/>
  <c r="V1131" i="1"/>
  <c r="Z1131" i="1"/>
  <c r="V855" i="1"/>
  <c r="Z855" i="1"/>
  <c r="V1133" i="1"/>
  <c r="Z1133" i="1"/>
  <c r="V1132" i="1"/>
  <c r="Z1132" i="1"/>
  <c r="U1814" i="1"/>
  <c r="Y1814" i="1"/>
  <c r="V1282" i="1"/>
  <c r="Z1282" i="1"/>
  <c r="R1876" i="1"/>
  <c r="Q1876" i="1"/>
  <c r="Q1814" i="1"/>
  <c r="R1771" i="1"/>
  <c r="Q1771" i="1"/>
  <c r="S1814" i="1"/>
  <c r="M1876" i="1"/>
  <c r="AP1876" i="1" s="1"/>
  <c r="AQ1876" i="1" s="1"/>
  <c r="N1876" i="1"/>
  <c r="M1814" i="1"/>
  <c r="AP1814" i="1" s="1"/>
  <c r="AQ1814" i="1" s="1"/>
  <c r="O1814" i="1"/>
  <c r="M1771" i="1"/>
  <c r="AP1771" i="1" s="1"/>
  <c r="AQ1771" i="1" s="1"/>
  <c r="N1771" i="1"/>
  <c r="T1814" i="1"/>
  <c r="T1771" i="1"/>
  <c r="T1916" i="1"/>
  <c r="O1916" i="1"/>
  <c r="S1916" i="1"/>
  <c r="N1916" i="1"/>
  <c r="R1916" i="1"/>
  <c r="T1876" i="1"/>
  <c r="N1131" i="1"/>
  <c r="M1132" i="1"/>
  <c r="AP1132" i="1" s="1"/>
  <c r="AQ1132" i="1" s="1"/>
  <c r="R1132" i="1"/>
  <c r="M1131" i="1"/>
  <c r="AP1131" i="1" s="1"/>
  <c r="AQ1131" i="1" s="1"/>
  <c r="Q1132" i="1"/>
  <c r="N1132" i="1"/>
  <c r="T1132" i="1"/>
  <c r="R1131" i="1"/>
  <c r="Q1131" i="1"/>
  <c r="T1131" i="1"/>
  <c r="N1282" i="1"/>
  <c r="R1133" i="1"/>
  <c r="M1282" i="1"/>
  <c r="AP1282" i="1" s="1"/>
  <c r="AQ1282" i="1" s="1"/>
  <c r="R1282" i="1"/>
  <c r="Q1133" i="1"/>
  <c r="Q1282" i="1"/>
  <c r="M1072" i="1"/>
  <c r="AP1072" i="1" s="1"/>
  <c r="AQ1072" i="1" s="1"/>
  <c r="T1282" i="1"/>
  <c r="J1131" i="1"/>
  <c r="AR1131" i="1" s="1"/>
  <c r="J1133" i="1"/>
  <c r="AR1133" i="1" s="1"/>
  <c r="N1133" i="1"/>
  <c r="M1133" i="1"/>
  <c r="AP1133" i="1" s="1"/>
  <c r="AQ1133" i="1" s="1"/>
  <c r="T1133" i="1"/>
  <c r="K1133" i="1"/>
  <c r="N1072" i="1"/>
  <c r="R1072" i="1"/>
  <c r="Q1072" i="1"/>
  <c r="T1072" i="1"/>
  <c r="T1071" i="1"/>
  <c r="N1071" i="1"/>
  <c r="R1071" i="1"/>
  <c r="O1071" i="1"/>
  <c r="S1071" i="1"/>
  <c r="M855" i="1"/>
  <c r="AP855" i="1" s="1"/>
  <c r="AQ855" i="1" s="1"/>
  <c r="R855" i="1"/>
  <c r="Q855" i="1"/>
  <c r="N855" i="1"/>
  <c r="T1067" i="1"/>
  <c r="K1067" i="1"/>
  <c r="O1067" i="1"/>
  <c r="S1067" i="1"/>
  <c r="J1067" i="1"/>
  <c r="AR1067" i="1" s="1"/>
  <c r="N1067" i="1"/>
  <c r="R1067" i="1"/>
  <c r="T855" i="1"/>
  <c r="T821" i="1"/>
  <c r="O821" i="1"/>
  <c r="S821" i="1"/>
  <c r="N821" i="1"/>
  <c r="R821" i="1"/>
  <c r="AA1071" i="1" l="1"/>
  <c r="W1071" i="1"/>
  <c r="AA1771" i="1"/>
  <c r="W1771" i="1"/>
  <c r="W1133" i="1"/>
  <c r="AA1133" i="1"/>
  <c r="AA1132" i="1"/>
  <c r="W1132" i="1"/>
  <c r="AA1916" i="1"/>
  <c r="W1916" i="1"/>
  <c r="W821" i="1"/>
  <c r="AA821" i="1"/>
  <c r="AA1072" i="1"/>
  <c r="W1072" i="1"/>
  <c r="AA1876" i="1"/>
  <c r="W1876" i="1"/>
  <c r="AA855" i="1"/>
  <c r="W855" i="1"/>
  <c r="W1814" i="1"/>
  <c r="AA1814" i="1"/>
  <c r="AA1067" i="1"/>
  <c r="W1067" i="1"/>
  <c r="AA1282" i="1"/>
  <c r="W1282" i="1"/>
  <c r="AA1131" i="1"/>
  <c r="W1131" i="1"/>
  <c r="U1916" i="1"/>
  <c r="Y1916" i="1"/>
  <c r="V821" i="1"/>
  <c r="Z821" i="1"/>
  <c r="U1067" i="1"/>
  <c r="Y1067" i="1"/>
  <c r="U1133" i="1"/>
  <c r="Y1133" i="1"/>
  <c r="U1131" i="1"/>
  <c r="Y1131" i="1"/>
  <c r="U1771" i="1"/>
  <c r="Y1771" i="1"/>
  <c r="U855" i="1"/>
  <c r="Y855" i="1"/>
  <c r="U1132" i="1"/>
  <c r="Y1132" i="1"/>
  <c r="V1067" i="1"/>
  <c r="Z1067" i="1"/>
  <c r="V1071" i="1"/>
  <c r="Z1071" i="1"/>
  <c r="V1916" i="1"/>
  <c r="Z1916" i="1"/>
  <c r="U1876" i="1"/>
  <c r="Y1876" i="1"/>
  <c r="U1071" i="1"/>
  <c r="Y1071" i="1"/>
  <c r="U821" i="1"/>
  <c r="Y821" i="1"/>
  <c r="U1072" i="1"/>
  <c r="Y1072" i="1"/>
  <c r="U1282" i="1"/>
  <c r="Y1282" i="1"/>
  <c r="V1814" i="1"/>
  <c r="Z1814" i="1"/>
  <c r="F1133" i="1"/>
  <c r="F1132" i="1"/>
  <c r="F1131" i="1"/>
  <c r="B1133" i="1"/>
  <c r="B1132" i="1"/>
  <c r="B1131" i="1"/>
  <c r="F1067" i="1"/>
  <c r="B1067" i="1"/>
  <c r="F1072" i="1"/>
  <c r="F1071" i="1"/>
  <c r="F1070" i="1"/>
  <c r="F1069" i="1"/>
  <c r="F1068" i="1"/>
  <c r="B1072" i="1"/>
  <c r="B1071" i="1"/>
  <c r="B1070" i="1"/>
  <c r="B1069" i="1"/>
  <c r="B1068" i="1"/>
  <c r="F1282" i="1" l="1"/>
  <c r="B1282" i="1"/>
  <c r="F1003" i="1" l="1"/>
  <c r="B1003" i="1"/>
  <c r="B855" i="1"/>
  <c r="B821" i="1"/>
  <c r="F821" i="1"/>
  <c r="B822" i="1"/>
  <c r="F1916" i="1" l="1"/>
  <c r="B1916" i="1"/>
  <c r="F1876" i="1"/>
  <c r="F1875" i="1"/>
  <c r="F1874" i="1"/>
  <c r="B1876" i="1"/>
  <c r="B1875" i="1"/>
  <c r="B1874" i="1"/>
  <c r="F1814" i="1"/>
  <c r="B1814" i="1"/>
  <c r="F1771" i="1"/>
  <c r="F1770" i="1"/>
  <c r="F1769" i="1"/>
  <c r="B1771" i="1"/>
  <c r="B1770" i="1"/>
  <c r="B1769" i="1"/>
  <c r="AL2495" i="1" l="1"/>
  <c r="AL2497" i="1" s="1"/>
  <c r="R10" i="11" l="1"/>
  <c r="R18" i="11" s="1"/>
  <c r="R20" i="11" s="1"/>
  <c r="N27" i="5" l="1"/>
  <c r="N26" i="5"/>
  <c r="N29" i="5" l="1"/>
  <c r="L24" i="15" l="1"/>
  <c r="L18" i="15"/>
  <c r="K48" i="14" l="1"/>
  <c r="J47" i="13"/>
  <c r="J63" i="13"/>
  <c r="J65" i="13" s="1"/>
  <c r="M27" i="5" l="1"/>
  <c r="M26" i="5"/>
  <c r="Q10" i="11"/>
  <c r="Q18" i="11" s="1"/>
  <c r="Q20" i="11" s="1"/>
  <c r="S1066" i="1"/>
  <c r="AR1066" i="1" l="1"/>
  <c r="O1066" i="1"/>
  <c r="Z1066" i="1"/>
  <c r="V1066" i="1"/>
  <c r="M29" i="5"/>
  <c r="N1066" i="1"/>
  <c r="R1066" i="1"/>
  <c r="M1066" i="1"/>
  <c r="AP1066" i="1" s="1"/>
  <c r="AQ1066" i="1" s="1"/>
  <c r="Q1066" i="1"/>
  <c r="T1066" i="1"/>
  <c r="AA1066" i="1" l="1"/>
  <c r="W1066" i="1"/>
  <c r="Y1066" i="1"/>
  <c r="U1066" i="1"/>
  <c r="AK2495" i="1"/>
  <c r="AK2497" i="1" s="1"/>
  <c r="F1066" i="1" l="1"/>
  <c r="B1066" i="1"/>
  <c r="K18" i="15" l="1"/>
  <c r="Q864" i="1" l="1"/>
  <c r="R863" i="1"/>
  <c r="S830" i="1"/>
  <c r="Q829" i="1"/>
  <c r="Q828" i="1"/>
  <c r="S2297" i="1"/>
  <c r="Q2259" i="1"/>
  <c r="AR828" i="1" l="1"/>
  <c r="AR829" i="1"/>
  <c r="AR863" i="1"/>
  <c r="AR830" i="1"/>
  <c r="AR864" i="1"/>
  <c r="M830" i="1"/>
  <c r="AP830" i="1" s="1"/>
  <c r="AQ830" i="1" s="1"/>
  <c r="M829" i="1"/>
  <c r="AP829" i="1" s="1"/>
  <c r="AQ829" i="1" s="1"/>
  <c r="M864" i="1"/>
  <c r="AP864" i="1" s="1"/>
  <c r="AQ864" i="1" s="1"/>
  <c r="M828" i="1"/>
  <c r="AP828" i="1" s="1"/>
  <c r="AQ828" i="1" s="1"/>
  <c r="N863" i="1"/>
  <c r="Z2297" i="1"/>
  <c r="V2297" i="1"/>
  <c r="Z830" i="1"/>
  <c r="V830" i="1"/>
  <c r="U863" i="1"/>
  <c r="Y863" i="1"/>
  <c r="Q863" i="1"/>
  <c r="S863" i="1"/>
  <c r="O863" i="1"/>
  <c r="M863" i="1"/>
  <c r="AP863" i="1" s="1"/>
  <c r="AQ863" i="1" s="1"/>
  <c r="T864" i="1"/>
  <c r="T863" i="1"/>
  <c r="O864" i="1"/>
  <c r="S864" i="1"/>
  <c r="N864" i="1"/>
  <c r="R864" i="1"/>
  <c r="M2259" i="1"/>
  <c r="AP2259" i="1" s="1"/>
  <c r="M2297" i="1"/>
  <c r="AP2297" i="1" s="1"/>
  <c r="S2259" i="1"/>
  <c r="Q830" i="1"/>
  <c r="R830" i="1"/>
  <c r="T830" i="1"/>
  <c r="T829" i="1"/>
  <c r="S829" i="1"/>
  <c r="R829" i="1"/>
  <c r="T828" i="1"/>
  <c r="S828" i="1"/>
  <c r="R828" i="1"/>
  <c r="O828" i="1"/>
  <c r="O829" i="1"/>
  <c r="O830" i="1"/>
  <c r="N828" i="1"/>
  <c r="N829" i="1"/>
  <c r="N830" i="1"/>
  <c r="Q2297" i="1"/>
  <c r="R2259" i="1"/>
  <c r="R2297" i="1"/>
  <c r="O2297" i="1"/>
  <c r="O2259" i="1"/>
  <c r="T2297" i="1"/>
  <c r="T2259" i="1"/>
  <c r="N2297" i="1"/>
  <c r="N2259" i="1"/>
  <c r="AA828" i="1" l="1"/>
  <c r="W828" i="1"/>
  <c r="AA830" i="1"/>
  <c r="W830" i="1"/>
  <c r="W2259" i="1"/>
  <c r="AA2259" i="1"/>
  <c r="W829" i="1"/>
  <c r="AA829" i="1"/>
  <c r="W864" i="1"/>
  <c r="AA864" i="1"/>
  <c r="W2297" i="1"/>
  <c r="AA2297" i="1"/>
  <c r="AA863" i="1"/>
  <c r="W863" i="1"/>
  <c r="Z864" i="1"/>
  <c r="V864" i="1"/>
  <c r="Z863" i="1"/>
  <c r="V863" i="1"/>
  <c r="Z828" i="1"/>
  <c r="V828" i="1"/>
  <c r="V2259" i="1"/>
  <c r="Z2259" i="1"/>
  <c r="Y828" i="1"/>
  <c r="U828" i="1"/>
  <c r="Z829" i="1"/>
  <c r="V829" i="1"/>
  <c r="Y864" i="1"/>
  <c r="U864" i="1"/>
  <c r="U2259" i="1"/>
  <c r="Y2259" i="1"/>
  <c r="Y2297" i="1"/>
  <c r="U2297" i="1"/>
  <c r="U829" i="1"/>
  <c r="Y829" i="1"/>
  <c r="Y830" i="1"/>
  <c r="U830" i="1"/>
  <c r="AQ2259" i="1"/>
  <c r="AR2297" i="1"/>
  <c r="AQ2297" i="1" l="1"/>
  <c r="Q1151" i="1"/>
  <c r="T1150" i="1"/>
  <c r="Q1149" i="1"/>
  <c r="Q1148" i="1"/>
  <c r="AR1151" i="1"/>
  <c r="AR1150" i="1"/>
  <c r="AR1148" i="1"/>
  <c r="AR1149" i="1" l="1"/>
  <c r="AA1150" i="1"/>
  <c r="W1150" i="1"/>
  <c r="N1150" i="1"/>
  <c r="O1149" i="1"/>
  <c r="M1148" i="1"/>
  <c r="AP1148" i="1" s="1"/>
  <c r="AQ1148" i="1" s="1"/>
  <c r="O1151" i="1"/>
  <c r="M1149" i="1"/>
  <c r="AP1149" i="1" s="1"/>
  <c r="AQ1149" i="1" s="1"/>
  <c r="N1149" i="1"/>
  <c r="O1148" i="1"/>
  <c r="M1150" i="1"/>
  <c r="AP1150" i="1" s="1"/>
  <c r="AQ1150" i="1" s="1"/>
  <c r="N1151" i="1"/>
  <c r="T1149" i="1"/>
  <c r="S1150" i="1"/>
  <c r="N1148" i="1"/>
  <c r="M1151" i="1"/>
  <c r="AP1151" i="1" s="1"/>
  <c r="AQ1151" i="1" s="1"/>
  <c r="S1148" i="1"/>
  <c r="S1149" i="1"/>
  <c r="R1150" i="1"/>
  <c r="O1150" i="1"/>
  <c r="R1149" i="1"/>
  <c r="Q1150" i="1"/>
  <c r="T1151" i="1"/>
  <c r="S1151" i="1"/>
  <c r="R1151" i="1"/>
  <c r="T1148" i="1"/>
  <c r="R1148" i="1"/>
  <c r="AA1148" i="1" l="1"/>
  <c r="W1148" i="1"/>
  <c r="AA1149" i="1"/>
  <c r="W1149" i="1"/>
  <c r="AA1151" i="1"/>
  <c r="W1151" i="1"/>
  <c r="Z1149" i="1"/>
  <c r="V1149" i="1"/>
  <c r="Z1150" i="1"/>
  <c r="V1150" i="1"/>
  <c r="Y1148" i="1"/>
  <c r="U1148" i="1"/>
  <c r="Y1150" i="1"/>
  <c r="U1150" i="1"/>
  <c r="Z1151" i="1"/>
  <c r="V1151" i="1"/>
  <c r="Y1151" i="1"/>
  <c r="U1151" i="1"/>
  <c r="Y1149" i="1"/>
  <c r="U1149" i="1"/>
  <c r="Z1148" i="1"/>
  <c r="V1148" i="1"/>
  <c r="S688" i="1"/>
  <c r="Z688" i="1" l="1"/>
  <c r="V688" i="1"/>
  <c r="R688" i="1"/>
  <c r="T688" i="1"/>
  <c r="Q688" i="1"/>
  <c r="AA688" i="1" l="1"/>
  <c r="W688" i="1"/>
  <c r="U688" i="1"/>
  <c r="Y688" i="1"/>
  <c r="F2297" i="1"/>
  <c r="B2297" i="1"/>
  <c r="F2261" i="1"/>
  <c r="B2261" i="1"/>
  <c r="AR688" i="1" l="1"/>
  <c r="M688" i="1"/>
  <c r="AP688" i="1" s="1"/>
  <c r="AQ688" i="1" s="1"/>
  <c r="O688" i="1"/>
  <c r="N688" i="1"/>
  <c r="AJ2495" i="1"/>
  <c r="AJ2497" i="1" s="1"/>
  <c r="B1151" i="1" l="1"/>
  <c r="B1150" i="1"/>
  <c r="B1149" i="1"/>
  <c r="B1148" i="1"/>
  <c r="B864" i="1" l="1"/>
  <c r="B863" i="1"/>
  <c r="F830" i="1"/>
  <c r="F829" i="1"/>
  <c r="F828" i="1"/>
  <c r="B830" i="1"/>
  <c r="B829" i="1"/>
  <c r="B828" i="1"/>
  <c r="P10" i="11" l="1"/>
  <c r="P18" i="11" s="1"/>
  <c r="P20" i="11" s="1"/>
  <c r="B688" i="1"/>
  <c r="J48" i="14"/>
  <c r="I63" i="13"/>
  <c r="I65" i="13" s="1"/>
  <c r="I47" i="13"/>
  <c r="L27" i="5" l="1"/>
  <c r="L26" i="5"/>
  <c r="L29" i="5" l="1"/>
  <c r="K27" i="5" l="1"/>
  <c r="K26" i="5"/>
  <c r="K29" i="5" l="1"/>
  <c r="I48" i="14" l="1"/>
  <c r="H63" i="13"/>
  <c r="H65" i="13" s="1"/>
  <c r="H47" i="13"/>
  <c r="O10" i="11" l="1"/>
  <c r="O18" i="11" s="1"/>
  <c r="O20" i="11" s="1"/>
  <c r="CI3049" i="1"/>
  <c r="CI3044" i="1"/>
  <c r="CI2954" i="1"/>
  <c r="CI2955" i="1"/>
  <c r="CI2956" i="1"/>
  <c r="CI2957" i="1"/>
  <c r="S2176" i="1" l="1"/>
  <c r="AR2176" i="1" l="1"/>
  <c r="Z2176" i="1"/>
  <c r="V2176" i="1"/>
  <c r="O2176" i="1"/>
  <c r="M2176" i="1"/>
  <c r="AP2176" i="1" s="1"/>
  <c r="AQ2176" i="1" s="1"/>
  <c r="N2176" i="1"/>
  <c r="R2176" i="1"/>
  <c r="Q2176" i="1"/>
  <c r="T2176" i="1"/>
  <c r="AA2176" i="1" l="1"/>
  <c r="W2176" i="1"/>
  <c r="U2176" i="1"/>
  <c r="Y2176" i="1"/>
  <c r="Q2135" i="1"/>
  <c r="Q1146" i="1"/>
  <c r="Q1145" i="1"/>
  <c r="AR2135" i="1" l="1"/>
  <c r="AR1146" i="1"/>
  <c r="M1145" i="1"/>
  <c r="AP1145" i="1" s="1"/>
  <c r="AQ1145" i="1" s="1"/>
  <c r="M2135" i="1"/>
  <c r="AP2135" i="1" s="1"/>
  <c r="AQ2135" i="1" s="1"/>
  <c r="M1146" i="1"/>
  <c r="AP1146" i="1" s="1"/>
  <c r="AQ1146" i="1" s="1"/>
  <c r="T2135" i="1"/>
  <c r="O2135" i="1"/>
  <c r="S2135" i="1"/>
  <c r="N2135" i="1"/>
  <c r="R2135" i="1"/>
  <c r="K1146" i="1"/>
  <c r="O1146" i="1"/>
  <c r="S1146" i="1"/>
  <c r="T1146" i="1"/>
  <c r="N1146" i="1"/>
  <c r="R1146" i="1"/>
  <c r="K1145" i="1"/>
  <c r="O1145" i="1"/>
  <c r="S1145" i="1"/>
  <c r="T1145" i="1"/>
  <c r="J1145" i="1"/>
  <c r="AR1145" i="1" s="1"/>
  <c r="N1145" i="1"/>
  <c r="R1145" i="1"/>
  <c r="AA2135" i="1" l="1"/>
  <c r="W2135" i="1"/>
  <c r="AA1146" i="1"/>
  <c r="W1146" i="1"/>
  <c r="W1145" i="1"/>
  <c r="AA1145" i="1"/>
  <c r="Y1146" i="1"/>
  <c r="U1146" i="1"/>
  <c r="Z1146" i="1"/>
  <c r="V1146" i="1"/>
  <c r="V2135" i="1"/>
  <c r="Z2135" i="1"/>
  <c r="U2135" i="1"/>
  <c r="Y2135" i="1"/>
  <c r="Y1145" i="1"/>
  <c r="U1145" i="1"/>
  <c r="Z1145" i="1"/>
  <c r="V1145" i="1"/>
  <c r="Q1065" i="1"/>
  <c r="AR1065" i="1" l="1"/>
  <c r="M1065" i="1"/>
  <c r="AP1065" i="1" s="1"/>
  <c r="AQ1065" i="1" s="1"/>
  <c r="N1065" i="1"/>
  <c r="R1065" i="1"/>
  <c r="T1065" i="1"/>
  <c r="O1065" i="1"/>
  <c r="S1065" i="1"/>
  <c r="W1065" i="1" l="1"/>
  <c r="AA1065" i="1"/>
  <c r="Y1065" i="1"/>
  <c r="U1065" i="1"/>
  <c r="Z1065" i="1"/>
  <c r="V1065" i="1"/>
  <c r="Q1064" i="1"/>
  <c r="AR1064" i="1" l="1"/>
  <c r="M1064" i="1"/>
  <c r="AP1064" i="1" s="1"/>
  <c r="AQ1064" i="1" s="1"/>
  <c r="O1064" i="1"/>
  <c r="S1064" i="1"/>
  <c r="T1064" i="1"/>
  <c r="N1064" i="1"/>
  <c r="R1064" i="1"/>
  <c r="AA1064" i="1" l="1"/>
  <c r="W1064" i="1"/>
  <c r="Z1064" i="1"/>
  <c r="V1064" i="1"/>
  <c r="Y1064" i="1"/>
  <c r="U1064" i="1"/>
  <c r="F1768" i="1"/>
  <c r="F1873" i="1"/>
  <c r="F1915" i="1"/>
  <c r="F2176" i="1"/>
  <c r="F2135" i="1" l="1"/>
  <c r="R1915" i="1"/>
  <c r="R1873" i="1"/>
  <c r="F1813" i="1"/>
  <c r="S1813" i="1"/>
  <c r="S1768" i="1"/>
  <c r="S1573" i="1"/>
  <c r="V1573" i="1" s="1"/>
  <c r="AR1768" i="1" l="1"/>
  <c r="AR1813" i="1"/>
  <c r="AR1873" i="1"/>
  <c r="AR1573" i="1"/>
  <c r="AR1915" i="1"/>
  <c r="Z1813" i="1"/>
  <c r="V1813" i="1"/>
  <c r="Y1873" i="1"/>
  <c r="U1873" i="1"/>
  <c r="Y1915" i="1"/>
  <c r="U1915" i="1"/>
  <c r="Z1768" i="1"/>
  <c r="V1768" i="1"/>
  <c r="M1813" i="1"/>
  <c r="AP1813" i="1" s="1"/>
  <c r="AQ1813" i="1" s="1"/>
  <c r="O1873" i="1"/>
  <c r="M1915" i="1"/>
  <c r="AP1915" i="1" s="1"/>
  <c r="AQ1915" i="1" s="1"/>
  <c r="N1813" i="1"/>
  <c r="R1573" i="1"/>
  <c r="U1573" i="1" s="1"/>
  <c r="M1873" i="1"/>
  <c r="AP1873" i="1" s="1"/>
  <c r="AQ1873" i="1" s="1"/>
  <c r="S1873" i="1"/>
  <c r="Q1768" i="1"/>
  <c r="Q1873" i="1"/>
  <c r="Q1915" i="1"/>
  <c r="O1573" i="1"/>
  <c r="O1768" i="1"/>
  <c r="S1915" i="1"/>
  <c r="N1915" i="1"/>
  <c r="N1573" i="1"/>
  <c r="N1768" i="1"/>
  <c r="N1873" i="1"/>
  <c r="O1813" i="1"/>
  <c r="M1573" i="1"/>
  <c r="AP1573" i="1" s="1"/>
  <c r="AQ1573" i="1" s="1"/>
  <c r="M1768" i="1"/>
  <c r="AP1768" i="1" s="1"/>
  <c r="AQ1768" i="1" s="1"/>
  <c r="R1768" i="1"/>
  <c r="R1813" i="1"/>
  <c r="O1915" i="1"/>
  <c r="T1915" i="1"/>
  <c r="T1873" i="1"/>
  <c r="Q1813" i="1"/>
  <c r="T1813" i="1"/>
  <c r="T1768" i="1"/>
  <c r="Q1573" i="1"/>
  <c r="T1573" i="1"/>
  <c r="W1573" i="1" s="1"/>
  <c r="W1915" i="1" l="1"/>
  <c r="AA1915" i="1"/>
  <c r="AA1873" i="1"/>
  <c r="W1873" i="1"/>
  <c r="AA1768" i="1"/>
  <c r="W1768" i="1"/>
  <c r="AA1813" i="1"/>
  <c r="W1813" i="1"/>
  <c r="Y1813" i="1"/>
  <c r="U1813" i="1"/>
  <c r="Y1768" i="1"/>
  <c r="U1768" i="1"/>
  <c r="Z1915" i="1"/>
  <c r="V1915" i="1"/>
  <c r="Z1873" i="1"/>
  <c r="V1873" i="1"/>
  <c r="Q1525" i="1"/>
  <c r="F1573" i="1"/>
  <c r="F1525" i="1"/>
  <c r="Q1130" i="1"/>
  <c r="Q1063" i="1"/>
  <c r="AR1063" i="1" l="1"/>
  <c r="AR1525" i="1"/>
  <c r="AR1130" i="1"/>
  <c r="N1525" i="1"/>
  <c r="M1130" i="1"/>
  <c r="AP1130" i="1" s="1"/>
  <c r="AQ1130" i="1" s="1"/>
  <c r="N1063" i="1"/>
  <c r="M1525" i="1"/>
  <c r="AP1525" i="1" s="1"/>
  <c r="AQ1525" i="1" s="1"/>
  <c r="O1525" i="1"/>
  <c r="S1525" i="1"/>
  <c r="V1525" i="1" s="1"/>
  <c r="R1525" i="1"/>
  <c r="U1525" i="1" s="1"/>
  <c r="T1525" i="1"/>
  <c r="W1525" i="1" s="1"/>
  <c r="T1130" i="1"/>
  <c r="S1130" i="1"/>
  <c r="N1130" i="1"/>
  <c r="R1130" i="1"/>
  <c r="O1130" i="1"/>
  <c r="T1063" i="1"/>
  <c r="S1063" i="1"/>
  <c r="R1063" i="1"/>
  <c r="O1063" i="1"/>
  <c r="M1063" i="1"/>
  <c r="AP1063" i="1" s="1"/>
  <c r="AQ1063" i="1" s="1"/>
  <c r="AA1063" i="1" l="1"/>
  <c r="W1063" i="1"/>
  <c r="AA1130" i="1"/>
  <c r="W1130" i="1"/>
  <c r="Z1130" i="1"/>
  <c r="V1130" i="1"/>
  <c r="Y1130" i="1"/>
  <c r="U1130" i="1"/>
  <c r="Z1063" i="1"/>
  <c r="V1063" i="1"/>
  <c r="Y1063" i="1"/>
  <c r="U1063" i="1"/>
  <c r="Q609" i="1"/>
  <c r="T84" i="1"/>
  <c r="B2176" i="1"/>
  <c r="B1573" i="1"/>
  <c r="B1525" i="1"/>
  <c r="B2135" i="1"/>
  <c r="B1915" i="1"/>
  <c r="B1873" i="1"/>
  <c r="B1813" i="1"/>
  <c r="B1768" i="1"/>
  <c r="AR84" i="1" l="1"/>
  <c r="AR609" i="1"/>
  <c r="AA84" i="1"/>
  <c r="W84" i="1"/>
  <c r="O84" i="1"/>
  <c r="M609" i="1"/>
  <c r="AP609" i="1" s="1"/>
  <c r="AQ609" i="1" s="1"/>
  <c r="Q84" i="1"/>
  <c r="N84" i="1"/>
  <c r="M84" i="1"/>
  <c r="AP84" i="1" s="1"/>
  <c r="AQ84" i="1" s="1"/>
  <c r="T609" i="1"/>
  <c r="O609" i="1"/>
  <c r="N609" i="1"/>
  <c r="AI2495" i="1"/>
  <c r="AI2497" i="1" s="1"/>
  <c r="AA609" i="1" l="1"/>
  <c r="W609" i="1"/>
  <c r="B1146" i="1"/>
  <c r="B1145" i="1"/>
  <c r="F1130" i="1"/>
  <c r="B1130" i="1"/>
  <c r="F1065" i="1"/>
  <c r="F1064" i="1"/>
  <c r="F1063" i="1"/>
  <c r="B1065" i="1"/>
  <c r="B1064" i="1"/>
  <c r="B1063" i="1"/>
  <c r="B609" i="1" l="1"/>
  <c r="B84" i="1"/>
  <c r="N10" i="11" l="1"/>
  <c r="N18" i="11" s="1"/>
  <c r="N20" i="11" s="1"/>
  <c r="AH2495" i="1" l="1"/>
  <c r="AH2497" i="1" s="1"/>
  <c r="H48" i="14" l="1"/>
  <c r="G63" i="13"/>
  <c r="G65" i="13" s="1"/>
  <c r="G47" i="13"/>
  <c r="J27" i="5" l="1"/>
  <c r="J26" i="5"/>
  <c r="J29" i="5" l="1"/>
  <c r="M10" i="11" l="1"/>
  <c r="M18" i="11" s="1"/>
  <c r="M20" i="11" s="1"/>
  <c r="G48" i="14"/>
  <c r="F47" i="13"/>
  <c r="F63" i="13"/>
  <c r="F65" i="13" s="1"/>
  <c r="R1147" i="1" l="1"/>
  <c r="S1144" i="1"/>
  <c r="R1143" i="1"/>
  <c r="S1142" i="1"/>
  <c r="Y1147" i="1" l="1"/>
  <c r="U1147" i="1"/>
  <c r="Z1144" i="1"/>
  <c r="V1144" i="1"/>
  <c r="Y1143" i="1"/>
  <c r="U1143" i="1"/>
  <c r="Z1142" i="1"/>
  <c r="V1142" i="1"/>
  <c r="O1147" i="1"/>
  <c r="O1144" i="1"/>
  <c r="N1143" i="1"/>
  <c r="M1142" i="1"/>
  <c r="AP1142" i="1" s="1"/>
  <c r="N1142" i="1"/>
  <c r="N1147" i="1"/>
  <c r="O1142" i="1"/>
  <c r="Q1142" i="1"/>
  <c r="S1143" i="1"/>
  <c r="S1147" i="1"/>
  <c r="M1147" i="1"/>
  <c r="AP1147" i="1" s="1"/>
  <c r="R1142" i="1"/>
  <c r="O1143" i="1"/>
  <c r="M1143" i="1"/>
  <c r="AP1143" i="1" s="1"/>
  <c r="N1144" i="1"/>
  <c r="Q1144" i="1"/>
  <c r="M1144" i="1"/>
  <c r="AP1144" i="1" s="1"/>
  <c r="Q1143" i="1"/>
  <c r="R1144" i="1"/>
  <c r="Q1147" i="1"/>
  <c r="T1147" i="1"/>
  <c r="T1144" i="1"/>
  <c r="T1143" i="1"/>
  <c r="T1142" i="1"/>
  <c r="AA1147" i="1" l="1"/>
  <c r="W1147" i="1"/>
  <c r="W1144" i="1"/>
  <c r="AA1144" i="1"/>
  <c r="AA1143" i="1"/>
  <c r="W1143" i="1"/>
  <c r="AA1142" i="1"/>
  <c r="W1142" i="1"/>
  <c r="Y1142" i="1"/>
  <c r="U1142" i="1"/>
  <c r="Z1143" i="1"/>
  <c r="V1143" i="1"/>
  <c r="Y1144" i="1"/>
  <c r="U1144" i="1"/>
  <c r="Z1147" i="1"/>
  <c r="V1147" i="1"/>
  <c r="AR1147" i="1"/>
  <c r="AR1144" i="1"/>
  <c r="AR1143" i="1"/>
  <c r="AR1142" i="1"/>
  <c r="Q1140" i="1"/>
  <c r="Q1139" i="1"/>
  <c r="S687" i="1"/>
  <c r="AR687" i="1" l="1"/>
  <c r="AQ1143" i="1"/>
  <c r="AQ1144" i="1"/>
  <c r="AR1140" i="1"/>
  <c r="AQ1140" i="1"/>
  <c r="AQ1147" i="1"/>
  <c r="AR1139" i="1"/>
  <c r="AQ1139" i="1"/>
  <c r="AQ1142" i="1"/>
  <c r="V687" i="1"/>
  <c r="Z687" i="1"/>
  <c r="O687" i="1"/>
  <c r="O1139" i="1"/>
  <c r="O1140" i="1"/>
  <c r="N1139" i="1"/>
  <c r="R687" i="1"/>
  <c r="N687" i="1"/>
  <c r="M687" i="1"/>
  <c r="AP687" i="1" s="1"/>
  <c r="AQ687" i="1" s="1"/>
  <c r="N1140" i="1"/>
  <c r="Q687" i="1"/>
  <c r="S1139" i="1"/>
  <c r="R1139" i="1"/>
  <c r="T1140" i="1"/>
  <c r="S1140" i="1"/>
  <c r="R1140" i="1"/>
  <c r="T1139" i="1"/>
  <c r="T687" i="1"/>
  <c r="AA1139" i="1" l="1"/>
  <c r="W1139" i="1"/>
  <c r="W687" i="1"/>
  <c r="AA687" i="1"/>
  <c r="AA1140" i="1"/>
  <c r="W1140" i="1"/>
  <c r="Z1140" i="1"/>
  <c r="V1140" i="1"/>
  <c r="Y1140" i="1"/>
  <c r="U1140" i="1"/>
  <c r="Z1139" i="1"/>
  <c r="V1139" i="1"/>
  <c r="Y1139" i="1"/>
  <c r="U1139" i="1"/>
  <c r="Y687" i="1"/>
  <c r="U687" i="1"/>
  <c r="B1147" i="1"/>
  <c r="B1144" i="1"/>
  <c r="B1143" i="1"/>
  <c r="B1142" i="1"/>
  <c r="B1140" i="1"/>
  <c r="B1139" i="1"/>
  <c r="B687" i="1" l="1"/>
  <c r="I27" i="5"/>
  <c r="I26" i="5"/>
  <c r="I29" i="5" l="1"/>
  <c r="AG2495" i="1"/>
  <c r="AG2497" i="1" s="1"/>
  <c r="T1767" i="1" l="1"/>
  <c r="W1767" i="1" l="1"/>
  <c r="AA1767" i="1"/>
  <c r="Q1767" i="1"/>
  <c r="L19" i="11"/>
  <c r="R1141" i="1" l="1"/>
  <c r="AR1141" i="1"/>
  <c r="Q1138" i="1"/>
  <c r="AR1138" i="1"/>
  <c r="Y1141" i="1" l="1"/>
  <c r="U1141" i="1"/>
  <c r="S1141" i="1"/>
  <c r="N1141" i="1"/>
  <c r="K1141" i="1"/>
  <c r="M1138" i="1"/>
  <c r="AP1138" i="1" s="1"/>
  <c r="AQ1138" i="1" s="1"/>
  <c r="K1138" i="1"/>
  <c r="Q1141" i="1"/>
  <c r="O1141" i="1"/>
  <c r="M1141" i="1"/>
  <c r="AP1141" i="1" s="1"/>
  <c r="AQ1141" i="1" s="1"/>
  <c r="T1141" i="1"/>
  <c r="O1138" i="1"/>
  <c r="S1138" i="1"/>
  <c r="T1138" i="1"/>
  <c r="N1138" i="1"/>
  <c r="R1138" i="1"/>
  <c r="AA1138" i="1" l="1"/>
  <c r="W1138" i="1"/>
  <c r="AA1141" i="1"/>
  <c r="W1141" i="1"/>
  <c r="Y1138" i="1"/>
  <c r="U1138" i="1"/>
  <c r="Z1138" i="1"/>
  <c r="V1138" i="1"/>
  <c r="Z1141" i="1"/>
  <c r="V1141" i="1"/>
  <c r="L10" i="11"/>
  <c r="L18" i="11" s="1"/>
  <c r="L20" i="11" s="1"/>
  <c r="F48" i="14"/>
  <c r="E63" i="13"/>
  <c r="E65" i="13" s="1"/>
  <c r="E47" i="13"/>
  <c r="H27" i="5" l="1"/>
  <c r="H26" i="5"/>
  <c r="H29" i="5" l="1"/>
  <c r="AF2495" i="1"/>
  <c r="AF2497" i="1" s="1"/>
  <c r="S685" i="1" l="1"/>
  <c r="AR685" i="1" l="1"/>
  <c r="V685" i="1"/>
  <c r="Z685" i="1"/>
  <c r="O685" i="1"/>
  <c r="M685" i="1"/>
  <c r="AP685" i="1" s="1"/>
  <c r="AQ685" i="1" s="1"/>
  <c r="Q685" i="1"/>
  <c r="T685" i="1"/>
  <c r="N685" i="1"/>
  <c r="R685" i="1"/>
  <c r="B1141" i="1"/>
  <c r="B1138" i="1"/>
  <c r="AA685" i="1" l="1"/>
  <c r="W685" i="1"/>
  <c r="Y685" i="1"/>
  <c r="U685" i="1"/>
  <c r="B685" i="1"/>
  <c r="G29" i="15" l="1"/>
  <c r="G28" i="15"/>
  <c r="G11" i="15"/>
  <c r="G10" i="15"/>
  <c r="G9" i="15"/>
  <c r="G24" i="15" l="1"/>
  <c r="G35" i="15"/>
  <c r="G34" i="15"/>
  <c r="G12" i="15"/>
  <c r="G27" i="15" l="1"/>
  <c r="G18" i="15"/>
  <c r="Q2472" i="1"/>
  <c r="Q2396" i="1"/>
  <c r="Q1872" i="1"/>
  <c r="F2472" i="1"/>
  <c r="B2472" i="1"/>
  <c r="F2396" i="1"/>
  <c r="B2396" i="1"/>
  <c r="F1872" i="1"/>
  <c r="B1872" i="1"/>
  <c r="F1767" i="1"/>
  <c r="B1767" i="1"/>
  <c r="AR1767" i="1" l="1"/>
  <c r="AR1872" i="1"/>
  <c r="AR2396" i="1"/>
  <c r="AR2472" i="1"/>
  <c r="O1767" i="1"/>
  <c r="N2472" i="1"/>
  <c r="N2396" i="1"/>
  <c r="M1872" i="1"/>
  <c r="AP1872" i="1" s="1"/>
  <c r="AQ1872" i="1" s="1"/>
  <c r="G30" i="15"/>
  <c r="G33" i="15"/>
  <c r="T2472" i="1"/>
  <c r="T2396" i="1"/>
  <c r="T1872" i="1"/>
  <c r="O2472" i="1"/>
  <c r="M2472" i="1"/>
  <c r="AP2472" i="1" s="1"/>
  <c r="AQ2472" i="1" s="1"/>
  <c r="M2396" i="1"/>
  <c r="AP2396" i="1" s="1"/>
  <c r="AQ2396" i="1" s="1"/>
  <c r="O2396" i="1"/>
  <c r="O1872" i="1"/>
  <c r="N1872" i="1"/>
  <c r="N1767" i="1"/>
  <c r="M1767" i="1"/>
  <c r="AP1767" i="1" s="1"/>
  <c r="AQ1767" i="1" s="1"/>
  <c r="AE2495" i="1"/>
  <c r="AE2497" i="1" s="1"/>
  <c r="AA1872" i="1" l="1"/>
  <c r="W1872" i="1"/>
  <c r="AA2472" i="1"/>
  <c r="W2472" i="1"/>
  <c r="AA2396" i="1"/>
  <c r="W2396" i="1"/>
  <c r="G36" i="15"/>
  <c r="AR81" i="1" l="1"/>
  <c r="N81" i="1"/>
  <c r="M81" i="1"/>
  <c r="AP81" i="1" s="1"/>
  <c r="AQ81" i="1" s="1"/>
  <c r="O81" i="1"/>
  <c r="T81" i="1"/>
  <c r="Q81" i="1"/>
  <c r="K10" i="11"/>
  <c r="K18" i="11" s="1"/>
  <c r="K20" i="11" s="1"/>
  <c r="D48" i="14"/>
  <c r="E48" i="14"/>
  <c r="D63" i="13"/>
  <c r="D65" i="13" s="1"/>
  <c r="D47" i="13"/>
  <c r="AA81" i="1" l="1"/>
  <c r="W81" i="1"/>
  <c r="B81" i="1" l="1"/>
  <c r="G26" i="5"/>
  <c r="G27" i="5"/>
  <c r="G29" i="5" l="1"/>
  <c r="C47" i="13" l="1"/>
  <c r="C63" i="13"/>
  <c r="C65" i="13" s="1"/>
  <c r="CI2927" i="1" l="1"/>
  <c r="R1163" i="1"/>
  <c r="U1163" i="1" l="1"/>
  <c r="Y1163" i="1"/>
  <c r="N1163" i="1"/>
  <c r="Q1163" i="1"/>
  <c r="M1163" i="1"/>
  <c r="AP1163" i="1" s="1"/>
  <c r="AQ1163" i="1" s="1"/>
  <c r="T1163" i="1"/>
  <c r="S1163" i="1"/>
  <c r="K1163" i="1"/>
  <c r="O1163" i="1"/>
  <c r="J1163" i="1"/>
  <c r="AR1163" i="1" s="1"/>
  <c r="W1163" i="1" l="1"/>
  <c r="AA1163" i="1"/>
  <c r="Z1163" i="1"/>
  <c r="V1163" i="1"/>
  <c r="R979" i="1" l="1"/>
  <c r="T978" i="1"/>
  <c r="S977" i="1"/>
  <c r="AA978" i="1" l="1"/>
  <c r="W978" i="1"/>
  <c r="Y979" i="1"/>
  <c r="U979" i="1"/>
  <c r="V977" i="1"/>
  <c r="Z977" i="1"/>
  <c r="M979" i="1"/>
  <c r="AP979" i="1" s="1"/>
  <c r="O977" i="1"/>
  <c r="M977" i="1"/>
  <c r="AP977" i="1" s="1"/>
  <c r="S978" i="1"/>
  <c r="Q978" i="1"/>
  <c r="T979" i="1"/>
  <c r="O978" i="1"/>
  <c r="R977" i="1"/>
  <c r="Q979" i="1"/>
  <c r="R978" i="1"/>
  <c r="S979" i="1"/>
  <c r="T977" i="1"/>
  <c r="M978" i="1"/>
  <c r="AP978" i="1" s="1"/>
  <c r="O979" i="1"/>
  <c r="Q977" i="1"/>
  <c r="AA977" i="1" l="1"/>
  <c r="W977" i="1"/>
  <c r="AA979" i="1"/>
  <c r="W979" i="1"/>
  <c r="U978" i="1"/>
  <c r="Y978" i="1"/>
  <c r="V979" i="1"/>
  <c r="Z979" i="1"/>
  <c r="Y977" i="1"/>
  <c r="U977" i="1"/>
  <c r="V978" i="1"/>
  <c r="Z978" i="1"/>
  <c r="AR979" i="1"/>
  <c r="AR978" i="1"/>
  <c r="AR977" i="1"/>
  <c r="Q1062" i="1"/>
  <c r="AR1062" i="1"/>
  <c r="T862" i="1"/>
  <c r="AR862" i="1"/>
  <c r="AQ978" i="1" l="1"/>
  <c r="AQ979" i="1"/>
  <c r="AQ977" i="1"/>
  <c r="AA862" i="1"/>
  <c r="W862" i="1"/>
  <c r="M862" i="1"/>
  <c r="AP862" i="1" s="1"/>
  <c r="AQ862" i="1" s="1"/>
  <c r="S862" i="1"/>
  <c r="M1062" i="1"/>
  <c r="AP1062" i="1" s="1"/>
  <c r="AQ1062" i="1" s="1"/>
  <c r="Q862" i="1"/>
  <c r="O862" i="1"/>
  <c r="N862" i="1"/>
  <c r="R862" i="1"/>
  <c r="T1062" i="1"/>
  <c r="O1062" i="1"/>
  <c r="S1062" i="1"/>
  <c r="N1062" i="1"/>
  <c r="R1062" i="1"/>
  <c r="S1015" i="1"/>
  <c r="AR1015" i="1"/>
  <c r="AA1062" i="1" l="1"/>
  <c r="W1062" i="1"/>
  <c r="Z1062" i="1"/>
  <c r="V1062" i="1"/>
  <c r="V862" i="1"/>
  <c r="Z862" i="1"/>
  <c r="Y1062" i="1"/>
  <c r="U1062" i="1"/>
  <c r="Z1015" i="1"/>
  <c r="V1015" i="1"/>
  <c r="U862" i="1"/>
  <c r="Y862" i="1"/>
  <c r="O1015" i="1"/>
  <c r="R1015" i="1"/>
  <c r="Q1015" i="1"/>
  <c r="M1015" i="1"/>
  <c r="AP1015" i="1" s="1"/>
  <c r="AQ1015" i="1" s="1"/>
  <c r="N1015" i="1"/>
  <c r="T1015" i="1"/>
  <c r="AA1015" i="1" l="1"/>
  <c r="W1015" i="1"/>
  <c r="Y1015" i="1"/>
  <c r="U1015" i="1"/>
  <c r="AD2495" i="1"/>
  <c r="AD2497" i="1" s="1"/>
  <c r="J10" i="11" l="1"/>
  <c r="J18" i="11" s="1"/>
  <c r="J20" i="11" s="1"/>
  <c r="F27" i="5"/>
  <c r="F26" i="5"/>
  <c r="F1163" i="1"/>
  <c r="B1163" i="1"/>
  <c r="F29" i="5" l="1"/>
  <c r="F1062" i="1"/>
  <c r="B1062" i="1"/>
  <c r="F1015" i="1"/>
  <c r="B1015" i="1"/>
  <c r="F978" i="1" l="1"/>
  <c r="F977" i="1"/>
  <c r="B978" i="1"/>
  <c r="B977" i="1"/>
  <c r="F979" i="1"/>
  <c r="B979" i="1"/>
  <c r="B862" i="1"/>
  <c r="CI3042" i="1" l="1"/>
  <c r="E24" i="15" l="1"/>
  <c r="F24" i="15"/>
  <c r="H24" i="15"/>
  <c r="I24" i="15"/>
  <c r="J24" i="15"/>
  <c r="K24" i="15"/>
  <c r="N24" i="15"/>
  <c r="O24" i="15"/>
  <c r="E18" i="15"/>
  <c r="F18" i="15"/>
  <c r="H18" i="15"/>
  <c r="I18" i="15"/>
  <c r="J18" i="15"/>
  <c r="N18" i="15"/>
  <c r="O18" i="15"/>
  <c r="E27" i="15"/>
  <c r="F27" i="15"/>
  <c r="H27" i="15"/>
  <c r="I27" i="15"/>
  <c r="J27" i="15"/>
  <c r="K27" i="15"/>
  <c r="L27" i="15"/>
  <c r="M27" i="15"/>
  <c r="N27" i="15"/>
  <c r="O27" i="15"/>
  <c r="P27" i="15"/>
  <c r="E28" i="15"/>
  <c r="F28" i="15"/>
  <c r="H28" i="15"/>
  <c r="I28" i="15"/>
  <c r="J28" i="15"/>
  <c r="K28" i="15"/>
  <c r="L28" i="15"/>
  <c r="M28" i="15"/>
  <c r="N28" i="15"/>
  <c r="O28" i="15"/>
  <c r="P28" i="15"/>
  <c r="E29" i="15"/>
  <c r="F29" i="15"/>
  <c r="H29" i="15"/>
  <c r="I29" i="15"/>
  <c r="J29" i="15"/>
  <c r="K29" i="15"/>
  <c r="L29" i="15"/>
  <c r="M29" i="15"/>
  <c r="N29" i="15"/>
  <c r="O29" i="15"/>
  <c r="P29" i="15"/>
  <c r="CI3016" i="1" l="1"/>
  <c r="H60" i="19"/>
  <c r="I38" i="19" l="1"/>
  <c r="D80" i="2" l="1"/>
  <c r="E67" i="2"/>
  <c r="D65" i="2"/>
  <c r="C80" i="2"/>
  <c r="C65" i="2"/>
  <c r="C81" i="2" l="1"/>
  <c r="D81" i="2"/>
  <c r="C48" i="14" l="1"/>
  <c r="B63" i="13"/>
  <c r="B65" i="13" s="1"/>
  <c r="B47" i="13"/>
  <c r="D29" i="15" l="1"/>
  <c r="D28" i="15"/>
  <c r="P11" i="15"/>
  <c r="P10" i="15"/>
  <c r="P9" i="15"/>
  <c r="I253" i="18" l="1"/>
  <c r="D24" i="15"/>
  <c r="P35" i="15"/>
  <c r="P34" i="15"/>
  <c r="P33" i="15"/>
  <c r="P12" i="15"/>
  <c r="D27" i="15" l="1"/>
  <c r="D18" i="15"/>
  <c r="P30" i="15"/>
  <c r="P36" i="15"/>
  <c r="Q1281" i="1" l="1"/>
  <c r="AR1281" i="1" l="1"/>
  <c r="M1281" i="1"/>
  <c r="AP1281" i="1" s="1"/>
  <c r="AQ1281" i="1" s="1"/>
  <c r="K1281" i="1"/>
  <c r="O1281" i="1"/>
  <c r="S1281" i="1"/>
  <c r="T1281" i="1"/>
  <c r="W1281" i="1" s="1"/>
  <c r="N1281" i="1"/>
  <c r="R1281" i="1"/>
  <c r="V1281" i="1" l="1"/>
  <c r="Z1281" i="1"/>
  <c r="Y1281" i="1"/>
  <c r="U1281" i="1"/>
  <c r="Q1060" i="1"/>
  <c r="M1060" i="1" l="1"/>
  <c r="AP1060" i="1" s="1"/>
  <c r="AQ1060" i="1" s="1"/>
  <c r="T1060" i="1"/>
  <c r="W1060" i="1" s="1"/>
  <c r="K1060" i="1"/>
  <c r="O1060" i="1"/>
  <c r="S1060" i="1"/>
  <c r="V1060" i="1" s="1"/>
  <c r="J1060" i="1"/>
  <c r="AR1060" i="1" s="1"/>
  <c r="N1060" i="1"/>
  <c r="R1060" i="1"/>
  <c r="U1060" i="1" s="1"/>
  <c r="S2044" i="1" l="1"/>
  <c r="AR2044" i="1" l="1"/>
  <c r="V2044" i="1"/>
  <c r="Z2044" i="1"/>
  <c r="O2044" i="1"/>
  <c r="M2044" i="1"/>
  <c r="AP2044" i="1" s="1"/>
  <c r="AQ2044" i="1" s="1"/>
  <c r="R2044" i="1"/>
  <c r="N2044" i="1"/>
  <c r="Q2044" i="1"/>
  <c r="T2044" i="1"/>
  <c r="AA2044" i="1" l="1"/>
  <c r="W2044" i="1"/>
  <c r="U2044" i="1"/>
  <c r="Y2044" i="1"/>
  <c r="S826" i="1"/>
  <c r="AR826" i="1" l="1"/>
  <c r="Z826" i="1"/>
  <c r="V826" i="1"/>
  <c r="K826" i="1"/>
  <c r="Q826" i="1"/>
  <c r="M826" i="1"/>
  <c r="AP826" i="1" s="1"/>
  <c r="AQ826" i="1" s="1"/>
  <c r="T826" i="1"/>
  <c r="N826" i="1"/>
  <c r="R826" i="1"/>
  <c r="O826" i="1"/>
  <c r="AO3088" i="1"/>
  <c r="AO2992" i="1"/>
  <c r="F2044" i="1"/>
  <c r="B2044" i="1"/>
  <c r="W826" i="1" l="1"/>
  <c r="AA826" i="1"/>
  <c r="Y826" i="1"/>
  <c r="U826" i="1"/>
  <c r="B1281" i="1"/>
  <c r="F1281" i="1"/>
  <c r="F1060" i="1" l="1"/>
  <c r="B1060" i="1"/>
  <c r="F826" i="1" l="1"/>
  <c r="B826" i="1"/>
  <c r="E27" i="5" l="1"/>
  <c r="E26" i="5"/>
  <c r="I253" i="10"/>
  <c r="H253" i="10"/>
  <c r="F363" i="10"/>
  <c r="F362" i="10"/>
  <c r="E29" i="5" l="1"/>
  <c r="R1989" i="1"/>
  <c r="T1871" i="1"/>
  <c r="T1766" i="1"/>
  <c r="R1280" i="1"/>
  <c r="Q827" i="1"/>
  <c r="AR1989" i="1" l="1"/>
  <c r="AR1280" i="1"/>
  <c r="AR1766" i="1"/>
  <c r="AR1871" i="1"/>
  <c r="AA1766" i="1"/>
  <c r="W1766" i="1"/>
  <c r="W1871" i="1"/>
  <c r="AA1871" i="1"/>
  <c r="U1280" i="1"/>
  <c r="Y1280" i="1"/>
  <c r="Y1989" i="1"/>
  <c r="U1989" i="1"/>
  <c r="K827" i="1"/>
  <c r="M1989" i="1"/>
  <c r="AP1989" i="1" s="1"/>
  <c r="AQ1989" i="1" s="1"/>
  <c r="N1280" i="1"/>
  <c r="N1766" i="1"/>
  <c r="M1871" i="1"/>
  <c r="AP1871" i="1" s="1"/>
  <c r="AQ1871" i="1" s="1"/>
  <c r="O1766" i="1"/>
  <c r="S1766" i="1"/>
  <c r="R1766" i="1"/>
  <c r="O1871" i="1"/>
  <c r="S1871" i="1"/>
  <c r="M1766" i="1"/>
  <c r="AP1766" i="1" s="1"/>
  <c r="AQ1766" i="1" s="1"/>
  <c r="Q1766" i="1"/>
  <c r="N1871" i="1"/>
  <c r="R1871" i="1"/>
  <c r="Q1871" i="1"/>
  <c r="Q1989" i="1"/>
  <c r="T1989" i="1"/>
  <c r="S1989" i="1"/>
  <c r="O1989" i="1"/>
  <c r="N1989" i="1"/>
  <c r="O1280" i="1"/>
  <c r="Q1280" i="1"/>
  <c r="O827" i="1"/>
  <c r="S1280" i="1"/>
  <c r="M827" i="1"/>
  <c r="AP827" i="1" s="1"/>
  <c r="K1280" i="1"/>
  <c r="N827" i="1"/>
  <c r="T1280" i="1"/>
  <c r="M1280" i="1"/>
  <c r="AP1280" i="1" s="1"/>
  <c r="AQ1280" i="1" s="1"/>
  <c r="T827" i="1"/>
  <c r="S827" i="1"/>
  <c r="R827" i="1"/>
  <c r="AA1989" i="1" l="1"/>
  <c r="W1989" i="1"/>
  <c r="W827" i="1"/>
  <c r="AA827" i="1"/>
  <c r="W1280" i="1"/>
  <c r="AA1280" i="1"/>
  <c r="U827" i="1"/>
  <c r="Y827" i="1"/>
  <c r="V1871" i="1"/>
  <c r="Z1871" i="1"/>
  <c r="Y1871" i="1"/>
  <c r="U1871" i="1"/>
  <c r="Z1989" i="1"/>
  <c r="V1989" i="1"/>
  <c r="V827" i="1"/>
  <c r="Z827" i="1"/>
  <c r="Z1766" i="1"/>
  <c r="V1766" i="1"/>
  <c r="Z1280" i="1"/>
  <c r="V1280" i="1"/>
  <c r="Y1766" i="1"/>
  <c r="U1766" i="1"/>
  <c r="AR827" i="1"/>
  <c r="AQ827" i="1" l="1"/>
  <c r="T867" i="1"/>
  <c r="T866" i="1"/>
  <c r="AR867" i="1" l="1"/>
  <c r="AR866" i="1"/>
  <c r="W867" i="1"/>
  <c r="AA867" i="1"/>
  <c r="W866" i="1"/>
  <c r="AA866" i="1"/>
  <c r="K866" i="1"/>
  <c r="O867" i="1"/>
  <c r="K867" i="1"/>
  <c r="S866" i="1"/>
  <c r="N866" i="1"/>
  <c r="R866" i="1"/>
  <c r="R867" i="1"/>
  <c r="N867" i="1"/>
  <c r="M867" i="1"/>
  <c r="AP867" i="1" s="1"/>
  <c r="AQ867" i="1" s="1"/>
  <c r="Q867" i="1"/>
  <c r="S867" i="1"/>
  <c r="M866" i="1"/>
  <c r="AP866" i="1" s="1"/>
  <c r="AQ866" i="1" s="1"/>
  <c r="O866" i="1"/>
  <c r="Q866" i="1"/>
  <c r="U867" i="1" l="1"/>
  <c r="Y867" i="1"/>
  <c r="V866" i="1"/>
  <c r="Z866" i="1"/>
  <c r="V867" i="1"/>
  <c r="Z867" i="1"/>
  <c r="U866" i="1"/>
  <c r="Y866" i="1"/>
  <c r="T246" i="1"/>
  <c r="O11" i="15"/>
  <c r="O10" i="15"/>
  <c r="O9" i="15"/>
  <c r="AR246" i="1" l="1"/>
  <c r="AA246" i="1"/>
  <c r="W246" i="1"/>
  <c r="K246" i="1"/>
  <c r="O246" i="1"/>
  <c r="N246" i="1"/>
  <c r="S246" i="1"/>
  <c r="R246" i="1"/>
  <c r="M246" i="1"/>
  <c r="AP246" i="1" s="1"/>
  <c r="AQ246" i="1" s="1"/>
  <c r="Q246" i="1"/>
  <c r="O12" i="15"/>
  <c r="O35" i="15"/>
  <c r="O34" i="15"/>
  <c r="O30" i="15"/>
  <c r="Z246" i="1" l="1"/>
  <c r="V246" i="1"/>
  <c r="U246" i="1"/>
  <c r="Y246" i="1"/>
  <c r="O33" i="15"/>
  <c r="O36" i="15" l="1"/>
  <c r="AN3088" i="1" l="1"/>
  <c r="AN2992" i="1"/>
  <c r="F1280" i="1" l="1"/>
  <c r="B1280" i="1"/>
  <c r="B867" i="1" l="1"/>
  <c r="B866" i="1"/>
  <c r="F827" i="1"/>
  <c r="B827" i="1"/>
  <c r="F1989" i="1" l="1"/>
  <c r="B1989" i="1"/>
  <c r="F1871" i="1"/>
  <c r="B1871" i="1"/>
  <c r="F1766" i="1"/>
  <c r="B1766" i="1"/>
  <c r="B246" i="1" l="1"/>
  <c r="N11" i="15" l="1"/>
  <c r="N10" i="15"/>
  <c r="N9" i="15"/>
  <c r="N12" i="15" l="1"/>
  <c r="N35" i="15"/>
  <c r="N34" i="15"/>
  <c r="N30" i="15"/>
  <c r="N33" i="15"/>
  <c r="N36" i="15" l="1"/>
  <c r="Q858" i="1"/>
  <c r="Q1162" i="1"/>
  <c r="AR1162" i="1" l="1"/>
  <c r="AR858" i="1"/>
  <c r="M1162" i="1"/>
  <c r="AP1162" i="1" s="1"/>
  <c r="AQ1162" i="1" s="1"/>
  <c r="K858" i="1"/>
  <c r="T1162" i="1"/>
  <c r="T858" i="1"/>
  <c r="O1162" i="1"/>
  <c r="O858" i="1"/>
  <c r="N1162" i="1"/>
  <c r="R1162" i="1"/>
  <c r="N858" i="1"/>
  <c r="R858" i="1"/>
  <c r="S1162" i="1"/>
  <c r="S858" i="1"/>
  <c r="M858" i="1"/>
  <c r="AP858" i="1" s="1"/>
  <c r="AQ858" i="1" s="1"/>
  <c r="W1162" i="1" l="1"/>
  <c r="AA1162" i="1"/>
  <c r="AA858" i="1"/>
  <c r="W858" i="1"/>
  <c r="Z1162" i="1"/>
  <c r="V1162" i="1"/>
  <c r="Y1162" i="1"/>
  <c r="U1162" i="1"/>
  <c r="V858" i="1"/>
  <c r="Z858" i="1"/>
  <c r="U858" i="1"/>
  <c r="Y858" i="1"/>
  <c r="F1162" i="1"/>
  <c r="B1162" i="1"/>
  <c r="B858" i="1" l="1"/>
  <c r="AM3088" i="1" l="1"/>
  <c r="AM2992" i="1"/>
  <c r="S1905" i="1" l="1"/>
  <c r="Z1905" i="1" l="1"/>
  <c r="V1905" i="1"/>
  <c r="E32" i="2"/>
  <c r="J42" i="11" l="1"/>
  <c r="K42" i="11" s="1"/>
  <c r="L42" i="11" s="1"/>
  <c r="M42" i="11" s="1"/>
  <c r="N42" i="11" s="1"/>
  <c r="O42" i="11" s="1"/>
  <c r="P42" i="11" s="1"/>
  <c r="Q42" i="11" s="1"/>
  <c r="R42" i="11" s="1"/>
  <c r="S42" i="11" s="1"/>
  <c r="T42" i="11" s="1"/>
  <c r="U42" i="11" s="1"/>
  <c r="J36" i="11"/>
  <c r="K36" i="11" s="1"/>
  <c r="L36" i="11" s="1"/>
  <c r="M36" i="11" s="1"/>
  <c r="N36" i="11" s="1"/>
  <c r="O36" i="11" s="1"/>
  <c r="P36" i="11" s="1"/>
  <c r="Q36" i="11" s="1"/>
  <c r="R36" i="11" s="1"/>
  <c r="S36" i="11" s="1"/>
  <c r="T36" i="11" s="1"/>
  <c r="U36" i="11" s="1"/>
  <c r="M11" i="15" l="1"/>
  <c r="M10" i="15"/>
  <c r="M9" i="15"/>
  <c r="Q1120" i="1"/>
  <c r="Q1059" i="1"/>
  <c r="S1001" i="1"/>
  <c r="S854" i="1"/>
  <c r="AR854" i="1"/>
  <c r="Q820" i="1"/>
  <c r="AR820" i="1"/>
  <c r="AR1001" i="1" l="1"/>
  <c r="V1001" i="1"/>
  <c r="Z1001" i="1"/>
  <c r="Z854" i="1"/>
  <c r="V854" i="1"/>
  <c r="M1059" i="1"/>
  <c r="AP1059" i="1" s="1"/>
  <c r="AQ1059" i="1" s="1"/>
  <c r="M820" i="1"/>
  <c r="AP820" i="1" s="1"/>
  <c r="AQ820" i="1" s="1"/>
  <c r="M1120" i="1"/>
  <c r="AP1120" i="1" s="1"/>
  <c r="AQ1120" i="1" s="1"/>
  <c r="O854" i="1"/>
  <c r="O1001" i="1"/>
  <c r="J35" i="11"/>
  <c r="J41" i="11"/>
  <c r="R1059" i="1"/>
  <c r="R1120" i="1"/>
  <c r="R854" i="1"/>
  <c r="S1120" i="1"/>
  <c r="R1001" i="1"/>
  <c r="Q1001" i="1"/>
  <c r="S1059" i="1"/>
  <c r="M12" i="15"/>
  <c r="M34" i="15"/>
  <c r="M33" i="15"/>
  <c r="M35" i="15"/>
  <c r="M30" i="15"/>
  <c r="J1120" i="1"/>
  <c r="AR1120" i="1" s="1"/>
  <c r="O1120" i="1"/>
  <c r="N1120" i="1"/>
  <c r="K1120" i="1"/>
  <c r="T1120" i="1"/>
  <c r="K1059" i="1"/>
  <c r="J1059" i="1"/>
  <c r="AR1059" i="1" s="1"/>
  <c r="O1059" i="1"/>
  <c r="N1059" i="1"/>
  <c r="T1059" i="1"/>
  <c r="M1001" i="1"/>
  <c r="AP1001" i="1" s="1"/>
  <c r="AQ1001" i="1" s="1"/>
  <c r="N1001" i="1"/>
  <c r="T1001" i="1"/>
  <c r="K1001" i="1"/>
  <c r="Q854" i="1"/>
  <c r="M854" i="1"/>
  <c r="AP854" i="1" s="1"/>
  <c r="AQ854" i="1" s="1"/>
  <c r="N854" i="1"/>
  <c r="T854" i="1"/>
  <c r="K854" i="1"/>
  <c r="T820" i="1"/>
  <c r="N820" i="1"/>
  <c r="R820" i="1"/>
  <c r="K820" i="1"/>
  <c r="O820" i="1"/>
  <c r="S820" i="1"/>
  <c r="AL3088" i="1"/>
  <c r="AL2992" i="1"/>
  <c r="AA1001" i="1" l="1"/>
  <c r="W1001" i="1"/>
  <c r="AA1120" i="1"/>
  <c r="W1120" i="1"/>
  <c r="AA854" i="1"/>
  <c r="W854" i="1"/>
  <c r="AA1059" i="1"/>
  <c r="W1059" i="1"/>
  <c r="AA820" i="1"/>
  <c r="W820" i="1"/>
  <c r="Z820" i="1"/>
  <c r="V820" i="1"/>
  <c r="U1001" i="1"/>
  <c r="Y1001" i="1"/>
  <c r="Y1059" i="1"/>
  <c r="U1059" i="1"/>
  <c r="Z1059" i="1"/>
  <c r="V1059" i="1"/>
  <c r="Y1120" i="1"/>
  <c r="U1120" i="1"/>
  <c r="Y820" i="1"/>
  <c r="U820" i="1"/>
  <c r="Z1120" i="1"/>
  <c r="V1120" i="1"/>
  <c r="Y854" i="1"/>
  <c r="U854" i="1"/>
  <c r="K41" i="11"/>
  <c r="J37" i="11"/>
  <c r="J38" i="11" s="1"/>
  <c r="K35" i="11"/>
  <c r="J43" i="11"/>
  <c r="M36" i="15"/>
  <c r="K43" i="11" l="1"/>
  <c r="J45" i="11"/>
  <c r="L35" i="11"/>
  <c r="L41" i="11"/>
  <c r="J44" i="11"/>
  <c r="J39" i="11"/>
  <c r="K37" i="11"/>
  <c r="F1120" i="1"/>
  <c r="B1120" i="1"/>
  <c r="B1059" i="1"/>
  <c r="F1059" i="1"/>
  <c r="M35" i="11" l="1"/>
  <c r="L37" i="11"/>
  <c r="L38" i="11" s="1"/>
  <c r="K39" i="11"/>
  <c r="M41" i="11"/>
  <c r="K45" i="11"/>
  <c r="L43" i="11"/>
  <c r="K44" i="11"/>
  <c r="J47" i="11"/>
  <c r="J48" i="11" s="1"/>
  <c r="K38" i="11"/>
  <c r="B1001" i="1"/>
  <c r="F1001" i="1"/>
  <c r="B854" i="1"/>
  <c r="N41" i="11" l="1"/>
  <c r="N35" i="11"/>
  <c r="O35" i="11" s="1"/>
  <c r="L45" i="11"/>
  <c r="M43" i="11"/>
  <c r="K47" i="11"/>
  <c r="K48" i="11" s="1"/>
  <c r="L44" i="11"/>
  <c r="L39" i="11"/>
  <c r="M37" i="11"/>
  <c r="F820" i="1"/>
  <c r="B820" i="1"/>
  <c r="L47" i="11" l="1"/>
  <c r="L48" i="11" s="1"/>
  <c r="P35" i="11"/>
  <c r="Q35" i="11" s="1"/>
  <c r="O41" i="11"/>
  <c r="M39" i="11"/>
  <c r="N37" i="11"/>
  <c r="M45" i="11"/>
  <c r="N43" i="11"/>
  <c r="N44" i="11" s="1"/>
  <c r="M44" i="11"/>
  <c r="M38" i="11"/>
  <c r="Q476" i="1"/>
  <c r="B476" i="1"/>
  <c r="AR476" i="1" l="1"/>
  <c r="R35" i="11"/>
  <c r="S35" i="11" s="1"/>
  <c r="M47" i="11"/>
  <c r="M48" i="11" s="1"/>
  <c r="N38" i="11"/>
  <c r="O37" i="11"/>
  <c r="N39" i="11"/>
  <c r="O43" i="11"/>
  <c r="O44" i="11" s="1"/>
  <c r="N45" i="11"/>
  <c r="P41" i="11"/>
  <c r="Q41" i="11" s="1"/>
  <c r="N476" i="1"/>
  <c r="M476" i="1"/>
  <c r="AP476" i="1" s="1"/>
  <c r="AQ476" i="1" s="1"/>
  <c r="O476" i="1"/>
  <c r="T476" i="1"/>
  <c r="W476" i="1" s="1"/>
  <c r="T35" i="11" l="1"/>
  <c r="R41" i="11"/>
  <c r="S41" i="11" s="1"/>
  <c r="N47" i="11"/>
  <c r="N48" i="11" s="1"/>
  <c r="P43" i="11"/>
  <c r="O45" i="11"/>
  <c r="O39" i="11"/>
  <c r="P37" i="11"/>
  <c r="Q37" i="11" s="1"/>
  <c r="O38" i="11"/>
  <c r="T41" i="11" l="1"/>
  <c r="U35" i="11"/>
  <c r="P45" i="11"/>
  <c r="Q43" i="11"/>
  <c r="Q39" i="11"/>
  <c r="R37" i="11"/>
  <c r="S37" i="11" s="1"/>
  <c r="Q38" i="11"/>
  <c r="P44" i="11"/>
  <c r="P39" i="11"/>
  <c r="P38" i="11"/>
  <c r="O47" i="11"/>
  <c r="O48" i="11" s="1"/>
  <c r="U41" i="11" l="1"/>
  <c r="S39" i="11"/>
  <c r="T37" i="11"/>
  <c r="S38" i="11"/>
  <c r="R39" i="11"/>
  <c r="R38" i="11"/>
  <c r="R43" i="11"/>
  <c r="S43" i="11" s="1"/>
  <c r="Q45" i="11"/>
  <c r="Q44" i="11"/>
  <c r="P47" i="11"/>
  <c r="P48" i="11" s="1"/>
  <c r="L11" i="15"/>
  <c r="L10" i="15"/>
  <c r="L9" i="15"/>
  <c r="S45" i="11" l="1"/>
  <c r="T43" i="11"/>
  <c r="S44" i="11"/>
  <c r="S47" i="11"/>
  <c r="S48" i="11" s="1"/>
  <c r="T39" i="11"/>
  <c r="U37" i="11"/>
  <c r="T38" i="11"/>
  <c r="Q47" i="11"/>
  <c r="Q48" i="11" s="1"/>
  <c r="R45" i="11"/>
  <c r="R44" i="11"/>
  <c r="T45" i="11" l="1"/>
  <c r="U43" i="11"/>
  <c r="T44" i="11"/>
  <c r="U39" i="11"/>
  <c r="H362" i="10" s="1"/>
  <c r="J362" i="10" s="1"/>
  <c r="U38" i="11"/>
  <c r="T47" i="11"/>
  <c r="T48" i="11" s="1"/>
  <c r="R47" i="11"/>
  <c r="R48" i="11" s="1"/>
  <c r="R207" i="1"/>
  <c r="U207" i="1" s="1"/>
  <c r="S206" i="1"/>
  <c r="V206" i="1" s="1"/>
  <c r="U45" i="11" l="1"/>
  <c r="U47" i="11" s="1"/>
  <c r="U48" i="11" s="1"/>
  <c r="U44" i="11"/>
  <c r="V39" i="11"/>
  <c r="P1015" i="17"/>
  <c r="I244" i="18" s="1"/>
  <c r="AR207" i="1"/>
  <c r="AR206" i="1"/>
  <c r="M207" i="1"/>
  <c r="AP207" i="1" s="1"/>
  <c r="AQ207" i="1" s="1"/>
  <c r="N206" i="1"/>
  <c r="K207" i="1"/>
  <c r="O207" i="1"/>
  <c r="N207" i="1"/>
  <c r="Q207" i="1"/>
  <c r="R206" i="1"/>
  <c r="U206" i="1" s="1"/>
  <c r="Q206" i="1"/>
  <c r="T207" i="1"/>
  <c r="W207" i="1" s="1"/>
  <c r="S207" i="1"/>
  <c r="V207" i="1" s="1"/>
  <c r="T206" i="1"/>
  <c r="W206" i="1" s="1"/>
  <c r="K206" i="1"/>
  <c r="M206" i="1"/>
  <c r="AP206" i="1" s="1"/>
  <c r="AQ206" i="1" s="1"/>
  <c r="O206" i="1"/>
  <c r="V45" i="11" l="1"/>
  <c r="V47" i="11" s="1"/>
  <c r="I363" i="10"/>
  <c r="J363" i="10" s="1"/>
  <c r="A148" i="12"/>
  <c r="AK3088" i="1" l="1"/>
  <c r="AK2992" i="1"/>
  <c r="R1277" i="1"/>
  <c r="AR1277" i="1"/>
  <c r="F1277" i="1"/>
  <c r="B1277" i="1"/>
  <c r="Y1277" i="1" l="1"/>
  <c r="U1277" i="1"/>
  <c r="N1277" i="1"/>
  <c r="M1277" i="1"/>
  <c r="AP1277" i="1" s="1"/>
  <c r="AQ1277" i="1" s="1"/>
  <c r="Q1277" i="1"/>
  <c r="T1277" i="1"/>
  <c r="O1277" i="1"/>
  <c r="S1277" i="1"/>
  <c r="AA1277" i="1" l="1"/>
  <c r="W1277" i="1"/>
  <c r="V1277" i="1"/>
  <c r="Z1277" i="1"/>
  <c r="B207" i="1"/>
  <c r="B206" i="1"/>
  <c r="T861" i="1" l="1"/>
  <c r="T860" i="1"/>
  <c r="T825" i="1"/>
  <c r="T824" i="1"/>
  <c r="AR824" i="1" l="1"/>
  <c r="AR861" i="1"/>
  <c r="AR825" i="1"/>
  <c r="AR860" i="1"/>
  <c r="W861" i="1"/>
  <c r="AA861" i="1"/>
  <c r="AA860" i="1"/>
  <c r="W860" i="1"/>
  <c r="AA825" i="1"/>
  <c r="W825" i="1"/>
  <c r="W824" i="1"/>
  <c r="AA824" i="1"/>
  <c r="O861" i="1"/>
  <c r="O860" i="1"/>
  <c r="K825" i="1"/>
  <c r="K824" i="1"/>
  <c r="O824" i="1"/>
  <c r="N825" i="1"/>
  <c r="Q825" i="1"/>
  <c r="R825" i="1"/>
  <c r="S825" i="1"/>
  <c r="Q824" i="1"/>
  <c r="R824" i="1"/>
  <c r="S824" i="1"/>
  <c r="Q861" i="1"/>
  <c r="R861" i="1"/>
  <c r="S861" i="1"/>
  <c r="Q860" i="1"/>
  <c r="R860" i="1"/>
  <c r="S860" i="1"/>
  <c r="M824" i="1"/>
  <c r="AP824" i="1" s="1"/>
  <c r="AQ824" i="1" s="1"/>
  <c r="N824" i="1"/>
  <c r="M825" i="1"/>
  <c r="AP825" i="1" s="1"/>
  <c r="AQ825" i="1" s="1"/>
  <c r="O825" i="1"/>
  <c r="N860" i="1"/>
  <c r="M860" i="1"/>
  <c r="AP860" i="1" s="1"/>
  <c r="AQ860" i="1" s="1"/>
  <c r="M861" i="1"/>
  <c r="AP861" i="1" s="1"/>
  <c r="AQ861" i="1" s="1"/>
  <c r="N861" i="1"/>
  <c r="U860" i="1" l="1"/>
  <c r="Y860" i="1"/>
  <c r="V825" i="1"/>
  <c r="Z825" i="1"/>
  <c r="Z860" i="1"/>
  <c r="V860" i="1"/>
  <c r="U861" i="1"/>
  <c r="Y861" i="1"/>
  <c r="Z861" i="1"/>
  <c r="V861" i="1"/>
  <c r="Y824" i="1"/>
  <c r="U824" i="1"/>
  <c r="Z824" i="1"/>
  <c r="V824" i="1"/>
  <c r="U825" i="1"/>
  <c r="Y825" i="1"/>
  <c r="L30" i="15" l="1"/>
  <c r="K11" i="15" l="1"/>
  <c r="K10" i="15"/>
  <c r="K9" i="15"/>
  <c r="K35" i="15" l="1"/>
  <c r="K34" i="15"/>
  <c r="K33" i="15"/>
  <c r="K12" i="15"/>
  <c r="K30" i="15"/>
  <c r="K36" i="15" l="1"/>
  <c r="AJ3088" i="1" l="1"/>
  <c r="AJ2992" i="1"/>
  <c r="B861" i="1" l="1"/>
  <c r="B860" i="1"/>
  <c r="F825" i="1"/>
  <c r="F824" i="1"/>
  <c r="B825" i="1"/>
  <c r="B824" i="1"/>
  <c r="J11" i="15" l="1"/>
  <c r="J10" i="15"/>
  <c r="J9" i="15"/>
  <c r="J12" i="15" l="1"/>
  <c r="J34" i="15"/>
  <c r="J33" i="15"/>
  <c r="J35" i="15"/>
  <c r="J30" i="15"/>
  <c r="J36" i="15" l="1"/>
  <c r="S891" i="1" l="1"/>
  <c r="Q1542" i="1"/>
  <c r="Q1502" i="1"/>
  <c r="Q1406" i="1"/>
  <c r="Q1342" i="1"/>
  <c r="AR1502" i="1" l="1"/>
  <c r="AR1342" i="1"/>
  <c r="AR1406" i="1"/>
  <c r="AR1542" i="1"/>
  <c r="AR891" i="1"/>
  <c r="V891" i="1"/>
  <c r="Z891" i="1"/>
  <c r="N1502" i="1"/>
  <c r="O1542" i="1"/>
  <c r="O1342" i="1"/>
  <c r="K891" i="1"/>
  <c r="N1406" i="1"/>
  <c r="N891" i="1"/>
  <c r="M891" i="1"/>
  <c r="AP891" i="1" s="1"/>
  <c r="AQ891" i="1" s="1"/>
  <c r="R891" i="1"/>
  <c r="Q891" i="1"/>
  <c r="T891" i="1"/>
  <c r="O891" i="1"/>
  <c r="O1502" i="1"/>
  <c r="M1502" i="1"/>
  <c r="AP1502" i="1" s="1"/>
  <c r="AQ1502" i="1" s="1"/>
  <c r="M1406" i="1"/>
  <c r="AP1406" i="1" s="1"/>
  <c r="AQ1406" i="1" s="1"/>
  <c r="K1502" i="1"/>
  <c r="N1542" i="1"/>
  <c r="K1406" i="1"/>
  <c r="O1406" i="1"/>
  <c r="M1542" i="1"/>
  <c r="AP1542" i="1" s="1"/>
  <c r="AQ1542" i="1" s="1"/>
  <c r="T1542" i="1"/>
  <c r="K1542" i="1"/>
  <c r="T1502" i="1"/>
  <c r="T1406" i="1"/>
  <c r="N1342" i="1"/>
  <c r="M1342" i="1"/>
  <c r="AP1342" i="1" s="1"/>
  <c r="AQ1342" i="1" s="1"/>
  <c r="T1342" i="1"/>
  <c r="K1342" i="1"/>
  <c r="AA1342" i="1" l="1"/>
  <c r="W1342" i="1"/>
  <c r="AA1502" i="1"/>
  <c r="W1502" i="1"/>
  <c r="AA891" i="1"/>
  <c r="W891" i="1"/>
  <c r="AA1406" i="1"/>
  <c r="W1406" i="1"/>
  <c r="AA1542" i="1"/>
  <c r="W1542" i="1"/>
  <c r="Y891" i="1"/>
  <c r="U891" i="1"/>
  <c r="Q823" i="1"/>
  <c r="AI3088" i="1"/>
  <c r="AI2992" i="1"/>
  <c r="M823" i="1" l="1"/>
  <c r="AP823" i="1" s="1"/>
  <c r="AQ823" i="1" s="1"/>
  <c r="T823" i="1"/>
  <c r="K823" i="1"/>
  <c r="O823" i="1"/>
  <c r="S823" i="1"/>
  <c r="J823" i="1"/>
  <c r="AR823" i="1" s="1"/>
  <c r="N823" i="1"/>
  <c r="R823" i="1"/>
  <c r="F891" i="1"/>
  <c r="B891" i="1"/>
  <c r="V823" i="1" l="1"/>
  <c r="Z823" i="1"/>
  <c r="W823" i="1"/>
  <c r="AA823" i="1"/>
  <c r="U823" i="1"/>
  <c r="Y823" i="1"/>
  <c r="AH3088" i="1"/>
  <c r="AH2992" i="1"/>
  <c r="T1244" i="1" l="1"/>
  <c r="W1244" i="1" s="1"/>
  <c r="J1244" i="1" l="1"/>
  <c r="AR1244" i="1" s="1"/>
  <c r="K1244" i="1"/>
  <c r="O1244" i="1"/>
  <c r="S1244" i="1"/>
  <c r="V1244" i="1" s="1"/>
  <c r="N1244" i="1"/>
  <c r="R1244" i="1"/>
  <c r="U1244" i="1" s="1"/>
  <c r="M1244" i="1"/>
  <c r="AP1244" i="1" s="1"/>
  <c r="AQ1244" i="1" s="1"/>
  <c r="Q1244" i="1"/>
  <c r="I11" i="15" l="1"/>
  <c r="I10" i="15"/>
  <c r="I9" i="15"/>
  <c r="I12" i="15" l="1"/>
  <c r="I35" i="15"/>
  <c r="I34" i="15"/>
  <c r="I30" i="15"/>
  <c r="I33" i="15" l="1"/>
  <c r="I36" i="15" l="1"/>
  <c r="B1244" i="1" l="1"/>
  <c r="F823" i="1" l="1"/>
  <c r="B823" i="1"/>
  <c r="B1542" i="1" l="1"/>
  <c r="F1542" i="1"/>
  <c r="F1502" i="1"/>
  <c r="B1502" i="1"/>
  <c r="F1406" i="1"/>
  <c r="B1406" i="1"/>
  <c r="F1342" i="1"/>
  <c r="B1342" i="1"/>
  <c r="S711" i="1" l="1"/>
  <c r="V711" i="1" s="1"/>
  <c r="B711" i="1"/>
  <c r="AR711" i="1" l="1"/>
  <c r="K711" i="1"/>
  <c r="R711" i="1"/>
  <c r="U711" i="1" s="1"/>
  <c r="N711" i="1"/>
  <c r="Q711" i="1"/>
  <c r="T711" i="1"/>
  <c r="W711" i="1" s="1"/>
  <c r="O711" i="1"/>
  <c r="M711" i="1"/>
  <c r="AP711" i="1" s="1"/>
  <c r="AQ711" i="1" s="1"/>
  <c r="Q2446" i="1" l="1"/>
  <c r="M2446" i="1" l="1"/>
  <c r="AP2446" i="1" s="1"/>
  <c r="AQ2446" i="1" s="1"/>
  <c r="N2446" i="1"/>
  <c r="J2446" i="1"/>
  <c r="AR2446" i="1" s="1"/>
  <c r="R2446" i="1"/>
  <c r="T2446" i="1"/>
  <c r="K2446" i="1"/>
  <c r="O2446" i="1"/>
  <c r="S2446" i="1"/>
  <c r="T2193" i="1" l="1"/>
  <c r="S2193" i="1"/>
  <c r="R2193" i="1"/>
  <c r="Q2193" i="1"/>
  <c r="Q1870" i="1"/>
  <c r="T1764" i="1"/>
  <c r="Q2015" i="1"/>
  <c r="W1764" i="1" l="1"/>
  <c r="AA1764" i="1"/>
  <c r="AA2193" i="1"/>
  <c r="W2193" i="1"/>
  <c r="V2193" i="1"/>
  <c r="Z2193" i="1"/>
  <c r="Y2193" i="1"/>
  <c r="U2193" i="1"/>
  <c r="N2193" i="1"/>
  <c r="M2015" i="1"/>
  <c r="AP2015" i="1" s="1"/>
  <c r="AQ2015" i="1" s="1"/>
  <c r="M1870" i="1"/>
  <c r="AP1870" i="1" s="1"/>
  <c r="AQ1870" i="1" s="1"/>
  <c r="M1764" i="1"/>
  <c r="AP1764" i="1" s="1"/>
  <c r="AQ1764" i="1" s="1"/>
  <c r="M2193" i="1"/>
  <c r="AP2193" i="1" s="1"/>
  <c r="AQ2193" i="1" s="1"/>
  <c r="K2193" i="1"/>
  <c r="J2193" i="1"/>
  <c r="AR2193" i="1" s="1"/>
  <c r="O2193" i="1"/>
  <c r="K1764" i="1"/>
  <c r="S1764" i="1"/>
  <c r="O1764" i="1"/>
  <c r="J1764" i="1"/>
  <c r="AR1764" i="1" s="1"/>
  <c r="N1764" i="1"/>
  <c r="R1764" i="1"/>
  <c r="K1870" i="1"/>
  <c r="O1870" i="1"/>
  <c r="S1870" i="1"/>
  <c r="T1870" i="1"/>
  <c r="Q1764" i="1"/>
  <c r="J1870" i="1"/>
  <c r="AR1870" i="1" s="1"/>
  <c r="N1870" i="1"/>
  <c r="R1870" i="1"/>
  <c r="K2015" i="1"/>
  <c r="O2015" i="1"/>
  <c r="S2015" i="1"/>
  <c r="J2015" i="1"/>
  <c r="AR2015" i="1" s="1"/>
  <c r="N2015" i="1"/>
  <c r="R2015" i="1"/>
  <c r="T2015" i="1"/>
  <c r="S1123" i="1"/>
  <c r="AR1123" i="1" l="1"/>
  <c r="AA2015" i="1"/>
  <c r="W2015" i="1"/>
  <c r="AA1870" i="1"/>
  <c r="W1870" i="1"/>
  <c r="Z1123" i="1"/>
  <c r="V1123" i="1"/>
  <c r="Y2015" i="1"/>
  <c r="U2015" i="1"/>
  <c r="Z2015" i="1"/>
  <c r="V2015" i="1"/>
  <c r="Z1870" i="1"/>
  <c r="V1870" i="1"/>
  <c r="Y1870" i="1"/>
  <c r="U1870" i="1"/>
  <c r="Y1764" i="1"/>
  <c r="U1764" i="1"/>
  <c r="Z1764" i="1"/>
  <c r="V1764" i="1"/>
  <c r="N1123" i="1"/>
  <c r="M1123" i="1"/>
  <c r="AP1123" i="1" s="1"/>
  <c r="AQ1123" i="1" s="1"/>
  <c r="O1123" i="1"/>
  <c r="T1123" i="1"/>
  <c r="R1123" i="1"/>
  <c r="K1123" i="1"/>
  <c r="Q1123" i="1"/>
  <c r="AA1123" i="1" l="1"/>
  <c r="W1123" i="1"/>
  <c r="Y1123" i="1"/>
  <c r="U1123" i="1"/>
  <c r="H9" i="15" l="1"/>
  <c r="H10" i="15"/>
  <c r="H11" i="15"/>
  <c r="H34" i="15" l="1"/>
  <c r="H30" i="15"/>
  <c r="H12" i="15"/>
  <c r="H35" i="15"/>
  <c r="H33" i="15"/>
  <c r="H36" i="15" l="1"/>
  <c r="F1123" i="1" l="1"/>
  <c r="B1123" i="1"/>
  <c r="F1870" i="1" l="1"/>
  <c r="B1870" i="1"/>
  <c r="B1764" i="1"/>
  <c r="F1764" i="1"/>
  <c r="AG3088" i="1" l="1"/>
  <c r="AG2992" i="1"/>
  <c r="AF3088" i="1"/>
  <c r="AF2992" i="1"/>
  <c r="S1129" i="1"/>
  <c r="S1137" i="1"/>
  <c r="Z1137" i="1" l="1"/>
  <c r="V1137" i="1"/>
  <c r="Z1129" i="1"/>
  <c r="V1129" i="1"/>
  <c r="N1157" i="1"/>
  <c r="O1129" i="1"/>
  <c r="K1137" i="1"/>
  <c r="M1157" i="1"/>
  <c r="AP1157" i="1" s="1"/>
  <c r="K1157" i="1"/>
  <c r="O1157" i="1"/>
  <c r="Q1129" i="1"/>
  <c r="N1129" i="1"/>
  <c r="M1129" i="1"/>
  <c r="AP1129" i="1" s="1"/>
  <c r="R1129" i="1"/>
  <c r="T1129" i="1"/>
  <c r="K1129" i="1"/>
  <c r="T1137" i="1"/>
  <c r="Q1137" i="1"/>
  <c r="M1137" i="1"/>
  <c r="AP1137" i="1" s="1"/>
  <c r="R1137" i="1"/>
  <c r="N1137" i="1"/>
  <c r="J1137" i="1"/>
  <c r="O1137" i="1"/>
  <c r="W1137" i="1" l="1"/>
  <c r="AA1137" i="1"/>
  <c r="AA1129" i="1"/>
  <c r="W1129" i="1"/>
  <c r="Y1129" i="1"/>
  <c r="U1129" i="1"/>
  <c r="Y1137" i="1"/>
  <c r="U1137" i="1"/>
  <c r="T2260" i="1" l="1"/>
  <c r="T1157" i="1"/>
  <c r="R857" i="1"/>
  <c r="F1157" i="1"/>
  <c r="B1157" i="1"/>
  <c r="F1129" i="1"/>
  <c r="B1129" i="1"/>
  <c r="AR857" i="1" l="1"/>
  <c r="AR1157" i="1"/>
  <c r="AQ1157" i="1"/>
  <c r="AR1129" i="1"/>
  <c r="AQ1129" i="1"/>
  <c r="AA1157" i="1"/>
  <c r="W1157" i="1"/>
  <c r="AA2260" i="1"/>
  <c r="W2260" i="1"/>
  <c r="U857" i="1"/>
  <c r="Y857" i="1"/>
  <c r="M857" i="1"/>
  <c r="AP857" i="1" s="1"/>
  <c r="AQ857" i="1" s="1"/>
  <c r="K857" i="1"/>
  <c r="S2260" i="1"/>
  <c r="R2260" i="1"/>
  <c r="Q2260" i="1"/>
  <c r="N857" i="1"/>
  <c r="T857" i="1"/>
  <c r="R1157" i="1"/>
  <c r="O857" i="1"/>
  <c r="S857" i="1"/>
  <c r="S1157" i="1"/>
  <c r="Q857" i="1"/>
  <c r="Q1157" i="1"/>
  <c r="B857" i="1"/>
  <c r="W857" i="1" l="1"/>
  <c r="AA857" i="1"/>
  <c r="V1157" i="1"/>
  <c r="Z1157" i="1"/>
  <c r="U1157" i="1"/>
  <c r="Y1157" i="1"/>
  <c r="U2260" i="1"/>
  <c r="Y2260" i="1"/>
  <c r="V2260" i="1"/>
  <c r="Z2260" i="1"/>
  <c r="Z857" i="1"/>
  <c r="V857" i="1"/>
  <c r="F2193" i="1"/>
  <c r="B2193" i="1"/>
  <c r="F2446" i="1"/>
  <c r="B2446" i="1"/>
  <c r="F2260" i="1"/>
  <c r="B2260" i="1"/>
  <c r="F2015" i="1"/>
  <c r="B2015" i="1"/>
  <c r="Q1288" i="1" l="1"/>
  <c r="S1011" i="1"/>
  <c r="T1010" i="1"/>
  <c r="S653" i="1"/>
  <c r="AR1011" i="1" l="1"/>
  <c r="AR653" i="1"/>
  <c r="AR1010" i="1"/>
  <c r="AA1010" i="1"/>
  <c r="W1010" i="1"/>
  <c r="V653" i="1"/>
  <c r="Z653" i="1"/>
  <c r="Z1011" i="1"/>
  <c r="V1011" i="1"/>
  <c r="M1011" i="1"/>
  <c r="AP1011" i="1" s="1"/>
  <c r="AQ1011" i="1" s="1"/>
  <c r="N1288" i="1"/>
  <c r="N653" i="1"/>
  <c r="M1010" i="1"/>
  <c r="AP1010" i="1" s="1"/>
  <c r="AQ1010" i="1" s="1"/>
  <c r="Q653" i="1"/>
  <c r="R1010" i="1"/>
  <c r="Q1010" i="1"/>
  <c r="S1010" i="1"/>
  <c r="M1288" i="1"/>
  <c r="AP1288" i="1" s="1"/>
  <c r="AQ1288" i="1" s="1"/>
  <c r="R1011" i="1"/>
  <c r="R653" i="1"/>
  <c r="Q1011" i="1"/>
  <c r="F30" i="15"/>
  <c r="T1288" i="1"/>
  <c r="K1288" i="1"/>
  <c r="O1288" i="1"/>
  <c r="J1288" i="1"/>
  <c r="AR1288" i="1" s="1"/>
  <c r="T1011" i="1"/>
  <c r="K1011" i="1"/>
  <c r="O1010" i="1"/>
  <c r="O1011" i="1"/>
  <c r="N1010" i="1"/>
  <c r="N1011" i="1"/>
  <c r="K1010" i="1"/>
  <c r="T653" i="1"/>
  <c r="K653" i="1"/>
  <c r="O653" i="1"/>
  <c r="M653" i="1"/>
  <c r="AP653" i="1" s="1"/>
  <c r="AQ653" i="1" s="1"/>
  <c r="B1288" i="1"/>
  <c r="AA653" i="1" l="1"/>
  <c r="W653" i="1"/>
  <c r="AA1011" i="1"/>
  <c r="W1011" i="1"/>
  <c r="AA1288" i="1"/>
  <c r="W1288" i="1"/>
  <c r="Y1010" i="1"/>
  <c r="U1010" i="1"/>
  <c r="Z1010" i="1"/>
  <c r="V1010" i="1"/>
  <c r="Y1011" i="1"/>
  <c r="U1011" i="1"/>
  <c r="Y653" i="1"/>
  <c r="U653" i="1"/>
  <c r="F1011" i="1"/>
  <c r="F1010" i="1"/>
  <c r="B1011" i="1"/>
  <c r="B1010" i="1"/>
  <c r="B653" i="1" l="1"/>
  <c r="E11" i="15" l="1"/>
  <c r="E10" i="15"/>
  <c r="E9" i="15"/>
  <c r="AE3088" i="1"/>
  <c r="AE2992" i="1"/>
  <c r="AD3088" i="1"/>
  <c r="AD2992" i="1"/>
  <c r="Q1128" i="1"/>
  <c r="AR1128" i="1"/>
  <c r="R1056" i="1"/>
  <c r="AR1056" i="1"/>
  <c r="Q306" i="1"/>
  <c r="AR306" i="1"/>
  <c r="M306" i="1" l="1"/>
  <c r="AP306" i="1" s="1"/>
  <c r="AQ306" i="1" s="1"/>
  <c r="O1056" i="1"/>
  <c r="M1128" i="1"/>
  <c r="AP1128" i="1" s="1"/>
  <c r="AQ1128" i="1" s="1"/>
  <c r="M40" i="1"/>
  <c r="AP40" i="1" s="1"/>
  <c r="E12" i="15"/>
  <c r="E34" i="15"/>
  <c r="E35" i="15"/>
  <c r="E30" i="15"/>
  <c r="S1056" i="1"/>
  <c r="Q1056" i="1"/>
  <c r="N1056" i="1"/>
  <c r="M1056" i="1"/>
  <c r="AP1056" i="1" s="1"/>
  <c r="AQ1056" i="1" s="1"/>
  <c r="K40" i="1"/>
  <c r="K306" i="1"/>
  <c r="K1128" i="1"/>
  <c r="T1128" i="1"/>
  <c r="S1128" i="1"/>
  <c r="R1128" i="1"/>
  <c r="O1128" i="1"/>
  <c r="N1128" i="1"/>
  <c r="T1056" i="1"/>
  <c r="K1056" i="1"/>
  <c r="T306" i="1"/>
  <c r="O306" i="1"/>
  <c r="N306" i="1"/>
  <c r="O40" i="1"/>
  <c r="N40" i="1"/>
  <c r="E33" i="15" l="1"/>
  <c r="F1128" i="1"/>
  <c r="B1128" i="1"/>
  <c r="E36" i="15" l="1"/>
  <c r="F1056" i="1"/>
  <c r="B1056" i="1"/>
  <c r="B306" i="1" l="1"/>
  <c r="Q40" i="1"/>
  <c r="B40" i="1"/>
  <c r="AR40" i="1" l="1"/>
  <c r="AQ40" i="1"/>
  <c r="T40" i="1"/>
  <c r="S40" i="1"/>
  <c r="R40" i="1"/>
  <c r="D2" i="19"/>
  <c r="B379" i="10" l="1"/>
  <c r="CI2979" i="1"/>
  <c r="B341" i="10"/>
  <c r="CI2951" i="1"/>
  <c r="B329" i="10"/>
  <c r="B326" i="10"/>
  <c r="F320" i="10"/>
  <c r="F312" i="10"/>
  <c r="F309" i="10"/>
  <c r="F306" i="10"/>
  <c r="F303" i="10"/>
  <c r="F302" i="10"/>
  <c r="F299" i="10"/>
  <c r="F296" i="10"/>
  <c r="F290" i="10"/>
  <c r="F287" i="10"/>
  <c r="F282" i="10"/>
  <c r="F281" i="10"/>
  <c r="F278" i="10"/>
  <c r="F262" i="10"/>
  <c r="F232" i="10"/>
  <c r="F231" i="10"/>
  <c r="F208" i="10"/>
  <c r="F207" i="10"/>
  <c r="F204" i="10"/>
  <c r="F203" i="10"/>
  <c r="F202" i="10"/>
  <c r="F143" i="10"/>
  <c r="F141" i="10"/>
  <c r="F134" i="10"/>
  <c r="F133" i="10"/>
  <c r="F132" i="10"/>
  <c r="F131" i="10"/>
  <c r="F130" i="10"/>
  <c r="F123" i="10"/>
  <c r="F109" i="10"/>
  <c r="F108" i="10"/>
  <c r="F107" i="10"/>
  <c r="F106" i="10"/>
  <c r="F105" i="10"/>
  <c r="F104" i="10"/>
  <c r="F103" i="10"/>
  <c r="F102" i="10"/>
  <c r="F101" i="10"/>
  <c r="F96" i="10"/>
  <c r="F95" i="10"/>
  <c r="F94" i="10"/>
  <c r="F93" i="10"/>
  <c r="F92" i="10"/>
  <c r="F77" i="10"/>
  <c r="F76" i="10"/>
  <c r="F74" i="10"/>
  <c r="F73" i="10"/>
  <c r="F66" i="10"/>
  <c r="F65" i="10"/>
  <c r="F60" i="10"/>
  <c r="F59" i="10"/>
  <c r="F58" i="10"/>
  <c r="F57" i="10"/>
  <c r="F56" i="10"/>
  <c r="F54" i="10"/>
  <c r="F53" i="10"/>
  <c r="F52" i="10"/>
  <c r="F51" i="10"/>
  <c r="F33" i="10"/>
  <c r="F32" i="10"/>
  <c r="F26" i="10"/>
  <c r="F25" i="10"/>
  <c r="F19" i="10"/>
  <c r="F12" i="10"/>
  <c r="F11" i="10"/>
  <c r="I40" i="19" l="1"/>
  <c r="I33" i="19"/>
  <c r="D30" i="15" l="1"/>
  <c r="D11" i="15" l="1"/>
  <c r="D35" i="15" s="1"/>
  <c r="D10" i="15"/>
  <c r="D34" i="15" s="1"/>
  <c r="D9" i="15"/>
  <c r="E93" i="2"/>
  <c r="I184" i="10"/>
  <c r="H184" i="10"/>
  <c r="E76" i="2"/>
  <c r="E75" i="2"/>
  <c r="E74" i="2"/>
  <c r="E73" i="2"/>
  <c r="E71" i="2"/>
  <c r="E70" i="2"/>
  <c r="E64" i="2"/>
  <c r="E63" i="2"/>
  <c r="D12" i="15" l="1"/>
  <c r="D33" i="15"/>
  <c r="D36" i="15" l="1"/>
  <c r="S2145" i="1" l="1"/>
  <c r="Q2066" i="1"/>
  <c r="Q2065" i="1"/>
  <c r="Q2064" i="1"/>
  <c r="T2063" i="1"/>
  <c r="S2062" i="1"/>
  <c r="T2061" i="1"/>
  <c r="Q2060" i="1"/>
  <c r="Q2051" i="1"/>
  <c r="Q2041" i="1"/>
  <c r="Q2024" i="1"/>
  <c r="T2023" i="1"/>
  <c r="Q2022" i="1"/>
  <c r="S2021" i="1"/>
  <c r="Q2020" i="1"/>
  <c r="Q2019" i="1"/>
  <c r="S2014" i="1"/>
  <c r="S2005" i="1"/>
  <c r="R2004" i="1"/>
  <c r="Q2003" i="1"/>
  <c r="Q2002" i="1"/>
  <c r="R1998" i="1"/>
  <c r="Q1994" i="1"/>
  <c r="Q1987" i="1"/>
  <c r="Q1972" i="1"/>
  <c r="S1971" i="1"/>
  <c r="Q1970" i="1"/>
  <c r="Q1969" i="1"/>
  <c r="R1965" i="1"/>
  <c r="S1959" i="1"/>
  <c r="Q1958" i="1"/>
  <c r="R1895" i="1"/>
  <c r="S1843" i="1"/>
  <c r="Q1829" i="1"/>
  <c r="Q1791" i="1"/>
  <c r="Q1734" i="1"/>
  <c r="Q1532" i="1"/>
  <c r="S1418" i="1"/>
  <c r="F2145" i="1"/>
  <c r="B2145" i="1"/>
  <c r="F2051" i="1"/>
  <c r="B2051" i="1"/>
  <c r="F2066" i="1"/>
  <c r="B2066" i="1"/>
  <c r="F2065" i="1"/>
  <c r="F2064" i="1"/>
  <c r="F2063" i="1"/>
  <c r="F2062" i="1"/>
  <c r="F2061" i="1"/>
  <c r="F2060" i="1"/>
  <c r="B2065" i="1"/>
  <c r="B2064" i="1"/>
  <c r="B2063" i="1"/>
  <c r="B2062" i="1"/>
  <c r="B2061" i="1"/>
  <c r="B2060" i="1"/>
  <c r="F2041" i="1"/>
  <c r="B2041" i="1"/>
  <c r="F2024" i="1"/>
  <c r="F2023" i="1"/>
  <c r="F2022" i="1"/>
  <c r="F2021" i="1"/>
  <c r="F2020" i="1"/>
  <c r="B2024" i="1"/>
  <c r="B2023" i="1"/>
  <c r="B2022" i="1"/>
  <c r="B2021" i="1"/>
  <c r="B2020" i="1"/>
  <c r="F2019" i="1"/>
  <c r="B2019" i="1"/>
  <c r="F1998" i="1"/>
  <c r="B1998" i="1"/>
  <c r="F2014" i="1"/>
  <c r="B2014" i="1"/>
  <c r="F2005" i="1"/>
  <c r="B2005" i="1"/>
  <c r="F2004" i="1"/>
  <c r="B2004" i="1"/>
  <c r="F2003" i="1"/>
  <c r="B2003" i="1"/>
  <c r="F2002" i="1"/>
  <c r="B2002" i="1"/>
  <c r="F1994" i="1"/>
  <c r="B1994" i="1"/>
  <c r="AR2145" i="1" l="1"/>
  <c r="AR1791" i="1"/>
  <c r="AR1843" i="1"/>
  <c r="AA2063" i="1"/>
  <c r="W2063" i="1"/>
  <c r="AA2023" i="1"/>
  <c r="W2023" i="1"/>
  <c r="AA2061" i="1"/>
  <c r="W2061" i="1"/>
  <c r="Z1843" i="1"/>
  <c r="V1843" i="1"/>
  <c r="Y1965" i="1"/>
  <c r="U1965" i="1"/>
  <c r="Z2005" i="1"/>
  <c r="V2005" i="1"/>
  <c r="Z2014" i="1"/>
  <c r="V2014" i="1"/>
  <c r="V2062" i="1"/>
  <c r="Z2062" i="1"/>
  <c r="Z2145" i="1"/>
  <c r="V2145" i="1"/>
  <c r="Y1895" i="1"/>
  <c r="U1895" i="1"/>
  <c r="Z2021" i="1"/>
  <c r="V2021" i="1"/>
  <c r="Y2004" i="1"/>
  <c r="U2004" i="1"/>
  <c r="Z1418" i="1"/>
  <c r="V1418" i="1"/>
  <c r="Z1959" i="1"/>
  <c r="V1959" i="1"/>
  <c r="Z1971" i="1"/>
  <c r="V1971" i="1"/>
  <c r="U1998" i="1"/>
  <c r="Y1998" i="1"/>
  <c r="K1969" i="1"/>
  <c r="K2004" i="1"/>
  <c r="O1418" i="1"/>
  <c r="K1418" i="1"/>
  <c r="N1829" i="1"/>
  <c r="K1829" i="1"/>
  <c r="O1959" i="1"/>
  <c r="K1959" i="1"/>
  <c r="M1971" i="1"/>
  <c r="AP1971" i="1" s="1"/>
  <c r="AQ1971" i="1" s="1"/>
  <c r="K1971" i="1"/>
  <c r="M1998" i="1"/>
  <c r="AP1998" i="1" s="1"/>
  <c r="AQ1998" i="1" s="1"/>
  <c r="K1998" i="1"/>
  <c r="M2002" i="1"/>
  <c r="AP2002" i="1" s="1"/>
  <c r="AQ2002" i="1" s="1"/>
  <c r="K2002" i="1"/>
  <c r="O2041" i="1"/>
  <c r="K2041" i="1"/>
  <c r="M2066" i="1"/>
  <c r="AP2066" i="1" s="1"/>
  <c r="AQ2066" i="1" s="1"/>
  <c r="K2066" i="1"/>
  <c r="O1532" i="1"/>
  <c r="K1532" i="1"/>
  <c r="N1843" i="1"/>
  <c r="K1843" i="1"/>
  <c r="N1965" i="1"/>
  <c r="K1965" i="1"/>
  <c r="M1972" i="1"/>
  <c r="AP1972" i="1" s="1"/>
  <c r="AQ1972" i="1" s="1"/>
  <c r="K1972" i="1"/>
  <c r="O2005" i="1"/>
  <c r="K2005" i="1"/>
  <c r="N2014" i="1"/>
  <c r="K2014" i="1"/>
  <c r="N2051" i="1"/>
  <c r="K2051" i="1"/>
  <c r="O2062" i="1"/>
  <c r="K2062" i="1"/>
  <c r="M2063" i="1"/>
  <c r="AP2063" i="1" s="1"/>
  <c r="AQ2063" i="1" s="1"/>
  <c r="K2063" i="1"/>
  <c r="M2145" i="1"/>
  <c r="AP2145" i="1" s="1"/>
  <c r="AQ2145" i="1" s="1"/>
  <c r="K2145" i="1"/>
  <c r="O1734" i="1"/>
  <c r="K1734" i="1"/>
  <c r="N1895" i="1"/>
  <c r="K1895" i="1"/>
  <c r="M1987" i="1"/>
  <c r="AP1987" i="1" s="1"/>
  <c r="AQ1987" i="1" s="1"/>
  <c r="K1987" i="1"/>
  <c r="O2019" i="1"/>
  <c r="K2019" i="1"/>
  <c r="N2022" i="1"/>
  <c r="K2022" i="1"/>
  <c r="M2023" i="1"/>
  <c r="AP2023" i="1" s="1"/>
  <c r="AQ2023" i="1" s="1"/>
  <c r="K2023" i="1"/>
  <c r="N2060" i="1"/>
  <c r="K2060" i="1"/>
  <c r="M2064" i="1"/>
  <c r="AP2064" i="1" s="1"/>
  <c r="AQ2064" i="1" s="1"/>
  <c r="K2064" i="1"/>
  <c r="N1791" i="1"/>
  <c r="K1791" i="1"/>
  <c r="N1958" i="1"/>
  <c r="K1958" i="1"/>
  <c r="M1970" i="1"/>
  <c r="AP1970" i="1" s="1"/>
  <c r="AQ1970" i="1" s="1"/>
  <c r="K1970" i="1"/>
  <c r="O1994" i="1"/>
  <c r="K1994" i="1"/>
  <c r="M2003" i="1"/>
  <c r="AP2003" i="1" s="1"/>
  <c r="AQ2003" i="1" s="1"/>
  <c r="K2003" i="1"/>
  <c r="M2020" i="1"/>
  <c r="AP2020" i="1" s="1"/>
  <c r="AQ2020" i="1" s="1"/>
  <c r="K2020" i="1"/>
  <c r="N2021" i="1"/>
  <c r="K2021" i="1"/>
  <c r="J2024" i="1"/>
  <c r="AR2024" i="1" s="1"/>
  <c r="K2024" i="1"/>
  <c r="M2061" i="1"/>
  <c r="AP2061" i="1" s="1"/>
  <c r="AQ2061" i="1" s="1"/>
  <c r="K2061" i="1"/>
  <c r="M2065" i="1"/>
  <c r="AP2065" i="1" s="1"/>
  <c r="AQ2065" i="1" s="1"/>
  <c r="K2065" i="1"/>
  <c r="J2041" i="1"/>
  <c r="AR2041" i="1" s="1"/>
  <c r="O2014" i="1"/>
  <c r="Q2014" i="1"/>
  <c r="R2023" i="1"/>
  <c r="M2024" i="1"/>
  <c r="AP2024" i="1" s="1"/>
  <c r="AQ2024" i="1" s="1"/>
  <c r="R2061" i="1"/>
  <c r="N2062" i="1"/>
  <c r="N2063" i="1"/>
  <c r="J2002" i="1"/>
  <c r="AR2002" i="1" s="1"/>
  <c r="N2002" i="1"/>
  <c r="O2004" i="1"/>
  <c r="R2005" i="1"/>
  <c r="M2014" i="1"/>
  <c r="AP2014" i="1" s="1"/>
  <c r="AQ2014" i="1" s="1"/>
  <c r="O2063" i="1"/>
  <c r="N2005" i="1"/>
  <c r="Q2145" i="1"/>
  <c r="J2003" i="1"/>
  <c r="AR2003" i="1" s="1"/>
  <c r="O2002" i="1"/>
  <c r="M2005" i="1"/>
  <c r="AP2005" i="1" s="1"/>
  <c r="AQ2005" i="1" s="1"/>
  <c r="J2014" i="1"/>
  <c r="AR2014" i="1" s="1"/>
  <c r="R2014" i="1"/>
  <c r="N2019" i="1"/>
  <c r="Q2023" i="1"/>
  <c r="Q2061" i="1"/>
  <c r="J2062" i="1"/>
  <c r="AR2062" i="1" s="1"/>
  <c r="O2003" i="1"/>
  <c r="S2063" i="1"/>
  <c r="N2003" i="1"/>
  <c r="J2005" i="1"/>
  <c r="AR2005" i="1" s="1"/>
  <c r="J2019" i="1"/>
  <c r="AR2019" i="1" s="1"/>
  <c r="S2023" i="1"/>
  <c r="R2063" i="1"/>
  <c r="J2064" i="1"/>
  <c r="AR2064" i="1" s="1"/>
  <c r="R2145" i="1"/>
  <c r="R1987" i="1"/>
  <c r="M1994" i="1"/>
  <c r="AP1994" i="1" s="1"/>
  <c r="AQ1994" i="1" s="1"/>
  <c r="R2020" i="1"/>
  <c r="M2021" i="1"/>
  <c r="AP2021" i="1" s="1"/>
  <c r="AQ2021" i="1" s="1"/>
  <c r="M2022" i="1"/>
  <c r="AP2022" i="1" s="1"/>
  <c r="AQ2022" i="1" s="1"/>
  <c r="Q2021" i="1"/>
  <c r="N2023" i="1"/>
  <c r="R2041" i="1"/>
  <c r="M2051" i="1"/>
  <c r="AP2051" i="1" s="1"/>
  <c r="AQ2051" i="1" s="1"/>
  <c r="R2051" i="1"/>
  <c r="M2060" i="1"/>
  <c r="AP2060" i="1" s="1"/>
  <c r="AQ2060" i="1" s="1"/>
  <c r="R2060" i="1"/>
  <c r="N2061" i="1"/>
  <c r="R2066" i="1"/>
  <c r="J1994" i="1"/>
  <c r="AR1994" i="1" s="1"/>
  <c r="S1998" i="1"/>
  <c r="S2003" i="1"/>
  <c r="S2004" i="1"/>
  <c r="Q2005" i="1"/>
  <c r="M2019" i="1"/>
  <c r="AP2019" i="1" s="1"/>
  <c r="AQ2019" i="1" s="1"/>
  <c r="S2019" i="1"/>
  <c r="J2020" i="1"/>
  <c r="AR2020" i="1" s="1"/>
  <c r="O2020" i="1"/>
  <c r="J2021" i="1"/>
  <c r="AR2021" i="1" s="1"/>
  <c r="O2021" i="1"/>
  <c r="O2022" i="1"/>
  <c r="S2022" i="1"/>
  <c r="J2023" i="1"/>
  <c r="AR2023" i="1" s="1"/>
  <c r="O2024" i="1"/>
  <c r="N2041" i="1"/>
  <c r="O2051" i="1"/>
  <c r="O2060" i="1"/>
  <c r="Q2063" i="1"/>
  <c r="O2066" i="1"/>
  <c r="S1987" i="1"/>
  <c r="N1994" i="1"/>
  <c r="Q1998" i="1"/>
  <c r="R2003" i="1"/>
  <c r="Q2004" i="1"/>
  <c r="R2019" i="1"/>
  <c r="N2020" i="1"/>
  <c r="S2020" i="1"/>
  <c r="J2022" i="1"/>
  <c r="AR2022" i="1" s="1"/>
  <c r="R2021" i="1"/>
  <c r="R2022" i="1"/>
  <c r="O2023" i="1"/>
  <c r="N2024" i="1"/>
  <c r="M2041" i="1"/>
  <c r="AP2041" i="1" s="1"/>
  <c r="AQ2041" i="1" s="1"/>
  <c r="S2041" i="1"/>
  <c r="J2051" i="1"/>
  <c r="AR2051" i="1" s="1"/>
  <c r="S2051" i="1"/>
  <c r="J2060" i="1"/>
  <c r="AR2060" i="1" s="1"/>
  <c r="S2060" i="1"/>
  <c r="J2061" i="1"/>
  <c r="AR2061" i="1" s="1"/>
  <c r="O2061" i="1"/>
  <c r="J2063" i="1"/>
  <c r="AR2063" i="1" s="1"/>
  <c r="J2065" i="1"/>
  <c r="AR2065" i="1" s="1"/>
  <c r="N2066" i="1"/>
  <c r="S2066" i="1"/>
  <c r="T2145" i="1"/>
  <c r="O2145" i="1"/>
  <c r="N2145" i="1"/>
  <c r="T2066" i="1"/>
  <c r="AR2066" i="1"/>
  <c r="T2065" i="1"/>
  <c r="O2065" i="1"/>
  <c r="S2065" i="1"/>
  <c r="N2065" i="1"/>
  <c r="R2065" i="1"/>
  <c r="T2064" i="1"/>
  <c r="O2064" i="1"/>
  <c r="S2064" i="1"/>
  <c r="N2064" i="1"/>
  <c r="R2064" i="1"/>
  <c r="Q2062" i="1"/>
  <c r="R2062" i="1"/>
  <c r="S2061" i="1"/>
  <c r="M2062" i="1"/>
  <c r="AP2062" i="1" s="1"/>
  <c r="AQ2062" i="1" s="1"/>
  <c r="T2062" i="1"/>
  <c r="T2060" i="1"/>
  <c r="T2051" i="1"/>
  <c r="T2041" i="1"/>
  <c r="T2024" i="1"/>
  <c r="S2024" i="1"/>
  <c r="R2024" i="1"/>
  <c r="T2022" i="1"/>
  <c r="T2021" i="1"/>
  <c r="T2020" i="1"/>
  <c r="T2019" i="1"/>
  <c r="T2014" i="1"/>
  <c r="T2005" i="1"/>
  <c r="T2004" i="1"/>
  <c r="J2004" i="1"/>
  <c r="AR2004" i="1" s="1"/>
  <c r="N2004" i="1"/>
  <c r="M2004" i="1"/>
  <c r="AP2004" i="1" s="1"/>
  <c r="AQ2004" i="1" s="1"/>
  <c r="T2003" i="1"/>
  <c r="T2002" i="1"/>
  <c r="R2002" i="1"/>
  <c r="S2002" i="1"/>
  <c r="T1998" i="1"/>
  <c r="O1998" i="1"/>
  <c r="J1998" i="1"/>
  <c r="AR1998" i="1" s="1"/>
  <c r="N1998" i="1"/>
  <c r="T1994" i="1"/>
  <c r="R1994" i="1"/>
  <c r="S1994" i="1"/>
  <c r="T1987" i="1"/>
  <c r="O1987" i="1"/>
  <c r="J1987" i="1"/>
  <c r="AR1987" i="1" s="1"/>
  <c r="N1987" i="1"/>
  <c r="R1971" i="1"/>
  <c r="Q1971" i="1"/>
  <c r="J1971" i="1"/>
  <c r="AR1971" i="1" s="1"/>
  <c r="O1971" i="1"/>
  <c r="R1972" i="1"/>
  <c r="N1971" i="1"/>
  <c r="S1972" i="1"/>
  <c r="T1972" i="1"/>
  <c r="O1972" i="1"/>
  <c r="J1972" i="1"/>
  <c r="AR1972" i="1" s="1"/>
  <c r="N1972" i="1"/>
  <c r="T1971" i="1"/>
  <c r="O1969" i="1"/>
  <c r="M1969" i="1"/>
  <c r="AP1969" i="1" s="1"/>
  <c r="AQ1969" i="1" s="1"/>
  <c r="J1969" i="1"/>
  <c r="AR1969" i="1" s="1"/>
  <c r="N1969" i="1"/>
  <c r="T1970" i="1"/>
  <c r="O1970" i="1"/>
  <c r="S1970" i="1"/>
  <c r="J1970" i="1"/>
  <c r="AR1970" i="1" s="1"/>
  <c r="N1970" i="1"/>
  <c r="R1970" i="1"/>
  <c r="T1969" i="1"/>
  <c r="R1969" i="1"/>
  <c r="S1969" i="1"/>
  <c r="Q1959" i="1"/>
  <c r="Q1895" i="1"/>
  <c r="R1959" i="1"/>
  <c r="Q1965" i="1"/>
  <c r="J1959" i="1"/>
  <c r="AR1959" i="1" s="1"/>
  <c r="S1965" i="1"/>
  <c r="N1959" i="1"/>
  <c r="M1959" i="1"/>
  <c r="AP1959" i="1" s="1"/>
  <c r="AQ1959" i="1" s="1"/>
  <c r="T1965" i="1"/>
  <c r="O1965" i="1"/>
  <c r="M1965" i="1"/>
  <c r="AP1965" i="1" s="1"/>
  <c r="AQ1965" i="1" s="1"/>
  <c r="J1965" i="1"/>
  <c r="AR1965" i="1" s="1"/>
  <c r="T1959" i="1"/>
  <c r="T1958" i="1"/>
  <c r="S1958" i="1"/>
  <c r="R1958" i="1"/>
  <c r="O1958" i="1"/>
  <c r="M1958" i="1"/>
  <c r="AP1958" i="1" s="1"/>
  <c r="AQ1958" i="1" s="1"/>
  <c r="J1958" i="1"/>
  <c r="AR1958" i="1" s="1"/>
  <c r="J1734" i="1"/>
  <c r="AR1734" i="1" s="1"/>
  <c r="Q1843" i="1"/>
  <c r="N1734" i="1"/>
  <c r="S1829" i="1"/>
  <c r="R1843" i="1"/>
  <c r="T1895" i="1"/>
  <c r="S1895" i="1"/>
  <c r="O1895" i="1"/>
  <c r="M1895" i="1"/>
  <c r="AP1895" i="1" s="1"/>
  <c r="AQ1895" i="1" s="1"/>
  <c r="J1895" i="1"/>
  <c r="AR1895" i="1" s="1"/>
  <c r="T1843" i="1"/>
  <c r="O1843" i="1"/>
  <c r="M1843" i="1"/>
  <c r="AP1843" i="1" s="1"/>
  <c r="AQ1843" i="1" s="1"/>
  <c r="T1829" i="1"/>
  <c r="R1829" i="1"/>
  <c r="O1829" i="1"/>
  <c r="M1829" i="1"/>
  <c r="AP1829" i="1" s="1"/>
  <c r="AQ1829" i="1" s="1"/>
  <c r="J1829" i="1"/>
  <c r="AR1829" i="1" s="1"/>
  <c r="S1791" i="1"/>
  <c r="R1791" i="1"/>
  <c r="T1791" i="1"/>
  <c r="O1791" i="1"/>
  <c r="M1791" i="1"/>
  <c r="AP1791" i="1" s="1"/>
  <c r="AQ1791" i="1" s="1"/>
  <c r="R1734" i="1"/>
  <c r="T1734" i="1"/>
  <c r="S1734" i="1"/>
  <c r="M1734" i="1"/>
  <c r="AP1734" i="1" s="1"/>
  <c r="AQ1734" i="1" s="1"/>
  <c r="Q1418" i="1"/>
  <c r="S1532" i="1"/>
  <c r="T1532" i="1"/>
  <c r="R1532" i="1"/>
  <c r="N1532" i="1"/>
  <c r="M1532" i="1"/>
  <c r="AP1532" i="1" s="1"/>
  <c r="AQ1532" i="1" s="1"/>
  <c r="J1532" i="1"/>
  <c r="AR1532" i="1" s="1"/>
  <c r="R1418" i="1"/>
  <c r="T1418" i="1"/>
  <c r="J1418" i="1"/>
  <c r="AR1418" i="1" s="1"/>
  <c r="N1418" i="1"/>
  <c r="M1418" i="1"/>
  <c r="AP1418" i="1" s="1"/>
  <c r="AQ1418" i="1" s="1"/>
  <c r="F1958" i="1"/>
  <c r="B1958" i="1"/>
  <c r="F1987" i="1"/>
  <c r="B1987" i="1"/>
  <c r="F1965" i="1"/>
  <c r="B1965" i="1"/>
  <c r="F1972" i="1"/>
  <c r="F1971" i="1"/>
  <c r="F1970" i="1"/>
  <c r="F1969" i="1"/>
  <c r="B1972" i="1"/>
  <c r="B1971" i="1"/>
  <c r="B1970" i="1"/>
  <c r="B1969" i="1"/>
  <c r="F1959" i="1"/>
  <c r="B1959" i="1"/>
  <c r="F1895" i="1"/>
  <c r="B1895" i="1"/>
  <c r="F1843" i="1"/>
  <c r="B1843" i="1"/>
  <c r="F1829" i="1"/>
  <c r="B1829" i="1"/>
  <c r="F1791" i="1"/>
  <c r="B1792" i="1"/>
  <c r="B1791" i="1"/>
  <c r="F1734" i="1"/>
  <c r="B1734" i="1"/>
  <c r="F1532" i="1"/>
  <c r="B1532" i="1"/>
  <c r="F1418" i="1"/>
  <c r="B1418" i="1"/>
  <c r="AA1734" i="1" l="1"/>
  <c r="W1734" i="1"/>
  <c r="AA1791" i="1"/>
  <c r="W1791" i="1"/>
  <c r="W1970" i="1"/>
  <c r="AA1970" i="1"/>
  <c r="AA2066" i="1"/>
  <c r="W2066" i="1"/>
  <c r="AA1418" i="1"/>
  <c r="W1418" i="1"/>
  <c r="AA1971" i="1"/>
  <c r="W1971" i="1"/>
  <c r="W1972" i="1"/>
  <c r="AA1972" i="1"/>
  <c r="W2014" i="1"/>
  <c r="AA2014" i="1"/>
  <c r="AA2022" i="1"/>
  <c r="W2022" i="1"/>
  <c r="AA2041" i="1"/>
  <c r="W2041" i="1"/>
  <c r="AA2064" i="1"/>
  <c r="W2064" i="1"/>
  <c r="AA2021" i="1"/>
  <c r="W2021" i="1"/>
  <c r="AA1532" i="1"/>
  <c r="W1532" i="1"/>
  <c r="AA1895" i="1"/>
  <c r="W1895" i="1"/>
  <c r="AA1959" i="1"/>
  <c r="W1959" i="1"/>
  <c r="AA1965" i="1"/>
  <c r="W1965" i="1"/>
  <c r="W1994" i="1"/>
  <c r="AA1994" i="1"/>
  <c r="W1998" i="1"/>
  <c r="AA1998" i="1"/>
  <c r="AA2003" i="1"/>
  <c r="W2003" i="1"/>
  <c r="W2004" i="1"/>
  <c r="AA2004" i="1"/>
  <c r="AA2020" i="1"/>
  <c r="W2020" i="1"/>
  <c r="AA2060" i="1"/>
  <c r="W2060" i="1"/>
  <c r="AA2145" i="1"/>
  <c r="W2145" i="1"/>
  <c r="W1987" i="1"/>
  <c r="AA1987" i="1"/>
  <c r="AA2005" i="1"/>
  <c r="W2005" i="1"/>
  <c r="AA2024" i="1"/>
  <c r="W2024" i="1"/>
  <c r="AA2062" i="1"/>
  <c r="W2062" i="1"/>
  <c r="W1843" i="1"/>
  <c r="AA1843" i="1"/>
  <c r="W1958" i="1"/>
  <c r="AA1958" i="1"/>
  <c r="AA1969" i="1"/>
  <c r="W1969" i="1"/>
  <c r="W2002" i="1"/>
  <c r="AA2002" i="1"/>
  <c r="AA2019" i="1"/>
  <c r="W2019" i="1"/>
  <c r="AA2051" i="1"/>
  <c r="W2051" i="1"/>
  <c r="AA2065" i="1"/>
  <c r="W2065" i="1"/>
  <c r="V1734" i="1"/>
  <c r="Z1734" i="1"/>
  <c r="Y1970" i="1"/>
  <c r="U1970" i="1"/>
  <c r="Z2024" i="1"/>
  <c r="V2024" i="1"/>
  <c r="Y2062" i="1"/>
  <c r="U2062" i="1"/>
  <c r="Z2064" i="1"/>
  <c r="V2064" i="1"/>
  <c r="Y2021" i="1"/>
  <c r="U2021" i="1"/>
  <c r="Y2019" i="1"/>
  <c r="U2019" i="1"/>
  <c r="Z1998" i="1"/>
  <c r="V1998" i="1"/>
  <c r="U2060" i="1"/>
  <c r="Y2060" i="1"/>
  <c r="U2041" i="1"/>
  <c r="Y2041" i="1"/>
  <c r="Y2145" i="1"/>
  <c r="U2145" i="1"/>
  <c r="U2061" i="1"/>
  <c r="Y2061" i="1"/>
  <c r="Z1791" i="1"/>
  <c r="V1791" i="1"/>
  <c r="V1895" i="1"/>
  <c r="Z1895" i="1"/>
  <c r="Z1965" i="1"/>
  <c r="V1965" i="1"/>
  <c r="Z1970" i="1"/>
  <c r="V1970" i="1"/>
  <c r="Z1972" i="1"/>
  <c r="V1972" i="1"/>
  <c r="Y1994" i="1"/>
  <c r="U1994" i="1"/>
  <c r="Y2024" i="1"/>
  <c r="U2024" i="1"/>
  <c r="Z2061" i="1"/>
  <c r="V2061" i="1"/>
  <c r="U2065" i="1"/>
  <c r="Y2065" i="1"/>
  <c r="V2060" i="1"/>
  <c r="Z2060" i="1"/>
  <c r="Z2041" i="1"/>
  <c r="V2041" i="1"/>
  <c r="Y2022" i="1"/>
  <c r="U2022" i="1"/>
  <c r="Z2019" i="1"/>
  <c r="V2019" i="1"/>
  <c r="Z2003" i="1"/>
  <c r="V2003" i="1"/>
  <c r="Y1987" i="1"/>
  <c r="U1987" i="1"/>
  <c r="V2023" i="1"/>
  <c r="Z2023" i="1"/>
  <c r="V2063" i="1"/>
  <c r="Z2063" i="1"/>
  <c r="Y1532" i="1"/>
  <c r="U1532" i="1"/>
  <c r="U1734" i="1"/>
  <c r="Y1734" i="1"/>
  <c r="Y1791" i="1"/>
  <c r="U1791" i="1"/>
  <c r="Z1958" i="1"/>
  <c r="V1958" i="1"/>
  <c r="Y1959" i="1"/>
  <c r="U1959" i="1"/>
  <c r="Y1969" i="1"/>
  <c r="U1969" i="1"/>
  <c r="Z1994" i="1"/>
  <c r="V1994" i="1"/>
  <c r="Y2002" i="1"/>
  <c r="U2002" i="1"/>
  <c r="Y2064" i="1"/>
  <c r="U2064" i="1"/>
  <c r="Z2020" i="1"/>
  <c r="V2020" i="1"/>
  <c r="Y2003" i="1"/>
  <c r="U2003" i="1"/>
  <c r="Z2004" i="1"/>
  <c r="V2004" i="1"/>
  <c r="U2066" i="1"/>
  <c r="Y2066" i="1"/>
  <c r="U2051" i="1"/>
  <c r="Y2051" i="1"/>
  <c r="U2063" i="1"/>
  <c r="Y2063" i="1"/>
  <c r="Y2005" i="1"/>
  <c r="U2005" i="1"/>
  <c r="U2023" i="1"/>
  <c r="Y2023" i="1"/>
  <c r="Y1418" i="1"/>
  <c r="U1418" i="1"/>
  <c r="Z1532" i="1"/>
  <c r="V1532" i="1"/>
  <c r="Y1843" i="1"/>
  <c r="U1843" i="1"/>
  <c r="U1958" i="1"/>
  <c r="Y1958" i="1"/>
  <c r="Z1969" i="1"/>
  <c r="V1969" i="1"/>
  <c r="Y1972" i="1"/>
  <c r="U1972" i="1"/>
  <c r="Y1971" i="1"/>
  <c r="U1971" i="1"/>
  <c r="Z2002" i="1"/>
  <c r="V2002" i="1"/>
  <c r="Z2065" i="1"/>
  <c r="V2065" i="1"/>
  <c r="V2066" i="1"/>
  <c r="Z2066" i="1"/>
  <c r="Z2051" i="1"/>
  <c r="V2051" i="1"/>
  <c r="Z1987" i="1"/>
  <c r="V1987" i="1"/>
  <c r="Z2022" i="1"/>
  <c r="V2022" i="1"/>
  <c r="Y2020" i="1"/>
  <c r="U2020" i="1"/>
  <c r="U2014" i="1"/>
  <c r="Y2014" i="1"/>
  <c r="T665" i="1"/>
  <c r="B665" i="1"/>
  <c r="AR665" i="1" l="1"/>
  <c r="AA665" i="1"/>
  <c r="W665" i="1"/>
  <c r="M665" i="1"/>
  <c r="AP665" i="1" s="1"/>
  <c r="AQ665" i="1" s="1"/>
  <c r="K665" i="1"/>
  <c r="S665" i="1"/>
  <c r="R665" i="1"/>
  <c r="Q665" i="1"/>
  <c r="O665" i="1"/>
  <c r="N665" i="1"/>
  <c r="Y665" i="1" l="1"/>
  <c r="U665" i="1"/>
  <c r="V665" i="1"/>
  <c r="Z665" i="1"/>
  <c r="S1547" i="1"/>
  <c r="S1533" i="1"/>
  <c r="S1503" i="1"/>
  <c r="Q1494" i="1"/>
  <c r="S1384" i="1"/>
  <c r="Q1371" i="1"/>
  <c r="S1344" i="1"/>
  <c r="S1337" i="1"/>
  <c r="V1503" i="1" l="1"/>
  <c r="Z1503" i="1"/>
  <c r="V1384" i="1"/>
  <c r="Z1384" i="1"/>
  <c r="V1344" i="1"/>
  <c r="Z1344" i="1"/>
  <c r="Z1547" i="1"/>
  <c r="V1547" i="1"/>
  <c r="Z1337" i="1"/>
  <c r="V1337" i="1"/>
  <c r="V1533" i="1"/>
  <c r="Z1533" i="1"/>
  <c r="O1384" i="1"/>
  <c r="K1384" i="1"/>
  <c r="O1547" i="1"/>
  <c r="K1547" i="1"/>
  <c r="N1337" i="1"/>
  <c r="K1337" i="1"/>
  <c r="N1494" i="1"/>
  <c r="K1494" i="1"/>
  <c r="N1371" i="1"/>
  <c r="K1371" i="1"/>
  <c r="M1533" i="1"/>
  <c r="AP1533" i="1" s="1"/>
  <c r="AQ1533" i="1" s="1"/>
  <c r="K1533" i="1"/>
  <c r="N1344" i="1"/>
  <c r="K1344" i="1"/>
  <c r="O1503" i="1"/>
  <c r="K1503" i="1"/>
  <c r="J1547" i="1"/>
  <c r="AR1547" i="1" s="1"/>
  <c r="M1503" i="1"/>
  <c r="AP1503" i="1" s="1"/>
  <c r="AQ1503" i="1" s="1"/>
  <c r="J1384" i="1"/>
  <c r="AR1384" i="1" s="1"/>
  <c r="R1503" i="1"/>
  <c r="N1384" i="1"/>
  <c r="R1337" i="1"/>
  <c r="R1344" i="1"/>
  <c r="M1384" i="1"/>
  <c r="AP1384" i="1" s="1"/>
  <c r="AQ1384" i="1" s="1"/>
  <c r="R1384" i="1"/>
  <c r="Q1503" i="1"/>
  <c r="Q1533" i="1"/>
  <c r="Q1337" i="1"/>
  <c r="Q1344" i="1"/>
  <c r="Q1384" i="1"/>
  <c r="J1503" i="1"/>
  <c r="AR1503" i="1" s="1"/>
  <c r="N1547" i="1"/>
  <c r="N1503" i="1"/>
  <c r="R1533" i="1"/>
  <c r="M1547" i="1"/>
  <c r="AP1547" i="1" s="1"/>
  <c r="AQ1547" i="1" s="1"/>
  <c r="R1547" i="1"/>
  <c r="Q1547" i="1"/>
  <c r="T1547" i="1"/>
  <c r="T1533" i="1"/>
  <c r="O1533" i="1"/>
  <c r="J1533" i="1"/>
  <c r="AR1533" i="1" s="1"/>
  <c r="N1533" i="1"/>
  <c r="T1503" i="1"/>
  <c r="T1494" i="1"/>
  <c r="S1494" i="1"/>
  <c r="R1494" i="1"/>
  <c r="O1494" i="1"/>
  <c r="M1494" i="1"/>
  <c r="AP1494" i="1" s="1"/>
  <c r="AQ1494" i="1" s="1"/>
  <c r="J1494" i="1"/>
  <c r="AR1494" i="1" s="1"/>
  <c r="T1384" i="1"/>
  <c r="T1371" i="1"/>
  <c r="S1371" i="1"/>
  <c r="R1371" i="1"/>
  <c r="O1371" i="1"/>
  <c r="M1371" i="1"/>
  <c r="AP1371" i="1" s="1"/>
  <c r="AQ1371" i="1" s="1"/>
  <c r="J1371" i="1"/>
  <c r="AR1371" i="1" s="1"/>
  <c r="T1344" i="1"/>
  <c r="O1344" i="1"/>
  <c r="M1344" i="1"/>
  <c r="AP1344" i="1" s="1"/>
  <c r="AQ1344" i="1" s="1"/>
  <c r="J1344" i="1"/>
  <c r="AR1344" i="1" s="1"/>
  <c r="T1337" i="1"/>
  <c r="O1337" i="1"/>
  <c r="M1337" i="1"/>
  <c r="AP1337" i="1" s="1"/>
  <c r="AQ1337" i="1" s="1"/>
  <c r="J1337" i="1"/>
  <c r="AR1337" i="1" s="1"/>
  <c r="W1503" i="1" l="1"/>
  <c r="AA1503" i="1"/>
  <c r="U1503" i="1"/>
  <c r="Y1503" i="1"/>
  <c r="W1384" i="1"/>
  <c r="AA1384" i="1"/>
  <c r="U1384" i="1"/>
  <c r="Y1384" i="1"/>
  <c r="W1344" i="1"/>
  <c r="AA1344" i="1"/>
  <c r="U1344" i="1"/>
  <c r="Y1344" i="1"/>
  <c r="AA1371" i="1"/>
  <c r="W1371" i="1"/>
  <c r="AA1533" i="1"/>
  <c r="W1533" i="1"/>
  <c r="AA1494" i="1"/>
  <c r="W1494" i="1"/>
  <c r="AA1337" i="1"/>
  <c r="W1337" i="1"/>
  <c r="AA1547" i="1"/>
  <c r="W1547" i="1"/>
  <c r="U1371" i="1"/>
  <c r="Y1371" i="1"/>
  <c r="V1371" i="1"/>
  <c r="Z1371" i="1"/>
  <c r="Y1547" i="1"/>
  <c r="U1547" i="1"/>
  <c r="V1494" i="1"/>
  <c r="Z1494" i="1"/>
  <c r="Y1494" i="1"/>
  <c r="U1494" i="1"/>
  <c r="Y1533" i="1"/>
  <c r="U1533" i="1"/>
  <c r="Y1337" i="1"/>
  <c r="U1337" i="1"/>
  <c r="Q1012" i="1" l="1"/>
  <c r="AR1012" i="1" l="1"/>
  <c r="M1012" i="1"/>
  <c r="AP1012" i="1" s="1"/>
  <c r="AQ1012" i="1" s="1"/>
  <c r="R1012" i="1"/>
  <c r="S1012" i="1"/>
  <c r="T1012" i="1"/>
  <c r="K1012" i="1"/>
  <c r="O1012" i="1"/>
  <c r="N1012" i="1"/>
  <c r="AA1012" i="1" l="1"/>
  <c r="W1012" i="1"/>
  <c r="Y1012" i="1"/>
  <c r="U1012" i="1"/>
  <c r="Z1012" i="1"/>
  <c r="V1012" i="1"/>
  <c r="F1547" i="1" l="1"/>
  <c r="B1547" i="1"/>
  <c r="F1533" i="1"/>
  <c r="B1533" i="1"/>
  <c r="F1504" i="1"/>
  <c r="F1503" i="1"/>
  <c r="B1503" i="1"/>
  <c r="F1494" i="1"/>
  <c r="B1494" i="1"/>
  <c r="F1384" i="1"/>
  <c r="B1384" i="1"/>
  <c r="F1371" i="1"/>
  <c r="B1371" i="1"/>
  <c r="F1344" i="1"/>
  <c r="B1344" i="1"/>
  <c r="F1337" i="1"/>
  <c r="B1337" i="1"/>
  <c r="O822" i="1" l="1"/>
  <c r="N822" i="1"/>
  <c r="K822" i="1"/>
  <c r="M822" i="1"/>
  <c r="AP822" i="1" s="1"/>
  <c r="S1101" i="1"/>
  <c r="F1101" i="1"/>
  <c r="B1101" i="1"/>
  <c r="S1039" i="1"/>
  <c r="V1039" i="1" s="1"/>
  <c r="AR1039" i="1"/>
  <c r="F1039" i="1"/>
  <c r="B1039" i="1"/>
  <c r="Q1020" i="1"/>
  <c r="F1020" i="1"/>
  <c r="B1020" i="1"/>
  <c r="F1012" i="1"/>
  <c r="B1012" i="1"/>
  <c r="Z1101" i="1" l="1"/>
  <c r="V1101" i="1"/>
  <c r="K1101" i="1"/>
  <c r="M1101" i="1"/>
  <c r="AP1101" i="1" s="1"/>
  <c r="AQ1101" i="1" s="1"/>
  <c r="O1039" i="1"/>
  <c r="K1039" i="1"/>
  <c r="J1020" i="1"/>
  <c r="AR1020" i="1" s="1"/>
  <c r="K1020" i="1"/>
  <c r="N1020" i="1"/>
  <c r="R1101" i="1"/>
  <c r="O1101" i="1"/>
  <c r="N1101" i="1"/>
  <c r="Q1101" i="1"/>
  <c r="T1101" i="1"/>
  <c r="J1101" i="1"/>
  <c r="AR1101" i="1" s="1"/>
  <c r="N1039" i="1"/>
  <c r="M1039" i="1"/>
  <c r="AP1039" i="1" s="1"/>
  <c r="AQ1039" i="1" s="1"/>
  <c r="R1039" i="1"/>
  <c r="U1039" i="1" s="1"/>
  <c r="Q1039" i="1"/>
  <c r="T1039" i="1"/>
  <c r="W1039" i="1" s="1"/>
  <c r="S1020" i="1"/>
  <c r="O1020" i="1"/>
  <c r="M1020" i="1"/>
  <c r="AP1020" i="1" s="1"/>
  <c r="AQ1020" i="1" s="1"/>
  <c r="R1020" i="1"/>
  <c r="T1020" i="1"/>
  <c r="AA1101" i="1" l="1"/>
  <c r="W1101" i="1"/>
  <c r="AA1020" i="1"/>
  <c r="W1020" i="1"/>
  <c r="Y1101" i="1"/>
  <c r="U1101" i="1"/>
  <c r="Z1020" i="1"/>
  <c r="V1020" i="1"/>
  <c r="Y1020" i="1"/>
  <c r="U1020" i="1"/>
  <c r="Q998" i="1"/>
  <c r="S997" i="1"/>
  <c r="F998" i="1"/>
  <c r="F997" i="1"/>
  <c r="B998" i="1"/>
  <c r="B997" i="1"/>
  <c r="S967" i="1"/>
  <c r="AR967" i="1"/>
  <c r="F967" i="1"/>
  <c r="B967" i="1"/>
  <c r="AR856" i="1"/>
  <c r="B856" i="1"/>
  <c r="F822" i="1"/>
  <c r="B831" i="1"/>
  <c r="F831" i="1"/>
  <c r="Q831" i="1"/>
  <c r="AR831" i="1" l="1"/>
  <c r="AR822" i="1"/>
  <c r="AQ822" i="1"/>
  <c r="V967" i="1"/>
  <c r="Z967" i="1"/>
  <c r="V997" i="1"/>
  <c r="Z997" i="1"/>
  <c r="M831" i="1"/>
  <c r="AP831" i="1" s="1"/>
  <c r="AQ831" i="1" s="1"/>
  <c r="K831" i="1"/>
  <c r="M998" i="1"/>
  <c r="AP998" i="1" s="1"/>
  <c r="AQ998" i="1" s="1"/>
  <c r="K998" i="1"/>
  <c r="J998" i="1"/>
  <c r="AR998" i="1" s="1"/>
  <c r="M997" i="1"/>
  <c r="AP997" i="1" s="1"/>
  <c r="AQ997" i="1" s="1"/>
  <c r="J997" i="1"/>
  <c r="AR997" i="1" s="1"/>
  <c r="K997" i="1"/>
  <c r="M967" i="1"/>
  <c r="AP967" i="1" s="1"/>
  <c r="AQ967" i="1" s="1"/>
  <c r="K967" i="1"/>
  <c r="M856" i="1"/>
  <c r="AP856" i="1" s="1"/>
  <c r="AQ856" i="1" s="1"/>
  <c r="K856" i="1"/>
  <c r="O998" i="1"/>
  <c r="O997" i="1"/>
  <c r="R997" i="1"/>
  <c r="N997" i="1"/>
  <c r="Q997" i="1"/>
  <c r="T998" i="1"/>
  <c r="S998" i="1"/>
  <c r="T997" i="1"/>
  <c r="R998" i="1"/>
  <c r="N998" i="1"/>
  <c r="R967" i="1"/>
  <c r="Q967" i="1"/>
  <c r="T967" i="1"/>
  <c r="O967" i="1"/>
  <c r="N967" i="1"/>
  <c r="Q856" i="1"/>
  <c r="T856" i="1"/>
  <c r="O856" i="1"/>
  <c r="N856" i="1"/>
  <c r="R831" i="1"/>
  <c r="T831" i="1"/>
  <c r="Q822" i="1"/>
  <c r="O831" i="1"/>
  <c r="T822" i="1"/>
  <c r="S831" i="1"/>
  <c r="N831" i="1"/>
  <c r="AA822" i="1" l="1"/>
  <c r="W822" i="1"/>
  <c r="AA997" i="1"/>
  <c r="W997" i="1"/>
  <c r="W856" i="1"/>
  <c r="AA856" i="1"/>
  <c r="AA967" i="1"/>
  <c r="W967" i="1"/>
  <c r="U967" i="1"/>
  <c r="Y967" i="1"/>
  <c r="U997" i="1"/>
  <c r="Y997" i="1"/>
  <c r="CI3033" i="1"/>
  <c r="CI3030" i="1"/>
  <c r="CI2938" i="1"/>
  <c r="CI2941" i="1"/>
  <c r="S717" i="1" l="1"/>
  <c r="Q41" i="1"/>
  <c r="R39" i="1"/>
  <c r="AR39" i="1" l="1"/>
  <c r="AR41" i="1"/>
  <c r="AR630" i="1"/>
  <c r="AR38" i="1"/>
  <c r="AR717" i="1"/>
  <c r="V717" i="1"/>
  <c r="Z717" i="1"/>
  <c r="O38" i="1"/>
  <c r="K38" i="1"/>
  <c r="N717" i="1"/>
  <c r="K717" i="1"/>
  <c r="N39" i="1"/>
  <c r="K39" i="1"/>
  <c r="N630" i="1"/>
  <c r="K630" i="1"/>
  <c r="O41" i="1"/>
  <c r="K41" i="1"/>
  <c r="T38" i="1"/>
  <c r="R717" i="1"/>
  <c r="Q717" i="1"/>
  <c r="M39" i="1"/>
  <c r="AP39" i="1" s="1"/>
  <c r="AQ39" i="1" s="1"/>
  <c r="N38" i="1"/>
  <c r="Q38" i="1"/>
  <c r="N41" i="1"/>
  <c r="M41" i="1"/>
  <c r="AP41" i="1" s="1"/>
  <c r="AQ41" i="1" s="1"/>
  <c r="M38" i="1"/>
  <c r="AP38" i="1" s="1"/>
  <c r="AQ38" i="1" s="1"/>
  <c r="T717" i="1"/>
  <c r="O717" i="1"/>
  <c r="M717" i="1"/>
  <c r="AP717" i="1" s="1"/>
  <c r="AQ717" i="1" s="1"/>
  <c r="Q39" i="1"/>
  <c r="O39" i="1"/>
  <c r="Q630" i="1"/>
  <c r="T630" i="1"/>
  <c r="O630" i="1"/>
  <c r="M630" i="1"/>
  <c r="AP630" i="1" s="1"/>
  <c r="AQ630" i="1" s="1"/>
  <c r="T41" i="1"/>
  <c r="S39" i="1"/>
  <c r="T39" i="1"/>
  <c r="F1022" i="1"/>
  <c r="Q1022" i="1"/>
  <c r="B1022" i="1"/>
  <c r="AR1022" i="1" l="1"/>
  <c r="W717" i="1"/>
  <c r="AA717" i="1"/>
  <c r="W630" i="1"/>
  <c r="AA630" i="1"/>
  <c r="U717" i="1"/>
  <c r="Y717" i="1"/>
  <c r="K1022" i="1"/>
  <c r="M1022" i="1"/>
  <c r="AP1022" i="1" s="1"/>
  <c r="AQ1022" i="1" s="1"/>
  <c r="T1022" i="1"/>
  <c r="O1022" i="1"/>
  <c r="S1022" i="1"/>
  <c r="N1022" i="1"/>
  <c r="R1022" i="1"/>
  <c r="Q1318" i="1" l="1"/>
  <c r="F1318" i="1"/>
  <c r="B1318" i="1"/>
  <c r="AR1318" i="1" l="1"/>
  <c r="K1318" i="1"/>
  <c r="M1318" i="1"/>
  <c r="AP1318" i="1" s="1"/>
  <c r="AQ1318" i="1" s="1"/>
  <c r="T1318" i="1"/>
  <c r="O1318" i="1"/>
  <c r="N1318" i="1"/>
  <c r="AA1318" i="1" l="1"/>
  <c r="W1318" i="1"/>
  <c r="F1159" i="1"/>
  <c r="S1159" i="1"/>
  <c r="B1159" i="1"/>
  <c r="R1077" i="1"/>
  <c r="F1077" i="1"/>
  <c r="B1077" i="1"/>
  <c r="F818" i="1"/>
  <c r="F819" i="1"/>
  <c r="F838" i="1"/>
  <c r="F1075" i="1"/>
  <c r="Q1075" i="1"/>
  <c r="AR1075" i="1"/>
  <c r="B1075" i="1"/>
  <c r="AR1077" i="1" l="1"/>
  <c r="AR1159" i="1"/>
  <c r="Z1159" i="1"/>
  <c r="V1159" i="1"/>
  <c r="K1077" i="1"/>
  <c r="K1159" i="1"/>
  <c r="K1075" i="1"/>
  <c r="O1159" i="1"/>
  <c r="N1077" i="1"/>
  <c r="M1075" i="1"/>
  <c r="AP1075" i="1" s="1"/>
  <c r="AQ1075" i="1" s="1"/>
  <c r="S1077" i="1"/>
  <c r="M1077" i="1"/>
  <c r="AP1077" i="1" s="1"/>
  <c r="AQ1077" i="1" s="1"/>
  <c r="R1159" i="1"/>
  <c r="O1077" i="1"/>
  <c r="Q1159" i="1"/>
  <c r="Q1077" i="1"/>
  <c r="N1159" i="1"/>
  <c r="M1159" i="1"/>
  <c r="AP1159" i="1" s="1"/>
  <c r="AQ1159" i="1" s="1"/>
  <c r="T1159" i="1"/>
  <c r="T1077" i="1"/>
  <c r="T1075" i="1"/>
  <c r="W1075" i="1" s="1"/>
  <c r="O1075" i="1"/>
  <c r="S1075" i="1"/>
  <c r="V1075" i="1" s="1"/>
  <c r="N1075" i="1"/>
  <c r="R1075" i="1"/>
  <c r="U1075" i="1" s="1"/>
  <c r="W1159" i="1" l="1"/>
  <c r="AA1159" i="1"/>
  <c r="Y1159" i="1"/>
  <c r="U1159" i="1"/>
  <c r="R838" i="1"/>
  <c r="B838" i="1"/>
  <c r="T859" i="1"/>
  <c r="B859" i="1"/>
  <c r="T865" i="1"/>
  <c r="W865" i="1" s="1"/>
  <c r="B865" i="1"/>
  <c r="AR865" i="1" l="1"/>
  <c r="AR859" i="1"/>
  <c r="AR838" i="1"/>
  <c r="Y838" i="1"/>
  <c r="U838" i="1"/>
  <c r="K865" i="1"/>
  <c r="K859" i="1"/>
  <c r="K838" i="1"/>
  <c r="M859" i="1"/>
  <c r="AP859" i="1" s="1"/>
  <c r="AQ859" i="1" s="1"/>
  <c r="N838" i="1"/>
  <c r="M865" i="1"/>
  <c r="AP865" i="1" s="1"/>
  <c r="AQ865" i="1" s="1"/>
  <c r="O865" i="1"/>
  <c r="S859" i="1"/>
  <c r="N859" i="1"/>
  <c r="N865" i="1"/>
  <c r="S865" i="1"/>
  <c r="V865" i="1" s="1"/>
  <c r="R865" i="1"/>
  <c r="U865" i="1" s="1"/>
  <c r="O859" i="1"/>
  <c r="R859" i="1"/>
  <c r="M838" i="1"/>
  <c r="AP838" i="1" s="1"/>
  <c r="AQ838" i="1" s="1"/>
  <c r="Q838" i="1"/>
  <c r="T838" i="1"/>
  <c r="O838" i="1"/>
  <c r="S838" i="1"/>
  <c r="Q859" i="1"/>
  <c r="Q865" i="1"/>
  <c r="W838" i="1" l="1"/>
  <c r="AA838" i="1"/>
  <c r="V838" i="1"/>
  <c r="Z838" i="1"/>
  <c r="Q2346" i="1"/>
  <c r="F2346" i="1"/>
  <c r="B2346" i="1"/>
  <c r="T2385" i="1"/>
  <c r="S2385" i="1"/>
  <c r="R2385" i="1"/>
  <c r="Q2385" i="1"/>
  <c r="F2385" i="1"/>
  <c r="B2385" i="1"/>
  <c r="T2384" i="1"/>
  <c r="S2384" i="1"/>
  <c r="R2384" i="1"/>
  <c r="Q2384" i="1"/>
  <c r="F2384" i="1"/>
  <c r="B2384" i="1"/>
  <c r="Q2440" i="1"/>
  <c r="F2440" i="1"/>
  <c r="B2440" i="1"/>
  <c r="S2460" i="1"/>
  <c r="F2460" i="1"/>
  <c r="B2460" i="1"/>
  <c r="Q2459" i="1"/>
  <c r="F2459" i="1"/>
  <c r="B2459" i="1"/>
  <c r="T1733" i="1"/>
  <c r="F1733" i="1"/>
  <c r="B1733" i="1"/>
  <c r="T1732" i="1"/>
  <c r="F1732" i="1"/>
  <c r="B1732" i="1"/>
  <c r="S1859" i="1"/>
  <c r="F1859" i="1"/>
  <c r="B1859" i="1"/>
  <c r="Q1842" i="1"/>
  <c r="F1842" i="1"/>
  <c r="B1842" i="1"/>
  <c r="S1985" i="1"/>
  <c r="F1985" i="1"/>
  <c r="B1985" i="1"/>
  <c r="Q1986" i="1"/>
  <c r="F1986" i="1"/>
  <c r="B1986" i="1"/>
  <c r="Q2025" i="1"/>
  <c r="AR2025" i="1"/>
  <c r="F2025" i="1"/>
  <c r="B2025" i="1"/>
  <c r="S2458" i="1"/>
  <c r="F2458" i="1"/>
  <c r="B2458" i="1"/>
  <c r="Q2439" i="1"/>
  <c r="F2439" i="1"/>
  <c r="B2439" i="1"/>
  <c r="S2432" i="1"/>
  <c r="F2432" i="1"/>
  <c r="B2432" i="1"/>
  <c r="T2383" i="1"/>
  <c r="S2383" i="1"/>
  <c r="R2383" i="1"/>
  <c r="Q2383" i="1"/>
  <c r="F2383" i="1"/>
  <c r="B2383" i="1"/>
  <c r="T2345" i="1"/>
  <c r="F2345" i="1"/>
  <c r="B2345" i="1"/>
  <c r="S2321" i="1"/>
  <c r="F2321" i="1"/>
  <c r="B2321" i="1"/>
  <c r="F2068" i="1"/>
  <c r="F2069" i="1"/>
  <c r="F2070" i="1"/>
  <c r="F2071" i="1"/>
  <c r="R2071" i="1"/>
  <c r="B2071" i="1"/>
  <c r="T2070" i="1"/>
  <c r="B2070" i="1"/>
  <c r="R2069" i="1"/>
  <c r="T2068" i="1"/>
  <c r="B2069" i="1"/>
  <c r="B2068" i="1"/>
  <c r="T1706" i="1"/>
  <c r="T1705" i="1"/>
  <c r="F1706" i="1"/>
  <c r="F1705" i="1"/>
  <c r="B1706" i="1"/>
  <c r="B1705" i="1"/>
  <c r="AR1859" i="1" l="1"/>
  <c r="AR1706" i="1"/>
  <c r="AR2069" i="1"/>
  <c r="AR1842" i="1"/>
  <c r="AR1705" i="1"/>
  <c r="AR2068" i="1"/>
  <c r="AR1985" i="1"/>
  <c r="AR1733" i="1"/>
  <c r="AR2070" i="1"/>
  <c r="AR2071" i="1"/>
  <c r="AR1986" i="1"/>
  <c r="AR1732" i="1"/>
  <c r="AR2321" i="1"/>
  <c r="AR2383" i="1"/>
  <c r="AR2460" i="1"/>
  <c r="AR2458" i="1"/>
  <c r="AR2459" i="1"/>
  <c r="AR2432" i="1"/>
  <c r="AR2345" i="1"/>
  <c r="AR2439" i="1"/>
  <c r="AR2384" i="1"/>
  <c r="AR2385" i="1"/>
  <c r="AR2346" i="1"/>
  <c r="AR2440" i="1"/>
  <c r="AA2345" i="1"/>
  <c r="W2345" i="1"/>
  <c r="AA2383" i="1"/>
  <c r="W2383" i="1"/>
  <c r="AA1733" i="1"/>
  <c r="W1733" i="1"/>
  <c r="AA1732" i="1"/>
  <c r="W1732" i="1"/>
  <c r="AA2384" i="1"/>
  <c r="W2384" i="1"/>
  <c r="AA1705" i="1"/>
  <c r="W1705" i="1"/>
  <c r="AA2068" i="1"/>
  <c r="W2068" i="1"/>
  <c r="AA1706" i="1"/>
  <c r="W1706" i="1"/>
  <c r="AA2070" i="1"/>
  <c r="W2070" i="1"/>
  <c r="Z1859" i="1"/>
  <c r="V1859" i="1"/>
  <c r="V2384" i="1"/>
  <c r="Z2384" i="1"/>
  <c r="U2069" i="1"/>
  <c r="Y2069" i="1"/>
  <c r="V2458" i="1"/>
  <c r="Z2458" i="1"/>
  <c r="U2384" i="1"/>
  <c r="Y2384" i="1"/>
  <c r="V2321" i="1"/>
  <c r="Z2321" i="1"/>
  <c r="Z2383" i="1"/>
  <c r="V2383" i="1"/>
  <c r="Z1985" i="1"/>
  <c r="V1985" i="1"/>
  <c r="U2071" i="1"/>
  <c r="Y2071" i="1"/>
  <c r="U2383" i="1"/>
  <c r="Y2383" i="1"/>
  <c r="V2432" i="1"/>
  <c r="Z2432" i="1"/>
  <c r="K2025" i="1"/>
  <c r="K2460" i="1"/>
  <c r="K2383" i="1"/>
  <c r="K1705" i="1"/>
  <c r="K2068" i="1"/>
  <c r="K2345" i="1"/>
  <c r="K2458" i="1"/>
  <c r="K2459" i="1"/>
  <c r="K2321" i="1"/>
  <c r="K2439" i="1"/>
  <c r="K1985" i="1"/>
  <c r="K2384" i="1"/>
  <c r="K2385" i="1"/>
  <c r="K2346" i="1"/>
  <c r="K1706" i="1"/>
  <c r="K2069" i="1"/>
  <c r="K2070" i="1"/>
  <c r="K2071" i="1"/>
  <c r="K2432" i="1"/>
  <c r="K1986" i="1"/>
  <c r="K2440" i="1"/>
  <c r="O1859" i="1"/>
  <c r="K1859" i="1"/>
  <c r="M1842" i="1"/>
  <c r="AP1842" i="1" s="1"/>
  <c r="AQ1842" i="1" s="1"/>
  <c r="K1842" i="1"/>
  <c r="M1733" i="1"/>
  <c r="AP1733" i="1" s="1"/>
  <c r="AQ1733" i="1" s="1"/>
  <c r="K1733" i="1"/>
  <c r="M1732" i="1"/>
  <c r="AP1732" i="1" s="1"/>
  <c r="AQ1732" i="1" s="1"/>
  <c r="K1732" i="1"/>
  <c r="O2458" i="1"/>
  <c r="M2321" i="1"/>
  <c r="AP2321" i="1" s="1"/>
  <c r="AQ2321" i="1" s="1"/>
  <c r="M2383" i="1"/>
  <c r="AP2383" i="1" s="1"/>
  <c r="AQ2383" i="1" s="1"/>
  <c r="M2432" i="1"/>
  <c r="AP2432" i="1" s="1"/>
  <c r="AQ2432" i="1" s="1"/>
  <c r="M2459" i="1"/>
  <c r="AP2459" i="1" s="1"/>
  <c r="AQ2459" i="1" s="1"/>
  <c r="O2460" i="1"/>
  <c r="M2439" i="1"/>
  <c r="AP2439" i="1" s="1"/>
  <c r="AQ2439" i="1" s="1"/>
  <c r="M2385" i="1"/>
  <c r="AP2385" i="1" s="1"/>
  <c r="AQ2385" i="1" s="1"/>
  <c r="M2440" i="1"/>
  <c r="AP2440" i="1" s="1"/>
  <c r="AQ2440" i="1" s="1"/>
  <c r="M2384" i="1"/>
  <c r="AP2384" i="1" s="1"/>
  <c r="AQ2384" i="1" s="1"/>
  <c r="M2346" i="1"/>
  <c r="AP2346" i="1" s="1"/>
  <c r="AQ2346" i="1" s="1"/>
  <c r="M2345" i="1"/>
  <c r="AP2345" i="1" s="1"/>
  <c r="AQ2345" i="1" s="1"/>
  <c r="M2025" i="1"/>
  <c r="AP2025" i="1" s="1"/>
  <c r="AQ2025" i="1" s="1"/>
  <c r="M1986" i="1"/>
  <c r="AP1986" i="1" s="1"/>
  <c r="AQ1986" i="1" s="1"/>
  <c r="O1985" i="1"/>
  <c r="M1706" i="1"/>
  <c r="AP1706" i="1" s="1"/>
  <c r="AQ1706" i="1" s="1"/>
  <c r="M2069" i="1"/>
  <c r="AP2069" i="1" s="1"/>
  <c r="AQ2069" i="1" s="1"/>
  <c r="M2070" i="1"/>
  <c r="AP2070" i="1" s="1"/>
  <c r="AQ2070" i="1" s="1"/>
  <c r="M1705" i="1"/>
  <c r="AP1705" i="1" s="1"/>
  <c r="AQ1705" i="1" s="1"/>
  <c r="M2068" i="1"/>
  <c r="AP2068" i="1" s="1"/>
  <c r="AQ2068" i="1" s="1"/>
  <c r="N2071" i="1"/>
  <c r="N1859" i="1"/>
  <c r="R1985" i="1"/>
  <c r="Q1859" i="1"/>
  <c r="Q2460" i="1"/>
  <c r="Q1985" i="1"/>
  <c r="R1859" i="1"/>
  <c r="R2460" i="1"/>
  <c r="M1985" i="1"/>
  <c r="AP1985" i="1" s="1"/>
  <c r="AQ1985" i="1" s="1"/>
  <c r="M2460" i="1"/>
  <c r="AP2460" i="1" s="1"/>
  <c r="AQ2460" i="1" s="1"/>
  <c r="M1859" i="1"/>
  <c r="AP1859" i="1" s="1"/>
  <c r="AQ1859" i="1" s="1"/>
  <c r="N1985" i="1"/>
  <c r="N2460" i="1"/>
  <c r="T2346" i="1"/>
  <c r="O2346" i="1"/>
  <c r="S2346" i="1"/>
  <c r="N2346" i="1"/>
  <c r="R2346" i="1"/>
  <c r="O2385" i="1"/>
  <c r="N2385" i="1"/>
  <c r="O2384" i="1"/>
  <c r="N2384" i="1"/>
  <c r="T2440" i="1"/>
  <c r="O2440" i="1"/>
  <c r="S2440" i="1"/>
  <c r="N2440" i="1"/>
  <c r="R2440" i="1"/>
  <c r="T2460" i="1"/>
  <c r="T2459" i="1"/>
  <c r="O2459" i="1"/>
  <c r="S2459" i="1"/>
  <c r="N2459" i="1"/>
  <c r="R2459" i="1"/>
  <c r="O1733" i="1"/>
  <c r="S1733" i="1"/>
  <c r="N1733" i="1"/>
  <c r="R1733" i="1"/>
  <c r="Q1733" i="1"/>
  <c r="O1732" i="1"/>
  <c r="S1732" i="1"/>
  <c r="N1732" i="1"/>
  <c r="R1732" i="1"/>
  <c r="Q1732" i="1"/>
  <c r="T1859" i="1"/>
  <c r="T1842" i="1"/>
  <c r="O1842" i="1"/>
  <c r="S1842" i="1"/>
  <c r="N1842" i="1"/>
  <c r="R1842" i="1"/>
  <c r="T1985" i="1"/>
  <c r="T1986" i="1"/>
  <c r="O1986" i="1"/>
  <c r="S1986" i="1"/>
  <c r="N1986" i="1"/>
  <c r="R1986" i="1"/>
  <c r="T2025" i="1"/>
  <c r="O2025" i="1"/>
  <c r="S2025" i="1"/>
  <c r="N2025" i="1"/>
  <c r="R2025" i="1"/>
  <c r="R2345" i="1"/>
  <c r="Q2432" i="1"/>
  <c r="S2345" i="1"/>
  <c r="S2069" i="1"/>
  <c r="R2458" i="1"/>
  <c r="Q2458" i="1"/>
  <c r="N2458" i="1"/>
  <c r="M2458" i="1"/>
  <c r="AP2458" i="1" s="1"/>
  <c r="AQ2458" i="1" s="1"/>
  <c r="Q1706" i="1"/>
  <c r="O2071" i="1"/>
  <c r="Q2345" i="1"/>
  <c r="Q1705" i="1"/>
  <c r="R2432" i="1"/>
  <c r="S1706" i="1"/>
  <c r="T2458" i="1"/>
  <c r="T2439" i="1"/>
  <c r="O2439" i="1"/>
  <c r="S2439" i="1"/>
  <c r="N2439" i="1"/>
  <c r="R2439" i="1"/>
  <c r="T2432" i="1"/>
  <c r="O2432" i="1"/>
  <c r="N2432" i="1"/>
  <c r="O2383" i="1"/>
  <c r="N2383" i="1"/>
  <c r="O2345" i="1"/>
  <c r="N2345" i="1"/>
  <c r="S2068" i="1"/>
  <c r="T2069" i="1"/>
  <c r="S1705" i="1"/>
  <c r="R2068" i="1"/>
  <c r="R1706" i="1"/>
  <c r="O2069" i="1"/>
  <c r="Q2069" i="1"/>
  <c r="M2071" i="1"/>
  <c r="AP2071" i="1" s="1"/>
  <c r="AQ2071" i="1" s="1"/>
  <c r="S2071" i="1"/>
  <c r="R2321" i="1"/>
  <c r="R1705" i="1"/>
  <c r="O2068" i="1"/>
  <c r="Q2068" i="1"/>
  <c r="Q2071" i="1"/>
  <c r="Q2321" i="1"/>
  <c r="T2321" i="1"/>
  <c r="O2321" i="1"/>
  <c r="N2321" i="1"/>
  <c r="O2070" i="1"/>
  <c r="S2070" i="1"/>
  <c r="T2071" i="1"/>
  <c r="N2070" i="1"/>
  <c r="R2070" i="1"/>
  <c r="Q2070" i="1"/>
  <c r="N2069" i="1"/>
  <c r="N2068" i="1"/>
  <c r="O1706" i="1"/>
  <c r="N1706" i="1"/>
  <c r="O1705" i="1"/>
  <c r="N1705" i="1"/>
  <c r="AA2458" i="1" l="1"/>
  <c r="W2458" i="1"/>
  <c r="W1986" i="1"/>
  <c r="AA1986" i="1"/>
  <c r="AA2071" i="1"/>
  <c r="W2071" i="1"/>
  <c r="AA2439" i="1"/>
  <c r="W2439" i="1"/>
  <c r="AA2025" i="1"/>
  <c r="W2025" i="1"/>
  <c r="W1859" i="1"/>
  <c r="AA1859" i="1"/>
  <c r="AA2321" i="1"/>
  <c r="W2321" i="1"/>
  <c r="AA2069" i="1"/>
  <c r="W2069" i="1"/>
  <c r="AA2432" i="1"/>
  <c r="W2432" i="1"/>
  <c r="W1842" i="1"/>
  <c r="AA1842" i="1"/>
  <c r="AA2459" i="1"/>
  <c r="W2459" i="1"/>
  <c r="AA1985" i="1"/>
  <c r="W1985" i="1"/>
  <c r="U2321" i="1"/>
  <c r="Y2321" i="1"/>
  <c r="U2432" i="1"/>
  <c r="Y2432" i="1"/>
  <c r="Y2458" i="1"/>
  <c r="U2458" i="1"/>
  <c r="U2345" i="1"/>
  <c r="Y2345" i="1"/>
  <c r="Z1986" i="1"/>
  <c r="V1986" i="1"/>
  <c r="Y1842" i="1"/>
  <c r="U1842" i="1"/>
  <c r="U1733" i="1"/>
  <c r="Y1733" i="1"/>
  <c r="Y2459" i="1"/>
  <c r="U2459" i="1"/>
  <c r="Y2070" i="1"/>
  <c r="U2070" i="1"/>
  <c r="U1705" i="1"/>
  <c r="Y1705" i="1"/>
  <c r="Z1705" i="1"/>
  <c r="V1705" i="1"/>
  <c r="Z2439" i="1"/>
  <c r="V2439" i="1"/>
  <c r="V1706" i="1"/>
  <c r="Z1706" i="1"/>
  <c r="Z2025" i="1"/>
  <c r="V2025" i="1"/>
  <c r="U1732" i="1"/>
  <c r="Y1732" i="1"/>
  <c r="V2070" i="1"/>
  <c r="Z2070" i="1"/>
  <c r="U2068" i="1"/>
  <c r="Y2068" i="1"/>
  <c r="V2345" i="1"/>
  <c r="Z2345" i="1"/>
  <c r="Y1986" i="1"/>
  <c r="U1986" i="1"/>
  <c r="Z1842" i="1"/>
  <c r="V1842" i="1"/>
  <c r="Z1733" i="1"/>
  <c r="V1733" i="1"/>
  <c r="Z2459" i="1"/>
  <c r="V2459" i="1"/>
  <c r="Y1859" i="1"/>
  <c r="U1859" i="1"/>
  <c r="Y1985" i="1"/>
  <c r="U1985" i="1"/>
  <c r="V2071" i="1"/>
  <c r="Z2071" i="1"/>
  <c r="U1706" i="1"/>
  <c r="Y1706" i="1"/>
  <c r="V2068" i="1"/>
  <c r="Z2068" i="1"/>
  <c r="U2439" i="1"/>
  <c r="Y2439" i="1"/>
  <c r="Z2069" i="1"/>
  <c r="V2069" i="1"/>
  <c r="U2025" i="1"/>
  <c r="Y2025" i="1"/>
  <c r="V1732" i="1"/>
  <c r="Z1732" i="1"/>
  <c r="B41" i="1"/>
  <c r="B39" i="1"/>
  <c r="B717" i="1"/>
  <c r="B630" i="1"/>
  <c r="I393" i="10" l="1"/>
  <c r="H55" i="18" s="1"/>
  <c r="E450" i="10"/>
  <c r="I448" i="10"/>
  <c r="I449" i="10" s="1"/>
  <c r="H448" i="10"/>
  <c r="H449" i="10" s="1"/>
  <c r="I247" i="18" l="1"/>
  <c r="H211" i="18"/>
  <c r="P1020" i="17"/>
  <c r="F451" i="10"/>
  <c r="I453" i="10" s="1"/>
  <c r="I454" i="10" s="1"/>
  <c r="E451" i="10"/>
  <c r="H453" i="10" s="1"/>
  <c r="H454" i="10" s="1"/>
  <c r="J138" i="19" l="1"/>
  <c r="J130" i="19"/>
  <c r="J110" i="19"/>
  <c r="J99" i="19"/>
  <c r="J95" i="19"/>
  <c r="J89" i="19"/>
  <c r="J78" i="19"/>
  <c r="D4" i="19"/>
  <c r="H215" i="18" l="1"/>
  <c r="G215" i="18"/>
  <c r="CI3017" i="1" l="1"/>
  <c r="CI3077" i="1"/>
  <c r="CI3045" i="1"/>
  <c r="CI3007" i="1"/>
  <c r="CI3040" i="1"/>
  <c r="H313" i="10" l="1"/>
  <c r="H424" i="10"/>
  <c r="J424" i="10" s="1"/>
  <c r="P1017" i="17" s="1"/>
  <c r="I429" i="10"/>
  <c r="H429" i="10"/>
  <c r="J233" i="10"/>
  <c r="J429" i="10" l="1"/>
  <c r="P1024" i="17" s="1"/>
  <c r="P1023" i="17"/>
  <c r="CI2939" i="1" l="1"/>
  <c r="CI2975" i="1"/>
  <c r="J203" i="10" l="1"/>
  <c r="J202" i="10"/>
  <c r="J108" i="10" l="1"/>
  <c r="J107" i="10"/>
  <c r="A86" i="10"/>
  <c r="A85" i="10"/>
  <c r="B44" i="10"/>
  <c r="B43" i="10"/>
  <c r="B5" i="10"/>
  <c r="A87" i="10" s="1"/>
  <c r="J14" i="19"/>
  <c r="I14" i="19" s="1"/>
  <c r="J124" i="19"/>
  <c r="I39" i="19"/>
  <c r="I36" i="19"/>
  <c r="I35" i="19"/>
  <c r="I215" i="18"/>
  <c r="F19" i="18"/>
  <c r="F18" i="18"/>
  <c r="I16" i="18"/>
  <c r="F10" i="18"/>
  <c r="J41" i="19"/>
  <c r="P6" i="17"/>
  <c r="H1049" i="17" l="1"/>
  <c r="F1051" i="17" s="1"/>
  <c r="F1052" i="17" s="1"/>
  <c r="F1053" i="17" s="1"/>
  <c r="F1054" i="17" s="1"/>
  <c r="F1055" i="17" s="1"/>
  <c r="F1056" i="17" s="1"/>
  <c r="F1057" i="17" s="1"/>
  <c r="F1058" i="17" s="1"/>
  <c r="F1059" i="17" s="1"/>
  <c r="F1060" i="17" s="1"/>
  <c r="F1061" i="17" s="1"/>
  <c r="F1062" i="17" s="1"/>
  <c r="F1063" i="17" s="1"/>
  <c r="F1064" i="17" s="1"/>
  <c r="F1065" i="17" s="1"/>
  <c r="F1066" i="17" s="1"/>
  <c r="F1067" i="17" s="1"/>
  <c r="F1068" i="17" s="1"/>
  <c r="F1069" i="17" s="1"/>
  <c r="F1070" i="17" s="1"/>
  <c r="F1071" i="17" s="1"/>
  <c r="F1072" i="17" s="1"/>
  <c r="H1072" i="17" s="1"/>
  <c r="J45" i="19"/>
  <c r="B45" i="10"/>
  <c r="I34" i="19"/>
  <c r="I37" i="19"/>
  <c r="I42" i="19"/>
  <c r="I43" i="19"/>
  <c r="I41" i="19" l="1"/>
  <c r="F1073" i="17"/>
  <c r="F1074" i="17" s="1"/>
  <c r="F1075" i="17" s="1"/>
  <c r="F1076" i="17" s="1"/>
  <c r="F1077" i="17" l="1"/>
  <c r="F1078" i="17" s="1"/>
  <c r="H1062" i="17"/>
  <c r="F1079" i="17" l="1"/>
  <c r="H1063" i="17"/>
  <c r="F1080" i="17" l="1"/>
  <c r="H1064" i="17"/>
  <c r="F1081" i="17" l="1"/>
  <c r="F1082" i="17" s="1"/>
  <c r="H1065" i="17"/>
  <c r="F1083" i="17" l="1"/>
  <c r="H1066" i="17"/>
  <c r="F1084" i="17" l="1"/>
  <c r="F1085" i="17" s="1"/>
  <c r="H1078" i="17"/>
  <c r="F1086" i="17" l="1"/>
  <c r="P676" i="17"/>
  <c r="F1087" i="17" l="1"/>
  <c r="H1087" i="17" s="1"/>
  <c r="F1088" i="17" l="1"/>
  <c r="F1089" i="17" l="1"/>
  <c r="F1090" i="17" s="1"/>
  <c r="F1091" i="17" s="1"/>
  <c r="F1092" i="17" s="1"/>
  <c r="F1093" i="17" l="1"/>
  <c r="H1090" i="17"/>
  <c r="H1093" i="17" l="1"/>
  <c r="F1094" i="17"/>
  <c r="F1095" i="17" s="1"/>
  <c r="F1096" i="17" l="1"/>
  <c r="F1097" i="17" l="1"/>
  <c r="F1098" i="17" s="1"/>
  <c r="H1096" i="17"/>
  <c r="F1099" i="17" l="1"/>
  <c r="F1308" i="1"/>
  <c r="B1308" i="1"/>
  <c r="AR1308" i="1" l="1"/>
  <c r="H1099" i="17"/>
  <c r="F1100" i="17"/>
  <c r="K1308" i="1"/>
  <c r="O1308" i="1"/>
  <c r="N1308" i="1"/>
  <c r="M1308" i="1"/>
  <c r="AP1308" i="1" s="1"/>
  <c r="AQ1308" i="1" s="1"/>
  <c r="T1308" i="1"/>
  <c r="Q1308" i="1"/>
  <c r="F1101" i="17" l="1"/>
  <c r="F1102" i="17" s="1"/>
  <c r="S1246" i="1"/>
  <c r="T1245" i="1"/>
  <c r="B1246" i="1"/>
  <c r="B1245" i="1"/>
  <c r="F1137" i="1"/>
  <c r="B1137" i="1"/>
  <c r="S1061" i="1"/>
  <c r="H1102" i="17" l="1"/>
  <c r="AR1137" i="1"/>
  <c r="AQ1137" i="1"/>
  <c r="AR1061" i="1"/>
  <c r="AA1245" i="1"/>
  <c r="W1245" i="1"/>
  <c r="Z1246" i="1"/>
  <c r="V1246" i="1"/>
  <c r="Z1061" i="1"/>
  <c r="V1061" i="1"/>
  <c r="K1061" i="1"/>
  <c r="J1246" i="1"/>
  <c r="AR1246" i="1" s="1"/>
  <c r="K1246" i="1"/>
  <c r="J1245" i="1"/>
  <c r="AR1245" i="1" s="1"/>
  <c r="K1245" i="1"/>
  <c r="N1246" i="1"/>
  <c r="N1245" i="1"/>
  <c r="Q1245" i="1"/>
  <c r="S1245" i="1"/>
  <c r="N1061" i="1"/>
  <c r="M1061" i="1"/>
  <c r="AP1061" i="1" s="1"/>
  <c r="AQ1061" i="1" s="1"/>
  <c r="O1061" i="1"/>
  <c r="R1246" i="1"/>
  <c r="T1246" i="1"/>
  <c r="R1245" i="1"/>
  <c r="Q1246" i="1"/>
  <c r="M1245" i="1"/>
  <c r="AP1245" i="1" s="1"/>
  <c r="AQ1245" i="1" s="1"/>
  <c r="O1245" i="1"/>
  <c r="M1246" i="1"/>
  <c r="AP1246" i="1" s="1"/>
  <c r="AQ1246" i="1" s="1"/>
  <c r="O1246" i="1"/>
  <c r="R1061" i="1"/>
  <c r="T1061" i="1"/>
  <c r="Q1061" i="1"/>
  <c r="P1019" i="17" l="1"/>
  <c r="J244" i="10"/>
  <c r="I254" i="18" s="1"/>
  <c r="W1246" i="1"/>
  <c r="AA1246" i="1"/>
  <c r="W1061" i="1"/>
  <c r="AA1061" i="1"/>
  <c r="Y1061" i="1"/>
  <c r="U1061" i="1"/>
  <c r="Y1246" i="1"/>
  <c r="U1246" i="1"/>
  <c r="V1245" i="1"/>
  <c r="Z1245" i="1"/>
  <c r="U1245" i="1"/>
  <c r="Y1245" i="1"/>
  <c r="S1058" i="1"/>
  <c r="F1061" i="1"/>
  <c r="F1058" i="1"/>
  <c r="B1061" i="1"/>
  <c r="B1058" i="1"/>
  <c r="Z1058" i="1" l="1"/>
  <c r="V1058" i="1"/>
  <c r="J1058" i="1"/>
  <c r="AR1058" i="1" s="1"/>
  <c r="N1058" i="1"/>
  <c r="K1058" i="1"/>
  <c r="M1058" i="1"/>
  <c r="AP1058" i="1" s="1"/>
  <c r="AQ1058" i="1" s="1"/>
  <c r="O1058" i="1"/>
  <c r="R1058" i="1"/>
  <c r="T1058" i="1"/>
  <c r="Q1058" i="1"/>
  <c r="W1058" i="1" l="1"/>
  <c r="AA1058" i="1"/>
  <c r="Y1058" i="1"/>
  <c r="U1058" i="1"/>
  <c r="S853" i="1"/>
  <c r="B853" i="1"/>
  <c r="B819" i="1"/>
  <c r="S819" i="1"/>
  <c r="AR853" i="1" l="1"/>
  <c r="AR819" i="1"/>
  <c r="V853" i="1"/>
  <c r="Z853" i="1"/>
  <c r="V819" i="1"/>
  <c r="Z819" i="1"/>
  <c r="K853" i="1"/>
  <c r="O819" i="1"/>
  <c r="K819" i="1"/>
  <c r="N853" i="1"/>
  <c r="N819" i="1"/>
  <c r="M819" i="1"/>
  <c r="AP819" i="1" s="1"/>
  <c r="AQ819" i="1" s="1"/>
  <c r="R853" i="1"/>
  <c r="T853" i="1"/>
  <c r="Q853" i="1"/>
  <c r="M853" i="1"/>
  <c r="AP853" i="1" s="1"/>
  <c r="AQ853" i="1" s="1"/>
  <c r="O853" i="1"/>
  <c r="R819" i="1"/>
  <c r="T819" i="1"/>
  <c r="Q819" i="1"/>
  <c r="W853" i="1" l="1"/>
  <c r="AA853" i="1"/>
  <c r="W819" i="1"/>
  <c r="AA819" i="1"/>
  <c r="U853" i="1"/>
  <c r="Y853" i="1"/>
  <c r="U819" i="1"/>
  <c r="Y819" i="1"/>
  <c r="CI3170" i="1" l="1"/>
  <c r="CI3149" i="1"/>
  <c r="CI3169" i="1"/>
  <c r="CI3168" i="1"/>
  <c r="CI3167" i="1"/>
  <c r="CI3166" i="1"/>
  <c r="CI3165" i="1"/>
  <c r="CI3164" i="1"/>
  <c r="CI3163" i="1"/>
  <c r="CI3162" i="1"/>
  <c r="CI3161" i="1"/>
  <c r="CI3160" i="1"/>
  <c r="CI3159" i="1"/>
  <c r="CI3158" i="1"/>
  <c r="CI3157" i="1"/>
  <c r="CI3156" i="1"/>
  <c r="CI3155" i="1"/>
  <c r="CI3154" i="1"/>
  <c r="CI3153" i="1"/>
  <c r="CI3152" i="1"/>
  <c r="CI3151" i="1"/>
  <c r="CI3150" i="1"/>
  <c r="CI3148" i="1"/>
  <c r="CI3147" i="1"/>
  <c r="CI3146" i="1"/>
  <c r="CI3145" i="1"/>
  <c r="CI3144" i="1"/>
  <c r="CI3113" i="1"/>
  <c r="CI3112" i="1"/>
  <c r="CI3099" i="1"/>
  <c r="CI3114" i="1"/>
  <c r="CI3111" i="1"/>
  <c r="CI3110" i="1"/>
  <c r="CI3109" i="1"/>
  <c r="CI3108" i="1"/>
  <c r="CI3107" i="1"/>
  <c r="CI3106" i="1"/>
  <c r="CI3105" i="1"/>
  <c r="CI3104" i="1"/>
  <c r="CI3103" i="1"/>
  <c r="CI3102" i="1"/>
  <c r="CI3101" i="1"/>
  <c r="CI3100" i="1"/>
  <c r="CI3098" i="1"/>
  <c r="CI3097" i="1"/>
  <c r="CI3078" i="1" l="1"/>
  <c r="CI3076" i="1"/>
  <c r="CI3075" i="1"/>
  <c r="CI3074" i="1"/>
  <c r="CI3073" i="1"/>
  <c r="CI3072" i="1"/>
  <c r="CI3054" i="1"/>
  <c r="CI3053" i="1"/>
  <c r="CI3052" i="1"/>
  <c r="CI3051" i="1"/>
  <c r="CI3050" i="1"/>
  <c r="CI3048" i="1"/>
  <c r="CI3047" i="1"/>
  <c r="CI3046" i="1"/>
  <c r="CI3043" i="1"/>
  <c r="CI3041" i="1"/>
  <c r="CI3039" i="1"/>
  <c r="CI3038" i="1"/>
  <c r="CI3037" i="1"/>
  <c r="CI3036" i="1"/>
  <c r="CI3035" i="1"/>
  <c r="CI3034" i="1"/>
  <c r="CI3032" i="1"/>
  <c r="CI3031" i="1"/>
  <c r="CI3029" i="1"/>
  <c r="CI3028" i="1"/>
  <c r="CI3027" i="1"/>
  <c r="CI3055" i="1"/>
  <c r="CI3071" i="1" l="1"/>
  <c r="CI3070" i="1"/>
  <c r="CI3069" i="1"/>
  <c r="CI3068" i="1"/>
  <c r="CI3067" i="1"/>
  <c r="CI3066" i="1"/>
  <c r="CI3065" i="1"/>
  <c r="CI3064" i="1"/>
  <c r="CI3063" i="1"/>
  <c r="CI3062" i="1"/>
  <c r="CI3061" i="1"/>
  <c r="CI3060" i="1"/>
  <c r="CI3059" i="1"/>
  <c r="CI3058" i="1"/>
  <c r="CI3057" i="1"/>
  <c r="CI3056" i="1"/>
  <c r="CI3026" i="1"/>
  <c r="CI3025" i="1"/>
  <c r="CI3024" i="1"/>
  <c r="CI3023" i="1"/>
  <c r="CI3022" i="1"/>
  <c r="CI3021" i="1"/>
  <c r="CI3020" i="1"/>
  <c r="CI3019" i="1"/>
  <c r="CI3018" i="1"/>
  <c r="CI3015" i="1"/>
  <c r="CI3014" i="1"/>
  <c r="CI3013" i="1"/>
  <c r="CI3012" i="1"/>
  <c r="CI3011" i="1"/>
  <c r="CI3010" i="1"/>
  <c r="CI3009" i="1"/>
  <c r="CI3008" i="1"/>
  <c r="CI3006" i="1"/>
  <c r="CI3005" i="1"/>
  <c r="CI3004" i="1"/>
  <c r="CI3003" i="1"/>
  <c r="CI3002" i="1"/>
  <c r="CI3001" i="1"/>
  <c r="AC3088" i="1"/>
  <c r="CH3082" i="1"/>
  <c r="CH3081" i="1"/>
  <c r="CH3080" i="1"/>
  <c r="CI3079" i="1"/>
  <c r="CH3079" i="1"/>
  <c r="CH3071" i="1"/>
  <c r="CH3064" i="1"/>
  <c r="CH3063" i="1"/>
  <c r="CH3062" i="1"/>
  <c r="CH3026" i="1"/>
  <c r="CH3025" i="1"/>
  <c r="CH3021" i="1"/>
  <c r="CH3020" i="1"/>
  <c r="CH3019" i="1"/>
  <c r="CH3018" i="1"/>
  <c r="CH3016" i="1"/>
  <c r="CH3015" i="1"/>
  <c r="CH3014" i="1"/>
  <c r="CH3013" i="1"/>
  <c r="CH3012" i="1"/>
  <c r="CH3011" i="1"/>
  <c r="CH3009" i="1"/>
  <c r="CH3004" i="1"/>
  <c r="CH3003" i="1"/>
  <c r="CH3002" i="1"/>
  <c r="CH3001" i="1"/>
  <c r="CH3000" i="1"/>
  <c r="CH2999" i="1"/>
  <c r="CH2998" i="1"/>
  <c r="CI2949" i="1" l="1"/>
  <c r="CI2926" i="1"/>
  <c r="CI2950" i="1"/>
  <c r="CI2948" i="1"/>
  <c r="CI2947" i="1"/>
  <c r="CI2946" i="1"/>
  <c r="CI2945" i="1"/>
  <c r="CI2944" i="1"/>
  <c r="CI2943" i="1"/>
  <c r="CI2942" i="1"/>
  <c r="CI2940" i="1"/>
  <c r="CI2937" i="1"/>
  <c r="CI2936" i="1"/>
  <c r="CI2935" i="1"/>
  <c r="CI2934" i="1"/>
  <c r="CI2933" i="1"/>
  <c r="CI2932" i="1"/>
  <c r="CI2931" i="1"/>
  <c r="CI2930" i="1"/>
  <c r="CI2929" i="1"/>
  <c r="CI2928" i="1"/>
  <c r="CI2925" i="1"/>
  <c r="CI2924" i="1"/>
  <c r="CI2923" i="1"/>
  <c r="CI2982" i="1"/>
  <c r="CI2981" i="1"/>
  <c r="CI2980" i="1"/>
  <c r="CI2978" i="1"/>
  <c r="CI2977" i="1"/>
  <c r="CI2976" i="1"/>
  <c r="CI2974" i="1"/>
  <c r="CI2973" i="1"/>
  <c r="CI2972" i="1"/>
  <c r="CI2971" i="1"/>
  <c r="CI2970" i="1"/>
  <c r="CI2969" i="1"/>
  <c r="CI2968" i="1"/>
  <c r="CI2967" i="1"/>
  <c r="CI2966" i="1"/>
  <c r="CI2965" i="1"/>
  <c r="CI2964" i="1"/>
  <c r="CI2963" i="1"/>
  <c r="CI2962" i="1"/>
  <c r="CI2961" i="1"/>
  <c r="CI2960" i="1"/>
  <c r="CI2959" i="1"/>
  <c r="CI2958" i="1"/>
  <c r="CI2953" i="1"/>
  <c r="CI2952" i="1"/>
  <c r="CI2922" i="1"/>
  <c r="CI2921" i="1"/>
  <c r="CH2997" i="1"/>
  <c r="CH2996" i="1"/>
  <c r="AC2992" i="1"/>
  <c r="CI2983" i="1"/>
  <c r="T134" i="12" l="1"/>
  <c r="T135" i="12"/>
  <c r="AX3170" i="1"/>
  <c r="AZ3170" i="1"/>
  <c r="BB3170" i="1"/>
  <c r="BD3170" i="1"/>
  <c r="BF3170" i="1"/>
  <c r="BJ3170" i="1"/>
  <c r="BN3170" i="1"/>
  <c r="BR3170" i="1"/>
  <c r="BV3170" i="1"/>
  <c r="BZ3170" i="1"/>
  <c r="BH3170" i="1"/>
  <c r="BL3170" i="1"/>
  <c r="BP3170" i="1"/>
  <c r="BT3170" i="1"/>
  <c r="BX3170" i="1"/>
  <c r="CB3170" i="1"/>
  <c r="BY3170" i="1"/>
  <c r="BU3170" i="1"/>
  <c r="BQ3170" i="1"/>
  <c r="BM3170" i="1"/>
  <c r="BI3170" i="1"/>
  <c r="BE3170" i="1"/>
  <c r="BA3170" i="1"/>
  <c r="AW3170" i="1"/>
  <c r="AS3170" i="1"/>
  <c r="AV3170" i="1"/>
  <c r="CA3170" i="1"/>
  <c r="BW3170" i="1"/>
  <c r="BS3170" i="1"/>
  <c r="BO3170" i="1"/>
  <c r="BK3170" i="1"/>
  <c r="BG3170" i="1"/>
  <c r="BC3170" i="1"/>
  <c r="AY3170" i="1"/>
  <c r="AU3170" i="1"/>
  <c r="AT3170" i="1"/>
  <c r="BY3169" i="1"/>
  <c r="BU3169" i="1"/>
  <c r="BQ3169" i="1"/>
  <c r="BM3169" i="1"/>
  <c r="BI3169" i="1"/>
  <c r="BE3169" i="1"/>
  <c r="BA3169" i="1"/>
  <c r="AW3169" i="1"/>
  <c r="AS3169" i="1"/>
  <c r="BU3166" i="1"/>
  <c r="BM3166" i="1"/>
  <c r="BE3166" i="1"/>
  <c r="AW3166" i="1"/>
  <c r="BY3165" i="1"/>
  <c r="BU3165" i="1"/>
  <c r="BQ3165" i="1"/>
  <c r="BM3165" i="1"/>
  <c r="BI3165" i="1"/>
  <c r="BE3165" i="1"/>
  <c r="BA3165" i="1"/>
  <c r="AW3165" i="1"/>
  <c r="AS3165" i="1"/>
  <c r="CA3163" i="1"/>
  <c r="BY3163" i="1"/>
  <c r="BW3163" i="1"/>
  <c r="BU3163" i="1"/>
  <c r="BS3163" i="1"/>
  <c r="BQ3163" i="1"/>
  <c r="BO3163" i="1"/>
  <c r="BM3163" i="1"/>
  <c r="BK3163" i="1"/>
  <c r="BI3163" i="1"/>
  <c r="BG3163" i="1"/>
  <c r="BE3163" i="1"/>
  <c r="BC3163" i="1"/>
  <c r="BA3163" i="1"/>
  <c r="AY3163" i="1"/>
  <c r="AW3163" i="1"/>
  <c r="AU3163" i="1"/>
  <c r="AS3163" i="1"/>
  <c r="BU3160" i="1"/>
  <c r="BM3160" i="1"/>
  <c r="BE3160" i="1"/>
  <c r="AW3160" i="1"/>
  <c r="CA3159" i="1"/>
  <c r="BY3159" i="1"/>
  <c r="BW3159" i="1"/>
  <c r="BU3159" i="1"/>
  <c r="BS3159" i="1"/>
  <c r="BQ3159" i="1"/>
  <c r="BO3159" i="1"/>
  <c r="BM3159" i="1"/>
  <c r="BK3159" i="1"/>
  <c r="BI3159" i="1"/>
  <c r="BG3159" i="1"/>
  <c r="BE3159" i="1"/>
  <c r="BC3159" i="1"/>
  <c r="BA3159" i="1"/>
  <c r="AY3159" i="1"/>
  <c r="AW3159" i="1"/>
  <c r="AU3159" i="1"/>
  <c r="AS3159" i="1"/>
  <c r="BY3157" i="1"/>
  <c r="BU3157" i="1"/>
  <c r="BQ3157" i="1"/>
  <c r="BM3157" i="1"/>
  <c r="BI3157" i="1"/>
  <c r="BE3157" i="1"/>
  <c r="BA3157" i="1"/>
  <c r="AW3157" i="1"/>
  <c r="AS3157" i="1"/>
  <c r="BU3154" i="1"/>
  <c r="BM3154" i="1"/>
  <c r="BE3154" i="1"/>
  <c r="AW3154" i="1"/>
  <c r="CA3153" i="1"/>
  <c r="BY3153" i="1"/>
  <c r="BW3153" i="1"/>
  <c r="BU3153" i="1"/>
  <c r="BS3153" i="1"/>
  <c r="BQ3153" i="1"/>
  <c r="BO3153" i="1"/>
  <c r="BM3153" i="1"/>
  <c r="BK3153" i="1"/>
  <c r="BI3153" i="1"/>
  <c r="BG3153" i="1"/>
  <c r="BE3153" i="1"/>
  <c r="BC3153" i="1"/>
  <c r="BA3153" i="1"/>
  <c r="AY3153" i="1"/>
  <c r="AW3153" i="1"/>
  <c r="AU3153" i="1"/>
  <c r="AS3153" i="1"/>
  <c r="BU3150" i="1"/>
  <c r="BM3150" i="1"/>
  <c r="BE3150" i="1"/>
  <c r="AW3150" i="1"/>
  <c r="CA3148" i="1"/>
  <c r="BY3148" i="1"/>
  <c r="BW3148" i="1"/>
  <c r="BU3148" i="1"/>
  <c r="BS3148" i="1"/>
  <c r="BQ3148" i="1"/>
  <c r="BO3148" i="1"/>
  <c r="BM3148" i="1"/>
  <c r="BK3148" i="1"/>
  <c r="BI3148" i="1"/>
  <c r="BG3148" i="1"/>
  <c r="BE3148" i="1"/>
  <c r="BC3148" i="1"/>
  <c r="BA3148" i="1"/>
  <c r="AY3148" i="1"/>
  <c r="AW3148" i="1"/>
  <c r="AU3148" i="1"/>
  <c r="AS3148" i="1"/>
  <c r="BU3145" i="1"/>
  <c r="BM3145" i="1"/>
  <c r="BE3145" i="1"/>
  <c r="AW3145" i="1"/>
  <c r="BY3144" i="1"/>
  <c r="BU3144" i="1"/>
  <c r="BQ3144" i="1"/>
  <c r="BM3144" i="1"/>
  <c r="BI3144" i="1"/>
  <c r="BE3144" i="1"/>
  <c r="BA3144" i="1"/>
  <c r="AW3144" i="1"/>
  <c r="AS3144" i="1"/>
  <c r="CA3169" i="1"/>
  <c r="BW3169" i="1"/>
  <c r="BS3169" i="1"/>
  <c r="BO3169" i="1"/>
  <c r="BK3169" i="1"/>
  <c r="BG3169" i="1"/>
  <c r="BC3169" i="1"/>
  <c r="AY3169" i="1"/>
  <c r="AU3169" i="1"/>
  <c r="BU3168" i="1"/>
  <c r="BM3168" i="1"/>
  <c r="BE3168" i="1"/>
  <c r="AW3168" i="1"/>
  <c r="CA3167" i="1"/>
  <c r="BY3167" i="1"/>
  <c r="BW3167" i="1"/>
  <c r="BU3167" i="1"/>
  <c r="BS3167" i="1"/>
  <c r="BQ3167" i="1"/>
  <c r="BO3167" i="1"/>
  <c r="BM3167" i="1"/>
  <c r="BK3167" i="1"/>
  <c r="BI3167" i="1"/>
  <c r="BG3167" i="1"/>
  <c r="BE3167" i="1"/>
  <c r="BC3167" i="1"/>
  <c r="BA3167" i="1"/>
  <c r="AY3167" i="1"/>
  <c r="AW3167" i="1"/>
  <c r="AU3167" i="1"/>
  <c r="AS3167" i="1"/>
  <c r="BY3166" i="1"/>
  <c r="BQ3166" i="1"/>
  <c r="BI3166" i="1"/>
  <c r="BA3166" i="1"/>
  <c r="AS3166" i="1"/>
  <c r="CA3165" i="1"/>
  <c r="BW3165" i="1"/>
  <c r="BS3165" i="1"/>
  <c r="BO3165" i="1"/>
  <c r="BK3165" i="1"/>
  <c r="BG3165" i="1"/>
  <c r="BC3165" i="1"/>
  <c r="AY3165" i="1"/>
  <c r="AU3165" i="1"/>
  <c r="BY3164" i="1"/>
  <c r="BU3164" i="1"/>
  <c r="BQ3164" i="1"/>
  <c r="BM3164" i="1"/>
  <c r="BI3164" i="1"/>
  <c r="BE3164" i="1"/>
  <c r="BA3164" i="1"/>
  <c r="AW3164" i="1"/>
  <c r="AS3164" i="1"/>
  <c r="CB3163" i="1"/>
  <c r="BZ3163" i="1"/>
  <c r="BX3163" i="1"/>
  <c r="BV3163" i="1"/>
  <c r="BT3163" i="1"/>
  <c r="BR3163" i="1"/>
  <c r="BP3163" i="1"/>
  <c r="BN3163" i="1"/>
  <c r="BL3163" i="1"/>
  <c r="BJ3163" i="1"/>
  <c r="BH3163" i="1"/>
  <c r="BF3163" i="1"/>
  <c r="BD3163" i="1"/>
  <c r="BB3163" i="1"/>
  <c r="AZ3163" i="1"/>
  <c r="AX3163" i="1"/>
  <c r="AV3163" i="1"/>
  <c r="AT3163" i="1"/>
  <c r="BU3162" i="1"/>
  <c r="BM3162" i="1"/>
  <c r="BE3162" i="1"/>
  <c r="AW3162" i="1"/>
  <c r="BY3161" i="1"/>
  <c r="BU3161" i="1"/>
  <c r="BQ3161" i="1"/>
  <c r="BM3161" i="1"/>
  <c r="BI3161" i="1"/>
  <c r="BE3161" i="1"/>
  <c r="BA3161" i="1"/>
  <c r="AW3161" i="1"/>
  <c r="AS3161" i="1"/>
  <c r="BY3160" i="1"/>
  <c r="BQ3160" i="1"/>
  <c r="BI3160" i="1"/>
  <c r="BA3160" i="1"/>
  <c r="AS3160" i="1"/>
  <c r="CB3159" i="1"/>
  <c r="BZ3159" i="1"/>
  <c r="BX3159" i="1"/>
  <c r="BV3159" i="1"/>
  <c r="BT3159" i="1"/>
  <c r="BR3159" i="1"/>
  <c r="BP3159" i="1"/>
  <c r="BN3159" i="1"/>
  <c r="BL3159" i="1"/>
  <c r="BJ3159" i="1"/>
  <c r="BH3159" i="1"/>
  <c r="BF3159" i="1"/>
  <c r="BD3159" i="1"/>
  <c r="BB3159" i="1"/>
  <c r="AZ3159" i="1"/>
  <c r="AX3159" i="1"/>
  <c r="AV3159" i="1"/>
  <c r="AT3159" i="1"/>
  <c r="BM3158" i="1"/>
  <c r="AW3158" i="1"/>
  <c r="CA3157" i="1"/>
  <c r="BW3157" i="1"/>
  <c r="BS3157" i="1"/>
  <c r="BO3157" i="1"/>
  <c r="BK3157" i="1"/>
  <c r="BG3157" i="1"/>
  <c r="BC3157" i="1"/>
  <c r="AY3157" i="1"/>
  <c r="AU3157" i="1"/>
  <c r="BU3156" i="1"/>
  <c r="BM3156" i="1"/>
  <c r="BE3156" i="1"/>
  <c r="AW3156" i="1"/>
  <c r="CA3155" i="1"/>
  <c r="BY3155" i="1"/>
  <c r="BW3155" i="1"/>
  <c r="BU3155" i="1"/>
  <c r="BS3155" i="1"/>
  <c r="BQ3155" i="1"/>
  <c r="BO3155" i="1"/>
  <c r="BM3155" i="1"/>
  <c r="BK3155" i="1"/>
  <c r="BI3155" i="1"/>
  <c r="BG3155" i="1"/>
  <c r="BE3155" i="1"/>
  <c r="BC3155" i="1"/>
  <c r="AY3155" i="1"/>
  <c r="AU3155" i="1"/>
  <c r="BQ3154" i="1"/>
  <c r="BA3154" i="1"/>
  <c r="BZ3153" i="1"/>
  <c r="BV3153" i="1"/>
  <c r="BR3153" i="1"/>
  <c r="BN3153" i="1"/>
  <c r="BJ3153" i="1"/>
  <c r="BF3153" i="1"/>
  <c r="BB3153" i="1"/>
  <c r="AX3153" i="1"/>
  <c r="AT3153" i="1"/>
  <c r="BU3152" i="1"/>
  <c r="BE3152" i="1"/>
  <c r="BY3151" i="1"/>
  <c r="BU3151" i="1"/>
  <c r="BQ3151" i="1"/>
  <c r="BM3151" i="1"/>
  <c r="BI3151" i="1"/>
  <c r="BE3151" i="1"/>
  <c r="BA3151" i="1"/>
  <c r="AW3151" i="1"/>
  <c r="AS3151" i="1"/>
  <c r="BY3150" i="1"/>
  <c r="BI3150" i="1"/>
  <c r="AS3150" i="1"/>
  <c r="CB3148" i="1"/>
  <c r="BX3148" i="1"/>
  <c r="BT3148" i="1"/>
  <c r="BP3148" i="1"/>
  <c r="BL3148" i="1"/>
  <c r="BH3148" i="1"/>
  <c r="BD3148" i="1"/>
  <c r="AZ3148" i="1"/>
  <c r="AV3148" i="1"/>
  <c r="BM3147" i="1"/>
  <c r="AW3147" i="1"/>
  <c r="CA3146" i="1"/>
  <c r="BW3146" i="1"/>
  <c r="BS3146" i="1"/>
  <c r="BO3146" i="1"/>
  <c r="BK3146" i="1"/>
  <c r="BG3146" i="1"/>
  <c r="BC3146" i="1"/>
  <c r="AY3146" i="1"/>
  <c r="AU3146" i="1"/>
  <c r="BQ3145" i="1"/>
  <c r="BA3145" i="1"/>
  <c r="BW3144" i="1"/>
  <c r="BO3144" i="1"/>
  <c r="BG3144" i="1"/>
  <c r="AY3144" i="1"/>
  <c r="AY3113" i="1"/>
  <c r="BG3113" i="1"/>
  <c r="BM3113" i="1"/>
  <c r="BQ3113" i="1"/>
  <c r="BU3113" i="1"/>
  <c r="BY3113" i="1"/>
  <c r="AU3112" i="1"/>
  <c r="AY3112" i="1"/>
  <c r="BA3112" i="1"/>
  <c r="BC3112" i="1"/>
  <c r="BE3112" i="1"/>
  <c r="BG3112" i="1"/>
  <c r="BI3112" i="1"/>
  <c r="BK3112" i="1"/>
  <c r="BM3112" i="1"/>
  <c r="BO3112" i="1"/>
  <c r="BQ3112" i="1"/>
  <c r="BS3112" i="1"/>
  <c r="BU3112" i="1"/>
  <c r="BW3112" i="1"/>
  <c r="BY3112" i="1"/>
  <c r="CA3112" i="1"/>
  <c r="BY3114" i="1"/>
  <c r="BQ3114" i="1"/>
  <c r="BI3114" i="1"/>
  <c r="BA3114" i="1"/>
  <c r="AS3114" i="1"/>
  <c r="BY3111" i="1"/>
  <c r="BQ3111" i="1"/>
  <c r="BI3111" i="1"/>
  <c r="BA3111" i="1"/>
  <c r="AS3111" i="1"/>
  <c r="BY3110" i="1"/>
  <c r="BQ3110" i="1"/>
  <c r="BI3110" i="1"/>
  <c r="BA3110" i="1"/>
  <c r="AS3110" i="1"/>
  <c r="BY3109" i="1"/>
  <c r="BQ3109" i="1"/>
  <c r="BI3109" i="1"/>
  <c r="BA3109" i="1"/>
  <c r="AS3109" i="1"/>
  <c r="BY3108" i="1"/>
  <c r="BQ3108" i="1"/>
  <c r="BI3108" i="1"/>
  <c r="BA3108" i="1"/>
  <c r="AS3108" i="1"/>
  <c r="BY3107" i="1"/>
  <c r="BQ3107" i="1"/>
  <c r="BI3107" i="1"/>
  <c r="BA3107" i="1"/>
  <c r="AS3107" i="1"/>
  <c r="BY3106" i="1"/>
  <c r="BQ3106" i="1"/>
  <c r="BI3106" i="1"/>
  <c r="BA3106" i="1"/>
  <c r="AS3106" i="1"/>
  <c r="BY3105" i="1"/>
  <c r="BQ3105" i="1"/>
  <c r="BI3105" i="1"/>
  <c r="BA3105" i="1"/>
  <c r="AS3105" i="1"/>
  <c r="BQ3104" i="1"/>
  <c r="BA3104" i="1"/>
  <c r="CA3103" i="1"/>
  <c r="BS3103" i="1"/>
  <c r="BK3103" i="1"/>
  <c r="BC3103" i="1"/>
  <c r="AU3103" i="1"/>
  <c r="BY3102" i="1"/>
  <c r="BQ3102" i="1"/>
  <c r="BI3102" i="1"/>
  <c r="BA3102" i="1"/>
  <c r="AS3102" i="1"/>
  <c r="BW3101" i="1"/>
  <c r="BO3101" i="1"/>
  <c r="BG3101" i="1"/>
  <c r="AY3101" i="1"/>
  <c r="BU3100" i="1"/>
  <c r="BM3100" i="1"/>
  <c r="BE3100" i="1"/>
  <c r="AW3100" i="1"/>
  <c r="CA3098" i="1"/>
  <c r="BS3098" i="1"/>
  <c r="BK3098" i="1"/>
  <c r="BC3098" i="1"/>
  <c r="AU3098" i="1"/>
  <c r="BY3097" i="1"/>
  <c r="BQ3097" i="1"/>
  <c r="BI3097" i="1"/>
  <c r="BA3097" i="1"/>
  <c r="AW3097" i="1"/>
  <c r="BA3155" i="1"/>
  <c r="AW3155" i="1"/>
  <c r="AS3155" i="1"/>
  <c r="BY3154" i="1"/>
  <c r="BI3154" i="1"/>
  <c r="AS3154" i="1"/>
  <c r="CB3153" i="1"/>
  <c r="BX3153" i="1"/>
  <c r="BT3153" i="1"/>
  <c r="BP3153" i="1"/>
  <c r="BL3153" i="1"/>
  <c r="BH3153" i="1"/>
  <c r="BD3153" i="1"/>
  <c r="AZ3153" i="1"/>
  <c r="AV3153" i="1"/>
  <c r="BM3152" i="1"/>
  <c r="AW3152" i="1"/>
  <c r="BQ3150" i="1"/>
  <c r="BA3150" i="1"/>
  <c r="BZ3148" i="1"/>
  <c r="BV3148" i="1"/>
  <c r="BR3148" i="1"/>
  <c r="BN3148" i="1"/>
  <c r="BJ3148" i="1"/>
  <c r="BF3148" i="1"/>
  <c r="BB3148" i="1"/>
  <c r="AX3148" i="1"/>
  <c r="AT3148" i="1"/>
  <c r="BY3146" i="1"/>
  <c r="BU3146" i="1"/>
  <c r="BQ3146" i="1"/>
  <c r="BM3146" i="1"/>
  <c r="BI3146" i="1"/>
  <c r="BE3146" i="1"/>
  <c r="BA3146" i="1"/>
  <c r="AW3146" i="1"/>
  <c r="AS3146" i="1"/>
  <c r="BY3145" i="1"/>
  <c r="BI3145" i="1"/>
  <c r="AS3145" i="1"/>
  <c r="CA3144" i="1"/>
  <c r="BS3144" i="1"/>
  <c r="BK3144" i="1"/>
  <c r="BC3144" i="1"/>
  <c r="AU3144" i="1"/>
  <c r="BU3114" i="1"/>
  <c r="BM3114" i="1"/>
  <c r="BE3114" i="1"/>
  <c r="AW3114" i="1"/>
  <c r="BU3111" i="1"/>
  <c r="BM3111" i="1"/>
  <c r="BE3111" i="1"/>
  <c r="AW3111" i="1"/>
  <c r="BU3110" i="1"/>
  <c r="BM3110" i="1"/>
  <c r="BE3110" i="1"/>
  <c r="AW3110" i="1"/>
  <c r="BU3109" i="1"/>
  <c r="BM3109" i="1"/>
  <c r="BE3109" i="1"/>
  <c r="AW3109" i="1"/>
  <c r="BU3108" i="1"/>
  <c r="BM3108" i="1"/>
  <c r="BE3108" i="1"/>
  <c r="AW3108" i="1"/>
  <c r="BU3107" i="1"/>
  <c r="BM3107" i="1"/>
  <c r="BE3107" i="1"/>
  <c r="AW3107" i="1"/>
  <c r="BU3106" i="1"/>
  <c r="BM3106" i="1"/>
  <c r="BE3106" i="1"/>
  <c r="AW3106" i="1"/>
  <c r="BU3105" i="1"/>
  <c r="BM3105" i="1"/>
  <c r="BE3105" i="1"/>
  <c r="AW3105" i="1"/>
  <c r="BU3104" i="1"/>
  <c r="BM3104" i="1"/>
  <c r="BE3104" i="1"/>
  <c r="AW3104" i="1"/>
  <c r="BY3103" i="1"/>
  <c r="BU3103" i="1"/>
  <c r="BQ3103" i="1"/>
  <c r="BM3103" i="1"/>
  <c r="BI3103" i="1"/>
  <c r="BE3103" i="1"/>
  <c r="BA3103" i="1"/>
  <c r="AW3103" i="1"/>
  <c r="AS3103" i="1"/>
  <c r="BY3101" i="1"/>
  <c r="BU3101" i="1"/>
  <c r="BQ3101" i="1"/>
  <c r="BM3101" i="1"/>
  <c r="BI3101" i="1"/>
  <c r="BE3101" i="1"/>
  <c r="BA3101" i="1"/>
  <c r="AW3101" i="1"/>
  <c r="AS3101" i="1"/>
  <c r="BY3098" i="1"/>
  <c r="BU3098" i="1"/>
  <c r="BQ3098" i="1"/>
  <c r="BM3098" i="1"/>
  <c r="BI3098" i="1"/>
  <c r="BE3098" i="1"/>
  <c r="BA3098" i="1"/>
  <c r="AW3098" i="1"/>
  <c r="AS3098" i="1"/>
  <c r="BY3104" i="1"/>
  <c r="BI3104" i="1"/>
  <c r="AS3104" i="1"/>
  <c r="BW3103" i="1"/>
  <c r="BO3103" i="1"/>
  <c r="BG3103" i="1"/>
  <c r="AY3103" i="1"/>
  <c r="BU3102" i="1"/>
  <c r="BM3102" i="1"/>
  <c r="BE3102" i="1"/>
  <c r="AW3102" i="1"/>
  <c r="CA3101" i="1"/>
  <c r="BS3101" i="1"/>
  <c r="BK3101" i="1"/>
  <c r="BC3101" i="1"/>
  <c r="AU3101" i="1"/>
  <c r="BY3100" i="1"/>
  <c r="BQ3100" i="1"/>
  <c r="BI3100" i="1"/>
  <c r="BA3100" i="1"/>
  <c r="AS3100" i="1"/>
  <c r="BW3098" i="1"/>
  <c r="BO3098" i="1"/>
  <c r="BG3098" i="1"/>
  <c r="AY3098" i="1"/>
  <c r="BU3097" i="1"/>
  <c r="BM3097" i="1"/>
  <c r="BE3097" i="1"/>
  <c r="AS3097" i="1"/>
  <c r="AU3113" i="1"/>
  <c r="CA3100" i="1"/>
  <c r="CB3146" i="1"/>
  <c r="BX3146" i="1"/>
  <c r="BT3146" i="1"/>
  <c r="BP3146" i="1"/>
  <c r="BL3146" i="1"/>
  <c r="BH3146" i="1"/>
  <c r="BD3146" i="1"/>
  <c r="AZ3146" i="1"/>
  <c r="AV3146" i="1"/>
  <c r="CA3152" i="1"/>
  <c r="BQ3152" i="1"/>
  <c r="BA3152" i="1"/>
  <c r="CB3097" i="1"/>
  <c r="AU3097" i="1"/>
  <c r="BC3097" i="1"/>
  <c r="BK3097" i="1"/>
  <c r="BS3097" i="1"/>
  <c r="CA3097" i="1"/>
  <c r="AU3100" i="1"/>
  <c r="BC3100" i="1"/>
  <c r="BK3100" i="1"/>
  <c r="BS3100" i="1"/>
  <c r="CB3101" i="1"/>
  <c r="AY3102" i="1"/>
  <c r="BG3102" i="1"/>
  <c r="BO3102" i="1"/>
  <c r="BW3102" i="1"/>
  <c r="CB3103" i="1"/>
  <c r="BZ3112" i="1"/>
  <c r="BV3112" i="1"/>
  <c r="BR3112" i="1"/>
  <c r="BN3112" i="1"/>
  <c r="BJ3112" i="1"/>
  <c r="BF3112" i="1"/>
  <c r="BB3112" i="1"/>
  <c r="AW3112" i="1"/>
  <c r="BW3113" i="1"/>
  <c r="BO3113" i="1"/>
  <c r="BC3113" i="1"/>
  <c r="AU3151" i="1"/>
  <c r="BC3151" i="1"/>
  <c r="BK3151" i="1"/>
  <c r="BS3151" i="1"/>
  <c r="AS3113" i="1"/>
  <c r="BA3113" i="1"/>
  <c r="BI3113" i="1"/>
  <c r="BY3147" i="1"/>
  <c r="BI3147" i="1"/>
  <c r="AS3147" i="1"/>
  <c r="BZ3151" i="1"/>
  <c r="BV3151" i="1"/>
  <c r="BR3151" i="1"/>
  <c r="BN3151" i="1"/>
  <c r="BJ3151" i="1"/>
  <c r="BF3151" i="1"/>
  <c r="BB3151" i="1"/>
  <c r="AX3151" i="1"/>
  <c r="AT3151" i="1"/>
  <c r="CB3155" i="1"/>
  <c r="CB3167" i="1"/>
  <c r="CA3158" i="1"/>
  <c r="CB3164" i="1"/>
  <c r="CB3144" i="1"/>
  <c r="CA3150" i="1"/>
  <c r="AT3155" i="1"/>
  <c r="AX3155" i="1"/>
  <c r="BB3155" i="1"/>
  <c r="BF3155" i="1"/>
  <c r="BJ3155" i="1"/>
  <c r="BN3155" i="1"/>
  <c r="BR3155" i="1"/>
  <c r="BV3155" i="1"/>
  <c r="BZ3155" i="1"/>
  <c r="BA3156" i="1"/>
  <c r="BQ3156" i="1"/>
  <c r="BE3158" i="1"/>
  <c r="CA3160" i="1"/>
  <c r="AY3161" i="1"/>
  <c r="BG3161" i="1"/>
  <c r="BO3161" i="1"/>
  <c r="BW3161" i="1"/>
  <c r="BA3162" i="1"/>
  <c r="BQ3162" i="1"/>
  <c r="AU3164" i="1"/>
  <c r="BC3164" i="1"/>
  <c r="BK3164" i="1"/>
  <c r="BS3164" i="1"/>
  <c r="CA3164" i="1"/>
  <c r="AT3167" i="1"/>
  <c r="AX3167" i="1"/>
  <c r="BB3167" i="1"/>
  <c r="BF3167" i="1"/>
  <c r="BJ3167" i="1"/>
  <c r="BN3167" i="1"/>
  <c r="BR3167" i="1"/>
  <c r="BV3167" i="1"/>
  <c r="BZ3167" i="1"/>
  <c r="BA3168" i="1"/>
  <c r="BQ3168" i="1"/>
  <c r="AT3169" i="1"/>
  <c r="AX3169" i="1"/>
  <c r="BB3169" i="1"/>
  <c r="BF3169" i="1"/>
  <c r="BJ3169" i="1"/>
  <c r="BN3169" i="1"/>
  <c r="BR3169" i="1"/>
  <c r="BV3169" i="1"/>
  <c r="BZ3169" i="1"/>
  <c r="AU3168" i="1"/>
  <c r="BC3168" i="1"/>
  <c r="BK3168" i="1"/>
  <c r="BS3168" i="1"/>
  <c r="CA3168" i="1"/>
  <c r="AY3166" i="1"/>
  <c r="BG3166" i="1"/>
  <c r="BO3166" i="1"/>
  <c r="BW3166" i="1"/>
  <c r="AT3165" i="1"/>
  <c r="AX3165" i="1"/>
  <c r="BB3165" i="1"/>
  <c r="BF3165" i="1"/>
  <c r="BJ3165" i="1"/>
  <c r="BN3165" i="1"/>
  <c r="BR3165" i="1"/>
  <c r="BV3165" i="1"/>
  <c r="BZ3165" i="1"/>
  <c r="AT3161" i="1"/>
  <c r="AX3161" i="1"/>
  <c r="BB3161" i="1"/>
  <c r="BF3161" i="1"/>
  <c r="BJ3161" i="1"/>
  <c r="BN3161" i="1"/>
  <c r="BR3161" i="1"/>
  <c r="BV3161" i="1"/>
  <c r="BZ3161" i="1"/>
  <c r="AS3158" i="1"/>
  <c r="BI3158" i="1"/>
  <c r="BY3158" i="1"/>
  <c r="AV3157" i="1"/>
  <c r="AZ3157" i="1"/>
  <c r="BD3157" i="1"/>
  <c r="BH3157" i="1"/>
  <c r="BL3157" i="1"/>
  <c r="BP3157" i="1"/>
  <c r="BT3157" i="1"/>
  <c r="BX3157" i="1"/>
  <c r="CB3157" i="1"/>
  <c r="AV3144" i="1"/>
  <c r="AZ3144" i="1"/>
  <c r="BD3144" i="1"/>
  <c r="BH3144" i="1"/>
  <c r="BL3144" i="1"/>
  <c r="BP3144" i="1"/>
  <c r="BT3144" i="1"/>
  <c r="BX3144" i="1"/>
  <c r="AU3145" i="1"/>
  <c r="BC3145" i="1"/>
  <c r="BK3145" i="1"/>
  <c r="BS3145" i="1"/>
  <c r="AU3147" i="1"/>
  <c r="BC3147" i="1"/>
  <c r="BK3147" i="1"/>
  <c r="BS3147" i="1"/>
  <c r="AU3150" i="1"/>
  <c r="BC3150" i="1"/>
  <c r="BK3150" i="1"/>
  <c r="BS3150" i="1"/>
  <c r="AU3152" i="1"/>
  <c r="BC3152" i="1"/>
  <c r="BK3152" i="1"/>
  <c r="BS3152" i="1"/>
  <c r="AU3154" i="1"/>
  <c r="BC3154" i="1"/>
  <c r="BK3154" i="1"/>
  <c r="BS3154" i="1"/>
  <c r="AU3156" i="1"/>
  <c r="BC3156" i="1"/>
  <c r="BK3156" i="1"/>
  <c r="BS3156" i="1"/>
  <c r="AU3158" i="1"/>
  <c r="BC3158" i="1"/>
  <c r="BK3158" i="1"/>
  <c r="BS3158" i="1"/>
  <c r="AU3160" i="1"/>
  <c r="BC3160" i="1"/>
  <c r="BK3160" i="1"/>
  <c r="BS3160" i="1"/>
  <c r="AU3162" i="1"/>
  <c r="BC3162" i="1"/>
  <c r="BK3162" i="1"/>
  <c r="BS3162" i="1"/>
  <c r="CB3145" i="1"/>
  <c r="BX3145" i="1"/>
  <c r="BT3145" i="1"/>
  <c r="BP3145" i="1"/>
  <c r="BL3145" i="1"/>
  <c r="BH3145" i="1"/>
  <c r="BD3145" i="1"/>
  <c r="AZ3145" i="1"/>
  <c r="AV3145" i="1"/>
  <c r="CB3147" i="1"/>
  <c r="BX3147" i="1"/>
  <c r="BT3147" i="1"/>
  <c r="BP3147" i="1"/>
  <c r="BL3147" i="1"/>
  <c r="BH3147" i="1"/>
  <c r="BD3147" i="1"/>
  <c r="AZ3147" i="1"/>
  <c r="AV3147" i="1"/>
  <c r="CB3150" i="1"/>
  <c r="BX3150" i="1"/>
  <c r="BT3150" i="1"/>
  <c r="BP3150" i="1"/>
  <c r="BL3150" i="1"/>
  <c r="BH3150" i="1"/>
  <c r="BD3150" i="1"/>
  <c r="AZ3150" i="1"/>
  <c r="AV3150" i="1"/>
  <c r="CB3152" i="1"/>
  <c r="BX3152" i="1"/>
  <c r="BT3152" i="1"/>
  <c r="BP3152" i="1"/>
  <c r="BL3152" i="1"/>
  <c r="BH3152" i="1"/>
  <c r="BD3152" i="1"/>
  <c r="AZ3152" i="1"/>
  <c r="AV3152" i="1"/>
  <c r="CB3154" i="1"/>
  <c r="BX3154" i="1"/>
  <c r="BT3154" i="1"/>
  <c r="BP3154" i="1"/>
  <c r="BL3154" i="1"/>
  <c r="BH3154" i="1"/>
  <c r="BD3154" i="1"/>
  <c r="AZ3154" i="1"/>
  <c r="AV3154" i="1"/>
  <c r="CB3156" i="1"/>
  <c r="BX3156" i="1"/>
  <c r="BT3156" i="1"/>
  <c r="BP3156" i="1"/>
  <c r="BL3156" i="1"/>
  <c r="BH3156" i="1"/>
  <c r="BD3156" i="1"/>
  <c r="AZ3156" i="1"/>
  <c r="AV3156" i="1"/>
  <c r="CB3158" i="1"/>
  <c r="BX3158" i="1"/>
  <c r="BT3158" i="1"/>
  <c r="BP3158" i="1"/>
  <c r="BL3158" i="1"/>
  <c r="BH3158" i="1"/>
  <c r="BD3158" i="1"/>
  <c r="AZ3158" i="1"/>
  <c r="AV3158" i="1"/>
  <c r="AS3112" i="1"/>
  <c r="BU3147" i="1"/>
  <c r="CA3151" i="1"/>
  <c r="BZ3146" i="1"/>
  <c r="BV3146" i="1"/>
  <c r="BR3146" i="1"/>
  <c r="BN3146" i="1"/>
  <c r="BJ3146" i="1"/>
  <c r="BF3146" i="1"/>
  <c r="BB3146" i="1"/>
  <c r="AX3146" i="1"/>
  <c r="AT3146" i="1"/>
  <c r="BY3152" i="1"/>
  <c r="BI3152" i="1"/>
  <c r="AS3152" i="1"/>
  <c r="CB3102" i="1"/>
  <c r="AY3097" i="1"/>
  <c r="BG3097" i="1"/>
  <c r="BO3097" i="1"/>
  <c r="BW3097" i="1"/>
  <c r="CB3098" i="1"/>
  <c r="AY3100" i="1"/>
  <c r="BG3100" i="1"/>
  <c r="BO3100" i="1"/>
  <c r="BW3100" i="1"/>
  <c r="AU3102" i="1"/>
  <c r="BC3102" i="1"/>
  <c r="BK3102" i="1"/>
  <c r="BS3102" i="1"/>
  <c r="CA3102" i="1"/>
  <c r="CB3112" i="1"/>
  <c r="BX3112" i="1"/>
  <c r="BT3112" i="1"/>
  <c r="BP3112" i="1"/>
  <c r="BL3112" i="1"/>
  <c r="BH3112" i="1"/>
  <c r="BD3112" i="1"/>
  <c r="AZ3112" i="1"/>
  <c r="CA3113" i="1"/>
  <c r="BS3113" i="1"/>
  <c r="BK3113" i="1"/>
  <c r="BE3147" i="1"/>
  <c r="AY3151" i="1"/>
  <c r="BG3151" i="1"/>
  <c r="BO3151" i="1"/>
  <c r="BW3151" i="1"/>
  <c r="AW3113" i="1"/>
  <c r="BE3113" i="1"/>
  <c r="CA3147" i="1"/>
  <c r="BQ3147" i="1"/>
  <c r="BA3147" i="1"/>
  <c r="CB3151" i="1"/>
  <c r="BX3151" i="1"/>
  <c r="BT3151" i="1"/>
  <c r="BP3151" i="1"/>
  <c r="BL3151" i="1"/>
  <c r="BH3151" i="1"/>
  <c r="BD3151" i="1"/>
  <c r="AZ3151" i="1"/>
  <c r="AV3151" i="1"/>
  <c r="CB3100" i="1"/>
  <c r="CA3161" i="1"/>
  <c r="CA3156" i="1"/>
  <c r="CA3162" i="1"/>
  <c r="CB3168" i="1"/>
  <c r="CA3145" i="1"/>
  <c r="CA3154" i="1"/>
  <c r="AV3155" i="1"/>
  <c r="AZ3155" i="1"/>
  <c r="BD3155" i="1"/>
  <c r="BH3155" i="1"/>
  <c r="BL3155" i="1"/>
  <c r="BP3155" i="1"/>
  <c r="BT3155" i="1"/>
  <c r="BX3155" i="1"/>
  <c r="AS3156" i="1"/>
  <c r="BI3156" i="1"/>
  <c r="BY3156" i="1"/>
  <c r="BU3158" i="1"/>
  <c r="AU3161" i="1"/>
  <c r="BC3161" i="1"/>
  <c r="BK3161" i="1"/>
  <c r="BS3161" i="1"/>
  <c r="AS3162" i="1"/>
  <c r="BI3162" i="1"/>
  <c r="BY3162" i="1"/>
  <c r="AY3164" i="1"/>
  <c r="BG3164" i="1"/>
  <c r="BO3164" i="1"/>
  <c r="BW3164" i="1"/>
  <c r="CB3166" i="1"/>
  <c r="AV3167" i="1"/>
  <c r="AZ3167" i="1"/>
  <c r="BD3167" i="1"/>
  <c r="BH3167" i="1"/>
  <c r="BL3167" i="1"/>
  <c r="BP3167" i="1"/>
  <c r="BT3167" i="1"/>
  <c r="BX3167" i="1"/>
  <c r="AS3168" i="1"/>
  <c r="BI3168" i="1"/>
  <c r="BY3168" i="1"/>
  <c r="AV3169" i="1"/>
  <c r="AZ3169" i="1"/>
  <c r="BD3169" i="1"/>
  <c r="BH3169" i="1"/>
  <c r="BL3169" i="1"/>
  <c r="BP3169" i="1"/>
  <c r="BT3169" i="1"/>
  <c r="BX3169" i="1"/>
  <c r="CB3169" i="1"/>
  <c r="AY3168" i="1"/>
  <c r="BG3168" i="1"/>
  <c r="BO3168" i="1"/>
  <c r="BW3168" i="1"/>
  <c r="AU3166" i="1"/>
  <c r="BC3166" i="1"/>
  <c r="BK3166" i="1"/>
  <c r="BS3166" i="1"/>
  <c r="CA3166" i="1"/>
  <c r="AV3165" i="1"/>
  <c r="AZ3165" i="1"/>
  <c r="BD3165" i="1"/>
  <c r="BH3165" i="1"/>
  <c r="BL3165" i="1"/>
  <c r="BP3165" i="1"/>
  <c r="BT3165" i="1"/>
  <c r="BX3165" i="1"/>
  <c r="CB3165" i="1"/>
  <c r="AV3161" i="1"/>
  <c r="AZ3161" i="1"/>
  <c r="BD3161" i="1"/>
  <c r="BH3161" i="1"/>
  <c r="BL3161" i="1"/>
  <c r="BP3161" i="1"/>
  <c r="BT3161" i="1"/>
  <c r="BX3161" i="1"/>
  <c r="CB3161" i="1"/>
  <c r="BA3158" i="1"/>
  <c r="BQ3158" i="1"/>
  <c r="AT3157" i="1"/>
  <c r="AX3157" i="1"/>
  <c r="BB3157" i="1"/>
  <c r="BF3157" i="1"/>
  <c r="BJ3157" i="1"/>
  <c r="BN3157" i="1"/>
  <c r="BR3157" i="1"/>
  <c r="BV3157" i="1"/>
  <c r="BZ3157" i="1"/>
  <c r="AT3144" i="1"/>
  <c r="AX3144" i="1"/>
  <c r="BB3144" i="1"/>
  <c r="BF3144" i="1"/>
  <c r="BJ3144" i="1"/>
  <c r="BN3144" i="1"/>
  <c r="BR3144" i="1"/>
  <c r="BV3144" i="1"/>
  <c r="BZ3144" i="1"/>
  <c r="AY3145" i="1"/>
  <c r="BG3145" i="1"/>
  <c r="BO3145" i="1"/>
  <c r="BW3145" i="1"/>
  <c r="AY3147" i="1"/>
  <c r="BG3147" i="1"/>
  <c r="BO3147" i="1"/>
  <c r="BW3147" i="1"/>
  <c r="AY3150" i="1"/>
  <c r="BG3150" i="1"/>
  <c r="BO3150" i="1"/>
  <c r="BW3150" i="1"/>
  <c r="AY3152" i="1"/>
  <c r="BG3152" i="1"/>
  <c r="BO3152" i="1"/>
  <c r="BW3152" i="1"/>
  <c r="AY3154" i="1"/>
  <c r="BG3154" i="1"/>
  <c r="BO3154" i="1"/>
  <c r="BW3154" i="1"/>
  <c r="AY3156" i="1"/>
  <c r="BG3156" i="1"/>
  <c r="BO3156" i="1"/>
  <c r="BW3156" i="1"/>
  <c r="AY3158" i="1"/>
  <c r="BG3158" i="1"/>
  <c r="BO3158" i="1"/>
  <c r="BW3158" i="1"/>
  <c r="AY3160" i="1"/>
  <c r="BG3160" i="1"/>
  <c r="BO3160" i="1"/>
  <c r="BW3160" i="1"/>
  <c r="AY3162" i="1"/>
  <c r="BG3162" i="1"/>
  <c r="BO3162" i="1"/>
  <c r="BW3162" i="1"/>
  <c r="BZ3145" i="1"/>
  <c r="BV3145" i="1"/>
  <c r="BR3145" i="1"/>
  <c r="BN3145" i="1"/>
  <c r="BJ3145" i="1"/>
  <c r="BF3145" i="1"/>
  <c r="BB3145" i="1"/>
  <c r="AX3145" i="1"/>
  <c r="AT3145" i="1"/>
  <c r="BZ3147" i="1"/>
  <c r="BV3147" i="1"/>
  <c r="BR3147" i="1"/>
  <c r="BN3147" i="1"/>
  <c r="BJ3147" i="1"/>
  <c r="BF3147" i="1"/>
  <c r="BB3147" i="1"/>
  <c r="AX3147" i="1"/>
  <c r="AT3147" i="1"/>
  <c r="BZ3150" i="1"/>
  <c r="BV3150" i="1"/>
  <c r="BR3150" i="1"/>
  <c r="BN3150" i="1"/>
  <c r="BJ3150" i="1"/>
  <c r="BF3150" i="1"/>
  <c r="BB3150" i="1"/>
  <c r="AX3150" i="1"/>
  <c r="AT3150" i="1"/>
  <c r="BZ3152" i="1"/>
  <c r="BV3152" i="1"/>
  <c r="BR3152" i="1"/>
  <c r="BN3152" i="1"/>
  <c r="BJ3152" i="1"/>
  <c r="BF3152" i="1"/>
  <c r="BB3152" i="1"/>
  <c r="AX3152" i="1"/>
  <c r="AT3152" i="1"/>
  <c r="BZ3154" i="1"/>
  <c r="BV3154" i="1"/>
  <c r="BR3154" i="1"/>
  <c r="BN3154" i="1"/>
  <c r="BJ3154" i="1"/>
  <c r="BF3154" i="1"/>
  <c r="BB3154" i="1"/>
  <c r="AX3154" i="1"/>
  <c r="AT3154" i="1"/>
  <c r="BZ3156" i="1"/>
  <c r="BV3156" i="1"/>
  <c r="BR3156" i="1"/>
  <c r="BN3156" i="1"/>
  <c r="BJ3156" i="1"/>
  <c r="BF3156" i="1"/>
  <c r="BB3156" i="1"/>
  <c r="AX3156" i="1"/>
  <c r="AT3156" i="1"/>
  <c r="BZ3158" i="1"/>
  <c r="BV3158" i="1"/>
  <c r="BR3158" i="1"/>
  <c r="BN3158" i="1"/>
  <c r="BJ3158" i="1"/>
  <c r="BF3158" i="1"/>
  <c r="BB3158" i="1"/>
  <c r="AX3158" i="1"/>
  <c r="CB3160" i="1"/>
  <c r="BX3160" i="1"/>
  <c r="BT3160" i="1"/>
  <c r="BP3160" i="1"/>
  <c r="BL3160" i="1"/>
  <c r="BH3160" i="1"/>
  <c r="BD3160" i="1"/>
  <c r="AZ3160" i="1"/>
  <c r="AV3160" i="1"/>
  <c r="CB3162" i="1"/>
  <c r="BX3162" i="1"/>
  <c r="BT3162" i="1"/>
  <c r="BP3162" i="1"/>
  <c r="BL3162" i="1"/>
  <c r="BH3162" i="1"/>
  <c r="BD3162" i="1"/>
  <c r="AZ3162" i="1"/>
  <c r="AV3162" i="1"/>
  <c r="AT3164" i="1"/>
  <c r="AX3164" i="1"/>
  <c r="BB3164" i="1"/>
  <c r="BF3164" i="1"/>
  <c r="BJ3164" i="1"/>
  <c r="BN3164" i="1"/>
  <c r="BR3164" i="1"/>
  <c r="BV3164" i="1"/>
  <c r="BZ3164" i="1"/>
  <c r="AV3166" i="1"/>
  <c r="AZ3166" i="1"/>
  <c r="BD3166" i="1"/>
  <c r="BH3166" i="1"/>
  <c r="BL3166" i="1"/>
  <c r="BP3166" i="1"/>
  <c r="BT3166" i="1"/>
  <c r="BX3166" i="1"/>
  <c r="AT3168" i="1"/>
  <c r="AX3168" i="1"/>
  <c r="BB3168" i="1"/>
  <c r="BF3168" i="1"/>
  <c r="BJ3168" i="1"/>
  <c r="BN3168" i="1"/>
  <c r="BR3168" i="1"/>
  <c r="BV3168" i="1"/>
  <c r="BZ3168" i="1"/>
  <c r="BZ3113" i="1"/>
  <c r="BV3113" i="1"/>
  <c r="BR3113" i="1"/>
  <c r="BN3113" i="1"/>
  <c r="BJ3113" i="1"/>
  <c r="BF3113" i="1"/>
  <c r="BB3113" i="1"/>
  <c r="AX3113" i="1"/>
  <c r="AT3113" i="1"/>
  <c r="AV3112" i="1"/>
  <c r="CB3104" i="1"/>
  <c r="BX3104" i="1"/>
  <c r="BT3104" i="1"/>
  <c r="BP3104" i="1"/>
  <c r="BL3104" i="1"/>
  <c r="BH3104" i="1"/>
  <c r="BD3104" i="1"/>
  <c r="AZ3104" i="1"/>
  <c r="AV3104" i="1"/>
  <c r="CB3105" i="1"/>
  <c r="BX3105" i="1"/>
  <c r="BT3105" i="1"/>
  <c r="BP3105" i="1"/>
  <c r="BL3105" i="1"/>
  <c r="BH3105" i="1"/>
  <c r="BD3105" i="1"/>
  <c r="AZ3105" i="1"/>
  <c r="AV3105" i="1"/>
  <c r="CB3106" i="1"/>
  <c r="BX3106" i="1"/>
  <c r="BT3106" i="1"/>
  <c r="BP3106" i="1"/>
  <c r="BL3106" i="1"/>
  <c r="BH3106" i="1"/>
  <c r="BD3106" i="1"/>
  <c r="AZ3106" i="1"/>
  <c r="AV3106" i="1"/>
  <c r="CB3107" i="1"/>
  <c r="BX3107" i="1"/>
  <c r="BT3107" i="1"/>
  <c r="BP3107" i="1"/>
  <c r="BL3107" i="1"/>
  <c r="BH3107" i="1"/>
  <c r="BD3107" i="1"/>
  <c r="AZ3107" i="1"/>
  <c r="AV3107" i="1"/>
  <c r="CB3108" i="1"/>
  <c r="BX3108" i="1"/>
  <c r="BT3108" i="1"/>
  <c r="BP3108" i="1"/>
  <c r="BL3108" i="1"/>
  <c r="BH3108" i="1"/>
  <c r="BD3108" i="1"/>
  <c r="AZ3108" i="1"/>
  <c r="AV3108" i="1"/>
  <c r="CB3109" i="1"/>
  <c r="BX3109" i="1"/>
  <c r="BT3109" i="1"/>
  <c r="BP3109" i="1"/>
  <c r="BL3109" i="1"/>
  <c r="BH3109" i="1"/>
  <c r="BD3109" i="1"/>
  <c r="AZ3109" i="1"/>
  <c r="AV3109" i="1"/>
  <c r="CB3110" i="1"/>
  <c r="BX3110" i="1"/>
  <c r="BT3110" i="1"/>
  <c r="BP3110" i="1"/>
  <c r="BL3110" i="1"/>
  <c r="BH3110" i="1"/>
  <c r="BD3110" i="1"/>
  <c r="AZ3110" i="1"/>
  <c r="AV3110" i="1"/>
  <c r="CB3111" i="1"/>
  <c r="BX3111" i="1"/>
  <c r="BT3111" i="1"/>
  <c r="BP3111" i="1"/>
  <c r="BL3111" i="1"/>
  <c r="BH3111" i="1"/>
  <c r="BD3111" i="1"/>
  <c r="AZ3111" i="1"/>
  <c r="AV3111" i="1"/>
  <c r="CB3114" i="1"/>
  <c r="BX3114" i="1"/>
  <c r="BT3114" i="1"/>
  <c r="BP3114" i="1"/>
  <c r="BL3114" i="1"/>
  <c r="BH3114" i="1"/>
  <c r="BD3114" i="1"/>
  <c r="AZ3114" i="1"/>
  <c r="AV3114" i="1"/>
  <c r="AT3097" i="1"/>
  <c r="AX3097" i="1"/>
  <c r="BB3097" i="1"/>
  <c r="BF3097" i="1"/>
  <c r="BJ3097" i="1"/>
  <c r="BN3097" i="1"/>
  <c r="BR3097" i="1"/>
  <c r="BV3097" i="1"/>
  <c r="BZ3097" i="1"/>
  <c r="AV3098" i="1"/>
  <c r="AZ3098" i="1"/>
  <c r="BD3098" i="1"/>
  <c r="BH3098" i="1"/>
  <c r="BL3098" i="1"/>
  <c r="BP3098" i="1"/>
  <c r="BT3098" i="1"/>
  <c r="BX3098" i="1"/>
  <c r="AT3100" i="1"/>
  <c r="AX3100" i="1"/>
  <c r="BB3100" i="1"/>
  <c r="BF3100" i="1"/>
  <c r="BJ3100" i="1"/>
  <c r="BN3100" i="1"/>
  <c r="BR3100" i="1"/>
  <c r="BV3100" i="1"/>
  <c r="BZ3100" i="1"/>
  <c r="AV3101" i="1"/>
  <c r="AZ3101" i="1"/>
  <c r="BD3101" i="1"/>
  <c r="BH3101" i="1"/>
  <c r="BL3101" i="1"/>
  <c r="BP3101" i="1"/>
  <c r="BT3101" i="1"/>
  <c r="BX3101" i="1"/>
  <c r="AT3102" i="1"/>
  <c r="AX3102" i="1"/>
  <c r="BB3102" i="1"/>
  <c r="BF3102" i="1"/>
  <c r="BJ3102" i="1"/>
  <c r="BN3102" i="1"/>
  <c r="BR3102" i="1"/>
  <c r="BV3102" i="1"/>
  <c r="BZ3102" i="1"/>
  <c r="AV3103" i="1"/>
  <c r="AZ3103" i="1"/>
  <c r="BD3103" i="1"/>
  <c r="BH3103" i="1"/>
  <c r="BL3103" i="1"/>
  <c r="BP3103" i="1"/>
  <c r="BT3103" i="1"/>
  <c r="BX3103" i="1"/>
  <c r="AU3104" i="1"/>
  <c r="BC3104" i="1"/>
  <c r="BK3104" i="1"/>
  <c r="BS3104" i="1"/>
  <c r="CA3104" i="1"/>
  <c r="AY3105" i="1"/>
  <c r="BG3105" i="1"/>
  <c r="BO3105" i="1"/>
  <c r="BW3105" i="1"/>
  <c r="AU3106" i="1"/>
  <c r="BC3106" i="1"/>
  <c r="BK3106" i="1"/>
  <c r="BS3106" i="1"/>
  <c r="CA3106" i="1"/>
  <c r="AY3107" i="1"/>
  <c r="BG3107" i="1"/>
  <c r="BO3107" i="1"/>
  <c r="BW3107" i="1"/>
  <c r="AU3108" i="1"/>
  <c r="BC3108" i="1"/>
  <c r="BK3108" i="1"/>
  <c r="BS3108" i="1"/>
  <c r="CA3108" i="1"/>
  <c r="AY3109" i="1"/>
  <c r="BG3109" i="1"/>
  <c r="BO3109" i="1"/>
  <c r="BW3109" i="1"/>
  <c r="AU3110" i="1"/>
  <c r="BC3110" i="1"/>
  <c r="BK3110" i="1"/>
  <c r="BS3110" i="1"/>
  <c r="CA3110" i="1"/>
  <c r="AY3111" i="1"/>
  <c r="BG3111" i="1"/>
  <c r="BO3111" i="1"/>
  <c r="BW3111" i="1"/>
  <c r="AU3114" i="1"/>
  <c r="BC3114" i="1"/>
  <c r="BK3114" i="1"/>
  <c r="BS3114" i="1"/>
  <c r="CA3114" i="1"/>
  <c r="AT3158" i="1"/>
  <c r="BZ3160" i="1"/>
  <c r="BV3160" i="1"/>
  <c r="BR3160" i="1"/>
  <c r="BN3160" i="1"/>
  <c r="BJ3160" i="1"/>
  <c r="BF3160" i="1"/>
  <c r="BB3160" i="1"/>
  <c r="AX3160" i="1"/>
  <c r="AT3160" i="1"/>
  <c r="BZ3162" i="1"/>
  <c r="BV3162" i="1"/>
  <c r="BR3162" i="1"/>
  <c r="BN3162" i="1"/>
  <c r="BJ3162" i="1"/>
  <c r="BF3162" i="1"/>
  <c r="BB3162" i="1"/>
  <c r="AX3162" i="1"/>
  <c r="AT3162" i="1"/>
  <c r="AV3164" i="1"/>
  <c r="AZ3164" i="1"/>
  <c r="BD3164" i="1"/>
  <c r="BH3164" i="1"/>
  <c r="BL3164" i="1"/>
  <c r="BP3164" i="1"/>
  <c r="BT3164" i="1"/>
  <c r="BX3164" i="1"/>
  <c r="AT3166" i="1"/>
  <c r="AX3166" i="1"/>
  <c r="BB3166" i="1"/>
  <c r="BF3166" i="1"/>
  <c r="BJ3166" i="1"/>
  <c r="BN3166" i="1"/>
  <c r="BR3166" i="1"/>
  <c r="BV3166" i="1"/>
  <c r="BZ3166" i="1"/>
  <c r="AV3168" i="1"/>
  <c r="AZ3168" i="1"/>
  <c r="BD3168" i="1"/>
  <c r="BH3168" i="1"/>
  <c r="BL3168" i="1"/>
  <c r="BP3168" i="1"/>
  <c r="BT3168" i="1"/>
  <c r="BX3168" i="1"/>
  <c r="CB3113" i="1"/>
  <c r="BX3113" i="1"/>
  <c r="BT3113" i="1"/>
  <c r="BP3113" i="1"/>
  <c r="BL3113" i="1"/>
  <c r="BH3113" i="1"/>
  <c r="BD3113" i="1"/>
  <c r="AZ3113" i="1"/>
  <c r="AV3113" i="1"/>
  <c r="AX3112" i="1"/>
  <c r="AT3112" i="1"/>
  <c r="BZ3104" i="1"/>
  <c r="BV3104" i="1"/>
  <c r="BR3104" i="1"/>
  <c r="BN3104" i="1"/>
  <c r="BJ3104" i="1"/>
  <c r="BF3104" i="1"/>
  <c r="BB3104" i="1"/>
  <c r="AX3104" i="1"/>
  <c r="AT3104" i="1"/>
  <c r="BZ3105" i="1"/>
  <c r="BV3105" i="1"/>
  <c r="BR3105" i="1"/>
  <c r="BN3105" i="1"/>
  <c r="BJ3105" i="1"/>
  <c r="BF3105" i="1"/>
  <c r="BB3105" i="1"/>
  <c r="AX3105" i="1"/>
  <c r="AT3105" i="1"/>
  <c r="BZ3106" i="1"/>
  <c r="BV3106" i="1"/>
  <c r="BR3106" i="1"/>
  <c r="BN3106" i="1"/>
  <c r="BJ3106" i="1"/>
  <c r="BF3106" i="1"/>
  <c r="BB3106" i="1"/>
  <c r="AX3106" i="1"/>
  <c r="AT3106" i="1"/>
  <c r="BZ3107" i="1"/>
  <c r="BV3107" i="1"/>
  <c r="BR3107" i="1"/>
  <c r="BN3107" i="1"/>
  <c r="BJ3107" i="1"/>
  <c r="BF3107" i="1"/>
  <c r="BB3107" i="1"/>
  <c r="AX3107" i="1"/>
  <c r="AT3107" i="1"/>
  <c r="BZ3108" i="1"/>
  <c r="BV3108" i="1"/>
  <c r="BR3108" i="1"/>
  <c r="BN3108" i="1"/>
  <c r="BJ3108" i="1"/>
  <c r="BF3108" i="1"/>
  <c r="BB3108" i="1"/>
  <c r="AX3108" i="1"/>
  <c r="AT3108" i="1"/>
  <c r="BZ3109" i="1"/>
  <c r="BV3109" i="1"/>
  <c r="BR3109" i="1"/>
  <c r="BN3109" i="1"/>
  <c r="BJ3109" i="1"/>
  <c r="BF3109" i="1"/>
  <c r="BB3109" i="1"/>
  <c r="AX3109" i="1"/>
  <c r="AT3109" i="1"/>
  <c r="BZ3110" i="1"/>
  <c r="BV3110" i="1"/>
  <c r="BR3110" i="1"/>
  <c r="BN3110" i="1"/>
  <c r="BJ3110" i="1"/>
  <c r="BF3110" i="1"/>
  <c r="BB3110" i="1"/>
  <c r="AX3110" i="1"/>
  <c r="AT3110" i="1"/>
  <c r="BZ3111" i="1"/>
  <c r="BV3111" i="1"/>
  <c r="BR3111" i="1"/>
  <c r="BN3111" i="1"/>
  <c r="BJ3111" i="1"/>
  <c r="BF3111" i="1"/>
  <c r="BB3111" i="1"/>
  <c r="AX3111" i="1"/>
  <c r="AT3111" i="1"/>
  <c r="BZ3114" i="1"/>
  <c r="BV3114" i="1"/>
  <c r="BR3114" i="1"/>
  <c r="BN3114" i="1"/>
  <c r="BJ3114" i="1"/>
  <c r="BF3114" i="1"/>
  <c r="BB3114" i="1"/>
  <c r="AX3114" i="1"/>
  <c r="AT3114" i="1"/>
  <c r="AV3097" i="1"/>
  <c r="AZ3097" i="1"/>
  <c r="BD3097" i="1"/>
  <c r="BH3097" i="1"/>
  <c r="BL3097" i="1"/>
  <c r="BP3097" i="1"/>
  <c r="BT3097" i="1"/>
  <c r="BX3097" i="1"/>
  <c r="AT3098" i="1"/>
  <c r="AX3098" i="1"/>
  <c r="BB3098" i="1"/>
  <c r="BF3098" i="1"/>
  <c r="BJ3098" i="1"/>
  <c r="BN3098" i="1"/>
  <c r="BR3098" i="1"/>
  <c r="BV3098" i="1"/>
  <c r="BZ3098" i="1"/>
  <c r="AV3100" i="1"/>
  <c r="AZ3100" i="1"/>
  <c r="BD3100" i="1"/>
  <c r="BH3100" i="1"/>
  <c r="BL3100" i="1"/>
  <c r="BP3100" i="1"/>
  <c r="BT3100" i="1"/>
  <c r="BX3100" i="1"/>
  <c r="AT3101" i="1"/>
  <c r="AX3101" i="1"/>
  <c r="BB3101" i="1"/>
  <c r="BF3101" i="1"/>
  <c r="BJ3101" i="1"/>
  <c r="BN3101" i="1"/>
  <c r="BR3101" i="1"/>
  <c r="BV3101" i="1"/>
  <c r="BZ3101" i="1"/>
  <c r="AV3102" i="1"/>
  <c r="AZ3102" i="1"/>
  <c r="BD3102" i="1"/>
  <c r="BH3102" i="1"/>
  <c r="BL3102" i="1"/>
  <c r="BP3102" i="1"/>
  <c r="BT3102" i="1"/>
  <c r="BX3102" i="1"/>
  <c r="AT3103" i="1"/>
  <c r="AX3103" i="1"/>
  <c r="BB3103" i="1"/>
  <c r="BF3103" i="1"/>
  <c r="BJ3103" i="1"/>
  <c r="BN3103" i="1"/>
  <c r="BR3103" i="1"/>
  <c r="BV3103" i="1"/>
  <c r="BZ3103" i="1"/>
  <c r="AY3104" i="1"/>
  <c r="BG3104" i="1"/>
  <c r="BO3104" i="1"/>
  <c r="BW3104" i="1"/>
  <c r="AU3105" i="1"/>
  <c r="BC3105" i="1"/>
  <c r="BK3105" i="1"/>
  <c r="BS3105" i="1"/>
  <c r="CA3105" i="1"/>
  <c r="AY3106" i="1"/>
  <c r="BG3106" i="1"/>
  <c r="BO3106" i="1"/>
  <c r="BW3106" i="1"/>
  <c r="AU3107" i="1"/>
  <c r="BC3107" i="1"/>
  <c r="BK3107" i="1"/>
  <c r="BS3107" i="1"/>
  <c r="CA3107" i="1"/>
  <c r="AY3108" i="1"/>
  <c r="BG3108" i="1"/>
  <c r="BO3108" i="1"/>
  <c r="BW3108" i="1"/>
  <c r="AU3109" i="1"/>
  <c r="BC3109" i="1"/>
  <c r="BK3109" i="1"/>
  <c r="BS3109" i="1"/>
  <c r="CA3109" i="1"/>
  <c r="AY3110" i="1"/>
  <c r="BG3110" i="1"/>
  <c r="BO3110" i="1"/>
  <c r="BW3110" i="1"/>
  <c r="AU3111" i="1"/>
  <c r="BC3111" i="1"/>
  <c r="BK3111" i="1"/>
  <c r="BS3111" i="1"/>
  <c r="CA3111" i="1"/>
  <c r="AY3114" i="1"/>
  <c r="BG3114" i="1"/>
  <c r="BO3114" i="1"/>
  <c r="BW3114" i="1"/>
  <c r="V10" i="11"/>
  <c r="CI2911" i="1" l="1"/>
  <c r="CI2910" i="1"/>
  <c r="CI2909" i="1"/>
  <c r="J140" i="19"/>
  <c r="J270" i="10"/>
  <c r="J109" i="19"/>
  <c r="J71" i="19"/>
  <c r="J204" i="10"/>
  <c r="J220" i="10"/>
  <c r="J269" i="10"/>
  <c r="J214" i="10"/>
  <c r="J265" i="10"/>
  <c r="J262" i="10"/>
  <c r="J88" i="19"/>
  <c r="J79" i="19"/>
  <c r="J243" i="10"/>
  <c r="J242" i="10"/>
  <c r="J137" i="19"/>
  <c r="J136" i="19"/>
  <c r="J135" i="19"/>
  <c r="J134" i="19"/>
  <c r="J133" i="19"/>
  <c r="J132" i="19"/>
  <c r="J131" i="19"/>
  <c r="J129" i="19"/>
  <c r="J128" i="19"/>
  <c r="J239" i="10"/>
  <c r="J207" i="10"/>
  <c r="J98" i="19"/>
  <c r="J96" i="19"/>
  <c r="J250" i="10"/>
  <c r="J249" i="10"/>
  <c r="J281" i="10"/>
  <c r="J147" i="10"/>
  <c r="J144" i="10"/>
  <c r="J142" i="10"/>
  <c r="J141" i="10"/>
  <c r="J140" i="10"/>
  <c r="J109" i="10"/>
  <c r="J103" i="10"/>
  <c r="J101" i="10"/>
  <c r="J134" i="10"/>
  <c r="J132" i="10"/>
  <c r="J130" i="10"/>
  <c r="J126" i="10"/>
  <c r="J125" i="10"/>
  <c r="J124" i="10"/>
  <c r="J266" i="10"/>
  <c r="J67" i="10"/>
  <c r="J66" i="10"/>
  <c r="J65" i="10"/>
  <c r="J61" i="10"/>
  <c r="J57" i="10"/>
  <c r="J52" i="10"/>
  <c r="J302" i="10"/>
  <c r="H302" i="10" s="1"/>
  <c r="I302" i="10" s="1"/>
  <c r="J34" i="10"/>
  <c r="J33" i="10"/>
  <c r="J32" i="10"/>
  <c r="J27" i="10"/>
  <c r="J26" i="10"/>
  <c r="J25" i="10"/>
  <c r="J19" i="10"/>
  <c r="J13" i="10"/>
  <c r="J12" i="10"/>
  <c r="J11" i="10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1" i="1"/>
  <c r="B2470" i="1"/>
  <c r="B2469" i="1"/>
  <c r="B2468" i="1"/>
  <c r="B2467" i="1"/>
  <c r="B2466" i="1"/>
  <c r="B2465" i="1"/>
  <c r="B2464" i="1"/>
  <c r="B2463" i="1"/>
  <c r="B2462" i="1"/>
  <c r="B2461" i="1"/>
  <c r="B2457" i="1"/>
  <c r="B2456" i="1"/>
  <c r="B2455" i="1"/>
  <c r="B2454" i="1"/>
  <c r="B2453" i="1"/>
  <c r="B2452" i="1"/>
  <c r="B2451" i="1"/>
  <c r="B2450" i="1"/>
  <c r="B2449" i="1"/>
  <c r="B2448" i="1"/>
  <c r="B2447" i="1"/>
  <c r="B2445" i="1"/>
  <c r="B2444" i="1"/>
  <c r="B2443" i="1"/>
  <c r="B2442" i="1"/>
  <c r="B2441" i="1"/>
  <c r="B2438" i="1"/>
  <c r="B2437" i="1"/>
  <c r="B2436" i="1"/>
  <c r="B2435" i="1"/>
  <c r="B2434" i="1"/>
  <c r="B2433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5" i="1"/>
  <c r="B2394" i="1"/>
  <c r="B2393" i="1"/>
  <c r="B2392" i="1"/>
  <c r="B2391" i="1"/>
  <c r="B2390" i="1"/>
  <c r="B2389" i="1"/>
  <c r="B2388" i="1"/>
  <c r="B2387" i="1"/>
  <c r="B2386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4" i="1"/>
  <c r="B2143" i="1"/>
  <c r="B2142" i="1"/>
  <c r="B2141" i="1"/>
  <c r="B2140" i="1"/>
  <c r="B2139" i="1"/>
  <c r="B2138" i="1"/>
  <c r="B2137" i="1"/>
  <c r="B2136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67" i="1"/>
  <c r="B2059" i="1"/>
  <c r="B2058" i="1"/>
  <c r="B2057" i="1"/>
  <c r="B2056" i="1"/>
  <c r="B2055" i="1"/>
  <c r="B2054" i="1"/>
  <c r="B2053" i="1"/>
  <c r="B2052" i="1"/>
  <c r="B2050" i="1"/>
  <c r="B2049" i="1"/>
  <c r="B2048" i="1"/>
  <c r="B2047" i="1"/>
  <c r="B2046" i="1"/>
  <c r="B2045" i="1"/>
  <c r="B2043" i="1"/>
  <c r="B2042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18" i="1"/>
  <c r="B2017" i="1"/>
  <c r="B2016" i="1"/>
  <c r="B2013" i="1"/>
  <c r="B2012" i="1"/>
  <c r="B2011" i="1"/>
  <c r="B2010" i="1"/>
  <c r="B2009" i="1"/>
  <c r="B2008" i="1"/>
  <c r="B2007" i="1"/>
  <c r="B2006" i="1"/>
  <c r="B2001" i="1"/>
  <c r="B2000" i="1"/>
  <c r="B1999" i="1"/>
  <c r="B1997" i="1"/>
  <c r="B1996" i="1"/>
  <c r="B1995" i="1"/>
  <c r="B1993" i="1"/>
  <c r="B1992" i="1"/>
  <c r="B1991" i="1"/>
  <c r="B1990" i="1"/>
  <c r="B1988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68" i="1"/>
  <c r="B1967" i="1"/>
  <c r="B1966" i="1"/>
  <c r="B1964" i="1"/>
  <c r="B1963" i="1"/>
  <c r="B1962" i="1"/>
  <c r="B1961" i="1"/>
  <c r="B1960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69" i="1"/>
  <c r="B1868" i="1"/>
  <c r="B1867" i="1"/>
  <c r="B1866" i="1"/>
  <c r="B1865" i="1"/>
  <c r="B1864" i="1"/>
  <c r="B1863" i="1"/>
  <c r="B1862" i="1"/>
  <c r="B1861" i="1"/>
  <c r="B1860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65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6" i="1"/>
  <c r="B1545" i="1"/>
  <c r="B1544" i="1"/>
  <c r="B1543" i="1"/>
  <c r="B1541" i="1"/>
  <c r="B1540" i="1"/>
  <c r="B1539" i="1"/>
  <c r="B1538" i="1"/>
  <c r="B1537" i="1"/>
  <c r="B1536" i="1"/>
  <c r="B1535" i="1"/>
  <c r="B1534" i="1"/>
  <c r="B1531" i="1"/>
  <c r="B1530" i="1"/>
  <c r="B1529" i="1"/>
  <c r="B1528" i="1"/>
  <c r="B1527" i="1"/>
  <c r="B1526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1" i="1"/>
  <c r="B1500" i="1"/>
  <c r="B1499" i="1"/>
  <c r="B1498" i="1"/>
  <c r="B1497" i="1"/>
  <c r="B1496" i="1"/>
  <c r="B1495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7" i="1"/>
  <c r="B1416" i="1"/>
  <c r="B1415" i="1"/>
  <c r="B1414" i="1"/>
  <c r="B1413" i="1"/>
  <c r="B1412" i="1"/>
  <c r="B1411" i="1"/>
  <c r="B1410" i="1"/>
  <c r="B1409" i="1"/>
  <c r="B1408" i="1"/>
  <c r="B1407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0" i="1"/>
  <c r="B1369" i="1"/>
  <c r="B1368" i="1"/>
  <c r="B1367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3" i="1"/>
  <c r="B1341" i="1"/>
  <c r="B1340" i="1"/>
  <c r="B1339" i="1"/>
  <c r="B1338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7" i="1"/>
  <c r="B1316" i="1"/>
  <c r="B1315" i="1"/>
  <c r="B1314" i="1"/>
  <c r="B1313" i="1"/>
  <c r="B1312" i="1"/>
  <c r="B1311" i="1"/>
  <c r="B1310" i="1"/>
  <c r="B1309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7" i="1"/>
  <c r="B1286" i="1"/>
  <c r="B1285" i="1"/>
  <c r="B1284" i="1"/>
  <c r="B1283" i="1"/>
  <c r="B1279" i="1"/>
  <c r="B1278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1" i="1"/>
  <c r="B1160" i="1"/>
  <c r="B1158" i="1"/>
  <c r="B1156" i="1"/>
  <c r="B1155" i="1"/>
  <c r="B1154" i="1"/>
  <c r="B1153" i="1"/>
  <c r="B1152" i="1"/>
  <c r="B1127" i="1"/>
  <c r="B1126" i="1"/>
  <c r="B1125" i="1"/>
  <c r="B1124" i="1"/>
  <c r="B1122" i="1"/>
  <c r="B1121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6" i="1"/>
  <c r="B1057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1" i="1"/>
  <c r="B1019" i="1"/>
  <c r="B1018" i="1"/>
  <c r="B1014" i="1"/>
  <c r="B1013" i="1"/>
  <c r="B1009" i="1"/>
  <c r="B1008" i="1"/>
  <c r="B1007" i="1"/>
  <c r="B1006" i="1"/>
  <c r="B1005" i="1"/>
  <c r="B1004" i="1"/>
  <c r="B1000" i="1"/>
  <c r="B999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2" i="1"/>
  <c r="B981" i="1"/>
  <c r="B980" i="1"/>
  <c r="B976" i="1"/>
  <c r="B974" i="1"/>
  <c r="B973" i="1"/>
  <c r="B972" i="1"/>
  <c r="B971" i="1"/>
  <c r="B970" i="1"/>
  <c r="B969" i="1"/>
  <c r="B968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7" i="1"/>
  <c r="B836" i="1"/>
  <c r="B835" i="1"/>
  <c r="B834" i="1"/>
  <c r="B833" i="1"/>
  <c r="B832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6" i="1"/>
  <c r="B715" i="1"/>
  <c r="B714" i="1"/>
  <c r="B713" i="1"/>
  <c r="B712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6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4" i="1"/>
  <c r="B663" i="1"/>
  <c r="B662" i="1"/>
  <c r="B661" i="1"/>
  <c r="B660" i="1"/>
  <c r="B659" i="1"/>
  <c r="B658" i="1"/>
  <c r="B657" i="1"/>
  <c r="B656" i="1"/>
  <c r="B655" i="1"/>
  <c r="B654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29" i="1"/>
  <c r="B628" i="1"/>
  <c r="B627" i="1"/>
  <c r="B626" i="1"/>
  <c r="B625" i="1"/>
  <c r="B624" i="1"/>
  <c r="B623" i="1"/>
  <c r="B622" i="1"/>
  <c r="B621" i="1"/>
  <c r="B620" i="1"/>
  <c r="B617" i="1"/>
  <c r="B616" i="1"/>
  <c r="B615" i="1"/>
  <c r="B614" i="1"/>
  <c r="B613" i="1"/>
  <c r="B612" i="1"/>
  <c r="B611" i="1"/>
  <c r="B610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0" i="1"/>
  <c r="B89" i="1"/>
  <c r="B88" i="1"/>
  <c r="B87" i="1"/>
  <c r="B86" i="1"/>
  <c r="B85" i="1"/>
  <c r="B83" i="1"/>
  <c r="B82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P605" i="17" l="1"/>
  <c r="P604" i="17"/>
  <c r="P609" i="17"/>
  <c r="P610" i="17"/>
  <c r="P611" i="17"/>
  <c r="P608" i="17"/>
  <c r="P607" i="17"/>
  <c r="P1000" i="17"/>
  <c r="P801" i="17"/>
  <c r="P613" i="17"/>
  <c r="P612" i="17"/>
  <c r="P614" i="17"/>
  <c r="P312" i="17"/>
  <c r="P311" i="17"/>
  <c r="P336" i="17"/>
  <c r="P615" i="17"/>
  <c r="P283" i="17"/>
  <c r="P588" i="17"/>
  <c r="P282" i="17"/>
  <c r="P616" i="17"/>
  <c r="P719" i="17"/>
  <c r="P718" i="17"/>
  <c r="P220" i="17"/>
  <c r="P219" i="17"/>
  <c r="P904" i="17"/>
  <c r="P901" i="17"/>
  <c r="P795" i="17"/>
  <c r="P218" i="17"/>
  <c r="P905" i="17"/>
  <c r="P217" i="17"/>
  <c r="P811" i="17"/>
  <c r="P221" i="17"/>
  <c r="P587" i="17"/>
  <c r="P786" i="17"/>
  <c r="P739" i="17"/>
  <c r="P156" i="17"/>
  <c r="P734" i="17"/>
  <c r="P157" i="17"/>
  <c r="P735" i="17"/>
  <c r="P158" i="17"/>
  <c r="P738" i="17"/>
  <c r="P155" i="17"/>
  <c r="P310" i="17"/>
  <c r="P197" i="17"/>
  <c r="P950" i="17"/>
  <c r="P948" i="17"/>
  <c r="P951" i="17"/>
  <c r="P949" i="17"/>
  <c r="P716" i="17"/>
  <c r="P717" i="17"/>
  <c r="P306" i="17"/>
  <c r="P307" i="17"/>
  <c r="P20" i="17"/>
  <c r="P24" i="17"/>
  <c r="P920" i="17"/>
  <c r="P23" i="17"/>
  <c r="P21" i="17"/>
  <c r="P25" i="17"/>
  <c r="P22" i="17"/>
  <c r="P19" i="17"/>
  <c r="P749" i="17"/>
  <c r="P750" i="17"/>
  <c r="P787" i="17"/>
  <c r="P793" i="17"/>
  <c r="P732" i="17"/>
  <c r="P586" i="17"/>
  <c r="P731" i="17"/>
  <c r="P812" i="17"/>
  <c r="P695" i="17"/>
  <c r="P694" i="17"/>
  <c r="P889" i="17"/>
  <c r="P891" i="17" s="1"/>
  <c r="P693" i="17"/>
  <c r="P692" i="17"/>
  <c r="P273" i="17"/>
  <c r="P770" i="17"/>
  <c r="P596" i="17"/>
  <c r="P595" i="17"/>
  <c r="P794" i="17"/>
  <c r="P800" i="17"/>
  <c r="P400" i="17"/>
  <c r="P267" i="17"/>
  <c r="P268" i="17"/>
  <c r="P167" i="17"/>
  <c r="P330" i="17"/>
  <c r="P637" i="17"/>
  <c r="P320" i="17"/>
  <c r="P266" i="17"/>
  <c r="P168" i="17"/>
  <c r="P169" i="17"/>
  <c r="P153" i="17"/>
  <c r="P937" i="17"/>
  <c r="P939" i="17" s="1"/>
  <c r="P918" i="17"/>
  <c r="P921" i="17"/>
  <c r="P919" i="17"/>
  <c r="P683" i="17"/>
  <c r="P681" i="17"/>
  <c r="J95" i="10"/>
  <c r="J123" i="10"/>
  <c r="H123" i="10" s="1"/>
  <c r="I123" i="10" s="1"/>
  <c r="J139" i="19"/>
  <c r="J80" i="19"/>
  <c r="J82" i="19"/>
  <c r="J70" i="19"/>
  <c r="J108" i="19"/>
  <c r="J97" i="19"/>
  <c r="J81" i="19"/>
  <c r="P240" i="17"/>
  <c r="P241" i="17"/>
  <c r="P242" i="17"/>
  <c r="P243" i="17"/>
  <c r="P249" i="17"/>
  <c r="P250" i="17"/>
  <c r="P251" i="17"/>
  <c r="P252" i="17"/>
  <c r="J51" i="10"/>
  <c r="J53" i="10"/>
  <c r="J54" i="10"/>
  <c r="J55" i="10"/>
  <c r="J56" i="10"/>
  <c r="J58" i="10"/>
  <c r="J59" i="10"/>
  <c r="J60" i="10"/>
  <c r="J62" i="10"/>
  <c r="J63" i="10"/>
  <c r="J64" i="10"/>
  <c r="J73" i="10"/>
  <c r="J74" i="10"/>
  <c r="J75" i="10"/>
  <c r="J76" i="10"/>
  <c r="J77" i="10"/>
  <c r="J78" i="10"/>
  <c r="J213" i="10"/>
  <c r="J92" i="10"/>
  <c r="J93" i="10"/>
  <c r="J94" i="10"/>
  <c r="J96" i="10"/>
  <c r="J127" i="10"/>
  <c r="J128" i="10"/>
  <c r="J129" i="10"/>
  <c r="J131" i="10"/>
  <c r="J133" i="10"/>
  <c r="J102" i="10"/>
  <c r="J104" i="10"/>
  <c r="J105" i="10"/>
  <c r="J106" i="10"/>
  <c r="J143" i="10"/>
  <c r="J145" i="10"/>
  <c r="J146" i="10"/>
  <c r="J208" i="10"/>
  <c r="P880" i="17"/>
  <c r="J231" i="10"/>
  <c r="P987" i="17"/>
  <c r="P989" i="17"/>
  <c r="P992" i="17"/>
  <c r="P995" i="17"/>
  <c r="P996" i="17"/>
  <c r="P997" i="17"/>
  <c r="P481" i="17"/>
  <c r="P476" i="17"/>
  <c r="P475" i="17"/>
  <c r="P473" i="17"/>
  <c r="P468" i="17"/>
  <c r="P467" i="17"/>
  <c r="P917" i="17"/>
  <c r="P792" i="17"/>
  <c r="P785" i="17"/>
  <c r="P755" i="17"/>
  <c r="P754" i="17"/>
  <c r="P753" i="17"/>
  <c r="P723" i="17"/>
  <c r="P722" i="17"/>
  <c r="P721" i="17"/>
  <c r="P720" i="17"/>
  <c r="P659" i="17"/>
  <c r="P585" i="17"/>
  <c r="P573" i="17"/>
  <c r="P319" i="17"/>
  <c r="P298" i="17"/>
  <c r="P297" i="17"/>
  <c r="P446" i="17"/>
  <c r="P445" i="17"/>
  <c r="P444" i="17"/>
  <c r="P443" i="17"/>
  <c r="P374" i="17"/>
  <c r="P369" i="17"/>
  <c r="P368" i="17"/>
  <c r="P367" i="17"/>
  <c r="P365" i="17"/>
  <c r="P364" i="17"/>
  <c r="P211" i="17"/>
  <c r="P210" i="17"/>
  <c r="P209" i="17"/>
  <c r="P208" i="17"/>
  <c r="P125" i="17"/>
  <c r="P109" i="17"/>
  <c r="P296" i="17"/>
  <c r="AB3088" i="1"/>
  <c r="X3088" i="1"/>
  <c r="AB2992" i="1"/>
  <c r="X2992" i="1"/>
  <c r="P391" i="17"/>
  <c r="P393" i="17"/>
  <c r="P395" i="17"/>
  <c r="P621" i="17"/>
  <c r="P701" i="17"/>
  <c r="P392" i="17"/>
  <c r="P394" i="17"/>
  <c r="P396" i="17"/>
  <c r="P262" i="17"/>
  <c r="P29" i="17"/>
  <c r="P57" i="17"/>
  <c r="P848" i="17"/>
  <c r="P976" i="17"/>
  <c r="P809" i="17"/>
  <c r="P873" i="17"/>
  <c r="P263" i="17"/>
  <c r="P264" i="17"/>
  <c r="P822" i="17"/>
  <c r="P703" i="17"/>
  <c r="P704" i="17"/>
  <c r="P705" i="17"/>
  <c r="P706" i="17"/>
  <c r="P707" i="17"/>
  <c r="P708" i="17"/>
  <c r="P129" i="17"/>
  <c r="P823" i="17"/>
  <c r="P363" i="17"/>
  <c r="P460" i="17"/>
  <c r="P102" i="17"/>
  <c r="P413" i="17"/>
  <c r="P416" i="17"/>
  <c r="P417" i="17"/>
  <c r="P455" i="17"/>
  <c r="P414" i="17"/>
  <c r="P418" i="17"/>
  <c r="P104" i="17"/>
  <c r="P428" i="17"/>
  <c r="P430" i="17"/>
  <c r="P431" i="17"/>
  <c r="P432" i="17"/>
  <c r="P433" i="17"/>
  <c r="P434" i="17"/>
  <c r="P529" i="17"/>
  <c r="P530" i="17"/>
  <c r="P533" i="17"/>
  <c r="P534" i="17"/>
  <c r="P105" i="17"/>
  <c r="P849" i="17"/>
  <c r="P634" i="17"/>
  <c r="P635" i="17"/>
  <c r="P636" i="17"/>
  <c r="P108" i="17"/>
  <c r="P982" i="17"/>
  <c r="P638" i="17"/>
  <c r="P983" i="17"/>
  <c r="P799" i="17"/>
  <c r="P797" i="17"/>
  <c r="P980" i="17"/>
  <c r="P981" i="17"/>
  <c r="P854" i="17"/>
  <c r="P504" i="17"/>
  <c r="P505" i="17"/>
  <c r="P506" i="17"/>
  <c r="P507" i="17"/>
  <c r="P802" i="17"/>
  <c r="P245" i="17"/>
  <c r="P884" i="17"/>
  <c r="P113" i="17"/>
  <c r="P275" i="17"/>
  <c r="P804" i="17"/>
  <c r="P757" i="17"/>
  <c r="P26" i="17" l="1"/>
  <c r="P922" i="17"/>
  <c r="P301" i="17"/>
  <c r="P402" i="17"/>
  <c r="P68" i="17"/>
  <c r="P31" i="17"/>
  <c r="P79" i="17"/>
  <c r="P30" i="17"/>
  <c r="P52" i="17"/>
  <c r="I444" i="10"/>
  <c r="I313" i="10" s="1"/>
  <c r="H444" i="10"/>
  <c r="J443" i="10"/>
  <c r="J442" i="10"/>
  <c r="B388" i="10"/>
  <c r="B385" i="10"/>
  <c r="B382" i="10"/>
  <c r="B376" i="10"/>
  <c r="B373" i="10"/>
  <c r="B370" i="10"/>
  <c r="B356" i="10"/>
  <c r="B353" i="10"/>
  <c r="B344" i="10"/>
  <c r="B338" i="10"/>
  <c r="B335" i="10"/>
  <c r="B332" i="10"/>
  <c r="B312" i="10"/>
  <c r="B313" i="10" s="1"/>
  <c r="B264" i="10"/>
  <c r="B261" i="10"/>
  <c r="B249" i="10"/>
  <c r="B250" i="10" s="1"/>
  <c r="B251" i="10" s="1"/>
  <c r="J246" i="10"/>
  <c r="B242" i="10"/>
  <c r="B243" i="10" s="1"/>
  <c r="B244" i="10" s="1"/>
  <c r="B239" i="10"/>
  <c r="A195" i="10"/>
  <c r="I188" i="10"/>
  <c r="H159" i="10"/>
  <c r="B151" i="10"/>
  <c r="B137" i="10"/>
  <c r="B116" i="10"/>
  <c r="B112" i="10"/>
  <c r="B98" i="10"/>
  <c r="J98" i="10"/>
  <c r="B22" i="10"/>
  <c r="J22" i="10"/>
  <c r="H77" i="10"/>
  <c r="I77" i="10" s="1"/>
  <c r="H76" i="10"/>
  <c r="I76" i="10" s="1"/>
  <c r="H74" i="10"/>
  <c r="I74" i="10" s="1"/>
  <c r="H73" i="10"/>
  <c r="I73" i="10" s="1"/>
  <c r="H66" i="10"/>
  <c r="I66" i="10" s="1"/>
  <c r="H65" i="10"/>
  <c r="I65" i="10" s="1"/>
  <c r="H59" i="10"/>
  <c r="I59" i="10" s="1"/>
  <c r="H58" i="10"/>
  <c r="I58" i="10" s="1"/>
  <c r="H57" i="10"/>
  <c r="I57" i="10" s="1"/>
  <c r="H56" i="10"/>
  <c r="I56" i="10" s="1"/>
  <c r="H54" i="10"/>
  <c r="I54" i="10" s="1"/>
  <c r="H53" i="10"/>
  <c r="I53" i="10" s="1"/>
  <c r="H52" i="10"/>
  <c r="I52" i="10" s="1"/>
  <c r="H51" i="10"/>
  <c r="I51" i="10" s="1"/>
  <c r="B36" i="10"/>
  <c r="B29" i="10"/>
  <c r="B16" i="10"/>
  <c r="G38" i="8"/>
  <c r="G16" i="8"/>
  <c r="G40" i="8" l="1"/>
  <c r="G43" i="8" s="1"/>
  <c r="G12" i="8"/>
  <c r="H161" i="10" s="1"/>
  <c r="H60" i="10"/>
  <c r="I60" i="10" s="1"/>
  <c r="J444" i="10"/>
  <c r="J313" i="10"/>
  <c r="P1016" i="17" s="1"/>
  <c r="H132" i="10"/>
  <c r="I132" i="10" s="1"/>
  <c r="H93" i="10"/>
  <c r="I93" i="10" s="1"/>
  <c r="H281" i="10"/>
  <c r="J80" i="10"/>
  <c r="H95" i="10"/>
  <c r="I95" i="10" s="1"/>
  <c r="H130" i="10"/>
  <c r="I130" i="10" s="1"/>
  <c r="H134" i="10"/>
  <c r="I134" i="10" s="1"/>
  <c r="J29" i="10"/>
  <c r="H33" i="10"/>
  <c r="I33" i="10" s="1"/>
  <c r="H25" i="10"/>
  <c r="I25" i="10" s="1"/>
  <c r="J36" i="10"/>
  <c r="H131" i="10"/>
  <c r="I131" i="10" s="1"/>
  <c r="H133" i="10"/>
  <c r="I133" i="10" s="1"/>
  <c r="H141" i="10"/>
  <c r="I141" i="10" s="1"/>
  <c r="H143" i="10"/>
  <c r="I143" i="10" s="1"/>
  <c r="H19" i="10"/>
  <c r="I19" i="10" s="1"/>
  <c r="I22" i="10" s="1"/>
  <c r="H92" i="10"/>
  <c r="H94" i="10"/>
  <c r="I94" i="10" s="1"/>
  <c r="H96" i="10"/>
  <c r="I96" i="10" s="1"/>
  <c r="H187" i="10"/>
  <c r="H190" i="10" s="1"/>
  <c r="H203" i="10"/>
  <c r="I203" i="10" s="1"/>
  <c r="H204" i="10"/>
  <c r="I204" i="10" s="1"/>
  <c r="J16" i="10"/>
  <c r="H12" i="10"/>
  <c r="I12" i="10" s="1"/>
  <c r="H32" i="10"/>
  <c r="J70" i="10"/>
  <c r="A196" i="10"/>
  <c r="B117" i="10"/>
  <c r="H11" i="10"/>
  <c r="H26" i="10"/>
  <c r="H101" i="10"/>
  <c r="H102" i="10"/>
  <c r="I102" i="10" s="1"/>
  <c r="H103" i="10"/>
  <c r="I103" i="10" s="1"/>
  <c r="H104" i="10"/>
  <c r="I104" i="10" s="1"/>
  <c r="H105" i="10"/>
  <c r="I105" i="10" s="1"/>
  <c r="H106" i="10"/>
  <c r="I106" i="10" s="1"/>
  <c r="H107" i="10"/>
  <c r="I107" i="10" s="1"/>
  <c r="H108" i="10"/>
  <c r="I108" i="10" s="1"/>
  <c r="H109" i="10"/>
  <c r="I109" i="10" s="1"/>
  <c r="H208" i="10"/>
  <c r="I208" i="10" s="1"/>
  <c r="I187" i="10"/>
  <c r="I190" i="10" s="1"/>
  <c r="I192" i="10" s="1"/>
  <c r="H15" i="18" s="1"/>
  <c r="J210" i="10"/>
  <c r="H202" i="10"/>
  <c r="H207" i="10"/>
  <c r="H262" i="10"/>
  <c r="I262" i="10" s="1"/>
  <c r="H231" i="10"/>
  <c r="H164" i="10" l="1"/>
  <c r="H166" i="10" s="1"/>
  <c r="H192" i="10" s="1"/>
  <c r="G15" i="18" s="1"/>
  <c r="G18" i="8"/>
  <c r="G21" i="8" s="1"/>
  <c r="I250" i="10"/>
  <c r="I249" i="10"/>
  <c r="H210" i="10"/>
  <c r="J82" i="10"/>
  <c r="I281" i="10"/>
  <c r="H22" i="10"/>
  <c r="H98" i="10"/>
  <c r="I92" i="10"/>
  <c r="I98" i="10" s="1"/>
  <c r="I101" i="10"/>
  <c r="I231" i="10"/>
  <c r="I207" i="10"/>
  <c r="I210" i="10" s="1"/>
  <c r="I26" i="10"/>
  <c r="I32" i="10"/>
  <c r="I11" i="10"/>
  <c r="I202" i="10"/>
  <c r="I15" i="18" l="1"/>
  <c r="J17" i="11" l="1"/>
  <c r="J21" i="11" s="1"/>
  <c r="AC2916" i="1"/>
  <c r="K17" i="11" l="1"/>
  <c r="K21" i="11" s="1"/>
  <c r="L17" i="11" s="1"/>
  <c r="L21" i="11" s="1"/>
  <c r="M17" i="11" s="1"/>
  <c r="AD2916" i="1"/>
  <c r="AE2916" i="1" l="1"/>
  <c r="M21" i="11"/>
  <c r="N17" i="11" s="1"/>
  <c r="AF2916" i="1"/>
  <c r="AS2827" i="1"/>
  <c r="AS2802" i="1"/>
  <c r="AS2803" i="1"/>
  <c r="AS2804" i="1"/>
  <c r="AS2805" i="1"/>
  <c r="AS2806" i="1"/>
  <c r="AS2807" i="1"/>
  <c r="AS2808" i="1"/>
  <c r="AS2809" i="1"/>
  <c r="AS2810" i="1"/>
  <c r="AS2811" i="1"/>
  <c r="AS2812" i="1"/>
  <c r="AS2813" i="1"/>
  <c r="AS2814" i="1"/>
  <c r="AS2815" i="1"/>
  <c r="AS2816" i="1"/>
  <c r="AS2817" i="1"/>
  <c r="AS2818" i="1"/>
  <c r="AS2819" i="1"/>
  <c r="AS2820" i="1"/>
  <c r="AS2821" i="1"/>
  <c r="AS2822" i="1"/>
  <c r="AS2823" i="1"/>
  <c r="AS2824" i="1"/>
  <c r="AS2825" i="1"/>
  <c r="AS2826" i="1"/>
  <c r="AS2801" i="1"/>
  <c r="AS2760" i="1"/>
  <c r="AS2570" i="1"/>
  <c r="AS2761" i="1"/>
  <c r="AS2762" i="1"/>
  <c r="AS2763" i="1"/>
  <c r="AS2764" i="1"/>
  <c r="AS2765" i="1"/>
  <c r="AS2766" i="1"/>
  <c r="AS2767" i="1"/>
  <c r="AS2768" i="1"/>
  <c r="AS2769" i="1"/>
  <c r="AS2770" i="1"/>
  <c r="AS2771" i="1"/>
  <c r="AS2772" i="1"/>
  <c r="AS2773" i="1"/>
  <c r="AS2774" i="1"/>
  <c r="AS2644" i="1"/>
  <c r="AS2645" i="1"/>
  <c r="AS2646" i="1"/>
  <c r="AS2647" i="1"/>
  <c r="AS2648" i="1"/>
  <c r="AS2649" i="1"/>
  <c r="AS2650" i="1"/>
  <c r="AS2651" i="1"/>
  <c r="AS2652" i="1"/>
  <c r="AS2653" i="1"/>
  <c r="AS2654" i="1"/>
  <c r="AS2655" i="1"/>
  <c r="AS2656" i="1"/>
  <c r="AS2657" i="1"/>
  <c r="AS2658" i="1"/>
  <c r="AS2659" i="1"/>
  <c r="AS2660" i="1"/>
  <c r="AS2661" i="1"/>
  <c r="AS2662" i="1"/>
  <c r="AS2663" i="1"/>
  <c r="AS2664" i="1"/>
  <c r="AS2665" i="1"/>
  <c r="AS2666" i="1"/>
  <c r="AS2667" i="1"/>
  <c r="AS2668" i="1"/>
  <c r="AS2669" i="1"/>
  <c r="AS2670" i="1"/>
  <c r="AS2671" i="1"/>
  <c r="AS2672" i="1"/>
  <c r="AS2673" i="1"/>
  <c r="AS2674" i="1"/>
  <c r="AS2675" i="1"/>
  <c r="AS2676" i="1"/>
  <c r="AS2677" i="1"/>
  <c r="AS2678" i="1"/>
  <c r="AS2679" i="1"/>
  <c r="AS2680" i="1"/>
  <c r="AS2681" i="1"/>
  <c r="AS2682" i="1"/>
  <c r="AS2683" i="1"/>
  <c r="AS2684" i="1"/>
  <c r="AS2685" i="1"/>
  <c r="AS2686" i="1"/>
  <c r="AS2687" i="1"/>
  <c r="AS2688" i="1"/>
  <c r="AS2689" i="1"/>
  <c r="AS2690" i="1"/>
  <c r="AS2691" i="1"/>
  <c r="AS2692" i="1"/>
  <c r="AS2693" i="1"/>
  <c r="AS2694" i="1"/>
  <c r="AS2695" i="1"/>
  <c r="AS2696" i="1"/>
  <c r="AS2697" i="1"/>
  <c r="AS2698" i="1"/>
  <c r="AS2699" i="1"/>
  <c r="AS2700" i="1"/>
  <c r="AS2701" i="1"/>
  <c r="AS2702" i="1"/>
  <c r="AS2703" i="1"/>
  <c r="AS2704" i="1"/>
  <c r="AS2705" i="1"/>
  <c r="AS2706" i="1"/>
  <c r="AS2707" i="1"/>
  <c r="AS2708" i="1"/>
  <c r="AS2709" i="1"/>
  <c r="AS2710" i="1"/>
  <c r="AS2711" i="1"/>
  <c r="AS2712" i="1"/>
  <c r="AS2713" i="1"/>
  <c r="AS2714" i="1"/>
  <c r="AS2715" i="1"/>
  <c r="AS2716" i="1"/>
  <c r="AS2717" i="1"/>
  <c r="AS2718" i="1"/>
  <c r="AS2719" i="1"/>
  <c r="AS2720" i="1"/>
  <c r="AS2721" i="1"/>
  <c r="AS2722" i="1"/>
  <c r="AS2723" i="1"/>
  <c r="AS2724" i="1"/>
  <c r="AS2725" i="1"/>
  <c r="AS2726" i="1"/>
  <c r="AS2727" i="1"/>
  <c r="AS2728" i="1"/>
  <c r="AS2729" i="1"/>
  <c r="AS2730" i="1"/>
  <c r="AS2731" i="1"/>
  <c r="AS2732" i="1"/>
  <c r="AS2733" i="1"/>
  <c r="AS2734" i="1"/>
  <c r="AS2735" i="1"/>
  <c r="AS2736" i="1"/>
  <c r="AS2737" i="1"/>
  <c r="AS2738" i="1"/>
  <c r="AS2739" i="1"/>
  <c r="AS2740" i="1"/>
  <c r="AS2741" i="1"/>
  <c r="AS2742" i="1"/>
  <c r="AS2743" i="1"/>
  <c r="AS2643" i="1"/>
  <c r="N21" i="11" l="1"/>
  <c r="O17" i="11" s="1"/>
  <c r="AG2916" i="1"/>
  <c r="AS2600" i="1"/>
  <c r="AS2601" i="1"/>
  <c r="AS2602" i="1"/>
  <c r="AS2603" i="1"/>
  <c r="AS2604" i="1"/>
  <c r="AS2605" i="1"/>
  <c r="AS2606" i="1"/>
  <c r="AS2607" i="1"/>
  <c r="AS2608" i="1"/>
  <c r="AS2609" i="1"/>
  <c r="AS2610" i="1"/>
  <c r="AS2611" i="1"/>
  <c r="AS2612" i="1"/>
  <c r="AS2613" i="1"/>
  <c r="AS2614" i="1"/>
  <c r="AS2615" i="1"/>
  <c r="AS2616" i="1"/>
  <c r="AS2617" i="1"/>
  <c r="AS2618" i="1"/>
  <c r="AS2619" i="1"/>
  <c r="AS2620" i="1"/>
  <c r="AS2621" i="1"/>
  <c r="AS2622" i="1"/>
  <c r="AS2623" i="1"/>
  <c r="AS2624" i="1"/>
  <c r="O21" i="11" l="1"/>
  <c r="P17" i="11" s="1"/>
  <c r="AH2916" i="1"/>
  <c r="AS2599" i="1"/>
  <c r="AS2598" i="1"/>
  <c r="AS2597" i="1"/>
  <c r="AS2596" i="1"/>
  <c r="AS2595" i="1"/>
  <c r="AS2594" i="1"/>
  <c r="AS2593" i="1"/>
  <c r="AS2592" i="1"/>
  <c r="AS2591" i="1"/>
  <c r="AS2590" i="1"/>
  <c r="AS2589" i="1"/>
  <c r="AS2588" i="1"/>
  <c r="AS2587" i="1"/>
  <c r="AS2586" i="1"/>
  <c r="AS2585" i="1"/>
  <c r="AS2584" i="1"/>
  <c r="AS2583" i="1"/>
  <c r="AS2582" i="1"/>
  <c r="AS2581" i="1"/>
  <c r="AS2580" i="1"/>
  <c r="AS2579" i="1"/>
  <c r="AS2578" i="1"/>
  <c r="AS2577" i="1"/>
  <c r="AS2576" i="1"/>
  <c r="AS2575" i="1"/>
  <c r="AS2574" i="1"/>
  <c r="AS2573" i="1"/>
  <c r="AS2572" i="1"/>
  <c r="AS2571" i="1"/>
  <c r="AS2560" i="1"/>
  <c r="AS2559" i="1"/>
  <c r="AS2558" i="1"/>
  <c r="AR233" i="1"/>
  <c r="P21" i="11" l="1"/>
  <c r="Q17" i="11" s="1"/>
  <c r="AI2916" i="1"/>
  <c r="AR1948" i="1"/>
  <c r="AR1947" i="1"/>
  <c r="F1948" i="1"/>
  <c r="F1947" i="1"/>
  <c r="Q21" i="11" l="1"/>
  <c r="R17" i="11" s="1"/>
  <c r="AJ2916" i="1"/>
  <c r="K1948" i="1"/>
  <c r="K1947" i="1"/>
  <c r="Q1948" i="1"/>
  <c r="T1948" i="1"/>
  <c r="S1947" i="1"/>
  <c r="T1947" i="1"/>
  <c r="M1948" i="1"/>
  <c r="AP1948" i="1" s="1"/>
  <c r="AQ1948" i="1" s="1"/>
  <c r="M1947" i="1"/>
  <c r="AP1947" i="1" s="1"/>
  <c r="AQ1947" i="1" s="1"/>
  <c r="R1947" i="1"/>
  <c r="O1948" i="1"/>
  <c r="N1947" i="1"/>
  <c r="R1948" i="1"/>
  <c r="O1947" i="1"/>
  <c r="Q1947" i="1"/>
  <c r="S1948" i="1"/>
  <c r="N1948" i="1"/>
  <c r="W1948" i="1" l="1"/>
  <c r="AA1948" i="1"/>
  <c r="AA1947" i="1"/>
  <c r="W1947" i="1"/>
  <c r="Z1948" i="1"/>
  <c r="V1948" i="1"/>
  <c r="Y1948" i="1"/>
  <c r="U1948" i="1"/>
  <c r="Y1947" i="1"/>
  <c r="U1947" i="1"/>
  <c r="Z1947" i="1"/>
  <c r="V1947" i="1"/>
  <c r="R21" i="11"/>
  <c r="AK2916" i="1"/>
  <c r="T59" i="1"/>
  <c r="T2493" i="1"/>
  <c r="T2492" i="1"/>
  <c r="T2491" i="1"/>
  <c r="T2490" i="1"/>
  <c r="T2489" i="1"/>
  <c r="T2488" i="1"/>
  <c r="T2487" i="1"/>
  <c r="T2486" i="1"/>
  <c r="T2485" i="1"/>
  <c r="T2484" i="1"/>
  <c r="T2483" i="1"/>
  <c r="T2482" i="1"/>
  <c r="T2481" i="1"/>
  <c r="T2480" i="1"/>
  <c r="T2479" i="1"/>
  <c r="T2478" i="1"/>
  <c r="T2477" i="1"/>
  <c r="T2476" i="1"/>
  <c r="T2475" i="1"/>
  <c r="T2474" i="1"/>
  <c r="T2473" i="1"/>
  <c r="T2471" i="1"/>
  <c r="T2470" i="1"/>
  <c r="T2469" i="1"/>
  <c r="T2468" i="1"/>
  <c r="T2467" i="1"/>
  <c r="T2466" i="1"/>
  <c r="T2465" i="1"/>
  <c r="T2464" i="1"/>
  <c r="T2463" i="1"/>
  <c r="T2462" i="1"/>
  <c r="T2461" i="1"/>
  <c r="T2457" i="1"/>
  <c r="T2456" i="1"/>
  <c r="T2455" i="1"/>
  <c r="T2454" i="1"/>
  <c r="T2453" i="1"/>
  <c r="T2452" i="1"/>
  <c r="T2451" i="1"/>
  <c r="T2450" i="1"/>
  <c r="T2449" i="1"/>
  <c r="T2448" i="1"/>
  <c r="T2447" i="1"/>
  <c r="T2445" i="1"/>
  <c r="T2444" i="1"/>
  <c r="T2443" i="1"/>
  <c r="T2442" i="1"/>
  <c r="T2441" i="1"/>
  <c r="T2438" i="1"/>
  <c r="T2437" i="1"/>
  <c r="W2437" i="1" s="1"/>
  <c r="T2436" i="1"/>
  <c r="T2435" i="1"/>
  <c r="T2434" i="1"/>
  <c r="T2433" i="1"/>
  <c r="T2431" i="1"/>
  <c r="T2430" i="1"/>
  <c r="T2429" i="1"/>
  <c r="T2428" i="1"/>
  <c r="T2427" i="1"/>
  <c r="T2426" i="1"/>
  <c r="T2425" i="1"/>
  <c r="T2424" i="1"/>
  <c r="T2423" i="1"/>
  <c r="T2422" i="1"/>
  <c r="T2421" i="1"/>
  <c r="T2420" i="1"/>
  <c r="T2419" i="1"/>
  <c r="T2418" i="1"/>
  <c r="T2417" i="1"/>
  <c r="T2416" i="1"/>
  <c r="T2415" i="1"/>
  <c r="T2414" i="1"/>
  <c r="T2413" i="1"/>
  <c r="T2412" i="1"/>
  <c r="T2411" i="1"/>
  <c r="T2410" i="1"/>
  <c r="T2409" i="1"/>
  <c r="T2408" i="1"/>
  <c r="T2407" i="1"/>
  <c r="T2406" i="1"/>
  <c r="T2405" i="1"/>
  <c r="T2404" i="1"/>
  <c r="T2403" i="1"/>
  <c r="T2402" i="1"/>
  <c r="T2401" i="1"/>
  <c r="T2400" i="1"/>
  <c r="T2399" i="1"/>
  <c r="T2398" i="1"/>
  <c r="T2397" i="1"/>
  <c r="T2395" i="1"/>
  <c r="T2394" i="1"/>
  <c r="T2393" i="1"/>
  <c r="T2392" i="1"/>
  <c r="T2391" i="1"/>
  <c r="T2390" i="1"/>
  <c r="T2389" i="1"/>
  <c r="T2388" i="1"/>
  <c r="T2387" i="1"/>
  <c r="T2386" i="1"/>
  <c r="T2382" i="1"/>
  <c r="T2381" i="1"/>
  <c r="T2380" i="1"/>
  <c r="T2379" i="1"/>
  <c r="T2378" i="1"/>
  <c r="T2377" i="1"/>
  <c r="T2376" i="1"/>
  <c r="T2375" i="1"/>
  <c r="T2374" i="1"/>
  <c r="T2373" i="1"/>
  <c r="T2372" i="1"/>
  <c r="T2371" i="1"/>
  <c r="T2370" i="1"/>
  <c r="T2369" i="1"/>
  <c r="T2368" i="1"/>
  <c r="T2367" i="1"/>
  <c r="T2366" i="1"/>
  <c r="T2365" i="1"/>
  <c r="T2364" i="1"/>
  <c r="T2363" i="1"/>
  <c r="T2362" i="1"/>
  <c r="P756" i="17" s="1"/>
  <c r="T2361" i="1"/>
  <c r="T2360" i="1"/>
  <c r="T2359" i="1"/>
  <c r="T2358" i="1"/>
  <c r="T2357" i="1"/>
  <c r="T2356" i="1"/>
  <c r="T2355" i="1"/>
  <c r="T2354" i="1"/>
  <c r="T2353" i="1"/>
  <c r="T2352" i="1"/>
  <c r="T2351" i="1"/>
  <c r="T2350" i="1"/>
  <c r="T2349" i="1"/>
  <c r="T2348" i="1"/>
  <c r="T2347" i="1"/>
  <c r="T2344" i="1"/>
  <c r="T2343" i="1"/>
  <c r="T2342" i="1"/>
  <c r="T2341" i="1"/>
  <c r="T2340" i="1"/>
  <c r="T2339" i="1"/>
  <c r="T2338" i="1"/>
  <c r="T2337" i="1"/>
  <c r="T2336" i="1"/>
  <c r="T2335" i="1"/>
  <c r="T2334" i="1"/>
  <c r="T2333" i="1"/>
  <c r="T2332" i="1"/>
  <c r="T2331" i="1"/>
  <c r="T2330" i="1"/>
  <c r="T2329" i="1"/>
  <c r="T2328" i="1"/>
  <c r="T2327" i="1"/>
  <c r="T2326" i="1"/>
  <c r="T2325" i="1"/>
  <c r="T2324" i="1"/>
  <c r="T2323" i="1"/>
  <c r="T2322" i="1"/>
  <c r="T2320" i="1"/>
  <c r="T2319" i="1"/>
  <c r="T2318" i="1"/>
  <c r="T2317" i="1"/>
  <c r="T2316" i="1"/>
  <c r="T2315" i="1"/>
  <c r="T2314" i="1"/>
  <c r="T2313" i="1"/>
  <c r="T2312" i="1"/>
  <c r="T2311" i="1"/>
  <c r="T2310" i="1"/>
  <c r="T2309" i="1"/>
  <c r="T2308" i="1"/>
  <c r="T2307" i="1"/>
  <c r="T2306" i="1"/>
  <c r="T2305" i="1"/>
  <c r="T2304" i="1"/>
  <c r="T2303" i="1"/>
  <c r="T2302" i="1"/>
  <c r="T2301" i="1"/>
  <c r="T2300" i="1"/>
  <c r="T2299" i="1"/>
  <c r="T2298" i="1"/>
  <c r="T2296" i="1"/>
  <c r="T2295" i="1"/>
  <c r="T2294" i="1"/>
  <c r="T2293" i="1"/>
  <c r="T2292" i="1"/>
  <c r="T2291" i="1"/>
  <c r="T2290" i="1"/>
  <c r="T2289" i="1"/>
  <c r="T2288" i="1"/>
  <c r="T2287" i="1"/>
  <c r="T2286" i="1"/>
  <c r="T2285" i="1"/>
  <c r="T2284" i="1"/>
  <c r="T2283" i="1"/>
  <c r="T2282" i="1"/>
  <c r="T2281" i="1"/>
  <c r="T2280" i="1"/>
  <c r="T2279" i="1"/>
  <c r="T2278" i="1"/>
  <c r="T2277" i="1"/>
  <c r="T2276" i="1"/>
  <c r="T2275" i="1"/>
  <c r="T2274" i="1"/>
  <c r="T2273" i="1"/>
  <c r="T2272" i="1"/>
  <c r="T2271" i="1"/>
  <c r="T2270" i="1"/>
  <c r="T2269" i="1"/>
  <c r="T2268" i="1"/>
  <c r="T2267" i="1"/>
  <c r="T2266" i="1"/>
  <c r="T2265" i="1"/>
  <c r="T2264" i="1"/>
  <c r="T2263" i="1"/>
  <c r="T2262" i="1"/>
  <c r="T2258" i="1"/>
  <c r="T2257" i="1"/>
  <c r="T2256" i="1"/>
  <c r="T2255" i="1"/>
  <c r="T2254" i="1"/>
  <c r="T2253" i="1"/>
  <c r="T2252" i="1"/>
  <c r="T2251" i="1"/>
  <c r="T2250" i="1"/>
  <c r="T2249" i="1"/>
  <c r="T2248" i="1"/>
  <c r="T2247" i="1"/>
  <c r="T2246" i="1"/>
  <c r="T2245" i="1"/>
  <c r="T2244" i="1"/>
  <c r="T2243" i="1"/>
  <c r="T2242" i="1"/>
  <c r="T2241" i="1"/>
  <c r="T2240" i="1"/>
  <c r="T2239" i="1"/>
  <c r="T2238" i="1"/>
  <c r="T2237" i="1"/>
  <c r="T2236" i="1"/>
  <c r="T2235" i="1"/>
  <c r="T2234" i="1"/>
  <c r="T2233" i="1"/>
  <c r="T2232" i="1"/>
  <c r="T2231" i="1"/>
  <c r="T2230" i="1"/>
  <c r="T2229" i="1"/>
  <c r="T2228" i="1"/>
  <c r="T2227" i="1"/>
  <c r="T2226" i="1"/>
  <c r="T2225" i="1"/>
  <c r="T2224" i="1"/>
  <c r="T2223" i="1"/>
  <c r="T2222" i="1"/>
  <c r="T2221" i="1"/>
  <c r="T2220" i="1"/>
  <c r="T2219" i="1"/>
  <c r="T2218" i="1"/>
  <c r="T2217" i="1"/>
  <c r="T2216" i="1"/>
  <c r="T2215" i="1"/>
  <c r="T2214" i="1"/>
  <c r="T2213" i="1"/>
  <c r="T2212" i="1"/>
  <c r="T2211" i="1"/>
  <c r="T2210" i="1"/>
  <c r="T2209" i="1"/>
  <c r="T2208" i="1"/>
  <c r="T2207" i="1"/>
  <c r="T2206" i="1"/>
  <c r="T2205" i="1"/>
  <c r="T2204" i="1"/>
  <c r="T2203" i="1"/>
  <c r="T2202" i="1"/>
  <c r="T2201" i="1"/>
  <c r="T2200" i="1"/>
  <c r="T2199" i="1"/>
  <c r="T2198" i="1"/>
  <c r="T2197" i="1"/>
  <c r="T2196" i="1"/>
  <c r="T2195" i="1"/>
  <c r="T2194" i="1"/>
  <c r="T2192" i="1"/>
  <c r="T2191" i="1"/>
  <c r="T2190" i="1"/>
  <c r="T2189" i="1"/>
  <c r="T2188" i="1"/>
  <c r="T2187" i="1"/>
  <c r="T2186" i="1"/>
  <c r="T2185" i="1"/>
  <c r="T2184" i="1"/>
  <c r="T2183" i="1"/>
  <c r="T2182" i="1"/>
  <c r="T2181" i="1"/>
  <c r="T2180" i="1"/>
  <c r="T2179" i="1"/>
  <c r="T2178" i="1"/>
  <c r="T2177" i="1"/>
  <c r="T2175" i="1"/>
  <c r="T2174" i="1"/>
  <c r="T2173" i="1"/>
  <c r="T2172" i="1"/>
  <c r="T2171" i="1"/>
  <c r="T2170" i="1"/>
  <c r="T2169" i="1"/>
  <c r="T2168" i="1"/>
  <c r="T2167" i="1"/>
  <c r="T2166" i="1"/>
  <c r="T2165" i="1"/>
  <c r="T2164" i="1"/>
  <c r="T2163" i="1"/>
  <c r="T2162" i="1"/>
  <c r="T2161" i="1"/>
  <c r="T2160" i="1"/>
  <c r="T2159" i="1"/>
  <c r="T2158" i="1"/>
  <c r="T2157" i="1"/>
  <c r="T2156" i="1"/>
  <c r="T2155" i="1"/>
  <c r="T2154" i="1"/>
  <c r="T2153" i="1"/>
  <c r="T2152" i="1"/>
  <c r="T2151" i="1"/>
  <c r="T2150" i="1"/>
  <c r="T2149" i="1"/>
  <c r="T2148" i="1"/>
  <c r="T2147" i="1"/>
  <c r="T2146" i="1"/>
  <c r="T2144" i="1"/>
  <c r="T2143" i="1"/>
  <c r="T2142" i="1"/>
  <c r="T2141" i="1"/>
  <c r="T2140" i="1"/>
  <c r="T2139" i="1"/>
  <c r="T2138" i="1"/>
  <c r="T2137" i="1"/>
  <c r="T2136" i="1"/>
  <c r="T2134" i="1"/>
  <c r="T2133" i="1"/>
  <c r="T2132" i="1"/>
  <c r="T2131" i="1"/>
  <c r="T2130" i="1"/>
  <c r="T2129" i="1"/>
  <c r="T2128" i="1"/>
  <c r="T2127" i="1"/>
  <c r="T2126" i="1"/>
  <c r="T2125" i="1"/>
  <c r="T2124" i="1"/>
  <c r="T2123" i="1"/>
  <c r="T2122" i="1"/>
  <c r="T2121" i="1"/>
  <c r="T2120" i="1"/>
  <c r="T2119" i="1"/>
  <c r="T2118" i="1"/>
  <c r="T2117" i="1"/>
  <c r="T2116" i="1"/>
  <c r="T2115" i="1"/>
  <c r="T2114" i="1"/>
  <c r="T2113" i="1"/>
  <c r="T2112" i="1"/>
  <c r="T2111" i="1"/>
  <c r="T2110" i="1"/>
  <c r="T2109" i="1"/>
  <c r="T2108" i="1"/>
  <c r="T2107" i="1"/>
  <c r="T2106" i="1"/>
  <c r="T2105" i="1"/>
  <c r="T2104" i="1"/>
  <c r="T2103" i="1"/>
  <c r="T2102" i="1"/>
  <c r="T2101" i="1"/>
  <c r="T2100" i="1"/>
  <c r="T2099" i="1"/>
  <c r="T2098" i="1"/>
  <c r="T2097" i="1"/>
  <c r="T2096" i="1"/>
  <c r="T2095" i="1"/>
  <c r="T2094" i="1"/>
  <c r="T2093" i="1"/>
  <c r="T2092" i="1"/>
  <c r="T2091" i="1"/>
  <c r="T2090" i="1"/>
  <c r="T2089" i="1"/>
  <c r="T2088" i="1"/>
  <c r="T2087" i="1"/>
  <c r="T2086" i="1"/>
  <c r="T2085" i="1"/>
  <c r="T2084" i="1"/>
  <c r="T2083" i="1"/>
  <c r="T2082" i="1"/>
  <c r="T2081" i="1"/>
  <c r="T2080" i="1"/>
  <c r="T2079" i="1"/>
  <c r="T2078" i="1"/>
  <c r="T2077" i="1"/>
  <c r="T2076" i="1"/>
  <c r="T2075" i="1"/>
  <c r="T2074" i="1"/>
  <c r="T2073" i="1"/>
  <c r="T2072" i="1"/>
  <c r="T2067" i="1"/>
  <c r="T2059" i="1"/>
  <c r="P509" i="17" s="1"/>
  <c r="T2058" i="1"/>
  <c r="T2057" i="1"/>
  <c r="T2056" i="1"/>
  <c r="T2055" i="1"/>
  <c r="T2054" i="1"/>
  <c r="T2053" i="1"/>
  <c r="T2052" i="1"/>
  <c r="T2050" i="1"/>
  <c r="T2049" i="1"/>
  <c r="T2048" i="1"/>
  <c r="T2047" i="1"/>
  <c r="T2046" i="1"/>
  <c r="T2045" i="1"/>
  <c r="T2043" i="1"/>
  <c r="T2042" i="1"/>
  <c r="T2040" i="1"/>
  <c r="T2039" i="1"/>
  <c r="T2038" i="1"/>
  <c r="T2037" i="1"/>
  <c r="T2036" i="1"/>
  <c r="T2035" i="1"/>
  <c r="T2034" i="1"/>
  <c r="T2033" i="1"/>
  <c r="T2032" i="1"/>
  <c r="T2031" i="1"/>
  <c r="T2030" i="1"/>
  <c r="T2029" i="1"/>
  <c r="T2028" i="1"/>
  <c r="T2027" i="1"/>
  <c r="T2026" i="1"/>
  <c r="T2018" i="1"/>
  <c r="T2017" i="1"/>
  <c r="T2016" i="1"/>
  <c r="T2013" i="1"/>
  <c r="T2012" i="1"/>
  <c r="T2011" i="1"/>
  <c r="T2010" i="1"/>
  <c r="T2009" i="1"/>
  <c r="T2008" i="1"/>
  <c r="T2007" i="1"/>
  <c r="T2006" i="1"/>
  <c r="T2001" i="1"/>
  <c r="T2000" i="1"/>
  <c r="T1999" i="1"/>
  <c r="T1997" i="1"/>
  <c r="T1996" i="1"/>
  <c r="T1995" i="1"/>
  <c r="T1993" i="1"/>
  <c r="T1992" i="1"/>
  <c r="T1991" i="1"/>
  <c r="T1990" i="1"/>
  <c r="T1988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68" i="1"/>
  <c r="T1967" i="1"/>
  <c r="T1966" i="1"/>
  <c r="T1964" i="1"/>
  <c r="T1963" i="1"/>
  <c r="T1962" i="1"/>
  <c r="T1961" i="1"/>
  <c r="T1960" i="1"/>
  <c r="T1957" i="1"/>
  <c r="T1956" i="1"/>
  <c r="T1955" i="1"/>
  <c r="T1954" i="1"/>
  <c r="T1953" i="1"/>
  <c r="T1952" i="1"/>
  <c r="T1951" i="1"/>
  <c r="T1950" i="1"/>
  <c r="T1949" i="1"/>
  <c r="T1946" i="1"/>
  <c r="T1945" i="1"/>
  <c r="T1944" i="1"/>
  <c r="T1943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W1903" i="1" s="1"/>
  <c r="T1902" i="1"/>
  <c r="T1901" i="1"/>
  <c r="T1900" i="1"/>
  <c r="T1899" i="1"/>
  <c r="P687" i="17" s="1"/>
  <c r="T1898" i="1"/>
  <c r="T1897" i="1"/>
  <c r="T1896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69" i="1"/>
  <c r="T1868" i="1"/>
  <c r="T1867" i="1"/>
  <c r="T1866" i="1"/>
  <c r="T1865" i="1"/>
  <c r="T1864" i="1"/>
  <c r="P829" i="17" s="1"/>
  <c r="T1863" i="1"/>
  <c r="T1862" i="1"/>
  <c r="T1861" i="1"/>
  <c r="T1860" i="1"/>
  <c r="T1858" i="1"/>
  <c r="T1857" i="1"/>
  <c r="W1857" i="1" s="1"/>
  <c r="T1856" i="1"/>
  <c r="T1855" i="1"/>
  <c r="T1854" i="1"/>
  <c r="T1853" i="1"/>
  <c r="T1852" i="1"/>
  <c r="T1851" i="1"/>
  <c r="T1850" i="1"/>
  <c r="T1849" i="1"/>
  <c r="P686" i="17" s="1"/>
  <c r="T1848" i="1"/>
  <c r="T1847" i="1"/>
  <c r="T1846" i="1"/>
  <c r="T1845" i="1"/>
  <c r="T1844" i="1"/>
  <c r="T1841" i="1"/>
  <c r="W1841" i="1" s="1"/>
  <c r="T1840" i="1"/>
  <c r="T1839" i="1"/>
  <c r="T1838" i="1"/>
  <c r="T1837" i="1"/>
  <c r="T1836" i="1"/>
  <c r="T1835" i="1"/>
  <c r="T1834" i="1"/>
  <c r="T1833" i="1"/>
  <c r="T1832" i="1"/>
  <c r="T1831" i="1"/>
  <c r="T1830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2" i="1"/>
  <c r="T1811" i="1"/>
  <c r="T1810" i="1"/>
  <c r="T1809" i="1"/>
  <c r="T1808" i="1"/>
  <c r="T1807" i="1"/>
  <c r="T1806" i="1"/>
  <c r="T1805" i="1"/>
  <c r="T1804" i="1"/>
  <c r="T1803" i="1"/>
  <c r="T1802" i="1"/>
  <c r="T1801" i="1"/>
  <c r="T1800" i="1"/>
  <c r="T1799" i="1"/>
  <c r="T1798" i="1"/>
  <c r="T1797" i="1"/>
  <c r="T1796" i="1"/>
  <c r="T1795" i="1"/>
  <c r="P685" i="17" s="1"/>
  <c r="T1794" i="1"/>
  <c r="T1793" i="1"/>
  <c r="T1792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65" i="1"/>
  <c r="T1763" i="1"/>
  <c r="T1762" i="1"/>
  <c r="T1761" i="1"/>
  <c r="T1760" i="1"/>
  <c r="T1759" i="1"/>
  <c r="T1758" i="1"/>
  <c r="T1757" i="1"/>
  <c r="P827" i="17" s="1"/>
  <c r="T1756" i="1"/>
  <c r="T1755" i="1"/>
  <c r="T1754" i="1"/>
  <c r="T1753" i="1"/>
  <c r="T1752" i="1"/>
  <c r="T1751" i="1"/>
  <c r="T1750" i="1"/>
  <c r="T1749" i="1"/>
  <c r="T1748" i="1"/>
  <c r="T1747" i="1"/>
  <c r="W1747" i="1" s="1"/>
  <c r="T1746" i="1"/>
  <c r="T1745" i="1"/>
  <c r="T1744" i="1"/>
  <c r="T1743" i="1"/>
  <c r="T1742" i="1"/>
  <c r="P684" i="17" s="1"/>
  <c r="T1741" i="1"/>
  <c r="T1740" i="1"/>
  <c r="T1739" i="1"/>
  <c r="T1738" i="1"/>
  <c r="T1737" i="1"/>
  <c r="T1736" i="1"/>
  <c r="T1735" i="1"/>
  <c r="T1731" i="1"/>
  <c r="W1731" i="1" s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6" i="1"/>
  <c r="T1655" i="1"/>
  <c r="T1654" i="1"/>
  <c r="T1653" i="1"/>
  <c r="T1652" i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P287" i="17" s="1"/>
  <c r="T1584" i="1"/>
  <c r="T1583" i="1"/>
  <c r="T1582" i="1"/>
  <c r="T1581" i="1"/>
  <c r="T1580" i="1"/>
  <c r="T1579" i="1"/>
  <c r="T1578" i="1"/>
  <c r="P286" i="17" s="1"/>
  <c r="T1577" i="1"/>
  <c r="T1576" i="1"/>
  <c r="T1575" i="1"/>
  <c r="T1574" i="1"/>
  <c r="T1572" i="1"/>
  <c r="T1571" i="1"/>
  <c r="T1570" i="1"/>
  <c r="T1569" i="1"/>
  <c r="T1568" i="1"/>
  <c r="P499" i="17" s="1"/>
  <c r="T1567" i="1"/>
  <c r="P629" i="17" s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P526" i="17" s="1"/>
  <c r="T1548" i="1"/>
  <c r="T1546" i="1"/>
  <c r="T1545" i="1"/>
  <c r="T1544" i="1"/>
  <c r="T1543" i="1"/>
  <c r="T1541" i="1"/>
  <c r="T1540" i="1"/>
  <c r="T1539" i="1"/>
  <c r="T1538" i="1"/>
  <c r="T1537" i="1"/>
  <c r="T1536" i="1"/>
  <c r="T1535" i="1"/>
  <c r="T1534" i="1"/>
  <c r="T1531" i="1"/>
  <c r="T1530" i="1"/>
  <c r="T1529" i="1"/>
  <c r="T1528" i="1"/>
  <c r="T1527" i="1"/>
  <c r="T1526" i="1"/>
  <c r="T1524" i="1"/>
  <c r="T1523" i="1"/>
  <c r="T1522" i="1"/>
  <c r="T1521" i="1"/>
  <c r="T1520" i="1"/>
  <c r="T1519" i="1"/>
  <c r="P498" i="17" s="1"/>
  <c r="T1518" i="1"/>
  <c r="P628" i="17" s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P525" i="17" s="1"/>
  <c r="T1504" i="1"/>
  <c r="T1501" i="1"/>
  <c r="T1500" i="1"/>
  <c r="T1499" i="1"/>
  <c r="T1498" i="1"/>
  <c r="T1497" i="1"/>
  <c r="T1496" i="1"/>
  <c r="T1495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W1480" i="1" s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P285" i="17" s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P284" i="17" s="1"/>
  <c r="T1428" i="1"/>
  <c r="T1427" i="1"/>
  <c r="T1426" i="1"/>
  <c r="T1425" i="1"/>
  <c r="T1424" i="1"/>
  <c r="T1423" i="1"/>
  <c r="T1422" i="1"/>
  <c r="T1421" i="1"/>
  <c r="T1420" i="1"/>
  <c r="T1419" i="1"/>
  <c r="T1417" i="1"/>
  <c r="P524" i="17" s="1"/>
  <c r="T1416" i="1"/>
  <c r="T1415" i="1"/>
  <c r="T1414" i="1"/>
  <c r="T1413" i="1"/>
  <c r="P497" i="17" s="1"/>
  <c r="T1412" i="1"/>
  <c r="T1411" i="1"/>
  <c r="T1410" i="1"/>
  <c r="T1409" i="1"/>
  <c r="T1408" i="1"/>
  <c r="T1407" i="1"/>
  <c r="T1405" i="1"/>
  <c r="T1404" i="1"/>
  <c r="T1403" i="1"/>
  <c r="P627" i="17" s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6" i="1"/>
  <c r="T1385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0" i="1"/>
  <c r="T1369" i="1"/>
  <c r="T1368" i="1"/>
  <c r="T1367" i="1"/>
  <c r="T1365" i="1"/>
  <c r="T1364" i="1"/>
  <c r="T1363" i="1"/>
  <c r="T1362" i="1"/>
  <c r="T1361" i="1"/>
  <c r="T1360" i="1"/>
  <c r="P496" i="17" s="1"/>
  <c r="T1359" i="1"/>
  <c r="P626" i="17" s="1"/>
  <c r="T1358" i="1"/>
  <c r="T1357" i="1"/>
  <c r="T1356" i="1"/>
  <c r="T1355" i="1"/>
  <c r="T1354" i="1"/>
  <c r="T1353" i="1"/>
  <c r="T1352" i="1"/>
  <c r="T1351" i="1"/>
  <c r="T1350" i="1"/>
  <c r="T1349" i="1"/>
  <c r="T1348" i="1"/>
  <c r="T1347" i="1"/>
  <c r="T1346" i="1"/>
  <c r="T1345" i="1"/>
  <c r="T1343" i="1"/>
  <c r="T1341" i="1"/>
  <c r="T1340" i="1"/>
  <c r="T1339" i="1"/>
  <c r="T1338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7" i="1"/>
  <c r="T1316" i="1"/>
  <c r="T1315" i="1"/>
  <c r="T1314" i="1"/>
  <c r="T1313" i="1"/>
  <c r="T1312" i="1"/>
  <c r="T1311" i="1"/>
  <c r="T1310" i="1"/>
  <c r="T1309" i="1"/>
  <c r="W1309" i="1" s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W1289" i="1" s="1"/>
  <c r="T1287" i="1"/>
  <c r="T1286" i="1"/>
  <c r="T1285" i="1"/>
  <c r="T1284" i="1"/>
  <c r="T1283" i="1"/>
  <c r="T1279" i="1"/>
  <c r="T1278" i="1"/>
  <c r="P977" i="17" s="1"/>
  <c r="T1276" i="1"/>
  <c r="T1275" i="1"/>
  <c r="T1274" i="1"/>
  <c r="T1273" i="1"/>
  <c r="T1272" i="1"/>
  <c r="T1271" i="1"/>
  <c r="T1270" i="1"/>
  <c r="T1269" i="1"/>
  <c r="T1268" i="1"/>
  <c r="T1267" i="1"/>
  <c r="T1266" i="1"/>
  <c r="T1265" i="1"/>
  <c r="W1265" i="1" s="1"/>
  <c r="T1264" i="1"/>
  <c r="T1263" i="1"/>
  <c r="T1262" i="1"/>
  <c r="P313" i="17" s="1"/>
  <c r="T1261" i="1"/>
  <c r="T1260" i="1"/>
  <c r="T1259" i="1"/>
  <c r="T1258" i="1"/>
  <c r="T1257" i="1"/>
  <c r="T1256" i="1"/>
  <c r="T1255" i="1"/>
  <c r="T1254" i="1"/>
  <c r="T1253" i="1"/>
  <c r="T1252" i="1"/>
  <c r="T1251" i="1"/>
  <c r="W1251" i="1" s="1"/>
  <c r="T1250" i="1"/>
  <c r="T1249" i="1"/>
  <c r="T1248" i="1"/>
  <c r="T1247" i="1"/>
  <c r="W1247" i="1" s="1"/>
  <c r="T1243" i="1"/>
  <c r="T1242" i="1"/>
  <c r="T1241" i="1"/>
  <c r="T1240" i="1"/>
  <c r="T1239" i="1"/>
  <c r="P98" i="17" s="1"/>
  <c r="T1238" i="1"/>
  <c r="T1237" i="1"/>
  <c r="T1236" i="1"/>
  <c r="T1235" i="1"/>
  <c r="W1235" i="1" s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2" i="1"/>
  <c r="T1201" i="1"/>
  <c r="T1200" i="1"/>
  <c r="T1199" i="1"/>
  <c r="T1198" i="1"/>
  <c r="T1197" i="1"/>
  <c r="T1196" i="1"/>
  <c r="T1195" i="1"/>
  <c r="T1194" i="1"/>
  <c r="T1193" i="1"/>
  <c r="T1192" i="1"/>
  <c r="T1191" i="1"/>
  <c r="T1190" i="1"/>
  <c r="T1189" i="1"/>
  <c r="T1188" i="1"/>
  <c r="T1187" i="1"/>
  <c r="T1186" i="1"/>
  <c r="T1185" i="1"/>
  <c r="T1184" i="1"/>
  <c r="T1183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1" i="1"/>
  <c r="W1161" i="1" s="1"/>
  <c r="T1160" i="1"/>
  <c r="W1160" i="1" s="1"/>
  <c r="T1158" i="1"/>
  <c r="T1156" i="1"/>
  <c r="T1155" i="1"/>
  <c r="T1154" i="1"/>
  <c r="T1153" i="1"/>
  <c r="T1152" i="1"/>
  <c r="W1152" i="1" s="1"/>
  <c r="T1127" i="1"/>
  <c r="T1126" i="1"/>
  <c r="T1125" i="1"/>
  <c r="T1124" i="1"/>
  <c r="T1122" i="1"/>
  <c r="T1121" i="1"/>
  <c r="T1119" i="1"/>
  <c r="W1119" i="1" s="1"/>
  <c r="T1118" i="1"/>
  <c r="W1118" i="1" s="1"/>
  <c r="T1117" i="1"/>
  <c r="T1116" i="1"/>
  <c r="W1116" i="1" s="1"/>
  <c r="T1115" i="1"/>
  <c r="T1114" i="1"/>
  <c r="T1113" i="1"/>
  <c r="T1112" i="1"/>
  <c r="W1112" i="1" s="1"/>
  <c r="T1111" i="1"/>
  <c r="P623" i="17" s="1"/>
  <c r="T1110" i="1"/>
  <c r="T1109" i="1"/>
  <c r="W1109" i="1" s="1"/>
  <c r="T1108" i="1"/>
  <c r="T1107" i="1"/>
  <c r="T1106" i="1"/>
  <c r="T1105" i="1"/>
  <c r="W1105" i="1" s="1"/>
  <c r="T1104" i="1"/>
  <c r="T1103" i="1"/>
  <c r="T1102" i="1"/>
  <c r="W1102" i="1" s="1"/>
  <c r="T1100" i="1"/>
  <c r="T1099" i="1"/>
  <c r="W1099" i="1" s="1"/>
  <c r="T1098" i="1"/>
  <c r="T1097" i="1"/>
  <c r="W1097" i="1" s="1"/>
  <c r="T1096" i="1"/>
  <c r="T1095" i="1"/>
  <c r="T1094" i="1"/>
  <c r="T1093" i="1"/>
  <c r="W1093" i="1" s="1"/>
  <c r="T1092" i="1"/>
  <c r="W1092" i="1" s="1"/>
  <c r="T1091" i="1"/>
  <c r="T1090" i="1"/>
  <c r="T1089" i="1"/>
  <c r="W1089" i="1" s="1"/>
  <c r="T1088" i="1"/>
  <c r="T1087" i="1"/>
  <c r="P747" i="17" s="1"/>
  <c r="T1086" i="1"/>
  <c r="T1085" i="1"/>
  <c r="W1085" i="1" s="1"/>
  <c r="T1084" i="1"/>
  <c r="T1083" i="1"/>
  <c r="W1083" i="1" s="1"/>
  <c r="T1082" i="1"/>
  <c r="T1081" i="1"/>
  <c r="T1080" i="1"/>
  <c r="T1079" i="1"/>
  <c r="T1078" i="1"/>
  <c r="T1076" i="1"/>
  <c r="W1076" i="1" s="1"/>
  <c r="T1057" i="1"/>
  <c r="T1055" i="1"/>
  <c r="W1055" i="1" s="1"/>
  <c r="T1054" i="1"/>
  <c r="T1053" i="1"/>
  <c r="T1052" i="1"/>
  <c r="T1051" i="1"/>
  <c r="W1051" i="1" s="1"/>
  <c r="T1050" i="1"/>
  <c r="P824" i="17" s="1"/>
  <c r="T1049" i="1"/>
  <c r="W1049" i="1" s="1"/>
  <c r="T1048" i="1"/>
  <c r="T1047" i="1"/>
  <c r="T1046" i="1"/>
  <c r="T1045" i="1"/>
  <c r="T1044" i="1"/>
  <c r="W1044" i="1" s="1"/>
  <c r="T1043" i="1"/>
  <c r="T1042" i="1"/>
  <c r="T1041" i="1"/>
  <c r="W1041" i="1" s="1"/>
  <c r="T1040" i="1"/>
  <c r="P622" i="17" s="1"/>
  <c r="T1038" i="1"/>
  <c r="W1038" i="1" s="1"/>
  <c r="T1037" i="1"/>
  <c r="T1036" i="1"/>
  <c r="W1036" i="1" s="1"/>
  <c r="T1035" i="1"/>
  <c r="T1034" i="1"/>
  <c r="T1033" i="1"/>
  <c r="W1033" i="1" s="1"/>
  <c r="T1032" i="1"/>
  <c r="W1032" i="1" s="1"/>
  <c r="T1031" i="1"/>
  <c r="T1030" i="1"/>
  <c r="W1030" i="1" s="1"/>
  <c r="T1029" i="1"/>
  <c r="W1029" i="1" s="1"/>
  <c r="T1028" i="1"/>
  <c r="T1027" i="1"/>
  <c r="T1026" i="1"/>
  <c r="W1026" i="1" s="1"/>
  <c r="T1025" i="1"/>
  <c r="W1025" i="1" s="1"/>
  <c r="T1024" i="1"/>
  <c r="T1023" i="1"/>
  <c r="T1021" i="1"/>
  <c r="T1019" i="1"/>
  <c r="T1018" i="1"/>
  <c r="W1018" i="1" s="1"/>
  <c r="T1014" i="1"/>
  <c r="T1013" i="1"/>
  <c r="T1009" i="1"/>
  <c r="T1008" i="1"/>
  <c r="W1008" i="1" s="1"/>
  <c r="T1007" i="1"/>
  <c r="W1007" i="1" s="1"/>
  <c r="T1006" i="1"/>
  <c r="T1005" i="1"/>
  <c r="T1004" i="1"/>
  <c r="T1000" i="1"/>
  <c r="T999" i="1"/>
  <c r="T996" i="1"/>
  <c r="T995" i="1"/>
  <c r="W995" i="1" s="1"/>
  <c r="T994" i="1"/>
  <c r="W994" i="1" s="1"/>
  <c r="T993" i="1"/>
  <c r="T992" i="1"/>
  <c r="T991" i="1"/>
  <c r="T990" i="1"/>
  <c r="T989" i="1"/>
  <c r="T988" i="1"/>
  <c r="T987" i="1"/>
  <c r="T986" i="1"/>
  <c r="T985" i="1"/>
  <c r="T984" i="1"/>
  <c r="T982" i="1"/>
  <c r="T981" i="1"/>
  <c r="T980" i="1"/>
  <c r="T976" i="1"/>
  <c r="T974" i="1"/>
  <c r="T973" i="1"/>
  <c r="T972" i="1"/>
  <c r="T971" i="1"/>
  <c r="T970" i="1"/>
  <c r="T969" i="1"/>
  <c r="T968" i="1"/>
  <c r="T966" i="1"/>
  <c r="W966" i="1" s="1"/>
  <c r="T965" i="1"/>
  <c r="W965" i="1" s="1"/>
  <c r="T964" i="1"/>
  <c r="T963" i="1"/>
  <c r="W963" i="1" s="1"/>
  <c r="T962" i="1"/>
  <c r="P328" i="17" s="1"/>
  <c r="T961" i="1"/>
  <c r="W961" i="1" s="1"/>
  <c r="T960" i="1"/>
  <c r="T959" i="1"/>
  <c r="W959" i="1" s="1"/>
  <c r="T958" i="1"/>
  <c r="W958" i="1" s="1"/>
  <c r="T957" i="1"/>
  <c r="T956" i="1"/>
  <c r="T955" i="1"/>
  <c r="W955" i="1" s="1"/>
  <c r="T954" i="1"/>
  <c r="T953" i="1"/>
  <c r="T952" i="1"/>
  <c r="T951" i="1"/>
  <c r="W951" i="1" s="1"/>
  <c r="T950" i="1"/>
  <c r="T949" i="1"/>
  <c r="T948" i="1"/>
  <c r="T947" i="1"/>
  <c r="T946" i="1"/>
  <c r="T945" i="1"/>
  <c r="T944" i="1"/>
  <c r="T943" i="1"/>
  <c r="T942" i="1"/>
  <c r="W942" i="1" s="1"/>
  <c r="T941" i="1"/>
  <c r="T940" i="1"/>
  <c r="T939" i="1"/>
  <c r="T938" i="1"/>
  <c r="T937" i="1"/>
  <c r="T936" i="1"/>
  <c r="T935" i="1"/>
  <c r="W935" i="1" s="1"/>
  <c r="T934" i="1"/>
  <c r="W934" i="1" s="1"/>
  <c r="T933" i="1"/>
  <c r="T932" i="1"/>
  <c r="T931" i="1"/>
  <c r="T930" i="1"/>
  <c r="T929" i="1"/>
  <c r="T928" i="1"/>
  <c r="T927" i="1"/>
  <c r="T926" i="1"/>
  <c r="W926" i="1" s="1"/>
  <c r="T925" i="1"/>
  <c r="W925" i="1" s="1"/>
  <c r="T924" i="1"/>
  <c r="W924" i="1" s="1"/>
  <c r="T923" i="1"/>
  <c r="T922" i="1"/>
  <c r="W922" i="1" s="1"/>
  <c r="T921" i="1"/>
  <c r="T920" i="1"/>
  <c r="W920" i="1" s="1"/>
  <c r="T919" i="1"/>
  <c r="T918" i="1"/>
  <c r="T917" i="1"/>
  <c r="W917" i="1" s="1"/>
  <c r="T916" i="1"/>
  <c r="T915" i="1"/>
  <c r="T914" i="1"/>
  <c r="T913" i="1"/>
  <c r="T912" i="1"/>
  <c r="W912" i="1" s="1"/>
  <c r="T911" i="1"/>
  <c r="W911" i="1" s="1"/>
  <c r="T910" i="1"/>
  <c r="T909" i="1"/>
  <c r="T908" i="1"/>
  <c r="T907" i="1"/>
  <c r="T906" i="1"/>
  <c r="T905" i="1"/>
  <c r="T904" i="1"/>
  <c r="P193" i="17" s="1"/>
  <c r="T903" i="1"/>
  <c r="T902" i="1"/>
  <c r="T901" i="1"/>
  <c r="T900" i="1"/>
  <c r="P960" i="17" s="1"/>
  <c r="T899" i="1"/>
  <c r="P959" i="17" s="1"/>
  <c r="T898" i="1"/>
  <c r="P958" i="17" s="1"/>
  <c r="T897" i="1"/>
  <c r="T896" i="1"/>
  <c r="T895" i="1"/>
  <c r="W895" i="1" s="1"/>
  <c r="T894" i="1"/>
  <c r="T893" i="1"/>
  <c r="T892" i="1"/>
  <c r="T890" i="1"/>
  <c r="W890" i="1" s="1"/>
  <c r="T889" i="1"/>
  <c r="T888" i="1"/>
  <c r="T887" i="1"/>
  <c r="T886" i="1"/>
  <c r="T885" i="1"/>
  <c r="T884" i="1"/>
  <c r="T883" i="1"/>
  <c r="T882" i="1"/>
  <c r="W882" i="1" s="1"/>
  <c r="T881" i="1"/>
  <c r="T880" i="1"/>
  <c r="T879" i="1"/>
  <c r="T878" i="1"/>
  <c r="T877" i="1"/>
  <c r="W877" i="1" s="1"/>
  <c r="T876" i="1"/>
  <c r="T875" i="1"/>
  <c r="T874" i="1"/>
  <c r="T873" i="1"/>
  <c r="T872" i="1"/>
  <c r="T871" i="1"/>
  <c r="W871" i="1" s="1"/>
  <c r="T870" i="1"/>
  <c r="T869" i="1"/>
  <c r="T868" i="1"/>
  <c r="T852" i="1"/>
  <c r="P791" i="17" s="1"/>
  <c r="T851" i="1"/>
  <c r="T850" i="1"/>
  <c r="T849" i="1"/>
  <c r="P546" i="17" s="1"/>
  <c r="T848" i="1"/>
  <c r="P545" i="17" s="1"/>
  <c r="T847" i="1"/>
  <c r="P788" i="17" s="1"/>
  <c r="T846" i="1"/>
  <c r="T845" i="1"/>
  <c r="T844" i="1"/>
  <c r="P543" i="17" s="1"/>
  <c r="T843" i="1"/>
  <c r="T842" i="1"/>
  <c r="T841" i="1"/>
  <c r="T840" i="1"/>
  <c r="W840" i="1" s="1"/>
  <c r="T839" i="1"/>
  <c r="T837" i="1"/>
  <c r="T836" i="1"/>
  <c r="T835" i="1"/>
  <c r="T834" i="1"/>
  <c r="T833" i="1"/>
  <c r="T832" i="1"/>
  <c r="T818" i="1"/>
  <c r="W818" i="1" s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W805" i="1" s="1"/>
  <c r="T804" i="1"/>
  <c r="W804" i="1" s="1"/>
  <c r="T803" i="1"/>
  <c r="T802" i="1"/>
  <c r="T801" i="1"/>
  <c r="T800" i="1"/>
  <c r="T799" i="1"/>
  <c r="T798" i="1"/>
  <c r="T797" i="1"/>
  <c r="W797" i="1" s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29" i="1"/>
  <c r="T728" i="1"/>
  <c r="T727" i="1"/>
  <c r="T726" i="1"/>
  <c r="T725" i="1"/>
  <c r="T724" i="1"/>
  <c r="T723" i="1"/>
  <c r="W723" i="1" s="1"/>
  <c r="T722" i="1"/>
  <c r="W722" i="1" s="1"/>
  <c r="T721" i="1"/>
  <c r="T720" i="1"/>
  <c r="T719" i="1"/>
  <c r="T718" i="1"/>
  <c r="T716" i="1"/>
  <c r="T715" i="1"/>
  <c r="T714" i="1"/>
  <c r="T713" i="1"/>
  <c r="T712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6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4" i="1"/>
  <c r="T663" i="1"/>
  <c r="T662" i="1"/>
  <c r="T661" i="1"/>
  <c r="T660" i="1"/>
  <c r="T659" i="1"/>
  <c r="T658" i="1"/>
  <c r="T657" i="1"/>
  <c r="W657" i="1" s="1"/>
  <c r="T656" i="1"/>
  <c r="T655" i="1"/>
  <c r="W655" i="1" s="1"/>
  <c r="T654" i="1"/>
  <c r="T652" i="1"/>
  <c r="T651" i="1"/>
  <c r="T650" i="1"/>
  <c r="T649" i="1"/>
  <c r="T648" i="1"/>
  <c r="T647" i="1"/>
  <c r="T646" i="1"/>
  <c r="T645" i="1"/>
  <c r="T644" i="1"/>
  <c r="T643" i="1"/>
  <c r="T642" i="1"/>
  <c r="W642" i="1" s="1"/>
  <c r="T641" i="1"/>
  <c r="T640" i="1"/>
  <c r="T639" i="1"/>
  <c r="T638" i="1"/>
  <c r="T637" i="1"/>
  <c r="T636" i="1"/>
  <c r="T635" i="1"/>
  <c r="T634" i="1"/>
  <c r="T633" i="1"/>
  <c r="T632" i="1"/>
  <c r="T631" i="1"/>
  <c r="T629" i="1"/>
  <c r="T628" i="1"/>
  <c r="T627" i="1"/>
  <c r="T626" i="1"/>
  <c r="T625" i="1"/>
  <c r="T624" i="1"/>
  <c r="W624" i="1" s="1"/>
  <c r="T623" i="1"/>
  <c r="T622" i="1"/>
  <c r="T621" i="1"/>
  <c r="T620" i="1"/>
  <c r="T617" i="1"/>
  <c r="T616" i="1"/>
  <c r="T615" i="1"/>
  <c r="T614" i="1"/>
  <c r="T613" i="1"/>
  <c r="T612" i="1"/>
  <c r="T611" i="1"/>
  <c r="T610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W594" i="1" s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W540" i="1" s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W522" i="1" s="1"/>
  <c r="T521" i="1"/>
  <c r="T520" i="1"/>
  <c r="T519" i="1"/>
  <c r="T518" i="1"/>
  <c r="T517" i="1"/>
  <c r="T516" i="1"/>
  <c r="T515" i="1"/>
  <c r="T514" i="1"/>
  <c r="T513" i="1"/>
  <c r="T512" i="1"/>
  <c r="T511" i="1"/>
  <c r="T510" i="1"/>
  <c r="W510" i="1" s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W493" i="1" s="1"/>
  <c r="T492" i="1"/>
  <c r="T491" i="1"/>
  <c r="W491" i="1" s="1"/>
  <c r="T490" i="1"/>
  <c r="W490" i="1" s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5" i="1"/>
  <c r="T474" i="1"/>
  <c r="W474" i="1" s="1"/>
  <c r="T473" i="1"/>
  <c r="T472" i="1"/>
  <c r="T471" i="1"/>
  <c r="T470" i="1"/>
  <c r="W470" i="1" s="1"/>
  <c r="T469" i="1"/>
  <c r="W469" i="1" s="1"/>
  <c r="T468" i="1"/>
  <c r="T467" i="1"/>
  <c r="T466" i="1"/>
  <c r="T465" i="1"/>
  <c r="T464" i="1"/>
  <c r="T463" i="1"/>
  <c r="T462" i="1"/>
  <c r="T461" i="1"/>
  <c r="T460" i="1"/>
  <c r="T459" i="1"/>
  <c r="W459" i="1" s="1"/>
  <c r="T458" i="1"/>
  <c r="T457" i="1"/>
  <c r="T456" i="1"/>
  <c r="T455" i="1"/>
  <c r="W455" i="1" s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5" i="1"/>
  <c r="W305" i="1" s="1"/>
  <c r="T304" i="1"/>
  <c r="T303" i="1"/>
  <c r="T302" i="1"/>
  <c r="T301" i="1"/>
  <c r="T300" i="1"/>
  <c r="T299" i="1"/>
  <c r="W299" i="1" s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W266" i="1" s="1"/>
  <c r="T265" i="1"/>
  <c r="W265" i="1" s="1"/>
  <c r="T264" i="1"/>
  <c r="T263" i="1"/>
  <c r="T262" i="1"/>
  <c r="T261" i="1"/>
  <c r="T260" i="1"/>
  <c r="T259" i="1"/>
  <c r="T258" i="1"/>
  <c r="W258" i="1" s="1"/>
  <c r="T257" i="1"/>
  <c r="W257" i="1" s="1"/>
  <c r="T256" i="1"/>
  <c r="T255" i="1"/>
  <c r="T254" i="1"/>
  <c r="T253" i="1"/>
  <c r="T252" i="1"/>
  <c r="T251" i="1"/>
  <c r="T250" i="1"/>
  <c r="T249" i="1"/>
  <c r="T248" i="1"/>
  <c r="T247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5" i="1"/>
  <c r="T204" i="1"/>
  <c r="T203" i="1"/>
  <c r="T202" i="1"/>
  <c r="T201" i="1"/>
  <c r="T200" i="1"/>
  <c r="T199" i="1"/>
  <c r="T198" i="1"/>
  <c r="T197" i="1"/>
  <c r="T196" i="1"/>
  <c r="W196" i="1" s="1"/>
  <c r="T195" i="1"/>
  <c r="W195" i="1" s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W182" i="1" s="1"/>
  <c r="T181" i="1"/>
  <c r="T180" i="1"/>
  <c r="T179" i="1"/>
  <c r="W179" i="1" s="1"/>
  <c r="T178" i="1"/>
  <c r="T177" i="1"/>
  <c r="T176" i="1"/>
  <c r="T175" i="1"/>
  <c r="T174" i="1"/>
  <c r="T173" i="1"/>
  <c r="W173" i="1" s="1"/>
  <c r="T172" i="1"/>
  <c r="W172" i="1" s="1"/>
  <c r="T171" i="1"/>
  <c r="T170" i="1"/>
  <c r="T169" i="1"/>
  <c r="W169" i="1" s="1"/>
  <c r="T168" i="1"/>
  <c r="W168" i="1" s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W144" i="1" s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W124" i="1" s="1"/>
  <c r="T123" i="1"/>
  <c r="T122" i="1"/>
  <c r="T121" i="1"/>
  <c r="T120" i="1"/>
  <c r="T119" i="1"/>
  <c r="T118" i="1"/>
  <c r="T117" i="1"/>
  <c r="T116" i="1"/>
  <c r="T115" i="1"/>
  <c r="W115" i="1" s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0" i="1"/>
  <c r="T89" i="1"/>
  <c r="T88" i="1"/>
  <c r="T87" i="1"/>
  <c r="T86" i="1"/>
  <c r="T85" i="1"/>
  <c r="T83" i="1"/>
  <c r="T82" i="1"/>
  <c r="T80" i="1"/>
  <c r="T79" i="1"/>
  <c r="T78" i="1"/>
  <c r="T77" i="1"/>
  <c r="T76" i="1"/>
  <c r="W76" i="1" s="1"/>
  <c r="T75" i="1"/>
  <c r="T74" i="1"/>
  <c r="T73" i="1"/>
  <c r="T72" i="1"/>
  <c r="T71" i="1"/>
  <c r="T70" i="1"/>
  <c r="T69" i="1"/>
  <c r="T68" i="1"/>
  <c r="W68" i="1" s="1"/>
  <c r="T67" i="1"/>
  <c r="T66" i="1"/>
  <c r="T65" i="1"/>
  <c r="T64" i="1"/>
  <c r="T63" i="1"/>
  <c r="T62" i="1"/>
  <c r="T61" i="1"/>
  <c r="T60" i="1"/>
  <c r="T58" i="1"/>
  <c r="T57" i="1"/>
  <c r="T56" i="1"/>
  <c r="T55" i="1"/>
  <c r="P657" i="17" s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W19" i="1" s="1"/>
  <c r="T18" i="1"/>
  <c r="T17" i="1"/>
  <c r="T16" i="1"/>
  <c r="T15" i="1"/>
  <c r="T14" i="1"/>
  <c r="T13" i="1"/>
  <c r="T12" i="1"/>
  <c r="T11" i="1"/>
  <c r="T9" i="1"/>
  <c r="T8" i="1"/>
  <c r="T7" i="1"/>
  <c r="E87" i="2"/>
  <c r="D89" i="2" s="1"/>
  <c r="D15" i="2" s="1"/>
  <c r="E81" i="2"/>
  <c r="C83" i="2" s="1"/>
  <c r="C14" i="2" s="1"/>
  <c r="R983" i="1" s="1"/>
  <c r="E80" i="2"/>
  <c r="E79" i="2"/>
  <c r="E78" i="2"/>
  <c r="E77" i="2"/>
  <c r="E69" i="2"/>
  <c r="E68" i="2"/>
  <c r="E66" i="2"/>
  <c r="E65" i="2"/>
  <c r="E62" i="2"/>
  <c r="E61" i="2"/>
  <c r="E60" i="2"/>
  <c r="E59" i="2"/>
  <c r="E58" i="2"/>
  <c r="E57" i="2"/>
  <c r="E40" i="2"/>
  <c r="D42" i="2" s="1"/>
  <c r="D8" i="2" s="1"/>
  <c r="D34" i="2"/>
  <c r="C34" i="2"/>
  <c r="E31" i="2"/>
  <c r="E29" i="2"/>
  <c r="E28" i="2"/>
  <c r="S17" i="11" l="1"/>
  <c r="S21" i="11" s="1"/>
  <c r="U983" i="1"/>
  <c r="Y983" i="1"/>
  <c r="W1863" i="1"/>
  <c r="AA1863" i="1"/>
  <c r="W1755" i="1"/>
  <c r="AA1755" i="1"/>
  <c r="AA634" i="1"/>
  <c r="W634" i="1"/>
  <c r="AA251" i="1"/>
  <c r="W251" i="1"/>
  <c r="AA801" i="1"/>
  <c r="W801" i="1"/>
  <c r="AA588" i="1"/>
  <c r="W588" i="1"/>
  <c r="W596" i="1"/>
  <c r="AA596" i="1"/>
  <c r="W393" i="1"/>
  <c r="AA393" i="1"/>
  <c r="AA587" i="1"/>
  <c r="W587" i="1"/>
  <c r="AA1828" i="1"/>
  <c r="W1828" i="1"/>
  <c r="AA1860" i="1"/>
  <c r="W1860" i="1"/>
  <c r="W461" i="1"/>
  <c r="AA461" i="1"/>
  <c r="AA1754" i="1"/>
  <c r="W1754" i="1"/>
  <c r="P736" i="17"/>
  <c r="AA804" i="1"/>
  <c r="W116" i="1"/>
  <c r="AA116" i="1"/>
  <c r="W326" i="1"/>
  <c r="P777" i="17" s="1"/>
  <c r="P779" i="17" s="1"/>
  <c r="AA326" i="1"/>
  <c r="W700" i="1"/>
  <c r="AA700" i="1"/>
  <c r="P342" i="17"/>
  <c r="P343" i="17" s="1"/>
  <c r="AA1265" i="1"/>
  <c r="AL2916" i="1"/>
  <c r="AA16" i="1"/>
  <c r="W16" i="1"/>
  <c r="AA52" i="1"/>
  <c r="W52" i="1"/>
  <c r="AA96" i="1"/>
  <c r="W96" i="1"/>
  <c r="AA108" i="1"/>
  <c r="W108" i="1"/>
  <c r="AA120" i="1"/>
  <c r="W120" i="1"/>
  <c r="AA226" i="1"/>
  <c r="W226" i="1"/>
  <c r="AA316" i="1"/>
  <c r="W316" i="1"/>
  <c r="AA336" i="1"/>
  <c r="W336" i="1"/>
  <c r="AA352" i="1"/>
  <c r="W352" i="1"/>
  <c r="AA368" i="1"/>
  <c r="W368" i="1"/>
  <c r="AA384" i="1"/>
  <c r="W384" i="1"/>
  <c r="AA388" i="1"/>
  <c r="W388" i="1"/>
  <c r="AA396" i="1"/>
  <c r="W396" i="1"/>
  <c r="AA404" i="1"/>
  <c r="W404" i="1"/>
  <c r="AA408" i="1"/>
  <c r="W408" i="1"/>
  <c r="AA412" i="1"/>
  <c r="W412" i="1"/>
  <c r="AA436" i="1"/>
  <c r="W436" i="1"/>
  <c r="AA456" i="1"/>
  <c r="W456" i="1"/>
  <c r="AA464" i="1"/>
  <c r="W464" i="1"/>
  <c r="AA509" i="1"/>
  <c r="W509" i="1"/>
  <c r="AA521" i="1"/>
  <c r="W521" i="1"/>
  <c r="AA533" i="1"/>
  <c r="W533" i="1"/>
  <c r="AA541" i="1"/>
  <c r="W541" i="1"/>
  <c r="AA545" i="1"/>
  <c r="W545" i="1"/>
  <c r="AA549" i="1"/>
  <c r="W549" i="1"/>
  <c r="AA553" i="1"/>
  <c r="W553" i="1"/>
  <c r="AA565" i="1"/>
  <c r="W565" i="1"/>
  <c r="AA569" i="1"/>
  <c r="W569" i="1"/>
  <c r="AA573" i="1"/>
  <c r="W573" i="1"/>
  <c r="AA577" i="1"/>
  <c r="W577" i="1"/>
  <c r="AA585" i="1"/>
  <c r="W585" i="1"/>
  <c r="AA593" i="1"/>
  <c r="W593" i="1"/>
  <c r="AA614" i="1"/>
  <c r="W614" i="1"/>
  <c r="AA620" i="1"/>
  <c r="W620" i="1"/>
  <c r="W633" i="1"/>
  <c r="AA633" i="1"/>
  <c r="AA637" i="1"/>
  <c r="W637" i="1"/>
  <c r="W683" i="1"/>
  <c r="AA683" i="1"/>
  <c r="W690" i="1"/>
  <c r="AA690" i="1"/>
  <c r="W702" i="1"/>
  <c r="AA702" i="1"/>
  <c r="W710" i="1"/>
  <c r="AA710" i="1"/>
  <c r="AA724" i="1"/>
  <c r="W724" i="1"/>
  <c r="W728" i="1"/>
  <c r="AA728" i="1"/>
  <c r="W741" i="1"/>
  <c r="AA741" i="1"/>
  <c r="AA753" i="1"/>
  <c r="W753" i="1"/>
  <c r="AA757" i="1"/>
  <c r="W757" i="1"/>
  <c r="W761" i="1"/>
  <c r="AA761" i="1"/>
  <c r="AA765" i="1"/>
  <c r="W765" i="1"/>
  <c r="W769" i="1"/>
  <c r="AA769" i="1"/>
  <c r="AA773" i="1"/>
  <c r="W773" i="1"/>
  <c r="W777" i="1"/>
  <c r="AA777" i="1"/>
  <c r="W789" i="1"/>
  <c r="AA789" i="1"/>
  <c r="W813" i="1"/>
  <c r="P946" i="17" s="1"/>
  <c r="W834" i="1"/>
  <c r="AA834" i="1"/>
  <c r="AA843" i="1"/>
  <c r="W843" i="1"/>
  <c r="AA1523" i="1"/>
  <c r="W1523" i="1"/>
  <c r="AA1543" i="1"/>
  <c r="W1543" i="1"/>
  <c r="AA1758" i="1"/>
  <c r="W1758" i="1"/>
  <c r="W1786" i="1"/>
  <c r="AA1786" i="1"/>
  <c r="W1790" i="1"/>
  <c r="AA1790" i="1"/>
  <c r="AA1925" i="1"/>
  <c r="W1925" i="1"/>
  <c r="AA8" i="1"/>
  <c r="W8" i="1"/>
  <c r="AA61" i="1"/>
  <c r="W61" i="1"/>
  <c r="AA92" i="1"/>
  <c r="W92" i="1"/>
  <c r="AA100" i="1"/>
  <c r="W100" i="1"/>
  <c r="P910" i="17" s="1"/>
  <c r="AA136" i="1"/>
  <c r="W136" i="1"/>
  <c r="AA152" i="1"/>
  <c r="W152" i="1"/>
  <c r="AA180" i="1"/>
  <c r="W180" i="1"/>
  <c r="AA188" i="1"/>
  <c r="W188" i="1"/>
  <c r="AA214" i="1"/>
  <c r="W214" i="1"/>
  <c r="AA255" i="1"/>
  <c r="W255" i="1"/>
  <c r="AA303" i="1"/>
  <c r="W303" i="1"/>
  <c r="AA312" i="1"/>
  <c r="W312" i="1"/>
  <c r="AA328" i="1"/>
  <c r="W328" i="1"/>
  <c r="AA348" i="1"/>
  <c r="W348" i="1"/>
  <c r="AA364" i="1"/>
  <c r="W364" i="1"/>
  <c r="AA372" i="1"/>
  <c r="W372" i="1"/>
  <c r="AA392" i="1"/>
  <c r="W392" i="1"/>
  <c r="AA400" i="1"/>
  <c r="W400" i="1"/>
  <c r="AA440" i="1"/>
  <c r="W440" i="1"/>
  <c r="AA1154" i="1"/>
  <c r="W1154" i="1"/>
  <c r="AA1182" i="1"/>
  <c r="W1182" i="1"/>
  <c r="W1194" i="1"/>
  <c r="AA1194" i="1"/>
  <c r="W1202" i="1"/>
  <c r="AA1202" i="1"/>
  <c r="AA1218" i="1"/>
  <c r="W1218" i="1"/>
  <c r="AA1222" i="1"/>
  <c r="W1222" i="1"/>
  <c r="W1230" i="1"/>
  <c r="AA1230" i="1"/>
  <c r="W1238" i="1"/>
  <c r="AA1238" i="1"/>
  <c r="W1242" i="1"/>
  <c r="AA1242" i="1"/>
  <c r="AA1253" i="1"/>
  <c r="W1253" i="1"/>
  <c r="AA1257" i="1"/>
  <c r="W1257" i="1"/>
  <c r="AA1311" i="1"/>
  <c r="W1311" i="1"/>
  <c r="AA1315" i="1"/>
  <c r="W1315" i="1"/>
  <c r="P998" i="17" s="1"/>
  <c r="AA1324" i="1"/>
  <c r="W1324" i="1"/>
  <c r="AA1328" i="1"/>
  <c r="W1328" i="1"/>
  <c r="AA1363" i="1"/>
  <c r="W1363" i="1"/>
  <c r="AA1415" i="1"/>
  <c r="W1415" i="1"/>
  <c r="AA1424" i="1"/>
  <c r="W1424" i="1"/>
  <c r="AA1456" i="1"/>
  <c r="W1456" i="1"/>
  <c r="AA1484" i="1"/>
  <c r="W1484" i="1"/>
  <c r="AA1492" i="1"/>
  <c r="W1492" i="1"/>
  <c r="P999" i="17" s="1"/>
  <c r="AA1609" i="1"/>
  <c r="W1609" i="1"/>
  <c r="AA1625" i="1"/>
  <c r="W1625" i="1"/>
  <c r="AA1633" i="1"/>
  <c r="W1633" i="1"/>
  <c r="AA1641" i="1"/>
  <c r="W1641" i="1"/>
  <c r="AA1649" i="1"/>
  <c r="W1649" i="1"/>
  <c r="AA1657" i="1"/>
  <c r="W1657" i="1"/>
  <c r="AA1669" i="1"/>
  <c r="W1669" i="1"/>
  <c r="AA1677" i="1"/>
  <c r="W1677" i="1"/>
  <c r="AA1685" i="1"/>
  <c r="W1685" i="1"/>
  <c r="AA1693" i="1"/>
  <c r="W1693" i="1"/>
  <c r="AA1701" i="1"/>
  <c r="W1701" i="1"/>
  <c r="AA1711" i="1"/>
  <c r="W1711" i="1"/>
  <c r="AA1727" i="1"/>
  <c r="W1727" i="1"/>
  <c r="AA1803" i="1"/>
  <c r="W1803" i="1"/>
  <c r="AA1811" i="1"/>
  <c r="W1811" i="1"/>
  <c r="W1822" i="1"/>
  <c r="AA1822" i="1"/>
  <c r="AA1835" i="1"/>
  <c r="W1835" i="1"/>
  <c r="W1839" i="1"/>
  <c r="AA1839" i="1"/>
  <c r="W1866" i="1"/>
  <c r="AA1866" i="1"/>
  <c r="W1881" i="1"/>
  <c r="AA1881" i="1"/>
  <c r="W1889" i="1"/>
  <c r="AA1889" i="1"/>
  <c r="AA1898" i="1"/>
  <c r="W1898" i="1"/>
  <c r="W1906" i="1"/>
  <c r="AA1906" i="1"/>
  <c r="AA1914" i="1"/>
  <c r="W1914" i="1"/>
  <c r="AA1929" i="1"/>
  <c r="W1929" i="1"/>
  <c r="AA20" i="1"/>
  <c r="W20" i="1"/>
  <c r="AA44" i="1"/>
  <c r="W44" i="1"/>
  <c r="AA56" i="1"/>
  <c r="W56" i="1"/>
  <c r="AA87" i="1"/>
  <c r="W87" i="1"/>
  <c r="AA104" i="1"/>
  <c r="W104" i="1"/>
  <c r="AA140" i="1"/>
  <c r="W140" i="1"/>
  <c r="AA218" i="1"/>
  <c r="W218" i="1"/>
  <c r="P370" i="17" s="1"/>
  <c r="AA247" i="1"/>
  <c r="W247" i="1"/>
  <c r="W259" i="1"/>
  <c r="AA259" i="1"/>
  <c r="AA332" i="1"/>
  <c r="W332" i="1"/>
  <c r="AA927" i="1"/>
  <c r="W927" i="1"/>
  <c r="AA943" i="1"/>
  <c r="W943" i="1"/>
  <c r="AA972" i="1"/>
  <c r="W972" i="1"/>
  <c r="AA985" i="1"/>
  <c r="W985" i="1"/>
  <c r="AA993" i="1"/>
  <c r="W993" i="1"/>
  <c r="W1006" i="1"/>
  <c r="AA1006" i="1"/>
  <c r="W1079" i="1"/>
  <c r="AA1079" i="1"/>
  <c r="AA1121" i="1"/>
  <c r="W1121" i="1"/>
  <c r="AA1126" i="1"/>
  <c r="W1126" i="1"/>
  <c r="W1166" i="1"/>
  <c r="AA1166" i="1"/>
  <c r="AA1178" i="1"/>
  <c r="W1178" i="1"/>
  <c r="AA1190" i="1"/>
  <c r="W1190" i="1"/>
  <c r="AA1206" i="1"/>
  <c r="W1206" i="1"/>
  <c r="W1214" i="1"/>
  <c r="AA1214" i="1"/>
  <c r="W1226" i="1"/>
  <c r="AA1226" i="1"/>
  <c r="AA1234" i="1"/>
  <c r="W1234" i="1"/>
  <c r="AA1420" i="1"/>
  <c r="W1420" i="1"/>
  <c r="AA1468" i="1"/>
  <c r="W1468" i="1"/>
  <c r="AA1572" i="1"/>
  <c r="W1572" i="1"/>
  <c r="AA1621" i="1"/>
  <c r="W1621" i="1"/>
  <c r="AA1629" i="1"/>
  <c r="W1629" i="1"/>
  <c r="W1645" i="1"/>
  <c r="AA1645" i="1"/>
  <c r="AA1661" i="1"/>
  <c r="W1661" i="1"/>
  <c r="AA1673" i="1"/>
  <c r="W1673" i="1"/>
  <c r="AA1689" i="1"/>
  <c r="W1689" i="1"/>
  <c r="AA1697" i="1"/>
  <c r="W1697" i="1"/>
  <c r="AA1707" i="1"/>
  <c r="W1707" i="1"/>
  <c r="AA1715" i="1"/>
  <c r="W1715" i="1"/>
  <c r="P1001" i="17" s="1"/>
  <c r="AA1893" i="1"/>
  <c r="W1893" i="1"/>
  <c r="AA1921" i="1"/>
  <c r="W1921" i="1"/>
  <c r="AA12" i="1"/>
  <c r="W12" i="1"/>
  <c r="W48" i="1"/>
  <c r="P121" i="17" s="1"/>
  <c r="AA48" i="1"/>
  <c r="AA65" i="1"/>
  <c r="W65" i="1"/>
  <c r="AA132" i="1"/>
  <c r="W132" i="1"/>
  <c r="W851" i="1"/>
  <c r="AA851" i="1"/>
  <c r="AA870" i="1"/>
  <c r="W870" i="1"/>
  <c r="W878" i="1"/>
  <c r="AA878" i="1"/>
  <c r="AA923" i="1"/>
  <c r="W923" i="1"/>
  <c r="AA968" i="1"/>
  <c r="W968" i="1"/>
  <c r="AA980" i="1"/>
  <c r="W980" i="1"/>
  <c r="AA989" i="1"/>
  <c r="W989" i="1"/>
  <c r="W1013" i="1"/>
  <c r="AA1013" i="1"/>
  <c r="AA1043" i="1"/>
  <c r="W1043" i="1"/>
  <c r="AA1174" i="1"/>
  <c r="W1174" i="1"/>
  <c r="AA1186" i="1"/>
  <c r="W1186" i="1"/>
  <c r="W1198" i="1"/>
  <c r="AA1198" i="1"/>
  <c r="W1210" i="1"/>
  <c r="AA1210" i="1"/>
  <c r="AA9" i="1"/>
  <c r="W9" i="1"/>
  <c r="W13" i="1"/>
  <c r="AA13" i="1"/>
  <c r="W17" i="1"/>
  <c r="AA17" i="1"/>
  <c r="AA25" i="1"/>
  <c r="W25" i="1"/>
  <c r="W29" i="1"/>
  <c r="AA29" i="1"/>
  <c r="AA49" i="1"/>
  <c r="W49" i="1"/>
  <c r="P122" i="17" s="1"/>
  <c r="AA53" i="1"/>
  <c r="W53" i="1"/>
  <c r="P643" i="17" s="1"/>
  <c r="AA66" i="1"/>
  <c r="W66" i="1"/>
  <c r="AA70" i="1"/>
  <c r="W70" i="1"/>
  <c r="AA74" i="1"/>
  <c r="W74" i="1"/>
  <c r="AA88" i="1"/>
  <c r="W88" i="1"/>
  <c r="AA93" i="1"/>
  <c r="W93" i="1"/>
  <c r="AA101" i="1"/>
  <c r="W101" i="1"/>
  <c r="AA113" i="1"/>
  <c r="W113" i="1"/>
  <c r="AA117" i="1"/>
  <c r="W117" i="1"/>
  <c r="AA121" i="1"/>
  <c r="W121" i="1"/>
  <c r="AA125" i="1"/>
  <c r="W125" i="1"/>
  <c r="AA133" i="1"/>
  <c r="W133" i="1"/>
  <c r="AA141" i="1"/>
  <c r="W141" i="1"/>
  <c r="AA177" i="1"/>
  <c r="W177" i="1"/>
  <c r="AA189" i="1"/>
  <c r="W189" i="1"/>
  <c r="AA205" i="1"/>
  <c r="W205" i="1"/>
  <c r="W219" i="1"/>
  <c r="AA219" i="1"/>
  <c r="AA243" i="1"/>
  <c r="W243" i="1"/>
  <c r="W248" i="1"/>
  <c r="AA248" i="1"/>
  <c r="AA252" i="1"/>
  <c r="W252" i="1"/>
  <c r="AA256" i="1"/>
  <c r="W256" i="1"/>
  <c r="AA260" i="1"/>
  <c r="W260" i="1"/>
  <c r="W264" i="1"/>
  <c r="AA264" i="1"/>
  <c r="AA296" i="1"/>
  <c r="W296" i="1"/>
  <c r="AA313" i="1"/>
  <c r="W313" i="1"/>
  <c r="AA321" i="1"/>
  <c r="W321" i="1"/>
  <c r="AA329" i="1"/>
  <c r="W329" i="1"/>
  <c r="AA333" i="1"/>
  <c r="W333" i="1"/>
  <c r="AA337" i="1"/>
  <c r="W337" i="1"/>
  <c r="AA349" i="1"/>
  <c r="W349" i="1"/>
  <c r="AA353" i="1"/>
  <c r="W353" i="1"/>
  <c r="AA361" i="1"/>
  <c r="W361" i="1"/>
  <c r="AA365" i="1"/>
  <c r="W365" i="1"/>
  <c r="AA369" i="1"/>
  <c r="W369" i="1"/>
  <c r="AA373" i="1"/>
  <c r="W373" i="1"/>
  <c r="AA389" i="1"/>
  <c r="W389" i="1"/>
  <c r="AA397" i="1"/>
  <c r="W397" i="1"/>
  <c r="AA401" i="1"/>
  <c r="W401" i="1"/>
  <c r="AA405" i="1"/>
  <c r="W405" i="1"/>
  <c r="AA409" i="1"/>
  <c r="W409" i="1"/>
  <c r="AA413" i="1"/>
  <c r="W413" i="1"/>
  <c r="AA433" i="1"/>
  <c r="W433" i="1"/>
  <c r="AA437" i="1"/>
  <c r="W437" i="1"/>
  <c r="AA453" i="1"/>
  <c r="W453" i="1"/>
  <c r="AA457" i="1"/>
  <c r="W457" i="1"/>
  <c r="AA518" i="1"/>
  <c r="W518" i="1"/>
  <c r="AA534" i="1"/>
  <c r="W534" i="1"/>
  <c r="AA550" i="1"/>
  <c r="W550" i="1"/>
  <c r="AA554" i="1"/>
  <c r="W554" i="1"/>
  <c r="AA558" i="1"/>
  <c r="W558" i="1"/>
  <c r="AA562" i="1"/>
  <c r="W562" i="1"/>
  <c r="AA566" i="1"/>
  <c r="W566" i="1"/>
  <c r="AA570" i="1"/>
  <c r="W570" i="1"/>
  <c r="AA574" i="1"/>
  <c r="W574" i="1"/>
  <c r="AA578" i="1"/>
  <c r="W578" i="1"/>
  <c r="AA590" i="1"/>
  <c r="W590" i="1"/>
  <c r="AA598" i="1"/>
  <c r="W598" i="1"/>
  <c r="AA606" i="1"/>
  <c r="W606" i="1"/>
  <c r="AA615" i="1"/>
  <c r="W615" i="1"/>
  <c r="AA621" i="1"/>
  <c r="W621" i="1"/>
  <c r="W638" i="1"/>
  <c r="AA638" i="1"/>
  <c r="W650" i="1"/>
  <c r="AA650" i="1"/>
  <c r="W668" i="1"/>
  <c r="AA668" i="1"/>
  <c r="AA672" i="1"/>
  <c r="W672" i="1"/>
  <c r="AA680" i="1"/>
  <c r="W680" i="1"/>
  <c r="AA684" i="1"/>
  <c r="W684" i="1"/>
  <c r="W699" i="1"/>
  <c r="AA699" i="1"/>
  <c r="W707" i="1"/>
  <c r="AA707" i="1"/>
  <c r="W716" i="1"/>
  <c r="AA716" i="1"/>
  <c r="W725" i="1"/>
  <c r="AA725" i="1"/>
  <c r="W729" i="1"/>
  <c r="AA729" i="1"/>
  <c r="AA738" i="1"/>
  <c r="W738" i="1"/>
  <c r="AA742" i="1"/>
  <c r="W742" i="1"/>
  <c r="AA754" i="1"/>
  <c r="W754" i="1"/>
  <c r="W758" i="1"/>
  <c r="AA758" i="1"/>
  <c r="AA762" i="1"/>
  <c r="W762" i="1"/>
  <c r="W766" i="1"/>
  <c r="AA766" i="1"/>
  <c r="AA770" i="1"/>
  <c r="W770" i="1"/>
  <c r="W774" i="1"/>
  <c r="AA774" i="1"/>
  <c r="AA782" i="1"/>
  <c r="W782" i="1"/>
  <c r="AA798" i="1"/>
  <c r="W798" i="1"/>
  <c r="AA802" i="1"/>
  <c r="W802" i="1"/>
  <c r="AA806" i="1"/>
  <c r="W806" i="1"/>
  <c r="AA810" i="1"/>
  <c r="W810" i="1"/>
  <c r="AA835" i="1"/>
  <c r="W835" i="1"/>
  <c r="AA1933" i="1"/>
  <c r="W1933" i="1"/>
  <c r="AA1937" i="1"/>
  <c r="W1937" i="1"/>
  <c r="AA1941" i="1"/>
  <c r="W1941" i="1"/>
  <c r="AA1945" i="1"/>
  <c r="W1945" i="1"/>
  <c r="W1951" i="1"/>
  <c r="AA1951" i="1"/>
  <c r="AA1961" i="1"/>
  <c r="W1961" i="1"/>
  <c r="W1974" i="1"/>
  <c r="AA1974" i="1"/>
  <c r="W1990" i="1"/>
  <c r="AA1990" i="1"/>
  <c r="W1995" i="1"/>
  <c r="AA1995" i="1"/>
  <c r="AA2018" i="1"/>
  <c r="W2018" i="1"/>
  <c r="AA2029" i="1"/>
  <c r="W2029" i="1"/>
  <c r="AA2047" i="1"/>
  <c r="W2047" i="1"/>
  <c r="AA2067" i="1"/>
  <c r="W2067" i="1"/>
  <c r="AA2091" i="1"/>
  <c r="W2091" i="1"/>
  <c r="AA2127" i="1"/>
  <c r="W2127" i="1"/>
  <c r="AA2153" i="1"/>
  <c r="W2153" i="1"/>
  <c r="AA2165" i="1"/>
  <c r="W2165" i="1"/>
  <c r="AA2173" i="1"/>
  <c r="W2173" i="1"/>
  <c r="AA2190" i="1"/>
  <c r="W2190" i="1"/>
  <c r="AA2243" i="1"/>
  <c r="W2243" i="1"/>
  <c r="W2251" i="1"/>
  <c r="AA2251" i="1"/>
  <c r="W2274" i="1"/>
  <c r="AA2274" i="1"/>
  <c r="AA2319" i="1"/>
  <c r="W2319" i="1"/>
  <c r="AA2328" i="1"/>
  <c r="W2328" i="1"/>
  <c r="W2332" i="1"/>
  <c r="AA2332" i="1"/>
  <c r="AA2354" i="1"/>
  <c r="W2354" i="1"/>
  <c r="AA2366" i="1"/>
  <c r="W2366" i="1"/>
  <c r="AA2374" i="1"/>
  <c r="W2374" i="1"/>
  <c r="W2382" i="1"/>
  <c r="AA2382" i="1"/>
  <c r="AA2393" i="1"/>
  <c r="W2393" i="1"/>
  <c r="AA2414" i="1"/>
  <c r="W2414" i="1"/>
  <c r="AA2422" i="1"/>
  <c r="W2422" i="1"/>
  <c r="AA2430" i="1"/>
  <c r="W2430" i="1"/>
  <c r="AA2450" i="1"/>
  <c r="W2450" i="1"/>
  <c r="AA2469" i="1"/>
  <c r="W2469" i="1"/>
  <c r="AA2478" i="1"/>
  <c r="W2478" i="1"/>
  <c r="AA11" i="1"/>
  <c r="W11" i="1"/>
  <c r="AA15" i="1"/>
  <c r="W15" i="1"/>
  <c r="AA43" i="1"/>
  <c r="W43" i="1"/>
  <c r="AA51" i="1"/>
  <c r="W51" i="1"/>
  <c r="P124" i="17" s="1"/>
  <c r="AA64" i="1"/>
  <c r="W64" i="1"/>
  <c r="AA103" i="1"/>
  <c r="W103" i="1"/>
  <c r="AA123" i="1"/>
  <c r="W123" i="1"/>
  <c r="AA139" i="1"/>
  <c r="W139" i="1"/>
  <c r="AA203" i="1"/>
  <c r="W203" i="1"/>
  <c r="AA245" i="1"/>
  <c r="W245" i="1"/>
  <c r="W262" i="1"/>
  <c r="AA262" i="1"/>
  <c r="AA302" i="1"/>
  <c r="W302" i="1"/>
  <c r="AA311" i="1"/>
  <c r="W311" i="1"/>
  <c r="AA327" i="1"/>
  <c r="W327" i="1"/>
  <c r="AA347" i="1"/>
  <c r="W347" i="1"/>
  <c r="AA355" i="1"/>
  <c r="W355" i="1"/>
  <c r="AA359" i="1"/>
  <c r="W359" i="1"/>
  <c r="P836" i="17" s="1"/>
  <c r="AA363" i="1"/>
  <c r="W363" i="1"/>
  <c r="AA367" i="1"/>
  <c r="W367" i="1"/>
  <c r="AA371" i="1"/>
  <c r="W371" i="1"/>
  <c r="AA387" i="1"/>
  <c r="W387" i="1"/>
  <c r="AA391" i="1"/>
  <c r="W391" i="1"/>
  <c r="AA395" i="1"/>
  <c r="W395" i="1"/>
  <c r="AA399" i="1"/>
  <c r="W399" i="1"/>
  <c r="AA403" i="1"/>
  <c r="W403" i="1"/>
  <c r="P377" i="17" s="1"/>
  <c r="AA407" i="1"/>
  <c r="W407" i="1"/>
  <c r="P381" i="17" s="1"/>
  <c r="AA411" i="1"/>
  <c r="W411" i="1"/>
  <c r="AA415" i="1"/>
  <c r="W415" i="1"/>
  <c r="P389" i="17" s="1"/>
  <c r="AA431" i="1"/>
  <c r="W431" i="1"/>
  <c r="AA435" i="1"/>
  <c r="W435" i="1"/>
  <c r="AA439" i="1"/>
  <c r="W439" i="1"/>
  <c r="AA443" i="1"/>
  <c r="W443" i="1"/>
  <c r="AA451" i="1"/>
  <c r="W451" i="1"/>
  <c r="P974" i="17" s="1"/>
  <c r="AA463" i="1"/>
  <c r="W463" i="1"/>
  <c r="AA467" i="1"/>
  <c r="W467" i="1"/>
  <c r="AA492" i="1"/>
  <c r="W492" i="1"/>
  <c r="AA548" i="1"/>
  <c r="W548" i="1"/>
  <c r="AA552" i="1"/>
  <c r="W552" i="1"/>
  <c r="AA564" i="1"/>
  <c r="W564" i="1"/>
  <c r="AA568" i="1"/>
  <c r="W568" i="1"/>
  <c r="AA572" i="1"/>
  <c r="W572" i="1"/>
  <c r="AA576" i="1"/>
  <c r="W576" i="1"/>
  <c r="AA580" i="1"/>
  <c r="W580" i="1"/>
  <c r="AA584" i="1"/>
  <c r="W584" i="1"/>
  <c r="AA592" i="1"/>
  <c r="W592" i="1"/>
  <c r="AA604" i="1"/>
  <c r="W604" i="1"/>
  <c r="AA613" i="1"/>
  <c r="W613" i="1"/>
  <c r="AA617" i="1"/>
  <c r="W617" i="1"/>
  <c r="W623" i="1"/>
  <c r="AA623" i="1"/>
  <c r="AA632" i="1"/>
  <c r="W632" i="1"/>
  <c r="W636" i="1"/>
  <c r="AA636" i="1"/>
  <c r="AA640" i="1"/>
  <c r="W640" i="1"/>
  <c r="W652" i="1"/>
  <c r="AA652" i="1"/>
  <c r="W670" i="1"/>
  <c r="AA670" i="1"/>
  <c r="W682" i="1"/>
  <c r="AA682" i="1"/>
  <c r="W689" i="1"/>
  <c r="AA689" i="1"/>
  <c r="W709" i="1"/>
  <c r="AA709" i="1"/>
  <c r="W714" i="1"/>
  <c r="AA714" i="1"/>
  <c r="W736" i="1"/>
  <c r="AA736" i="1"/>
  <c r="W740" i="1"/>
  <c r="AA740" i="1"/>
  <c r="W756" i="1"/>
  <c r="AA756" i="1"/>
  <c r="AA760" i="1"/>
  <c r="W760" i="1"/>
  <c r="W764" i="1"/>
  <c r="AA764" i="1"/>
  <c r="AA768" i="1"/>
  <c r="W768" i="1"/>
  <c r="W772" i="1"/>
  <c r="AA772" i="1"/>
  <c r="AA776" i="1"/>
  <c r="W776" i="1"/>
  <c r="AA788" i="1"/>
  <c r="W788" i="1"/>
  <c r="AA792" i="1"/>
  <c r="W792" i="1"/>
  <c r="AA800" i="1"/>
  <c r="W800" i="1"/>
  <c r="W918" i="1"/>
  <c r="AA918" i="1"/>
  <c r="AA971" i="1"/>
  <c r="W971" i="1"/>
  <c r="AA976" i="1"/>
  <c r="W976" i="1"/>
  <c r="AA992" i="1"/>
  <c r="W992" i="1"/>
  <c r="AA996" i="1"/>
  <c r="W996" i="1"/>
  <c r="AA1019" i="1"/>
  <c r="W1019" i="1"/>
  <c r="AA1037" i="1"/>
  <c r="W1037" i="1"/>
  <c r="W1042" i="1"/>
  <c r="AA1042" i="1"/>
  <c r="W1054" i="1"/>
  <c r="P548" i="17" s="1"/>
  <c r="AA1054" i="1"/>
  <c r="W1078" i="1"/>
  <c r="AA1078" i="1"/>
  <c r="W1094" i="1"/>
  <c r="AA1094" i="1"/>
  <c r="AA1098" i="1"/>
  <c r="W1098" i="1"/>
  <c r="AA1115" i="1"/>
  <c r="W1115" i="1"/>
  <c r="P515" i="17" s="1"/>
  <c r="W1125" i="1"/>
  <c r="AA1125" i="1"/>
  <c r="AA1153" i="1"/>
  <c r="W1153" i="1"/>
  <c r="AA1158" i="1"/>
  <c r="W1158" i="1"/>
  <c r="W1165" i="1"/>
  <c r="AA1165" i="1"/>
  <c r="W1169" i="1"/>
  <c r="AA1169" i="1"/>
  <c r="W1173" i="1"/>
  <c r="P33" i="17" s="1"/>
  <c r="AA1173" i="1"/>
  <c r="W1177" i="1"/>
  <c r="AA1177" i="1"/>
  <c r="W1181" i="1"/>
  <c r="AA1181" i="1"/>
  <c r="W1185" i="1"/>
  <c r="AA1185" i="1"/>
  <c r="W1189" i="1"/>
  <c r="AA1189" i="1"/>
  <c r="W1193" i="1"/>
  <c r="AA1193" i="1"/>
  <c r="AA1201" i="1"/>
  <c r="W1201" i="1"/>
  <c r="AA1205" i="1"/>
  <c r="W1205" i="1"/>
  <c r="AA1209" i="1"/>
  <c r="W1209" i="1"/>
  <c r="AA1213" i="1"/>
  <c r="W1213" i="1"/>
  <c r="AA1217" i="1"/>
  <c r="W1217" i="1"/>
  <c r="AA1221" i="1"/>
  <c r="W1221" i="1"/>
  <c r="AA1225" i="1"/>
  <c r="W1225" i="1"/>
  <c r="AA1229" i="1"/>
  <c r="W1229" i="1"/>
  <c r="AA1233" i="1"/>
  <c r="W1233" i="1"/>
  <c r="AA1237" i="1"/>
  <c r="W1237" i="1"/>
  <c r="AA1241" i="1"/>
  <c r="W1241" i="1"/>
  <c r="W1252" i="1"/>
  <c r="AA1252" i="1"/>
  <c r="W1268" i="1"/>
  <c r="AA1268" i="1"/>
  <c r="W1276" i="1"/>
  <c r="AA1276" i="1"/>
  <c r="AA1284" i="1"/>
  <c r="W1284" i="1"/>
  <c r="AA1297" i="1"/>
  <c r="W1297" i="1"/>
  <c r="AA1305" i="1"/>
  <c r="W1305" i="1"/>
  <c r="AA1310" i="1"/>
  <c r="W1310" i="1"/>
  <c r="AA1314" i="1"/>
  <c r="W1314" i="1"/>
  <c r="AA1323" i="1"/>
  <c r="W1323" i="1"/>
  <c r="AA1331" i="1"/>
  <c r="W1331" i="1"/>
  <c r="AA1335" i="1"/>
  <c r="W1335" i="1"/>
  <c r="AA1346" i="1"/>
  <c r="W1346" i="1"/>
  <c r="P523" i="17" s="1"/>
  <c r="AA1354" i="1"/>
  <c r="W1354" i="1"/>
  <c r="AA1376" i="1"/>
  <c r="W1376" i="1"/>
  <c r="AA1385" i="1"/>
  <c r="W1385" i="1"/>
  <c r="AA1401" i="1"/>
  <c r="W1401" i="1"/>
  <c r="AA1405" i="1"/>
  <c r="W1405" i="1"/>
  <c r="AA1414" i="1"/>
  <c r="W1414" i="1"/>
  <c r="AA1455" i="1"/>
  <c r="W1455" i="1"/>
  <c r="AA1467" i="1"/>
  <c r="W1467" i="1"/>
  <c r="AA1479" i="1"/>
  <c r="W1479" i="1"/>
  <c r="AA1483" i="1"/>
  <c r="W1483" i="1"/>
  <c r="AA1527" i="1"/>
  <c r="W1527" i="1"/>
  <c r="AA1531" i="1"/>
  <c r="W1531" i="1"/>
  <c r="AA1596" i="1"/>
  <c r="W1596" i="1"/>
  <c r="AA1608" i="1"/>
  <c r="W1608" i="1"/>
  <c r="AA1620" i="1"/>
  <c r="W1620" i="1"/>
  <c r="AA1624" i="1"/>
  <c r="W1624" i="1"/>
  <c r="AA1628" i="1"/>
  <c r="W1628" i="1"/>
  <c r="AA1632" i="1"/>
  <c r="W1632" i="1"/>
  <c r="W1640" i="1"/>
  <c r="AA1640" i="1"/>
  <c r="AA1644" i="1"/>
  <c r="W1644" i="1"/>
  <c r="W1652" i="1"/>
  <c r="AA1652" i="1"/>
  <c r="AA1656" i="1"/>
  <c r="W1656" i="1"/>
  <c r="AA1664" i="1"/>
  <c r="W1664" i="1"/>
  <c r="AA1668" i="1"/>
  <c r="W1668" i="1"/>
  <c r="AA1672" i="1"/>
  <c r="W1672" i="1"/>
  <c r="AA1680" i="1"/>
  <c r="W1680" i="1"/>
  <c r="AA1684" i="1"/>
  <c r="W1684" i="1"/>
  <c r="AA1688" i="1"/>
  <c r="W1688" i="1"/>
  <c r="AA1692" i="1"/>
  <c r="W1692" i="1"/>
  <c r="AA1710" i="1"/>
  <c r="W1710" i="1"/>
  <c r="AA1714" i="1"/>
  <c r="W1714" i="1"/>
  <c r="AA1718" i="1"/>
  <c r="W1718" i="1"/>
  <c r="AA1737" i="1"/>
  <c r="W1737" i="1"/>
  <c r="P195" i="17" s="1"/>
  <c r="AA1753" i="1"/>
  <c r="W1753" i="1"/>
  <c r="AA1761" i="1"/>
  <c r="W1761" i="1"/>
  <c r="W1777" i="1"/>
  <c r="AA1777" i="1"/>
  <c r="W1785" i="1"/>
  <c r="AA1785" i="1"/>
  <c r="AA1789" i="1"/>
  <c r="W1789" i="1"/>
  <c r="AA1794" i="1"/>
  <c r="W1794" i="1"/>
  <c r="AA1802" i="1"/>
  <c r="W1802" i="1"/>
  <c r="P711" i="17" s="1"/>
  <c r="AA1806" i="1"/>
  <c r="W1806" i="1"/>
  <c r="AA1810" i="1"/>
  <c r="W1810" i="1"/>
  <c r="W1821" i="1"/>
  <c r="AA1821" i="1"/>
  <c r="AA1825" i="1"/>
  <c r="W1825" i="1"/>
  <c r="AA1848" i="1"/>
  <c r="W1848" i="1"/>
  <c r="AA1856" i="1"/>
  <c r="W1856" i="1"/>
  <c r="W1865" i="1"/>
  <c r="AA1865" i="1"/>
  <c r="W1869" i="1"/>
  <c r="AA1869" i="1"/>
  <c r="AA1880" i="1"/>
  <c r="W1880" i="1"/>
  <c r="AA1884" i="1"/>
  <c r="W1884" i="1"/>
  <c r="W1905" i="1"/>
  <c r="P713" i="17" s="1"/>
  <c r="AA1905" i="1"/>
  <c r="W1913" i="1"/>
  <c r="AA1913" i="1"/>
  <c r="W1920" i="1"/>
  <c r="AA1920" i="1"/>
  <c r="W1924" i="1"/>
  <c r="AA1924" i="1"/>
  <c r="W1928" i="1"/>
  <c r="AA1928" i="1"/>
  <c r="W1932" i="1"/>
  <c r="AA1932" i="1"/>
  <c r="W1936" i="1"/>
  <c r="AA1936" i="1"/>
  <c r="W1950" i="1"/>
  <c r="AA1950" i="1"/>
  <c r="W1954" i="1"/>
  <c r="AA1954" i="1"/>
  <c r="AA1977" i="1"/>
  <c r="W1977" i="1"/>
  <c r="W1988" i="1"/>
  <c r="P602" i="17" s="1"/>
  <c r="AA1988" i="1"/>
  <c r="AA1993" i="1"/>
  <c r="W1993" i="1"/>
  <c r="AA2017" i="1"/>
  <c r="W2017" i="1"/>
  <c r="AA2032" i="1"/>
  <c r="W2032" i="1"/>
  <c r="AA2040" i="1"/>
  <c r="W2040" i="1"/>
  <c r="AA2046" i="1"/>
  <c r="W2046" i="1"/>
  <c r="AA2055" i="1"/>
  <c r="W2055" i="1"/>
  <c r="AA2126" i="1"/>
  <c r="W2126" i="1"/>
  <c r="AA2206" i="1"/>
  <c r="W2206" i="1"/>
  <c r="W2234" i="1"/>
  <c r="AA2234" i="1"/>
  <c r="AA2273" i="1"/>
  <c r="W2273" i="1"/>
  <c r="AA2306" i="1"/>
  <c r="W2306" i="1"/>
  <c r="AA2323" i="1"/>
  <c r="W2323" i="1"/>
  <c r="AA2327" i="1"/>
  <c r="W2327" i="1"/>
  <c r="AA2331" i="1"/>
  <c r="W2331" i="1"/>
  <c r="AA2335" i="1"/>
  <c r="W2335" i="1"/>
  <c r="AA2339" i="1"/>
  <c r="W2339" i="1"/>
  <c r="AA2343" i="1"/>
  <c r="W2343" i="1"/>
  <c r="AA2349" i="1"/>
  <c r="W2349" i="1"/>
  <c r="AA2353" i="1"/>
  <c r="W2353" i="1"/>
  <c r="AA2357" i="1"/>
  <c r="W2357" i="1"/>
  <c r="AA2361" i="1"/>
  <c r="W2361" i="1"/>
  <c r="AA2369" i="1"/>
  <c r="W2369" i="1"/>
  <c r="AA2373" i="1"/>
  <c r="W2373" i="1"/>
  <c r="AA2377" i="1"/>
  <c r="W2377" i="1"/>
  <c r="AA2381" i="1"/>
  <c r="W2381" i="1"/>
  <c r="AA2388" i="1"/>
  <c r="W2388" i="1"/>
  <c r="AA2392" i="1"/>
  <c r="W2392" i="1"/>
  <c r="AA2397" i="1"/>
  <c r="W2397" i="1"/>
  <c r="AA2409" i="1"/>
  <c r="W2409" i="1"/>
  <c r="AA2413" i="1"/>
  <c r="W2413" i="1"/>
  <c r="AA2417" i="1"/>
  <c r="W2417" i="1"/>
  <c r="AA2421" i="1"/>
  <c r="W2421" i="1"/>
  <c r="AA2425" i="1"/>
  <c r="W2425" i="1"/>
  <c r="AA2434" i="1"/>
  <c r="W2434" i="1"/>
  <c r="AA2438" i="1"/>
  <c r="W2438" i="1"/>
  <c r="AA2444" i="1"/>
  <c r="W2444" i="1"/>
  <c r="AA2449" i="1"/>
  <c r="W2449" i="1"/>
  <c r="AA2453" i="1"/>
  <c r="W2453" i="1"/>
  <c r="AA2457" i="1"/>
  <c r="W2457" i="1"/>
  <c r="AA2468" i="1"/>
  <c r="W2468" i="1"/>
  <c r="AA2473" i="1"/>
  <c r="W2473" i="1"/>
  <c r="AA2477" i="1"/>
  <c r="W2477" i="1"/>
  <c r="AA2481" i="1"/>
  <c r="W2481" i="1"/>
  <c r="AA2370" i="1"/>
  <c r="W2370" i="1"/>
  <c r="W2378" i="1"/>
  <c r="AA2378" i="1"/>
  <c r="AA2398" i="1"/>
  <c r="W2398" i="1"/>
  <c r="AA2410" i="1"/>
  <c r="W2410" i="1"/>
  <c r="W2418" i="1"/>
  <c r="AA2418" i="1"/>
  <c r="AA2435" i="1"/>
  <c r="W2435" i="1"/>
  <c r="AA2454" i="1"/>
  <c r="W2454" i="1"/>
  <c r="AA2474" i="1"/>
  <c r="W2474" i="1"/>
  <c r="AA2482" i="1"/>
  <c r="W2482" i="1"/>
  <c r="AA90" i="1"/>
  <c r="W90" i="1"/>
  <c r="AA99" i="1"/>
  <c r="W99" i="1"/>
  <c r="AA119" i="1"/>
  <c r="W119" i="1"/>
  <c r="AA143" i="1"/>
  <c r="W143" i="1"/>
  <c r="AA167" i="1"/>
  <c r="W167" i="1"/>
  <c r="AA187" i="1"/>
  <c r="W187" i="1"/>
  <c r="AA191" i="1"/>
  <c r="W191" i="1"/>
  <c r="AA199" i="1"/>
  <c r="W199" i="1"/>
  <c r="AA250" i="1"/>
  <c r="W250" i="1"/>
  <c r="AA331" i="1"/>
  <c r="W331" i="1"/>
  <c r="AA343" i="1"/>
  <c r="W343" i="1"/>
  <c r="AA351" i="1"/>
  <c r="W351" i="1"/>
  <c r="AA816" i="1"/>
  <c r="W816" i="1"/>
  <c r="P166" i="17" s="1"/>
  <c r="W833" i="1"/>
  <c r="AA833" i="1"/>
  <c r="AA837" i="1"/>
  <c r="W837" i="1"/>
  <c r="W846" i="1"/>
  <c r="P947" i="17" s="1"/>
  <c r="AA14" i="1"/>
  <c r="W14" i="1"/>
  <c r="AA42" i="1"/>
  <c r="W42" i="1"/>
  <c r="AA50" i="1"/>
  <c r="W50" i="1"/>
  <c r="P123" i="17" s="1"/>
  <c r="AA54" i="1"/>
  <c r="W54" i="1"/>
  <c r="AA58" i="1"/>
  <c r="W58" i="1"/>
  <c r="AA67" i="1"/>
  <c r="W67" i="1"/>
  <c r="AA102" i="1"/>
  <c r="W102" i="1"/>
  <c r="P912" i="17" s="1"/>
  <c r="AA118" i="1"/>
  <c r="W118" i="1"/>
  <c r="AA122" i="1"/>
  <c r="W122" i="1"/>
  <c r="AA186" i="1"/>
  <c r="W186" i="1"/>
  <c r="AA194" i="1"/>
  <c r="W194" i="1"/>
  <c r="AA198" i="1"/>
  <c r="W198" i="1"/>
  <c r="AA202" i="1"/>
  <c r="W202" i="1"/>
  <c r="W244" i="1"/>
  <c r="AA244" i="1"/>
  <c r="AA253" i="1"/>
  <c r="W253" i="1"/>
  <c r="W261" i="1"/>
  <c r="AA261" i="1"/>
  <c r="AA310" i="1"/>
  <c r="W310" i="1"/>
  <c r="AA322" i="1"/>
  <c r="W322" i="1"/>
  <c r="AA330" i="1"/>
  <c r="W330" i="1"/>
  <c r="AA334" i="1"/>
  <c r="W334" i="1"/>
  <c r="AA338" i="1"/>
  <c r="W338" i="1"/>
  <c r="AA342" i="1"/>
  <c r="W342" i="1"/>
  <c r="AA346" i="1"/>
  <c r="W346" i="1"/>
  <c r="AA350" i="1"/>
  <c r="W350" i="1"/>
  <c r="AA354" i="1"/>
  <c r="W354" i="1"/>
  <c r="AA358" i="1"/>
  <c r="W358" i="1"/>
  <c r="AA362" i="1"/>
  <c r="W362" i="1"/>
  <c r="AA366" i="1"/>
  <c r="W366" i="1"/>
  <c r="AA370" i="1"/>
  <c r="W370" i="1"/>
  <c r="AA390" i="1"/>
  <c r="W390" i="1"/>
  <c r="AA394" i="1"/>
  <c r="W394" i="1"/>
  <c r="AA402" i="1"/>
  <c r="W402" i="1"/>
  <c r="AA406" i="1"/>
  <c r="W406" i="1"/>
  <c r="AA410" i="1"/>
  <c r="W410" i="1"/>
  <c r="AA414" i="1"/>
  <c r="W414" i="1"/>
  <c r="W422" i="1"/>
  <c r="AA422" i="1"/>
  <c r="AA434" i="1"/>
  <c r="W434" i="1"/>
  <c r="AA450" i="1"/>
  <c r="W450" i="1"/>
  <c r="AA454" i="1"/>
  <c r="W454" i="1"/>
  <c r="AA458" i="1"/>
  <c r="W458" i="1"/>
  <c r="AA466" i="1"/>
  <c r="W466" i="1"/>
  <c r="AA487" i="1"/>
  <c r="W487" i="1"/>
  <c r="AA535" i="1"/>
  <c r="W535" i="1"/>
  <c r="AA547" i="1"/>
  <c r="W547" i="1"/>
  <c r="AA551" i="1"/>
  <c r="W551" i="1"/>
  <c r="AA555" i="1"/>
  <c r="W555" i="1"/>
  <c r="AA559" i="1"/>
  <c r="W559" i="1"/>
  <c r="AA563" i="1"/>
  <c r="W563" i="1"/>
  <c r="AA567" i="1"/>
  <c r="W567" i="1"/>
  <c r="AA571" i="1"/>
  <c r="W571" i="1"/>
  <c r="AA575" i="1"/>
  <c r="W575" i="1"/>
  <c r="AA579" i="1"/>
  <c r="W579" i="1"/>
  <c r="AA591" i="1"/>
  <c r="W591" i="1"/>
  <c r="AA595" i="1"/>
  <c r="W595" i="1"/>
  <c r="AA612" i="1"/>
  <c r="W612" i="1"/>
  <c r="P902" i="17" s="1"/>
  <c r="AA616" i="1"/>
  <c r="W616" i="1"/>
  <c r="AA622" i="1"/>
  <c r="W622" i="1"/>
  <c r="AA631" i="1"/>
  <c r="W631" i="1"/>
  <c r="AA643" i="1"/>
  <c r="W643" i="1"/>
  <c r="W656" i="1"/>
  <c r="AA656" i="1"/>
  <c r="AA669" i="1"/>
  <c r="W669" i="1"/>
  <c r="W673" i="1"/>
  <c r="AA673" i="1"/>
  <c r="W681" i="1"/>
  <c r="AA681" i="1"/>
  <c r="AA696" i="1"/>
  <c r="W696" i="1"/>
  <c r="AA708" i="1"/>
  <c r="W708" i="1"/>
  <c r="W735" i="1"/>
  <c r="AA735" i="1"/>
  <c r="W739" i="1"/>
  <c r="AA739" i="1"/>
  <c r="AA743" i="1"/>
  <c r="W743" i="1"/>
  <c r="W759" i="1"/>
  <c r="AA759" i="1"/>
  <c r="W763" i="1"/>
  <c r="AA763" i="1"/>
  <c r="W767" i="1"/>
  <c r="AA767" i="1"/>
  <c r="W771" i="1"/>
  <c r="AA771" i="1"/>
  <c r="W775" i="1"/>
  <c r="AA775" i="1"/>
  <c r="W783" i="1"/>
  <c r="AA783" i="1"/>
  <c r="W787" i="1"/>
  <c r="AA787" i="1"/>
  <c r="AA791" i="1"/>
  <c r="W791" i="1"/>
  <c r="W799" i="1"/>
  <c r="AA799" i="1"/>
  <c r="W803" i="1"/>
  <c r="AA803" i="1"/>
  <c r="W832" i="1"/>
  <c r="AA832" i="1"/>
  <c r="AA897" i="1"/>
  <c r="W897" i="1"/>
  <c r="AA921" i="1"/>
  <c r="W921" i="1"/>
  <c r="AA953" i="1"/>
  <c r="W953" i="1"/>
  <c r="AA970" i="1"/>
  <c r="W970" i="1"/>
  <c r="AA974" i="1"/>
  <c r="W974" i="1"/>
  <c r="AA991" i="1"/>
  <c r="W991" i="1"/>
  <c r="AA1004" i="1"/>
  <c r="W1004" i="1"/>
  <c r="W1045" i="1"/>
  <c r="AA1045" i="1"/>
  <c r="AA1053" i="1"/>
  <c r="W1053" i="1"/>
  <c r="W1106" i="1"/>
  <c r="AA1106" i="1"/>
  <c r="AA1110" i="1"/>
  <c r="W1110" i="1"/>
  <c r="AA1114" i="1"/>
  <c r="W1114" i="1"/>
  <c r="AA1124" i="1"/>
  <c r="W1124" i="1"/>
  <c r="AA1156" i="1"/>
  <c r="W1156" i="1"/>
  <c r="W1164" i="1"/>
  <c r="AA1164" i="1"/>
  <c r="W1168" i="1"/>
  <c r="AA1168" i="1"/>
  <c r="W1172" i="1"/>
  <c r="AA1172" i="1"/>
  <c r="W1176" i="1"/>
  <c r="AA1176" i="1"/>
  <c r="W1180" i="1"/>
  <c r="AA1180" i="1"/>
  <c r="W1184" i="1"/>
  <c r="AA1184" i="1"/>
  <c r="W1188" i="1"/>
  <c r="AA1188" i="1"/>
  <c r="W1196" i="1"/>
  <c r="AA1196" i="1"/>
  <c r="W1200" i="1"/>
  <c r="AA1200" i="1"/>
  <c r="W1204" i="1"/>
  <c r="AA1204" i="1"/>
  <c r="W1212" i="1"/>
  <c r="AA1212" i="1"/>
  <c r="W1216" i="1"/>
  <c r="AA1216" i="1"/>
  <c r="W1220" i="1"/>
  <c r="AA1220" i="1"/>
  <c r="W1224" i="1"/>
  <c r="AA1224" i="1"/>
  <c r="W1228" i="1"/>
  <c r="AA1228" i="1"/>
  <c r="AA1232" i="1"/>
  <c r="W1232" i="1"/>
  <c r="W1236" i="1"/>
  <c r="AA1236" i="1"/>
  <c r="W1240" i="1"/>
  <c r="AA1240" i="1"/>
  <c r="AA1271" i="1"/>
  <c r="W1271" i="1"/>
  <c r="AA1287" i="1"/>
  <c r="W1287" i="1"/>
  <c r="AA1313" i="1"/>
  <c r="W1313" i="1"/>
  <c r="AA1317" i="1"/>
  <c r="W1317" i="1"/>
  <c r="AA1322" i="1"/>
  <c r="W1322" i="1"/>
  <c r="AA1326" i="1"/>
  <c r="W1326" i="1"/>
  <c r="AA1330" i="1"/>
  <c r="W1330" i="1"/>
  <c r="AA1345" i="1"/>
  <c r="W1345" i="1"/>
  <c r="AA1357" i="1"/>
  <c r="W1357" i="1"/>
  <c r="AA1361" i="1"/>
  <c r="W1361" i="1"/>
  <c r="AA1375" i="1"/>
  <c r="W1375" i="1"/>
  <c r="AA1409" i="1"/>
  <c r="W1409" i="1"/>
  <c r="AA1438" i="1"/>
  <c r="W1438" i="1"/>
  <c r="AA1454" i="1"/>
  <c r="W1454" i="1"/>
  <c r="AA1458" i="1"/>
  <c r="W1458" i="1"/>
  <c r="AA1470" i="1"/>
  <c r="W1470" i="1"/>
  <c r="AA1482" i="1"/>
  <c r="W1482" i="1"/>
  <c r="AA1486" i="1"/>
  <c r="W1486" i="1"/>
  <c r="AA1490" i="1"/>
  <c r="W1490" i="1"/>
  <c r="AA1545" i="1"/>
  <c r="W1545" i="1"/>
  <c r="AA1595" i="1"/>
  <c r="W1595" i="1"/>
  <c r="AA1607" i="1"/>
  <c r="W1607" i="1"/>
  <c r="AA1623" i="1"/>
  <c r="W1623" i="1"/>
  <c r="AA1627" i="1"/>
  <c r="W1627" i="1"/>
  <c r="W1635" i="1"/>
  <c r="AA1635" i="1"/>
  <c r="AA1639" i="1"/>
  <c r="W1639" i="1"/>
  <c r="W1643" i="1"/>
  <c r="AA1643" i="1"/>
  <c r="AA1647" i="1"/>
  <c r="W1647" i="1"/>
  <c r="AA1651" i="1"/>
  <c r="W1651" i="1"/>
  <c r="AA1659" i="1"/>
  <c r="W1659" i="1"/>
  <c r="W1663" i="1"/>
  <c r="AA1663" i="1"/>
  <c r="AA1667" i="1"/>
  <c r="W1667" i="1"/>
  <c r="AA1671" i="1"/>
  <c r="W1671" i="1"/>
  <c r="AA1675" i="1"/>
  <c r="W1675" i="1"/>
  <c r="AA1679" i="1"/>
  <c r="W1679" i="1"/>
  <c r="W1683" i="1"/>
  <c r="AA1683" i="1"/>
  <c r="AA1687" i="1"/>
  <c r="W1687" i="1"/>
  <c r="AA1695" i="1"/>
  <c r="W1695" i="1"/>
  <c r="AA1699" i="1"/>
  <c r="W1699" i="1"/>
  <c r="AA1703" i="1"/>
  <c r="W1703" i="1"/>
  <c r="AA1713" i="1"/>
  <c r="W1713" i="1"/>
  <c r="AA1725" i="1"/>
  <c r="W1725" i="1"/>
  <c r="AA1729" i="1"/>
  <c r="W1729" i="1"/>
  <c r="AA1748" i="1"/>
  <c r="W1748" i="1"/>
  <c r="P710" i="17" s="1"/>
  <c r="AA1752" i="1"/>
  <c r="W1752" i="1"/>
  <c r="AA1776" i="1"/>
  <c r="W1776" i="1"/>
  <c r="AA1780" i="1"/>
  <c r="W1780" i="1"/>
  <c r="AA1816" i="1"/>
  <c r="W1816" i="1"/>
  <c r="AA1820" i="1"/>
  <c r="W1820" i="1"/>
  <c r="AA1833" i="1"/>
  <c r="W1833" i="1"/>
  <c r="W1837" i="1"/>
  <c r="AA1837" i="1"/>
  <c r="W1851" i="1"/>
  <c r="AA1851" i="1"/>
  <c r="AA1868" i="1"/>
  <c r="W1868" i="1"/>
  <c r="AA1879" i="1"/>
  <c r="W1879" i="1"/>
  <c r="AA1887" i="1"/>
  <c r="W1887" i="1"/>
  <c r="W1891" i="1"/>
  <c r="AA1891" i="1"/>
  <c r="AA1896" i="1"/>
  <c r="W1896" i="1"/>
  <c r="AA1908" i="1"/>
  <c r="W1908" i="1"/>
  <c r="AA1912" i="1"/>
  <c r="W1912" i="1"/>
  <c r="W1919" i="1"/>
  <c r="AA1919" i="1"/>
  <c r="AA1923" i="1"/>
  <c r="W1923" i="1"/>
  <c r="W1927" i="1"/>
  <c r="AA1927" i="1"/>
  <c r="AA1931" i="1"/>
  <c r="W1931" i="1"/>
  <c r="W1935" i="1"/>
  <c r="AA1935" i="1"/>
  <c r="AA1939" i="1"/>
  <c r="W1939" i="1"/>
  <c r="W1943" i="1"/>
  <c r="AA1943" i="1"/>
  <c r="AA1949" i="1"/>
  <c r="W1949" i="1"/>
  <c r="W1968" i="1"/>
  <c r="AA1968" i="1"/>
  <c r="W1984" i="1"/>
  <c r="AA1984" i="1"/>
  <c r="W2006" i="1"/>
  <c r="AA2006" i="1"/>
  <c r="AA2016" i="1"/>
  <c r="W2016" i="1"/>
  <c r="AA2027" i="1"/>
  <c r="W2027" i="1"/>
  <c r="AA2039" i="1"/>
  <c r="W2039" i="1"/>
  <c r="AA2045" i="1"/>
  <c r="W2045" i="1"/>
  <c r="AA2049" i="1"/>
  <c r="W2049" i="1"/>
  <c r="AA2101" i="1"/>
  <c r="W2101" i="1"/>
  <c r="AA2117" i="1"/>
  <c r="W2117" i="1"/>
  <c r="AA2159" i="1"/>
  <c r="W2159" i="1"/>
  <c r="AA2225" i="1"/>
  <c r="W2225" i="1"/>
  <c r="AA2272" i="1"/>
  <c r="W2272" i="1"/>
  <c r="W2280" i="1"/>
  <c r="AA2280" i="1"/>
  <c r="AA2284" i="1"/>
  <c r="W2284" i="1"/>
  <c r="W2322" i="1"/>
  <c r="AA2322" i="1"/>
  <c r="AA2326" i="1"/>
  <c r="W2326" i="1"/>
  <c r="AA2330" i="1"/>
  <c r="W2330" i="1"/>
  <c r="AA2334" i="1"/>
  <c r="W2334" i="1"/>
  <c r="AA2348" i="1"/>
  <c r="W2348" i="1"/>
  <c r="W2356" i="1"/>
  <c r="AA2356" i="1"/>
  <c r="AA2360" i="1"/>
  <c r="W2360" i="1"/>
  <c r="W2372" i="1"/>
  <c r="P856" i="17" s="1"/>
  <c r="AA2372" i="1"/>
  <c r="AA2380" i="1"/>
  <c r="W2380" i="1"/>
  <c r="AA2391" i="1"/>
  <c r="W2391" i="1"/>
  <c r="AA2395" i="1"/>
  <c r="W2395" i="1"/>
  <c r="AA2404" i="1"/>
  <c r="W2404" i="1"/>
  <c r="W2408" i="1"/>
  <c r="AA2408" i="1"/>
  <c r="AA2416" i="1"/>
  <c r="W2416" i="1"/>
  <c r="AA2420" i="1"/>
  <c r="W2420" i="1"/>
  <c r="AA2433" i="1"/>
  <c r="W2433" i="1"/>
  <c r="AA2443" i="1"/>
  <c r="W2443" i="1"/>
  <c r="AA2448" i="1"/>
  <c r="W2448" i="1"/>
  <c r="AA2452" i="1"/>
  <c r="W2452" i="1"/>
  <c r="AA2456" i="1"/>
  <c r="W2456" i="1"/>
  <c r="AA2463" i="1"/>
  <c r="W2463" i="1"/>
  <c r="AA2471" i="1"/>
  <c r="W2471" i="1"/>
  <c r="P945" i="17" s="1"/>
  <c r="AA2476" i="1"/>
  <c r="W2476" i="1"/>
  <c r="AA2480" i="1"/>
  <c r="W2480" i="1"/>
  <c r="AA883" i="1"/>
  <c r="W883" i="1"/>
  <c r="AA896" i="1"/>
  <c r="W896" i="1"/>
  <c r="P578" i="17" s="1"/>
  <c r="AA956" i="1"/>
  <c r="W956" i="1"/>
  <c r="AA960" i="1"/>
  <c r="W960" i="1"/>
  <c r="P216" i="17" s="1"/>
  <c r="AA964" i="1"/>
  <c r="W964" i="1"/>
  <c r="AA986" i="1"/>
  <c r="W986" i="1"/>
  <c r="P845" i="17" s="1"/>
  <c r="AA990" i="1"/>
  <c r="W990" i="1"/>
  <c r="W1000" i="1"/>
  <c r="P305" i="17" s="1"/>
  <c r="W1027" i="1"/>
  <c r="P650" i="17" s="1"/>
  <c r="AA1027" i="1"/>
  <c r="AA1048" i="1"/>
  <c r="W1048" i="1"/>
  <c r="W1052" i="1"/>
  <c r="P174" i="17" s="1"/>
  <c r="AA1052" i="1"/>
  <c r="W1057" i="1"/>
  <c r="AA1057" i="1"/>
  <c r="W1084" i="1"/>
  <c r="AA1084" i="1"/>
  <c r="AA1113" i="1"/>
  <c r="W1113" i="1"/>
  <c r="AA1117" i="1"/>
  <c r="W1117" i="1"/>
  <c r="AA1127" i="1"/>
  <c r="W1127" i="1"/>
  <c r="AA1155" i="1"/>
  <c r="W1155" i="1"/>
  <c r="P202" i="17" s="1"/>
  <c r="AA1175" i="1"/>
  <c r="W1175" i="1"/>
  <c r="W1179" i="1"/>
  <c r="P39" i="17" s="1"/>
  <c r="AA1179" i="1"/>
  <c r="AA1183" i="1"/>
  <c r="W1183" i="1"/>
  <c r="W1187" i="1"/>
  <c r="P47" i="17" s="1"/>
  <c r="AA1187" i="1"/>
  <c r="AA1191" i="1"/>
  <c r="W1191" i="1"/>
  <c r="AA1195" i="1"/>
  <c r="W1195" i="1"/>
  <c r="AA1199" i="1"/>
  <c r="W1199" i="1"/>
  <c r="AA1203" i="1"/>
  <c r="W1203" i="1"/>
  <c r="AA1207" i="1"/>
  <c r="W1207" i="1"/>
  <c r="AA1211" i="1"/>
  <c r="W1211" i="1"/>
  <c r="AA1215" i="1"/>
  <c r="W1215" i="1"/>
  <c r="AA1223" i="1"/>
  <c r="W1223" i="1"/>
  <c r="AA1227" i="1"/>
  <c r="W1227" i="1"/>
  <c r="AA1231" i="1"/>
  <c r="W1231" i="1"/>
  <c r="AA1243" i="1"/>
  <c r="W1243" i="1"/>
  <c r="W1270" i="1"/>
  <c r="AA1270" i="1"/>
  <c r="AA1312" i="1"/>
  <c r="W1312" i="1"/>
  <c r="AA1325" i="1"/>
  <c r="W1325" i="1"/>
  <c r="AA1329" i="1"/>
  <c r="W1329" i="1"/>
  <c r="AA1364" i="1"/>
  <c r="W1364" i="1"/>
  <c r="AA1399" i="1"/>
  <c r="W1399" i="1"/>
  <c r="AA1469" i="1"/>
  <c r="W1469" i="1"/>
  <c r="AA1481" i="1"/>
  <c r="W1481" i="1"/>
  <c r="AA1485" i="1"/>
  <c r="W1485" i="1"/>
  <c r="AA1516" i="1"/>
  <c r="W1516" i="1"/>
  <c r="AA1520" i="1"/>
  <c r="W1520" i="1"/>
  <c r="AA1524" i="1"/>
  <c r="W1524" i="1"/>
  <c r="AA1544" i="1"/>
  <c r="W1544" i="1"/>
  <c r="AA1565" i="1"/>
  <c r="W1565" i="1"/>
  <c r="AA1569" i="1"/>
  <c r="W1569" i="1"/>
  <c r="AA1594" i="1"/>
  <c r="W1594" i="1"/>
  <c r="AA1598" i="1"/>
  <c r="W1598" i="1"/>
  <c r="AA1606" i="1"/>
  <c r="W1606" i="1"/>
  <c r="AA1622" i="1"/>
  <c r="W1622" i="1"/>
  <c r="AA1626" i="1"/>
  <c r="W1626" i="1"/>
  <c r="AA1630" i="1"/>
  <c r="W1630" i="1"/>
  <c r="W1634" i="1"/>
  <c r="AA1634" i="1"/>
  <c r="AA1638" i="1"/>
  <c r="W1638" i="1"/>
  <c r="W1642" i="1"/>
  <c r="AA1642" i="1"/>
  <c r="AA1646" i="1"/>
  <c r="W1646" i="1"/>
  <c r="AA1650" i="1"/>
  <c r="W1650" i="1"/>
  <c r="W1658" i="1"/>
  <c r="AA1658" i="1"/>
  <c r="W1662" i="1"/>
  <c r="AA1662" i="1"/>
  <c r="W1666" i="1"/>
  <c r="AA1666" i="1"/>
  <c r="AA1670" i="1"/>
  <c r="W1670" i="1"/>
  <c r="W1674" i="1"/>
  <c r="AA1674" i="1"/>
  <c r="W1678" i="1"/>
  <c r="AA1678" i="1"/>
  <c r="AA1682" i="1"/>
  <c r="W1682" i="1"/>
  <c r="AA1686" i="1"/>
  <c r="W1686" i="1"/>
  <c r="AA1690" i="1"/>
  <c r="W1690" i="1"/>
  <c r="AA1694" i="1"/>
  <c r="W1694" i="1"/>
  <c r="AA1698" i="1"/>
  <c r="W1698" i="1"/>
  <c r="AA1702" i="1"/>
  <c r="W1702" i="1"/>
  <c r="AA1724" i="1"/>
  <c r="W1724" i="1"/>
  <c r="AA1739" i="1"/>
  <c r="W1739" i="1"/>
  <c r="AA1751" i="1"/>
  <c r="W1751" i="1"/>
  <c r="AA1759" i="1"/>
  <c r="W1759" i="1"/>
  <c r="W1763" i="1"/>
  <c r="AA1763" i="1"/>
  <c r="AA1775" i="1"/>
  <c r="W1775" i="1"/>
  <c r="AA1783" i="1"/>
  <c r="W1783" i="1"/>
  <c r="AA1787" i="1"/>
  <c r="W1787" i="1"/>
  <c r="AA1792" i="1"/>
  <c r="W1792" i="1"/>
  <c r="AA1800" i="1"/>
  <c r="W1800" i="1"/>
  <c r="W1812" i="1"/>
  <c r="AA1812" i="1"/>
  <c r="W1823" i="1"/>
  <c r="AA1823" i="1"/>
  <c r="AA1827" i="1"/>
  <c r="W1827" i="1"/>
  <c r="W1846" i="1"/>
  <c r="P196" i="17" s="1"/>
  <c r="AA1846" i="1"/>
  <c r="W1854" i="1"/>
  <c r="P712" i="17" s="1"/>
  <c r="AA1854" i="1"/>
  <c r="AA1858" i="1"/>
  <c r="W1858" i="1"/>
  <c r="W1890" i="1"/>
  <c r="AA1890" i="1"/>
  <c r="W1894" i="1"/>
  <c r="AA1894" i="1"/>
  <c r="W1918" i="1"/>
  <c r="AA1918" i="1"/>
  <c r="W1922" i="1"/>
  <c r="AA1922" i="1"/>
  <c r="W1926" i="1"/>
  <c r="AA1926" i="1"/>
  <c r="W1930" i="1"/>
  <c r="AA1930" i="1"/>
  <c r="W1934" i="1"/>
  <c r="AA1934" i="1"/>
  <c r="W1938" i="1"/>
  <c r="AA1938" i="1"/>
  <c r="W1952" i="1"/>
  <c r="AA1952" i="1"/>
  <c r="W1956" i="1"/>
  <c r="AA1956" i="1"/>
  <c r="W1962" i="1"/>
  <c r="AA1962" i="1"/>
  <c r="W1967" i="1"/>
  <c r="AA1967" i="1"/>
  <c r="AA1991" i="1"/>
  <c r="W1991" i="1"/>
  <c r="W1996" i="1"/>
  <c r="AA1996" i="1"/>
  <c r="AA2013" i="1"/>
  <c r="W2013" i="1"/>
  <c r="P606" i="17" s="1"/>
  <c r="AA2026" i="1"/>
  <c r="W2026" i="1"/>
  <c r="AA2030" i="1"/>
  <c r="W2030" i="1"/>
  <c r="AA2038" i="1"/>
  <c r="W2038" i="1"/>
  <c r="P603" i="17" s="1"/>
  <c r="AA2043" i="1"/>
  <c r="W2043" i="1"/>
  <c r="P508" i="17" s="1"/>
  <c r="AA2048" i="1"/>
  <c r="W2048" i="1"/>
  <c r="AA2092" i="1"/>
  <c r="W2092" i="1"/>
  <c r="AA2104" i="1"/>
  <c r="W2104" i="1"/>
  <c r="AA2174" i="1"/>
  <c r="W2174" i="1"/>
  <c r="AA2224" i="1"/>
  <c r="W2224" i="1"/>
  <c r="AA2316" i="1"/>
  <c r="W2316" i="1"/>
  <c r="AA2320" i="1"/>
  <c r="W2320" i="1"/>
  <c r="AA2333" i="1"/>
  <c r="W2333" i="1"/>
  <c r="AA2337" i="1"/>
  <c r="W2337" i="1"/>
  <c r="AA2347" i="1"/>
  <c r="W2347" i="1"/>
  <c r="AA2351" i="1"/>
  <c r="W2351" i="1"/>
  <c r="AA2371" i="1"/>
  <c r="W2371" i="1"/>
  <c r="P855" i="17" s="1"/>
  <c r="AA2375" i="1"/>
  <c r="W2375" i="1"/>
  <c r="AA2379" i="1"/>
  <c r="W2379" i="1"/>
  <c r="W2394" i="1"/>
  <c r="AA2394" i="1"/>
  <c r="AA2399" i="1"/>
  <c r="W2399" i="1"/>
  <c r="P858" i="17" s="1"/>
  <c r="AA2403" i="1"/>
  <c r="W2403" i="1"/>
  <c r="AA2407" i="1"/>
  <c r="W2407" i="1"/>
  <c r="AA2419" i="1"/>
  <c r="W2419" i="1"/>
  <c r="AA2427" i="1"/>
  <c r="W2427" i="1"/>
  <c r="AA2431" i="1"/>
  <c r="W2431" i="1"/>
  <c r="AA2436" i="1"/>
  <c r="W2436" i="1"/>
  <c r="AA2442" i="1"/>
  <c r="W2442" i="1"/>
  <c r="AA2447" i="1"/>
  <c r="W2447" i="1"/>
  <c r="AA2455" i="1"/>
  <c r="W2455" i="1"/>
  <c r="AA2466" i="1"/>
  <c r="W2466" i="1"/>
  <c r="AA2470" i="1"/>
  <c r="W2470" i="1"/>
  <c r="AA2475" i="1"/>
  <c r="W2475" i="1"/>
  <c r="AA2479" i="1"/>
  <c r="W2479" i="1"/>
  <c r="AA2483" i="1"/>
  <c r="W2483" i="1"/>
  <c r="K1327" i="1"/>
  <c r="K1372" i="1"/>
  <c r="K1389" i="1"/>
  <c r="K1419" i="1"/>
  <c r="K1431" i="1"/>
  <c r="K1447" i="1"/>
  <c r="K1463" i="1"/>
  <c r="K1475" i="1"/>
  <c r="K1491" i="1"/>
  <c r="K1527" i="1"/>
  <c r="K1563" i="1"/>
  <c r="K1600" i="1"/>
  <c r="K1612" i="1"/>
  <c r="K1632" i="1"/>
  <c r="K1644" i="1"/>
  <c r="K1664" i="1"/>
  <c r="K1676" i="1"/>
  <c r="K1688" i="1"/>
  <c r="K1714" i="1"/>
  <c r="K1730" i="1"/>
  <c r="K1749" i="1"/>
  <c r="K1773" i="1"/>
  <c r="K1789" i="1"/>
  <c r="K1806" i="1"/>
  <c r="K1825" i="1"/>
  <c r="K1844" i="1"/>
  <c r="K1861" i="1"/>
  <c r="K1884" i="1"/>
  <c r="K1901" i="1"/>
  <c r="K1920" i="1"/>
  <c r="K1942" i="1"/>
  <c r="K1962" i="1"/>
  <c r="K2009" i="1"/>
  <c r="K2030" i="1"/>
  <c r="K2100" i="1"/>
  <c r="K2248" i="1"/>
  <c r="K1326" i="1"/>
  <c r="K1442" i="1"/>
  <c r="K1454" i="1"/>
  <c r="K1462" i="1"/>
  <c r="K1474" i="1"/>
  <c r="K1490" i="1"/>
  <c r="K1499" i="1"/>
  <c r="K1517" i="1"/>
  <c r="K1530" i="1"/>
  <c r="K1675" i="1"/>
  <c r="K1833" i="1"/>
  <c r="K1982" i="1"/>
  <c r="K2223" i="1"/>
  <c r="K2231" i="1"/>
  <c r="K2243" i="1"/>
  <c r="K2255" i="1"/>
  <c r="K2273" i="1"/>
  <c r="K2285" i="1"/>
  <c r="K2298" i="1"/>
  <c r="K2306" i="1"/>
  <c r="K2314" i="1"/>
  <c r="K2331" i="1"/>
  <c r="K2343" i="1"/>
  <c r="K2357" i="1"/>
  <c r="K2369" i="1"/>
  <c r="K2381" i="1"/>
  <c r="K2392" i="1"/>
  <c r="K2425" i="1"/>
  <c r="K1325" i="1"/>
  <c r="K1333" i="1"/>
  <c r="K1352" i="1"/>
  <c r="K1360" i="1"/>
  <c r="K1369" i="1"/>
  <c r="K1378" i="1"/>
  <c r="K1395" i="1"/>
  <c r="K1429" i="1"/>
  <c r="K1445" i="1"/>
  <c r="K1453" i="1"/>
  <c r="K1461" i="1"/>
  <c r="K1469" i="1"/>
  <c r="K1477" i="1"/>
  <c r="K1485" i="1"/>
  <c r="K1493" i="1"/>
  <c r="K1504" i="1"/>
  <c r="K1512" i="1"/>
  <c r="K1520" i="1"/>
  <c r="K1529" i="1"/>
  <c r="K1539" i="1"/>
  <c r="K1549" i="1"/>
  <c r="K1557" i="1"/>
  <c r="K1565" i="1"/>
  <c r="K1574" i="1"/>
  <c r="K1582" i="1"/>
  <c r="K1590" i="1"/>
  <c r="K1598" i="1"/>
  <c r="K1606" i="1"/>
  <c r="K1614" i="1"/>
  <c r="K1622" i="1"/>
  <c r="K1630" i="1"/>
  <c r="K1658" i="1"/>
  <c r="K1662" i="1"/>
  <c r="K1323" i="1"/>
  <c r="K1405" i="1"/>
  <c r="K1439" i="1"/>
  <c r="K1455" i="1"/>
  <c r="K1467" i="1"/>
  <c r="K1500" i="1"/>
  <c r="K1580" i="1"/>
  <c r="K1592" i="1"/>
  <c r="K1604" i="1"/>
  <c r="K1640" i="1"/>
  <c r="K1652" i="1"/>
  <c r="K1700" i="1"/>
  <c r="K1710" i="1"/>
  <c r="K1745" i="1"/>
  <c r="K1761" i="1"/>
  <c r="K1785" i="1"/>
  <c r="K1802" i="1"/>
  <c r="K1821" i="1"/>
  <c r="K1834" i="1"/>
  <c r="K1848" i="1"/>
  <c r="K1865" i="1"/>
  <c r="K1888" i="1"/>
  <c r="K1930" i="1"/>
  <c r="K1956" i="1"/>
  <c r="K1991" i="1"/>
  <c r="K2013" i="1"/>
  <c r="K2038" i="1"/>
  <c r="K2048" i="1"/>
  <c r="K2076" i="1"/>
  <c r="K2088" i="1"/>
  <c r="K2104" i="1"/>
  <c r="K2124" i="1"/>
  <c r="K2137" i="1"/>
  <c r="K2154" i="1"/>
  <c r="K2166" i="1"/>
  <c r="K2179" i="1"/>
  <c r="K2196" i="1"/>
  <c r="K2212" i="1"/>
  <c r="K2224" i="1"/>
  <c r="K2236" i="1"/>
  <c r="K2252" i="1"/>
  <c r="K2266" i="1"/>
  <c r="K2278" i="1"/>
  <c r="K2290" i="1"/>
  <c r="K2303" i="1"/>
  <c r="K2315" i="1"/>
  <c r="K2328" i="1"/>
  <c r="K2340" i="1"/>
  <c r="K2354" i="1"/>
  <c r="K2366" i="1"/>
  <c r="K2378" i="1"/>
  <c r="K2393" i="1"/>
  <c r="K2406" i="1"/>
  <c r="K2414" i="1"/>
  <c r="K2422" i="1"/>
  <c r="K2435" i="1"/>
  <c r="K2450" i="1"/>
  <c r="K2465" i="1"/>
  <c r="K2478" i="1"/>
  <c r="K1322" i="1"/>
  <c r="K1450" i="1"/>
  <c r="K1466" i="1"/>
  <c r="K1478" i="1"/>
  <c r="K1486" i="1"/>
  <c r="K1505" i="1"/>
  <c r="K1513" i="1"/>
  <c r="K1526" i="1"/>
  <c r="K1659" i="1"/>
  <c r="K2178" i="1"/>
  <c r="K2195" i="1"/>
  <c r="K2235" i="1"/>
  <c r="K2247" i="1"/>
  <c r="K2259" i="1"/>
  <c r="K2269" i="1"/>
  <c r="K2281" i="1"/>
  <c r="K2293" i="1"/>
  <c r="K2310" i="1"/>
  <c r="K2318" i="1"/>
  <c r="K2327" i="1"/>
  <c r="K2339" i="1"/>
  <c r="K2353" i="1"/>
  <c r="K2365" i="1"/>
  <c r="K2373" i="1"/>
  <c r="K2388" i="1"/>
  <c r="K2397" i="1"/>
  <c r="K2453" i="1"/>
  <c r="K1329" i="1"/>
  <c r="K1338" i="1"/>
  <c r="K1348" i="1"/>
  <c r="K1364" i="1"/>
  <c r="K1374" i="1"/>
  <c r="K1382" i="1"/>
  <c r="K1391" i="1"/>
  <c r="K1399" i="1"/>
  <c r="K1403" i="1"/>
  <c r="K1412" i="1"/>
  <c r="K1416" i="1"/>
  <c r="K1425" i="1"/>
  <c r="K1433" i="1"/>
  <c r="K1441" i="1"/>
  <c r="K1449" i="1"/>
  <c r="K1457" i="1"/>
  <c r="K1465" i="1"/>
  <c r="K1473" i="1"/>
  <c r="K1481" i="1"/>
  <c r="K1489" i="1"/>
  <c r="K1498" i="1"/>
  <c r="K1508" i="1"/>
  <c r="K1516" i="1"/>
  <c r="K1524" i="1"/>
  <c r="K1535" i="1"/>
  <c r="K1544" i="1"/>
  <c r="K1553" i="1"/>
  <c r="K1561" i="1"/>
  <c r="K1569" i="1"/>
  <c r="K1578" i="1"/>
  <c r="K1586" i="1"/>
  <c r="K1594" i="1"/>
  <c r="K1602" i="1"/>
  <c r="K1610" i="1"/>
  <c r="K1618" i="1"/>
  <c r="K1626" i="1"/>
  <c r="K1642" i="1"/>
  <c r="K1646" i="1"/>
  <c r="K1331" i="1"/>
  <c r="K1346" i="1"/>
  <c r="K1362" i="1"/>
  <c r="K1380" i="1"/>
  <c r="K1414" i="1"/>
  <c r="K1435" i="1"/>
  <c r="K1483" i="1"/>
  <c r="K1506" i="1"/>
  <c r="K1522" i="1"/>
  <c r="K1559" i="1"/>
  <c r="K1571" i="1"/>
  <c r="K1588" i="1"/>
  <c r="K1620" i="1"/>
  <c r="K1636" i="1"/>
  <c r="K1656" i="1"/>
  <c r="K1696" i="1"/>
  <c r="K1718" i="1"/>
  <c r="K1741" i="1"/>
  <c r="K1753" i="1"/>
  <c r="K1777" i="1"/>
  <c r="K1794" i="1"/>
  <c r="K1810" i="1"/>
  <c r="K1852" i="1"/>
  <c r="K1869" i="1"/>
  <c r="K1892" i="1"/>
  <c r="K1905" i="1"/>
  <c r="K1934" i="1"/>
  <c r="K1946" i="1"/>
  <c r="K1952" i="1"/>
  <c r="K1975" i="1"/>
  <c r="K2034" i="1"/>
  <c r="K2084" i="1"/>
  <c r="K2092" i="1"/>
  <c r="K2108" i="1"/>
  <c r="K2116" i="1"/>
  <c r="K2146" i="1"/>
  <c r="K2158" i="1"/>
  <c r="K2170" i="1"/>
  <c r="K2183" i="1"/>
  <c r="K2191" i="1"/>
  <c r="K2204" i="1"/>
  <c r="K2220" i="1"/>
  <c r="K2232" i="1"/>
  <c r="K2244" i="1"/>
  <c r="K2256" i="1"/>
  <c r="K2270" i="1"/>
  <c r="K2282" i="1"/>
  <c r="K2299" i="1"/>
  <c r="K2307" i="1"/>
  <c r="K2319" i="1"/>
  <c r="K2336" i="1"/>
  <c r="K2344" i="1"/>
  <c r="K2358" i="1"/>
  <c r="K2370" i="1"/>
  <c r="K2382" i="1"/>
  <c r="K2398" i="1"/>
  <c r="K2430" i="1"/>
  <c r="K2445" i="1"/>
  <c r="K2461" i="1"/>
  <c r="K2474" i="1"/>
  <c r="K2482" i="1"/>
  <c r="K2490" i="1"/>
  <c r="K1335" i="1"/>
  <c r="K1354" i="1"/>
  <c r="K1367" i="1"/>
  <c r="K1459" i="1"/>
  <c r="K1496" i="1"/>
  <c r="K1514" i="1"/>
  <c r="K1531" i="1"/>
  <c r="K1628" i="1"/>
  <c r="K1648" i="1"/>
  <c r="K1660" i="1"/>
  <c r="K1672" i="1"/>
  <c r="K1704" i="1"/>
  <c r="K1722" i="1"/>
  <c r="K1737" i="1"/>
  <c r="K1757" i="1"/>
  <c r="K1781" i="1"/>
  <c r="K1838" i="1"/>
  <c r="K1880" i="1"/>
  <c r="K1897" i="1"/>
  <c r="K1913" i="1"/>
  <c r="K1938" i="1"/>
  <c r="K1967" i="1"/>
  <c r="K1979" i="1"/>
  <c r="K1996" i="1"/>
  <c r="K2026" i="1"/>
  <c r="K2043" i="1"/>
  <c r="K2053" i="1"/>
  <c r="K2080" i="1"/>
  <c r="K2112" i="1"/>
  <c r="K2120" i="1"/>
  <c r="K2128" i="1"/>
  <c r="K2141" i="1"/>
  <c r="K2150" i="1"/>
  <c r="K2162" i="1"/>
  <c r="K2174" i="1"/>
  <c r="K2187" i="1"/>
  <c r="K2200" i="1"/>
  <c r="K2208" i="1"/>
  <c r="K2216" i="1"/>
  <c r="K2228" i="1"/>
  <c r="K2240" i="1"/>
  <c r="K2274" i="1"/>
  <c r="K2286" i="1"/>
  <c r="K2294" i="1"/>
  <c r="K2311" i="1"/>
  <c r="K2324" i="1"/>
  <c r="K2332" i="1"/>
  <c r="K2350" i="1"/>
  <c r="K2362" i="1"/>
  <c r="K2374" i="1"/>
  <c r="K2389" i="1"/>
  <c r="K2402" i="1"/>
  <c r="K2410" i="1"/>
  <c r="K2426" i="1"/>
  <c r="K2441" i="1"/>
  <c r="K2454" i="1"/>
  <c r="K2469" i="1"/>
  <c r="K2486" i="1"/>
  <c r="K1330" i="1"/>
  <c r="K1446" i="1"/>
  <c r="K1458" i="1"/>
  <c r="K1470" i="1"/>
  <c r="K1482" i="1"/>
  <c r="K1495" i="1"/>
  <c r="K1509" i="1"/>
  <c r="K1521" i="1"/>
  <c r="K1643" i="1"/>
  <c r="K1691" i="1"/>
  <c r="K1990" i="1"/>
  <c r="K2227" i="1"/>
  <c r="K2239" i="1"/>
  <c r="K2251" i="1"/>
  <c r="K2265" i="1"/>
  <c r="K2277" i="1"/>
  <c r="K2289" i="1"/>
  <c r="K2302" i="1"/>
  <c r="K2323" i="1"/>
  <c r="K2335" i="1"/>
  <c r="K2349" i="1"/>
  <c r="K2361" i="1"/>
  <c r="K2377" i="1"/>
  <c r="K2401" i="1"/>
  <c r="K1678" i="1"/>
  <c r="K1686" i="1"/>
  <c r="K1694" i="1"/>
  <c r="K1708" i="1"/>
  <c r="K1720" i="1"/>
  <c r="K1724" i="1"/>
  <c r="K1728" i="1"/>
  <c r="K1735" i="1"/>
  <c r="K1747" i="1"/>
  <c r="K1759" i="1"/>
  <c r="K1763" i="1"/>
  <c r="K1783" i="1"/>
  <c r="K1792" i="1"/>
  <c r="K1804" i="1"/>
  <c r="K1812" i="1"/>
  <c r="K1819" i="1"/>
  <c r="K1823" i="1"/>
  <c r="K1827" i="1"/>
  <c r="K1836" i="1"/>
  <c r="K1840" i="1"/>
  <c r="K1850" i="1"/>
  <c r="K1854" i="1"/>
  <c r="K1858" i="1"/>
  <c r="K1863" i="1"/>
  <c r="K1882" i="1"/>
  <c r="K1894" i="1"/>
  <c r="K1903" i="1"/>
  <c r="K1918" i="1"/>
  <c r="K1932" i="1"/>
  <c r="K1936" i="1"/>
  <c r="K1940" i="1"/>
  <c r="K1944" i="1"/>
  <c r="K1950" i="1"/>
  <c r="K1964" i="1"/>
  <c r="K1977" i="1"/>
  <c r="K1988" i="1"/>
  <c r="K1993" i="1"/>
  <c r="K2007" i="1"/>
  <c r="K2011" i="1"/>
  <c r="K2017" i="1"/>
  <c r="K2032" i="1"/>
  <c r="K2036" i="1"/>
  <c r="K2040" i="1"/>
  <c r="K2046" i="1"/>
  <c r="K2055" i="1"/>
  <c r="K2074" i="1"/>
  <c r="K2082" i="1"/>
  <c r="K2098" i="1"/>
  <c r="K2102" i="1"/>
  <c r="K2110" i="1"/>
  <c r="K2114" i="1"/>
  <c r="K2118" i="1"/>
  <c r="K2122" i="1"/>
  <c r="K2126" i="1"/>
  <c r="K2130" i="1"/>
  <c r="K2134" i="1"/>
  <c r="K2139" i="1"/>
  <c r="K2143" i="1"/>
  <c r="K2148" i="1"/>
  <c r="K2152" i="1"/>
  <c r="K2156" i="1"/>
  <c r="K2160" i="1"/>
  <c r="K2164" i="1"/>
  <c r="K2168" i="1"/>
  <c r="K2172" i="1"/>
  <c r="K2181" i="1"/>
  <c r="K2185" i="1"/>
  <c r="K2189" i="1"/>
  <c r="K2194" i="1"/>
  <c r="K2206" i="1"/>
  <c r="K2210" i="1"/>
  <c r="K2214" i="1"/>
  <c r="K2218" i="1"/>
  <c r="K2222" i="1"/>
  <c r="K2226" i="1"/>
  <c r="K2230" i="1"/>
  <c r="K2234" i="1"/>
  <c r="K2238" i="1"/>
  <c r="K2242" i="1"/>
  <c r="K2246" i="1"/>
  <c r="K2250" i="1"/>
  <c r="K2254" i="1"/>
  <c r="K2258" i="1"/>
  <c r="K2264" i="1"/>
  <c r="K2268" i="1"/>
  <c r="K2272" i="1"/>
  <c r="K2276" i="1"/>
  <c r="K2280" i="1"/>
  <c r="K2284" i="1"/>
  <c r="K2288" i="1"/>
  <c r="K2292" i="1"/>
  <c r="K2296" i="1"/>
  <c r="K2301" i="1"/>
  <c r="K2305" i="1"/>
  <c r="K2309" i="1"/>
  <c r="K2313" i="1"/>
  <c r="K2317" i="1"/>
  <c r="K2322" i="1"/>
  <c r="K2326" i="1"/>
  <c r="K2330" i="1"/>
  <c r="K2334" i="1"/>
  <c r="K2338" i="1"/>
  <c r="K2342" i="1"/>
  <c r="K2348" i="1"/>
  <c r="K2352" i="1"/>
  <c r="K2356" i="1"/>
  <c r="K2360" i="1"/>
  <c r="K2364" i="1"/>
  <c r="K2368" i="1"/>
  <c r="K2372" i="1"/>
  <c r="K2376" i="1"/>
  <c r="K2380" i="1"/>
  <c r="K2387" i="1"/>
  <c r="K2391" i="1"/>
  <c r="K2395" i="1"/>
  <c r="K2400" i="1"/>
  <c r="K2404" i="1"/>
  <c r="K2408" i="1"/>
  <c r="K2412" i="1"/>
  <c r="K2420" i="1"/>
  <c r="K2424" i="1"/>
  <c r="K2428" i="1"/>
  <c r="K2437" i="1"/>
  <c r="K2443" i="1"/>
  <c r="K2452" i="1"/>
  <c r="K2456" i="1"/>
  <c r="K2463" i="1"/>
  <c r="K2471" i="1"/>
  <c r="K2480" i="1"/>
  <c r="K2484" i="1"/>
  <c r="K2488" i="1"/>
  <c r="K2492" i="1"/>
  <c r="K1925" i="1"/>
  <c r="K1674" i="1"/>
  <c r="K1690" i="1"/>
  <c r="K1712" i="1"/>
  <c r="K1324" i="1"/>
  <c r="K1328" i="1"/>
  <c r="K1332" i="1"/>
  <c r="K1336" i="1"/>
  <c r="K1341" i="1"/>
  <c r="K1347" i="1"/>
  <c r="K1351" i="1"/>
  <c r="K1355" i="1"/>
  <c r="K1359" i="1"/>
  <c r="K1363" i="1"/>
  <c r="K1368" i="1"/>
  <c r="K1373" i="1"/>
  <c r="K1377" i="1"/>
  <c r="K1381" i="1"/>
  <c r="K1386" i="1"/>
  <c r="K1390" i="1"/>
  <c r="K1398" i="1"/>
  <c r="K1402" i="1"/>
  <c r="K1407" i="1"/>
  <c r="K1411" i="1"/>
  <c r="K1415" i="1"/>
  <c r="K1420" i="1"/>
  <c r="K1424" i="1"/>
  <c r="K1428" i="1"/>
  <c r="K1432" i="1"/>
  <c r="K1436" i="1"/>
  <c r="K1440" i="1"/>
  <c r="K1444" i="1"/>
  <c r="K1448" i="1"/>
  <c r="K1452" i="1"/>
  <c r="K1456" i="1"/>
  <c r="K1460" i="1"/>
  <c r="K1464" i="1"/>
  <c r="K1468" i="1"/>
  <c r="K1472" i="1"/>
  <c r="K1476" i="1"/>
  <c r="K1480" i="1"/>
  <c r="K1484" i="1"/>
  <c r="K1488" i="1"/>
  <c r="K1492" i="1"/>
  <c r="K1497" i="1"/>
  <c r="K1501" i="1"/>
  <c r="K1507" i="1"/>
  <c r="K1511" i="1"/>
  <c r="K1515" i="1"/>
  <c r="K1519" i="1"/>
  <c r="K1523" i="1"/>
  <c r="K1534" i="1"/>
  <c r="K1538" i="1"/>
  <c r="K1543" i="1"/>
  <c r="K1548" i="1"/>
  <c r="K1552" i="1"/>
  <c r="K1556" i="1"/>
  <c r="K1560" i="1"/>
  <c r="K1564" i="1"/>
  <c r="K1568" i="1"/>
  <c r="K1572" i="1"/>
  <c r="K1577" i="1"/>
  <c r="K1581" i="1"/>
  <c r="K1585" i="1"/>
  <c r="K1589" i="1"/>
  <c r="K1593" i="1"/>
  <c r="K1597" i="1"/>
  <c r="K1601" i="1"/>
  <c r="K1605" i="1"/>
  <c r="K1609" i="1"/>
  <c r="K1613" i="1"/>
  <c r="K1617" i="1"/>
  <c r="K1621" i="1"/>
  <c r="K1625" i="1"/>
  <c r="K1629" i="1"/>
  <c r="K1633" i="1"/>
  <c r="K1637" i="1"/>
  <c r="K1641" i="1"/>
  <c r="K1645" i="1"/>
  <c r="K1649" i="1"/>
  <c r="K1653" i="1"/>
  <c r="K1657" i="1"/>
  <c r="K1661" i="1"/>
  <c r="K1665" i="1"/>
  <c r="K1669" i="1"/>
  <c r="K1673" i="1"/>
  <c r="K1677" i="1"/>
  <c r="K1681" i="1"/>
  <c r="K1685" i="1"/>
  <c r="K1689" i="1"/>
  <c r="K1693" i="1"/>
  <c r="K1697" i="1"/>
  <c r="K1701" i="1"/>
  <c r="K1707" i="1"/>
  <c r="K1711" i="1"/>
  <c r="K1715" i="1"/>
  <c r="K1719" i="1"/>
  <c r="K1723" i="1"/>
  <c r="K1727" i="1"/>
  <c r="K1731" i="1"/>
  <c r="K1738" i="1"/>
  <c r="K1742" i="1"/>
  <c r="K1746" i="1"/>
  <c r="K1750" i="1"/>
  <c r="K1754" i="1"/>
  <c r="K1758" i="1"/>
  <c r="K1762" i="1"/>
  <c r="K1774" i="1"/>
  <c r="K1778" i="1"/>
  <c r="K1782" i="1"/>
  <c r="K1786" i="1"/>
  <c r="K1790" i="1"/>
  <c r="K1795" i="1"/>
  <c r="K1799" i="1"/>
  <c r="K1803" i="1"/>
  <c r="K1807" i="1"/>
  <c r="K1811" i="1"/>
  <c r="K1818" i="1"/>
  <c r="K1822" i="1"/>
  <c r="K1826" i="1"/>
  <c r="K1831" i="1"/>
  <c r="K1835" i="1"/>
  <c r="K1839" i="1"/>
  <c r="K1845" i="1"/>
  <c r="K1849" i="1"/>
  <c r="K1853" i="1"/>
  <c r="K1857" i="1"/>
  <c r="K1862" i="1"/>
  <c r="K1866" i="1"/>
  <c r="K1877" i="1"/>
  <c r="K1881" i="1"/>
  <c r="K1885" i="1"/>
  <c r="K1889" i="1"/>
  <c r="K1893" i="1"/>
  <c r="K1898" i="1"/>
  <c r="K1902" i="1"/>
  <c r="K1906" i="1"/>
  <c r="K1910" i="1"/>
  <c r="K1914" i="1"/>
  <c r="K1921" i="1"/>
  <c r="K1931" i="1"/>
  <c r="K1935" i="1"/>
  <c r="K1939" i="1"/>
  <c r="K1943" i="1"/>
  <c r="K1949" i="1"/>
  <c r="K1953" i="1"/>
  <c r="K1957" i="1"/>
  <c r="K1963" i="1"/>
  <c r="K1968" i="1"/>
  <c r="K1976" i="1"/>
  <c r="K1980" i="1"/>
  <c r="K1984" i="1"/>
  <c r="K1992" i="1"/>
  <c r="K1997" i="1"/>
  <c r="K2010" i="1"/>
  <c r="K2016" i="1"/>
  <c r="K2027" i="1"/>
  <c r="K2031" i="1"/>
  <c r="K2035" i="1"/>
  <c r="K2039" i="1"/>
  <c r="K2045" i="1"/>
  <c r="K2049" i="1"/>
  <c r="K2054" i="1"/>
  <c r="K2077" i="1"/>
  <c r="K2081" i="1"/>
  <c r="K2085" i="1"/>
  <c r="K2089" i="1"/>
  <c r="K2093" i="1"/>
  <c r="K2097" i="1"/>
  <c r="K2101" i="1"/>
  <c r="K2105" i="1"/>
  <c r="K2109" i="1"/>
  <c r="K2113" i="1"/>
  <c r="K2117" i="1"/>
  <c r="K2121" i="1"/>
  <c r="K2125" i="1"/>
  <c r="K2129" i="1"/>
  <c r="K2133" i="1"/>
  <c r="K2142" i="1"/>
  <c r="K2151" i="1"/>
  <c r="K2155" i="1"/>
  <c r="K2163" i="1"/>
  <c r="K2167" i="1"/>
  <c r="K2175" i="1"/>
  <c r="K2180" i="1"/>
  <c r="K2184" i="1"/>
  <c r="K2192" i="1"/>
  <c r="K2197" i="1"/>
  <c r="K2201" i="1"/>
  <c r="K2205" i="1"/>
  <c r="K2209" i="1"/>
  <c r="K2213" i="1"/>
  <c r="K2217" i="1"/>
  <c r="K2221" i="1"/>
  <c r="K2225" i="1"/>
  <c r="K2229" i="1"/>
  <c r="K2233" i="1"/>
  <c r="K2237" i="1"/>
  <c r="K2241" i="1"/>
  <c r="K2245" i="1"/>
  <c r="K2249" i="1"/>
  <c r="K2253" i="1"/>
  <c r="K2257" i="1"/>
  <c r="K2263" i="1"/>
  <c r="K2267" i="1"/>
  <c r="K2271" i="1"/>
  <c r="K2275" i="1"/>
  <c r="K2279" i="1"/>
  <c r="K2283" i="1"/>
  <c r="K2287" i="1"/>
  <c r="K2291" i="1"/>
  <c r="K2295" i="1"/>
  <c r="K2300" i="1"/>
  <c r="K2304" i="1"/>
  <c r="K2308" i="1"/>
  <c r="K2312" i="1"/>
  <c r="K2316" i="1"/>
  <c r="K2320" i="1"/>
  <c r="K2325" i="1"/>
  <c r="K2329" i="1"/>
  <c r="K2333" i="1"/>
  <c r="K2337" i="1"/>
  <c r="K2341" i="1"/>
  <c r="K2347" i="1"/>
  <c r="K2351" i="1"/>
  <c r="K2355" i="1"/>
  <c r="K2359" i="1"/>
  <c r="K2363" i="1"/>
  <c r="K2367" i="1"/>
  <c r="K2371" i="1"/>
  <c r="K2375" i="1"/>
  <c r="K2379" i="1"/>
  <c r="K2386" i="1"/>
  <c r="K2390" i="1"/>
  <c r="K2394" i="1"/>
  <c r="K2399" i="1"/>
  <c r="K2403" i="1"/>
  <c r="K2407" i="1"/>
  <c r="K2411" i="1"/>
  <c r="K2415" i="1"/>
  <c r="K2419" i="1"/>
  <c r="K2423" i="1"/>
  <c r="K2427" i="1"/>
  <c r="K2431" i="1"/>
  <c r="K2436" i="1"/>
  <c r="K2442" i="1"/>
  <c r="K2451" i="1"/>
  <c r="K2455" i="1"/>
  <c r="K2466" i="1"/>
  <c r="K2470" i="1"/>
  <c r="K2475" i="1"/>
  <c r="K2479" i="1"/>
  <c r="K2483" i="1"/>
  <c r="K2487" i="1"/>
  <c r="K2491" i="1"/>
  <c r="K1924" i="1"/>
  <c r="K1928" i="1"/>
  <c r="P549" i="17"/>
  <c r="C42" i="2"/>
  <c r="C8" i="2" s="1"/>
  <c r="E34" i="2"/>
  <c r="C36" i="2" s="1"/>
  <c r="C7" i="2" s="1"/>
  <c r="P913" i="17"/>
  <c r="P911" i="17"/>
  <c r="P648" i="17"/>
  <c r="E42" i="2"/>
  <c r="E8" i="2" s="1"/>
  <c r="R1318" i="1"/>
  <c r="F275" i="10"/>
  <c r="F266" i="10"/>
  <c r="F269" i="10"/>
  <c r="F213" i="10"/>
  <c r="F270" i="10"/>
  <c r="F214" i="10"/>
  <c r="F271" i="10"/>
  <c r="F265" i="10"/>
  <c r="F215" i="10"/>
  <c r="P315" i="17"/>
  <c r="P314" i="17"/>
  <c r="K2262" i="1"/>
  <c r="N2262" i="1"/>
  <c r="O2181" i="1"/>
  <c r="P308" i="17"/>
  <c r="M1443" i="1"/>
  <c r="AP1443" i="1" s="1"/>
  <c r="K1443" i="1"/>
  <c r="M1576" i="1"/>
  <c r="AP1576" i="1" s="1"/>
  <c r="K1576" i="1"/>
  <c r="N1584" i="1"/>
  <c r="K1584" i="1"/>
  <c r="N1616" i="1"/>
  <c r="K1616" i="1"/>
  <c r="O1680" i="1"/>
  <c r="K1680" i="1"/>
  <c r="O1692" i="1"/>
  <c r="K1692" i="1"/>
  <c r="O2096" i="1"/>
  <c r="K2096" i="1"/>
  <c r="O1927" i="1"/>
  <c r="K1927" i="1"/>
  <c r="N1385" i="1"/>
  <c r="K1385" i="1"/>
  <c r="N1401" i="1"/>
  <c r="K1401" i="1"/>
  <c r="M1451" i="1"/>
  <c r="AP1451" i="1" s="1"/>
  <c r="K1451" i="1"/>
  <c r="N1541" i="1"/>
  <c r="K1541" i="1"/>
  <c r="O1555" i="1"/>
  <c r="K1555" i="1"/>
  <c r="O1567" i="1"/>
  <c r="K1567" i="1"/>
  <c r="N1596" i="1"/>
  <c r="K1596" i="1"/>
  <c r="N1608" i="1"/>
  <c r="K1608" i="1"/>
  <c r="O1668" i="1"/>
  <c r="K1668" i="1"/>
  <c r="O1684" i="1"/>
  <c r="K1684" i="1"/>
  <c r="O1726" i="1"/>
  <c r="K1726" i="1"/>
  <c r="O1856" i="1"/>
  <c r="K1856" i="1"/>
  <c r="O1909" i="1"/>
  <c r="K1909" i="1"/>
  <c r="M1339" i="1"/>
  <c r="AP1339" i="1" s="1"/>
  <c r="K1339" i="1"/>
  <c r="O1353" i="1"/>
  <c r="K1353" i="1"/>
  <c r="O1365" i="1"/>
  <c r="K1365" i="1"/>
  <c r="M1379" i="1"/>
  <c r="AP1379" i="1" s="1"/>
  <c r="K1379" i="1"/>
  <c r="M1392" i="1"/>
  <c r="AP1392" i="1" s="1"/>
  <c r="K1392" i="1"/>
  <c r="O1404" i="1"/>
  <c r="K1404" i="1"/>
  <c r="M1422" i="1"/>
  <c r="AP1422" i="1" s="1"/>
  <c r="K1422" i="1"/>
  <c r="O1438" i="1"/>
  <c r="K1438" i="1"/>
  <c r="M1540" i="1"/>
  <c r="AP1540" i="1" s="1"/>
  <c r="K1540" i="1"/>
  <c r="M1554" i="1"/>
  <c r="AP1554" i="1" s="1"/>
  <c r="K1554" i="1"/>
  <c r="M1575" i="1"/>
  <c r="AP1575" i="1" s="1"/>
  <c r="K1575" i="1"/>
  <c r="M1587" i="1"/>
  <c r="AP1587" i="1" s="1"/>
  <c r="K1587" i="1"/>
  <c r="M1599" i="1"/>
  <c r="AP1599" i="1" s="1"/>
  <c r="K1599" i="1"/>
  <c r="O1611" i="1"/>
  <c r="K1611" i="1"/>
  <c r="M1623" i="1"/>
  <c r="AP1623" i="1" s="1"/>
  <c r="K1623" i="1"/>
  <c r="N1635" i="1"/>
  <c r="K1635" i="1"/>
  <c r="N1647" i="1"/>
  <c r="K1647" i="1"/>
  <c r="O1655" i="1"/>
  <c r="K1655" i="1"/>
  <c r="N1683" i="1"/>
  <c r="K1683" i="1"/>
  <c r="O1703" i="1"/>
  <c r="K1703" i="1"/>
  <c r="N1717" i="1"/>
  <c r="K1717" i="1"/>
  <c r="O1729" i="1"/>
  <c r="K1729" i="1"/>
  <c r="O1744" i="1"/>
  <c r="K1744" i="1"/>
  <c r="O1760" i="1"/>
  <c r="K1760" i="1"/>
  <c r="O1784" i="1"/>
  <c r="K1784" i="1"/>
  <c r="O1797" i="1"/>
  <c r="K1797" i="1"/>
  <c r="N1805" i="1"/>
  <c r="K1805" i="1"/>
  <c r="O1820" i="1"/>
  <c r="K1820" i="1"/>
  <c r="N1828" i="1"/>
  <c r="K1828" i="1"/>
  <c r="N1847" i="1"/>
  <c r="K1847" i="1"/>
  <c r="O1864" i="1"/>
  <c r="K1864" i="1"/>
  <c r="O1883" i="1"/>
  <c r="K1883" i="1"/>
  <c r="O1896" i="1"/>
  <c r="K1896" i="1"/>
  <c r="O1908" i="1"/>
  <c r="K1908" i="1"/>
  <c r="O1929" i="1"/>
  <c r="K1929" i="1"/>
  <c r="O1941" i="1"/>
  <c r="K1941" i="1"/>
  <c r="O1955" i="1"/>
  <c r="K1955" i="1"/>
  <c r="O1974" i="1"/>
  <c r="K1974" i="1"/>
  <c r="O1978" i="1"/>
  <c r="K1978" i="1"/>
  <c r="O1995" i="1"/>
  <c r="K1995" i="1"/>
  <c r="O2012" i="1"/>
  <c r="K2012" i="1"/>
  <c r="O2033" i="1"/>
  <c r="K2033" i="1"/>
  <c r="O2047" i="1"/>
  <c r="K2047" i="1"/>
  <c r="O2067" i="1"/>
  <c r="K2067" i="1"/>
  <c r="O2083" i="1"/>
  <c r="K2083" i="1"/>
  <c r="O2095" i="1"/>
  <c r="K2095" i="1"/>
  <c r="O2107" i="1"/>
  <c r="K2107" i="1"/>
  <c r="O2119" i="1"/>
  <c r="K2119" i="1"/>
  <c r="O2131" i="1"/>
  <c r="K2131" i="1"/>
  <c r="O2144" i="1"/>
  <c r="K2144" i="1"/>
  <c r="O2157" i="1"/>
  <c r="K2157" i="1"/>
  <c r="O2190" i="1"/>
  <c r="K2190" i="1"/>
  <c r="O2203" i="1"/>
  <c r="K2203" i="1"/>
  <c r="M2413" i="1"/>
  <c r="AP2413" i="1" s="1"/>
  <c r="K2413" i="1"/>
  <c r="M2421" i="1"/>
  <c r="AP2421" i="1" s="1"/>
  <c r="K2421" i="1"/>
  <c r="M2438" i="1"/>
  <c r="AP2438" i="1" s="1"/>
  <c r="K2438" i="1"/>
  <c r="M2444" i="1"/>
  <c r="AP2444" i="1" s="1"/>
  <c r="K2444" i="1"/>
  <c r="M2464" i="1"/>
  <c r="AP2464" i="1" s="1"/>
  <c r="K2464" i="1"/>
  <c r="M2477" i="1"/>
  <c r="AP2477" i="1" s="1"/>
  <c r="K2477" i="1"/>
  <c r="M2489" i="1"/>
  <c r="AP2489" i="1" s="1"/>
  <c r="K2489" i="1"/>
  <c r="M1926" i="1"/>
  <c r="AP1926" i="1" s="1"/>
  <c r="K1926" i="1"/>
  <c r="M1350" i="1"/>
  <c r="AP1350" i="1" s="1"/>
  <c r="K1350" i="1"/>
  <c r="M1358" i="1"/>
  <c r="AP1358" i="1" s="1"/>
  <c r="K1358" i="1"/>
  <c r="O1397" i="1"/>
  <c r="K1397" i="1"/>
  <c r="N1410" i="1"/>
  <c r="K1410" i="1"/>
  <c r="M1423" i="1"/>
  <c r="AP1423" i="1" s="1"/>
  <c r="K1423" i="1"/>
  <c r="O1471" i="1"/>
  <c r="K1471" i="1"/>
  <c r="N1487" i="1"/>
  <c r="K1487" i="1"/>
  <c r="M1546" i="1"/>
  <c r="AP1546" i="1" s="1"/>
  <c r="K1546" i="1"/>
  <c r="O2057" i="1"/>
  <c r="K2057" i="1"/>
  <c r="M1334" i="1"/>
  <c r="AP1334" i="1" s="1"/>
  <c r="K1334" i="1"/>
  <c r="M1345" i="1"/>
  <c r="AP1345" i="1" s="1"/>
  <c r="K1345" i="1"/>
  <c r="M1357" i="1"/>
  <c r="AP1357" i="1" s="1"/>
  <c r="K1357" i="1"/>
  <c r="O1375" i="1"/>
  <c r="K1375" i="1"/>
  <c r="M1388" i="1"/>
  <c r="AP1388" i="1" s="1"/>
  <c r="K1388" i="1"/>
  <c r="N1400" i="1"/>
  <c r="K1400" i="1"/>
  <c r="M1409" i="1"/>
  <c r="AP1409" i="1" s="1"/>
  <c r="K1409" i="1"/>
  <c r="N1426" i="1"/>
  <c r="K1426" i="1"/>
  <c r="N1434" i="1"/>
  <c r="K1434" i="1"/>
  <c r="M1550" i="1"/>
  <c r="AP1550" i="1" s="1"/>
  <c r="K1550" i="1"/>
  <c r="O1562" i="1"/>
  <c r="K1562" i="1"/>
  <c r="M1570" i="1"/>
  <c r="AP1570" i="1" s="1"/>
  <c r="K1570" i="1"/>
  <c r="O1579" i="1"/>
  <c r="K1579" i="1"/>
  <c r="M1591" i="1"/>
  <c r="AP1591" i="1" s="1"/>
  <c r="K1591" i="1"/>
  <c r="M1603" i="1"/>
  <c r="AP1603" i="1" s="1"/>
  <c r="K1603" i="1"/>
  <c r="O1615" i="1"/>
  <c r="K1615" i="1"/>
  <c r="O1627" i="1"/>
  <c r="K1627" i="1"/>
  <c r="N1667" i="1"/>
  <c r="K1667" i="1"/>
  <c r="N1679" i="1"/>
  <c r="K1679" i="1"/>
  <c r="O1687" i="1"/>
  <c r="K1687" i="1"/>
  <c r="N1699" i="1"/>
  <c r="K1699" i="1"/>
  <c r="O1709" i="1"/>
  <c r="K1709" i="1"/>
  <c r="O1721" i="1"/>
  <c r="K1721" i="1"/>
  <c r="O1736" i="1"/>
  <c r="K1736" i="1"/>
  <c r="O1748" i="1"/>
  <c r="K1748" i="1"/>
  <c r="O1756" i="1"/>
  <c r="K1756" i="1"/>
  <c r="N1776" i="1"/>
  <c r="K1776" i="1"/>
  <c r="N1793" i="1"/>
  <c r="K1793" i="1"/>
  <c r="O1809" i="1"/>
  <c r="K1809" i="1"/>
  <c r="N1824" i="1"/>
  <c r="K1824" i="1"/>
  <c r="O1837" i="1"/>
  <c r="K1837" i="1"/>
  <c r="O1851" i="1"/>
  <c r="K1851" i="1"/>
  <c r="O1860" i="1"/>
  <c r="K1860" i="1"/>
  <c r="O1879" i="1"/>
  <c r="K1879" i="1"/>
  <c r="N1887" i="1"/>
  <c r="K1887" i="1"/>
  <c r="N1900" i="1"/>
  <c r="K1900" i="1"/>
  <c r="O1912" i="1"/>
  <c r="K1912" i="1"/>
  <c r="O1933" i="1"/>
  <c r="K1933" i="1"/>
  <c r="O1951" i="1"/>
  <c r="K1951" i="1"/>
  <c r="O1961" i="1"/>
  <c r="K1961" i="1"/>
  <c r="O2000" i="1"/>
  <c r="K2000" i="1"/>
  <c r="O2029" i="1"/>
  <c r="K2029" i="1"/>
  <c r="O2042" i="1"/>
  <c r="K2042" i="1"/>
  <c r="O2056" i="1"/>
  <c r="K2056" i="1"/>
  <c r="O2075" i="1"/>
  <c r="K2075" i="1"/>
  <c r="O2087" i="1"/>
  <c r="K2087" i="1"/>
  <c r="O2099" i="1"/>
  <c r="K2099" i="1"/>
  <c r="O2111" i="1"/>
  <c r="K2111" i="1"/>
  <c r="O2123" i="1"/>
  <c r="K2123" i="1"/>
  <c r="O2136" i="1"/>
  <c r="K2136" i="1"/>
  <c r="O2149" i="1"/>
  <c r="K2149" i="1"/>
  <c r="O2161" i="1"/>
  <c r="K2161" i="1"/>
  <c r="O2169" i="1"/>
  <c r="K2169" i="1"/>
  <c r="O2182" i="1"/>
  <c r="K2182" i="1"/>
  <c r="O2207" i="1"/>
  <c r="K2207" i="1"/>
  <c r="O2215" i="1"/>
  <c r="K2215" i="1"/>
  <c r="M2405" i="1"/>
  <c r="AP2405" i="1" s="1"/>
  <c r="K2405" i="1"/>
  <c r="M2434" i="1"/>
  <c r="AP2434" i="1" s="1"/>
  <c r="K2434" i="1"/>
  <c r="M2449" i="1"/>
  <c r="AP2449" i="1" s="1"/>
  <c r="K2449" i="1"/>
  <c r="M2457" i="1"/>
  <c r="AP2457" i="1" s="1"/>
  <c r="K2457" i="1"/>
  <c r="M2473" i="1"/>
  <c r="AP2473" i="1" s="1"/>
  <c r="K2473" i="1"/>
  <c r="M2485" i="1"/>
  <c r="AP2485" i="1" s="1"/>
  <c r="K2485" i="1"/>
  <c r="M2493" i="1"/>
  <c r="AP2493" i="1" s="1"/>
  <c r="K2493" i="1"/>
  <c r="O1343" i="1"/>
  <c r="K1343" i="1"/>
  <c r="O1356" i="1"/>
  <c r="K1356" i="1"/>
  <c r="M1408" i="1"/>
  <c r="AP1408" i="1" s="1"/>
  <c r="K1408" i="1"/>
  <c r="M1421" i="1"/>
  <c r="AP1421" i="1" s="1"/>
  <c r="K1421" i="1"/>
  <c r="M1634" i="1"/>
  <c r="AP1634" i="1" s="1"/>
  <c r="K1634" i="1"/>
  <c r="M1650" i="1"/>
  <c r="AP1650" i="1" s="1"/>
  <c r="K1650" i="1"/>
  <c r="M1666" i="1"/>
  <c r="AP1666" i="1" s="1"/>
  <c r="K1666" i="1"/>
  <c r="M1682" i="1"/>
  <c r="AP1682" i="1" s="1"/>
  <c r="K1682" i="1"/>
  <c r="O1698" i="1"/>
  <c r="K1698" i="1"/>
  <c r="M1716" i="1"/>
  <c r="AP1716" i="1" s="1"/>
  <c r="K1716" i="1"/>
  <c r="N1755" i="1"/>
  <c r="K1755" i="1"/>
  <c r="M1832" i="1"/>
  <c r="AP1832" i="1" s="1"/>
  <c r="K1832" i="1"/>
  <c r="M1846" i="1"/>
  <c r="AP1846" i="1" s="1"/>
  <c r="K1846" i="1"/>
  <c r="O1899" i="1"/>
  <c r="K1899" i="1"/>
  <c r="M1907" i="1"/>
  <c r="AP1907" i="1" s="1"/>
  <c r="K1907" i="1"/>
  <c r="O1911" i="1"/>
  <c r="K1911" i="1"/>
  <c r="O1960" i="1"/>
  <c r="K1960" i="1"/>
  <c r="O1999" i="1"/>
  <c r="K1999" i="1"/>
  <c r="O2028" i="1"/>
  <c r="K2028" i="1"/>
  <c r="O2050" i="1"/>
  <c r="K2050" i="1"/>
  <c r="O2078" i="1"/>
  <c r="K2078" i="1"/>
  <c r="O2090" i="1"/>
  <c r="K2090" i="1"/>
  <c r="N1340" i="1"/>
  <c r="K1340" i="1"/>
  <c r="N1376" i="1"/>
  <c r="K1376" i="1"/>
  <c r="N1393" i="1"/>
  <c r="K1393" i="1"/>
  <c r="N1427" i="1"/>
  <c r="K1427" i="1"/>
  <c r="M1479" i="1"/>
  <c r="AP1479" i="1" s="1"/>
  <c r="K1479" i="1"/>
  <c r="M1510" i="1"/>
  <c r="AP1510" i="1" s="1"/>
  <c r="K1510" i="1"/>
  <c r="M1518" i="1"/>
  <c r="AP1518" i="1" s="1"/>
  <c r="K1518" i="1"/>
  <c r="N1537" i="1"/>
  <c r="K1537" i="1"/>
  <c r="M1551" i="1"/>
  <c r="AP1551" i="1" s="1"/>
  <c r="K1551" i="1"/>
  <c r="O1624" i="1"/>
  <c r="K1624" i="1"/>
  <c r="O1798" i="1"/>
  <c r="K1798" i="1"/>
  <c r="O1817" i="1"/>
  <c r="K1817" i="1"/>
  <c r="O1830" i="1"/>
  <c r="K1830" i="1"/>
  <c r="N1983" i="1"/>
  <c r="K1983" i="1"/>
  <c r="N2001" i="1"/>
  <c r="K2001" i="1"/>
  <c r="N2072" i="1"/>
  <c r="K2072" i="1"/>
  <c r="M2132" i="1"/>
  <c r="AP2132" i="1" s="1"/>
  <c r="K2132" i="1"/>
  <c r="M2418" i="1"/>
  <c r="AP2418" i="1" s="1"/>
  <c r="K2418" i="1"/>
  <c r="N1923" i="1"/>
  <c r="K1923" i="1"/>
  <c r="M1349" i="1"/>
  <c r="AP1349" i="1" s="1"/>
  <c r="K1349" i="1"/>
  <c r="O1361" i="1"/>
  <c r="K1361" i="1"/>
  <c r="O1370" i="1"/>
  <c r="K1370" i="1"/>
  <c r="M1383" i="1"/>
  <c r="AP1383" i="1" s="1"/>
  <c r="K1383" i="1"/>
  <c r="M1396" i="1"/>
  <c r="AP1396" i="1" s="1"/>
  <c r="K1396" i="1"/>
  <c r="M1413" i="1"/>
  <c r="AP1413" i="1" s="1"/>
  <c r="K1413" i="1"/>
  <c r="M1417" i="1"/>
  <c r="AP1417" i="1" s="1"/>
  <c r="K1417" i="1"/>
  <c r="O1430" i="1"/>
  <c r="K1430" i="1"/>
  <c r="M1536" i="1"/>
  <c r="AP1536" i="1" s="1"/>
  <c r="K1536" i="1"/>
  <c r="M1545" i="1"/>
  <c r="AP1545" i="1" s="1"/>
  <c r="K1545" i="1"/>
  <c r="O1558" i="1"/>
  <c r="K1558" i="1"/>
  <c r="O1566" i="1"/>
  <c r="K1566" i="1"/>
  <c r="O1583" i="1"/>
  <c r="K1583" i="1"/>
  <c r="O1595" i="1"/>
  <c r="K1595" i="1"/>
  <c r="M1607" i="1"/>
  <c r="AP1607" i="1" s="1"/>
  <c r="K1607" i="1"/>
  <c r="M1619" i="1"/>
  <c r="AP1619" i="1" s="1"/>
  <c r="K1619" i="1"/>
  <c r="O1631" i="1"/>
  <c r="K1631" i="1"/>
  <c r="O1639" i="1"/>
  <c r="K1639" i="1"/>
  <c r="O1651" i="1"/>
  <c r="K1651" i="1"/>
  <c r="O1663" i="1"/>
  <c r="K1663" i="1"/>
  <c r="O1671" i="1"/>
  <c r="K1671" i="1"/>
  <c r="O1695" i="1"/>
  <c r="K1695" i="1"/>
  <c r="O1713" i="1"/>
  <c r="K1713" i="1"/>
  <c r="O1725" i="1"/>
  <c r="K1725" i="1"/>
  <c r="O1740" i="1"/>
  <c r="K1740" i="1"/>
  <c r="N1752" i="1"/>
  <c r="K1752" i="1"/>
  <c r="O1765" i="1"/>
  <c r="K1765" i="1"/>
  <c r="O1780" i="1"/>
  <c r="K1780" i="1"/>
  <c r="N1788" i="1"/>
  <c r="K1788" i="1"/>
  <c r="O1801" i="1"/>
  <c r="K1801" i="1"/>
  <c r="O1816" i="1"/>
  <c r="K1816" i="1"/>
  <c r="O1841" i="1"/>
  <c r="K1841" i="1"/>
  <c r="O1855" i="1"/>
  <c r="K1855" i="1"/>
  <c r="O1868" i="1"/>
  <c r="K1868" i="1"/>
  <c r="O1891" i="1"/>
  <c r="K1891" i="1"/>
  <c r="N1904" i="1"/>
  <c r="K1904" i="1"/>
  <c r="N1919" i="1"/>
  <c r="K1919" i="1"/>
  <c r="O1937" i="1"/>
  <c r="K1937" i="1"/>
  <c r="O1945" i="1"/>
  <c r="K1945" i="1"/>
  <c r="O1966" i="1"/>
  <c r="K1966" i="1"/>
  <c r="O2008" i="1"/>
  <c r="K2008" i="1"/>
  <c r="O2018" i="1"/>
  <c r="K2018" i="1"/>
  <c r="O2037" i="1"/>
  <c r="K2037" i="1"/>
  <c r="O2052" i="1"/>
  <c r="K2052" i="1"/>
  <c r="O2079" i="1"/>
  <c r="K2079" i="1"/>
  <c r="O2091" i="1"/>
  <c r="K2091" i="1"/>
  <c r="O2103" i="1"/>
  <c r="K2103" i="1"/>
  <c r="O2115" i="1"/>
  <c r="K2115" i="1"/>
  <c r="O2127" i="1"/>
  <c r="K2127" i="1"/>
  <c r="O2140" i="1"/>
  <c r="K2140" i="1"/>
  <c r="O2153" i="1"/>
  <c r="K2153" i="1"/>
  <c r="O2165" i="1"/>
  <c r="K2165" i="1"/>
  <c r="O2173" i="1"/>
  <c r="K2173" i="1"/>
  <c r="O2186" i="1"/>
  <c r="K2186" i="1"/>
  <c r="O2199" i="1"/>
  <c r="K2199" i="1"/>
  <c r="O2211" i="1"/>
  <c r="K2211" i="1"/>
  <c r="O2219" i="1"/>
  <c r="K2219" i="1"/>
  <c r="M2409" i="1"/>
  <c r="AP2409" i="1" s="1"/>
  <c r="K2409" i="1"/>
  <c r="M2417" i="1"/>
  <c r="AP2417" i="1" s="1"/>
  <c r="K2417" i="1"/>
  <c r="M2429" i="1"/>
  <c r="AP2429" i="1" s="1"/>
  <c r="K2429" i="1"/>
  <c r="M2468" i="1"/>
  <c r="AP2468" i="1" s="1"/>
  <c r="K2468" i="1"/>
  <c r="M2481" i="1"/>
  <c r="AP2481" i="1" s="1"/>
  <c r="K2481" i="1"/>
  <c r="O1387" i="1"/>
  <c r="K1387" i="1"/>
  <c r="M1437" i="1"/>
  <c r="AP1437" i="1" s="1"/>
  <c r="K1437" i="1"/>
  <c r="O1638" i="1"/>
  <c r="K1638" i="1"/>
  <c r="O1654" i="1"/>
  <c r="K1654" i="1"/>
  <c r="O1670" i="1"/>
  <c r="K1670" i="1"/>
  <c r="N1702" i="1"/>
  <c r="K1702" i="1"/>
  <c r="M1739" i="1"/>
  <c r="AP1739" i="1" s="1"/>
  <c r="K1739" i="1"/>
  <c r="O1743" i="1"/>
  <c r="K1743" i="1"/>
  <c r="O1751" i="1"/>
  <c r="K1751" i="1"/>
  <c r="N1775" i="1"/>
  <c r="K1775" i="1"/>
  <c r="O1779" i="1"/>
  <c r="K1779" i="1"/>
  <c r="O1787" i="1"/>
  <c r="K1787" i="1"/>
  <c r="M1796" i="1"/>
  <c r="AP1796" i="1" s="1"/>
  <c r="K1796" i="1"/>
  <c r="O1800" i="1"/>
  <c r="K1800" i="1"/>
  <c r="N1808" i="1"/>
  <c r="K1808" i="1"/>
  <c r="M1867" i="1"/>
  <c r="AP1867" i="1" s="1"/>
  <c r="K1867" i="1"/>
  <c r="O1878" i="1"/>
  <c r="K1878" i="1"/>
  <c r="N1886" i="1"/>
  <c r="K1886" i="1"/>
  <c r="O1890" i="1"/>
  <c r="K1890" i="1"/>
  <c r="N1922" i="1"/>
  <c r="K1922" i="1"/>
  <c r="O1954" i="1"/>
  <c r="K1954" i="1"/>
  <c r="O1973" i="1"/>
  <c r="K1973" i="1"/>
  <c r="O1981" i="1"/>
  <c r="K1981" i="1"/>
  <c r="O2059" i="1"/>
  <c r="K2059" i="1"/>
  <c r="O2086" i="1"/>
  <c r="K2086" i="1"/>
  <c r="O2094" i="1"/>
  <c r="K2094" i="1"/>
  <c r="O2106" i="1"/>
  <c r="K2106" i="1"/>
  <c r="O2177" i="1"/>
  <c r="K2177" i="1"/>
  <c r="O2198" i="1"/>
  <c r="K2198" i="1"/>
  <c r="O2202" i="1"/>
  <c r="K2202" i="1"/>
  <c r="M2416" i="1"/>
  <c r="AP2416" i="1" s="1"/>
  <c r="K2416" i="1"/>
  <c r="M2433" i="1"/>
  <c r="AP2433" i="1" s="1"/>
  <c r="AQ2433" i="1" s="1"/>
  <c r="K2433" i="1"/>
  <c r="M2448" i="1"/>
  <c r="AP2448" i="1" s="1"/>
  <c r="K2448" i="1"/>
  <c r="M2467" i="1"/>
  <c r="AP2467" i="1" s="1"/>
  <c r="K2467" i="1"/>
  <c r="M2476" i="1"/>
  <c r="AP2476" i="1" s="1"/>
  <c r="K2476" i="1"/>
  <c r="N1394" i="1"/>
  <c r="K1394" i="1"/>
  <c r="N1528" i="1"/>
  <c r="K1528" i="1"/>
  <c r="O2006" i="1"/>
  <c r="K2006" i="1"/>
  <c r="N2058" i="1"/>
  <c r="K2058" i="1"/>
  <c r="N2073" i="1"/>
  <c r="K2073" i="1"/>
  <c r="N2138" i="1"/>
  <c r="K2138" i="1"/>
  <c r="O2147" i="1"/>
  <c r="K2147" i="1"/>
  <c r="O2159" i="1"/>
  <c r="K2159" i="1"/>
  <c r="O2171" i="1"/>
  <c r="K2171" i="1"/>
  <c r="N2188" i="1"/>
  <c r="K2188" i="1"/>
  <c r="M2447" i="1"/>
  <c r="AP2447" i="1" s="1"/>
  <c r="AQ2447" i="1" s="1"/>
  <c r="K2447" i="1"/>
  <c r="M2462" i="1"/>
  <c r="AP2462" i="1" s="1"/>
  <c r="K2462" i="1"/>
  <c r="E95" i="2"/>
  <c r="E16" i="2" s="1"/>
  <c r="C95" i="2"/>
  <c r="C16" i="2" s="1"/>
  <c r="D95" i="2"/>
  <c r="D16" i="2" s="1"/>
  <c r="H26" i="11" s="1"/>
  <c r="C89" i="2"/>
  <c r="C15" i="2" s="1"/>
  <c r="E83" i="2"/>
  <c r="E14" i="2" s="1"/>
  <c r="D83" i="2"/>
  <c r="D14" i="2" s="1"/>
  <c r="P366" i="17"/>
  <c r="P782" i="17"/>
  <c r="P700" i="17"/>
  <c r="P451" i="17"/>
  <c r="P454" i="17"/>
  <c r="P453" i="17"/>
  <c r="P452" i="17"/>
  <c r="P978" i="17"/>
  <c r="P362" i="17"/>
  <c r="P401" i="17"/>
  <c r="P480" i="17"/>
  <c r="N1841" i="1"/>
  <c r="O1847" i="1"/>
  <c r="N1864" i="1"/>
  <c r="O1904" i="1"/>
  <c r="N1926" i="1"/>
  <c r="P857" i="17"/>
  <c r="O1683" i="1"/>
  <c r="M1566" i="1"/>
  <c r="AP1566" i="1" s="1"/>
  <c r="O1570" i="1"/>
  <c r="M1583" i="1"/>
  <c r="AP1583" i="1" s="1"/>
  <c r="O1587" i="1"/>
  <c r="O1607" i="1"/>
  <c r="M1611" i="1"/>
  <c r="AP1611" i="1" s="1"/>
  <c r="O1623" i="1"/>
  <c r="M1627" i="1"/>
  <c r="AP1627" i="1" s="1"/>
  <c r="N1765" i="1"/>
  <c r="O1776" i="1"/>
  <c r="O1788" i="1"/>
  <c r="O1828" i="1"/>
  <c r="O1339" i="1"/>
  <c r="M1370" i="1"/>
  <c r="AP1370" i="1" s="1"/>
  <c r="O1383" i="1"/>
  <c r="M1558" i="1"/>
  <c r="AP1558" i="1" s="1"/>
  <c r="M1595" i="1"/>
  <c r="AP1595" i="1" s="1"/>
  <c r="O1599" i="1"/>
  <c r="N1663" i="1"/>
  <c r="N1713" i="1"/>
  <c r="O1717" i="1"/>
  <c r="N1736" i="1"/>
  <c r="O1793" i="1"/>
  <c r="N1809" i="1"/>
  <c r="O1824" i="1"/>
  <c r="N1860" i="1"/>
  <c r="N1883" i="1"/>
  <c r="O1887" i="1"/>
  <c r="O1900" i="1"/>
  <c r="O1926" i="1"/>
  <c r="O1392" i="1"/>
  <c r="O1396" i="1"/>
  <c r="M1400" i="1"/>
  <c r="AP1400" i="1" s="1"/>
  <c r="M1404" i="1"/>
  <c r="AP1404" i="1" s="1"/>
  <c r="O1409" i="1"/>
  <c r="O1417" i="1"/>
  <c r="M1434" i="1"/>
  <c r="AP1434" i="1" s="1"/>
  <c r="M1438" i="1"/>
  <c r="AP1438" i="1" s="1"/>
  <c r="M1375" i="1"/>
  <c r="AP1375" i="1" s="1"/>
  <c r="O1379" i="1"/>
  <c r="O1388" i="1"/>
  <c r="N1409" i="1"/>
  <c r="O1413" i="1"/>
  <c r="N1417" i="1"/>
  <c r="O1422" i="1"/>
  <c r="M1426" i="1"/>
  <c r="AP1426" i="1" s="1"/>
  <c r="M1430" i="1"/>
  <c r="AP1430" i="1" s="1"/>
  <c r="M1562" i="1"/>
  <c r="AP1562" i="1" s="1"/>
  <c r="O1575" i="1"/>
  <c r="M1579" i="1"/>
  <c r="AP1579" i="1" s="1"/>
  <c r="O1603" i="1"/>
  <c r="M1615" i="1"/>
  <c r="AP1615" i="1" s="1"/>
  <c r="O1619" i="1"/>
  <c r="N1631" i="1"/>
  <c r="O1635" i="1"/>
  <c r="O1647" i="1"/>
  <c r="N1651" i="1"/>
  <c r="O1679" i="1"/>
  <c r="N1695" i="1"/>
  <c r="O1699" i="1"/>
  <c r="N1729" i="1"/>
  <c r="N1748" i="1"/>
  <c r="O1752" i="1"/>
  <c r="O1349" i="1"/>
  <c r="M1353" i="1"/>
  <c r="AP1353" i="1" s="1"/>
  <c r="O1357" i="1"/>
  <c r="M1361" i="1"/>
  <c r="AP1361" i="1" s="1"/>
  <c r="O1334" i="1"/>
  <c r="O1345" i="1"/>
  <c r="M1365" i="1"/>
  <c r="AP1365" i="1" s="1"/>
  <c r="O1400" i="1"/>
  <c r="O1426" i="1"/>
  <c r="O1434" i="1"/>
  <c r="P972" i="17"/>
  <c r="P925" i="17"/>
  <c r="W7" i="1"/>
  <c r="AA7" i="1"/>
  <c r="P642" i="17"/>
  <c r="P656" i="17"/>
  <c r="P658" i="17"/>
  <c r="P620" i="17"/>
  <c r="P835" i="17"/>
  <c r="P371" i="17"/>
  <c r="P373" i="17"/>
  <c r="P379" i="17"/>
  <c r="P383" i="17"/>
  <c r="P385" i="17"/>
  <c r="P387" i="17"/>
  <c r="P126" i="17"/>
  <c r="P127" i="17"/>
  <c r="P926" i="17"/>
  <c r="P280" i="17"/>
  <c r="P281" i="17"/>
  <c r="P397" i="17"/>
  <c r="P838" i="17"/>
  <c r="P839" i="17"/>
  <c r="P841" i="17"/>
  <c r="P843" i="17"/>
  <c r="P594" i="17"/>
  <c r="P539" i="17"/>
  <c r="P541" i="17"/>
  <c r="P542" i="17"/>
  <c r="P784" i="17"/>
  <c r="P789" i="17"/>
  <c r="P702" i="17"/>
  <c r="P942" i="17"/>
  <c r="P329" i="17"/>
  <c r="P943" i="17"/>
  <c r="P228" i="17"/>
  <c r="P337" i="17"/>
  <c r="P339" i="17" s="1"/>
  <c r="P265" i="17"/>
  <c r="P563" i="17"/>
  <c r="P961" i="17"/>
  <c r="P550" i="17"/>
  <c r="P825" i="17"/>
  <c r="P579" i="17"/>
  <c r="P651" i="17"/>
  <c r="P564" i="17"/>
  <c r="P762" i="17"/>
  <c r="P769" i="17"/>
  <c r="P552" i="17"/>
  <c r="P554" i="17"/>
  <c r="P201" i="17"/>
  <c r="P748" i="17"/>
  <c r="P881" i="17"/>
  <c r="P35" i="17"/>
  <c r="P37" i="17"/>
  <c r="P41" i="17"/>
  <c r="P43" i="17"/>
  <c r="P45" i="17"/>
  <c r="P49" i="17"/>
  <c r="P51" i="17"/>
  <c r="P53" i="17"/>
  <c r="P55" i="17"/>
  <c r="P59" i="17"/>
  <c r="P61" i="17"/>
  <c r="P63" i="17"/>
  <c r="P65" i="17"/>
  <c r="P67" i="17"/>
  <c r="P69" i="17"/>
  <c r="P71" i="17"/>
  <c r="P73" i="17"/>
  <c r="P75" i="17"/>
  <c r="P77" i="17"/>
  <c r="P81" i="17"/>
  <c r="P83" i="17"/>
  <c r="P85" i="17"/>
  <c r="P87" i="17"/>
  <c r="P89" i="17"/>
  <c r="P91" i="17"/>
  <c r="P93" i="17"/>
  <c r="P96" i="17"/>
  <c r="P100" i="17"/>
  <c r="P846" i="17"/>
  <c r="P355" i="17"/>
  <c r="P357" i="17" s="1"/>
  <c r="P817" i="17"/>
  <c r="P346" i="17"/>
  <c r="P810" i="17"/>
  <c r="P814" i="17" s="1"/>
  <c r="P257" i="17"/>
  <c r="P259" i="17" s="1"/>
  <c r="P403" i="17"/>
  <c r="P188" i="17"/>
  <c r="P405" i="17"/>
  <c r="P407" i="17"/>
  <c r="P409" i="17"/>
  <c r="P134" i="17"/>
  <c r="P135" i="17"/>
  <c r="P875" i="17"/>
  <c r="P456" i="17"/>
  <c r="P458" i="17"/>
  <c r="P232" i="17"/>
  <c r="P11" i="17"/>
  <c r="P420" i="17"/>
  <c r="P422" i="17"/>
  <c r="P424" i="17"/>
  <c r="P136" i="17"/>
  <c r="P234" i="17"/>
  <c r="P137" i="17"/>
  <c r="P426" i="17"/>
  <c r="P235" i="17"/>
  <c r="P462" i="17"/>
  <c r="P463" i="17"/>
  <c r="P12" i="17"/>
  <c r="P236" i="17"/>
  <c r="P427" i="17"/>
  <c r="P13" i="17"/>
  <c r="P435" i="17"/>
  <c r="P288" i="17"/>
  <c r="P527" i="17"/>
  <c r="P631" i="17"/>
  <c r="P501" i="17"/>
  <c r="P436" i="17"/>
  <c r="P290" i="17"/>
  <c r="P632" i="17"/>
  <c r="P502" i="17"/>
  <c r="P532" i="17"/>
  <c r="P175" i="17"/>
  <c r="P238" i="17"/>
  <c r="P159" i="17"/>
  <c r="P106" i="17"/>
  <c r="P751" i="17"/>
  <c r="P796" i="17"/>
  <c r="P882" i="17"/>
  <c r="P963" i="17"/>
  <c r="P138" i="17"/>
  <c r="P763" i="17"/>
  <c r="P517" i="17"/>
  <c r="P556" i="17"/>
  <c r="P979" i="17"/>
  <c r="P828" i="17"/>
  <c r="P316" i="17"/>
  <c r="P182" i="17"/>
  <c r="P239" i="17"/>
  <c r="P161" i="17"/>
  <c r="P752" i="17"/>
  <c r="P798" i="17"/>
  <c r="P965" i="17"/>
  <c r="P207" i="17"/>
  <c r="P162" i="17"/>
  <c r="P568" i="17"/>
  <c r="P966" i="17"/>
  <c r="P688" i="17"/>
  <c r="P690" i="17"/>
  <c r="P851" i="17"/>
  <c r="P853" i="17"/>
  <c r="P984" i="17"/>
  <c r="P985" i="17"/>
  <c r="P318" i="17"/>
  <c r="P988" i="17"/>
  <c r="P321" i="17"/>
  <c r="P466" i="17"/>
  <c r="P470" i="17"/>
  <c r="P474" i="17"/>
  <c r="P478" i="17"/>
  <c r="P349" i="17"/>
  <c r="P991" i="17"/>
  <c r="P322" i="17"/>
  <c r="P350" i="17"/>
  <c r="P993" i="17"/>
  <c r="P772" i="17"/>
  <c r="P482" i="17"/>
  <c r="P484" i="17"/>
  <c r="P485" i="17"/>
  <c r="P487" i="17"/>
  <c r="P489" i="17"/>
  <c r="P490" i="17"/>
  <c r="P111" i="17"/>
  <c r="P724" i="17"/>
  <c r="P274" i="17"/>
  <c r="P277" i="17" s="1"/>
  <c r="P967" i="17"/>
  <c r="P597" i="17"/>
  <c r="P145" i="17"/>
  <c r="P223" i="17"/>
  <c r="P441" i="17"/>
  <c r="P741" i="17"/>
  <c r="P944" i="17"/>
  <c r="P247" i="17"/>
  <c r="P742" i="17"/>
  <c r="P727" i="17"/>
  <c r="P859" i="17"/>
  <c r="P861" i="17"/>
  <c r="P863" i="17"/>
  <c r="P865" i="17"/>
  <c r="P867" i="17"/>
  <c r="P372" i="17"/>
  <c r="P375" i="17"/>
  <c r="P376" i="17"/>
  <c r="P378" i="17"/>
  <c r="P380" i="17"/>
  <c r="P382" i="17"/>
  <c r="P384" i="17"/>
  <c r="P386" i="17"/>
  <c r="P388" i="17"/>
  <c r="P973" i="17"/>
  <c r="P128" i="17"/>
  <c r="P390" i="17"/>
  <c r="P837" i="17"/>
  <c r="P840" i="17"/>
  <c r="P842" i="17"/>
  <c r="P844" i="17"/>
  <c r="P733" i="17"/>
  <c r="P540" i="17"/>
  <c r="P783" i="17"/>
  <c r="P737" i="17"/>
  <c r="P649" i="17"/>
  <c r="P544" i="17"/>
  <c r="P790" i="17"/>
  <c r="P957" i="17"/>
  <c r="P931" i="17"/>
  <c r="P709" i="17"/>
  <c r="P932" i="17"/>
  <c r="P229" i="17"/>
  <c r="P130" i="17"/>
  <c r="P132" i="17"/>
  <c r="P304" i="17"/>
  <c r="P309" i="17"/>
  <c r="P680" i="17"/>
  <c r="P152" i="17"/>
  <c r="P714" i="17"/>
  <c r="P514" i="17"/>
  <c r="P583" i="17"/>
  <c r="P900" i="17"/>
  <c r="P584" i="17"/>
  <c r="P194" i="17"/>
  <c r="P547" i="17"/>
  <c r="P682" i="17"/>
  <c r="P826" i="17"/>
  <c r="P154" i="17"/>
  <c r="P715" i="17"/>
  <c r="P962" i="17"/>
  <c r="P331" i="17"/>
  <c r="P551" i="17"/>
  <c r="P553" i="17"/>
  <c r="P203" i="17"/>
  <c r="P133" i="17"/>
  <c r="P32" i="17"/>
  <c r="P34" i="17"/>
  <c r="P36" i="17"/>
  <c r="P38" i="17"/>
  <c r="P40" i="17"/>
  <c r="P42" i="17"/>
  <c r="P44" i="17"/>
  <c r="P46" i="17"/>
  <c r="P48" i="17"/>
  <c r="P50" i="17"/>
  <c r="P54" i="17"/>
  <c r="P56" i="17"/>
  <c r="P58" i="17"/>
  <c r="P60" i="17"/>
  <c r="P62" i="17"/>
  <c r="P64" i="17"/>
  <c r="P66" i="17"/>
  <c r="P70" i="17"/>
  <c r="P72" i="17"/>
  <c r="P74" i="17"/>
  <c r="P76" i="17"/>
  <c r="P78" i="17"/>
  <c r="P80" i="17"/>
  <c r="P82" i="17"/>
  <c r="P84" i="17"/>
  <c r="P86" i="17"/>
  <c r="P88" i="17"/>
  <c r="P90" i="17"/>
  <c r="P92" i="17"/>
  <c r="P94" i="17"/>
  <c r="P95" i="17"/>
  <c r="P97" i="17"/>
  <c r="P99" i="17"/>
  <c r="P847" i="17"/>
  <c r="P975" i="17"/>
  <c r="P818" i="17"/>
  <c r="P624" i="17"/>
  <c r="P625" i="17"/>
  <c r="P404" i="17"/>
  <c r="P406" i="17"/>
  <c r="P408" i="17"/>
  <c r="P410" i="17"/>
  <c r="P101" i="17"/>
  <c r="P230" i="17"/>
  <c r="P231" i="17"/>
  <c r="P411" i="17"/>
  <c r="P874" i="17"/>
  <c r="P457" i="17"/>
  <c r="P459" i="17"/>
  <c r="P10" i="17"/>
  <c r="P412" i="17"/>
  <c r="P233" i="17"/>
  <c r="P415" i="17"/>
  <c r="P419" i="17"/>
  <c r="P421" i="17"/>
  <c r="P423" i="17"/>
  <c r="P425" i="17"/>
  <c r="P103" i="17"/>
  <c r="P461" i="17"/>
  <c r="P464" i="17"/>
  <c r="P237" i="17"/>
  <c r="P429" i="17"/>
  <c r="P630" i="17"/>
  <c r="P500" i="17"/>
  <c r="P289" i="17"/>
  <c r="P528" i="17"/>
  <c r="P531" i="17"/>
  <c r="P291" i="17"/>
  <c r="P633" i="17"/>
  <c r="P503" i="17"/>
  <c r="P181" i="17"/>
  <c r="P204" i="17"/>
  <c r="P516" i="17"/>
  <c r="P555" i="17"/>
  <c r="P565" i="17"/>
  <c r="P903" i="17"/>
  <c r="P205" i="17"/>
  <c r="P160" i="17"/>
  <c r="P566" i="17"/>
  <c r="P964" i="17"/>
  <c r="P176" i="17"/>
  <c r="P206" i="17"/>
  <c r="P107" i="17"/>
  <c r="P518" i="17"/>
  <c r="P557" i="17"/>
  <c r="P567" i="17"/>
  <c r="P906" i="17"/>
  <c r="P883" i="17"/>
  <c r="P139" i="17"/>
  <c r="P764" i="17"/>
  <c r="P519" i="17"/>
  <c r="P558" i="17"/>
  <c r="P830" i="17"/>
  <c r="P317" i="17"/>
  <c r="P689" i="17"/>
  <c r="P691" i="17"/>
  <c r="P437" i="17"/>
  <c r="P438" i="17"/>
  <c r="P439" i="17"/>
  <c r="P440" i="17"/>
  <c r="P850" i="17"/>
  <c r="P852" i="17"/>
  <c r="P140" i="17"/>
  <c r="P894" i="17"/>
  <c r="P141" i="17"/>
  <c r="P142" i="17"/>
  <c r="P895" i="17"/>
  <c r="P143" i="17"/>
  <c r="P347" i="17"/>
  <c r="P986" i="17"/>
  <c r="P572" i="17"/>
  <c r="P575" i="17" s="1"/>
  <c r="P465" i="17"/>
  <c r="P348" i="17"/>
  <c r="P771" i="17"/>
  <c r="P469" i="17"/>
  <c r="P471" i="17"/>
  <c r="P472" i="17"/>
  <c r="P477" i="17"/>
  <c r="P479" i="17"/>
  <c r="P990" i="17"/>
  <c r="P110" i="17"/>
  <c r="P994" i="17"/>
  <c r="P323" i="17"/>
  <c r="P483" i="17"/>
  <c r="P486" i="17"/>
  <c r="P488" i="17"/>
  <c r="P491" i="17"/>
  <c r="P144" i="17"/>
  <c r="P244" i="17"/>
  <c r="P589" i="17"/>
  <c r="P112" i="17"/>
  <c r="P740" i="17"/>
  <c r="P725" i="17"/>
  <c r="P803" i="17"/>
  <c r="P246" i="17"/>
  <c r="P726" i="17"/>
  <c r="P114" i="17"/>
  <c r="P146" i="17"/>
  <c r="P968" i="17"/>
  <c r="P598" i="17"/>
  <c r="P590" i="17"/>
  <c r="P115" i="17"/>
  <c r="P147" i="17"/>
  <c r="P224" i="17"/>
  <c r="P442" i="17"/>
  <c r="P743" i="17"/>
  <c r="P805" i="17"/>
  <c r="P248" i="17"/>
  <c r="P860" i="17"/>
  <c r="P862" i="17"/>
  <c r="P864" i="17"/>
  <c r="P866" i="17"/>
  <c r="P868" i="17"/>
  <c r="Q10" i="1"/>
  <c r="T10" i="1"/>
  <c r="W10" i="1" s="1"/>
  <c r="J1332" i="1"/>
  <c r="J1336" i="1"/>
  <c r="J1341" i="1"/>
  <c r="J1347" i="1"/>
  <c r="J1351" i="1"/>
  <c r="J1355" i="1"/>
  <c r="J1359" i="1"/>
  <c r="J1363" i="1"/>
  <c r="J1368" i="1"/>
  <c r="J1373" i="1"/>
  <c r="O1329" i="1"/>
  <c r="O1324" i="1"/>
  <c r="O1323" i="1"/>
  <c r="O1327" i="1"/>
  <c r="O1331" i="1"/>
  <c r="J1335" i="1"/>
  <c r="J1340" i="1"/>
  <c r="J1346" i="1"/>
  <c r="J1350" i="1"/>
  <c r="J1354" i="1"/>
  <c r="J1358" i="1"/>
  <c r="O1325" i="1"/>
  <c r="O1328" i="1"/>
  <c r="O1322" i="1"/>
  <c r="O1326" i="1"/>
  <c r="O1330" i="1"/>
  <c r="J1334" i="1"/>
  <c r="J1339" i="1"/>
  <c r="J1345" i="1"/>
  <c r="J1349" i="1"/>
  <c r="J1353" i="1"/>
  <c r="J1357" i="1"/>
  <c r="J1333" i="1"/>
  <c r="J1338" i="1"/>
  <c r="J1343" i="1"/>
  <c r="J1348" i="1"/>
  <c r="J1352" i="1"/>
  <c r="J1356" i="1"/>
  <c r="J1360" i="1"/>
  <c r="J1364" i="1"/>
  <c r="J1369" i="1"/>
  <c r="J1377" i="1"/>
  <c r="J1381" i="1"/>
  <c r="J1386" i="1"/>
  <c r="J1390" i="1"/>
  <c r="J1394" i="1"/>
  <c r="J1398" i="1"/>
  <c r="J1402" i="1"/>
  <c r="J1407" i="1"/>
  <c r="J1411" i="1"/>
  <c r="J1415" i="1"/>
  <c r="J1420" i="1"/>
  <c r="J1424" i="1"/>
  <c r="J1428" i="1"/>
  <c r="J1432" i="1"/>
  <c r="J1436" i="1"/>
  <c r="J1440" i="1"/>
  <c r="J1444" i="1"/>
  <c r="J1448" i="1"/>
  <c r="J1452" i="1"/>
  <c r="J1456" i="1"/>
  <c r="J1460" i="1"/>
  <c r="J1464" i="1"/>
  <c r="J1468" i="1"/>
  <c r="J1472" i="1"/>
  <c r="J1476" i="1"/>
  <c r="J1480" i="1"/>
  <c r="J1484" i="1"/>
  <c r="J1488" i="1"/>
  <c r="J1492" i="1"/>
  <c r="J1497" i="1"/>
  <c r="J1501" i="1"/>
  <c r="J1507" i="1"/>
  <c r="J1511" i="1"/>
  <c r="J1515" i="1"/>
  <c r="J1519" i="1"/>
  <c r="J1523" i="1"/>
  <c r="J1528" i="1"/>
  <c r="J1534" i="1"/>
  <c r="J1538" i="1"/>
  <c r="J1543" i="1"/>
  <c r="J1548" i="1"/>
  <c r="J1552" i="1"/>
  <c r="J1556" i="1"/>
  <c r="J1560" i="1"/>
  <c r="J1564" i="1"/>
  <c r="J1568" i="1"/>
  <c r="J1572" i="1"/>
  <c r="J1577" i="1"/>
  <c r="J1581" i="1"/>
  <c r="J1585" i="1"/>
  <c r="J1589" i="1"/>
  <c r="J1593" i="1"/>
  <c r="J1597" i="1"/>
  <c r="J1601" i="1"/>
  <c r="J1605" i="1"/>
  <c r="J1609" i="1"/>
  <c r="J1613" i="1"/>
  <c r="J1617" i="1"/>
  <c r="O1621" i="1"/>
  <c r="J1625" i="1"/>
  <c r="J1629" i="1"/>
  <c r="J1633" i="1"/>
  <c r="J1637" i="1"/>
  <c r="J1641" i="1"/>
  <c r="J1645" i="1"/>
  <c r="J1649" i="1"/>
  <c r="J1653" i="1"/>
  <c r="J1657" i="1"/>
  <c r="J1661" i="1"/>
  <c r="J1665" i="1"/>
  <c r="J1669" i="1"/>
  <c r="J1673" i="1"/>
  <c r="J1677" i="1"/>
  <c r="J1681" i="1"/>
  <c r="J1685" i="1"/>
  <c r="J1689" i="1"/>
  <c r="J1693" i="1"/>
  <c r="J1697" i="1"/>
  <c r="J1701" i="1"/>
  <c r="J1707" i="1"/>
  <c r="J1711" i="1"/>
  <c r="J1715" i="1"/>
  <c r="J1719" i="1"/>
  <c r="J1723" i="1"/>
  <c r="J1738" i="1"/>
  <c r="J1746" i="1"/>
  <c r="J1750" i="1"/>
  <c r="J1754" i="1"/>
  <c r="J1758" i="1"/>
  <c r="J1762" i="1"/>
  <c r="J1774" i="1"/>
  <c r="J1778" i="1"/>
  <c r="J1782" i="1"/>
  <c r="J1786" i="1"/>
  <c r="J1799" i="1"/>
  <c r="J1803" i="1"/>
  <c r="J1811" i="1"/>
  <c r="J1818" i="1"/>
  <c r="J1822" i="1"/>
  <c r="J1826" i="1"/>
  <c r="J1831" i="1"/>
  <c r="J1845" i="1"/>
  <c r="J1853" i="1"/>
  <c r="J1857" i="1"/>
  <c r="J1862" i="1"/>
  <c r="J1866" i="1"/>
  <c r="J1877" i="1"/>
  <c r="J1881" i="1"/>
  <c r="J1885" i="1"/>
  <c r="J1893" i="1"/>
  <c r="J1898" i="1"/>
  <c r="J1902" i="1"/>
  <c r="J1906" i="1"/>
  <c r="J1910" i="1"/>
  <c r="J1921" i="1"/>
  <c r="J1931" i="1"/>
  <c r="J1935" i="1"/>
  <c r="J1939" i="1"/>
  <c r="J1943" i="1"/>
  <c r="J1949" i="1"/>
  <c r="J1953" i="1"/>
  <c r="J1957" i="1"/>
  <c r="J1963" i="1"/>
  <c r="J1968" i="1"/>
  <c r="J1976" i="1"/>
  <c r="J1980" i="1"/>
  <c r="J1984" i="1"/>
  <c r="J1992" i="1"/>
  <c r="J1997" i="1"/>
  <c r="J2006" i="1"/>
  <c r="J2010" i="1"/>
  <c r="O2016" i="1"/>
  <c r="J2027" i="1"/>
  <c r="J2031" i="1"/>
  <c r="J2035" i="1"/>
  <c r="J2039" i="1"/>
  <c r="J2045" i="1"/>
  <c r="J2049" i="1"/>
  <c r="J2054" i="1"/>
  <c r="J2058" i="1"/>
  <c r="J2073" i="1"/>
  <c r="J2077" i="1"/>
  <c r="J2081" i="1"/>
  <c r="J2085" i="1"/>
  <c r="J2089" i="1"/>
  <c r="J2093" i="1"/>
  <c r="J2097" i="1"/>
  <c r="J2101" i="1"/>
  <c r="O2105" i="1"/>
  <c r="J2109" i="1"/>
  <c r="J2113" i="1"/>
  <c r="J2117" i="1"/>
  <c r="O2121" i="1"/>
  <c r="J2125" i="1"/>
  <c r="J2129" i="1"/>
  <c r="J2133" i="1"/>
  <c r="J2138" i="1"/>
  <c r="J2142" i="1"/>
  <c r="J2147" i="1"/>
  <c r="J2155" i="1"/>
  <c r="J2159" i="1"/>
  <c r="J2163" i="1"/>
  <c r="J2167" i="1"/>
  <c r="J2171" i="1"/>
  <c r="J2175" i="1"/>
  <c r="J2180" i="1"/>
  <c r="J2184" i="1"/>
  <c r="J2188" i="1"/>
  <c r="J2192" i="1"/>
  <c r="O2197" i="1"/>
  <c r="N2201" i="1"/>
  <c r="J2205" i="1"/>
  <c r="J2209" i="1"/>
  <c r="J2213" i="1"/>
  <c r="J2217" i="1"/>
  <c r="J2221" i="1"/>
  <c r="J2225" i="1"/>
  <c r="J2229" i="1"/>
  <c r="J2233" i="1"/>
  <c r="J2237" i="1"/>
  <c r="J2241" i="1"/>
  <c r="J2245" i="1"/>
  <c r="J2249" i="1"/>
  <c r="J2253" i="1"/>
  <c r="J2257" i="1"/>
  <c r="J2263" i="1"/>
  <c r="J2267" i="1"/>
  <c r="J2271" i="1"/>
  <c r="J2275" i="1"/>
  <c r="J2283" i="1"/>
  <c r="J2287" i="1"/>
  <c r="J2291" i="1"/>
  <c r="J2300" i="1"/>
  <c r="J2304" i="1"/>
  <c r="J2308" i="1"/>
  <c r="J2312" i="1"/>
  <c r="J2316" i="1"/>
  <c r="J2320" i="1"/>
  <c r="J2325" i="1"/>
  <c r="J2329" i="1"/>
  <c r="J2333" i="1"/>
  <c r="J2337" i="1"/>
  <c r="J2341" i="1"/>
  <c r="J2347" i="1"/>
  <c r="J2351" i="1"/>
  <c r="J2355" i="1"/>
  <c r="J2359" i="1"/>
  <c r="J2363" i="1"/>
  <c r="J2367" i="1"/>
  <c r="J2371" i="1"/>
  <c r="J2375" i="1"/>
  <c r="J2379" i="1"/>
  <c r="J2386" i="1"/>
  <c r="J2390" i="1"/>
  <c r="J2394" i="1"/>
  <c r="J2399" i="1"/>
  <c r="J2403" i="1"/>
  <c r="J2407" i="1"/>
  <c r="J2411" i="1"/>
  <c r="M2415" i="1"/>
  <c r="AP2415" i="1" s="1"/>
  <c r="M2419" i="1"/>
  <c r="AP2419" i="1" s="1"/>
  <c r="J2423" i="1"/>
  <c r="J2427" i="1"/>
  <c r="J2431" i="1"/>
  <c r="J2436" i="1"/>
  <c r="J2442" i="1"/>
  <c r="J2447" i="1"/>
  <c r="AR2447" i="1" s="1"/>
  <c r="J2451" i="1"/>
  <c r="J2455" i="1"/>
  <c r="J2462" i="1"/>
  <c r="J2466" i="1"/>
  <c r="J2470" i="1"/>
  <c r="J2475" i="1"/>
  <c r="J2479" i="1"/>
  <c r="J2483" i="1"/>
  <c r="J2487" i="1"/>
  <c r="J2491" i="1"/>
  <c r="J1924" i="1"/>
  <c r="J1928" i="1"/>
  <c r="J1362" i="1"/>
  <c r="J1367" i="1"/>
  <c r="J1372" i="1"/>
  <c r="J1376" i="1"/>
  <c r="J1380" i="1"/>
  <c r="J1385" i="1"/>
  <c r="J1389" i="1"/>
  <c r="J1393" i="1"/>
  <c r="J1397" i="1"/>
  <c r="J1401" i="1"/>
  <c r="J1405" i="1"/>
  <c r="J1410" i="1"/>
  <c r="J1414" i="1"/>
  <c r="J1419" i="1"/>
  <c r="J1423" i="1"/>
  <c r="J1427" i="1"/>
  <c r="J1431" i="1"/>
  <c r="J1435" i="1"/>
  <c r="J1439" i="1"/>
  <c r="J1443" i="1"/>
  <c r="J1447" i="1"/>
  <c r="J1451" i="1"/>
  <c r="J1455" i="1"/>
  <c r="J1459" i="1"/>
  <c r="J1463" i="1"/>
  <c r="J1467" i="1"/>
  <c r="J1471" i="1"/>
  <c r="J1475" i="1"/>
  <c r="J1479" i="1"/>
  <c r="J1483" i="1"/>
  <c r="J1487" i="1"/>
  <c r="J1491" i="1"/>
  <c r="J1496" i="1"/>
  <c r="J1500" i="1"/>
  <c r="J1506" i="1"/>
  <c r="J1510" i="1"/>
  <c r="J1514" i="1"/>
  <c r="J1518" i="1"/>
  <c r="J1522" i="1"/>
  <c r="J1527" i="1"/>
  <c r="J1531" i="1"/>
  <c r="J1537" i="1"/>
  <c r="J1541" i="1"/>
  <c r="J1546" i="1"/>
  <c r="J1551" i="1"/>
  <c r="J1555" i="1"/>
  <c r="J1559" i="1"/>
  <c r="J1563" i="1"/>
  <c r="J1567" i="1"/>
  <c r="J1571" i="1"/>
  <c r="J1576" i="1"/>
  <c r="J1580" i="1"/>
  <c r="J1584" i="1"/>
  <c r="J1588" i="1"/>
  <c r="J1592" i="1"/>
  <c r="J1596" i="1"/>
  <c r="J1600" i="1"/>
  <c r="J1604" i="1"/>
  <c r="J1608" i="1"/>
  <c r="J1612" i="1"/>
  <c r="J1616" i="1"/>
  <c r="J1620" i="1"/>
  <c r="J1624" i="1"/>
  <c r="J1628" i="1"/>
  <c r="J1632" i="1"/>
  <c r="J1636" i="1"/>
  <c r="J1640" i="1"/>
  <c r="J1644" i="1"/>
  <c r="J1648" i="1"/>
  <c r="J1652" i="1"/>
  <c r="J1656" i="1"/>
  <c r="J1660" i="1"/>
  <c r="J1664" i="1"/>
  <c r="J1668" i="1"/>
  <c r="J1672" i="1"/>
  <c r="J1676" i="1"/>
  <c r="J1680" i="1"/>
  <c r="J1684" i="1"/>
  <c r="J1688" i="1"/>
  <c r="J1692" i="1"/>
  <c r="J1696" i="1"/>
  <c r="J1700" i="1"/>
  <c r="J1704" i="1"/>
  <c r="J1710" i="1"/>
  <c r="J1714" i="1"/>
  <c r="J1718" i="1"/>
  <c r="J1722" i="1"/>
  <c r="J1726" i="1"/>
  <c r="J1730" i="1"/>
  <c r="J1737" i="1"/>
  <c r="J1741" i="1"/>
  <c r="J1745" i="1"/>
  <c r="J1749" i="1"/>
  <c r="J1757" i="1"/>
  <c r="J1761" i="1"/>
  <c r="J1773" i="1"/>
  <c r="J1777" i="1"/>
  <c r="J1781" i="1"/>
  <c r="J1789" i="1"/>
  <c r="J1794" i="1"/>
  <c r="J1798" i="1"/>
  <c r="J1802" i="1"/>
  <c r="J1806" i="1"/>
  <c r="J1810" i="1"/>
  <c r="J1817" i="1"/>
  <c r="J1821" i="1"/>
  <c r="J1825" i="1"/>
  <c r="J1830" i="1"/>
  <c r="J1834" i="1"/>
  <c r="J1838" i="1"/>
  <c r="J1844" i="1"/>
  <c r="J1848" i="1"/>
  <c r="J1852" i="1"/>
  <c r="J1856" i="1"/>
  <c r="J1861" i="1"/>
  <c r="J1865" i="1"/>
  <c r="J1884" i="1"/>
  <c r="J1888" i="1"/>
  <c r="J1892" i="1"/>
  <c r="J1897" i="1"/>
  <c r="J1901" i="1"/>
  <c r="J1905" i="1"/>
  <c r="J1913" i="1"/>
  <c r="J1920" i="1"/>
  <c r="J1930" i="1"/>
  <c r="J1934" i="1"/>
  <c r="J1938" i="1"/>
  <c r="J1942" i="1"/>
  <c r="J1946" i="1"/>
  <c r="J1952" i="1"/>
  <c r="N1956" i="1"/>
  <c r="J1962" i="1"/>
  <c r="J1967" i="1"/>
  <c r="J1975" i="1"/>
  <c r="J1979" i="1"/>
  <c r="M1983" i="1"/>
  <c r="AP1983" i="1" s="1"/>
  <c r="J1991" i="1"/>
  <c r="J1996" i="1"/>
  <c r="J2001" i="1"/>
  <c r="J2009" i="1"/>
  <c r="O2013" i="1"/>
  <c r="J2026" i="1"/>
  <c r="J2030" i="1"/>
  <c r="J2034" i="1"/>
  <c r="J2043" i="1"/>
  <c r="J2048" i="1"/>
  <c r="J2053" i="1"/>
  <c r="J2057" i="1"/>
  <c r="J2072" i="1"/>
  <c r="J2076" i="1"/>
  <c r="J2080" i="1"/>
  <c r="J2084" i="1"/>
  <c r="N2088" i="1"/>
  <c r="N2092" i="1"/>
  <c r="J2096" i="1"/>
  <c r="N2100" i="1"/>
  <c r="J2104" i="1"/>
  <c r="N2108" i="1"/>
  <c r="N2112" i="1"/>
  <c r="J2120" i="1"/>
  <c r="J2124" i="1"/>
  <c r="J2128" i="1"/>
  <c r="J2132" i="1"/>
  <c r="J2137" i="1"/>
  <c r="J2141" i="1"/>
  <c r="N2146" i="1"/>
  <c r="N2150" i="1"/>
  <c r="N2154" i="1"/>
  <c r="J2158" i="1"/>
  <c r="J2162" i="1"/>
  <c r="J2166" i="1"/>
  <c r="J2170" i="1"/>
  <c r="N2174" i="1"/>
  <c r="N2179" i="1"/>
  <c r="J2183" i="1"/>
  <c r="M2187" i="1"/>
  <c r="AP2187" i="1" s="1"/>
  <c r="N2191" i="1"/>
  <c r="N2196" i="1"/>
  <c r="O2200" i="1"/>
  <c r="J2204" i="1"/>
  <c r="N2208" i="1"/>
  <c r="J2212" i="1"/>
  <c r="J2216" i="1"/>
  <c r="J2220" i="1"/>
  <c r="J2224" i="1"/>
  <c r="J2228" i="1"/>
  <c r="J2232" i="1"/>
  <c r="J2236" i="1"/>
  <c r="J2240" i="1"/>
  <c r="J2244" i="1"/>
  <c r="J2248" i="1"/>
  <c r="J2252" i="1"/>
  <c r="J2256" i="1"/>
  <c r="J2262" i="1"/>
  <c r="J2266" i="1"/>
  <c r="J2270" i="1"/>
  <c r="J2274" i="1"/>
  <c r="J2278" i="1"/>
  <c r="J2282" i="1"/>
  <c r="J2286" i="1"/>
  <c r="J2290" i="1"/>
  <c r="J2294" i="1"/>
  <c r="J2299" i="1"/>
  <c r="J2303" i="1"/>
  <c r="J2307" i="1"/>
  <c r="J2311" i="1"/>
  <c r="J2315" i="1"/>
  <c r="J2319" i="1"/>
  <c r="J2324" i="1"/>
  <c r="J2328" i="1"/>
  <c r="J2332" i="1"/>
  <c r="J2336" i="1"/>
  <c r="J2340" i="1"/>
  <c r="J2344" i="1"/>
  <c r="J2350" i="1"/>
  <c r="J2354" i="1"/>
  <c r="J2358" i="1"/>
  <c r="J2362" i="1"/>
  <c r="J2366" i="1"/>
  <c r="J2370" i="1"/>
  <c r="J2374" i="1"/>
  <c r="J2378" i="1"/>
  <c r="J2382" i="1"/>
  <c r="J2389" i="1"/>
  <c r="J2393" i="1"/>
  <c r="J2398" i="1"/>
  <c r="J2402" i="1"/>
  <c r="J2406" i="1"/>
  <c r="J2410" i="1"/>
  <c r="J2414" i="1"/>
  <c r="J2418" i="1"/>
  <c r="M2422" i="1"/>
  <c r="AP2422" i="1" s="1"/>
  <c r="M2426" i="1"/>
  <c r="AP2426" i="1" s="1"/>
  <c r="M2430" i="1"/>
  <c r="AP2430" i="1" s="1"/>
  <c r="M2435" i="1"/>
  <c r="AP2435" i="1" s="1"/>
  <c r="J2441" i="1"/>
  <c r="M2445" i="1"/>
  <c r="AP2445" i="1" s="1"/>
  <c r="M2450" i="1"/>
  <c r="AP2450" i="1" s="1"/>
  <c r="M2454" i="1"/>
  <c r="AP2454" i="1" s="1"/>
  <c r="M2461" i="1"/>
  <c r="AP2461" i="1" s="1"/>
  <c r="M2465" i="1"/>
  <c r="AP2465" i="1" s="1"/>
  <c r="M2469" i="1"/>
  <c r="AP2469" i="1" s="1"/>
  <c r="M2474" i="1"/>
  <c r="AP2474" i="1" s="1"/>
  <c r="M2478" i="1"/>
  <c r="AP2478" i="1" s="1"/>
  <c r="M2482" i="1"/>
  <c r="AP2482" i="1" s="1"/>
  <c r="M2486" i="1"/>
  <c r="AP2486" i="1" s="1"/>
  <c r="J2490" i="1"/>
  <c r="J1923" i="1"/>
  <c r="J1361" i="1"/>
  <c r="J1365" i="1"/>
  <c r="J1370" i="1"/>
  <c r="J1375" i="1"/>
  <c r="J1379" i="1"/>
  <c r="J1383" i="1"/>
  <c r="J1388" i="1"/>
  <c r="J1392" i="1"/>
  <c r="J1396" i="1"/>
  <c r="J1400" i="1"/>
  <c r="J1404" i="1"/>
  <c r="J1409" i="1"/>
  <c r="J1413" i="1"/>
  <c r="J1417" i="1"/>
  <c r="J1422" i="1"/>
  <c r="J1426" i="1"/>
  <c r="J1430" i="1"/>
  <c r="J1434" i="1"/>
  <c r="J1438" i="1"/>
  <c r="J1442" i="1"/>
  <c r="J1446" i="1"/>
  <c r="J1450" i="1"/>
  <c r="J1454" i="1"/>
  <c r="J1458" i="1"/>
  <c r="J1462" i="1"/>
  <c r="J1466" i="1"/>
  <c r="J1470" i="1"/>
  <c r="J1474" i="1"/>
  <c r="J1478" i="1"/>
  <c r="J1482" i="1"/>
  <c r="J1486" i="1"/>
  <c r="J1490" i="1"/>
  <c r="J1495" i="1"/>
  <c r="J1499" i="1"/>
  <c r="J1505" i="1"/>
  <c r="J1509" i="1"/>
  <c r="J1513" i="1"/>
  <c r="J1517" i="1"/>
  <c r="J1521" i="1"/>
  <c r="J1526" i="1"/>
  <c r="J1530" i="1"/>
  <c r="J1536" i="1"/>
  <c r="J1540" i="1"/>
  <c r="J1545" i="1"/>
  <c r="J1550" i="1"/>
  <c r="J1554" i="1"/>
  <c r="J1558" i="1"/>
  <c r="J1562" i="1"/>
  <c r="J1566" i="1"/>
  <c r="J1570" i="1"/>
  <c r="J1575" i="1"/>
  <c r="J1579" i="1"/>
  <c r="J1583" i="1"/>
  <c r="J1587" i="1"/>
  <c r="O1591" i="1"/>
  <c r="J1595" i="1"/>
  <c r="J1599" i="1"/>
  <c r="J1603" i="1"/>
  <c r="J1607" i="1"/>
  <c r="J1611" i="1"/>
  <c r="J1615" i="1"/>
  <c r="J1619" i="1"/>
  <c r="J1623" i="1"/>
  <c r="J1627" i="1"/>
  <c r="J1631" i="1"/>
  <c r="J1635" i="1"/>
  <c r="J1639" i="1"/>
  <c r="J1643" i="1"/>
  <c r="J1647" i="1"/>
  <c r="J1651" i="1"/>
  <c r="J1655" i="1"/>
  <c r="J1659" i="1"/>
  <c r="J1663" i="1"/>
  <c r="O1667" i="1"/>
  <c r="J1671" i="1"/>
  <c r="J1675" i="1"/>
  <c r="J1679" i="1"/>
  <c r="J1683" i="1"/>
  <c r="J1687" i="1"/>
  <c r="J1691" i="1"/>
  <c r="J1695" i="1"/>
  <c r="J1699" i="1"/>
  <c r="J1703" i="1"/>
  <c r="J1709" i="1"/>
  <c r="J1713" i="1"/>
  <c r="J1717" i="1"/>
  <c r="J1721" i="1"/>
  <c r="J1736" i="1"/>
  <c r="J1740" i="1"/>
  <c r="J1744" i="1"/>
  <c r="J1748" i="1"/>
  <c r="J1752" i="1"/>
  <c r="J1756" i="1"/>
  <c r="J1760" i="1"/>
  <c r="J1765" i="1"/>
  <c r="J1780" i="1"/>
  <c r="J1784" i="1"/>
  <c r="J1788" i="1"/>
  <c r="J1793" i="1"/>
  <c r="J1797" i="1"/>
  <c r="J1801" i="1"/>
  <c r="O1805" i="1"/>
  <c r="J1809" i="1"/>
  <c r="J1820" i="1"/>
  <c r="J1824" i="1"/>
  <c r="J1828" i="1"/>
  <c r="O1833" i="1"/>
  <c r="J1847" i="1"/>
  <c r="J1851" i="1"/>
  <c r="J1855" i="1"/>
  <c r="J1860" i="1"/>
  <c r="J1864" i="1"/>
  <c r="J1868" i="1"/>
  <c r="J1879" i="1"/>
  <c r="J1883" i="1"/>
  <c r="J1896" i="1"/>
  <c r="J1900" i="1"/>
  <c r="J1904" i="1"/>
  <c r="J1908" i="1"/>
  <c r="J1912" i="1"/>
  <c r="O1919" i="1"/>
  <c r="J1929" i="1"/>
  <c r="J1933" i="1"/>
  <c r="J1941" i="1"/>
  <c r="J1945" i="1"/>
  <c r="J1951" i="1"/>
  <c r="J1955" i="1"/>
  <c r="J1961" i="1"/>
  <c r="J1966" i="1"/>
  <c r="J1974" i="1"/>
  <c r="J1978" i="1"/>
  <c r="O1982" i="1"/>
  <c r="O1990" i="1"/>
  <c r="J1995" i="1"/>
  <c r="J2000" i="1"/>
  <c r="J2008" i="1"/>
  <c r="J2012" i="1"/>
  <c r="J2018" i="1"/>
  <c r="J2029" i="1"/>
  <c r="J2033" i="1"/>
  <c r="J2037" i="1"/>
  <c r="J2042" i="1"/>
  <c r="J2047" i="1"/>
  <c r="J2052" i="1"/>
  <c r="J2056" i="1"/>
  <c r="J2067" i="1"/>
  <c r="J2075" i="1"/>
  <c r="J2079" i="1"/>
  <c r="J2083" i="1"/>
  <c r="J2087" i="1"/>
  <c r="J2091" i="1"/>
  <c r="J2095" i="1"/>
  <c r="J2099" i="1"/>
  <c r="J2103" i="1"/>
  <c r="J2107" i="1"/>
  <c r="J2111" i="1"/>
  <c r="J2115" i="1"/>
  <c r="J2119" i="1"/>
  <c r="J2123" i="1"/>
  <c r="J2127" i="1"/>
  <c r="J2131" i="1"/>
  <c r="J2136" i="1"/>
  <c r="J2140" i="1"/>
  <c r="J2144" i="1"/>
  <c r="J2149" i="1"/>
  <c r="J2153" i="1"/>
  <c r="J2157" i="1"/>
  <c r="J2161" i="1"/>
  <c r="J2165" i="1"/>
  <c r="J2169" i="1"/>
  <c r="J2173" i="1"/>
  <c r="O2178" i="1"/>
  <c r="J2182" i="1"/>
  <c r="J2186" i="1"/>
  <c r="J2190" i="1"/>
  <c r="O2195" i="1"/>
  <c r="J2199" i="1"/>
  <c r="J2203" i="1"/>
  <c r="J2207" i="1"/>
  <c r="J2211" i="1"/>
  <c r="J2215" i="1"/>
  <c r="J2219" i="1"/>
  <c r="J2223" i="1"/>
  <c r="J2227" i="1"/>
  <c r="J2231" i="1"/>
  <c r="J2235" i="1"/>
  <c r="J2239" i="1"/>
  <c r="J2243" i="1"/>
  <c r="J2247" i="1"/>
  <c r="J2251" i="1"/>
  <c r="J2255" i="1"/>
  <c r="J2259" i="1"/>
  <c r="AR2259" i="1" s="1"/>
  <c r="J2265" i="1"/>
  <c r="J2269" i="1"/>
  <c r="J2273" i="1"/>
  <c r="J2277" i="1"/>
  <c r="J2281" i="1"/>
  <c r="J2285" i="1"/>
  <c r="J2289" i="1"/>
  <c r="J2293" i="1"/>
  <c r="J2298" i="1"/>
  <c r="J2302" i="1"/>
  <c r="J2306" i="1"/>
  <c r="J2310" i="1"/>
  <c r="J2314" i="1"/>
  <c r="J2318" i="1"/>
  <c r="J2323" i="1"/>
  <c r="J2327" i="1"/>
  <c r="J2331" i="1"/>
  <c r="J2335" i="1"/>
  <c r="J2339" i="1"/>
  <c r="J2343" i="1"/>
  <c r="J2349" i="1"/>
  <c r="J2353" i="1"/>
  <c r="J2357" i="1"/>
  <c r="J2361" i="1"/>
  <c r="J2365" i="1"/>
  <c r="J2369" i="1"/>
  <c r="J2373" i="1"/>
  <c r="J2377" i="1"/>
  <c r="J2381" i="1"/>
  <c r="J2388" i="1"/>
  <c r="J2397" i="1"/>
  <c r="J2401" i="1"/>
  <c r="J2405" i="1"/>
  <c r="J2409" i="1"/>
  <c r="J2413" i="1"/>
  <c r="J2417" i="1"/>
  <c r="J2421" i="1"/>
  <c r="M2425" i="1"/>
  <c r="AP2425" i="1" s="1"/>
  <c r="J2429" i="1"/>
  <c r="J2434" i="1"/>
  <c r="J2438" i="1"/>
  <c r="J2444" i="1"/>
  <c r="J2449" i="1"/>
  <c r="M2453" i="1"/>
  <c r="AP2453" i="1" s="1"/>
  <c r="J2457" i="1"/>
  <c r="J2464" i="1"/>
  <c r="J2473" i="1"/>
  <c r="J2477" i="1"/>
  <c r="J2481" i="1"/>
  <c r="J2485" i="1"/>
  <c r="J2489" i="1"/>
  <c r="J2493" i="1"/>
  <c r="J1926" i="1"/>
  <c r="J1374" i="1"/>
  <c r="J1378" i="1"/>
  <c r="J1382" i="1"/>
  <c r="J1387" i="1"/>
  <c r="J1391" i="1"/>
  <c r="J1395" i="1"/>
  <c r="J1399" i="1"/>
  <c r="J1403" i="1"/>
  <c r="J1408" i="1"/>
  <c r="J1412" i="1"/>
  <c r="J1416" i="1"/>
  <c r="J1421" i="1"/>
  <c r="J1425" i="1"/>
  <c r="J1429" i="1"/>
  <c r="J1433" i="1"/>
  <c r="J1437" i="1"/>
  <c r="J1441" i="1"/>
  <c r="J1445" i="1"/>
  <c r="J1449" i="1"/>
  <c r="J1453" i="1"/>
  <c r="J1457" i="1"/>
  <c r="J1461" i="1"/>
  <c r="J1465" i="1"/>
  <c r="J1469" i="1"/>
  <c r="J1473" i="1"/>
  <c r="J1477" i="1"/>
  <c r="J1481" i="1"/>
  <c r="J1485" i="1"/>
  <c r="J1489" i="1"/>
  <c r="J1493" i="1"/>
  <c r="J1498" i="1"/>
  <c r="J1504" i="1"/>
  <c r="J1508" i="1"/>
  <c r="J1512" i="1"/>
  <c r="J1516" i="1"/>
  <c r="J1520" i="1"/>
  <c r="J1524" i="1"/>
  <c r="J1529" i="1"/>
  <c r="J1535" i="1"/>
  <c r="J1539" i="1"/>
  <c r="J1544" i="1"/>
  <c r="J1549" i="1"/>
  <c r="J1553" i="1"/>
  <c r="J1557" i="1"/>
  <c r="J1561" i="1"/>
  <c r="J1565" i="1"/>
  <c r="J1569" i="1"/>
  <c r="J1574" i="1"/>
  <c r="J1578" i="1"/>
  <c r="J1582" i="1"/>
  <c r="J1586" i="1"/>
  <c r="J1590" i="1"/>
  <c r="J1594" i="1"/>
  <c r="J1598" i="1"/>
  <c r="J1602" i="1"/>
  <c r="J1606" i="1"/>
  <c r="J1610" i="1"/>
  <c r="J1614" i="1"/>
  <c r="J1618" i="1"/>
  <c r="J1622" i="1"/>
  <c r="J1626" i="1"/>
  <c r="J1630" i="1"/>
  <c r="J1634" i="1"/>
  <c r="J1638" i="1"/>
  <c r="J1642" i="1"/>
  <c r="J1646" i="1"/>
  <c r="J1650" i="1"/>
  <c r="J1654" i="1"/>
  <c r="J1658" i="1"/>
  <c r="J1662" i="1"/>
  <c r="J1666" i="1"/>
  <c r="J1670" i="1"/>
  <c r="J1674" i="1"/>
  <c r="J1678" i="1"/>
  <c r="J1682" i="1"/>
  <c r="J1686" i="1"/>
  <c r="J1690" i="1"/>
  <c r="J1694" i="1"/>
  <c r="J1698" i="1"/>
  <c r="J1702" i="1"/>
  <c r="J1708" i="1"/>
  <c r="J1712" i="1"/>
  <c r="J1716" i="1"/>
  <c r="J1720" i="1"/>
  <c r="J1724" i="1"/>
  <c r="J1728" i="1"/>
  <c r="J1735" i="1"/>
  <c r="J1739" i="1"/>
  <c r="J1743" i="1"/>
  <c r="J1747" i="1"/>
  <c r="J1751" i="1"/>
  <c r="J1755" i="1"/>
  <c r="J1759" i="1"/>
  <c r="J1775" i="1"/>
  <c r="J1779" i="1"/>
  <c r="J1792" i="1"/>
  <c r="J1796" i="1"/>
  <c r="J1800" i="1"/>
  <c r="J1804" i="1"/>
  <c r="J1808" i="1"/>
  <c r="J1819" i="1"/>
  <c r="J1823" i="1"/>
  <c r="J1827" i="1"/>
  <c r="J1832" i="1"/>
  <c r="J1836" i="1"/>
  <c r="J1840" i="1"/>
  <c r="J1846" i="1"/>
  <c r="J1850" i="1"/>
  <c r="J1854" i="1"/>
  <c r="J1863" i="1"/>
  <c r="J1867" i="1"/>
  <c r="J1878" i="1"/>
  <c r="J1882" i="1"/>
  <c r="O1886" i="1"/>
  <c r="J1890" i="1"/>
  <c r="J1903" i="1"/>
  <c r="J1907" i="1"/>
  <c r="J1911" i="1"/>
  <c r="J1936" i="1"/>
  <c r="J1940" i="1"/>
  <c r="J1944" i="1"/>
  <c r="J1950" i="1"/>
  <c r="J1954" i="1"/>
  <c r="J1960" i="1"/>
  <c r="J1964" i="1"/>
  <c r="J1973" i="1"/>
  <c r="J1977" i="1"/>
  <c r="J1981" i="1"/>
  <c r="J1993" i="1"/>
  <c r="J1999" i="1"/>
  <c r="J2007" i="1"/>
  <c r="J2011" i="1"/>
  <c r="J2017" i="1"/>
  <c r="J2028" i="1"/>
  <c r="J2032" i="1"/>
  <c r="J2036" i="1"/>
  <c r="J2040" i="1"/>
  <c r="J2046" i="1"/>
  <c r="J2050" i="1"/>
  <c r="J2055" i="1"/>
  <c r="J2059" i="1"/>
  <c r="J2074" i="1"/>
  <c r="J2078" i="1"/>
  <c r="J2082" i="1"/>
  <c r="J2086" i="1"/>
  <c r="J2090" i="1"/>
  <c r="J2094" i="1"/>
  <c r="J2098" i="1"/>
  <c r="J2102" i="1"/>
  <c r="J2106" i="1"/>
  <c r="J2110" i="1"/>
  <c r="J2114" i="1"/>
  <c r="J2118" i="1"/>
  <c r="J2122" i="1"/>
  <c r="J2126" i="1"/>
  <c r="J2130" i="1"/>
  <c r="J2134" i="1"/>
  <c r="J2139" i="1"/>
  <c r="J2143" i="1"/>
  <c r="J2148" i="1"/>
  <c r="J2152" i="1"/>
  <c r="J2156" i="1"/>
  <c r="J2160" i="1"/>
  <c r="J2168" i="1"/>
  <c r="J2172" i="1"/>
  <c r="J2177" i="1"/>
  <c r="J2181" i="1"/>
  <c r="J2185" i="1"/>
  <c r="J2189" i="1"/>
  <c r="J2194" i="1"/>
  <c r="J2198" i="1"/>
  <c r="J2202" i="1"/>
  <c r="J2206" i="1"/>
  <c r="J2210" i="1"/>
  <c r="J2214" i="1"/>
  <c r="J2218" i="1"/>
  <c r="J2222" i="1"/>
  <c r="J2226" i="1"/>
  <c r="J2230" i="1"/>
  <c r="J2234" i="1"/>
  <c r="J2238" i="1"/>
  <c r="J2246" i="1"/>
  <c r="J2250" i="1"/>
  <c r="J2254" i="1"/>
  <c r="J2258" i="1"/>
  <c r="J2264" i="1"/>
  <c r="J2268" i="1"/>
  <c r="J2276" i="1"/>
  <c r="J2280" i="1"/>
  <c r="J2284" i="1"/>
  <c r="J2288" i="1"/>
  <c r="J2292" i="1"/>
  <c r="J2296" i="1"/>
  <c r="J2301" i="1"/>
  <c r="J2305" i="1"/>
  <c r="J2309" i="1"/>
  <c r="J2313" i="1"/>
  <c r="J2317" i="1"/>
  <c r="J2322" i="1"/>
  <c r="J2326" i="1"/>
  <c r="J2330" i="1"/>
  <c r="J2338" i="1"/>
  <c r="J2342" i="1"/>
  <c r="J2348" i="1"/>
  <c r="J2352" i="1"/>
  <c r="J2356" i="1"/>
  <c r="J2360" i="1"/>
  <c r="J2364" i="1"/>
  <c r="J2368" i="1"/>
  <c r="J2372" i="1"/>
  <c r="J2376" i="1"/>
  <c r="J2380" i="1"/>
  <c r="J2387" i="1"/>
  <c r="J2391" i="1"/>
  <c r="J2395" i="1"/>
  <c r="J2400" i="1"/>
  <c r="J2404" i="1"/>
  <c r="J2408" i="1"/>
  <c r="J2412" i="1"/>
  <c r="J2416" i="1"/>
  <c r="J2420" i="1"/>
  <c r="J2424" i="1"/>
  <c r="J2428" i="1"/>
  <c r="J2433" i="1"/>
  <c r="AR2433" i="1" s="1"/>
  <c r="J2437" i="1"/>
  <c r="J2443" i="1"/>
  <c r="J2448" i="1"/>
  <c r="J2452" i="1"/>
  <c r="J2456" i="1"/>
  <c r="J2463" i="1"/>
  <c r="J2467" i="1"/>
  <c r="J2471" i="1"/>
  <c r="J2476" i="1"/>
  <c r="J2480" i="1"/>
  <c r="M2484" i="1"/>
  <c r="AP2484" i="1" s="1"/>
  <c r="J2488" i="1"/>
  <c r="J2492" i="1"/>
  <c r="J1925" i="1"/>
  <c r="O1380" i="1"/>
  <c r="M1405" i="1"/>
  <c r="AP1405" i="1" s="1"/>
  <c r="M1414" i="1"/>
  <c r="AP1414" i="1" s="1"/>
  <c r="M1447" i="1"/>
  <c r="AP1447" i="1" s="1"/>
  <c r="M1475" i="1"/>
  <c r="AP1475" i="1" s="1"/>
  <c r="O1506" i="1"/>
  <c r="N1522" i="1"/>
  <c r="N1563" i="1"/>
  <c r="O1580" i="1"/>
  <c r="O1592" i="1"/>
  <c r="M1620" i="1"/>
  <c r="AP1620" i="1" s="1"/>
  <c r="O1672" i="1"/>
  <c r="O1718" i="1"/>
  <c r="O1745" i="1"/>
  <c r="O1773" i="1"/>
  <c r="O1777" i="1"/>
  <c r="O1838" i="1"/>
  <c r="O1888" i="1"/>
  <c r="O1938" i="1"/>
  <c r="N1962" i="1"/>
  <c r="M2030" i="1"/>
  <c r="AP2030" i="1" s="1"/>
  <c r="O2038" i="1"/>
  <c r="O2092" i="1"/>
  <c r="M2116" i="1"/>
  <c r="AP2116" i="1" s="1"/>
  <c r="O2154" i="1"/>
  <c r="N2170" i="1"/>
  <c r="M2204" i="1"/>
  <c r="AP2204" i="1" s="1"/>
  <c r="N2212" i="1"/>
  <c r="M2402" i="1"/>
  <c r="AP2402" i="1" s="1"/>
  <c r="O1431" i="1"/>
  <c r="N1435" i="1"/>
  <c r="O1439" i="1"/>
  <c r="N1455" i="1"/>
  <c r="M1483" i="1"/>
  <c r="AP1483" i="1" s="1"/>
  <c r="M1514" i="1"/>
  <c r="AP1514" i="1" s="1"/>
  <c r="N1571" i="1"/>
  <c r="O1588" i="1"/>
  <c r="O1600" i="1"/>
  <c r="O1612" i="1"/>
  <c r="N1628" i="1"/>
  <c r="O1710" i="1"/>
  <c r="O1753" i="1"/>
  <c r="O1848" i="1"/>
  <c r="O1880" i="1"/>
  <c r="M2009" i="1"/>
  <c r="AP2009" i="1" s="1"/>
  <c r="O2034" i="1"/>
  <c r="M2076" i="1"/>
  <c r="AP2076" i="1" s="1"/>
  <c r="N2084" i="1"/>
  <c r="O2104" i="1"/>
  <c r="O2112" i="1"/>
  <c r="O2120" i="1"/>
  <c r="M2158" i="1"/>
  <c r="AP2158" i="1" s="1"/>
  <c r="N2183" i="1"/>
  <c r="M2196" i="1"/>
  <c r="AP2196" i="1" s="1"/>
  <c r="O2208" i="1"/>
  <c r="M2216" i="1"/>
  <c r="AP2216" i="1" s="1"/>
  <c r="M1979" i="1"/>
  <c r="AP1979" i="1" s="1"/>
  <c r="O2026" i="1"/>
  <c r="M2053" i="1"/>
  <c r="AP2053" i="1" s="1"/>
  <c r="O2088" i="1"/>
  <c r="N2128" i="1"/>
  <c r="O2137" i="1"/>
  <c r="O2162" i="1"/>
  <c r="N2200" i="1"/>
  <c r="N1359" i="1"/>
  <c r="N1444" i="1"/>
  <c r="O1609" i="1"/>
  <c r="N1613" i="1"/>
  <c r="N2045" i="1"/>
  <c r="N2077" i="1"/>
  <c r="O2101" i="1"/>
  <c r="M2113" i="1"/>
  <c r="AP2113" i="1" s="1"/>
  <c r="N2125" i="1"/>
  <c r="O2163" i="1"/>
  <c r="N2180" i="1"/>
  <c r="O2213" i="1"/>
  <c r="M2407" i="1"/>
  <c r="AP2407" i="1" s="1"/>
  <c r="M2479" i="1"/>
  <c r="AP2479" i="1" s="1"/>
  <c r="M1363" i="1"/>
  <c r="AP1363" i="1" s="1"/>
  <c r="O1368" i="1"/>
  <c r="N1428" i="1"/>
  <c r="O1480" i="1"/>
  <c r="O1935" i="1"/>
  <c r="N2081" i="1"/>
  <c r="M2105" i="1"/>
  <c r="AP2105" i="1" s="1"/>
  <c r="M2117" i="1"/>
  <c r="AP2117" i="1" s="1"/>
  <c r="N2129" i="1"/>
  <c r="N2142" i="1"/>
  <c r="N2151" i="1"/>
  <c r="O2192" i="1"/>
  <c r="O2205" i="1"/>
  <c r="N2217" i="1"/>
  <c r="O1332" i="1"/>
  <c r="O1497" i="1"/>
  <c r="O1515" i="1"/>
  <c r="O1685" i="1"/>
  <c r="O1845" i="1"/>
  <c r="O2031" i="1"/>
  <c r="N2049" i="1"/>
  <c r="N2054" i="1"/>
  <c r="N2085" i="1"/>
  <c r="O2089" i="1"/>
  <c r="N2093" i="1"/>
  <c r="N2097" i="1"/>
  <c r="N2121" i="1"/>
  <c r="N2133" i="1"/>
  <c r="O2155" i="1"/>
  <c r="O2167" i="1"/>
  <c r="M2403" i="1"/>
  <c r="AP2403" i="1" s="1"/>
  <c r="M2411" i="1"/>
  <c r="AP2411" i="1" s="1"/>
  <c r="N1424" i="1"/>
  <c r="O1448" i="1"/>
  <c r="O1464" i="1"/>
  <c r="N1492" i="1"/>
  <c r="N1511" i="1"/>
  <c r="O1552" i="1"/>
  <c r="O1564" i="1"/>
  <c r="N1568" i="1"/>
  <c r="O1593" i="1"/>
  <c r="N1597" i="1"/>
  <c r="O1885" i="1"/>
  <c r="N1939" i="1"/>
  <c r="N1341" i="1"/>
  <c r="M1347" i="1"/>
  <c r="AP1347" i="1" s="1"/>
  <c r="O1351" i="1"/>
  <c r="N1377" i="1"/>
  <c r="M1381" i="1"/>
  <c r="AP1381" i="1" s="1"/>
  <c r="O1386" i="1"/>
  <c r="N1460" i="1"/>
  <c r="N1476" i="1"/>
  <c r="O1543" i="1"/>
  <c r="N1625" i="1"/>
  <c r="O1715" i="1"/>
  <c r="O1790" i="1"/>
  <c r="O1811" i="1"/>
  <c r="O1902" i="1"/>
  <c r="O1931" i="1"/>
  <c r="O1534" i="1"/>
  <c r="O1581" i="1"/>
  <c r="N1585" i="1"/>
  <c r="O1669" i="1"/>
  <c r="O1750" i="1"/>
  <c r="N1957" i="1"/>
  <c r="N1335" i="1"/>
  <c r="M1340" i="1"/>
  <c r="AP1340" i="1" s="1"/>
  <c r="N1346" i="1"/>
  <c r="O1350" i="1"/>
  <c r="N1354" i="1"/>
  <c r="O1358" i="1"/>
  <c r="N1362" i="1"/>
  <c r="N1372" i="1"/>
  <c r="M1376" i="1"/>
  <c r="AP1376" i="1" s="1"/>
  <c r="M1385" i="1"/>
  <c r="AP1385" i="1" s="1"/>
  <c r="N1389" i="1"/>
  <c r="M1393" i="1"/>
  <c r="AP1393" i="1" s="1"/>
  <c r="M1401" i="1"/>
  <c r="AP1401" i="1" s="1"/>
  <c r="O1405" i="1"/>
  <c r="M1410" i="1"/>
  <c r="AP1410" i="1" s="1"/>
  <c r="O1414" i="1"/>
  <c r="N1419" i="1"/>
  <c r="O1423" i="1"/>
  <c r="M1427" i="1"/>
  <c r="AP1427" i="1" s="1"/>
  <c r="M1435" i="1"/>
  <c r="AP1435" i="1" s="1"/>
  <c r="O1443" i="1"/>
  <c r="O1447" i="1"/>
  <c r="O1451" i="1"/>
  <c r="M1455" i="1"/>
  <c r="AP1455" i="1" s="1"/>
  <c r="N1459" i="1"/>
  <c r="N1463" i="1"/>
  <c r="N1467" i="1"/>
  <c r="O1475" i="1"/>
  <c r="O1479" i="1"/>
  <c r="O1483" i="1"/>
  <c r="M1487" i="1"/>
  <c r="AP1487" i="1" s="1"/>
  <c r="N1491" i="1"/>
  <c r="N1496" i="1"/>
  <c r="N1500" i="1"/>
  <c r="O1510" i="1"/>
  <c r="O1514" i="1"/>
  <c r="O1518" i="1"/>
  <c r="M1522" i="1"/>
  <c r="AP1522" i="1" s="1"/>
  <c r="N1527" i="1"/>
  <c r="N1531" i="1"/>
  <c r="M1537" i="1"/>
  <c r="AP1537" i="1" s="1"/>
  <c r="M1541" i="1"/>
  <c r="AP1541" i="1" s="1"/>
  <c r="O1546" i="1"/>
  <c r="O1551" i="1"/>
  <c r="N1559" i="1"/>
  <c r="M1563" i="1"/>
  <c r="AP1563" i="1" s="1"/>
  <c r="M1571" i="1"/>
  <c r="AP1571" i="1" s="1"/>
  <c r="O1576" i="1"/>
  <c r="M1584" i="1"/>
  <c r="AP1584" i="1" s="1"/>
  <c r="M1596" i="1"/>
  <c r="AP1596" i="1" s="1"/>
  <c r="N1604" i="1"/>
  <c r="M1608" i="1"/>
  <c r="AP1608" i="1" s="1"/>
  <c r="M1616" i="1"/>
  <c r="AP1616" i="1" s="1"/>
  <c r="O1620" i="1"/>
  <c r="M1628" i="1"/>
  <c r="AP1628" i="1" s="1"/>
  <c r="O1632" i="1"/>
  <c r="O1636" i="1"/>
  <c r="O1644" i="1"/>
  <c r="O1688" i="1"/>
  <c r="O1696" i="1"/>
  <c r="O1700" i="1"/>
  <c r="O1714" i="1"/>
  <c r="O1730" i="1"/>
  <c r="O1749" i="1"/>
  <c r="O1757" i="1"/>
  <c r="O1781" i="1"/>
  <c r="O1802" i="1"/>
  <c r="O1844" i="1"/>
  <c r="O1861" i="1"/>
  <c r="O1884" i="1"/>
  <c r="O1892" i="1"/>
  <c r="O1913" i="1"/>
  <c r="O1923" i="1"/>
  <c r="N1942" i="1"/>
  <c r="O1952" i="1"/>
  <c r="M1962" i="1"/>
  <c r="AP1962" i="1" s="1"/>
  <c r="O1979" i="1"/>
  <c r="O1983" i="1"/>
  <c r="O1996" i="1"/>
  <c r="M2001" i="1"/>
  <c r="AP2001" i="1" s="1"/>
  <c r="O2009" i="1"/>
  <c r="O2030" i="1"/>
  <c r="N2048" i="1"/>
  <c r="O2053" i="1"/>
  <c r="M2072" i="1"/>
  <c r="AP2072" i="1" s="1"/>
  <c r="O2076" i="1"/>
  <c r="N2080" i="1"/>
  <c r="M2084" i="1"/>
  <c r="AP2084" i="1" s="1"/>
  <c r="O2116" i="1"/>
  <c r="N2124" i="1"/>
  <c r="M2128" i="1"/>
  <c r="AP2128" i="1" s="1"/>
  <c r="O2132" i="1"/>
  <c r="N2141" i="1"/>
  <c r="O2158" i="1"/>
  <c r="N2166" i="1"/>
  <c r="M2170" i="1"/>
  <c r="AP2170" i="1" s="1"/>
  <c r="O2174" i="1"/>
  <c r="M2183" i="1"/>
  <c r="AP2183" i="1" s="1"/>
  <c r="O2196" i="1"/>
  <c r="M2200" i="1"/>
  <c r="AP2200" i="1" s="1"/>
  <c r="O2204" i="1"/>
  <c r="M2212" i="1"/>
  <c r="AP2212" i="1" s="1"/>
  <c r="O2216" i="1"/>
  <c r="M2406" i="1"/>
  <c r="AP2406" i="1" s="1"/>
  <c r="M2490" i="1"/>
  <c r="AP2490" i="1" s="1"/>
  <c r="O1704" i="1"/>
  <c r="O1722" i="1"/>
  <c r="O1737" i="1"/>
  <c r="O1821" i="1"/>
  <c r="O1834" i="1"/>
  <c r="O1852" i="1"/>
  <c r="O1865" i="1"/>
  <c r="O1930" i="1"/>
  <c r="N1938" i="1"/>
  <c r="M1942" i="1"/>
  <c r="AP1942" i="1" s="1"/>
  <c r="O1956" i="1"/>
  <c r="O1962" i="1"/>
  <c r="O1967" i="1"/>
  <c r="O2001" i="1"/>
  <c r="N2034" i="1"/>
  <c r="O2043" i="1"/>
  <c r="M2048" i="1"/>
  <c r="AP2048" i="1" s="1"/>
  <c r="N2057" i="1"/>
  <c r="O2072" i="1"/>
  <c r="M2080" i="1"/>
  <c r="AP2080" i="1" s="1"/>
  <c r="O2084" i="1"/>
  <c r="N2096" i="1"/>
  <c r="N2104" i="1"/>
  <c r="O2108" i="1"/>
  <c r="N2120" i="1"/>
  <c r="M2124" i="1"/>
  <c r="AP2124" i="1" s="1"/>
  <c r="O2128" i="1"/>
  <c r="N2137" i="1"/>
  <c r="M2141" i="1"/>
  <c r="AP2141" i="1" s="1"/>
  <c r="O2146" i="1"/>
  <c r="N2162" i="1"/>
  <c r="M2166" i="1"/>
  <c r="AP2166" i="1" s="1"/>
  <c r="O2170" i="1"/>
  <c r="M2179" i="1"/>
  <c r="AP2179" i="1" s="1"/>
  <c r="O2183" i="1"/>
  <c r="N2187" i="1"/>
  <c r="O2212" i="1"/>
  <c r="M2410" i="1"/>
  <c r="AP2410" i="1" s="1"/>
  <c r="M2441" i="1"/>
  <c r="AP2441" i="1" s="1"/>
  <c r="M1335" i="1"/>
  <c r="AP1335" i="1" s="1"/>
  <c r="O1340" i="1"/>
  <c r="M1346" i="1"/>
  <c r="AP1346" i="1" s="1"/>
  <c r="M1354" i="1"/>
  <c r="AP1354" i="1" s="1"/>
  <c r="M1362" i="1"/>
  <c r="AP1362" i="1" s="1"/>
  <c r="M1372" i="1"/>
  <c r="AP1372" i="1" s="1"/>
  <c r="O1376" i="1"/>
  <c r="N1380" i="1"/>
  <c r="O1385" i="1"/>
  <c r="M1389" i="1"/>
  <c r="AP1389" i="1" s="1"/>
  <c r="O1393" i="1"/>
  <c r="N1397" i="1"/>
  <c r="O1401" i="1"/>
  <c r="O1410" i="1"/>
  <c r="M1419" i="1"/>
  <c r="AP1419" i="1" s="1"/>
  <c r="O1427" i="1"/>
  <c r="N1431" i="1"/>
  <c r="O1435" i="1"/>
  <c r="N1439" i="1"/>
  <c r="O1455" i="1"/>
  <c r="M1459" i="1"/>
  <c r="AP1459" i="1" s="1"/>
  <c r="M1463" i="1"/>
  <c r="AP1463" i="1" s="1"/>
  <c r="M1467" i="1"/>
  <c r="AP1467" i="1" s="1"/>
  <c r="N1471" i="1"/>
  <c r="O1487" i="1"/>
  <c r="M1491" i="1"/>
  <c r="AP1491" i="1" s="1"/>
  <c r="M1496" i="1"/>
  <c r="AP1496" i="1" s="1"/>
  <c r="M1500" i="1"/>
  <c r="AP1500" i="1" s="1"/>
  <c r="N1506" i="1"/>
  <c r="O1522" i="1"/>
  <c r="M1527" i="1"/>
  <c r="AP1527" i="1" s="1"/>
  <c r="M1531" i="1"/>
  <c r="AP1531" i="1" s="1"/>
  <c r="O1537" i="1"/>
  <c r="O1541" i="1"/>
  <c r="N1555" i="1"/>
  <c r="M1559" i="1"/>
  <c r="AP1559" i="1" s="1"/>
  <c r="O1563" i="1"/>
  <c r="N1567" i="1"/>
  <c r="O1571" i="1"/>
  <c r="N1580" i="1"/>
  <c r="O1584" i="1"/>
  <c r="N1588" i="1"/>
  <c r="N1592" i="1"/>
  <c r="O1596" i="1"/>
  <c r="N1600" i="1"/>
  <c r="M1604" i="1"/>
  <c r="AP1604" i="1" s="1"/>
  <c r="O1608" i="1"/>
  <c r="N1612" i="1"/>
  <c r="O1616" i="1"/>
  <c r="N1624" i="1"/>
  <c r="O1628" i="1"/>
  <c r="O1640" i="1"/>
  <c r="O1648" i="1"/>
  <c r="O1652" i="1"/>
  <c r="O1660" i="1"/>
  <c r="O1335" i="1"/>
  <c r="O1346" i="1"/>
  <c r="N1350" i="1"/>
  <c r="O1354" i="1"/>
  <c r="N1358" i="1"/>
  <c r="O1362" i="1"/>
  <c r="O1372" i="1"/>
  <c r="M1380" i="1"/>
  <c r="AP1380" i="1" s="1"/>
  <c r="O1389" i="1"/>
  <c r="M1397" i="1"/>
  <c r="AP1397" i="1" s="1"/>
  <c r="N1405" i="1"/>
  <c r="N1414" i="1"/>
  <c r="O1419" i="1"/>
  <c r="N1423" i="1"/>
  <c r="M1431" i="1"/>
  <c r="AP1431" i="1" s="1"/>
  <c r="M1439" i="1"/>
  <c r="AP1439" i="1" s="1"/>
  <c r="N1443" i="1"/>
  <c r="N1447" i="1"/>
  <c r="N1451" i="1"/>
  <c r="O1459" i="1"/>
  <c r="O1463" i="1"/>
  <c r="O1467" i="1"/>
  <c r="M1471" i="1"/>
  <c r="AP1471" i="1" s="1"/>
  <c r="N1475" i="1"/>
  <c r="N1479" i="1"/>
  <c r="N1483" i="1"/>
  <c r="O1491" i="1"/>
  <c r="O1496" i="1"/>
  <c r="O1500" i="1"/>
  <c r="M1506" i="1"/>
  <c r="AP1506" i="1" s="1"/>
  <c r="N1510" i="1"/>
  <c r="N1514" i="1"/>
  <c r="N1518" i="1"/>
  <c r="O1527" i="1"/>
  <c r="O1531" i="1"/>
  <c r="N1546" i="1"/>
  <c r="N1551" i="1"/>
  <c r="M1555" i="1"/>
  <c r="AP1555" i="1" s="1"/>
  <c r="O1559" i="1"/>
  <c r="M1567" i="1"/>
  <c r="AP1567" i="1" s="1"/>
  <c r="N1576" i="1"/>
  <c r="M1580" i="1"/>
  <c r="AP1580" i="1" s="1"/>
  <c r="M1588" i="1"/>
  <c r="AP1588" i="1" s="1"/>
  <c r="M1592" i="1"/>
  <c r="AP1592" i="1" s="1"/>
  <c r="M1600" i="1"/>
  <c r="AP1600" i="1" s="1"/>
  <c r="O1604" i="1"/>
  <c r="M1612" i="1"/>
  <c r="AP1612" i="1" s="1"/>
  <c r="N1620" i="1"/>
  <c r="M1624" i="1"/>
  <c r="AP1624" i="1" s="1"/>
  <c r="O1656" i="1"/>
  <c r="O1664" i="1"/>
  <c r="O1676" i="1"/>
  <c r="O1741" i="1"/>
  <c r="O1761" i="1"/>
  <c r="O1785" i="1"/>
  <c r="O1789" i="1"/>
  <c r="O1794" i="1"/>
  <c r="O1806" i="1"/>
  <c r="O1810" i="1"/>
  <c r="O1825" i="1"/>
  <c r="O1869" i="1"/>
  <c r="O1897" i="1"/>
  <c r="O1901" i="1"/>
  <c r="O1905" i="1"/>
  <c r="O1920" i="1"/>
  <c r="O1934" i="1"/>
  <c r="M1938" i="1"/>
  <c r="AP1938" i="1" s="1"/>
  <c r="O1942" i="1"/>
  <c r="O1946" i="1"/>
  <c r="O1975" i="1"/>
  <c r="N1979" i="1"/>
  <c r="O1991" i="1"/>
  <c r="N2009" i="1"/>
  <c r="N2030" i="1"/>
  <c r="M2034" i="1"/>
  <c r="AP2034" i="1" s="1"/>
  <c r="O2048" i="1"/>
  <c r="N2053" i="1"/>
  <c r="M2057" i="1"/>
  <c r="AP2057" i="1" s="1"/>
  <c r="N2076" i="1"/>
  <c r="O2080" i="1"/>
  <c r="M2096" i="1"/>
  <c r="AP2096" i="1" s="1"/>
  <c r="O2100" i="1"/>
  <c r="M2104" i="1"/>
  <c r="AP2104" i="1" s="1"/>
  <c r="N2116" i="1"/>
  <c r="M2120" i="1"/>
  <c r="AP2120" i="1" s="1"/>
  <c r="O2124" i="1"/>
  <c r="N2132" i="1"/>
  <c r="M2137" i="1"/>
  <c r="AP2137" i="1" s="1"/>
  <c r="O2141" i="1"/>
  <c r="O2150" i="1"/>
  <c r="N2158" i="1"/>
  <c r="M2162" i="1"/>
  <c r="AP2162" i="1" s="1"/>
  <c r="O2166" i="1"/>
  <c r="O2179" i="1"/>
  <c r="O2191" i="1"/>
  <c r="N2204" i="1"/>
  <c r="N2216" i="1"/>
  <c r="M2414" i="1"/>
  <c r="AP2414" i="1" s="1"/>
  <c r="O1352" i="1"/>
  <c r="O1364" i="1"/>
  <c r="O1378" i="1"/>
  <c r="O1391" i="1"/>
  <c r="M1403" i="1"/>
  <c r="AP1403" i="1" s="1"/>
  <c r="N1638" i="1"/>
  <c r="N1642" i="1"/>
  <c r="N1654" i="1"/>
  <c r="N1658" i="1"/>
  <c r="N1670" i="1"/>
  <c r="N1674" i="1"/>
  <c r="M1686" i="1"/>
  <c r="AP1686" i="1" s="1"/>
  <c r="O1690" i="1"/>
  <c r="N1698" i="1"/>
  <c r="O1702" i="1"/>
  <c r="O1712" i="1"/>
  <c r="M1720" i="1"/>
  <c r="AP1720" i="1" s="1"/>
  <c r="O1724" i="1"/>
  <c r="M1735" i="1"/>
  <c r="AP1735" i="1" s="1"/>
  <c r="N1751" i="1"/>
  <c r="O1755" i="1"/>
  <c r="O1763" i="1"/>
  <c r="O1775" i="1"/>
  <c r="N1779" i="1"/>
  <c r="M1792" i="1"/>
  <c r="AP1792" i="1" s="1"/>
  <c r="O1808" i="1"/>
  <c r="M1812" i="1"/>
  <c r="AP1812" i="1" s="1"/>
  <c r="O1819" i="1"/>
  <c r="M1827" i="1"/>
  <c r="AP1827" i="1" s="1"/>
  <c r="O1840" i="1"/>
  <c r="M1850" i="1"/>
  <c r="AP1850" i="1" s="1"/>
  <c r="O1854" i="1"/>
  <c r="M1863" i="1"/>
  <c r="AP1863" i="1" s="1"/>
  <c r="N1890" i="1"/>
  <c r="M1903" i="1"/>
  <c r="AP1903" i="1" s="1"/>
  <c r="O1922" i="1"/>
  <c r="O1944" i="1"/>
  <c r="O2007" i="1"/>
  <c r="O2032" i="1"/>
  <c r="O2040" i="1"/>
  <c r="O2046" i="1"/>
  <c r="O2055" i="1"/>
  <c r="O2074" i="1"/>
  <c r="O2082" i="1"/>
  <c r="O2098" i="1"/>
  <c r="O2102" i="1"/>
  <c r="O2206" i="1"/>
  <c r="M2428" i="1"/>
  <c r="AP2428" i="1" s="1"/>
  <c r="M2437" i="1"/>
  <c r="AP2437" i="1" s="1"/>
  <c r="M2452" i="1"/>
  <c r="AP2452" i="1" s="1"/>
  <c r="M2463" i="1"/>
  <c r="AP2463" i="1" s="1"/>
  <c r="M2471" i="1"/>
  <c r="AP2471" i="1" s="1"/>
  <c r="M2488" i="1"/>
  <c r="AP2488" i="1" s="1"/>
  <c r="O1338" i="1"/>
  <c r="O1369" i="1"/>
  <c r="O1382" i="1"/>
  <c r="O1395" i="1"/>
  <c r="M1416" i="1"/>
  <c r="AP1416" i="1" s="1"/>
  <c r="M1433" i="1"/>
  <c r="AP1433" i="1" s="1"/>
  <c r="M1638" i="1"/>
  <c r="AP1638" i="1" s="1"/>
  <c r="O1642" i="1"/>
  <c r="M1654" i="1"/>
  <c r="AP1654" i="1" s="1"/>
  <c r="O1658" i="1"/>
  <c r="M1670" i="1"/>
  <c r="AP1670" i="1" s="1"/>
  <c r="O1674" i="1"/>
  <c r="O1686" i="1"/>
  <c r="M1698" i="1"/>
  <c r="AP1698" i="1" s="1"/>
  <c r="N1716" i="1"/>
  <c r="O1720" i="1"/>
  <c r="O1728" i="1"/>
  <c r="O1735" i="1"/>
  <c r="N1739" i="1"/>
  <c r="M1751" i="1"/>
  <c r="AP1751" i="1" s="1"/>
  <c r="M1779" i="1"/>
  <c r="AP1779" i="1" s="1"/>
  <c r="O1783" i="1"/>
  <c r="O1792" i="1"/>
  <c r="N1796" i="1"/>
  <c r="O1812" i="1"/>
  <c r="O1823" i="1"/>
  <c r="O1827" i="1"/>
  <c r="N1832" i="1"/>
  <c r="N1846" i="1"/>
  <c r="O1850" i="1"/>
  <c r="O1858" i="1"/>
  <c r="O1863" i="1"/>
  <c r="N1867" i="1"/>
  <c r="M1890" i="1"/>
  <c r="AP1890" i="1" s="1"/>
  <c r="O1894" i="1"/>
  <c r="O1903" i="1"/>
  <c r="N1907" i="1"/>
  <c r="O1940" i="1"/>
  <c r="O1950" i="1"/>
  <c r="O1964" i="1"/>
  <c r="O1993" i="1"/>
  <c r="O2017" i="1"/>
  <c r="O2118" i="1"/>
  <c r="O2126" i="1"/>
  <c r="O2134" i="1"/>
  <c r="O2143" i="1"/>
  <c r="O2148" i="1"/>
  <c r="O2152" i="1"/>
  <c r="O2156" i="1"/>
  <c r="O2164" i="1"/>
  <c r="O2172" i="1"/>
  <c r="O2185" i="1"/>
  <c r="O2189" i="1"/>
  <c r="O2194" i="1"/>
  <c r="O2210" i="1"/>
  <c r="O2218" i="1"/>
  <c r="M2404" i="1"/>
  <c r="AP2404" i="1" s="1"/>
  <c r="M2408" i="1"/>
  <c r="AP2408" i="1" s="1"/>
  <c r="M2412" i="1"/>
  <c r="AP2412" i="1" s="1"/>
  <c r="M2424" i="1"/>
  <c r="AP2424" i="1" s="1"/>
  <c r="M2443" i="1"/>
  <c r="AP2443" i="1" s="1"/>
  <c r="M2492" i="1"/>
  <c r="AP2492" i="1" s="1"/>
  <c r="O1333" i="1"/>
  <c r="O1348" i="1"/>
  <c r="O1360" i="1"/>
  <c r="O1374" i="1"/>
  <c r="M1399" i="1"/>
  <c r="AP1399" i="1" s="1"/>
  <c r="M1412" i="1"/>
  <c r="AP1412" i="1" s="1"/>
  <c r="M1425" i="1"/>
  <c r="AP1425" i="1" s="1"/>
  <c r="M1429" i="1"/>
  <c r="AP1429" i="1" s="1"/>
  <c r="O1634" i="1"/>
  <c r="O1650" i="1"/>
  <c r="O1666" i="1"/>
  <c r="O1682" i="1"/>
  <c r="N1686" i="1"/>
  <c r="N1690" i="1"/>
  <c r="M1702" i="1"/>
  <c r="AP1702" i="1" s="1"/>
  <c r="O1708" i="1"/>
  <c r="O1716" i="1"/>
  <c r="N1720" i="1"/>
  <c r="N1735" i="1"/>
  <c r="O1739" i="1"/>
  <c r="O1747" i="1"/>
  <c r="M1755" i="1"/>
  <c r="AP1755" i="1" s="1"/>
  <c r="O1759" i="1"/>
  <c r="M1775" i="1"/>
  <c r="AP1775" i="1" s="1"/>
  <c r="N1792" i="1"/>
  <c r="O1796" i="1"/>
  <c r="O1804" i="1"/>
  <c r="M1808" i="1"/>
  <c r="AP1808" i="1" s="1"/>
  <c r="N1812" i="1"/>
  <c r="N1827" i="1"/>
  <c r="O1832" i="1"/>
  <c r="O1836" i="1"/>
  <c r="O1846" i="1"/>
  <c r="N1850" i="1"/>
  <c r="N1863" i="1"/>
  <c r="O1867" i="1"/>
  <c r="O1882" i="1"/>
  <c r="N1903" i="1"/>
  <c r="O1907" i="1"/>
  <c r="O1918" i="1"/>
  <c r="M1922" i="1"/>
  <c r="AP1922" i="1" s="1"/>
  <c r="O1925" i="1"/>
  <c r="O1932" i="1"/>
  <c r="O1936" i="1"/>
  <c r="O1977" i="1"/>
  <c r="O1988" i="1"/>
  <c r="O2011" i="1"/>
  <c r="O2036" i="1"/>
  <c r="O2110" i="1"/>
  <c r="O2114" i="1"/>
  <c r="O2122" i="1"/>
  <c r="O2130" i="1"/>
  <c r="O2139" i="1"/>
  <c r="O2160" i="1"/>
  <c r="O2168" i="1"/>
  <c r="O2214" i="1"/>
  <c r="M2420" i="1"/>
  <c r="AP2420" i="1" s="1"/>
  <c r="M2456" i="1"/>
  <c r="AP2456" i="1" s="1"/>
  <c r="M2480" i="1"/>
  <c r="AP2480" i="1" s="1"/>
  <c r="N1336" i="1"/>
  <c r="M1341" i="1"/>
  <c r="AP1341" i="1" s="1"/>
  <c r="O1347" i="1"/>
  <c r="N1355" i="1"/>
  <c r="M1359" i="1"/>
  <c r="AP1359" i="1" s="1"/>
  <c r="O1363" i="1"/>
  <c r="N1373" i="1"/>
  <c r="M1377" i="1"/>
  <c r="AP1377" i="1" s="1"/>
  <c r="O1381" i="1"/>
  <c r="N1390" i="1"/>
  <c r="M1394" i="1"/>
  <c r="AP1394" i="1" s="1"/>
  <c r="N1398" i="1"/>
  <c r="N1402" i="1"/>
  <c r="N1432" i="1"/>
  <c r="N1436" i="1"/>
  <c r="N1440" i="1"/>
  <c r="O1444" i="1"/>
  <c r="N1456" i="1"/>
  <c r="O1460" i="1"/>
  <c r="N1472" i="1"/>
  <c r="O1476" i="1"/>
  <c r="N1488" i="1"/>
  <c r="O1492" i="1"/>
  <c r="N1507" i="1"/>
  <c r="O1511" i="1"/>
  <c r="N1523" i="1"/>
  <c r="O1528" i="1"/>
  <c r="N1538" i="1"/>
  <c r="N1548" i="1"/>
  <c r="N1556" i="1"/>
  <c r="O1568" i="1"/>
  <c r="N1572" i="1"/>
  <c r="O1585" i="1"/>
  <c r="N1589" i="1"/>
  <c r="O1597" i="1"/>
  <c r="N1601" i="1"/>
  <c r="O1613" i="1"/>
  <c r="N1617" i="1"/>
  <c r="O1625" i="1"/>
  <c r="N1629" i="1"/>
  <c r="O1633" i="1"/>
  <c r="O1641" i="1"/>
  <c r="O1645" i="1"/>
  <c r="O1649" i="1"/>
  <c r="O1657" i="1"/>
  <c r="O1661" i="1"/>
  <c r="O1665" i="1"/>
  <c r="O1707" i="1"/>
  <c r="O1711" i="1"/>
  <c r="O1719" i="1"/>
  <c r="O1742" i="1"/>
  <c r="O1746" i="1"/>
  <c r="O1754" i="1"/>
  <c r="O1782" i="1"/>
  <c r="O1786" i="1"/>
  <c r="O1795" i="1"/>
  <c r="O1826" i="1"/>
  <c r="O1835" i="1"/>
  <c r="O1839" i="1"/>
  <c r="O1849" i="1"/>
  <c r="O1877" i="1"/>
  <c r="O1881" i="1"/>
  <c r="O1893" i="1"/>
  <c r="O1898" i="1"/>
  <c r="O1906" i="1"/>
  <c r="O1924" i="1"/>
  <c r="O1939" i="1"/>
  <c r="N1953" i="1"/>
  <c r="O1957" i="1"/>
  <c r="N1976" i="1"/>
  <c r="O2010" i="1"/>
  <c r="O2035" i="1"/>
  <c r="O2039" i="1"/>
  <c r="O2045" i="1"/>
  <c r="M2049" i="1"/>
  <c r="AP2049" i="1" s="1"/>
  <c r="M2054" i="1"/>
  <c r="AP2054" i="1" s="1"/>
  <c r="M2058" i="1"/>
  <c r="AP2058" i="1" s="1"/>
  <c r="M2073" i="1"/>
  <c r="AP2073" i="1" s="1"/>
  <c r="M2077" i="1"/>
  <c r="AP2077" i="1" s="1"/>
  <c r="M2081" i="1"/>
  <c r="AP2081" i="1" s="1"/>
  <c r="M2085" i="1"/>
  <c r="AP2085" i="1" s="1"/>
  <c r="M2093" i="1"/>
  <c r="AP2093" i="1" s="1"/>
  <c r="M2097" i="1"/>
  <c r="AP2097" i="1" s="1"/>
  <c r="N2109" i="1"/>
  <c r="O2113" i="1"/>
  <c r="O2117" i="1"/>
  <c r="M2121" i="1"/>
  <c r="AP2121" i="1" s="1"/>
  <c r="M2125" i="1"/>
  <c r="AP2125" i="1" s="1"/>
  <c r="M2129" i="1"/>
  <c r="AP2129" i="1" s="1"/>
  <c r="M2133" i="1"/>
  <c r="AP2133" i="1" s="1"/>
  <c r="M2138" i="1"/>
  <c r="AP2138" i="1" s="1"/>
  <c r="M2142" i="1"/>
  <c r="AP2142" i="1" s="1"/>
  <c r="M2151" i="1"/>
  <c r="AP2151" i="1" s="1"/>
  <c r="N2175" i="1"/>
  <c r="O2180" i="1"/>
  <c r="N2184" i="1"/>
  <c r="O2188" i="1"/>
  <c r="O2217" i="1"/>
  <c r="M2427" i="1"/>
  <c r="AP2427" i="1" s="1"/>
  <c r="M2451" i="1"/>
  <c r="AP2451" i="1" s="1"/>
  <c r="M2466" i="1"/>
  <c r="AP2466" i="1" s="1"/>
  <c r="M2483" i="1"/>
  <c r="AP2483" i="1" s="1"/>
  <c r="N1332" i="1"/>
  <c r="M1336" i="1"/>
  <c r="AP1336" i="1" s="1"/>
  <c r="O1341" i="1"/>
  <c r="N1351" i="1"/>
  <c r="M1355" i="1"/>
  <c r="AP1355" i="1" s="1"/>
  <c r="O1359" i="1"/>
  <c r="N1368" i="1"/>
  <c r="M1373" i="1"/>
  <c r="AP1373" i="1" s="1"/>
  <c r="O1377" i="1"/>
  <c r="N1386" i="1"/>
  <c r="M1390" i="1"/>
  <c r="AP1390" i="1" s="1"/>
  <c r="O1394" i="1"/>
  <c r="N1407" i="1"/>
  <c r="N1411" i="1"/>
  <c r="O1440" i="1"/>
  <c r="N1452" i="1"/>
  <c r="O1456" i="1"/>
  <c r="N1468" i="1"/>
  <c r="O1472" i="1"/>
  <c r="N1484" i="1"/>
  <c r="O1488" i="1"/>
  <c r="N1501" i="1"/>
  <c r="O1507" i="1"/>
  <c r="N1519" i="1"/>
  <c r="O1523" i="1"/>
  <c r="O1538" i="1"/>
  <c r="O1548" i="1"/>
  <c r="O1556" i="1"/>
  <c r="N1560" i="1"/>
  <c r="O1572" i="1"/>
  <c r="N1577" i="1"/>
  <c r="O1589" i="1"/>
  <c r="O1601" i="1"/>
  <c r="N1605" i="1"/>
  <c r="O1617" i="1"/>
  <c r="O1629" i="1"/>
  <c r="O1673" i="1"/>
  <c r="O1677" i="1"/>
  <c r="O1681" i="1"/>
  <c r="O1689" i="1"/>
  <c r="O1693" i="1"/>
  <c r="O1697" i="1"/>
  <c r="O1731" i="1"/>
  <c r="O1774" i="1"/>
  <c r="O1818" i="1"/>
  <c r="O1822" i="1"/>
  <c r="O1831" i="1"/>
  <c r="O1862" i="1"/>
  <c r="O1943" i="1"/>
  <c r="O1949" i="1"/>
  <c r="O1953" i="1"/>
  <c r="O1963" i="1"/>
  <c r="O1968" i="1"/>
  <c r="O1976" i="1"/>
  <c r="N1980" i="1"/>
  <c r="O1984" i="1"/>
  <c r="N1997" i="1"/>
  <c r="N2027" i="1"/>
  <c r="O2049" i="1"/>
  <c r="O2054" i="1"/>
  <c r="O2058" i="1"/>
  <c r="O2073" i="1"/>
  <c r="O2077" i="1"/>
  <c r="O2081" i="1"/>
  <c r="O2085" i="1"/>
  <c r="N2089" i="1"/>
  <c r="O2093" i="1"/>
  <c r="O2097" i="1"/>
  <c r="N2101" i="1"/>
  <c r="M2109" i="1"/>
  <c r="AP2109" i="1" s="1"/>
  <c r="O2125" i="1"/>
  <c r="O2129" i="1"/>
  <c r="O2133" i="1"/>
  <c r="O2138" i="1"/>
  <c r="O2142" i="1"/>
  <c r="N2147" i="1"/>
  <c r="O2151" i="1"/>
  <c r="N2155" i="1"/>
  <c r="N2159" i="1"/>
  <c r="N2163" i="1"/>
  <c r="N2167" i="1"/>
  <c r="N2171" i="1"/>
  <c r="O2175" i="1"/>
  <c r="O2184" i="1"/>
  <c r="O2201" i="1"/>
  <c r="N2209" i="1"/>
  <c r="M2431" i="1"/>
  <c r="AP2431" i="1" s="1"/>
  <c r="M2470" i="1"/>
  <c r="AP2470" i="1" s="1"/>
  <c r="M1332" i="1"/>
  <c r="AP1332" i="1" s="1"/>
  <c r="O1336" i="1"/>
  <c r="N1347" i="1"/>
  <c r="M1351" i="1"/>
  <c r="AP1351" i="1" s="1"/>
  <c r="O1355" i="1"/>
  <c r="N1363" i="1"/>
  <c r="M1368" i="1"/>
  <c r="AP1368" i="1" s="1"/>
  <c r="O1373" i="1"/>
  <c r="N1381" i="1"/>
  <c r="M1386" i="1"/>
  <c r="AP1386" i="1" s="1"/>
  <c r="O1390" i="1"/>
  <c r="N1415" i="1"/>
  <c r="N1420" i="1"/>
  <c r="N1448" i="1"/>
  <c r="O1452" i="1"/>
  <c r="N1464" i="1"/>
  <c r="O1468" i="1"/>
  <c r="N1480" i="1"/>
  <c r="O1484" i="1"/>
  <c r="N1497" i="1"/>
  <c r="O1501" i="1"/>
  <c r="N1515" i="1"/>
  <c r="O1519" i="1"/>
  <c r="N1534" i="1"/>
  <c r="N1543" i="1"/>
  <c r="N1552" i="1"/>
  <c r="O1560" i="1"/>
  <c r="N1564" i="1"/>
  <c r="O1577" i="1"/>
  <c r="N1581" i="1"/>
  <c r="N1593" i="1"/>
  <c r="O1605" i="1"/>
  <c r="N1609" i="1"/>
  <c r="N1621" i="1"/>
  <c r="O1637" i="1"/>
  <c r="O1653" i="1"/>
  <c r="O1701" i="1"/>
  <c r="O1723" i="1"/>
  <c r="O1727" i="1"/>
  <c r="O1738" i="1"/>
  <c r="O1758" i="1"/>
  <c r="O1762" i="1"/>
  <c r="O1778" i="1"/>
  <c r="O1799" i="1"/>
  <c r="O1803" i="1"/>
  <c r="O1807" i="1"/>
  <c r="O1853" i="1"/>
  <c r="O1857" i="1"/>
  <c r="O1866" i="1"/>
  <c r="O1889" i="1"/>
  <c r="O1910" i="1"/>
  <c r="O1914" i="1"/>
  <c r="O1921" i="1"/>
  <c r="O1928" i="1"/>
  <c r="N1935" i="1"/>
  <c r="O1980" i="1"/>
  <c r="O1992" i="1"/>
  <c r="O1997" i="1"/>
  <c r="N2006" i="1"/>
  <c r="O2027" i="1"/>
  <c r="N2031" i="1"/>
  <c r="M2089" i="1"/>
  <c r="AP2089" i="1" s="1"/>
  <c r="M2101" i="1"/>
  <c r="AP2101" i="1" s="1"/>
  <c r="N2105" i="1"/>
  <c r="O2109" i="1"/>
  <c r="N2113" i="1"/>
  <c r="N2117" i="1"/>
  <c r="M2147" i="1"/>
  <c r="AP2147" i="1" s="1"/>
  <c r="M2155" i="1"/>
  <c r="AP2155" i="1" s="1"/>
  <c r="M2159" i="1"/>
  <c r="AP2159" i="1" s="1"/>
  <c r="M2163" i="1"/>
  <c r="AP2163" i="1" s="1"/>
  <c r="M2167" i="1"/>
  <c r="AP2167" i="1" s="1"/>
  <c r="M2171" i="1"/>
  <c r="AP2171" i="1" s="1"/>
  <c r="N2192" i="1"/>
  <c r="N2197" i="1"/>
  <c r="N2205" i="1"/>
  <c r="O2209" i="1"/>
  <c r="N2213" i="1"/>
  <c r="M2423" i="1"/>
  <c r="AP2423" i="1" s="1"/>
  <c r="M2436" i="1"/>
  <c r="AP2436" i="1" s="1"/>
  <c r="M2442" i="1"/>
  <c r="AP2442" i="1" s="1"/>
  <c r="M2455" i="1"/>
  <c r="AP2455" i="1" s="1"/>
  <c r="M2475" i="1"/>
  <c r="AP2475" i="1" s="1"/>
  <c r="M2487" i="1"/>
  <c r="AP2487" i="1" s="1"/>
  <c r="M2491" i="1"/>
  <c r="AP2491" i="1" s="1"/>
  <c r="N1327" i="1"/>
  <c r="R10" i="1"/>
  <c r="U10" i="1" s="1"/>
  <c r="S10" i="1"/>
  <c r="V10" i="1" s="1"/>
  <c r="Q14" i="1"/>
  <c r="R18" i="1"/>
  <c r="S18" i="1"/>
  <c r="Q18" i="1"/>
  <c r="R22" i="1"/>
  <c r="S22" i="1"/>
  <c r="Q22" i="1"/>
  <c r="R26" i="1"/>
  <c r="S26" i="1"/>
  <c r="Q26" i="1"/>
  <c r="Q30" i="1"/>
  <c r="R34" i="1"/>
  <c r="S34" i="1"/>
  <c r="Q34" i="1"/>
  <c r="Q45" i="1"/>
  <c r="R49" i="1"/>
  <c r="S49" i="1"/>
  <c r="Q49" i="1"/>
  <c r="R53" i="1"/>
  <c r="S53" i="1"/>
  <c r="Q53" i="1"/>
  <c r="R57" i="1"/>
  <c r="S57" i="1"/>
  <c r="Q57" i="1"/>
  <c r="R61" i="1"/>
  <c r="S61" i="1"/>
  <c r="Q61" i="1"/>
  <c r="Q65" i="1"/>
  <c r="Q69" i="1"/>
  <c r="Q73" i="1"/>
  <c r="Q77" i="1"/>
  <c r="Q82" i="1"/>
  <c r="Q87" i="1"/>
  <c r="Q92" i="1"/>
  <c r="Q96" i="1"/>
  <c r="R100" i="1"/>
  <c r="S100" i="1"/>
  <c r="Q100" i="1"/>
  <c r="Q104" i="1"/>
  <c r="Q108" i="1"/>
  <c r="Q112" i="1"/>
  <c r="Q116" i="1"/>
  <c r="Q120" i="1"/>
  <c r="Q124" i="1"/>
  <c r="Q128" i="1"/>
  <c r="Q132" i="1"/>
  <c r="Q136" i="1"/>
  <c r="Q140" i="1"/>
  <c r="Q144" i="1"/>
  <c r="R148" i="1"/>
  <c r="S148" i="1"/>
  <c r="Q148" i="1"/>
  <c r="Q152" i="1"/>
  <c r="R156" i="1"/>
  <c r="S156" i="1"/>
  <c r="Q156" i="1"/>
  <c r="R160" i="1"/>
  <c r="S160" i="1"/>
  <c r="Q160" i="1"/>
  <c r="R164" i="1"/>
  <c r="S164" i="1"/>
  <c r="Q164" i="1"/>
  <c r="Q168" i="1"/>
  <c r="Q172" i="1"/>
  <c r="R176" i="1"/>
  <c r="S176" i="1"/>
  <c r="Q176" i="1"/>
  <c r="R180" i="1"/>
  <c r="S180" i="1"/>
  <c r="Q180" i="1"/>
  <c r="R184" i="1"/>
  <c r="S184" i="1"/>
  <c r="Q184" i="1"/>
  <c r="Q9" i="1"/>
  <c r="R13" i="1"/>
  <c r="S13" i="1"/>
  <c r="Q13" i="1"/>
  <c r="Q17" i="1"/>
  <c r="R21" i="1"/>
  <c r="S21" i="1"/>
  <c r="Q21" i="1"/>
  <c r="R25" i="1"/>
  <c r="S25" i="1"/>
  <c r="Q25" i="1"/>
  <c r="Q29" i="1"/>
  <c r="R33" i="1"/>
  <c r="S33" i="1"/>
  <c r="Q33" i="1"/>
  <c r="R37" i="1"/>
  <c r="S37" i="1"/>
  <c r="Q37" i="1"/>
  <c r="Q44" i="1"/>
  <c r="R48" i="1"/>
  <c r="S48" i="1"/>
  <c r="Q48" i="1"/>
  <c r="R52" i="1"/>
  <c r="S52" i="1"/>
  <c r="Q52" i="1"/>
  <c r="R56" i="1"/>
  <c r="S56" i="1"/>
  <c r="Q56" i="1"/>
  <c r="R60" i="1"/>
  <c r="S60" i="1"/>
  <c r="Q60" i="1"/>
  <c r="Q64" i="1"/>
  <c r="Q68" i="1"/>
  <c r="Q72" i="1"/>
  <c r="Q76" i="1"/>
  <c r="Q80" i="1"/>
  <c r="Q86" i="1"/>
  <c r="Q90" i="1"/>
  <c r="Q95" i="1"/>
  <c r="Q99" i="1"/>
  <c r="R103" i="1"/>
  <c r="S103" i="1"/>
  <c r="Q103" i="1"/>
  <c r="Q107" i="1"/>
  <c r="Q111" i="1"/>
  <c r="Q115" i="1"/>
  <c r="Q119" i="1"/>
  <c r="Q123" i="1"/>
  <c r="Q127" i="1"/>
  <c r="Q131" i="1"/>
  <c r="Q135" i="1"/>
  <c r="Q139" i="1"/>
  <c r="Q143" i="1"/>
  <c r="R147" i="1"/>
  <c r="S147" i="1"/>
  <c r="Q147" i="1"/>
  <c r="R151" i="1"/>
  <c r="S151" i="1"/>
  <c r="Q151" i="1"/>
  <c r="R155" i="1"/>
  <c r="S155" i="1"/>
  <c r="Q155" i="1"/>
  <c r="R159" i="1"/>
  <c r="S159" i="1"/>
  <c r="Q159" i="1"/>
  <c r="R163" i="1"/>
  <c r="S163" i="1"/>
  <c r="Q163" i="1"/>
  <c r="Q167" i="1"/>
  <c r="Q171" i="1"/>
  <c r="R175" i="1"/>
  <c r="S175" i="1"/>
  <c r="Q175" i="1"/>
  <c r="R179" i="1"/>
  <c r="U179" i="1" s="1"/>
  <c r="S179" i="1"/>
  <c r="V179" i="1" s="1"/>
  <c r="Q179" i="1"/>
  <c r="R183" i="1"/>
  <c r="S183" i="1"/>
  <c r="Q183" i="1"/>
  <c r="Q187" i="1"/>
  <c r="R191" i="1"/>
  <c r="S191" i="1"/>
  <c r="Q191" i="1"/>
  <c r="Q195" i="1"/>
  <c r="Q199" i="1"/>
  <c r="Q203" i="1"/>
  <c r="R209" i="1"/>
  <c r="S209" i="1"/>
  <c r="Q209" i="1"/>
  <c r="J1322" i="1"/>
  <c r="J1324" i="1"/>
  <c r="J1326" i="1"/>
  <c r="J1328" i="1"/>
  <c r="J1330" i="1"/>
  <c r="J1591" i="1"/>
  <c r="J1621" i="1"/>
  <c r="J1667" i="1"/>
  <c r="J1805" i="1"/>
  <c r="J1833" i="1"/>
  <c r="J1919" i="1"/>
  <c r="J1982" i="1"/>
  <c r="J1990" i="1"/>
  <c r="J2016" i="1"/>
  <c r="J2105" i="1"/>
  <c r="J2121" i="1"/>
  <c r="J2178" i="1"/>
  <c r="J2195" i="1"/>
  <c r="J2197" i="1"/>
  <c r="J2201" i="1"/>
  <c r="J2415" i="1"/>
  <c r="J2419" i="1"/>
  <c r="J2425" i="1"/>
  <c r="J2453" i="1"/>
  <c r="R8" i="1"/>
  <c r="S8" i="1"/>
  <c r="Q8" i="1"/>
  <c r="S12" i="1"/>
  <c r="R12" i="1"/>
  <c r="Q12" i="1"/>
  <c r="S16" i="1"/>
  <c r="R16" i="1"/>
  <c r="Q16" i="1"/>
  <c r="S20" i="1"/>
  <c r="R20" i="1"/>
  <c r="Q20" i="1"/>
  <c r="S24" i="1"/>
  <c r="R24" i="1"/>
  <c r="Q24" i="1"/>
  <c r="S28" i="1"/>
  <c r="R28" i="1"/>
  <c r="Q28" i="1"/>
  <c r="Q32" i="1"/>
  <c r="S36" i="1"/>
  <c r="R36" i="1"/>
  <c r="Q36" i="1"/>
  <c r="S43" i="1"/>
  <c r="R43" i="1"/>
  <c r="Q43" i="1"/>
  <c r="Q47" i="1"/>
  <c r="S51" i="1"/>
  <c r="R51" i="1"/>
  <c r="Q51" i="1"/>
  <c r="S55" i="1"/>
  <c r="R55" i="1"/>
  <c r="Q55" i="1"/>
  <c r="S59" i="1"/>
  <c r="R59" i="1"/>
  <c r="Q59" i="1"/>
  <c r="Q63" i="1"/>
  <c r="Q67" i="1"/>
  <c r="Q71" i="1"/>
  <c r="Q75" i="1"/>
  <c r="Q79" i="1"/>
  <c r="Q85" i="1"/>
  <c r="Q89" i="1"/>
  <c r="Q94" i="1"/>
  <c r="Q98" i="1"/>
  <c r="S102" i="1"/>
  <c r="R102" i="1"/>
  <c r="Q102" i="1"/>
  <c r="Q106" i="1"/>
  <c r="Q110" i="1"/>
  <c r="Q114" i="1"/>
  <c r="Q118" i="1"/>
  <c r="Q122" i="1"/>
  <c r="Q126" i="1"/>
  <c r="Q130" i="1"/>
  <c r="Q134" i="1"/>
  <c r="Q138" i="1"/>
  <c r="Q142" i="1"/>
  <c r="Q146" i="1"/>
  <c r="S150" i="1"/>
  <c r="R150" i="1"/>
  <c r="Q150" i="1"/>
  <c r="S154" i="1"/>
  <c r="R154" i="1"/>
  <c r="Q154" i="1"/>
  <c r="S158" i="1"/>
  <c r="R158" i="1"/>
  <c r="Q158" i="1"/>
  <c r="S162" i="1"/>
  <c r="R162" i="1"/>
  <c r="Q162" i="1"/>
  <c r="S166" i="1"/>
  <c r="R166" i="1"/>
  <c r="Q166" i="1"/>
  <c r="Q170" i="1"/>
  <c r="Q174" i="1"/>
  <c r="S178" i="1"/>
  <c r="R178" i="1"/>
  <c r="Q178" i="1"/>
  <c r="S182" i="1"/>
  <c r="V182" i="1" s="1"/>
  <c r="R182" i="1"/>
  <c r="U182" i="1" s="1"/>
  <c r="Q182" i="1"/>
  <c r="S186" i="1"/>
  <c r="R186" i="1"/>
  <c r="Q186" i="1"/>
  <c r="S190" i="1"/>
  <c r="R190" i="1"/>
  <c r="Q190" i="1"/>
  <c r="S194" i="1"/>
  <c r="Q194" i="1"/>
  <c r="Q198" i="1"/>
  <c r="Q202" i="1"/>
  <c r="S208" i="1"/>
  <c r="R208" i="1"/>
  <c r="Q208" i="1"/>
  <c r="S212" i="1"/>
  <c r="R212" i="1"/>
  <c r="Q212" i="1"/>
  <c r="S216" i="1"/>
  <c r="R216" i="1"/>
  <c r="Q216" i="1"/>
  <c r="S220" i="1"/>
  <c r="R220" i="1"/>
  <c r="Q220" i="1"/>
  <c r="S224" i="1"/>
  <c r="R224" i="1"/>
  <c r="Q224" i="1"/>
  <c r="S228" i="1"/>
  <c r="R228" i="1"/>
  <c r="Q228" i="1"/>
  <c r="S232" i="1"/>
  <c r="R232" i="1"/>
  <c r="Q232" i="1"/>
  <c r="S236" i="1"/>
  <c r="R236" i="1"/>
  <c r="Q236" i="1"/>
  <c r="S240" i="1"/>
  <c r="R240" i="1"/>
  <c r="Q240" i="1"/>
  <c r="S244" i="1"/>
  <c r="R244" i="1"/>
  <c r="Q244" i="1"/>
  <c r="S249" i="1"/>
  <c r="R249" i="1"/>
  <c r="Q249" i="1"/>
  <c r="S253" i="1"/>
  <c r="R253" i="1"/>
  <c r="Q253" i="1"/>
  <c r="S257" i="1"/>
  <c r="V257" i="1" s="1"/>
  <c r="R257" i="1"/>
  <c r="U257" i="1" s="1"/>
  <c r="Q257" i="1"/>
  <c r="S261" i="1"/>
  <c r="R261" i="1"/>
  <c r="Q261" i="1"/>
  <c r="S265" i="1"/>
  <c r="V265" i="1" s="1"/>
  <c r="R265" i="1"/>
  <c r="U265" i="1" s="1"/>
  <c r="Q265" i="1"/>
  <c r="S269" i="1"/>
  <c r="R269" i="1"/>
  <c r="Q269" i="1"/>
  <c r="S273" i="1"/>
  <c r="R273" i="1"/>
  <c r="Q273" i="1"/>
  <c r="S277" i="1"/>
  <c r="R277" i="1"/>
  <c r="Q277" i="1"/>
  <c r="S281" i="1"/>
  <c r="R281" i="1"/>
  <c r="Q281" i="1"/>
  <c r="S285" i="1"/>
  <c r="R285" i="1"/>
  <c r="Q285" i="1"/>
  <c r="S289" i="1"/>
  <c r="R289" i="1"/>
  <c r="Q289" i="1"/>
  <c r="S293" i="1"/>
  <c r="R293" i="1"/>
  <c r="Q293" i="1"/>
  <c r="S297" i="1"/>
  <c r="R297" i="1"/>
  <c r="Q297" i="1"/>
  <c r="Q301" i="1"/>
  <c r="Q305" i="1"/>
  <c r="Q310" i="1"/>
  <c r="S314" i="1"/>
  <c r="R314" i="1"/>
  <c r="Q314" i="1"/>
  <c r="S318" i="1"/>
  <c r="R318" i="1"/>
  <c r="Q318" i="1"/>
  <c r="S322" i="1"/>
  <c r="R322" i="1"/>
  <c r="Q322" i="1"/>
  <c r="S326" i="1"/>
  <c r="R326" i="1"/>
  <c r="Q326" i="1"/>
  <c r="S330" i="1"/>
  <c r="R330" i="1"/>
  <c r="Q330" i="1"/>
  <c r="S334" i="1"/>
  <c r="R334" i="1"/>
  <c r="Q334" i="1"/>
  <c r="S338" i="1"/>
  <c r="R338" i="1"/>
  <c r="Q338" i="1"/>
  <c r="S342" i="1"/>
  <c r="R342" i="1"/>
  <c r="Q342" i="1"/>
  <c r="S346" i="1"/>
  <c r="R346" i="1"/>
  <c r="Q346" i="1"/>
  <c r="S350" i="1"/>
  <c r="R350" i="1"/>
  <c r="Q350" i="1"/>
  <c r="S354" i="1"/>
  <c r="R354" i="1"/>
  <c r="Q354" i="1"/>
  <c r="S358" i="1"/>
  <c r="R358" i="1"/>
  <c r="Q358" i="1"/>
  <c r="S362" i="1"/>
  <c r="R362" i="1"/>
  <c r="Q362" i="1"/>
  <c r="S366" i="1"/>
  <c r="R366" i="1"/>
  <c r="Q366" i="1"/>
  <c r="S370" i="1"/>
  <c r="R370" i="1"/>
  <c r="Q370" i="1"/>
  <c r="S374" i="1"/>
  <c r="R374" i="1"/>
  <c r="Q374" i="1"/>
  <c r="S378" i="1"/>
  <c r="R378" i="1"/>
  <c r="Q378" i="1"/>
  <c r="S382" i="1"/>
  <c r="R382" i="1"/>
  <c r="Q382" i="1"/>
  <c r="S386" i="1"/>
  <c r="R386" i="1"/>
  <c r="Q386" i="1"/>
  <c r="S390" i="1"/>
  <c r="R390" i="1"/>
  <c r="Q390" i="1"/>
  <c r="S394" i="1"/>
  <c r="R394" i="1"/>
  <c r="Q394" i="1"/>
  <c r="S398" i="1"/>
  <c r="R398" i="1"/>
  <c r="Q398" i="1"/>
  <c r="S402" i="1"/>
  <c r="R402" i="1"/>
  <c r="Q402" i="1"/>
  <c r="S406" i="1"/>
  <c r="R406" i="1"/>
  <c r="Q406" i="1"/>
  <c r="S410" i="1"/>
  <c r="R410" i="1"/>
  <c r="Q410" i="1"/>
  <c r="S414" i="1"/>
  <c r="R414" i="1"/>
  <c r="Q414" i="1"/>
  <c r="S418" i="1"/>
  <c r="R418" i="1"/>
  <c r="Q418" i="1"/>
  <c r="S422" i="1"/>
  <c r="R422" i="1"/>
  <c r="Q422" i="1"/>
  <c r="S426" i="1"/>
  <c r="R426" i="1"/>
  <c r="Q426" i="1"/>
  <c r="S430" i="1"/>
  <c r="R430" i="1"/>
  <c r="Q430" i="1"/>
  <c r="S434" i="1"/>
  <c r="R434" i="1"/>
  <c r="Q434" i="1"/>
  <c r="S438" i="1"/>
  <c r="R438" i="1"/>
  <c r="Q438" i="1"/>
  <c r="S442" i="1"/>
  <c r="R442" i="1"/>
  <c r="Q442" i="1"/>
  <c r="S446" i="1"/>
  <c r="R446" i="1"/>
  <c r="Q446" i="1"/>
  <c r="S450" i="1"/>
  <c r="R450" i="1"/>
  <c r="Q450" i="1"/>
  <c r="S454" i="1"/>
  <c r="R454" i="1"/>
  <c r="Q454" i="1"/>
  <c r="Q458" i="1"/>
  <c r="Q462" i="1"/>
  <c r="Q466" i="1"/>
  <c r="Q470" i="1"/>
  <c r="Q474" i="1"/>
  <c r="Q479" i="1"/>
  <c r="Q483" i="1"/>
  <c r="Q487" i="1"/>
  <c r="Q491" i="1"/>
  <c r="Q495" i="1"/>
  <c r="Q499" i="1"/>
  <c r="Q503" i="1"/>
  <c r="Q507" i="1"/>
  <c r="Q511" i="1"/>
  <c r="Q515" i="1"/>
  <c r="S519" i="1"/>
  <c r="R519" i="1"/>
  <c r="Q519" i="1"/>
  <c r="S523" i="1"/>
  <c r="R523" i="1"/>
  <c r="Q523" i="1"/>
  <c r="S527" i="1"/>
  <c r="R527" i="1"/>
  <c r="Q527" i="1"/>
  <c r="S531" i="1"/>
  <c r="R531" i="1"/>
  <c r="Q531" i="1"/>
  <c r="Q535" i="1"/>
  <c r="Q539" i="1"/>
  <c r="Q543" i="1"/>
  <c r="Q547" i="1"/>
  <c r="Q551" i="1"/>
  <c r="Q555" i="1"/>
  <c r="Q559" i="1"/>
  <c r="Q563" i="1"/>
  <c r="Q567" i="1"/>
  <c r="Q571" i="1"/>
  <c r="Q575" i="1"/>
  <c r="Q579" i="1"/>
  <c r="Q583" i="1"/>
  <c r="Q587" i="1"/>
  <c r="Q591" i="1"/>
  <c r="Q595" i="1"/>
  <c r="S599" i="1"/>
  <c r="R599" i="1"/>
  <c r="Q599" i="1"/>
  <c r="Q603" i="1"/>
  <c r="Q607" i="1"/>
  <c r="Q612" i="1"/>
  <c r="Q616" i="1"/>
  <c r="Q622" i="1"/>
  <c r="S626" i="1"/>
  <c r="R626" i="1"/>
  <c r="Q626" i="1"/>
  <c r="S631" i="1"/>
  <c r="R631" i="1"/>
  <c r="Q631" i="1"/>
  <c r="Q635" i="1"/>
  <c r="Q639" i="1"/>
  <c r="S643" i="1"/>
  <c r="R643" i="1"/>
  <c r="Q643" i="1"/>
  <c r="R7" i="1"/>
  <c r="S7" i="1"/>
  <c r="Q7" i="1"/>
  <c r="R11" i="1"/>
  <c r="S11" i="1"/>
  <c r="Q11" i="1"/>
  <c r="R15" i="1"/>
  <c r="S15" i="1"/>
  <c r="Q15" i="1"/>
  <c r="R19" i="1"/>
  <c r="U19" i="1" s="1"/>
  <c r="S19" i="1"/>
  <c r="V19" i="1" s="1"/>
  <c r="Q19" i="1"/>
  <c r="Q23" i="1"/>
  <c r="R27" i="1"/>
  <c r="S27" i="1"/>
  <c r="Q27" i="1"/>
  <c r="Q31" i="1"/>
  <c r="Q35" i="1"/>
  <c r="R42" i="1"/>
  <c r="S42" i="1"/>
  <c r="Q42" i="1"/>
  <c r="Q46" i="1"/>
  <c r="R50" i="1"/>
  <c r="S50" i="1"/>
  <c r="Q50" i="1"/>
  <c r="R54" i="1"/>
  <c r="S54" i="1"/>
  <c r="Q54" i="1"/>
  <c r="R58" i="1"/>
  <c r="S58" i="1"/>
  <c r="Q58" i="1"/>
  <c r="R62" i="1"/>
  <c r="S62" i="1"/>
  <c r="Q62" i="1"/>
  <c r="Q66" i="1"/>
  <c r="Q70" i="1"/>
  <c r="Q74" i="1"/>
  <c r="Q78" i="1"/>
  <c r="Q83" i="1"/>
  <c r="Q88" i="1"/>
  <c r="Q93" i="1"/>
  <c r="Q97" i="1"/>
  <c r="R101" i="1"/>
  <c r="S101" i="1"/>
  <c r="Q101" i="1"/>
  <c r="Q105" i="1"/>
  <c r="Q109" i="1"/>
  <c r="Q113" i="1"/>
  <c r="Q117" i="1"/>
  <c r="Q121" i="1"/>
  <c r="Q125" i="1"/>
  <c r="Q129" i="1"/>
  <c r="Q133" i="1"/>
  <c r="Q137" i="1"/>
  <c r="Q141" i="1"/>
  <c r="Q145" i="1"/>
  <c r="R149" i="1"/>
  <c r="S149" i="1"/>
  <c r="Q149" i="1"/>
  <c r="R153" i="1"/>
  <c r="S153" i="1"/>
  <c r="Q153" i="1"/>
  <c r="R157" i="1"/>
  <c r="S157" i="1"/>
  <c r="Q157" i="1"/>
  <c r="R161" i="1"/>
  <c r="S161" i="1"/>
  <c r="Q161" i="1"/>
  <c r="R165" i="1"/>
  <c r="S165" i="1"/>
  <c r="Q165" i="1"/>
  <c r="Q169" i="1"/>
  <c r="R173" i="1"/>
  <c r="U173" i="1" s="1"/>
  <c r="S173" i="1"/>
  <c r="V173" i="1" s="1"/>
  <c r="Q173" i="1"/>
  <c r="R177" i="1"/>
  <c r="S177" i="1"/>
  <c r="Q177" i="1"/>
  <c r="R181" i="1"/>
  <c r="S181" i="1"/>
  <c r="Q181" i="1"/>
  <c r="R185" i="1"/>
  <c r="S185" i="1"/>
  <c r="Q185" i="1"/>
  <c r="Q189" i="1"/>
  <c r="Q193" i="1"/>
  <c r="Q197" i="1"/>
  <c r="R201" i="1"/>
  <c r="S201" i="1"/>
  <c r="Q201" i="1"/>
  <c r="R205" i="1"/>
  <c r="S205" i="1"/>
  <c r="Q205" i="1"/>
  <c r="R211" i="1"/>
  <c r="S211" i="1"/>
  <c r="Q211" i="1"/>
  <c r="R215" i="1"/>
  <c r="S215" i="1"/>
  <c r="Q215" i="1"/>
  <c r="R219" i="1"/>
  <c r="S219" i="1"/>
  <c r="Q219" i="1"/>
  <c r="R223" i="1"/>
  <c r="S223" i="1"/>
  <c r="Q223" i="1"/>
  <c r="R227" i="1"/>
  <c r="S227" i="1"/>
  <c r="Q227" i="1"/>
  <c r="R231" i="1"/>
  <c r="S231" i="1"/>
  <c r="Q231" i="1"/>
  <c r="R235" i="1"/>
  <c r="S235" i="1"/>
  <c r="Q235" i="1"/>
  <c r="R239" i="1"/>
  <c r="S239" i="1"/>
  <c r="Q239" i="1"/>
  <c r="R243" i="1"/>
  <c r="S243" i="1"/>
  <c r="Q243" i="1"/>
  <c r="R248" i="1"/>
  <c r="S248" i="1"/>
  <c r="Q248" i="1"/>
  <c r="R252" i="1"/>
  <c r="S252" i="1"/>
  <c r="Q252" i="1"/>
  <c r="R256" i="1"/>
  <c r="S256" i="1"/>
  <c r="Q256" i="1"/>
  <c r="R260" i="1"/>
  <c r="S260" i="1"/>
  <c r="Q260" i="1"/>
  <c r="R264" i="1"/>
  <c r="S264" i="1"/>
  <c r="Q264" i="1"/>
  <c r="R268" i="1"/>
  <c r="S268" i="1"/>
  <c r="Q268" i="1"/>
  <c r="R272" i="1"/>
  <c r="S272" i="1"/>
  <c r="Q272" i="1"/>
  <c r="R276" i="1"/>
  <c r="S276" i="1"/>
  <c r="Q276" i="1"/>
  <c r="R280" i="1"/>
  <c r="S280" i="1"/>
  <c r="Q280" i="1"/>
  <c r="R284" i="1"/>
  <c r="S284" i="1"/>
  <c r="Q284" i="1"/>
  <c r="R288" i="1"/>
  <c r="S288" i="1"/>
  <c r="Q288" i="1"/>
  <c r="R292" i="1"/>
  <c r="S292" i="1"/>
  <c r="Q292" i="1"/>
  <c r="R296" i="1"/>
  <c r="S296" i="1"/>
  <c r="Q296" i="1"/>
  <c r="Q300" i="1"/>
  <c r="Q304" i="1"/>
  <c r="Q309" i="1"/>
  <c r="Q313" i="1"/>
  <c r="R317" i="1"/>
  <c r="S317" i="1"/>
  <c r="Q317" i="1"/>
  <c r="R321" i="1"/>
  <c r="S321" i="1"/>
  <c r="Q321" i="1"/>
  <c r="R325" i="1"/>
  <c r="S325" i="1"/>
  <c r="Q325" i="1"/>
  <c r="R329" i="1"/>
  <c r="S329" i="1"/>
  <c r="Q329" i="1"/>
  <c r="R333" i="1"/>
  <c r="S333" i="1"/>
  <c r="Q333" i="1"/>
  <c r="R337" i="1"/>
  <c r="S337" i="1"/>
  <c r="Q337" i="1"/>
  <c r="R341" i="1"/>
  <c r="S341" i="1"/>
  <c r="Q341" i="1"/>
  <c r="R345" i="1"/>
  <c r="S345" i="1"/>
  <c r="Q345" i="1"/>
  <c r="R349" i="1"/>
  <c r="S349" i="1"/>
  <c r="Q349" i="1"/>
  <c r="R353" i="1"/>
  <c r="S353" i="1"/>
  <c r="Q353" i="1"/>
  <c r="R357" i="1"/>
  <c r="S357" i="1"/>
  <c r="Q357" i="1"/>
  <c r="R361" i="1"/>
  <c r="S361" i="1"/>
  <c r="Q361" i="1"/>
  <c r="R365" i="1"/>
  <c r="S365" i="1"/>
  <c r="Q365" i="1"/>
  <c r="R369" i="1"/>
  <c r="S369" i="1"/>
  <c r="Q369" i="1"/>
  <c r="R373" i="1"/>
  <c r="S373" i="1"/>
  <c r="Q373" i="1"/>
  <c r="R377" i="1"/>
  <c r="S377" i="1"/>
  <c r="Q377" i="1"/>
  <c r="R381" i="1"/>
  <c r="S381" i="1"/>
  <c r="Q381" i="1"/>
  <c r="R385" i="1"/>
  <c r="S385" i="1"/>
  <c r="Q385" i="1"/>
  <c r="R389" i="1"/>
  <c r="S389" i="1"/>
  <c r="Q389" i="1"/>
  <c r="R393" i="1"/>
  <c r="S393" i="1"/>
  <c r="Q393" i="1"/>
  <c r="R397" i="1"/>
  <c r="S397" i="1"/>
  <c r="Q397" i="1"/>
  <c r="Q401" i="1"/>
  <c r="R405" i="1"/>
  <c r="S405" i="1"/>
  <c r="Q405" i="1"/>
  <c r="R409" i="1"/>
  <c r="S409" i="1"/>
  <c r="Q409" i="1"/>
  <c r="R413" i="1"/>
  <c r="S413" i="1"/>
  <c r="Q413" i="1"/>
  <c r="R417" i="1"/>
  <c r="S417" i="1"/>
  <c r="Q417" i="1"/>
  <c r="R421" i="1"/>
  <c r="S421" i="1"/>
  <c r="Q421" i="1"/>
  <c r="R425" i="1"/>
  <c r="S425" i="1"/>
  <c r="Q425" i="1"/>
  <c r="R429" i="1"/>
  <c r="S429" i="1"/>
  <c r="Q429" i="1"/>
  <c r="R433" i="1"/>
  <c r="S433" i="1"/>
  <c r="Q433" i="1"/>
  <c r="R437" i="1"/>
  <c r="S437" i="1"/>
  <c r="Q437" i="1"/>
  <c r="R441" i="1"/>
  <c r="S441" i="1"/>
  <c r="Q441" i="1"/>
  <c r="R445" i="1"/>
  <c r="S445" i="1"/>
  <c r="Q445" i="1"/>
  <c r="Q449" i="1"/>
  <c r="R453" i="1"/>
  <c r="S453" i="1"/>
  <c r="Q453" i="1"/>
  <c r="Q457" i="1"/>
  <c r="Q461" i="1"/>
  <c r="Q465" i="1"/>
  <c r="R469" i="1"/>
  <c r="U469" i="1" s="1"/>
  <c r="S469" i="1"/>
  <c r="V469" i="1" s="1"/>
  <c r="Q469" i="1"/>
  <c r="Q473" i="1"/>
  <c r="Q478" i="1"/>
  <c r="Q482" i="1"/>
  <c r="Q486" i="1"/>
  <c r="Q490" i="1"/>
  <c r="Q494" i="1"/>
  <c r="Q498" i="1"/>
  <c r="Q502" i="1"/>
  <c r="Q506" i="1"/>
  <c r="Q510" i="1"/>
  <c r="Q514" i="1"/>
  <c r="Q518" i="1"/>
  <c r="Q522" i="1"/>
  <c r="R526" i="1"/>
  <c r="S526" i="1"/>
  <c r="Q526" i="1"/>
  <c r="R530" i="1"/>
  <c r="S530" i="1"/>
  <c r="Q530" i="1"/>
  <c r="Q534" i="1"/>
  <c r="R538" i="1"/>
  <c r="S538" i="1"/>
  <c r="Q538" i="1"/>
  <c r="Q542" i="1"/>
  <c r="Q546" i="1"/>
  <c r="Q550" i="1"/>
  <c r="Q554" i="1"/>
  <c r="Q558" i="1"/>
  <c r="Q562" i="1"/>
  <c r="Q566" i="1"/>
  <c r="Q570" i="1"/>
  <c r="Q574" i="1"/>
  <c r="Q578" i="1"/>
  <c r="Q582" i="1"/>
  <c r="Q586" i="1"/>
  <c r="Q590" i="1"/>
  <c r="Q594" i="1"/>
  <c r="Q598" i="1"/>
  <c r="Q602" i="1"/>
  <c r="Q606" i="1"/>
  <c r="Q611" i="1"/>
  <c r="Q615" i="1"/>
  <c r="R621" i="1"/>
  <c r="S621" i="1"/>
  <c r="Q621" i="1"/>
  <c r="R625" i="1"/>
  <c r="S625" i="1"/>
  <c r="Q625" i="1"/>
  <c r="R629" i="1"/>
  <c r="S629" i="1"/>
  <c r="Q629" i="1"/>
  <c r="Q634" i="1"/>
  <c r="Q638" i="1"/>
  <c r="Q642" i="1"/>
  <c r="R646" i="1"/>
  <c r="S646" i="1"/>
  <c r="Q646" i="1"/>
  <c r="J1323" i="1"/>
  <c r="J1325" i="1"/>
  <c r="J1327" i="1"/>
  <c r="J1329" i="1"/>
  <c r="J1331" i="1"/>
  <c r="J1886" i="1"/>
  <c r="J1956" i="1"/>
  <c r="J1983" i="1"/>
  <c r="J2088" i="1"/>
  <c r="J2092" i="1"/>
  <c r="J2100" i="1"/>
  <c r="J2108" i="1"/>
  <c r="J2112" i="1"/>
  <c r="J2150" i="1"/>
  <c r="J2154" i="1"/>
  <c r="J2179" i="1"/>
  <c r="J2187" i="1"/>
  <c r="J2191" i="1"/>
  <c r="J2196" i="1"/>
  <c r="J2200" i="1"/>
  <c r="J2208" i="1"/>
  <c r="J2422" i="1"/>
  <c r="J2426" i="1"/>
  <c r="J2430" i="1"/>
  <c r="J2435" i="1"/>
  <c r="J2445" i="1"/>
  <c r="J2450" i="1"/>
  <c r="J2454" i="1"/>
  <c r="J2461" i="1"/>
  <c r="J2465" i="1"/>
  <c r="J2469" i="1"/>
  <c r="J2474" i="1"/>
  <c r="J2478" i="1"/>
  <c r="J2482" i="1"/>
  <c r="J2484" i="1"/>
  <c r="J2486" i="1"/>
  <c r="R188" i="1"/>
  <c r="S188" i="1"/>
  <c r="Q188" i="1"/>
  <c r="R192" i="1"/>
  <c r="S192" i="1"/>
  <c r="Q192" i="1"/>
  <c r="Q196" i="1"/>
  <c r="Q200" i="1"/>
  <c r="R204" i="1"/>
  <c r="S204" i="1"/>
  <c r="Q204" i="1"/>
  <c r="R210" i="1"/>
  <c r="S210" i="1"/>
  <c r="Q210" i="1"/>
  <c r="R214" i="1"/>
  <c r="S214" i="1"/>
  <c r="Q214" i="1"/>
  <c r="R218" i="1"/>
  <c r="S218" i="1"/>
  <c r="Q218" i="1"/>
  <c r="R222" i="1"/>
  <c r="S222" i="1"/>
  <c r="Q222" i="1"/>
  <c r="R226" i="1"/>
  <c r="S226" i="1"/>
  <c r="Q226" i="1"/>
  <c r="R230" i="1"/>
  <c r="S230" i="1"/>
  <c r="Q230" i="1"/>
  <c r="R234" i="1"/>
  <c r="S234" i="1"/>
  <c r="Q234" i="1"/>
  <c r="R238" i="1"/>
  <c r="S238" i="1"/>
  <c r="Q238" i="1"/>
  <c r="R242" i="1"/>
  <c r="S242" i="1"/>
  <c r="Q242" i="1"/>
  <c r="R247" i="1"/>
  <c r="S247" i="1"/>
  <c r="Q247" i="1"/>
  <c r="R251" i="1"/>
  <c r="S251" i="1"/>
  <c r="Q251" i="1"/>
  <c r="R255" i="1"/>
  <c r="S255" i="1"/>
  <c r="Q255" i="1"/>
  <c r="R259" i="1"/>
  <c r="S259" i="1"/>
  <c r="Q259" i="1"/>
  <c r="R263" i="1"/>
  <c r="S263" i="1"/>
  <c r="Q263" i="1"/>
  <c r="R267" i="1"/>
  <c r="S267" i="1"/>
  <c r="Q267" i="1"/>
  <c r="R271" i="1"/>
  <c r="S271" i="1"/>
  <c r="Q271" i="1"/>
  <c r="R275" i="1"/>
  <c r="S275" i="1"/>
  <c r="Q275" i="1"/>
  <c r="R279" i="1"/>
  <c r="S279" i="1"/>
  <c r="Q279" i="1"/>
  <c r="R283" i="1"/>
  <c r="S283" i="1"/>
  <c r="Q283" i="1"/>
  <c r="R287" i="1"/>
  <c r="S287" i="1"/>
  <c r="Q287" i="1"/>
  <c r="R291" i="1"/>
  <c r="S291" i="1"/>
  <c r="Q291" i="1"/>
  <c r="R295" i="1"/>
  <c r="S295" i="1"/>
  <c r="Q295" i="1"/>
  <c r="Q299" i="1"/>
  <c r="Q303" i="1"/>
  <c r="Q308" i="1"/>
  <c r="Q312" i="1"/>
  <c r="R316" i="1"/>
  <c r="S316" i="1"/>
  <c r="Q316" i="1"/>
  <c r="R320" i="1"/>
  <c r="S320" i="1"/>
  <c r="Q320" i="1"/>
  <c r="R324" i="1"/>
  <c r="S324" i="1"/>
  <c r="Q324" i="1"/>
  <c r="R328" i="1"/>
  <c r="S328" i="1"/>
  <c r="Q328" i="1"/>
  <c r="R332" i="1"/>
  <c r="S332" i="1"/>
  <c r="Q332" i="1"/>
  <c r="R336" i="1"/>
  <c r="S336" i="1"/>
  <c r="Q336" i="1"/>
  <c r="R340" i="1"/>
  <c r="S340" i="1"/>
  <c r="Q340" i="1"/>
  <c r="R344" i="1"/>
  <c r="S344" i="1"/>
  <c r="Q344" i="1"/>
  <c r="R348" i="1"/>
  <c r="S348" i="1"/>
  <c r="Q348" i="1"/>
  <c r="R352" i="1"/>
  <c r="S352" i="1"/>
  <c r="Q352" i="1"/>
  <c r="R356" i="1"/>
  <c r="S356" i="1"/>
  <c r="Q356" i="1"/>
  <c r="R360" i="1"/>
  <c r="S360" i="1"/>
  <c r="Q360" i="1"/>
  <c r="R364" i="1"/>
  <c r="S364" i="1"/>
  <c r="Q364" i="1"/>
  <c r="R368" i="1"/>
  <c r="S368" i="1"/>
  <c r="Q368" i="1"/>
  <c r="R372" i="1"/>
  <c r="S372" i="1"/>
  <c r="Q372" i="1"/>
  <c r="R376" i="1"/>
  <c r="S376" i="1"/>
  <c r="Q376" i="1"/>
  <c r="R380" i="1"/>
  <c r="S380" i="1"/>
  <c r="Q380" i="1"/>
  <c r="R384" i="1"/>
  <c r="S384" i="1"/>
  <c r="Q384" i="1"/>
  <c r="R388" i="1"/>
  <c r="S388" i="1"/>
  <c r="Q388" i="1"/>
  <c r="R392" i="1"/>
  <c r="S392" i="1"/>
  <c r="Q392" i="1"/>
  <c r="R396" i="1"/>
  <c r="S396" i="1"/>
  <c r="Q396" i="1"/>
  <c r="R400" i="1"/>
  <c r="S400" i="1"/>
  <c r="Q400" i="1"/>
  <c r="R404" i="1"/>
  <c r="S404" i="1"/>
  <c r="Q404" i="1"/>
  <c r="R408" i="1"/>
  <c r="S408" i="1"/>
  <c r="Q408" i="1"/>
  <c r="R412" i="1"/>
  <c r="S412" i="1"/>
  <c r="Q412" i="1"/>
  <c r="R416" i="1"/>
  <c r="S416" i="1"/>
  <c r="Q416" i="1"/>
  <c r="R420" i="1"/>
  <c r="S420" i="1"/>
  <c r="Q420" i="1"/>
  <c r="R424" i="1"/>
  <c r="S424" i="1"/>
  <c r="Q424" i="1"/>
  <c r="R428" i="1"/>
  <c r="S428" i="1"/>
  <c r="Q428" i="1"/>
  <c r="R432" i="1"/>
  <c r="S432" i="1"/>
  <c r="Q432" i="1"/>
  <c r="R436" i="1"/>
  <c r="S436" i="1"/>
  <c r="Q436" i="1"/>
  <c r="R440" i="1"/>
  <c r="S440" i="1"/>
  <c r="Q440" i="1"/>
  <c r="R444" i="1"/>
  <c r="S444" i="1"/>
  <c r="Q444" i="1"/>
  <c r="R448" i="1"/>
  <c r="S448" i="1"/>
  <c r="Q448" i="1"/>
  <c r="Q452" i="1"/>
  <c r="R456" i="1"/>
  <c r="S456" i="1"/>
  <c r="Q456" i="1"/>
  <c r="Q460" i="1"/>
  <c r="Q464" i="1"/>
  <c r="Q468" i="1"/>
  <c r="Q472" i="1"/>
  <c r="Q477" i="1"/>
  <c r="Q481" i="1"/>
  <c r="Q485" i="1"/>
  <c r="Q489" i="1"/>
  <c r="Q493" i="1"/>
  <c r="Q497" i="1"/>
  <c r="Q501" i="1"/>
  <c r="Q505" i="1"/>
  <c r="Q509" i="1"/>
  <c r="Q513" i="1"/>
  <c r="Q517" i="1"/>
  <c r="Q521" i="1"/>
  <c r="R525" i="1"/>
  <c r="S525" i="1"/>
  <c r="Q525" i="1"/>
  <c r="R529" i="1"/>
  <c r="S529" i="1"/>
  <c r="Q529" i="1"/>
  <c r="R533" i="1"/>
  <c r="S533" i="1"/>
  <c r="Q533" i="1"/>
  <c r="R537" i="1"/>
  <c r="S537" i="1"/>
  <c r="Q537" i="1"/>
  <c r="Q541" i="1"/>
  <c r="Q545" i="1"/>
  <c r="Q549" i="1"/>
  <c r="Q553" i="1"/>
  <c r="Q557" i="1"/>
  <c r="Q561" i="1"/>
  <c r="Q565" i="1"/>
  <c r="Q569" i="1"/>
  <c r="Q573" i="1"/>
  <c r="Q577" i="1"/>
  <c r="Q581" i="1"/>
  <c r="Q585" i="1"/>
  <c r="Q589" i="1"/>
  <c r="Q593" i="1"/>
  <c r="Q597" i="1"/>
  <c r="Q601" i="1"/>
  <c r="Q605" i="1"/>
  <c r="Q610" i="1"/>
  <c r="Q614" i="1"/>
  <c r="Q620" i="1"/>
  <c r="Q624" i="1"/>
  <c r="R628" i="1"/>
  <c r="S628" i="1"/>
  <c r="Q628" i="1"/>
  <c r="Q633" i="1"/>
  <c r="Q637" i="1"/>
  <c r="Q641" i="1"/>
  <c r="R645" i="1"/>
  <c r="S645" i="1"/>
  <c r="Q645" i="1"/>
  <c r="R649" i="1"/>
  <c r="S649" i="1"/>
  <c r="Q649" i="1"/>
  <c r="R654" i="1"/>
  <c r="S654" i="1"/>
  <c r="Q654" i="1"/>
  <c r="R658" i="1"/>
  <c r="S658" i="1"/>
  <c r="Q658" i="1"/>
  <c r="R662" i="1"/>
  <c r="S662" i="1"/>
  <c r="Q662" i="1"/>
  <c r="R667" i="1"/>
  <c r="S667" i="1"/>
  <c r="Q667" i="1"/>
  <c r="R671" i="1"/>
  <c r="S671" i="1"/>
  <c r="Q671" i="1"/>
  <c r="R675" i="1"/>
  <c r="S675" i="1"/>
  <c r="Q675" i="1"/>
  <c r="R679" i="1"/>
  <c r="S679" i="1"/>
  <c r="Q679" i="1"/>
  <c r="R683" i="1"/>
  <c r="S683" i="1"/>
  <c r="Q683" i="1"/>
  <c r="R690" i="1"/>
  <c r="S690" i="1"/>
  <c r="Q690" i="1"/>
  <c r="R694" i="1"/>
  <c r="S694" i="1"/>
  <c r="Q694" i="1"/>
  <c r="R698" i="1"/>
  <c r="S698" i="1"/>
  <c r="Q698" i="1"/>
  <c r="R702" i="1"/>
  <c r="S702" i="1"/>
  <c r="Q702" i="1"/>
  <c r="R706" i="1"/>
  <c r="S706" i="1"/>
  <c r="Q706" i="1"/>
  <c r="R710" i="1"/>
  <c r="S710" i="1"/>
  <c r="Q710" i="1"/>
  <c r="R715" i="1"/>
  <c r="S715" i="1"/>
  <c r="Q715" i="1"/>
  <c r="R720" i="1"/>
  <c r="S720" i="1"/>
  <c r="Q720" i="1"/>
  <c r="R724" i="1"/>
  <c r="S724" i="1"/>
  <c r="Q724" i="1"/>
  <c r="R728" i="1"/>
  <c r="S728" i="1"/>
  <c r="Q728" i="1"/>
  <c r="R733" i="1"/>
  <c r="S733" i="1"/>
  <c r="Q733" i="1"/>
  <c r="R737" i="1"/>
  <c r="S737" i="1"/>
  <c r="Q737" i="1"/>
  <c r="R741" i="1"/>
  <c r="S741" i="1"/>
  <c r="Q741" i="1"/>
  <c r="R745" i="1"/>
  <c r="S745" i="1"/>
  <c r="Q745" i="1"/>
  <c r="R749" i="1"/>
  <c r="S749" i="1"/>
  <c r="Q749" i="1"/>
  <c r="R753" i="1"/>
  <c r="S753" i="1"/>
  <c r="Q753" i="1"/>
  <c r="R757" i="1"/>
  <c r="S757" i="1"/>
  <c r="Q757" i="1"/>
  <c r="R761" i="1"/>
  <c r="S761" i="1"/>
  <c r="Q761" i="1"/>
  <c r="R765" i="1"/>
  <c r="S765" i="1"/>
  <c r="Q765" i="1"/>
  <c r="R769" i="1"/>
  <c r="S769" i="1"/>
  <c r="Q769" i="1"/>
  <c r="R773" i="1"/>
  <c r="S773" i="1"/>
  <c r="Q773" i="1"/>
  <c r="R777" i="1"/>
  <c r="S777" i="1"/>
  <c r="Q777" i="1"/>
  <c r="R781" i="1"/>
  <c r="S781" i="1"/>
  <c r="Q781" i="1"/>
  <c r="R785" i="1"/>
  <c r="S785" i="1"/>
  <c r="Q785" i="1"/>
  <c r="R789" i="1"/>
  <c r="S789" i="1"/>
  <c r="Q789" i="1"/>
  <c r="R793" i="1"/>
  <c r="S793" i="1"/>
  <c r="Q793" i="1"/>
  <c r="R797" i="1"/>
  <c r="U797" i="1" s="1"/>
  <c r="S797" i="1"/>
  <c r="V797" i="1" s="1"/>
  <c r="Q797" i="1"/>
  <c r="R801" i="1"/>
  <c r="S801" i="1"/>
  <c r="Q801" i="1"/>
  <c r="R805" i="1"/>
  <c r="U805" i="1" s="1"/>
  <c r="S805" i="1"/>
  <c r="V805" i="1" s="1"/>
  <c r="Q805" i="1"/>
  <c r="R809" i="1"/>
  <c r="S809" i="1"/>
  <c r="Q809" i="1"/>
  <c r="R813" i="1"/>
  <c r="U813" i="1" s="1"/>
  <c r="S813" i="1"/>
  <c r="V813" i="1" s="1"/>
  <c r="Q813" i="1"/>
  <c r="R817" i="1"/>
  <c r="S817" i="1"/>
  <c r="Q817" i="1"/>
  <c r="R834" i="1"/>
  <c r="S834" i="1"/>
  <c r="Q834" i="1"/>
  <c r="R839" i="1"/>
  <c r="S839" i="1"/>
  <c r="Q839" i="1"/>
  <c r="R843" i="1"/>
  <c r="S843" i="1"/>
  <c r="Q843" i="1"/>
  <c r="R847" i="1"/>
  <c r="S847" i="1"/>
  <c r="Q847" i="1"/>
  <c r="R851" i="1"/>
  <c r="S851" i="1"/>
  <c r="Q851" i="1"/>
  <c r="R870" i="1"/>
  <c r="S870" i="1"/>
  <c r="Q870" i="1"/>
  <c r="R874" i="1"/>
  <c r="S874" i="1"/>
  <c r="Q874" i="1"/>
  <c r="R878" i="1"/>
  <c r="S878" i="1"/>
  <c r="Q878" i="1"/>
  <c r="R882" i="1"/>
  <c r="U882" i="1" s="1"/>
  <c r="S882" i="1"/>
  <c r="V882" i="1" s="1"/>
  <c r="Q882" i="1"/>
  <c r="R886" i="1"/>
  <c r="S886" i="1"/>
  <c r="Q886" i="1"/>
  <c r="R890" i="1"/>
  <c r="U890" i="1" s="1"/>
  <c r="S890" i="1"/>
  <c r="V890" i="1" s="1"/>
  <c r="Q890" i="1"/>
  <c r="R895" i="1"/>
  <c r="U895" i="1" s="1"/>
  <c r="S895" i="1"/>
  <c r="V895" i="1" s="1"/>
  <c r="Q895" i="1"/>
  <c r="R899" i="1"/>
  <c r="S899" i="1"/>
  <c r="Q899" i="1"/>
  <c r="R903" i="1"/>
  <c r="S903" i="1"/>
  <c r="Q903" i="1"/>
  <c r="R907" i="1"/>
  <c r="S907" i="1"/>
  <c r="Q907" i="1"/>
  <c r="R911" i="1"/>
  <c r="U911" i="1" s="1"/>
  <c r="S911" i="1"/>
  <c r="V911" i="1" s="1"/>
  <c r="Q911" i="1"/>
  <c r="R915" i="1"/>
  <c r="S915" i="1"/>
  <c r="Q915" i="1"/>
  <c r="R919" i="1"/>
  <c r="S919" i="1"/>
  <c r="Q919" i="1"/>
  <c r="R923" i="1"/>
  <c r="S923" i="1"/>
  <c r="Q923" i="1"/>
  <c r="R927" i="1"/>
  <c r="S927" i="1"/>
  <c r="Q927" i="1"/>
  <c r="R931" i="1"/>
  <c r="S931" i="1"/>
  <c r="Q931" i="1"/>
  <c r="R935" i="1"/>
  <c r="U935" i="1" s="1"/>
  <c r="S935" i="1"/>
  <c r="V935" i="1" s="1"/>
  <c r="Q935" i="1"/>
  <c r="R939" i="1"/>
  <c r="S939" i="1"/>
  <c r="Q939" i="1"/>
  <c r="R943" i="1"/>
  <c r="S943" i="1"/>
  <c r="Q943" i="1"/>
  <c r="R947" i="1"/>
  <c r="S947" i="1"/>
  <c r="Q947" i="1"/>
  <c r="R951" i="1"/>
  <c r="U951" i="1" s="1"/>
  <c r="S951" i="1"/>
  <c r="V951" i="1" s="1"/>
  <c r="Q951" i="1"/>
  <c r="R955" i="1"/>
  <c r="U955" i="1" s="1"/>
  <c r="S955" i="1"/>
  <c r="V955" i="1" s="1"/>
  <c r="Q955" i="1"/>
  <c r="R959" i="1"/>
  <c r="U959" i="1" s="1"/>
  <c r="S959" i="1"/>
  <c r="V959" i="1" s="1"/>
  <c r="Q959" i="1"/>
  <c r="R963" i="1"/>
  <c r="U963" i="1" s="1"/>
  <c r="S963" i="1"/>
  <c r="V963" i="1" s="1"/>
  <c r="Q963" i="1"/>
  <c r="R968" i="1"/>
  <c r="S968" i="1"/>
  <c r="Q968" i="1"/>
  <c r="Q972" i="1"/>
  <c r="R980" i="1"/>
  <c r="S980" i="1"/>
  <c r="Q980" i="1"/>
  <c r="R985" i="1"/>
  <c r="S985" i="1"/>
  <c r="Q985" i="1"/>
  <c r="R989" i="1"/>
  <c r="S989" i="1"/>
  <c r="Q989" i="1"/>
  <c r="R993" i="1"/>
  <c r="S993" i="1"/>
  <c r="Q993" i="1"/>
  <c r="R999" i="1"/>
  <c r="S999" i="1"/>
  <c r="Q999" i="1"/>
  <c r="R1006" i="1"/>
  <c r="S1006" i="1"/>
  <c r="Q1006" i="1"/>
  <c r="R1013" i="1"/>
  <c r="S1013" i="1"/>
  <c r="Q1013" i="1"/>
  <c r="R1021" i="1"/>
  <c r="S1021" i="1"/>
  <c r="Q1021" i="1"/>
  <c r="R1026" i="1"/>
  <c r="U1026" i="1" s="1"/>
  <c r="S1026" i="1"/>
  <c r="V1026" i="1" s="1"/>
  <c r="Q1026" i="1"/>
  <c r="R1030" i="1"/>
  <c r="U1030" i="1" s="1"/>
  <c r="S1030" i="1"/>
  <c r="V1030" i="1" s="1"/>
  <c r="Q1030" i="1"/>
  <c r="R1034" i="1"/>
  <c r="S1034" i="1"/>
  <c r="Q1034" i="1"/>
  <c r="R1038" i="1"/>
  <c r="U1038" i="1" s="1"/>
  <c r="S1038" i="1"/>
  <c r="V1038" i="1" s="1"/>
  <c r="Q1038" i="1"/>
  <c r="R1043" i="1"/>
  <c r="S1043" i="1"/>
  <c r="Q1043" i="1"/>
  <c r="R1047" i="1"/>
  <c r="S1047" i="1"/>
  <c r="Q1047" i="1"/>
  <c r="R1051" i="1"/>
  <c r="U1051" i="1" s="1"/>
  <c r="S1051" i="1"/>
  <c r="V1051" i="1" s="1"/>
  <c r="Q1051" i="1"/>
  <c r="R1055" i="1"/>
  <c r="U1055" i="1" s="1"/>
  <c r="S1055" i="1"/>
  <c r="V1055" i="1" s="1"/>
  <c r="Q1055" i="1"/>
  <c r="R1079" i="1"/>
  <c r="S1079" i="1"/>
  <c r="Q1079" i="1"/>
  <c r="R1083" i="1"/>
  <c r="U1083" i="1" s="1"/>
  <c r="S1083" i="1"/>
  <c r="V1083" i="1" s="1"/>
  <c r="Q1083" i="1"/>
  <c r="R1087" i="1"/>
  <c r="S1087" i="1"/>
  <c r="Q1087" i="1"/>
  <c r="R1091" i="1"/>
  <c r="S1091" i="1"/>
  <c r="Q1091" i="1"/>
  <c r="R1095" i="1"/>
  <c r="S1095" i="1"/>
  <c r="Q1095" i="1"/>
  <c r="R1099" i="1"/>
  <c r="U1099" i="1" s="1"/>
  <c r="S1099" i="1"/>
  <c r="V1099" i="1" s="1"/>
  <c r="Q1099" i="1"/>
  <c r="R1104" i="1"/>
  <c r="S1104" i="1"/>
  <c r="Q1104" i="1"/>
  <c r="R1108" i="1"/>
  <c r="S1108" i="1"/>
  <c r="Q1108" i="1"/>
  <c r="R1112" i="1"/>
  <c r="U1112" i="1" s="1"/>
  <c r="S1112" i="1"/>
  <c r="V1112" i="1" s="1"/>
  <c r="Q1112" i="1"/>
  <c r="R1116" i="1"/>
  <c r="U1116" i="1" s="1"/>
  <c r="S1116" i="1"/>
  <c r="V1116" i="1" s="1"/>
  <c r="Q1116" i="1"/>
  <c r="R1121" i="1"/>
  <c r="S1121" i="1"/>
  <c r="Q1121" i="1"/>
  <c r="R1126" i="1"/>
  <c r="S1126" i="1"/>
  <c r="Q1126" i="1"/>
  <c r="R1154" i="1"/>
  <c r="S1154" i="1"/>
  <c r="Q1154" i="1"/>
  <c r="R1160" i="1"/>
  <c r="U1160" i="1" s="1"/>
  <c r="S1160" i="1"/>
  <c r="V1160" i="1" s="1"/>
  <c r="Q1160" i="1"/>
  <c r="R1166" i="1"/>
  <c r="S1166" i="1"/>
  <c r="Q1166" i="1"/>
  <c r="R1170" i="1"/>
  <c r="S1170" i="1"/>
  <c r="Q1170" i="1"/>
  <c r="R1174" i="1"/>
  <c r="S1174" i="1"/>
  <c r="Q1174" i="1"/>
  <c r="R1178" i="1"/>
  <c r="S1178" i="1"/>
  <c r="Q1178" i="1"/>
  <c r="R1182" i="1"/>
  <c r="S1182" i="1"/>
  <c r="Q1182" i="1"/>
  <c r="R1186" i="1"/>
  <c r="S1186" i="1"/>
  <c r="Q1186" i="1"/>
  <c r="R1190" i="1"/>
  <c r="S1190" i="1"/>
  <c r="Q1190" i="1"/>
  <c r="R1194" i="1"/>
  <c r="S1194" i="1"/>
  <c r="Q1194" i="1"/>
  <c r="R1198" i="1"/>
  <c r="S1198" i="1"/>
  <c r="Q1198" i="1"/>
  <c r="R1202" i="1"/>
  <c r="S1202" i="1"/>
  <c r="Q1202" i="1"/>
  <c r="R1206" i="1"/>
  <c r="S1206" i="1"/>
  <c r="Q1206" i="1"/>
  <c r="R1210" i="1"/>
  <c r="S1210" i="1"/>
  <c r="Q1210" i="1"/>
  <c r="R1214" i="1"/>
  <c r="S1214" i="1"/>
  <c r="Q1214" i="1"/>
  <c r="R1218" i="1"/>
  <c r="S1218" i="1"/>
  <c r="Q1218" i="1"/>
  <c r="R1222" i="1"/>
  <c r="S1222" i="1"/>
  <c r="Q1222" i="1"/>
  <c r="R1226" i="1"/>
  <c r="S1226" i="1"/>
  <c r="Q1226" i="1"/>
  <c r="R1230" i="1"/>
  <c r="S1230" i="1"/>
  <c r="Q1230" i="1"/>
  <c r="R1234" i="1"/>
  <c r="S1234" i="1"/>
  <c r="Q1234" i="1"/>
  <c r="R1238" i="1"/>
  <c r="S1238" i="1"/>
  <c r="Q1238" i="1"/>
  <c r="R1242" i="1"/>
  <c r="S1242" i="1"/>
  <c r="Q1242" i="1"/>
  <c r="R1249" i="1"/>
  <c r="S1249" i="1"/>
  <c r="Q1249" i="1"/>
  <c r="R1253" i="1"/>
  <c r="S1253" i="1"/>
  <c r="Q1253" i="1"/>
  <c r="R1257" i="1"/>
  <c r="S1257" i="1"/>
  <c r="Q1257" i="1"/>
  <c r="R1261" i="1"/>
  <c r="S1261" i="1"/>
  <c r="Q1261" i="1"/>
  <c r="R1265" i="1"/>
  <c r="S1265" i="1"/>
  <c r="Q1265" i="1"/>
  <c r="R1269" i="1"/>
  <c r="S1269" i="1"/>
  <c r="Q1269" i="1"/>
  <c r="R1273" i="1"/>
  <c r="S1273" i="1"/>
  <c r="Q1273" i="1"/>
  <c r="R1278" i="1"/>
  <c r="S1278" i="1"/>
  <c r="Q1278" i="1"/>
  <c r="R1285" i="1"/>
  <c r="S1285" i="1"/>
  <c r="Q1285" i="1"/>
  <c r="Q1290" i="1"/>
  <c r="R1294" i="1"/>
  <c r="S1294" i="1"/>
  <c r="Q1294" i="1"/>
  <c r="R1298" i="1"/>
  <c r="S1298" i="1"/>
  <c r="Q1298" i="1"/>
  <c r="Q1302" i="1"/>
  <c r="Q1306" i="1"/>
  <c r="R1311" i="1"/>
  <c r="S1311" i="1"/>
  <c r="Q1311" i="1"/>
  <c r="R1315" i="1"/>
  <c r="S1315" i="1"/>
  <c r="Q1315" i="1"/>
  <c r="R1320" i="1"/>
  <c r="S1320" i="1"/>
  <c r="Q1320" i="1"/>
  <c r="R1324" i="1"/>
  <c r="S1324" i="1"/>
  <c r="Q1324" i="1"/>
  <c r="R1328" i="1"/>
  <c r="S1328" i="1"/>
  <c r="Q1328" i="1"/>
  <c r="R1332" i="1"/>
  <c r="S1332" i="1"/>
  <c r="Q1332" i="1"/>
  <c r="R1336" i="1"/>
  <c r="S1336" i="1"/>
  <c r="Q1336" i="1"/>
  <c r="R1341" i="1"/>
  <c r="S1341" i="1"/>
  <c r="Q1341" i="1"/>
  <c r="R1347" i="1"/>
  <c r="S1347" i="1"/>
  <c r="Q1347" i="1"/>
  <c r="R1351" i="1"/>
  <c r="S1351" i="1"/>
  <c r="Q1351" i="1"/>
  <c r="R1355" i="1"/>
  <c r="S1355" i="1"/>
  <c r="Q1355" i="1"/>
  <c r="R1359" i="1"/>
  <c r="S1359" i="1"/>
  <c r="Q1359" i="1"/>
  <c r="R213" i="1"/>
  <c r="S213" i="1"/>
  <c r="Q213" i="1"/>
  <c r="R217" i="1"/>
  <c r="S217" i="1"/>
  <c r="Q217" i="1"/>
  <c r="R221" i="1"/>
  <c r="S221" i="1"/>
  <c r="Q221" i="1"/>
  <c r="R225" i="1"/>
  <c r="S225" i="1"/>
  <c r="Q225" i="1"/>
  <c r="R229" i="1"/>
  <c r="S229" i="1"/>
  <c r="Q229" i="1"/>
  <c r="R233" i="1"/>
  <c r="S233" i="1"/>
  <c r="Q233" i="1"/>
  <c r="R237" i="1"/>
  <c r="S237" i="1"/>
  <c r="Q237" i="1"/>
  <c r="R241" i="1"/>
  <c r="S241" i="1"/>
  <c r="Q241" i="1"/>
  <c r="R245" i="1"/>
  <c r="S245" i="1"/>
  <c r="Q245" i="1"/>
  <c r="R250" i="1"/>
  <c r="S250" i="1"/>
  <c r="Q250" i="1"/>
  <c r="R254" i="1"/>
  <c r="S254" i="1"/>
  <c r="Q254" i="1"/>
  <c r="R258" i="1"/>
  <c r="U258" i="1" s="1"/>
  <c r="S258" i="1"/>
  <c r="V258" i="1" s="1"/>
  <c r="Q258" i="1"/>
  <c r="R262" i="1"/>
  <c r="S262" i="1"/>
  <c r="Q262" i="1"/>
  <c r="R266" i="1"/>
  <c r="U266" i="1" s="1"/>
  <c r="S266" i="1"/>
  <c r="V266" i="1" s="1"/>
  <c r="Q266" i="1"/>
  <c r="R270" i="1"/>
  <c r="S270" i="1"/>
  <c r="Q270" i="1"/>
  <c r="R274" i="1"/>
  <c r="S274" i="1"/>
  <c r="Q274" i="1"/>
  <c r="R278" i="1"/>
  <c r="S278" i="1"/>
  <c r="Q278" i="1"/>
  <c r="R282" i="1"/>
  <c r="S282" i="1"/>
  <c r="Q282" i="1"/>
  <c r="R286" i="1"/>
  <c r="S286" i="1"/>
  <c r="Q286" i="1"/>
  <c r="R290" i="1"/>
  <c r="S290" i="1"/>
  <c r="Q290" i="1"/>
  <c r="R294" i="1"/>
  <c r="S294" i="1"/>
  <c r="Q294" i="1"/>
  <c r="Q298" i="1"/>
  <c r="Q302" i="1"/>
  <c r="Q307" i="1"/>
  <c r="Q311" i="1"/>
  <c r="R315" i="1"/>
  <c r="S315" i="1"/>
  <c r="Q315" i="1"/>
  <c r="R319" i="1"/>
  <c r="S319" i="1"/>
  <c r="Q319" i="1"/>
  <c r="R323" i="1"/>
  <c r="S323" i="1"/>
  <c r="Q323" i="1"/>
  <c r="Q327" i="1"/>
  <c r="R331" i="1"/>
  <c r="S331" i="1"/>
  <c r="Q331" i="1"/>
  <c r="R335" i="1"/>
  <c r="S335" i="1"/>
  <c r="Q335" i="1"/>
  <c r="R339" i="1"/>
  <c r="S339" i="1"/>
  <c r="Q339" i="1"/>
  <c r="R343" i="1"/>
  <c r="S343" i="1"/>
  <c r="Q343" i="1"/>
  <c r="R347" i="1"/>
  <c r="S347" i="1"/>
  <c r="Q347" i="1"/>
  <c r="R351" i="1"/>
  <c r="S351" i="1"/>
  <c r="Q351" i="1"/>
  <c r="R355" i="1"/>
  <c r="S355" i="1"/>
  <c r="Q355" i="1"/>
  <c r="R359" i="1"/>
  <c r="S359" i="1"/>
  <c r="Q359" i="1"/>
  <c r="R363" i="1"/>
  <c r="S363" i="1"/>
  <c r="Q363" i="1"/>
  <c r="R367" i="1"/>
  <c r="S367" i="1"/>
  <c r="Q367" i="1"/>
  <c r="R371" i="1"/>
  <c r="S371" i="1"/>
  <c r="Q371" i="1"/>
  <c r="R375" i="1"/>
  <c r="S375" i="1"/>
  <c r="Q375" i="1"/>
  <c r="R379" i="1"/>
  <c r="S379" i="1"/>
  <c r="Q379" i="1"/>
  <c r="R383" i="1"/>
  <c r="S383" i="1"/>
  <c r="Q383" i="1"/>
  <c r="R387" i="1"/>
  <c r="S387" i="1"/>
  <c r="Q387" i="1"/>
  <c r="R391" i="1"/>
  <c r="S391" i="1"/>
  <c r="Q391" i="1"/>
  <c r="R395" i="1"/>
  <c r="S395" i="1"/>
  <c r="Q395" i="1"/>
  <c r="Q399" i="1"/>
  <c r="R403" i="1"/>
  <c r="S403" i="1"/>
  <c r="Q403" i="1"/>
  <c r="R407" i="1"/>
  <c r="S407" i="1"/>
  <c r="Q407" i="1"/>
  <c r="R411" i="1"/>
  <c r="S411" i="1"/>
  <c r="Q411" i="1"/>
  <c r="R415" i="1"/>
  <c r="S415" i="1"/>
  <c r="Q415" i="1"/>
  <c r="R419" i="1"/>
  <c r="S419" i="1"/>
  <c r="Q419" i="1"/>
  <c r="R423" i="1"/>
  <c r="S423" i="1"/>
  <c r="Q423" i="1"/>
  <c r="R427" i="1"/>
  <c r="S427" i="1"/>
  <c r="Q427" i="1"/>
  <c r="R431" i="1"/>
  <c r="S431" i="1"/>
  <c r="Q431" i="1"/>
  <c r="R435" i="1"/>
  <c r="S435" i="1"/>
  <c r="Q435" i="1"/>
  <c r="Q439" i="1"/>
  <c r="R443" i="1"/>
  <c r="S443" i="1"/>
  <c r="Q443" i="1"/>
  <c r="R447" i="1"/>
  <c r="S447" i="1"/>
  <c r="Q447" i="1"/>
  <c r="R451" i="1"/>
  <c r="S451" i="1"/>
  <c r="Q451" i="1"/>
  <c r="R455" i="1"/>
  <c r="S455" i="1"/>
  <c r="Q455" i="1"/>
  <c r="Q459" i="1"/>
  <c r="Q463" i="1"/>
  <c r="Q467" i="1"/>
  <c r="Q471" i="1"/>
  <c r="Q475" i="1"/>
  <c r="Q480" i="1"/>
  <c r="Q484" i="1"/>
  <c r="Q488" i="1"/>
  <c r="Q492" i="1"/>
  <c r="Q496" i="1"/>
  <c r="Q500" i="1"/>
  <c r="Q504" i="1"/>
  <c r="R508" i="1"/>
  <c r="S508" i="1"/>
  <c r="Q508" i="1"/>
  <c r="Q512" i="1"/>
  <c r="Q516" i="1"/>
  <c r="Q520" i="1"/>
  <c r="R524" i="1"/>
  <c r="S524" i="1"/>
  <c r="Q524" i="1"/>
  <c r="R528" i="1"/>
  <c r="S528" i="1"/>
  <c r="Q528" i="1"/>
  <c r="R532" i="1"/>
  <c r="S532" i="1"/>
  <c r="Q532" i="1"/>
  <c r="R536" i="1"/>
  <c r="S536" i="1"/>
  <c r="Q536" i="1"/>
  <c r="Q540" i="1"/>
  <c r="Q544" i="1"/>
  <c r="Q548" i="1"/>
  <c r="Q552" i="1"/>
  <c r="Q556" i="1"/>
  <c r="Q560" i="1"/>
  <c r="Q564" i="1"/>
  <c r="Q568" i="1"/>
  <c r="Q572" i="1"/>
  <c r="Q576" i="1"/>
  <c r="Q580" i="1"/>
  <c r="Q584" i="1"/>
  <c r="Q588" i="1"/>
  <c r="Q592" i="1"/>
  <c r="Q596" i="1"/>
  <c r="R600" i="1"/>
  <c r="S600" i="1"/>
  <c r="Q600" i="1"/>
  <c r="Q604" i="1"/>
  <c r="Q608" i="1"/>
  <c r="Q613" i="1"/>
  <c r="R617" i="1"/>
  <c r="S617" i="1"/>
  <c r="Q617" i="1"/>
  <c r="Q623" i="1"/>
  <c r="Q627" i="1"/>
  <c r="Q632" i="1"/>
  <c r="Q636" i="1"/>
  <c r="Q640" i="1"/>
  <c r="R644" i="1"/>
  <c r="S644" i="1"/>
  <c r="Q644" i="1"/>
  <c r="R648" i="1"/>
  <c r="S648" i="1"/>
  <c r="Q648" i="1"/>
  <c r="R652" i="1"/>
  <c r="S652" i="1"/>
  <c r="Q652" i="1"/>
  <c r="R657" i="1"/>
  <c r="U657" i="1" s="1"/>
  <c r="S657" i="1"/>
  <c r="V657" i="1" s="1"/>
  <c r="Q657" i="1"/>
  <c r="R661" i="1"/>
  <c r="S661" i="1"/>
  <c r="Q661" i="1"/>
  <c r="R666" i="1"/>
  <c r="S666" i="1"/>
  <c r="Q666" i="1"/>
  <c r="R670" i="1"/>
  <c r="S670" i="1"/>
  <c r="Q670" i="1"/>
  <c r="R674" i="1"/>
  <c r="S674" i="1"/>
  <c r="Q674" i="1"/>
  <c r="R678" i="1"/>
  <c r="S678" i="1"/>
  <c r="Q678" i="1"/>
  <c r="R682" i="1"/>
  <c r="S682" i="1"/>
  <c r="Q682" i="1"/>
  <c r="R689" i="1"/>
  <c r="S689" i="1"/>
  <c r="Q689" i="1"/>
  <c r="R693" i="1"/>
  <c r="S693" i="1"/>
  <c r="Q693" i="1"/>
  <c r="R697" i="1"/>
  <c r="S697" i="1"/>
  <c r="Q697" i="1"/>
  <c r="R701" i="1"/>
  <c r="S701" i="1"/>
  <c r="Q701" i="1"/>
  <c r="R705" i="1"/>
  <c r="S705" i="1"/>
  <c r="Q705" i="1"/>
  <c r="R709" i="1"/>
  <c r="S709" i="1"/>
  <c r="Q709" i="1"/>
  <c r="R714" i="1"/>
  <c r="S714" i="1"/>
  <c r="Q714" i="1"/>
  <c r="R719" i="1"/>
  <c r="S719" i="1"/>
  <c r="Q719" i="1"/>
  <c r="R723" i="1"/>
  <c r="U723" i="1" s="1"/>
  <c r="S723" i="1"/>
  <c r="V723" i="1" s="1"/>
  <c r="Q723" i="1"/>
  <c r="R727" i="1"/>
  <c r="S727" i="1"/>
  <c r="Q727" i="1"/>
  <c r="R732" i="1"/>
  <c r="S732" i="1"/>
  <c r="Q732" i="1"/>
  <c r="R736" i="1"/>
  <c r="S736" i="1"/>
  <c r="Q736" i="1"/>
  <c r="R740" i="1"/>
  <c r="S740" i="1"/>
  <c r="Q740" i="1"/>
  <c r="R744" i="1"/>
  <c r="S744" i="1"/>
  <c r="Q744" i="1"/>
  <c r="R748" i="1"/>
  <c r="S748" i="1"/>
  <c r="Q748" i="1"/>
  <c r="R752" i="1"/>
  <c r="S752" i="1"/>
  <c r="Q752" i="1"/>
  <c r="R756" i="1"/>
  <c r="S756" i="1"/>
  <c r="Q756" i="1"/>
  <c r="R760" i="1"/>
  <c r="S760" i="1"/>
  <c r="Q760" i="1"/>
  <c r="R764" i="1"/>
  <c r="S764" i="1"/>
  <c r="Q764" i="1"/>
  <c r="R768" i="1"/>
  <c r="S768" i="1"/>
  <c r="Q768" i="1"/>
  <c r="R772" i="1"/>
  <c r="S772" i="1"/>
  <c r="Q772" i="1"/>
  <c r="R776" i="1"/>
  <c r="S776" i="1"/>
  <c r="Q776" i="1"/>
  <c r="R780" i="1"/>
  <c r="S780" i="1"/>
  <c r="Q780" i="1"/>
  <c r="R784" i="1"/>
  <c r="S784" i="1"/>
  <c r="Q784" i="1"/>
  <c r="R788" i="1"/>
  <c r="S788" i="1"/>
  <c r="Q788" i="1"/>
  <c r="R792" i="1"/>
  <c r="S792" i="1"/>
  <c r="Q792" i="1"/>
  <c r="R796" i="1"/>
  <c r="S796" i="1"/>
  <c r="Q796" i="1"/>
  <c r="R800" i="1"/>
  <c r="S800" i="1"/>
  <c r="Q800" i="1"/>
  <c r="R804" i="1"/>
  <c r="S804" i="1"/>
  <c r="Q804" i="1"/>
  <c r="R808" i="1"/>
  <c r="S808" i="1"/>
  <c r="Q808" i="1"/>
  <c r="R812" i="1"/>
  <c r="S812" i="1"/>
  <c r="Q812" i="1"/>
  <c r="R816" i="1"/>
  <c r="S816" i="1"/>
  <c r="Q816" i="1"/>
  <c r="R833" i="1"/>
  <c r="S833" i="1"/>
  <c r="Q833" i="1"/>
  <c r="R837" i="1"/>
  <c r="S837" i="1"/>
  <c r="Q837" i="1"/>
  <c r="R842" i="1"/>
  <c r="S842" i="1"/>
  <c r="Q842" i="1"/>
  <c r="R846" i="1"/>
  <c r="U846" i="1" s="1"/>
  <c r="S846" i="1"/>
  <c r="V846" i="1" s="1"/>
  <c r="Q846" i="1"/>
  <c r="R850" i="1"/>
  <c r="S850" i="1"/>
  <c r="Q850" i="1"/>
  <c r="R869" i="1"/>
  <c r="S869" i="1"/>
  <c r="Q869" i="1"/>
  <c r="R873" i="1"/>
  <c r="S873" i="1"/>
  <c r="Q873" i="1"/>
  <c r="R877" i="1"/>
  <c r="U877" i="1" s="1"/>
  <c r="S877" i="1"/>
  <c r="V877" i="1" s="1"/>
  <c r="Q877" i="1"/>
  <c r="R881" i="1"/>
  <c r="S881" i="1"/>
  <c r="Q881" i="1"/>
  <c r="R885" i="1"/>
  <c r="S885" i="1"/>
  <c r="Q885" i="1"/>
  <c r="R889" i="1"/>
  <c r="S889" i="1"/>
  <c r="Q889" i="1"/>
  <c r="R894" i="1"/>
  <c r="S894" i="1"/>
  <c r="Q894" i="1"/>
  <c r="R898" i="1"/>
  <c r="S898" i="1"/>
  <c r="Q898" i="1"/>
  <c r="R902" i="1"/>
  <c r="S902" i="1"/>
  <c r="Q902" i="1"/>
  <c r="R906" i="1"/>
  <c r="S906" i="1"/>
  <c r="Q906" i="1"/>
  <c r="R910" i="1"/>
  <c r="S910" i="1"/>
  <c r="Q910" i="1"/>
  <c r="R914" i="1"/>
  <c r="S914" i="1"/>
  <c r="Q914" i="1"/>
  <c r="R918" i="1"/>
  <c r="S918" i="1"/>
  <c r="Q918" i="1"/>
  <c r="R922" i="1"/>
  <c r="U922" i="1" s="1"/>
  <c r="S922" i="1"/>
  <c r="V922" i="1" s="1"/>
  <c r="Q922" i="1"/>
  <c r="R926" i="1"/>
  <c r="U926" i="1" s="1"/>
  <c r="S926" i="1"/>
  <c r="V926" i="1" s="1"/>
  <c r="Q926" i="1"/>
  <c r="R930" i="1"/>
  <c r="S930" i="1"/>
  <c r="Q930" i="1"/>
  <c r="R934" i="1"/>
  <c r="U934" i="1" s="1"/>
  <c r="S934" i="1"/>
  <c r="V934" i="1" s="1"/>
  <c r="Q934" i="1"/>
  <c r="R938" i="1"/>
  <c r="S938" i="1"/>
  <c r="Q938" i="1"/>
  <c r="R942" i="1"/>
  <c r="U942" i="1" s="1"/>
  <c r="S942" i="1"/>
  <c r="V942" i="1" s="1"/>
  <c r="Q942" i="1"/>
  <c r="R946" i="1"/>
  <c r="S946" i="1"/>
  <c r="Q946" i="1"/>
  <c r="R950" i="1"/>
  <c r="S950" i="1"/>
  <c r="Q950" i="1"/>
  <c r="R954" i="1"/>
  <c r="S954" i="1"/>
  <c r="Q954" i="1"/>
  <c r="R958" i="1"/>
  <c r="U958" i="1" s="1"/>
  <c r="S958" i="1"/>
  <c r="V958" i="1" s="1"/>
  <c r="Q958" i="1"/>
  <c r="R962" i="1"/>
  <c r="S962" i="1"/>
  <c r="Q962" i="1"/>
  <c r="R966" i="1"/>
  <c r="U966" i="1" s="1"/>
  <c r="S966" i="1"/>
  <c r="V966" i="1" s="1"/>
  <c r="Q966" i="1"/>
  <c r="Q971" i="1"/>
  <c r="R976" i="1"/>
  <c r="S976" i="1"/>
  <c r="Q976" i="1"/>
  <c r="R984" i="1"/>
  <c r="S984" i="1"/>
  <c r="Q984" i="1"/>
  <c r="R988" i="1"/>
  <c r="S988" i="1"/>
  <c r="Q988" i="1"/>
  <c r="R992" i="1"/>
  <c r="S992" i="1"/>
  <c r="Q992" i="1"/>
  <c r="R996" i="1"/>
  <c r="S996" i="1"/>
  <c r="Q996" i="1"/>
  <c r="R1005" i="1"/>
  <c r="S1005" i="1"/>
  <c r="Q1005" i="1"/>
  <c r="R1009" i="1"/>
  <c r="S1009" i="1"/>
  <c r="Q1009" i="1"/>
  <c r="R1019" i="1"/>
  <c r="S1019" i="1"/>
  <c r="Q1019" i="1"/>
  <c r="R1025" i="1"/>
  <c r="U1025" i="1" s="1"/>
  <c r="S1025" i="1"/>
  <c r="V1025" i="1" s="1"/>
  <c r="Q1025" i="1"/>
  <c r="R1029" i="1"/>
  <c r="U1029" i="1" s="1"/>
  <c r="S1029" i="1"/>
  <c r="V1029" i="1" s="1"/>
  <c r="Q1029" i="1"/>
  <c r="R1033" i="1"/>
  <c r="U1033" i="1" s="1"/>
  <c r="S1033" i="1"/>
  <c r="V1033" i="1" s="1"/>
  <c r="Q1033" i="1"/>
  <c r="R1037" i="1"/>
  <c r="S1037" i="1"/>
  <c r="Q1037" i="1"/>
  <c r="R1042" i="1"/>
  <c r="S1042" i="1"/>
  <c r="Q1042" i="1"/>
  <c r="R1046" i="1"/>
  <c r="S1046" i="1"/>
  <c r="Q1046" i="1"/>
  <c r="R1050" i="1"/>
  <c r="S1050" i="1"/>
  <c r="Q1050" i="1"/>
  <c r="R1054" i="1"/>
  <c r="S1054" i="1"/>
  <c r="Q1054" i="1"/>
  <c r="R1078" i="1"/>
  <c r="S1078" i="1"/>
  <c r="Q1078" i="1"/>
  <c r="R1082" i="1"/>
  <c r="S1082" i="1"/>
  <c r="Q1082" i="1"/>
  <c r="R1086" i="1"/>
  <c r="S1086" i="1"/>
  <c r="Q1086" i="1"/>
  <c r="R1090" i="1"/>
  <c r="S1090" i="1"/>
  <c r="Q1090" i="1"/>
  <c r="R1094" i="1"/>
  <c r="S1094" i="1"/>
  <c r="Q1094" i="1"/>
  <c r="R1098" i="1"/>
  <c r="S1098" i="1"/>
  <c r="Q1098" i="1"/>
  <c r="R1103" i="1"/>
  <c r="S1103" i="1"/>
  <c r="Q1103" i="1"/>
  <c r="R1107" i="1"/>
  <c r="S1107" i="1"/>
  <c r="Q1107" i="1"/>
  <c r="R1111" i="1"/>
  <c r="S1111" i="1"/>
  <c r="Q1111" i="1"/>
  <c r="R1115" i="1"/>
  <c r="S1115" i="1"/>
  <c r="Q1115" i="1"/>
  <c r="R1119" i="1"/>
  <c r="U1119" i="1" s="1"/>
  <c r="S1119" i="1"/>
  <c r="V1119" i="1" s="1"/>
  <c r="Q1119" i="1"/>
  <c r="R1125" i="1"/>
  <c r="S1125" i="1"/>
  <c r="Q1125" i="1"/>
  <c r="R1153" i="1"/>
  <c r="S1153" i="1"/>
  <c r="Q1153" i="1"/>
  <c r="R1158" i="1"/>
  <c r="S1158" i="1"/>
  <c r="Q1158" i="1"/>
  <c r="R1165" i="1"/>
  <c r="S1165" i="1"/>
  <c r="Q1165" i="1"/>
  <c r="R1169" i="1"/>
  <c r="S1169" i="1"/>
  <c r="Q1169" i="1"/>
  <c r="R1173" i="1"/>
  <c r="S1173" i="1"/>
  <c r="Q1173" i="1"/>
  <c r="R1177" i="1"/>
  <c r="S1177" i="1"/>
  <c r="Q1177" i="1"/>
  <c r="R1181" i="1"/>
  <c r="S1181" i="1"/>
  <c r="Q1181" i="1"/>
  <c r="R1185" i="1"/>
  <c r="S1185" i="1"/>
  <c r="Q1185" i="1"/>
  <c r="R1189" i="1"/>
  <c r="S1189" i="1"/>
  <c r="Q1189" i="1"/>
  <c r="R1193" i="1"/>
  <c r="S1193" i="1"/>
  <c r="Q1193" i="1"/>
  <c r="R1197" i="1"/>
  <c r="S1197" i="1"/>
  <c r="Q1197" i="1"/>
  <c r="R1201" i="1"/>
  <c r="S1201" i="1"/>
  <c r="Q1201" i="1"/>
  <c r="R1205" i="1"/>
  <c r="S1205" i="1"/>
  <c r="Q1205" i="1"/>
  <c r="R1209" i="1"/>
  <c r="S1209" i="1"/>
  <c r="Q1209" i="1"/>
  <c r="R1213" i="1"/>
  <c r="S1213" i="1"/>
  <c r="Q1213" i="1"/>
  <c r="R1217" i="1"/>
  <c r="S1217" i="1"/>
  <c r="Q1217" i="1"/>
  <c r="R1221" i="1"/>
  <c r="S1221" i="1"/>
  <c r="Q1221" i="1"/>
  <c r="R1225" i="1"/>
  <c r="S1225" i="1"/>
  <c r="Q1225" i="1"/>
  <c r="R1229" i="1"/>
  <c r="S1229" i="1"/>
  <c r="Q1229" i="1"/>
  <c r="R1233" i="1"/>
  <c r="S1233" i="1"/>
  <c r="Q1233" i="1"/>
  <c r="R1237" i="1"/>
  <c r="S1237" i="1"/>
  <c r="Q1237" i="1"/>
  <c r="R1241" i="1"/>
  <c r="S1241" i="1"/>
  <c r="Q1241" i="1"/>
  <c r="R1248" i="1"/>
  <c r="S1248" i="1"/>
  <c r="Q1248" i="1"/>
  <c r="R1252" i="1"/>
  <c r="S1252" i="1"/>
  <c r="Q1252" i="1"/>
  <c r="R1256" i="1"/>
  <c r="S1256" i="1"/>
  <c r="Q1256" i="1"/>
  <c r="R1260" i="1"/>
  <c r="S1260" i="1"/>
  <c r="Q1260" i="1"/>
  <c r="R1264" i="1"/>
  <c r="S1264" i="1"/>
  <c r="Q1264" i="1"/>
  <c r="R1268" i="1"/>
  <c r="S1268" i="1"/>
  <c r="Q1268" i="1"/>
  <c r="R1272" i="1"/>
  <c r="S1272" i="1"/>
  <c r="Q1272" i="1"/>
  <c r="R1276" i="1"/>
  <c r="S1276" i="1"/>
  <c r="Q1276" i="1"/>
  <c r="Q1284" i="1"/>
  <c r="R1289" i="1"/>
  <c r="U1289" i="1" s="1"/>
  <c r="S1289" i="1"/>
  <c r="V1289" i="1" s="1"/>
  <c r="Q1289" i="1"/>
  <c r="R1293" i="1"/>
  <c r="S1293" i="1"/>
  <c r="Q1293" i="1"/>
  <c r="R1297" i="1"/>
  <c r="S1297" i="1"/>
  <c r="Q1297" i="1"/>
  <c r="Q1301" i="1"/>
  <c r="R1305" i="1"/>
  <c r="S1305" i="1"/>
  <c r="Q1305" i="1"/>
  <c r="R1310" i="1"/>
  <c r="S1310" i="1"/>
  <c r="Q1310" i="1"/>
  <c r="R1314" i="1"/>
  <c r="S1314" i="1"/>
  <c r="Q1314" i="1"/>
  <c r="R1319" i="1"/>
  <c r="S1319" i="1"/>
  <c r="Q1319" i="1"/>
  <c r="R1323" i="1"/>
  <c r="S1323" i="1"/>
  <c r="Q1323" i="1"/>
  <c r="R1327" i="1"/>
  <c r="S1327" i="1"/>
  <c r="Q1327" i="1"/>
  <c r="R1331" i="1"/>
  <c r="S1331" i="1"/>
  <c r="Q1331" i="1"/>
  <c r="R1335" i="1"/>
  <c r="S1335" i="1"/>
  <c r="Q1335" i="1"/>
  <c r="R1340" i="1"/>
  <c r="S1340" i="1"/>
  <c r="Q1340" i="1"/>
  <c r="R1346" i="1"/>
  <c r="S1346" i="1"/>
  <c r="Q1346" i="1"/>
  <c r="R1350" i="1"/>
  <c r="S1350" i="1"/>
  <c r="Q1350" i="1"/>
  <c r="R1354" i="1"/>
  <c r="S1354" i="1"/>
  <c r="Q1354" i="1"/>
  <c r="R1358" i="1"/>
  <c r="S1358" i="1"/>
  <c r="Q1358" i="1"/>
  <c r="R1362" i="1"/>
  <c r="S1362" i="1"/>
  <c r="Q1362" i="1"/>
  <c r="S647" i="1"/>
  <c r="R647" i="1"/>
  <c r="Q647" i="1"/>
  <c r="S651" i="1"/>
  <c r="R651" i="1"/>
  <c r="Q651" i="1"/>
  <c r="S656" i="1"/>
  <c r="R656" i="1"/>
  <c r="Q656" i="1"/>
  <c r="S660" i="1"/>
  <c r="R660" i="1"/>
  <c r="Q660" i="1"/>
  <c r="S664" i="1"/>
  <c r="R664" i="1"/>
  <c r="Q664" i="1"/>
  <c r="S669" i="1"/>
  <c r="R669" i="1"/>
  <c r="Q669" i="1"/>
  <c r="S673" i="1"/>
  <c r="R673" i="1"/>
  <c r="Q673" i="1"/>
  <c r="S677" i="1"/>
  <c r="R677" i="1"/>
  <c r="Q677" i="1"/>
  <c r="S681" i="1"/>
  <c r="R681" i="1"/>
  <c r="Q681" i="1"/>
  <c r="S686" i="1"/>
  <c r="R686" i="1"/>
  <c r="Q686" i="1"/>
  <c r="S692" i="1"/>
  <c r="R692" i="1"/>
  <c r="Q692" i="1"/>
  <c r="S696" i="1"/>
  <c r="R696" i="1"/>
  <c r="Q696" i="1"/>
  <c r="S700" i="1"/>
  <c r="R700" i="1"/>
  <c r="Q700" i="1"/>
  <c r="S704" i="1"/>
  <c r="R704" i="1"/>
  <c r="Q704" i="1"/>
  <c r="S708" i="1"/>
  <c r="R708" i="1"/>
  <c r="Q708" i="1"/>
  <c r="S713" i="1"/>
  <c r="R713" i="1"/>
  <c r="Q713" i="1"/>
  <c r="S718" i="1"/>
  <c r="R718" i="1"/>
  <c r="Q718" i="1"/>
  <c r="S722" i="1"/>
  <c r="V722" i="1" s="1"/>
  <c r="R722" i="1"/>
  <c r="U722" i="1" s="1"/>
  <c r="Q722" i="1"/>
  <c r="S726" i="1"/>
  <c r="R726" i="1"/>
  <c r="Q726" i="1"/>
  <c r="S731" i="1"/>
  <c r="R731" i="1"/>
  <c r="Q731" i="1"/>
  <c r="S735" i="1"/>
  <c r="R735" i="1"/>
  <c r="Q735" i="1"/>
  <c r="S739" i="1"/>
  <c r="R739" i="1"/>
  <c r="Q739" i="1"/>
  <c r="S743" i="1"/>
  <c r="R743" i="1"/>
  <c r="Q743" i="1"/>
  <c r="S747" i="1"/>
  <c r="R747" i="1"/>
  <c r="Q747" i="1"/>
  <c r="S751" i="1"/>
  <c r="R751" i="1"/>
  <c r="Q751" i="1"/>
  <c r="S755" i="1"/>
  <c r="R755" i="1"/>
  <c r="Q755" i="1"/>
  <c r="S759" i="1"/>
  <c r="R759" i="1"/>
  <c r="Q759" i="1"/>
  <c r="S763" i="1"/>
  <c r="R763" i="1"/>
  <c r="Q763" i="1"/>
  <c r="S767" i="1"/>
  <c r="R767" i="1"/>
  <c r="Q767" i="1"/>
  <c r="S771" i="1"/>
  <c r="R771" i="1"/>
  <c r="Q771" i="1"/>
  <c r="S775" i="1"/>
  <c r="R775" i="1"/>
  <c r="Q775" i="1"/>
  <c r="S779" i="1"/>
  <c r="R779" i="1"/>
  <c r="Q779" i="1"/>
  <c r="S783" i="1"/>
  <c r="R783" i="1"/>
  <c r="Q783" i="1"/>
  <c r="S787" i="1"/>
  <c r="R787" i="1"/>
  <c r="Q787" i="1"/>
  <c r="S791" i="1"/>
  <c r="R791" i="1"/>
  <c r="Q791" i="1"/>
  <c r="S795" i="1"/>
  <c r="R795" i="1"/>
  <c r="Q795" i="1"/>
  <c r="S799" i="1"/>
  <c r="R799" i="1"/>
  <c r="Q799" i="1"/>
  <c r="S803" i="1"/>
  <c r="R803" i="1"/>
  <c r="Q803" i="1"/>
  <c r="S807" i="1"/>
  <c r="R807" i="1"/>
  <c r="Q807" i="1"/>
  <c r="S811" i="1"/>
  <c r="R811" i="1"/>
  <c r="Q811" i="1"/>
  <c r="S815" i="1"/>
  <c r="R815" i="1"/>
  <c r="Q815" i="1"/>
  <c r="S832" i="1"/>
  <c r="R832" i="1"/>
  <c r="Q832" i="1"/>
  <c r="S836" i="1"/>
  <c r="R836" i="1"/>
  <c r="Q836" i="1"/>
  <c r="S841" i="1"/>
  <c r="R841" i="1"/>
  <c r="Q841" i="1"/>
  <c r="S845" i="1"/>
  <c r="R845" i="1"/>
  <c r="Q845" i="1"/>
  <c r="S849" i="1"/>
  <c r="R849" i="1"/>
  <c r="Q849" i="1"/>
  <c r="S868" i="1"/>
  <c r="R868" i="1"/>
  <c r="Q868" i="1"/>
  <c r="S872" i="1"/>
  <c r="R872" i="1"/>
  <c r="Q872" i="1"/>
  <c r="S876" i="1"/>
  <c r="R876" i="1"/>
  <c r="Q876" i="1"/>
  <c r="S880" i="1"/>
  <c r="R880" i="1"/>
  <c r="Q880" i="1"/>
  <c r="S884" i="1"/>
  <c r="R884" i="1"/>
  <c r="Q884" i="1"/>
  <c r="S888" i="1"/>
  <c r="R888" i="1"/>
  <c r="Q888" i="1"/>
  <c r="S893" i="1"/>
  <c r="R893" i="1"/>
  <c r="Q893" i="1"/>
  <c r="S897" i="1"/>
  <c r="R897" i="1"/>
  <c r="Q897" i="1"/>
  <c r="S901" i="1"/>
  <c r="R901" i="1"/>
  <c r="Q901" i="1"/>
  <c r="S905" i="1"/>
  <c r="R905" i="1"/>
  <c r="Q905" i="1"/>
  <c r="S909" i="1"/>
  <c r="R909" i="1"/>
  <c r="Q909" i="1"/>
  <c r="S913" i="1"/>
  <c r="R913" i="1"/>
  <c r="Q913" i="1"/>
  <c r="S917" i="1"/>
  <c r="V917" i="1" s="1"/>
  <c r="R917" i="1"/>
  <c r="U917" i="1" s="1"/>
  <c r="Q917" i="1"/>
  <c r="S921" i="1"/>
  <c r="R921" i="1"/>
  <c r="Q921" i="1"/>
  <c r="S925" i="1"/>
  <c r="V925" i="1" s="1"/>
  <c r="R925" i="1"/>
  <c r="U925" i="1" s="1"/>
  <c r="Q925" i="1"/>
  <c r="S929" i="1"/>
  <c r="R929" i="1"/>
  <c r="Q929" i="1"/>
  <c r="S933" i="1"/>
  <c r="R933" i="1"/>
  <c r="Q933" i="1"/>
  <c r="S937" i="1"/>
  <c r="R937" i="1"/>
  <c r="Q937" i="1"/>
  <c r="S941" i="1"/>
  <c r="R941" i="1"/>
  <c r="Q941" i="1"/>
  <c r="S945" i="1"/>
  <c r="R945" i="1"/>
  <c r="Q945" i="1"/>
  <c r="S949" i="1"/>
  <c r="R949" i="1"/>
  <c r="Q949" i="1"/>
  <c r="S953" i="1"/>
  <c r="R953" i="1"/>
  <c r="Q953" i="1"/>
  <c r="S957" i="1"/>
  <c r="R957" i="1"/>
  <c r="Q957" i="1"/>
  <c r="S961" i="1"/>
  <c r="V961" i="1" s="1"/>
  <c r="R961" i="1"/>
  <c r="U961" i="1" s="1"/>
  <c r="Q961" i="1"/>
  <c r="S965" i="1"/>
  <c r="V965" i="1" s="1"/>
  <c r="R965" i="1"/>
  <c r="U965" i="1" s="1"/>
  <c r="Q965" i="1"/>
  <c r="Q970" i="1"/>
  <c r="Q974" i="1"/>
  <c r="S982" i="1"/>
  <c r="R982" i="1"/>
  <c r="Q982" i="1"/>
  <c r="S987" i="1"/>
  <c r="R987" i="1"/>
  <c r="Q987" i="1"/>
  <c r="S991" i="1"/>
  <c r="R991" i="1"/>
  <c r="Q991" i="1"/>
  <c r="S995" i="1"/>
  <c r="V995" i="1" s="1"/>
  <c r="R995" i="1"/>
  <c r="U995" i="1" s="1"/>
  <c r="Q995" i="1"/>
  <c r="S1004" i="1"/>
  <c r="R1004" i="1"/>
  <c r="Q1004" i="1"/>
  <c r="S1008" i="1"/>
  <c r="V1008" i="1" s="1"/>
  <c r="R1008" i="1"/>
  <c r="U1008" i="1" s="1"/>
  <c r="Q1008" i="1"/>
  <c r="S1018" i="1"/>
  <c r="V1018" i="1" s="1"/>
  <c r="R1018" i="1"/>
  <c r="U1018" i="1" s="1"/>
  <c r="Q1018" i="1"/>
  <c r="S1024" i="1"/>
  <c r="R1024" i="1"/>
  <c r="Q1024" i="1"/>
  <c r="S1028" i="1"/>
  <c r="R1028" i="1"/>
  <c r="Q1028" i="1"/>
  <c r="S1032" i="1"/>
  <c r="V1032" i="1" s="1"/>
  <c r="R1032" i="1"/>
  <c r="U1032" i="1" s="1"/>
  <c r="Q1032" i="1"/>
  <c r="S1036" i="1"/>
  <c r="V1036" i="1" s="1"/>
  <c r="R1036" i="1"/>
  <c r="U1036" i="1" s="1"/>
  <c r="Q1036" i="1"/>
  <c r="S1041" i="1"/>
  <c r="V1041" i="1" s="1"/>
  <c r="R1041" i="1"/>
  <c r="U1041" i="1" s="1"/>
  <c r="Q1041" i="1"/>
  <c r="S1045" i="1"/>
  <c r="R1045" i="1"/>
  <c r="Q1045" i="1"/>
  <c r="S1049" i="1"/>
  <c r="V1049" i="1" s="1"/>
  <c r="R1049" i="1"/>
  <c r="U1049" i="1" s="1"/>
  <c r="Q1049" i="1"/>
  <c r="S1053" i="1"/>
  <c r="R1053" i="1"/>
  <c r="Q1053" i="1"/>
  <c r="S1076" i="1"/>
  <c r="V1076" i="1" s="1"/>
  <c r="R1076" i="1"/>
  <c r="U1076" i="1" s="1"/>
  <c r="Q1076" i="1"/>
  <c r="S1081" i="1"/>
  <c r="R1081" i="1"/>
  <c r="Q1081" i="1"/>
  <c r="S1085" i="1"/>
  <c r="V1085" i="1" s="1"/>
  <c r="R1085" i="1"/>
  <c r="U1085" i="1" s="1"/>
  <c r="Q1085" i="1"/>
  <c r="S1089" i="1"/>
  <c r="V1089" i="1" s="1"/>
  <c r="R1089" i="1"/>
  <c r="U1089" i="1" s="1"/>
  <c r="Q1089" i="1"/>
  <c r="S1093" i="1"/>
  <c r="V1093" i="1" s="1"/>
  <c r="R1093" i="1"/>
  <c r="U1093" i="1" s="1"/>
  <c r="Q1093" i="1"/>
  <c r="S1097" i="1"/>
  <c r="V1097" i="1" s="1"/>
  <c r="R1097" i="1"/>
  <c r="U1097" i="1" s="1"/>
  <c r="Q1097" i="1"/>
  <c r="S1102" i="1"/>
  <c r="V1102" i="1" s="1"/>
  <c r="R1102" i="1"/>
  <c r="U1102" i="1" s="1"/>
  <c r="Q1102" i="1"/>
  <c r="S1106" i="1"/>
  <c r="R1106" i="1"/>
  <c r="Q1106" i="1"/>
  <c r="S1110" i="1"/>
  <c r="R1110" i="1"/>
  <c r="Q1110" i="1"/>
  <c r="S1114" i="1"/>
  <c r="R1114" i="1"/>
  <c r="Q1114" i="1"/>
  <c r="S1118" i="1"/>
  <c r="V1118" i="1" s="1"/>
  <c r="R1118" i="1"/>
  <c r="U1118" i="1" s="1"/>
  <c r="Q1118" i="1"/>
  <c r="S1124" i="1"/>
  <c r="R1124" i="1"/>
  <c r="Q1124" i="1"/>
  <c r="S1152" i="1"/>
  <c r="V1152" i="1" s="1"/>
  <c r="R1152" i="1"/>
  <c r="U1152" i="1" s="1"/>
  <c r="Q1152" i="1"/>
  <c r="S1156" i="1"/>
  <c r="R1156" i="1"/>
  <c r="Q1156" i="1"/>
  <c r="S1164" i="1"/>
  <c r="R1164" i="1"/>
  <c r="Q1164" i="1"/>
  <c r="S1168" i="1"/>
  <c r="R1168" i="1"/>
  <c r="Q1168" i="1"/>
  <c r="S1172" i="1"/>
  <c r="R1172" i="1"/>
  <c r="Q1172" i="1"/>
  <c r="S1176" i="1"/>
  <c r="R1176" i="1"/>
  <c r="Q1176" i="1"/>
  <c r="S1180" i="1"/>
  <c r="R1180" i="1"/>
  <c r="Q1180" i="1"/>
  <c r="S1184" i="1"/>
  <c r="R1184" i="1"/>
  <c r="Q1184" i="1"/>
  <c r="S1188" i="1"/>
  <c r="R1188" i="1"/>
  <c r="Q1188" i="1"/>
  <c r="S1192" i="1"/>
  <c r="R1192" i="1"/>
  <c r="Q1192" i="1"/>
  <c r="S1196" i="1"/>
  <c r="R1196" i="1"/>
  <c r="Q1196" i="1"/>
  <c r="S1200" i="1"/>
  <c r="R1200" i="1"/>
  <c r="Q1200" i="1"/>
  <c r="S1204" i="1"/>
  <c r="R1204" i="1"/>
  <c r="Q1204" i="1"/>
  <c r="S1208" i="1"/>
  <c r="R1208" i="1"/>
  <c r="Q1208" i="1"/>
  <c r="S1212" i="1"/>
  <c r="R1212" i="1"/>
  <c r="Q1212" i="1"/>
  <c r="S1216" i="1"/>
  <c r="R1216" i="1"/>
  <c r="Q1216" i="1"/>
  <c r="S1220" i="1"/>
  <c r="R1220" i="1"/>
  <c r="Q1220" i="1"/>
  <c r="S1224" i="1"/>
  <c r="R1224" i="1"/>
  <c r="Q1224" i="1"/>
  <c r="S1228" i="1"/>
  <c r="R1228" i="1"/>
  <c r="Q1228" i="1"/>
  <c r="S1232" i="1"/>
  <c r="R1232" i="1"/>
  <c r="Q1232" i="1"/>
  <c r="S1236" i="1"/>
  <c r="R1236" i="1"/>
  <c r="Q1236" i="1"/>
  <c r="S1240" i="1"/>
  <c r="R1240" i="1"/>
  <c r="Q1240" i="1"/>
  <c r="S1247" i="1"/>
  <c r="V1247" i="1" s="1"/>
  <c r="R1247" i="1"/>
  <c r="U1247" i="1" s="1"/>
  <c r="Q1247" i="1"/>
  <c r="S1251" i="1"/>
  <c r="V1251" i="1" s="1"/>
  <c r="R1251" i="1"/>
  <c r="U1251" i="1" s="1"/>
  <c r="Q1251" i="1"/>
  <c r="S1255" i="1"/>
  <c r="R1255" i="1"/>
  <c r="Q1255" i="1"/>
  <c r="S1259" i="1"/>
  <c r="R1259" i="1"/>
  <c r="Q1259" i="1"/>
  <c r="S1263" i="1"/>
  <c r="R1263" i="1"/>
  <c r="Q1263" i="1"/>
  <c r="S1267" i="1"/>
  <c r="R1267" i="1"/>
  <c r="Q1267" i="1"/>
  <c r="S1271" i="1"/>
  <c r="R1271" i="1"/>
  <c r="Q1271" i="1"/>
  <c r="S1275" i="1"/>
  <c r="R1275" i="1"/>
  <c r="Q1275" i="1"/>
  <c r="S1283" i="1"/>
  <c r="R1283" i="1"/>
  <c r="Q1283" i="1"/>
  <c r="Q1287" i="1"/>
  <c r="S1292" i="1"/>
  <c r="R1292" i="1"/>
  <c r="Q1292" i="1"/>
  <c r="S1296" i="1"/>
  <c r="R1296" i="1"/>
  <c r="Q1296" i="1"/>
  <c r="S1300" i="1"/>
  <c r="R1300" i="1"/>
  <c r="Q1300" i="1"/>
  <c r="Q1304" i="1"/>
  <c r="Q1309" i="1"/>
  <c r="S1313" i="1"/>
  <c r="R1313" i="1"/>
  <c r="Q1313" i="1"/>
  <c r="S1317" i="1"/>
  <c r="R1317" i="1"/>
  <c r="Q1317" i="1"/>
  <c r="S1322" i="1"/>
  <c r="R1322" i="1"/>
  <c r="Q1322" i="1"/>
  <c r="S1326" i="1"/>
  <c r="R1326" i="1"/>
  <c r="Q1326" i="1"/>
  <c r="S1330" i="1"/>
  <c r="R1330" i="1"/>
  <c r="Q1330" i="1"/>
  <c r="S1334" i="1"/>
  <c r="R1334" i="1"/>
  <c r="Q1334" i="1"/>
  <c r="S1339" i="1"/>
  <c r="R1339" i="1"/>
  <c r="Q1339" i="1"/>
  <c r="S1345" i="1"/>
  <c r="R1345" i="1"/>
  <c r="Q1345" i="1"/>
  <c r="S1349" i="1"/>
  <c r="R1349" i="1"/>
  <c r="Q1349" i="1"/>
  <c r="S1353" i="1"/>
  <c r="R1353" i="1"/>
  <c r="Q1353" i="1"/>
  <c r="S1357" i="1"/>
  <c r="R1357" i="1"/>
  <c r="Q1357" i="1"/>
  <c r="S1361" i="1"/>
  <c r="R1361" i="1"/>
  <c r="Q1361" i="1"/>
  <c r="S1365" i="1"/>
  <c r="R1365" i="1"/>
  <c r="Q1365" i="1"/>
  <c r="S1370" i="1"/>
  <c r="R1370" i="1"/>
  <c r="Q1370" i="1"/>
  <c r="S1375" i="1"/>
  <c r="R1375" i="1"/>
  <c r="Q1375" i="1"/>
  <c r="S1379" i="1"/>
  <c r="R1379" i="1"/>
  <c r="Q1379" i="1"/>
  <c r="S1383" i="1"/>
  <c r="R1383" i="1"/>
  <c r="Q1383" i="1"/>
  <c r="S1388" i="1"/>
  <c r="R1388" i="1"/>
  <c r="Q1388" i="1"/>
  <c r="S1392" i="1"/>
  <c r="R1392" i="1"/>
  <c r="Q1392" i="1"/>
  <c r="S1396" i="1"/>
  <c r="R1396" i="1"/>
  <c r="Q1396" i="1"/>
  <c r="S1400" i="1"/>
  <c r="R1400" i="1"/>
  <c r="Q1400" i="1"/>
  <c r="S1404" i="1"/>
  <c r="R1404" i="1"/>
  <c r="Q1404" i="1"/>
  <c r="S1409" i="1"/>
  <c r="R1409" i="1"/>
  <c r="Q1409" i="1"/>
  <c r="S1413" i="1"/>
  <c r="R1413" i="1"/>
  <c r="Q1413" i="1"/>
  <c r="S1417" i="1"/>
  <c r="R1417" i="1"/>
  <c r="Q1417" i="1"/>
  <c r="S1422" i="1"/>
  <c r="R1422" i="1"/>
  <c r="Q1422" i="1"/>
  <c r="S1426" i="1"/>
  <c r="R1426" i="1"/>
  <c r="Q1426" i="1"/>
  <c r="S1430" i="1"/>
  <c r="R1430" i="1"/>
  <c r="Q1430" i="1"/>
  <c r="S1434" i="1"/>
  <c r="R1434" i="1"/>
  <c r="Q1434" i="1"/>
  <c r="S1438" i="1"/>
  <c r="R1438" i="1"/>
  <c r="Q1438" i="1"/>
  <c r="S1442" i="1"/>
  <c r="R1442" i="1"/>
  <c r="Q1442" i="1"/>
  <c r="S1446" i="1"/>
  <c r="R1446" i="1"/>
  <c r="Q1446" i="1"/>
  <c r="S1450" i="1"/>
  <c r="R1450" i="1"/>
  <c r="Q1450" i="1"/>
  <c r="Q1454" i="1"/>
  <c r="S1458" i="1"/>
  <c r="R1458" i="1"/>
  <c r="Q1458" i="1"/>
  <c r="S1462" i="1"/>
  <c r="R1462" i="1"/>
  <c r="Q1462" i="1"/>
  <c r="S1466" i="1"/>
  <c r="R1466" i="1"/>
  <c r="Q1466" i="1"/>
  <c r="S1470" i="1"/>
  <c r="R1470" i="1"/>
  <c r="Q1470" i="1"/>
  <c r="S1474" i="1"/>
  <c r="R1474" i="1"/>
  <c r="Q1474" i="1"/>
  <c r="S1478" i="1"/>
  <c r="R1478" i="1"/>
  <c r="Q1478" i="1"/>
  <c r="S1482" i="1"/>
  <c r="R1482" i="1"/>
  <c r="Q1482" i="1"/>
  <c r="S1486" i="1"/>
  <c r="R1486" i="1"/>
  <c r="Q1486" i="1"/>
  <c r="S1490" i="1"/>
  <c r="R1490" i="1"/>
  <c r="Q1490" i="1"/>
  <c r="S1495" i="1"/>
  <c r="R1495" i="1"/>
  <c r="Q1495" i="1"/>
  <c r="S1499" i="1"/>
  <c r="R1499" i="1"/>
  <c r="Q1499" i="1"/>
  <c r="S1505" i="1"/>
  <c r="R1505" i="1"/>
  <c r="Q1505" i="1"/>
  <c r="S1509" i="1"/>
  <c r="R1509" i="1"/>
  <c r="Q1509" i="1"/>
  <c r="S1513" i="1"/>
  <c r="R1513" i="1"/>
  <c r="Q1513" i="1"/>
  <c r="S1517" i="1"/>
  <c r="R1517" i="1"/>
  <c r="Q1517" i="1"/>
  <c r="S1521" i="1"/>
  <c r="R1521" i="1"/>
  <c r="Q1521" i="1"/>
  <c r="S1526" i="1"/>
  <c r="R1526" i="1"/>
  <c r="Q1526" i="1"/>
  <c r="S1530" i="1"/>
  <c r="R1530" i="1"/>
  <c r="Q1530" i="1"/>
  <c r="S1536" i="1"/>
  <c r="R1536" i="1"/>
  <c r="Q1536" i="1"/>
  <c r="S1540" i="1"/>
  <c r="R1540" i="1"/>
  <c r="Q1540" i="1"/>
  <c r="S1545" i="1"/>
  <c r="R1545" i="1"/>
  <c r="Q1545" i="1"/>
  <c r="S1550" i="1"/>
  <c r="R1550" i="1"/>
  <c r="Q1550" i="1"/>
  <c r="R650" i="1"/>
  <c r="S650" i="1"/>
  <c r="Q650" i="1"/>
  <c r="R655" i="1"/>
  <c r="U655" i="1" s="1"/>
  <c r="S655" i="1"/>
  <c r="V655" i="1" s="1"/>
  <c r="Q655" i="1"/>
  <c r="R659" i="1"/>
  <c r="S659" i="1"/>
  <c r="Q659" i="1"/>
  <c r="R663" i="1"/>
  <c r="S663" i="1"/>
  <c r="Q663" i="1"/>
  <c r="R668" i="1"/>
  <c r="S668" i="1"/>
  <c r="Q668" i="1"/>
  <c r="R672" i="1"/>
  <c r="S672" i="1"/>
  <c r="Q672" i="1"/>
  <c r="R676" i="1"/>
  <c r="S676" i="1"/>
  <c r="Q676" i="1"/>
  <c r="R680" i="1"/>
  <c r="S680" i="1"/>
  <c r="Q680" i="1"/>
  <c r="R684" i="1"/>
  <c r="S684" i="1"/>
  <c r="Q684" i="1"/>
  <c r="R691" i="1"/>
  <c r="S691" i="1"/>
  <c r="Q691" i="1"/>
  <c r="R695" i="1"/>
  <c r="S695" i="1"/>
  <c r="Q695" i="1"/>
  <c r="R699" i="1"/>
  <c r="S699" i="1"/>
  <c r="Q699" i="1"/>
  <c r="R703" i="1"/>
  <c r="S703" i="1"/>
  <c r="Q703" i="1"/>
  <c r="R707" i="1"/>
  <c r="S707" i="1"/>
  <c r="Q707" i="1"/>
  <c r="R712" i="1"/>
  <c r="S712" i="1"/>
  <c r="Q712" i="1"/>
  <c r="R716" i="1"/>
  <c r="S716" i="1"/>
  <c r="Q716" i="1"/>
  <c r="R721" i="1"/>
  <c r="S721" i="1"/>
  <c r="Q721" i="1"/>
  <c r="R725" i="1"/>
  <c r="S725" i="1"/>
  <c r="Q725" i="1"/>
  <c r="R729" i="1"/>
  <c r="S729" i="1"/>
  <c r="Q729" i="1"/>
  <c r="R734" i="1"/>
  <c r="S734" i="1"/>
  <c r="Q734" i="1"/>
  <c r="R738" i="1"/>
  <c r="S738" i="1"/>
  <c r="Q738" i="1"/>
  <c r="R742" i="1"/>
  <c r="S742" i="1"/>
  <c r="Q742" i="1"/>
  <c r="R746" i="1"/>
  <c r="S746" i="1"/>
  <c r="Q746" i="1"/>
  <c r="R750" i="1"/>
  <c r="S750" i="1"/>
  <c r="Q750" i="1"/>
  <c r="R754" i="1"/>
  <c r="S754" i="1"/>
  <c r="Q754" i="1"/>
  <c r="R758" i="1"/>
  <c r="S758" i="1"/>
  <c r="Q758" i="1"/>
  <c r="R762" i="1"/>
  <c r="S762" i="1"/>
  <c r="Q762" i="1"/>
  <c r="R766" i="1"/>
  <c r="S766" i="1"/>
  <c r="Q766" i="1"/>
  <c r="R770" i="1"/>
  <c r="S770" i="1"/>
  <c r="Q770" i="1"/>
  <c r="R774" i="1"/>
  <c r="S774" i="1"/>
  <c r="Q774" i="1"/>
  <c r="R778" i="1"/>
  <c r="S778" i="1"/>
  <c r="Q778" i="1"/>
  <c r="R782" i="1"/>
  <c r="S782" i="1"/>
  <c r="Q782" i="1"/>
  <c r="R786" i="1"/>
  <c r="S786" i="1"/>
  <c r="Q786" i="1"/>
  <c r="R790" i="1"/>
  <c r="S790" i="1"/>
  <c r="Q790" i="1"/>
  <c r="R794" i="1"/>
  <c r="S794" i="1"/>
  <c r="Q794" i="1"/>
  <c r="R798" i="1"/>
  <c r="S798" i="1"/>
  <c r="Q798" i="1"/>
  <c r="R802" i="1"/>
  <c r="S802" i="1"/>
  <c r="Q802" i="1"/>
  <c r="R806" i="1"/>
  <c r="S806" i="1"/>
  <c r="Q806" i="1"/>
  <c r="R810" i="1"/>
  <c r="S810" i="1"/>
  <c r="Q810" i="1"/>
  <c r="R814" i="1"/>
  <c r="S814" i="1"/>
  <c r="Q814" i="1"/>
  <c r="R818" i="1"/>
  <c r="U818" i="1" s="1"/>
  <c r="S818" i="1"/>
  <c r="V818" i="1" s="1"/>
  <c r="Q818" i="1"/>
  <c r="R835" i="1"/>
  <c r="S835" i="1"/>
  <c r="Q835" i="1"/>
  <c r="R840" i="1"/>
  <c r="U840" i="1" s="1"/>
  <c r="S840" i="1"/>
  <c r="V840" i="1" s="1"/>
  <c r="Q840" i="1"/>
  <c r="R844" i="1"/>
  <c r="S844" i="1"/>
  <c r="Q844" i="1"/>
  <c r="R848" i="1"/>
  <c r="S848" i="1"/>
  <c r="Q848" i="1"/>
  <c r="R852" i="1"/>
  <c r="S852" i="1"/>
  <c r="Q852" i="1"/>
  <c r="R871" i="1"/>
  <c r="U871" i="1" s="1"/>
  <c r="S871" i="1"/>
  <c r="V871" i="1" s="1"/>
  <c r="Q871" i="1"/>
  <c r="R875" i="1"/>
  <c r="S875" i="1"/>
  <c r="Q875" i="1"/>
  <c r="R879" i="1"/>
  <c r="S879" i="1"/>
  <c r="Q879" i="1"/>
  <c r="R883" i="1"/>
  <c r="S883" i="1"/>
  <c r="Q883" i="1"/>
  <c r="R887" i="1"/>
  <c r="S887" i="1"/>
  <c r="Q887" i="1"/>
  <c r="R892" i="1"/>
  <c r="S892" i="1"/>
  <c r="Q892" i="1"/>
  <c r="R896" i="1"/>
  <c r="S896" i="1"/>
  <c r="Q896" i="1"/>
  <c r="R900" i="1"/>
  <c r="S900" i="1"/>
  <c r="Q900" i="1"/>
  <c r="R904" i="1"/>
  <c r="S904" i="1"/>
  <c r="Q904" i="1"/>
  <c r="R908" i="1"/>
  <c r="S908" i="1"/>
  <c r="Q908" i="1"/>
  <c r="R912" i="1"/>
  <c r="U912" i="1" s="1"/>
  <c r="S912" i="1"/>
  <c r="V912" i="1" s="1"/>
  <c r="Q912" i="1"/>
  <c r="R916" i="1"/>
  <c r="S916" i="1"/>
  <c r="Q916" i="1"/>
  <c r="R920" i="1"/>
  <c r="U920" i="1" s="1"/>
  <c r="S920" i="1"/>
  <c r="V920" i="1" s="1"/>
  <c r="Q920" i="1"/>
  <c r="R924" i="1"/>
  <c r="U924" i="1" s="1"/>
  <c r="S924" i="1"/>
  <c r="V924" i="1" s="1"/>
  <c r="Q924" i="1"/>
  <c r="R928" i="1"/>
  <c r="S928" i="1"/>
  <c r="Q928" i="1"/>
  <c r="R932" i="1"/>
  <c r="S932" i="1"/>
  <c r="Q932" i="1"/>
  <c r="R936" i="1"/>
  <c r="S936" i="1"/>
  <c r="Q936" i="1"/>
  <c r="R940" i="1"/>
  <c r="S940" i="1"/>
  <c r="Q940" i="1"/>
  <c r="R944" i="1"/>
  <c r="S944" i="1"/>
  <c r="Q944" i="1"/>
  <c r="R948" i="1"/>
  <c r="S948" i="1"/>
  <c r="Q948" i="1"/>
  <c r="R952" i="1"/>
  <c r="S952" i="1"/>
  <c r="Q952" i="1"/>
  <c r="R956" i="1"/>
  <c r="S956" i="1"/>
  <c r="Q956" i="1"/>
  <c r="R960" i="1"/>
  <c r="S960" i="1"/>
  <c r="Q960" i="1"/>
  <c r="R964" i="1"/>
  <c r="S964" i="1"/>
  <c r="Q964" i="1"/>
  <c r="R969" i="1"/>
  <c r="S969" i="1"/>
  <c r="Q969" i="1"/>
  <c r="Q973" i="1"/>
  <c r="R981" i="1"/>
  <c r="S981" i="1"/>
  <c r="Q981" i="1"/>
  <c r="R986" i="1"/>
  <c r="S986" i="1"/>
  <c r="Q986" i="1"/>
  <c r="R990" i="1"/>
  <c r="S990" i="1"/>
  <c r="Q990" i="1"/>
  <c r="R994" i="1"/>
  <c r="U994" i="1" s="1"/>
  <c r="S994" i="1"/>
  <c r="V994" i="1" s="1"/>
  <c r="Q994" i="1"/>
  <c r="R1000" i="1"/>
  <c r="S1000" i="1"/>
  <c r="Q1000" i="1"/>
  <c r="R1007" i="1"/>
  <c r="U1007" i="1" s="1"/>
  <c r="S1007" i="1"/>
  <c r="V1007" i="1" s="1"/>
  <c r="Q1007" i="1"/>
  <c r="R1014" i="1"/>
  <c r="S1014" i="1"/>
  <c r="Q1014" i="1"/>
  <c r="R1023" i="1"/>
  <c r="S1023" i="1"/>
  <c r="Q1023" i="1"/>
  <c r="R1027" i="1"/>
  <c r="S1027" i="1"/>
  <c r="Q1027" i="1"/>
  <c r="R1031" i="1"/>
  <c r="S1031" i="1"/>
  <c r="Q1031" i="1"/>
  <c r="R1035" i="1"/>
  <c r="S1035" i="1"/>
  <c r="Q1035" i="1"/>
  <c r="R1040" i="1"/>
  <c r="S1040" i="1"/>
  <c r="Q1040" i="1"/>
  <c r="R1044" i="1"/>
  <c r="U1044" i="1" s="1"/>
  <c r="S1044" i="1"/>
  <c r="V1044" i="1" s="1"/>
  <c r="Q1044" i="1"/>
  <c r="R1048" i="1"/>
  <c r="S1048" i="1"/>
  <c r="Q1048" i="1"/>
  <c r="R1052" i="1"/>
  <c r="S1052" i="1"/>
  <c r="Q1052" i="1"/>
  <c r="R1057" i="1"/>
  <c r="S1057" i="1"/>
  <c r="Q1057" i="1"/>
  <c r="R1080" i="1"/>
  <c r="S1080" i="1"/>
  <c r="Q1080" i="1"/>
  <c r="R1084" i="1"/>
  <c r="S1084" i="1"/>
  <c r="Q1084" i="1"/>
  <c r="R1088" i="1"/>
  <c r="S1088" i="1"/>
  <c r="Q1088" i="1"/>
  <c r="R1092" i="1"/>
  <c r="U1092" i="1" s="1"/>
  <c r="S1092" i="1"/>
  <c r="V1092" i="1" s="1"/>
  <c r="Q1092" i="1"/>
  <c r="R1096" i="1"/>
  <c r="S1096" i="1"/>
  <c r="Q1096" i="1"/>
  <c r="R1100" i="1"/>
  <c r="S1100" i="1"/>
  <c r="Q1100" i="1"/>
  <c r="R1105" i="1"/>
  <c r="U1105" i="1" s="1"/>
  <c r="S1105" i="1"/>
  <c r="V1105" i="1" s="1"/>
  <c r="Q1105" i="1"/>
  <c r="R1109" i="1"/>
  <c r="U1109" i="1" s="1"/>
  <c r="S1109" i="1"/>
  <c r="V1109" i="1" s="1"/>
  <c r="Q1109" i="1"/>
  <c r="R1113" i="1"/>
  <c r="S1113" i="1"/>
  <c r="Q1113" i="1"/>
  <c r="R1117" i="1"/>
  <c r="S1117" i="1"/>
  <c r="Q1117" i="1"/>
  <c r="R1122" i="1"/>
  <c r="S1122" i="1"/>
  <c r="Q1122" i="1"/>
  <c r="R1127" i="1"/>
  <c r="S1127" i="1"/>
  <c r="Q1127" i="1"/>
  <c r="R1155" i="1"/>
  <c r="S1155" i="1"/>
  <c r="Q1155" i="1"/>
  <c r="R1161" i="1"/>
  <c r="U1161" i="1" s="1"/>
  <c r="S1161" i="1"/>
  <c r="V1161" i="1" s="1"/>
  <c r="Q1161" i="1"/>
  <c r="R1167" i="1"/>
  <c r="S1167" i="1"/>
  <c r="Q1167" i="1"/>
  <c r="R1171" i="1"/>
  <c r="S1171" i="1"/>
  <c r="Q1171" i="1"/>
  <c r="R1175" i="1"/>
  <c r="S1175" i="1"/>
  <c r="Q1175" i="1"/>
  <c r="R1179" i="1"/>
  <c r="S1179" i="1"/>
  <c r="Q1179" i="1"/>
  <c r="R1183" i="1"/>
  <c r="S1183" i="1"/>
  <c r="Q1183" i="1"/>
  <c r="R1187" i="1"/>
  <c r="S1187" i="1"/>
  <c r="Q1187" i="1"/>
  <c r="R1191" i="1"/>
  <c r="S1191" i="1"/>
  <c r="Q1191" i="1"/>
  <c r="R1195" i="1"/>
  <c r="S1195" i="1"/>
  <c r="Q1195" i="1"/>
  <c r="R1199" i="1"/>
  <c r="S1199" i="1"/>
  <c r="Q1199" i="1"/>
  <c r="R1203" i="1"/>
  <c r="S1203" i="1"/>
  <c r="Q1203" i="1"/>
  <c r="R1207" i="1"/>
  <c r="S1207" i="1"/>
  <c r="Q1207" i="1"/>
  <c r="R1211" i="1"/>
  <c r="S1211" i="1"/>
  <c r="Q1211" i="1"/>
  <c r="R1215" i="1"/>
  <c r="S1215" i="1"/>
  <c r="Q1215" i="1"/>
  <c r="R1219" i="1"/>
  <c r="S1219" i="1"/>
  <c r="Q1219" i="1"/>
  <c r="R1223" i="1"/>
  <c r="S1223" i="1"/>
  <c r="Q1223" i="1"/>
  <c r="R1227" i="1"/>
  <c r="S1227" i="1"/>
  <c r="Q1227" i="1"/>
  <c r="R1231" i="1"/>
  <c r="S1231" i="1"/>
  <c r="Q1231" i="1"/>
  <c r="R1235" i="1"/>
  <c r="U1235" i="1" s="1"/>
  <c r="S1235" i="1"/>
  <c r="V1235" i="1" s="1"/>
  <c r="Q1235" i="1"/>
  <c r="R1239" i="1"/>
  <c r="S1239" i="1"/>
  <c r="Q1239" i="1"/>
  <c r="R1243" i="1"/>
  <c r="S1243" i="1"/>
  <c r="Q1243" i="1"/>
  <c r="R1250" i="1"/>
  <c r="S1250" i="1"/>
  <c r="Q1250" i="1"/>
  <c r="R1254" i="1"/>
  <c r="S1254" i="1"/>
  <c r="Q1254" i="1"/>
  <c r="R1258" i="1"/>
  <c r="S1258" i="1"/>
  <c r="Q1258" i="1"/>
  <c r="R1262" i="1"/>
  <c r="S1262" i="1"/>
  <c r="Q1262" i="1"/>
  <c r="R1266" i="1"/>
  <c r="S1266" i="1"/>
  <c r="Q1266" i="1"/>
  <c r="R1270" i="1"/>
  <c r="S1270" i="1"/>
  <c r="Q1270" i="1"/>
  <c r="R1274" i="1"/>
  <c r="S1274" i="1"/>
  <c r="Q1274" i="1"/>
  <c r="R1279" i="1"/>
  <c r="S1279" i="1"/>
  <c r="Q1279" i="1"/>
  <c r="Q1286" i="1"/>
  <c r="R1291" i="1"/>
  <c r="S1291" i="1"/>
  <c r="Q1291" i="1"/>
  <c r="R1295" i="1"/>
  <c r="S1295" i="1"/>
  <c r="Q1295" i="1"/>
  <c r="R1299" i="1"/>
  <c r="S1299" i="1"/>
  <c r="Q1299" i="1"/>
  <c r="Q1303" i="1"/>
  <c r="Q1307" i="1"/>
  <c r="R1312" i="1"/>
  <c r="S1312" i="1"/>
  <c r="Q1312" i="1"/>
  <c r="R1316" i="1"/>
  <c r="S1316" i="1"/>
  <c r="Q1316" i="1"/>
  <c r="R1321" i="1"/>
  <c r="S1321" i="1"/>
  <c r="Q1321" i="1"/>
  <c r="R1325" i="1"/>
  <c r="S1325" i="1"/>
  <c r="Q1325" i="1"/>
  <c r="R1329" i="1"/>
  <c r="S1329" i="1"/>
  <c r="Q1329" i="1"/>
  <c r="R1333" i="1"/>
  <c r="S1333" i="1"/>
  <c r="Q1333" i="1"/>
  <c r="R1338" i="1"/>
  <c r="S1338" i="1"/>
  <c r="Q1338" i="1"/>
  <c r="R1343" i="1"/>
  <c r="S1343" i="1"/>
  <c r="Q1343" i="1"/>
  <c r="R1348" i="1"/>
  <c r="S1348" i="1"/>
  <c r="Q1348" i="1"/>
  <c r="R1352" i="1"/>
  <c r="S1352" i="1"/>
  <c r="Q1352" i="1"/>
  <c r="R1356" i="1"/>
  <c r="S1356" i="1"/>
  <c r="Q1356" i="1"/>
  <c r="R1360" i="1"/>
  <c r="S1360" i="1"/>
  <c r="Q1360" i="1"/>
  <c r="R1364" i="1"/>
  <c r="S1364" i="1"/>
  <c r="Q1364" i="1"/>
  <c r="R1369" i="1"/>
  <c r="S1369" i="1"/>
  <c r="Q1369" i="1"/>
  <c r="R1374" i="1"/>
  <c r="S1374" i="1"/>
  <c r="Q1374" i="1"/>
  <c r="R1378" i="1"/>
  <c r="S1378" i="1"/>
  <c r="Q1378" i="1"/>
  <c r="R1382" i="1"/>
  <c r="S1382" i="1"/>
  <c r="Q1382" i="1"/>
  <c r="R1387" i="1"/>
  <c r="S1387" i="1"/>
  <c r="Q1387" i="1"/>
  <c r="R1391" i="1"/>
  <c r="S1391" i="1"/>
  <c r="Q1391" i="1"/>
  <c r="R1395" i="1"/>
  <c r="S1395" i="1"/>
  <c r="Q1395" i="1"/>
  <c r="R1399" i="1"/>
  <c r="S1399" i="1"/>
  <c r="Q1399" i="1"/>
  <c r="R1403" i="1"/>
  <c r="S1403" i="1"/>
  <c r="Q1403" i="1"/>
  <c r="R1408" i="1"/>
  <c r="S1408" i="1"/>
  <c r="Q1408" i="1"/>
  <c r="R1412" i="1"/>
  <c r="S1412" i="1"/>
  <c r="Q1412" i="1"/>
  <c r="R1416" i="1"/>
  <c r="S1416" i="1"/>
  <c r="Q1416" i="1"/>
  <c r="R1421" i="1"/>
  <c r="S1421" i="1"/>
  <c r="Q1421" i="1"/>
  <c r="R1425" i="1"/>
  <c r="S1425" i="1"/>
  <c r="Q1425" i="1"/>
  <c r="R1429" i="1"/>
  <c r="S1429" i="1"/>
  <c r="Q1429" i="1"/>
  <c r="R1433" i="1"/>
  <c r="S1433" i="1"/>
  <c r="Q1433" i="1"/>
  <c r="R1437" i="1"/>
  <c r="S1437" i="1"/>
  <c r="Q1437" i="1"/>
  <c r="R1441" i="1"/>
  <c r="S1441" i="1"/>
  <c r="Q1441" i="1"/>
  <c r="R1445" i="1"/>
  <c r="S1445" i="1"/>
  <c r="Q1445" i="1"/>
  <c r="R1449" i="1"/>
  <c r="S1449" i="1"/>
  <c r="Q1449" i="1"/>
  <c r="R1453" i="1"/>
  <c r="S1453" i="1"/>
  <c r="Q1453" i="1"/>
  <c r="R1457" i="1"/>
  <c r="S1457" i="1"/>
  <c r="Q1457" i="1"/>
  <c r="R1461" i="1"/>
  <c r="S1461" i="1"/>
  <c r="Q1461" i="1"/>
  <c r="R1465" i="1"/>
  <c r="S1465" i="1"/>
  <c r="Q1465" i="1"/>
  <c r="R1469" i="1"/>
  <c r="S1469" i="1"/>
  <c r="Q1469" i="1"/>
  <c r="R1473" i="1"/>
  <c r="S1473" i="1"/>
  <c r="Q1473" i="1"/>
  <c r="R1477" i="1"/>
  <c r="S1477" i="1"/>
  <c r="Q1477" i="1"/>
  <c r="R1481" i="1"/>
  <c r="S1481" i="1"/>
  <c r="Q1481" i="1"/>
  <c r="R1485" i="1"/>
  <c r="S1485" i="1"/>
  <c r="Q1485" i="1"/>
  <c r="R1489" i="1"/>
  <c r="S1489" i="1"/>
  <c r="Q1489" i="1"/>
  <c r="R1493" i="1"/>
  <c r="S1493" i="1"/>
  <c r="Q1493" i="1"/>
  <c r="R1498" i="1"/>
  <c r="S1498" i="1"/>
  <c r="Q1498" i="1"/>
  <c r="R1504" i="1"/>
  <c r="S1504" i="1"/>
  <c r="Q1504" i="1"/>
  <c r="R1508" i="1"/>
  <c r="S1508" i="1"/>
  <c r="Q1508" i="1"/>
  <c r="R1512" i="1"/>
  <c r="S1512" i="1"/>
  <c r="Q1512" i="1"/>
  <c r="R1516" i="1"/>
  <c r="S1516" i="1"/>
  <c r="Q1516" i="1"/>
  <c r="R1520" i="1"/>
  <c r="S1520" i="1"/>
  <c r="Q1520" i="1"/>
  <c r="R1524" i="1"/>
  <c r="S1524" i="1"/>
  <c r="Q1524" i="1"/>
  <c r="R1529" i="1"/>
  <c r="S1529" i="1"/>
  <c r="Q1529" i="1"/>
  <c r="R1535" i="1"/>
  <c r="S1535" i="1"/>
  <c r="Q1535" i="1"/>
  <c r="R1539" i="1"/>
  <c r="S1539" i="1"/>
  <c r="Q1539" i="1"/>
  <c r="R1544" i="1"/>
  <c r="S1544" i="1"/>
  <c r="Q1544" i="1"/>
  <c r="R1363" i="1"/>
  <c r="S1363" i="1"/>
  <c r="R1368" i="1"/>
  <c r="S1368" i="1"/>
  <c r="R1373" i="1"/>
  <c r="S1373" i="1"/>
  <c r="R1377" i="1"/>
  <c r="S1377" i="1"/>
  <c r="R1381" i="1"/>
  <c r="S1381" i="1"/>
  <c r="R1386" i="1"/>
  <c r="S1386" i="1"/>
  <c r="R1390" i="1"/>
  <c r="S1390" i="1"/>
  <c r="R1394" i="1"/>
  <c r="S1394" i="1"/>
  <c r="R1398" i="1"/>
  <c r="S1398" i="1"/>
  <c r="R1402" i="1"/>
  <c r="S1402" i="1"/>
  <c r="R1407" i="1"/>
  <c r="S1407" i="1"/>
  <c r="R1411" i="1"/>
  <c r="S1411" i="1"/>
  <c r="R1415" i="1"/>
  <c r="S1415" i="1"/>
  <c r="R1420" i="1"/>
  <c r="S1420" i="1"/>
  <c r="R1424" i="1"/>
  <c r="S1424" i="1"/>
  <c r="R1428" i="1"/>
  <c r="S1428" i="1"/>
  <c r="R1432" i="1"/>
  <c r="S1432" i="1"/>
  <c r="R1436" i="1"/>
  <c r="S1436" i="1"/>
  <c r="R1440" i="1"/>
  <c r="S1440" i="1"/>
  <c r="R1444" i="1"/>
  <c r="S1444" i="1"/>
  <c r="R1448" i="1"/>
  <c r="S1448" i="1"/>
  <c r="R1452" i="1"/>
  <c r="S1452" i="1"/>
  <c r="R1456" i="1"/>
  <c r="S1456" i="1"/>
  <c r="R1460" i="1"/>
  <c r="S1460" i="1"/>
  <c r="R1464" i="1"/>
  <c r="S1464" i="1"/>
  <c r="R1468" i="1"/>
  <c r="S1468" i="1"/>
  <c r="R1472" i="1"/>
  <c r="S1472" i="1"/>
  <c r="R1476" i="1"/>
  <c r="S1476" i="1"/>
  <c r="R1480" i="1"/>
  <c r="U1480" i="1" s="1"/>
  <c r="S1480" i="1"/>
  <c r="V1480" i="1" s="1"/>
  <c r="R1484" i="1"/>
  <c r="S1484" i="1"/>
  <c r="R1488" i="1"/>
  <c r="S1488" i="1"/>
  <c r="R1492" i="1"/>
  <c r="S1492" i="1"/>
  <c r="R1497" i="1"/>
  <c r="S1497" i="1"/>
  <c r="R1501" i="1"/>
  <c r="S1501" i="1"/>
  <c r="R1507" i="1"/>
  <c r="S1507" i="1"/>
  <c r="R1511" i="1"/>
  <c r="S1511" i="1"/>
  <c r="R1515" i="1"/>
  <c r="S1515" i="1"/>
  <c r="R1519" i="1"/>
  <c r="S1519" i="1"/>
  <c r="R1523" i="1"/>
  <c r="S1523" i="1"/>
  <c r="R1528" i="1"/>
  <c r="S1528" i="1"/>
  <c r="R1534" i="1"/>
  <c r="S1534" i="1"/>
  <c r="R1538" i="1"/>
  <c r="S1538" i="1"/>
  <c r="R1543" i="1"/>
  <c r="S1543" i="1"/>
  <c r="R1548" i="1"/>
  <c r="S1548" i="1"/>
  <c r="R1552" i="1"/>
  <c r="S1552" i="1"/>
  <c r="R1556" i="1"/>
  <c r="S1556" i="1"/>
  <c r="R1560" i="1"/>
  <c r="S1560" i="1"/>
  <c r="R1564" i="1"/>
  <c r="S1564" i="1"/>
  <c r="R1568" i="1"/>
  <c r="S1568" i="1"/>
  <c r="R1572" i="1"/>
  <c r="S1572" i="1"/>
  <c r="R1577" i="1"/>
  <c r="S1577" i="1"/>
  <c r="R1581" i="1"/>
  <c r="S1581" i="1"/>
  <c r="R1585" i="1"/>
  <c r="S1585" i="1"/>
  <c r="R1589" i="1"/>
  <c r="S1589" i="1"/>
  <c r="R1593" i="1"/>
  <c r="S1593" i="1"/>
  <c r="R1597" i="1"/>
  <c r="S1597" i="1"/>
  <c r="R1601" i="1"/>
  <c r="S1601" i="1"/>
  <c r="R1605" i="1"/>
  <c r="S1605" i="1"/>
  <c r="R1609" i="1"/>
  <c r="S1609" i="1"/>
  <c r="R1613" i="1"/>
  <c r="S1613" i="1"/>
  <c r="R1617" i="1"/>
  <c r="S1617" i="1"/>
  <c r="R1621" i="1"/>
  <c r="S1621" i="1"/>
  <c r="R1625" i="1"/>
  <c r="S1625" i="1"/>
  <c r="R1629" i="1"/>
  <c r="S1629" i="1"/>
  <c r="R1633" i="1"/>
  <c r="S1633" i="1"/>
  <c r="R1637" i="1"/>
  <c r="S1637" i="1"/>
  <c r="R1641" i="1"/>
  <c r="S1641" i="1"/>
  <c r="R1645" i="1"/>
  <c r="S1645" i="1"/>
  <c r="R1649" i="1"/>
  <c r="S1649" i="1"/>
  <c r="R1653" i="1"/>
  <c r="S1653" i="1"/>
  <c r="R1657" i="1"/>
  <c r="S1657" i="1"/>
  <c r="R1661" i="1"/>
  <c r="S1661" i="1"/>
  <c r="R1665" i="1"/>
  <c r="S1665" i="1"/>
  <c r="R1669" i="1"/>
  <c r="S1669" i="1"/>
  <c r="R1673" i="1"/>
  <c r="S1673" i="1"/>
  <c r="R1677" i="1"/>
  <c r="S1677" i="1"/>
  <c r="R1681" i="1"/>
  <c r="S1681" i="1"/>
  <c r="R1685" i="1"/>
  <c r="S1685" i="1"/>
  <c r="R1689" i="1"/>
  <c r="S1689" i="1"/>
  <c r="R1693" i="1"/>
  <c r="S1693" i="1"/>
  <c r="R1697" i="1"/>
  <c r="S1697" i="1"/>
  <c r="R1701" i="1"/>
  <c r="S1701" i="1"/>
  <c r="R1707" i="1"/>
  <c r="S1707" i="1"/>
  <c r="R1711" i="1"/>
  <c r="S1711" i="1"/>
  <c r="R1715" i="1"/>
  <c r="S1715" i="1"/>
  <c r="R1719" i="1"/>
  <c r="S1719" i="1"/>
  <c r="R1723" i="1"/>
  <c r="S1723" i="1"/>
  <c r="R1727" i="1"/>
  <c r="S1727" i="1"/>
  <c r="R1731" i="1"/>
  <c r="U1731" i="1" s="1"/>
  <c r="S1731" i="1"/>
  <c r="V1731" i="1" s="1"/>
  <c r="R1738" i="1"/>
  <c r="S1738" i="1"/>
  <c r="R1742" i="1"/>
  <c r="S1742" i="1"/>
  <c r="R1746" i="1"/>
  <c r="S1746" i="1"/>
  <c r="R1750" i="1"/>
  <c r="S1750" i="1"/>
  <c r="R1754" i="1"/>
  <c r="S1754" i="1"/>
  <c r="R1758" i="1"/>
  <c r="S1758" i="1"/>
  <c r="R1762" i="1"/>
  <c r="S1762" i="1"/>
  <c r="R1774" i="1"/>
  <c r="S1774" i="1"/>
  <c r="R1778" i="1"/>
  <c r="S1778" i="1"/>
  <c r="R1782" i="1"/>
  <c r="S1782" i="1"/>
  <c r="R1786" i="1"/>
  <c r="S1786" i="1"/>
  <c r="R1790" i="1"/>
  <c r="S1790" i="1"/>
  <c r="R1795" i="1"/>
  <c r="S1795" i="1"/>
  <c r="R1799" i="1"/>
  <c r="S1799" i="1"/>
  <c r="R1803" i="1"/>
  <c r="S1803" i="1"/>
  <c r="R1807" i="1"/>
  <c r="S1807" i="1"/>
  <c r="R1811" i="1"/>
  <c r="S1811" i="1"/>
  <c r="R1818" i="1"/>
  <c r="S1818" i="1"/>
  <c r="R1822" i="1"/>
  <c r="S1822" i="1"/>
  <c r="R1826" i="1"/>
  <c r="S1826" i="1"/>
  <c r="R1831" i="1"/>
  <c r="S1831" i="1"/>
  <c r="R1835" i="1"/>
  <c r="S1835" i="1"/>
  <c r="R1839" i="1"/>
  <c r="S1839" i="1"/>
  <c r="R1845" i="1"/>
  <c r="S1845" i="1"/>
  <c r="R1849" i="1"/>
  <c r="S1849" i="1"/>
  <c r="R1853" i="1"/>
  <c r="S1853" i="1"/>
  <c r="R1857" i="1"/>
  <c r="U1857" i="1" s="1"/>
  <c r="S1857" i="1"/>
  <c r="V1857" i="1" s="1"/>
  <c r="R1862" i="1"/>
  <c r="S1862" i="1"/>
  <c r="R1866" i="1"/>
  <c r="S1866" i="1"/>
  <c r="R1877" i="1"/>
  <c r="S1877" i="1"/>
  <c r="R1881" i="1"/>
  <c r="S1881" i="1"/>
  <c r="R1885" i="1"/>
  <c r="S1885" i="1"/>
  <c r="R1889" i="1"/>
  <c r="S1889" i="1"/>
  <c r="R1893" i="1"/>
  <c r="S1893" i="1"/>
  <c r="R1898" i="1"/>
  <c r="S1898" i="1"/>
  <c r="R1902" i="1"/>
  <c r="S1902" i="1"/>
  <c r="R1906" i="1"/>
  <c r="S1906" i="1"/>
  <c r="R1910" i="1"/>
  <c r="S1910" i="1"/>
  <c r="R1914" i="1"/>
  <c r="S1914" i="1"/>
  <c r="R1921" i="1"/>
  <c r="S1921" i="1"/>
  <c r="R1925" i="1"/>
  <c r="S1925" i="1"/>
  <c r="R1929" i="1"/>
  <c r="S1929" i="1"/>
  <c r="R1933" i="1"/>
  <c r="S1933" i="1"/>
  <c r="R1937" i="1"/>
  <c r="S1937" i="1"/>
  <c r="R1941" i="1"/>
  <c r="S1941" i="1"/>
  <c r="R1945" i="1"/>
  <c r="S1945" i="1"/>
  <c r="R1951" i="1"/>
  <c r="S1951" i="1"/>
  <c r="R1955" i="1"/>
  <c r="S1955" i="1"/>
  <c r="R1961" i="1"/>
  <c r="S1961" i="1"/>
  <c r="R1966" i="1"/>
  <c r="S1966" i="1"/>
  <c r="R1974" i="1"/>
  <c r="S1974" i="1"/>
  <c r="R1978" i="1"/>
  <c r="S1978" i="1"/>
  <c r="R1982" i="1"/>
  <c r="S1982" i="1"/>
  <c r="R1990" i="1"/>
  <c r="S1990" i="1"/>
  <c r="R1995" i="1"/>
  <c r="S1995" i="1"/>
  <c r="R2000" i="1"/>
  <c r="S2000" i="1"/>
  <c r="Q2000" i="1"/>
  <c r="R2008" i="1"/>
  <c r="S2008" i="1"/>
  <c r="Q2008" i="1"/>
  <c r="R2012" i="1"/>
  <c r="S2012" i="1"/>
  <c r="Q2012" i="1"/>
  <c r="R2018" i="1"/>
  <c r="S2018" i="1"/>
  <c r="Q2018" i="1"/>
  <c r="R2029" i="1"/>
  <c r="S2029" i="1"/>
  <c r="Q2029" i="1"/>
  <c r="R2033" i="1"/>
  <c r="S2033" i="1"/>
  <c r="Q2033" i="1"/>
  <c r="R2037" i="1"/>
  <c r="S2037" i="1"/>
  <c r="Q2037" i="1"/>
  <c r="R2042" i="1"/>
  <c r="S2042" i="1"/>
  <c r="Q2042" i="1"/>
  <c r="R2047" i="1"/>
  <c r="S2047" i="1"/>
  <c r="Q2047" i="1"/>
  <c r="R2052" i="1"/>
  <c r="S2052" i="1"/>
  <c r="Q2052" i="1"/>
  <c r="R2056" i="1"/>
  <c r="S2056" i="1"/>
  <c r="Q2056" i="1"/>
  <c r="R2067" i="1"/>
  <c r="S2067" i="1"/>
  <c r="Q2067" i="1"/>
  <c r="R2075" i="1"/>
  <c r="S2075" i="1"/>
  <c r="Q2075" i="1"/>
  <c r="R2079" i="1"/>
  <c r="S2079" i="1"/>
  <c r="Q2079" i="1"/>
  <c r="R2083" i="1"/>
  <c r="S2083" i="1"/>
  <c r="Q2083" i="1"/>
  <c r="R2087" i="1"/>
  <c r="S2087" i="1"/>
  <c r="Q2087" i="1"/>
  <c r="R2091" i="1"/>
  <c r="S2091" i="1"/>
  <c r="Q2091" i="1"/>
  <c r="R2095" i="1"/>
  <c r="S2095" i="1"/>
  <c r="Q2095" i="1"/>
  <c r="R2099" i="1"/>
  <c r="S2099" i="1"/>
  <c r="Q2099" i="1"/>
  <c r="R2103" i="1"/>
  <c r="S2103" i="1"/>
  <c r="Q2103" i="1"/>
  <c r="R2107" i="1"/>
  <c r="S2107" i="1"/>
  <c r="Q2107" i="1"/>
  <c r="R2111" i="1"/>
  <c r="S2111" i="1"/>
  <c r="Q2111" i="1"/>
  <c r="R2115" i="1"/>
  <c r="S2115" i="1"/>
  <c r="Q2115" i="1"/>
  <c r="R2119" i="1"/>
  <c r="S2119" i="1"/>
  <c r="Q2119" i="1"/>
  <c r="R2123" i="1"/>
  <c r="S2123" i="1"/>
  <c r="Q2123" i="1"/>
  <c r="R2127" i="1"/>
  <c r="S2127" i="1"/>
  <c r="Q2127" i="1"/>
  <c r="R2131" i="1"/>
  <c r="S2131" i="1"/>
  <c r="Q2131" i="1"/>
  <c r="R2136" i="1"/>
  <c r="S2136" i="1"/>
  <c r="Q2136" i="1"/>
  <c r="R2140" i="1"/>
  <c r="S2140" i="1"/>
  <c r="Q2140" i="1"/>
  <c r="R2144" i="1"/>
  <c r="S2144" i="1"/>
  <c r="Q2144" i="1"/>
  <c r="R2149" i="1"/>
  <c r="S2149" i="1"/>
  <c r="Q2149" i="1"/>
  <c r="R2153" i="1"/>
  <c r="S2153" i="1"/>
  <c r="Q2153" i="1"/>
  <c r="R2157" i="1"/>
  <c r="S2157" i="1"/>
  <c r="Q2157" i="1"/>
  <c r="R2161" i="1"/>
  <c r="S2161" i="1"/>
  <c r="Q2161" i="1"/>
  <c r="R2165" i="1"/>
  <c r="S2165" i="1"/>
  <c r="Q2165" i="1"/>
  <c r="R2169" i="1"/>
  <c r="S2169" i="1"/>
  <c r="Q2169" i="1"/>
  <c r="R2173" i="1"/>
  <c r="S2173" i="1"/>
  <c r="Q2173" i="1"/>
  <c r="R2178" i="1"/>
  <c r="S2178" i="1"/>
  <c r="Q2178" i="1"/>
  <c r="R2182" i="1"/>
  <c r="S2182" i="1"/>
  <c r="Q2182" i="1"/>
  <c r="R2186" i="1"/>
  <c r="S2186" i="1"/>
  <c r="Q2186" i="1"/>
  <c r="R2190" i="1"/>
  <c r="S2190" i="1"/>
  <c r="Q2190" i="1"/>
  <c r="R2195" i="1"/>
  <c r="S2195" i="1"/>
  <c r="Q2195" i="1"/>
  <c r="R2199" i="1"/>
  <c r="S2199" i="1"/>
  <c r="Q2199" i="1"/>
  <c r="R2203" i="1"/>
  <c r="S2203" i="1"/>
  <c r="Q2203" i="1"/>
  <c r="R2207" i="1"/>
  <c r="S2207" i="1"/>
  <c r="Q2207" i="1"/>
  <c r="R2211" i="1"/>
  <c r="S2211" i="1"/>
  <c r="Q2211" i="1"/>
  <c r="R2215" i="1"/>
  <c r="S2215" i="1"/>
  <c r="Q2215" i="1"/>
  <c r="R2219" i="1"/>
  <c r="S2219" i="1"/>
  <c r="Q2219" i="1"/>
  <c r="R2223" i="1"/>
  <c r="S2223" i="1"/>
  <c r="Q2223" i="1"/>
  <c r="R2227" i="1"/>
  <c r="S2227" i="1"/>
  <c r="Q2227" i="1"/>
  <c r="R2231" i="1"/>
  <c r="S2231" i="1"/>
  <c r="Q2231" i="1"/>
  <c r="R2235" i="1"/>
  <c r="S2235" i="1"/>
  <c r="Q2235" i="1"/>
  <c r="R2239" i="1"/>
  <c r="S2239" i="1"/>
  <c r="Q2239" i="1"/>
  <c r="R2243" i="1"/>
  <c r="S2243" i="1"/>
  <c r="Q2243" i="1"/>
  <c r="R2247" i="1"/>
  <c r="S2247" i="1"/>
  <c r="Q2247" i="1"/>
  <c r="R2251" i="1"/>
  <c r="S2251" i="1"/>
  <c r="Q2251" i="1"/>
  <c r="R2255" i="1"/>
  <c r="S2255" i="1"/>
  <c r="Q2255" i="1"/>
  <c r="R2265" i="1"/>
  <c r="S2265" i="1"/>
  <c r="Q2265" i="1"/>
  <c r="R2269" i="1"/>
  <c r="S2269" i="1"/>
  <c r="Q2269" i="1"/>
  <c r="R2273" i="1"/>
  <c r="S2273" i="1"/>
  <c r="Q2273" i="1"/>
  <c r="R2277" i="1"/>
  <c r="S2277" i="1"/>
  <c r="Q2277" i="1"/>
  <c r="R2281" i="1"/>
  <c r="S2281" i="1"/>
  <c r="Q2281" i="1"/>
  <c r="R2285" i="1"/>
  <c r="S2285" i="1"/>
  <c r="Q2285" i="1"/>
  <c r="R2289" i="1"/>
  <c r="S2289" i="1"/>
  <c r="Q2289" i="1"/>
  <c r="R2293" i="1"/>
  <c r="S2293" i="1"/>
  <c r="Q2293" i="1"/>
  <c r="R2298" i="1"/>
  <c r="S2298" i="1"/>
  <c r="Q2298" i="1"/>
  <c r="R2302" i="1"/>
  <c r="S2302" i="1"/>
  <c r="Q2302" i="1"/>
  <c r="R2306" i="1"/>
  <c r="S2306" i="1"/>
  <c r="Q2306" i="1"/>
  <c r="R2310" i="1"/>
  <c r="S2310" i="1"/>
  <c r="Q2310" i="1"/>
  <c r="R2314" i="1"/>
  <c r="S2314" i="1"/>
  <c r="Q2314" i="1"/>
  <c r="R2318" i="1"/>
  <c r="S2318" i="1"/>
  <c r="Q2318" i="1"/>
  <c r="R2323" i="1"/>
  <c r="S2323" i="1"/>
  <c r="Q2323" i="1"/>
  <c r="R2327" i="1"/>
  <c r="S2327" i="1"/>
  <c r="Q2327" i="1"/>
  <c r="R2331" i="1"/>
  <c r="S2331" i="1"/>
  <c r="Q2331" i="1"/>
  <c r="R2335" i="1"/>
  <c r="S2335" i="1"/>
  <c r="Q2335" i="1"/>
  <c r="R2339" i="1"/>
  <c r="S2339" i="1"/>
  <c r="Q2339" i="1"/>
  <c r="R2343" i="1"/>
  <c r="S2343" i="1"/>
  <c r="Q2343" i="1"/>
  <c r="R2349" i="1"/>
  <c r="S2349" i="1"/>
  <c r="Q2349" i="1"/>
  <c r="R2353" i="1"/>
  <c r="S2353" i="1"/>
  <c r="Q2353" i="1"/>
  <c r="R2357" i="1"/>
  <c r="S2357" i="1"/>
  <c r="Q2357" i="1"/>
  <c r="R2361" i="1"/>
  <c r="S2361" i="1"/>
  <c r="Q2361" i="1"/>
  <c r="R2365" i="1"/>
  <c r="S2365" i="1"/>
  <c r="Q2365" i="1"/>
  <c r="R2369" i="1"/>
  <c r="S2369" i="1"/>
  <c r="Q2369" i="1"/>
  <c r="R2373" i="1"/>
  <c r="S2373" i="1"/>
  <c r="Q2373" i="1"/>
  <c r="R2377" i="1"/>
  <c r="S2377" i="1"/>
  <c r="Q2377" i="1"/>
  <c r="R2381" i="1"/>
  <c r="S2381" i="1"/>
  <c r="Q2381" i="1"/>
  <c r="R2388" i="1"/>
  <c r="S2388" i="1"/>
  <c r="Q2388" i="1"/>
  <c r="R2392" i="1"/>
  <c r="S2392" i="1"/>
  <c r="Q2392" i="1"/>
  <c r="R2397" i="1"/>
  <c r="S2397" i="1"/>
  <c r="Q2397" i="1"/>
  <c r="R2401" i="1"/>
  <c r="S2401" i="1"/>
  <c r="Q2401" i="1"/>
  <c r="R2405" i="1"/>
  <c r="S2405" i="1"/>
  <c r="Q2405" i="1"/>
  <c r="R2409" i="1"/>
  <c r="S2409" i="1"/>
  <c r="Q2409" i="1"/>
  <c r="R2413" i="1"/>
  <c r="S2413" i="1"/>
  <c r="Q2413" i="1"/>
  <c r="R2417" i="1"/>
  <c r="S2417" i="1"/>
  <c r="Q2417" i="1"/>
  <c r="R2421" i="1"/>
  <c r="S2421" i="1"/>
  <c r="Q2421" i="1"/>
  <c r="R2425" i="1"/>
  <c r="S2425" i="1"/>
  <c r="Q2425" i="1"/>
  <c r="R2429" i="1"/>
  <c r="S2429" i="1"/>
  <c r="Q2429" i="1"/>
  <c r="R2434" i="1"/>
  <c r="S2434" i="1"/>
  <c r="Q2434" i="1"/>
  <c r="R2438" i="1"/>
  <c r="S2438" i="1"/>
  <c r="Q2438" i="1"/>
  <c r="R2444" i="1"/>
  <c r="S2444" i="1"/>
  <c r="Q2444" i="1"/>
  <c r="R2449" i="1"/>
  <c r="S2449" i="1"/>
  <c r="Q2449" i="1"/>
  <c r="R2453" i="1"/>
  <c r="S2453" i="1"/>
  <c r="Q2453" i="1"/>
  <c r="R2457" i="1"/>
  <c r="S2457" i="1"/>
  <c r="Q2457" i="1"/>
  <c r="R2464" i="1"/>
  <c r="S2464" i="1"/>
  <c r="Q2464" i="1"/>
  <c r="R2468" i="1"/>
  <c r="S2468" i="1"/>
  <c r="Q2468" i="1"/>
  <c r="R2473" i="1"/>
  <c r="S2473" i="1"/>
  <c r="Q2473" i="1"/>
  <c r="R2477" i="1"/>
  <c r="S2477" i="1"/>
  <c r="Q2477" i="1"/>
  <c r="R2481" i="1"/>
  <c r="S2481" i="1"/>
  <c r="Q2481" i="1"/>
  <c r="R2485" i="1"/>
  <c r="S2485" i="1"/>
  <c r="Q2485" i="1"/>
  <c r="R2489" i="1"/>
  <c r="S2489" i="1"/>
  <c r="Q2489" i="1"/>
  <c r="R2493" i="1"/>
  <c r="S2493" i="1"/>
  <c r="Q2493" i="1"/>
  <c r="Q1363" i="1"/>
  <c r="Q1368" i="1"/>
  <c r="Q1373" i="1"/>
  <c r="Q1377" i="1"/>
  <c r="Q1381" i="1"/>
  <c r="Q1386" i="1"/>
  <c r="Q1390" i="1"/>
  <c r="Q1394" i="1"/>
  <c r="Q1398" i="1"/>
  <c r="Q1402" i="1"/>
  <c r="Q1407" i="1"/>
  <c r="Q1411" i="1"/>
  <c r="Q1415" i="1"/>
  <c r="Q1420" i="1"/>
  <c r="Q1424" i="1"/>
  <c r="Q1428" i="1"/>
  <c r="Q1432" i="1"/>
  <c r="Q1436" i="1"/>
  <c r="Q1440" i="1"/>
  <c r="Q1444" i="1"/>
  <c r="Q1448" i="1"/>
  <c r="Q1452" i="1"/>
  <c r="Q1456" i="1"/>
  <c r="Q1460" i="1"/>
  <c r="Q1464" i="1"/>
  <c r="Q1468" i="1"/>
  <c r="Q1472" i="1"/>
  <c r="Q1476" i="1"/>
  <c r="Q1480" i="1"/>
  <c r="Q1484" i="1"/>
  <c r="Q1488" i="1"/>
  <c r="Q1492" i="1"/>
  <c r="Q1497" i="1"/>
  <c r="Q1501" i="1"/>
  <c r="Q1507" i="1"/>
  <c r="Q1511" i="1"/>
  <c r="Q1515" i="1"/>
  <c r="Q1519" i="1"/>
  <c r="Q1523" i="1"/>
  <c r="Q1528" i="1"/>
  <c r="Q1534" i="1"/>
  <c r="Q1538" i="1"/>
  <c r="Q1543" i="1"/>
  <c r="Q1548" i="1"/>
  <c r="Q1552" i="1"/>
  <c r="Q1556" i="1"/>
  <c r="Q1560" i="1"/>
  <c r="Q1564" i="1"/>
  <c r="Q1568" i="1"/>
  <c r="Q1572" i="1"/>
  <c r="Q1577" i="1"/>
  <c r="Q1581" i="1"/>
  <c r="Q1585" i="1"/>
  <c r="Q1589" i="1"/>
  <c r="Q1593" i="1"/>
  <c r="Q1597" i="1"/>
  <c r="Q1601" i="1"/>
  <c r="Q1605" i="1"/>
  <c r="Q1609" i="1"/>
  <c r="Q1613" i="1"/>
  <c r="Q1617" i="1"/>
  <c r="Q1621" i="1"/>
  <c r="Q1625" i="1"/>
  <c r="Q1629" i="1"/>
  <c r="Q1633" i="1"/>
  <c r="Q1637" i="1"/>
  <c r="Q1641" i="1"/>
  <c r="Q1645" i="1"/>
  <c r="Q1649" i="1"/>
  <c r="Q1653" i="1"/>
  <c r="Q1657" i="1"/>
  <c r="Q1661" i="1"/>
  <c r="Q1665" i="1"/>
  <c r="Q1669" i="1"/>
  <c r="Q1673" i="1"/>
  <c r="Q1677" i="1"/>
  <c r="Q1681" i="1"/>
  <c r="Q1685" i="1"/>
  <c r="Q1689" i="1"/>
  <c r="Q1693" i="1"/>
  <c r="Q1697" i="1"/>
  <c r="Q1701" i="1"/>
  <c r="Q1707" i="1"/>
  <c r="Q1711" i="1"/>
  <c r="Q1715" i="1"/>
  <c r="Q1719" i="1"/>
  <c r="Q1723" i="1"/>
  <c r="Q1727" i="1"/>
  <c r="Q1731" i="1"/>
  <c r="Q1738" i="1"/>
  <c r="Q1742" i="1"/>
  <c r="Q1746" i="1"/>
  <c r="Q1750" i="1"/>
  <c r="Q1754" i="1"/>
  <c r="Q1758" i="1"/>
  <c r="Q1762" i="1"/>
  <c r="Q1774" i="1"/>
  <c r="Q1778" i="1"/>
  <c r="Q1782" i="1"/>
  <c r="Q1786" i="1"/>
  <c r="Q1790" i="1"/>
  <c r="Q1795" i="1"/>
  <c r="Q1799" i="1"/>
  <c r="Q1803" i="1"/>
  <c r="Q1807" i="1"/>
  <c r="Q1811" i="1"/>
  <c r="Q1818" i="1"/>
  <c r="Q1822" i="1"/>
  <c r="Q1826" i="1"/>
  <c r="Q1831" i="1"/>
  <c r="Q1835" i="1"/>
  <c r="Q1839" i="1"/>
  <c r="Q1845" i="1"/>
  <c r="Q1849" i="1"/>
  <c r="Q1853" i="1"/>
  <c r="Q1857" i="1"/>
  <c r="Q1862" i="1"/>
  <c r="Q1866" i="1"/>
  <c r="Q1877" i="1"/>
  <c r="Q1881" i="1"/>
  <c r="Q1885" i="1"/>
  <c r="Q1889" i="1"/>
  <c r="Q1893" i="1"/>
  <c r="Q1898" i="1"/>
  <c r="Q1902" i="1"/>
  <c r="Q1906" i="1"/>
  <c r="Q1910" i="1"/>
  <c r="Q1914" i="1"/>
  <c r="Q1921" i="1"/>
  <c r="Q1925" i="1"/>
  <c r="Q1929" i="1"/>
  <c r="Q1933" i="1"/>
  <c r="Q1937" i="1"/>
  <c r="Q1941" i="1"/>
  <c r="Q1945" i="1"/>
  <c r="Q1951" i="1"/>
  <c r="Q1955" i="1"/>
  <c r="Q1961" i="1"/>
  <c r="Q1966" i="1"/>
  <c r="Q1974" i="1"/>
  <c r="Q1978" i="1"/>
  <c r="Q1982" i="1"/>
  <c r="Q1990" i="1"/>
  <c r="Q1995" i="1"/>
  <c r="R1367" i="1"/>
  <c r="S1367" i="1"/>
  <c r="R1372" i="1"/>
  <c r="S1372" i="1"/>
  <c r="R1376" i="1"/>
  <c r="S1376" i="1"/>
  <c r="R1380" i="1"/>
  <c r="S1380" i="1"/>
  <c r="R1385" i="1"/>
  <c r="S1385" i="1"/>
  <c r="R1389" i="1"/>
  <c r="S1389" i="1"/>
  <c r="R1393" i="1"/>
  <c r="S1393" i="1"/>
  <c r="R1397" i="1"/>
  <c r="S1397" i="1"/>
  <c r="R1401" i="1"/>
  <c r="S1401" i="1"/>
  <c r="R1405" i="1"/>
  <c r="S1405" i="1"/>
  <c r="R1410" i="1"/>
  <c r="S1410" i="1"/>
  <c r="R1414" i="1"/>
  <c r="S1414" i="1"/>
  <c r="R1419" i="1"/>
  <c r="S1419" i="1"/>
  <c r="R1423" i="1"/>
  <c r="S1423" i="1"/>
  <c r="R1427" i="1"/>
  <c r="S1427" i="1"/>
  <c r="R1431" i="1"/>
  <c r="S1431" i="1"/>
  <c r="R1435" i="1"/>
  <c r="S1435" i="1"/>
  <c r="R1439" i="1"/>
  <c r="S1439" i="1"/>
  <c r="R1443" i="1"/>
  <c r="S1443" i="1"/>
  <c r="R1447" i="1"/>
  <c r="S1447" i="1"/>
  <c r="R1451" i="1"/>
  <c r="S1451" i="1"/>
  <c r="R1455" i="1"/>
  <c r="S1455" i="1"/>
  <c r="R1459" i="1"/>
  <c r="S1459" i="1"/>
  <c r="R1463" i="1"/>
  <c r="S1463" i="1"/>
  <c r="R1471" i="1"/>
  <c r="S1471" i="1"/>
  <c r="R1475" i="1"/>
  <c r="S1475" i="1"/>
  <c r="R1479" i="1"/>
  <c r="S1479" i="1"/>
  <c r="R1483" i="1"/>
  <c r="S1483" i="1"/>
  <c r="R1487" i="1"/>
  <c r="S1487" i="1"/>
  <c r="R1491" i="1"/>
  <c r="S1491" i="1"/>
  <c r="R1496" i="1"/>
  <c r="S1496" i="1"/>
  <c r="R1500" i="1"/>
  <c r="S1500" i="1"/>
  <c r="R1506" i="1"/>
  <c r="S1506" i="1"/>
  <c r="R1510" i="1"/>
  <c r="S1510" i="1"/>
  <c r="R1514" i="1"/>
  <c r="S1514" i="1"/>
  <c r="R1518" i="1"/>
  <c r="S1518" i="1"/>
  <c r="R1522" i="1"/>
  <c r="S1522" i="1"/>
  <c r="R1527" i="1"/>
  <c r="S1527" i="1"/>
  <c r="R1531" i="1"/>
  <c r="S1531" i="1"/>
  <c r="R1537" i="1"/>
  <c r="S1537" i="1"/>
  <c r="R1541" i="1"/>
  <c r="S1541" i="1"/>
  <c r="R1546" i="1"/>
  <c r="S1546" i="1"/>
  <c r="R1551" i="1"/>
  <c r="S1551" i="1"/>
  <c r="R1555" i="1"/>
  <c r="S1555" i="1"/>
  <c r="R1559" i="1"/>
  <c r="S1559" i="1"/>
  <c r="R1563" i="1"/>
  <c r="S1563" i="1"/>
  <c r="R1567" i="1"/>
  <c r="S1567" i="1"/>
  <c r="R1571" i="1"/>
  <c r="S1571" i="1"/>
  <c r="R1576" i="1"/>
  <c r="S1576" i="1"/>
  <c r="R1580" i="1"/>
  <c r="S1580" i="1"/>
  <c r="R1584" i="1"/>
  <c r="S1584" i="1"/>
  <c r="R1588" i="1"/>
  <c r="S1588" i="1"/>
  <c r="R1592" i="1"/>
  <c r="S1592" i="1"/>
  <c r="R1596" i="1"/>
  <c r="S1596" i="1"/>
  <c r="R1600" i="1"/>
  <c r="S1600" i="1"/>
  <c r="R1604" i="1"/>
  <c r="S1604" i="1"/>
  <c r="R1608" i="1"/>
  <c r="S1608" i="1"/>
  <c r="R1612" i="1"/>
  <c r="S1612" i="1"/>
  <c r="R1616" i="1"/>
  <c r="S1616" i="1"/>
  <c r="R1620" i="1"/>
  <c r="S1620" i="1"/>
  <c r="R1624" i="1"/>
  <c r="S1624" i="1"/>
  <c r="R1628" i="1"/>
  <c r="S1628" i="1"/>
  <c r="R1632" i="1"/>
  <c r="S1632" i="1"/>
  <c r="R1636" i="1"/>
  <c r="S1636" i="1"/>
  <c r="R1640" i="1"/>
  <c r="S1640" i="1"/>
  <c r="R1644" i="1"/>
  <c r="S1644" i="1"/>
  <c r="R1648" i="1"/>
  <c r="S1648" i="1"/>
  <c r="R1652" i="1"/>
  <c r="S1652" i="1"/>
  <c r="R1656" i="1"/>
  <c r="S1656" i="1"/>
  <c r="R1660" i="1"/>
  <c r="S1660" i="1"/>
  <c r="R1664" i="1"/>
  <c r="S1664" i="1"/>
  <c r="R1668" i="1"/>
  <c r="S1668" i="1"/>
  <c r="R1672" i="1"/>
  <c r="S1672" i="1"/>
  <c r="R1676" i="1"/>
  <c r="S1676" i="1"/>
  <c r="R1680" i="1"/>
  <c r="S1680" i="1"/>
  <c r="R1684" i="1"/>
  <c r="S1684" i="1"/>
  <c r="R1688" i="1"/>
  <c r="S1688" i="1"/>
  <c r="R1692" i="1"/>
  <c r="S1692" i="1"/>
  <c r="R1696" i="1"/>
  <c r="S1696" i="1"/>
  <c r="R1700" i="1"/>
  <c r="S1700" i="1"/>
  <c r="R1704" i="1"/>
  <c r="S1704" i="1"/>
  <c r="R1710" i="1"/>
  <c r="S1710" i="1"/>
  <c r="R1714" i="1"/>
  <c r="S1714" i="1"/>
  <c r="R1718" i="1"/>
  <c r="S1718" i="1"/>
  <c r="R1722" i="1"/>
  <c r="S1722" i="1"/>
  <c r="R1726" i="1"/>
  <c r="S1726" i="1"/>
  <c r="R1730" i="1"/>
  <c r="S1730" i="1"/>
  <c r="R1737" i="1"/>
  <c r="S1737" i="1"/>
  <c r="R1741" i="1"/>
  <c r="S1741" i="1"/>
  <c r="R1745" i="1"/>
  <c r="S1745" i="1"/>
  <c r="R1749" i="1"/>
  <c r="S1749" i="1"/>
  <c r="R1753" i="1"/>
  <c r="S1753" i="1"/>
  <c r="R1757" i="1"/>
  <c r="S1757" i="1"/>
  <c r="R1761" i="1"/>
  <c r="S1761" i="1"/>
  <c r="R1773" i="1"/>
  <c r="S1773" i="1"/>
  <c r="R1777" i="1"/>
  <c r="S1777" i="1"/>
  <c r="R1781" i="1"/>
  <c r="S1781" i="1"/>
  <c r="R1785" i="1"/>
  <c r="S1785" i="1"/>
  <c r="R1789" i="1"/>
  <c r="S1789" i="1"/>
  <c r="R1794" i="1"/>
  <c r="S1794" i="1"/>
  <c r="R1798" i="1"/>
  <c r="S1798" i="1"/>
  <c r="R1802" i="1"/>
  <c r="S1802" i="1"/>
  <c r="R1806" i="1"/>
  <c r="S1806" i="1"/>
  <c r="R1810" i="1"/>
  <c r="S1810" i="1"/>
  <c r="R1817" i="1"/>
  <c r="S1817" i="1"/>
  <c r="R1821" i="1"/>
  <c r="S1821" i="1"/>
  <c r="R1825" i="1"/>
  <c r="S1825" i="1"/>
  <c r="R1830" i="1"/>
  <c r="S1830" i="1"/>
  <c r="R1834" i="1"/>
  <c r="S1834" i="1"/>
  <c r="R1838" i="1"/>
  <c r="S1838" i="1"/>
  <c r="R1844" i="1"/>
  <c r="S1844" i="1"/>
  <c r="R1848" i="1"/>
  <c r="S1848" i="1"/>
  <c r="R1852" i="1"/>
  <c r="S1852" i="1"/>
  <c r="R1856" i="1"/>
  <c r="S1856" i="1"/>
  <c r="R1861" i="1"/>
  <c r="S1861" i="1"/>
  <c r="R1865" i="1"/>
  <c r="S1865" i="1"/>
  <c r="R1869" i="1"/>
  <c r="S1869" i="1"/>
  <c r="R1880" i="1"/>
  <c r="S1880" i="1"/>
  <c r="R1884" i="1"/>
  <c r="S1884" i="1"/>
  <c r="R1888" i="1"/>
  <c r="S1888" i="1"/>
  <c r="R1892" i="1"/>
  <c r="S1892" i="1"/>
  <c r="R1897" i="1"/>
  <c r="S1897" i="1"/>
  <c r="R1901" i="1"/>
  <c r="S1901" i="1"/>
  <c r="R1905" i="1"/>
  <c r="R1909" i="1"/>
  <c r="S1909" i="1"/>
  <c r="R1913" i="1"/>
  <c r="S1913" i="1"/>
  <c r="R1920" i="1"/>
  <c r="S1920" i="1"/>
  <c r="R1924" i="1"/>
  <c r="S1924" i="1"/>
  <c r="R1928" i="1"/>
  <c r="S1928" i="1"/>
  <c r="R1932" i="1"/>
  <c r="S1932" i="1"/>
  <c r="R1936" i="1"/>
  <c r="S1936" i="1"/>
  <c r="R1940" i="1"/>
  <c r="S1940" i="1"/>
  <c r="R1944" i="1"/>
  <c r="S1944" i="1"/>
  <c r="R1950" i="1"/>
  <c r="S1950" i="1"/>
  <c r="R1954" i="1"/>
  <c r="S1954" i="1"/>
  <c r="R1960" i="1"/>
  <c r="S1960" i="1"/>
  <c r="R1964" i="1"/>
  <c r="S1964" i="1"/>
  <c r="R1973" i="1"/>
  <c r="S1973" i="1"/>
  <c r="R1977" i="1"/>
  <c r="S1977" i="1"/>
  <c r="R1981" i="1"/>
  <c r="S1981" i="1"/>
  <c r="R1988" i="1"/>
  <c r="S1988" i="1"/>
  <c r="R1993" i="1"/>
  <c r="S1993" i="1"/>
  <c r="R1999" i="1"/>
  <c r="S1999" i="1"/>
  <c r="Q1999" i="1"/>
  <c r="R2007" i="1"/>
  <c r="S2007" i="1"/>
  <c r="Q2007" i="1"/>
  <c r="R2011" i="1"/>
  <c r="S2011" i="1"/>
  <c r="Q2011" i="1"/>
  <c r="R2017" i="1"/>
  <c r="S2017" i="1"/>
  <c r="Q2017" i="1"/>
  <c r="R2028" i="1"/>
  <c r="S2028" i="1"/>
  <c r="Q2028" i="1"/>
  <c r="R2032" i="1"/>
  <c r="S2032" i="1"/>
  <c r="Q2032" i="1"/>
  <c r="R2036" i="1"/>
  <c r="S2036" i="1"/>
  <c r="Q2036" i="1"/>
  <c r="R2040" i="1"/>
  <c r="S2040" i="1"/>
  <c r="Q2040" i="1"/>
  <c r="R2046" i="1"/>
  <c r="S2046" i="1"/>
  <c r="Q2046" i="1"/>
  <c r="R2050" i="1"/>
  <c r="S2050" i="1"/>
  <c r="Q2050" i="1"/>
  <c r="R2055" i="1"/>
  <c r="S2055" i="1"/>
  <c r="Q2055" i="1"/>
  <c r="R2059" i="1"/>
  <c r="S2059" i="1"/>
  <c r="Q2059" i="1"/>
  <c r="R2074" i="1"/>
  <c r="S2074" i="1"/>
  <c r="Q2074" i="1"/>
  <c r="R2078" i="1"/>
  <c r="S2078" i="1"/>
  <c r="Q2078" i="1"/>
  <c r="R2082" i="1"/>
  <c r="S2082" i="1"/>
  <c r="Q2082" i="1"/>
  <c r="R2086" i="1"/>
  <c r="S2086" i="1"/>
  <c r="Q2086" i="1"/>
  <c r="R2090" i="1"/>
  <c r="S2090" i="1"/>
  <c r="Q2090" i="1"/>
  <c r="R2094" i="1"/>
  <c r="S2094" i="1"/>
  <c r="Q2094" i="1"/>
  <c r="R2098" i="1"/>
  <c r="S2098" i="1"/>
  <c r="Q2098" i="1"/>
  <c r="R2102" i="1"/>
  <c r="S2102" i="1"/>
  <c r="Q2102" i="1"/>
  <c r="R2106" i="1"/>
  <c r="S2106" i="1"/>
  <c r="Q2106" i="1"/>
  <c r="R2110" i="1"/>
  <c r="S2110" i="1"/>
  <c r="Q2110" i="1"/>
  <c r="R2114" i="1"/>
  <c r="S2114" i="1"/>
  <c r="Q2114" i="1"/>
  <c r="R2118" i="1"/>
  <c r="S2118" i="1"/>
  <c r="Q2118" i="1"/>
  <c r="R2122" i="1"/>
  <c r="S2122" i="1"/>
  <c r="Q2122" i="1"/>
  <c r="R2126" i="1"/>
  <c r="S2126" i="1"/>
  <c r="Q2126" i="1"/>
  <c r="R2130" i="1"/>
  <c r="S2130" i="1"/>
  <c r="Q2130" i="1"/>
  <c r="R2134" i="1"/>
  <c r="S2134" i="1"/>
  <c r="Q2134" i="1"/>
  <c r="R2139" i="1"/>
  <c r="S2139" i="1"/>
  <c r="Q2139" i="1"/>
  <c r="R2143" i="1"/>
  <c r="S2143" i="1"/>
  <c r="Q2143" i="1"/>
  <c r="R2148" i="1"/>
  <c r="S2148" i="1"/>
  <c r="Q2148" i="1"/>
  <c r="R2152" i="1"/>
  <c r="S2152" i="1"/>
  <c r="Q2152" i="1"/>
  <c r="R2156" i="1"/>
  <c r="S2156" i="1"/>
  <c r="Q2156" i="1"/>
  <c r="R2160" i="1"/>
  <c r="S2160" i="1"/>
  <c r="Q2160" i="1"/>
  <c r="R2164" i="1"/>
  <c r="S2164" i="1"/>
  <c r="Q2164" i="1"/>
  <c r="R2168" i="1"/>
  <c r="S2168" i="1"/>
  <c r="Q2168" i="1"/>
  <c r="R2172" i="1"/>
  <c r="S2172" i="1"/>
  <c r="Q2172" i="1"/>
  <c r="R2177" i="1"/>
  <c r="S2177" i="1"/>
  <c r="Q2177" i="1"/>
  <c r="R2181" i="1"/>
  <c r="S2181" i="1"/>
  <c r="Q2181" i="1"/>
  <c r="R2185" i="1"/>
  <c r="S2185" i="1"/>
  <c r="Q2185" i="1"/>
  <c r="R2189" i="1"/>
  <c r="S2189" i="1"/>
  <c r="Q2189" i="1"/>
  <c r="R2194" i="1"/>
  <c r="S2194" i="1"/>
  <c r="Q2194" i="1"/>
  <c r="R2198" i="1"/>
  <c r="S2198" i="1"/>
  <c r="Q2198" i="1"/>
  <c r="R2202" i="1"/>
  <c r="S2202" i="1"/>
  <c r="Q2202" i="1"/>
  <c r="R2206" i="1"/>
  <c r="S2206" i="1"/>
  <c r="Q2206" i="1"/>
  <c r="R2210" i="1"/>
  <c r="S2210" i="1"/>
  <c r="Q2210" i="1"/>
  <c r="R2214" i="1"/>
  <c r="S2214" i="1"/>
  <c r="Q2214" i="1"/>
  <c r="R2218" i="1"/>
  <c r="S2218" i="1"/>
  <c r="Q2218" i="1"/>
  <c r="R2222" i="1"/>
  <c r="S2222" i="1"/>
  <c r="Q2222" i="1"/>
  <c r="R2226" i="1"/>
  <c r="S2226" i="1"/>
  <c r="Q2226" i="1"/>
  <c r="R2230" i="1"/>
  <c r="S2230" i="1"/>
  <c r="Q2230" i="1"/>
  <c r="R2234" i="1"/>
  <c r="S2234" i="1"/>
  <c r="Q2234" i="1"/>
  <c r="R2238" i="1"/>
  <c r="S2238" i="1"/>
  <c r="Q2238" i="1"/>
  <c r="R2242" i="1"/>
  <c r="S2242" i="1"/>
  <c r="Q2242" i="1"/>
  <c r="R2246" i="1"/>
  <c r="S2246" i="1"/>
  <c r="Q2246" i="1"/>
  <c r="R2250" i="1"/>
  <c r="S2250" i="1"/>
  <c r="Q2250" i="1"/>
  <c r="R2254" i="1"/>
  <c r="S2254" i="1"/>
  <c r="Q2254" i="1"/>
  <c r="R2258" i="1"/>
  <c r="S2258" i="1"/>
  <c r="Q2258" i="1"/>
  <c r="R2264" i="1"/>
  <c r="S2264" i="1"/>
  <c r="Q2264" i="1"/>
  <c r="R2268" i="1"/>
  <c r="S2268" i="1"/>
  <c r="Q2268" i="1"/>
  <c r="R2272" i="1"/>
  <c r="S2272" i="1"/>
  <c r="Q2272" i="1"/>
  <c r="R2276" i="1"/>
  <c r="S2276" i="1"/>
  <c r="Q2276" i="1"/>
  <c r="R2280" i="1"/>
  <c r="S2280" i="1"/>
  <c r="Q2280" i="1"/>
  <c r="R2284" i="1"/>
  <c r="S2284" i="1"/>
  <c r="Q2284" i="1"/>
  <c r="R2288" i="1"/>
  <c r="S2288" i="1"/>
  <c r="Q2288" i="1"/>
  <c r="R2292" i="1"/>
  <c r="S2292" i="1"/>
  <c r="Q2292" i="1"/>
  <c r="R2296" i="1"/>
  <c r="S2296" i="1"/>
  <c r="Q2296" i="1"/>
  <c r="R2301" i="1"/>
  <c r="S2301" i="1"/>
  <c r="Q2301" i="1"/>
  <c r="R2305" i="1"/>
  <c r="S2305" i="1"/>
  <c r="Q2305" i="1"/>
  <c r="R2309" i="1"/>
  <c r="S2309" i="1"/>
  <c r="Q2309" i="1"/>
  <c r="R2313" i="1"/>
  <c r="S2313" i="1"/>
  <c r="Q2313" i="1"/>
  <c r="R2317" i="1"/>
  <c r="S2317" i="1"/>
  <c r="Q2317" i="1"/>
  <c r="R2322" i="1"/>
  <c r="S2322" i="1"/>
  <c r="Q2322" i="1"/>
  <c r="R2326" i="1"/>
  <c r="S2326" i="1"/>
  <c r="Q2326" i="1"/>
  <c r="R2330" i="1"/>
  <c r="S2330" i="1"/>
  <c r="Q2330" i="1"/>
  <c r="R2334" i="1"/>
  <c r="S2334" i="1"/>
  <c r="Q2334" i="1"/>
  <c r="R2338" i="1"/>
  <c r="S2338" i="1"/>
  <c r="Q2338" i="1"/>
  <c r="R2342" i="1"/>
  <c r="S2342" i="1"/>
  <c r="Q2342" i="1"/>
  <c r="R2348" i="1"/>
  <c r="S2348" i="1"/>
  <c r="Q2348" i="1"/>
  <c r="R2352" i="1"/>
  <c r="S2352" i="1"/>
  <c r="Q2352" i="1"/>
  <c r="R2356" i="1"/>
  <c r="S2356" i="1"/>
  <c r="Q2356" i="1"/>
  <c r="R2360" i="1"/>
  <c r="S2360" i="1"/>
  <c r="Q2360" i="1"/>
  <c r="R2364" i="1"/>
  <c r="S2364" i="1"/>
  <c r="Q2364" i="1"/>
  <c r="R2368" i="1"/>
  <c r="S2368" i="1"/>
  <c r="Q2368" i="1"/>
  <c r="R2372" i="1"/>
  <c r="S2372" i="1"/>
  <c r="Q2372" i="1"/>
  <c r="R2376" i="1"/>
  <c r="S2376" i="1"/>
  <c r="Q2376" i="1"/>
  <c r="R2380" i="1"/>
  <c r="S2380" i="1"/>
  <c r="Q2380" i="1"/>
  <c r="R2387" i="1"/>
  <c r="S2387" i="1"/>
  <c r="Q2387" i="1"/>
  <c r="R2391" i="1"/>
  <c r="S2391" i="1"/>
  <c r="Q2391" i="1"/>
  <c r="R2395" i="1"/>
  <c r="S2395" i="1"/>
  <c r="Q2395" i="1"/>
  <c r="R2400" i="1"/>
  <c r="S2400" i="1"/>
  <c r="Q2400" i="1"/>
  <c r="R2404" i="1"/>
  <c r="S2404" i="1"/>
  <c r="Q2404" i="1"/>
  <c r="R2408" i="1"/>
  <c r="S2408" i="1"/>
  <c r="Q2408" i="1"/>
  <c r="R2412" i="1"/>
  <c r="S2412" i="1"/>
  <c r="Q2412" i="1"/>
  <c r="R2416" i="1"/>
  <c r="S2416" i="1"/>
  <c r="Q2416" i="1"/>
  <c r="R2420" i="1"/>
  <c r="S2420" i="1"/>
  <c r="Q2420" i="1"/>
  <c r="R2424" i="1"/>
  <c r="S2424" i="1"/>
  <c r="Q2424" i="1"/>
  <c r="R2428" i="1"/>
  <c r="S2428" i="1"/>
  <c r="Q2428" i="1"/>
  <c r="R2433" i="1"/>
  <c r="S2433" i="1"/>
  <c r="Q2433" i="1"/>
  <c r="R2437" i="1"/>
  <c r="U2437" i="1" s="1"/>
  <c r="S2437" i="1"/>
  <c r="V2437" i="1" s="1"/>
  <c r="Q2437" i="1"/>
  <c r="R2443" i="1"/>
  <c r="S2443" i="1"/>
  <c r="Q2443" i="1"/>
  <c r="R2448" i="1"/>
  <c r="S2448" i="1"/>
  <c r="Q2448" i="1"/>
  <c r="R2452" i="1"/>
  <c r="S2452" i="1"/>
  <c r="Q2452" i="1"/>
  <c r="R2456" i="1"/>
  <c r="S2456" i="1"/>
  <c r="Q2456" i="1"/>
  <c r="R2463" i="1"/>
  <c r="S2463" i="1"/>
  <c r="Q2463" i="1"/>
  <c r="R2467" i="1"/>
  <c r="S2467" i="1"/>
  <c r="Q2467" i="1"/>
  <c r="R2471" i="1"/>
  <c r="S2471" i="1"/>
  <c r="Q2471" i="1"/>
  <c r="R2476" i="1"/>
  <c r="S2476" i="1"/>
  <c r="Q2476" i="1"/>
  <c r="R2480" i="1"/>
  <c r="S2480" i="1"/>
  <c r="Q2480" i="1"/>
  <c r="R2484" i="1"/>
  <c r="S2484" i="1"/>
  <c r="Q2484" i="1"/>
  <c r="R2488" i="1"/>
  <c r="S2488" i="1"/>
  <c r="Q2488" i="1"/>
  <c r="R2492" i="1"/>
  <c r="S2492" i="1"/>
  <c r="Q2492" i="1"/>
  <c r="Q1367" i="1"/>
  <c r="Q1372" i="1"/>
  <c r="Q1376" i="1"/>
  <c r="Q1380" i="1"/>
  <c r="Q1385" i="1"/>
  <c r="Q1389" i="1"/>
  <c r="Q1393" i="1"/>
  <c r="Q1397" i="1"/>
  <c r="Q1401" i="1"/>
  <c r="Q1405" i="1"/>
  <c r="Q1410" i="1"/>
  <c r="Q1414" i="1"/>
  <c r="Q1419" i="1"/>
  <c r="Q1423" i="1"/>
  <c r="Q1427" i="1"/>
  <c r="Q1431" i="1"/>
  <c r="Q1435" i="1"/>
  <c r="Q1439" i="1"/>
  <c r="Q1443" i="1"/>
  <c r="Q1447" i="1"/>
  <c r="Q1451" i="1"/>
  <c r="Q1455" i="1"/>
  <c r="Q1459" i="1"/>
  <c r="Q1463" i="1"/>
  <c r="Q1467" i="1"/>
  <c r="Q1471" i="1"/>
  <c r="Q1475" i="1"/>
  <c r="Q1479" i="1"/>
  <c r="Q1483" i="1"/>
  <c r="Q1487" i="1"/>
  <c r="Q1491" i="1"/>
  <c r="Q1496" i="1"/>
  <c r="Q1500" i="1"/>
  <c r="Q1506" i="1"/>
  <c r="Q1510" i="1"/>
  <c r="Q1514" i="1"/>
  <c r="Q1518" i="1"/>
  <c r="Q1522" i="1"/>
  <c r="Q1527" i="1"/>
  <c r="Q1531" i="1"/>
  <c r="Q1537" i="1"/>
  <c r="Q1541" i="1"/>
  <c r="Q1546" i="1"/>
  <c r="Q1551" i="1"/>
  <c r="Q1555" i="1"/>
  <c r="Q1559" i="1"/>
  <c r="Q1563" i="1"/>
  <c r="Q1567" i="1"/>
  <c r="Q1571" i="1"/>
  <c r="Q1576" i="1"/>
  <c r="Q1580" i="1"/>
  <c r="Q1584" i="1"/>
  <c r="Q1588" i="1"/>
  <c r="Q1592" i="1"/>
  <c r="Q1596" i="1"/>
  <c r="Q1600" i="1"/>
  <c r="Q1604" i="1"/>
  <c r="Q1608" i="1"/>
  <c r="Q1612" i="1"/>
  <c r="Q1616" i="1"/>
  <c r="Q1620" i="1"/>
  <c r="Q1624" i="1"/>
  <c r="Q1628" i="1"/>
  <c r="Q1632" i="1"/>
  <c r="Q1636" i="1"/>
  <c r="Q1640" i="1"/>
  <c r="Q1644" i="1"/>
  <c r="Q1648" i="1"/>
  <c r="Q1652" i="1"/>
  <c r="Q1656" i="1"/>
  <c r="Q1660" i="1"/>
  <c r="Q1664" i="1"/>
  <c r="Q1668" i="1"/>
  <c r="Q1672" i="1"/>
  <c r="Q1676" i="1"/>
  <c r="Q1680" i="1"/>
  <c r="Q1684" i="1"/>
  <c r="Q1688" i="1"/>
  <c r="Q1692" i="1"/>
  <c r="Q1696" i="1"/>
  <c r="Q1700" i="1"/>
  <c r="Q1704" i="1"/>
  <c r="Q1710" i="1"/>
  <c r="Q1714" i="1"/>
  <c r="Q1718" i="1"/>
  <c r="Q1722" i="1"/>
  <c r="Q1726" i="1"/>
  <c r="Q1730" i="1"/>
  <c r="Q1737" i="1"/>
  <c r="Q1741" i="1"/>
  <c r="Q1745" i="1"/>
  <c r="Q1749" i="1"/>
  <c r="Q1753" i="1"/>
  <c r="Q1757" i="1"/>
  <c r="Q1761" i="1"/>
  <c r="Q1773" i="1"/>
  <c r="Q1777" i="1"/>
  <c r="Q1781" i="1"/>
  <c r="Q1785" i="1"/>
  <c r="Q1789" i="1"/>
  <c r="Q1794" i="1"/>
  <c r="Q1798" i="1"/>
  <c r="Q1802" i="1"/>
  <c r="Q1806" i="1"/>
  <c r="Q1810" i="1"/>
  <c r="Q1817" i="1"/>
  <c r="Q1821" i="1"/>
  <c r="Q1825" i="1"/>
  <c r="Q1830" i="1"/>
  <c r="Q1834" i="1"/>
  <c r="Q1838" i="1"/>
  <c r="Q1844" i="1"/>
  <c r="Q1848" i="1"/>
  <c r="Q1852" i="1"/>
  <c r="Q1856" i="1"/>
  <c r="Q1861" i="1"/>
  <c r="Q1865" i="1"/>
  <c r="Q1869" i="1"/>
  <c r="Q1880" i="1"/>
  <c r="Q1884" i="1"/>
  <c r="Q1888" i="1"/>
  <c r="Q1892" i="1"/>
  <c r="Q1897" i="1"/>
  <c r="Q1901" i="1"/>
  <c r="Q1905" i="1"/>
  <c r="Q1909" i="1"/>
  <c r="Q1913" i="1"/>
  <c r="Q1920" i="1"/>
  <c r="Q1924" i="1"/>
  <c r="Q1928" i="1"/>
  <c r="Q1932" i="1"/>
  <c r="Q1936" i="1"/>
  <c r="Q1940" i="1"/>
  <c r="Q1944" i="1"/>
  <c r="Q1950" i="1"/>
  <c r="Q1954" i="1"/>
  <c r="Q1960" i="1"/>
  <c r="Q1964" i="1"/>
  <c r="Q1973" i="1"/>
  <c r="Q1977" i="1"/>
  <c r="Q1981" i="1"/>
  <c r="Q1988" i="1"/>
  <c r="Q1993" i="1"/>
  <c r="S1554" i="1"/>
  <c r="R1554" i="1"/>
  <c r="S1558" i="1"/>
  <c r="R1558" i="1"/>
  <c r="S1562" i="1"/>
  <c r="R1562" i="1"/>
  <c r="S1566" i="1"/>
  <c r="R1566" i="1"/>
  <c r="S1570" i="1"/>
  <c r="R1570" i="1"/>
  <c r="S1575" i="1"/>
  <c r="R1575" i="1"/>
  <c r="S1579" i="1"/>
  <c r="R1579" i="1"/>
  <c r="S1583" i="1"/>
  <c r="R1583" i="1"/>
  <c r="S1587" i="1"/>
  <c r="R1587" i="1"/>
  <c r="S1591" i="1"/>
  <c r="R1591" i="1"/>
  <c r="S1595" i="1"/>
  <c r="R1595" i="1"/>
  <c r="S1599" i="1"/>
  <c r="R1599" i="1"/>
  <c r="S1603" i="1"/>
  <c r="R1603" i="1"/>
  <c r="S1607" i="1"/>
  <c r="R1607" i="1"/>
  <c r="S1611" i="1"/>
  <c r="R1611" i="1"/>
  <c r="S1615" i="1"/>
  <c r="R1615" i="1"/>
  <c r="S1619" i="1"/>
  <c r="R1619" i="1"/>
  <c r="S1623" i="1"/>
  <c r="R1623" i="1"/>
  <c r="S1627" i="1"/>
  <c r="R1627" i="1"/>
  <c r="S1631" i="1"/>
  <c r="R1631" i="1"/>
  <c r="S1635" i="1"/>
  <c r="R1635" i="1"/>
  <c r="S1639" i="1"/>
  <c r="R1639" i="1"/>
  <c r="S1643" i="1"/>
  <c r="R1643" i="1"/>
  <c r="S1647" i="1"/>
  <c r="R1647" i="1"/>
  <c r="S1651" i="1"/>
  <c r="R1651" i="1"/>
  <c r="S1655" i="1"/>
  <c r="R1655" i="1"/>
  <c r="S1659" i="1"/>
  <c r="R1659" i="1"/>
  <c r="S1663" i="1"/>
  <c r="R1663" i="1"/>
  <c r="S1667" i="1"/>
  <c r="R1667" i="1"/>
  <c r="S1671" i="1"/>
  <c r="R1671" i="1"/>
  <c r="S1675" i="1"/>
  <c r="R1675" i="1"/>
  <c r="S1679" i="1"/>
  <c r="R1679" i="1"/>
  <c r="S1683" i="1"/>
  <c r="R1683" i="1"/>
  <c r="S1687" i="1"/>
  <c r="R1687" i="1"/>
  <c r="S1691" i="1"/>
  <c r="R1691" i="1"/>
  <c r="S1695" i="1"/>
  <c r="R1695" i="1"/>
  <c r="S1699" i="1"/>
  <c r="R1699" i="1"/>
  <c r="S1703" i="1"/>
  <c r="R1703" i="1"/>
  <c r="S1709" i="1"/>
  <c r="R1709" i="1"/>
  <c r="S1713" i="1"/>
  <c r="R1713" i="1"/>
  <c r="S1717" i="1"/>
  <c r="R1717" i="1"/>
  <c r="S1721" i="1"/>
  <c r="R1721" i="1"/>
  <c r="S1725" i="1"/>
  <c r="R1725" i="1"/>
  <c r="S1729" i="1"/>
  <c r="R1729" i="1"/>
  <c r="S1736" i="1"/>
  <c r="R1736" i="1"/>
  <c r="S1740" i="1"/>
  <c r="R1740" i="1"/>
  <c r="S1744" i="1"/>
  <c r="R1744" i="1"/>
  <c r="S1748" i="1"/>
  <c r="R1748" i="1"/>
  <c r="S1752" i="1"/>
  <c r="R1752" i="1"/>
  <c r="S1756" i="1"/>
  <c r="R1756" i="1"/>
  <c r="S1760" i="1"/>
  <c r="R1760" i="1"/>
  <c r="S1765" i="1"/>
  <c r="R1765" i="1"/>
  <c r="S1776" i="1"/>
  <c r="R1776" i="1"/>
  <c r="S1780" i="1"/>
  <c r="R1780" i="1"/>
  <c r="S1784" i="1"/>
  <c r="R1784" i="1"/>
  <c r="S1788" i="1"/>
  <c r="R1788" i="1"/>
  <c r="S1793" i="1"/>
  <c r="R1793" i="1"/>
  <c r="S1797" i="1"/>
  <c r="R1797" i="1"/>
  <c r="S1801" i="1"/>
  <c r="R1801" i="1"/>
  <c r="S1805" i="1"/>
  <c r="R1805" i="1"/>
  <c r="S1809" i="1"/>
  <c r="R1809" i="1"/>
  <c r="S1816" i="1"/>
  <c r="R1816" i="1"/>
  <c r="S1820" i="1"/>
  <c r="R1820" i="1"/>
  <c r="S1824" i="1"/>
  <c r="R1824" i="1"/>
  <c r="S1828" i="1"/>
  <c r="R1828" i="1"/>
  <c r="S1833" i="1"/>
  <c r="R1833" i="1"/>
  <c r="S1837" i="1"/>
  <c r="R1837" i="1"/>
  <c r="S1841" i="1"/>
  <c r="V1841" i="1" s="1"/>
  <c r="R1841" i="1"/>
  <c r="U1841" i="1" s="1"/>
  <c r="S1847" i="1"/>
  <c r="R1847" i="1"/>
  <c r="S1851" i="1"/>
  <c r="R1851" i="1"/>
  <c r="S1855" i="1"/>
  <c r="R1855" i="1"/>
  <c r="S1860" i="1"/>
  <c r="R1860" i="1"/>
  <c r="S1864" i="1"/>
  <c r="R1864" i="1"/>
  <c r="S1868" i="1"/>
  <c r="R1868" i="1"/>
  <c r="S1879" i="1"/>
  <c r="R1879" i="1"/>
  <c r="S1883" i="1"/>
  <c r="R1883" i="1"/>
  <c r="S1887" i="1"/>
  <c r="R1887" i="1"/>
  <c r="S1891" i="1"/>
  <c r="R1891" i="1"/>
  <c r="S1896" i="1"/>
  <c r="R1896" i="1"/>
  <c r="S1900" i="1"/>
  <c r="R1900" i="1"/>
  <c r="S1904" i="1"/>
  <c r="R1904" i="1"/>
  <c r="S1908" i="1"/>
  <c r="R1908" i="1"/>
  <c r="S1912" i="1"/>
  <c r="R1912" i="1"/>
  <c r="S1919" i="1"/>
  <c r="R1919" i="1"/>
  <c r="S1923" i="1"/>
  <c r="R1923" i="1"/>
  <c r="S1927" i="1"/>
  <c r="R1927" i="1"/>
  <c r="S1931" i="1"/>
  <c r="R1931" i="1"/>
  <c r="S1935" i="1"/>
  <c r="R1935" i="1"/>
  <c r="S1939" i="1"/>
  <c r="R1939" i="1"/>
  <c r="S1943" i="1"/>
  <c r="R1943" i="1"/>
  <c r="S1949" i="1"/>
  <c r="R1949" i="1"/>
  <c r="S1953" i="1"/>
  <c r="R1953" i="1"/>
  <c r="S1957" i="1"/>
  <c r="R1957" i="1"/>
  <c r="S1963" i="1"/>
  <c r="R1963" i="1"/>
  <c r="S1968" i="1"/>
  <c r="R1968" i="1"/>
  <c r="S1976" i="1"/>
  <c r="R1976" i="1"/>
  <c r="S1980" i="1"/>
  <c r="R1980" i="1"/>
  <c r="S1984" i="1"/>
  <c r="R1984" i="1"/>
  <c r="S1992" i="1"/>
  <c r="R1992" i="1"/>
  <c r="S1997" i="1"/>
  <c r="R1997" i="1"/>
  <c r="Q1997" i="1"/>
  <c r="S2006" i="1"/>
  <c r="R2006" i="1"/>
  <c r="Q2006" i="1"/>
  <c r="S2010" i="1"/>
  <c r="R2010" i="1"/>
  <c r="Q2010" i="1"/>
  <c r="S2016" i="1"/>
  <c r="R2016" i="1"/>
  <c r="Q2016" i="1"/>
  <c r="S2027" i="1"/>
  <c r="R2027" i="1"/>
  <c r="Q2027" i="1"/>
  <c r="S2031" i="1"/>
  <c r="R2031" i="1"/>
  <c r="Q2031" i="1"/>
  <c r="S2035" i="1"/>
  <c r="R2035" i="1"/>
  <c r="Q2035" i="1"/>
  <c r="S2039" i="1"/>
  <c r="R2039" i="1"/>
  <c r="Q2039" i="1"/>
  <c r="S2045" i="1"/>
  <c r="R2045" i="1"/>
  <c r="Q2045" i="1"/>
  <c r="S2049" i="1"/>
  <c r="R2049" i="1"/>
  <c r="Q2049" i="1"/>
  <c r="S2054" i="1"/>
  <c r="R2054" i="1"/>
  <c r="Q2054" i="1"/>
  <c r="S2058" i="1"/>
  <c r="R2058" i="1"/>
  <c r="Q2058" i="1"/>
  <c r="S2073" i="1"/>
  <c r="R2073" i="1"/>
  <c r="Q2073" i="1"/>
  <c r="S2077" i="1"/>
  <c r="R2077" i="1"/>
  <c r="Q2077" i="1"/>
  <c r="S2081" i="1"/>
  <c r="R2081" i="1"/>
  <c r="Q2081" i="1"/>
  <c r="S2085" i="1"/>
  <c r="R2085" i="1"/>
  <c r="Q2085" i="1"/>
  <c r="S2089" i="1"/>
  <c r="R2089" i="1"/>
  <c r="Q2089" i="1"/>
  <c r="S2093" i="1"/>
  <c r="R2093" i="1"/>
  <c r="Q2093" i="1"/>
  <c r="S2097" i="1"/>
  <c r="R2097" i="1"/>
  <c r="Q2097" i="1"/>
  <c r="S2101" i="1"/>
  <c r="R2101" i="1"/>
  <c r="Q2101" i="1"/>
  <c r="S2105" i="1"/>
  <c r="R2105" i="1"/>
  <c r="Q2105" i="1"/>
  <c r="S2109" i="1"/>
  <c r="R2109" i="1"/>
  <c r="Q2109" i="1"/>
  <c r="S2113" i="1"/>
  <c r="R2113" i="1"/>
  <c r="Q2113" i="1"/>
  <c r="S2117" i="1"/>
  <c r="R2117" i="1"/>
  <c r="Q2117" i="1"/>
  <c r="S2121" i="1"/>
  <c r="R2121" i="1"/>
  <c r="Q2121" i="1"/>
  <c r="S2125" i="1"/>
  <c r="R2125" i="1"/>
  <c r="Q2125" i="1"/>
  <c r="S2129" i="1"/>
  <c r="R2129" i="1"/>
  <c r="Q2129" i="1"/>
  <c r="S2133" i="1"/>
  <c r="R2133" i="1"/>
  <c r="Q2133" i="1"/>
  <c r="S2138" i="1"/>
  <c r="R2138" i="1"/>
  <c r="Q2138" i="1"/>
  <c r="S2142" i="1"/>
  <c r="R2142" i="1"/>
  <c r="Q2142" i="1"/>
  <c r="S2147" i="1"/>
  <c r="R2147" i="1"/>
  <c r="Q2147" i="1"/>
  <c r="S2151" i="1"/>
  <c r="R2151" i="1"/>
  <c r="Q2151" i="1"/>
  <c r="S2155" i="1"/>
  <c r="R2155" i="1"/>
  <c r="Q2155" i="1"/>
  <c r="S2159" i="1"/>
  <c r="R2159" i="1"/>
  <c r="Q2159" i="1"/>
  <c r="S2163" i="1"/>
  <c r="R2163" i="1"/>
  <c r="Q2163" i="1"/>
  <c r="S2167" i="1"/>
  <c r="R2167" i="1"/>
  <c r="Q2167" i="1"/>
  <c r="S2171" i="1"/>
  <c r="R2171" i="1"/>
  <c r="Q2171" i="1"/>
  <c r="S2175" i="1"/>
  <c r="R2175" i="1"/>
  <c r="Q2175" i="1"/>
  <c r="S2180" i="1"/>
  <c r="R2180" i="1"/>
  <c r="Q2180" i="1"/>
  <c r="S2184" i="1"/>
  <c r="R2184" i="1"/>
  <c r="Q2184" i="1"/>
  <c r="S2188" i="1"/>
  <c r="R2188" i="1"/>
  <c r="Q2188" i="1"/>
  <c r="S2192" i="1"/>
  <c r="R2192" i="1"/>
  <c r="Q2192" i="1"/>
  <c r="S2197" i="1"/>
  <c r="R2197" i="1"/>
  <c r="Q2197" i="1"/>
  <c r="S2201" i="1"/>
  <c r="R2201" i="1"/>
  <c r="Q2201" i="1"/>
  <c r="S2205" i="1"/>
  <c r="R2205" i="1"/>
  <c r="Q2205" i="1"/>
  <c r="S2209" i="1"/>
  <c r="R2209" i="1"/>
  <c r="Q2209" i="1"/>
  <c r="S2213" i="1"/>
  <c r="R2213" i="1"/>
  <c r="Q2213" i="1"/>
  <c r="S2217" i="1"/>
  <c r="R2217" i="1"/>
  <c r="Q2217" i="1"/>
  <c r="S2221" i="1"/>
  <c r="R2221" i="1"/>
  <c r="Q2221" i="1"/>
  <c r="S2225" i="1"/>
  <c r="R2225" i="1"/>
  <c r="Q2225" i="1"/>
  <c r="S2229" i="1"/>
  <c r="R2229" i="1"/>
  <c r="Q2229" i="1"/>
  <c r="S2233" i="1"/>
  <c r="R2233" i="1"/>
  <c r="Q2233" i="1"/>
  <c r="S2237" i="1"/>
  <c r="R2237" i="1"/>
  <c r="Q2237" i="1"/>
  <c r="S2241" i="1"/>
  <c r="R2241" i="1"/>
  <c r="Q2241" i="1"/>
  <c r="S2245" i="1"/>
  <c r="R2245" i="1"/>
  <c r="Q2245" i="1"/>
  <c r="S2249" i="1"/>
  <c r="R2249" i="1"/>
  <c r="Q2249" i="1"/>
  <c r="S2253" i="1"/>
  <c r="R2253" i="1"/>
  <c r="Q2253" i="1"/>
  <c r="S2257" i="1"/>
  <c r="R2257" i="1"/>
  <c r="Q2257" i="1"/>
  <c r="S2263" i="1"/>
  <c r="R2263" i="1"/>
  <c r="Q2263" i="1"/>
  <c r="S2267" i="1"/>
  <c r="R2267" i="1"/>
  <c r="Q2267" i="1"/>
  <c r="S2271" i="1"/>
  <c r="R2271" i="1"/>
  <c r="Q2271" i="1"/>
  <c r="S2275" i="1"/>
  <c r="R2275" i="1"/>
  <c r="Q2275" i="1"/>
  <c r="S2279" i="1"/>
  <c r="R2279" i="1"/>
  <c r="Q2279" i="1"/>
  <c r="S2283" i="1"/>
  <c r="R2283" i="1"/>
  <c r="Q2283" i="1"/>
  <c r="S2287" i="1"/>
  <c r="R2287" i="1"/>
  <c r="Q2287" i="1"/>
  <c r="S2291" i="1"/>
  <c r="R2291" i="1"/>
  <c r="Q2291" i="1"/>
  <c r="S2295" i="1"/>
  <c r="R2295" i="1"/>
  <c r="Q2295" i="1"/>
  <c r="S2300" i="1"/>
  <c r="R2300" i="1"/>
  <c r="Q2300" i="1"/>
  <c r="S2304" i="1"/>
  <c r="R2304" i="1"/>
  <c r="Q2304" i="1"/>
  <c r="S2308" i="1"/>
  <c r="R2308" i="1"/>
  <c r="Q2308" i="1"/>
  <c r="S2312" i="1"/>
  <c r="R2312" i="1"/>
  <c r="Q2312" i="1"/>
  <c r="S2316" i="1"/>
  <c r="R2316" i="1"/>
  <c r="Q2316" i="1"/>
  <c r="S2320" i="1"/>
  <c r="R2320" i="1"/>
  <c r="Q2320" i="1"/>
  <c r="S2325" i="1"/>
  <c r="R2325" i="1"/>
  <c r="Q2325" i="1"/>
  <c r="S2329" i="1"/>
  <c r="R2329" i="1"/>
  <c r="Q2329" i="1"/>
  <c r="S2333" i="1"/>
  <c r="R2333" i="1"/>
  <c r="Q2333" i="1"/>
  <c r="S2337" i="1"/>
  <c r="R2337" i="1"/>
  <c r="Q2337" i="1"/>
  <c r="S2341" i="1"/>
  <c r="R2341" i="1"/>
  <c r="Q2341" i="1"/>
  <c r="S2347" i="1"/>
  <c r="R2347" i="1"/>
  <c r="Q2347" i="1"/>
  <c r="S2351" i="1"/>
  <c r="R2351" i="1"/>
  <c r="Q2351" i="1"/>
  <c r="S2355" i="1"/>
  <c r="R2355" i="1"/>
  <c r="Q2355" i="1"/>
  <c r="S2359" i="1"/>
  <c r="R2359" i="1"/>
  <c r="Q2359" i="1"/>
  <c r="S2363" i="1"/>
  <c r="R2363" i="1"/>
  <c r="Q2363" i="1"/>
  <c r="S2367" i="1"/>
  <c r="R2367" i="1"/>
  <c r="Q2367" i="1"/>
  <c r="S2371" i="1"/>
  <c r="R2371" i="1"/>
  <c r="Q2371" i="1"/>
  <c r="S2375" i="1"/>
  <c r="R2375" i="1"/>
  <c r="Q2375" i="1"/>
  <c r="S2379" i="1"/>
  <c r="R2379" i="1"/>
  <c r="Q2379" i="1"/>
  <c r="S2386" i="1"/>
  <c r="R2386" i="1"/>
  <c r="Q2386" i="1"/>
  <c r="S2390" i="1"/>
  <c r="R2390" i="1"/>
  <c r="Q2390" i="1"/>
  <c r="S2394" i="1"/>
  <c r="R2394" i="1"/>
  <c r="Q2394" i="1"/>
  <c r="S2399" i="1"/>
  <c r="R2399" i="1"/>
  <c r="Q2399" i="1"/>
  <c r="S2403" i="1"/>
  <c r="R2403" i="1"/>
  <c r="Q2403" i="1"/>
  <c r="S2407" i="1"/>
  <c r="R2407" i="1"/>
  <c r="Q2407" i="1"/>
  <c r="S2411" i="1"/>
  <c r="R2411" i="1"/>
  <c r="Q2411" i="1"/>
  <c r="S2415" i="1"/>
  <c r="R2415" i="1"/>
  <c r="Q2415" i="1"/>
  <c r="S2419" i="1"/>
  <c r="R2419" i="1"/>
  <c r="Q2419" i="1"/>
  <c r="S2423" i="1"/>
  <c r="R2423" i="1"/>
  <c r="Q2423" i="1"/>
  <c r="S2427" i="1"/>
  <c r="R2427" i="1"/>
  <c r="Q2427" i="1"/>
  <c r="S2431" i="1"/>
  <c r="R2431" i="1"/>
  <c r="Q2431" i="1"/>
  <c r="S2436" i="1"/>
  <c r="R2436" i="1"/>
  <c r="Q2436" i="1"/>
  <c r="S2442" i="1"/>
  <c r="R2442" i="1"/>
  <c r="Q2442" i="1"/>
  <c r="S2447" i="1"/>
  <c r="R2447" i="1"/>
  <c r="Q2447" i="1"/>
  <c r="S2451" i="1"/>
  <c r="R2451" i="1"/>
  <c r="Q2451" i="1"/>
  <c r="S2455" i="1"/>
  <c r="R2455" i="1"/>
  <c r="Q2455" i="1"/>
  <c r="S2462" i="1"/>
  <c r="R2462" i="1"/>
  <c r="Q2462" i="1"/>
  <c r="S2466" i="1"/>
  <c r="R2466" i="1"/>
  <c r="Q2466" i="1"/>
  <c r="S2470" i="1"/>
  <c r="R2470" i="1"/>
  <c r="Q2470" i="1"/>
  <c r="S2475" i="1"/>
  <c r="R2475" i="1"/>
  <c r="Q2475" i="1"/>
  <c r="S2479" i="1"/>
  <c r="R2479" i="1"/>
  <c r="Q2479" i="1"/>
  <c r="S2483" i="1"/>
  <c r="R2483" i="1"/>
  <c r="Q2483" i="1"/>
  <c r="S2487" i="1"/>
  <c r="R2487" i="1"/>
  <c r="Q2487" i="1"/>
  <c r="S2491" i="1"/>
  <c r="R2491" i="1"/>
  <c r="Q2491" i="1"/>
  <c r="Q1554" i="1"/>
  <c r="Q1558" i="1"/>
  <c r="Q1562" i="1"/>
  <c r="Q1566" i="1"/>
  <c r="Q1570" i="1"/>
  <c r="Q1575" i="1"/>
  <c r="Q1579" i="1"/>
  <c r="Q1583" i="1"/>
  <c r="Q1587" i="1"/>
  <c r="Q1591" i="1"/>
  <c r="Q1595" i="1"/>
  <c r="Q1599" i="1"/>
  <c r="Q1603" i="1"/>
  <c r="Q1607" i="1"/>
  <c r="Q1611" i="1"/>
  <c r="Q1615" i="1"/>
  <c r="Q1619" i="1"/>
  <c r="Q1623" i="1"/>
  <c r="Q1627" i="1"/>
  <c r="Q1631" i="1"/>
  <c r="Q1635" i="1"/>
  <c r="Q1639" i="1"/>
  <c r="Q1643" i="1"/>
  <c r="Q1647" i="1"/>
  <c r="Q1651" i="1"/>
  <c r="Q1655" i="1"/>
  <c r="Q1659" i="1"/>
  <c r="Q1663" i="1"/>
  <c r="Q1667" i="1"/>
  <c r="Q1671" i="1"/>
  <c r="Q1675" i="1"/>
  <c r="Q1679" i="1"/>
  <c r="Q1683" i="1"/>
  <c r="Q1687" i="1"/>
  <c r="Q1691" i="1"/>
  <c r="Q1695" i="1"/>
  <c r="Q1699" i="1"/>
  <c r="Q1703" i="1"/>
  <c r="Q1709" i="1"/>
  <c r="Q1713" i="1"/>
  <c r="Q1717" i="1"/>
  <c r="Q1721" i="1"/>
  <c r="Q1725" i="1"/>
  <c r="Q1729" i="1"/>
  <c r="Q1736" i="1"/>
  <c r="Q1740" i="1"/>
  <c r="Q1744" i="1"/>
  <c r="Q1748" i="1"/>
  <c r="Q1752" i="1"/>
  <c r="Q1756" i="1"/>
  <c r="Q1760" i="1"/>
  <c r="Q1765" i="1"/>
  <c r="Q1776" i="1"/>
  <c r="Q1780" i="1"/>
  <c r="Q1784" i="1"/>
  <c r="Q1788" i="1"/>
  <c r="Q1793" i="1"/>
  <c r="Q1797" i="1"/>
  <c r="Q1801" i="1"/>
  <c r="Q1805" i="1"/>
  <c r="Q1809" i="1"/>
  <c r="Q1816" i="1"/>
  <c r="Q1820" i="1"/>
  <c r="Q1824" i="1"/>
  <c r="Q1828" i="1"/>
  <c r="Q1833" i="1"/>
  <c r="Q1837" i="1"/>
  <c r="Q1841" i="1"/>
  <c r="Q1847" i="1"/>
  <c r="Q1851" i="1"/>
  <c r="Q1855" i="1"/>
  <c r="Q1860" i="1"/>
  <c r="Q1864" i="1"/>
  <c r="Q1868" i="1"/>
  <c r="Q1879" i="1"/>
  <c r="Q1883" i="1"/>
  <c r="Q1887" i="1"/>
  <c r="Q1891" i="1"/>
  <c r="Q1896" i="1"/>
  <c r="Q1900" i="1"/>
  <c r="Q1904" i="1"/>
  <c r="Q1908" i="1"/>
  <c r="Q1912" i="1"/>
  <c r="Q1919" i="1"/>
  <c r="Q1923" i="1"/>
  <c r="Q1927" i="1"/>
  <c r="Q1931" i="1"/>
  <c r="Q1935" i="1"/>
  <c r="Q1939" i="1"/>
  <c r="Q1943" i="1"/>
  <c r="Q1949" i="1"/>
  <c r="Q1953" i="1"/>
  <c r="Q1957" i="1"/>
  <c r="Q1963" i="1"/>
  <c r="Q1968" i="1"/>
  <c r="Q1976" i="1"/>
  <c r="Q1980" i="1"/>
  <c r="Q1984" i="1"/>
  <c r="Q1992" i="1"/>
  <c r="R1549" i="1"/>
  <c r="S1549" i="1"/>
  <c r="R1553" i="1"/>
  <c r="S1553" i="1"/>
  <c r="R1557" i="1"/>
  <c r="S1557" i="1"/>
  <c r="R1561" i="1"/>
  <c r="S1561" i="1"/>
  <c r="R1565" i="1"/>
  <c r="S1565" i="1"/>
  <c r="R1569" i="1"/>
  <c r="S1569" i="1"/>
  <c r="R1574" i="1"/>
  <c r="S1574" i="1"/>
  <c r="R1578" i="1"/>
  <c r="S1578" i="1"/>
  <c r="R1582" i="1"/>
  <c r="S1582" i="1"/>
  <c r="R1586" i="1"/>
  <c r="S1586" i="1"/>
  <c r="R1590" i="1"/>
  <c r="S1590" i="1"/>
  <c r="R1598" i="1"/>
  <c r="S1598" i="1"/>
  <c r="R1602" i="1"/>
  <c r="S1602" i="1"/>
  <c r="R1610" i="1"/>
  <c r="S1610" i="1"/>
  <c r="R1614" i="1"/>
  <c r="S1614" i="1"/>
  <c r="R1618" i="1"/>
  <c r="S1618" i="1"/>
  <c r="R1622" i="1"/>
  <c r="S1622" i="1"/>
  <c r="R1626" i="1"/>
  <c r="S1626" i="1"/>
  <c r="R1630" i="1"/>
  <c r="S1630" i="1"/>
  <c r="R1634" i="1"/>
  <c r="S1634" i="1"/>
  <c r="R1638" i="1"/>
  <c r="S1638" i="1"/>
  <c r="R1642" i="1"/>
  <c r="S1642" i="1"/>
  <c r="R1646" i="1"/>
  <c r="S1646" i="1"/>
  <c r="R1650" i="1"/>
  <c r="S1650" i="1"/>
  <c r="R1654" i="1"/>
  <c r="S1654" i="1"/>
  <c r="R1658" i="1"/>
  <c r="S1658" i="1"/>
  <c r="R1662" i="1"/>
  <c r="S1662" i="1"/>
  <c r="R1666" i="1"/>
  <c r="S1666" i="1"/>
  <c r="R1670" i="1"/>
  <c r="S1670" i="1"/>
  <c r="R1674" i="1"/>
  <c r="S1674" i="1"/>
  <c r="R1678" i="1"/>
  <c r="S1678" i="1"/>
  <c r="R1682" i="1"/>
  <c r="S1682" i="1"/>
  <c r="R1686" i="1"/>
  <c r="S1686" i="1"/>
  <c r="R1690" i="1"/>
  <c r="S1690" i="1"/>
  <c r="R1694" i="1"/>
  <c r="S1694" i="1"/>
  <c r="R1698" i="1"/>
  <c r="S1698" i="1"/>
  <c r="R1702" i="1"/>
  <c r="S1702" i="1"/>
  <c r="R1708" i="1"/>
  <c r="S1708" i="1"/>
  <c r="R1712" i="1"/>
  <c r="S1712" i="1"/>
  <c r="R1716" i="1"/>
  <c r="S1716" i="1"/>
  <c r="R1720" i="1"/>
  <c r="S1720" i="1"/>
  <c r="R1724" i="1"/>
  <c r="S1724" i="1"/>
  <c r="R1728" i="1"/>
  <c r="S1728" i="1"/>
  <c r="R1735" i="1"/>
  <c r="S1735" i="1"/>
  <c r="R1739" i="1"/>
  <c r="S1739" i="1"/>
  <c r="R1743" i="1"/>
  <c r="S1743" i="1"/>
  <c r="R1747" i="1"/>
  <c r="U1747" i="1" s="1"/>
  <c r="S1747" i="1"/>
  <c r="V1747" i="1" s="1"/>
  <c r="R1751" i="1"/>
  <c r="S1751" i="1"/>
  <c r="R1755" i="1"/>
  <c r="S1755" i="1"/>
  <c r="R1759" i="1"/>
  <c r="S1759" i="1"/>
  <c r="R1763" i="1"/>
  <c r="S1763" i="1"/>
  <c r="R1775" i="1"/>
  <c r="S1775" i="1"/>
  <c r="R1779" i="1"/>
  <c r="S1779" i="1"/>
  <c r="R1783" i="1"/>
  <c r="S1783" i="1"/>
  <c r="R1787" i="1"/>
  <c r="S1787" i="1"/>
  <c r="R1792" i="1"/>
  <c r="S1792" i="1"/>
  <c r="R1796" i="1"/>
  <c r="S1796" i="1"/>
  <c r="R1800" i="1"/>
  <c r="S1800" i="1"/>
  <c r="R1804" i="1"/>
  <c r="S1804" i="1"/>
  <c r="R1808" i="1"/>
  <c r="S1808" i="1"/>
  <c r="R1812" i="1"/>
  <c r="S1812" i="1"/>
  <c r="R1819" i="1"/>
  <c r="S1819" i="1"/>
  <c r="R1823" i="1"/>
  <c r="S1823" i="1"/>
  <c r="R1827" i="1"/>
  <c r="S1827" i="1"/>
  <c r="R1832" i="1"/>
  <c r="S1832" i="1"/>
  <c r="R1836" i="1"/>
  <c r="S1836" i="1"/>
  <c r="R1840" i="1"/>
  <c r="S1840" i="1"/>
  <c r="R1846" i="1"/>
  <c r="S1846" i="1"/>
  <c r="R1850" i="1"/>
  <c r="S1850" i="1"/>
  <c r="R1854" i="1"/>
  <c r="S1854" i="1"/>
  <c r="R1858" i="1"/>
  <c r="S1858" i="1"/>
  <c r="R1863" i="1"/>
  <c r="S1863" i="1"/>
  <c r="R1867" i="1"/>
  <c r="S1867" i="1"/>
  <c r="R1878" i="1"/>
  <c r="S1878" i="1"/>
  <c r="R1882" i="1"/>
  <c r="S1882" i="1"/>
  <c r="R1886" i="1"/>
  <c r="S1886" i="1"/>
  <c r="R1890" i="1"/>
  <c r="S1890" i="1"/>
  <c r="R1894" i="1"/>
  <c r="S1894" i="1"/>
  <c r="R1899" i="1"/>
  <c r="S1899" i="1"/>
  <c r="R1903" i="1"/>
  <c r="U1903" i="1" s="1"/>
  <c r="S1903" i="1"/>
  <c r="V1903" i="1" s="1"/>
  <c r="R1907" i="1"/>
  <c r="S1907" i="1"/>
  <c r="R1911" i="1"/>
  <c r="S1911" i="1"/>
  <c r="R1918" i="1"/>
  <c r="S1918" i="1"/>
  <c r="R1922" i="1"/>
  <c r="S1922" i="1"/>
  <c r="R1926" i="1"/>
  <c r="S1926" i="1"/>
  <c r="R1930" i="1"/>
  <c r="S1930" i="1"/>
  <c r="R1934" i="1"/>
  <c r="S1934" i="1"/>
  <c r="R1938" i="1"/>
  <c r="S1938" i="1"/>
  <c r="R1942" i="1"/>
  <c r="S1942" i="1"/>
  <c r="R1946" i="1"/>
  <c r="S1946" i="1"/>
  <c r="R1952" i="1"/>
  <c r="S1952" i="1"/>
  <c r="R1956" i="1"/>
  <c r="S1956" i="1"/>
  <c r="R1962" i="1"/>
  <c r="S1962" i="1"/>
  <c r="R1967" i="1"/>
  <c r="S1967" i="1"/>
  <c r="R1975" i="1"/>
  <c r="S1975" i="1"/>
  <c r="R1979" i="1"/>
  <c r="S1979" i="1"/>
  <c r="R1983" i="1"/>
  <c r="S1983" i="1"/>
  <c r="R1991" i="1"/>
  <c r="S1991" i="1"/>
  <c r="R1996" i="1"/>
  <c r="S1996" i="1"/>
  <c r="Q1996" i="1"/>
  <c r="R2001" i="1"/>
  <c r="S2001" i="1"/>
  <c r="Q2001" i="1"/>
  <c r="R2009" i="1"/>
  <c r="S2009" i="1"/>
  <c r="Q2009" i="1"/>
  <c r="R2013" i="1"/>
  <c r="S2013" i="1"/>
  <c r="Q2013" i="1"/>
  <c r="R2026" i="1"/>
  <c r="S2026" i="1"/>
  <c r="Q2026" i="1"/>
  <c r="R2030" i="1"/>
  <c r="S2030" i="1"/>
  <c r="Q2030" i="1"/>
  <c r="R2034" i="1"/>
  <c r="S2034" i="1"/>
  <c r="Q2034" i="1"/>
  <c r="R2038" i="1"/>
  <c r="S2038" i="1"/>
  <c r="Q2038" i="1"/>
  <c r="R2043" i="1"/>
  <c r="S2043" i="1"/>
  <c r="Q2043" i="1"/>
  <c r="R2048" i="1"/>
  <c r="S2048" i="1"/>
  <c r="Q2048" i="1"/>
  <c r="R2053" i="1"/>
  <c r="S2053" i="1"/>
  <c r="Q2053" i="1"/>
  <c r="R2057" i="1"/>
  <c r="S2057" i="1"/>
  <c r="Q2057" i="1"/>
  <c r="R2072" i="1"/>
  <c r="S2072" i="1"/>
  <c r="Q2072" i="1"/>
  <c r="R2076" i="1"/>
  <c r="S2076" i="1"/>
  <c r="Q2076" i="1"/>
  <c r="R2080" i="1"/>
  <c r="S2080" i="1"/>
  <c r="Q2080" i="1"/>
  <c r="R2084" i="1"/>
  <c r="S2084" i="1"/>
  <c r="Q2084" i="1"/>
  <c r="R2088" i="1"/>
  <c r="S2088" i="1"/>
  <c r="Q2088" i="1"/>
  <c r="R2092" i="1"/>
  <c r="S2092" i="1"/>
  <c r="Q2092" i="1"/>
  <c r="R2096" i="1"/>
  <c r="S2096" i="1"/>
  <c r="Q2096" i="1"/>
  <c r="R2100" i="1"/>
  <c r="S2100" i="1"/>
  <c r="Q2100" i="1"/>
  <c r="R2104" i="1"/>
  <c r="S2104" i="1"/>
  <c r="Q2104" i="1"/>
  <c r="R2108" i="1"/>
  <c r="S2108" i="1"/>
  <c r="Q2108" i="1"/>
  <c r="R2112" i="1"/>
  <c r="S2112" i="1"/>
  <c r="Q2112" i="1"/>
  <c r="R2116" i="1"/>
  <c r="S2116" i="1"/>
  <c r="Q2116" i="1"/>
  <c r="R2120" i="1"/>
  <c r="S2120" i="1"/>
  <c r="Q2120" i="1"/>
  <c r="R2124" i="1"/>
  <c r="S2124" i="1"/>
  <c r="Q2124" i="1"/>
  <c r="R2128" i="1"/>
  <c r="S2128" i="1"/>
  <c r="Q2128" i="1"/>
  <c r="R2132" i="1"/>
  <c r="S2132" i="1"/>
  <c r="Q2132" i="1"/>
  <c r="R2137" i="1"/>
  <c r="S2137" i="1"/>
  <c r="Q2137" i="1"/>
  <c r="R2141" i="1"/>
  <c r="S2141" i="1"/>
  <c r="Q2141" i="1"/>
  <c r="R2146" i="1"/>
  <c r="S2146" i="1"/>
  <c r="Q2146" i="1"/>
  <c r="R2150" i="1"/>
  <c r="S2150" i="1"/>
  <c r="Q2150" i="1"/>
  <c r="R2154" i="1"/>
  <c r="S2154" i="1"/>
  <c r="Q2154" i="1"/>
  <c r="R2158" i="1"/>
  <c r="S2158" i="1"/>
  <c r="Q2158" i="1"/>
  <c r="R2162" i="1"/>
  <c r="S2162" i="1"/>
  <c r="Q2162" i="1"/>
  <c r="R2166" i="1"/>
  <c r="S2166" i="1"/>
  <c r="Q2166" i="1"/>
  <c r="R2170" i="1"/>
  <c r="S2170" i="1"/>
  <c r="Q2170" i="1"/>
  <c r="R2174" i="1"/>
  <c r="S2174" i="1"/>
  <c r="Q2174" i="1"/>
  <c r="R2179" i="1"/>
  <c r="S2179" i="1"/>
  <c r="Q2179" i="1"/>
  <c r="R2183" i="1"/>
  <c r="S2183" i="1"/>
  <c r="Q2183" i="1"/>
  <c r="R2187" i="1"/>
  <c r="S2187" i="1"/>
  <c r="Q2187" i="1"/>
  <c r="R2191" i="1"/>
  <c r="S2191" i="1"/>
  <c r="Q2191" i="1"/>
  <c r="R2196" i="1"/>
  <c r="S2196" i="1"/>
  <c r="Q2196" i="1"/>
  <c r="R2200" i="1"/>
  <c r="S2200" i="1"/>
  <c r="Q2200" i="1"/>
  <c r="R2204" i="1"/>
  <c r="S2204" i="1"/>
  <c r="Q2204" i="1"/>
  <c r="R2208" i="1"/>
  <c r="S2208" i="1"/>
  <c r="Q2208" i="1"/>
  <c r="R2212" i="1"/>
  <c r="S2212" i="1"/>
  <c r="Q2212" i="1"/>
  <c r="R2216" i="1"/>
  <c r="S2216" i="1"/>
  <c r="Q2216" i="1"/>
  <c r="R2220" i="1"/>
  <c r="S2220" i="1"/>
  <c r="Q2220" i="1"/>
  <c r="R2224" i="1"/>
  <c r="S2224" i="1"/>
  <c r="Q2224" i="1"/>
  <c r="R2228" i="1"/>
  <c r="S2228" i="1"/>
  <c r="Q2228" i="1"/>
  <c r="R2232" i="1"/>
  <c r="S2232" i="1"/>
  <c r="Q2232" i="1"/>
  <c r="R2236" i="1"/>
  <c r="S2236" i="1"/>
  <c r="Q2236" i="1"/>
  <c r="R2240" i="1"/>
  <c r="S2240" i="1"/>
  <c r="Q2240" i="1"/>
  <c r="R2244" i="1"/>
  <c r="S2244" i="1"/>
  <c r="Q2244" i="1"/>
  <c r="R2248" i="1"/>
  <c r="S2248" i="1"/>
  <c r="Q2248" i="1"/>
  <c r="R2252" i="1"/>
  <c r="S2252" i="1"/>
  <c r="Q2252" i="1"/>
  <c r="R2256" i="1"/>
  <c r="S2256" i="1"/>
  <c r="Q2256" i="1"/>
  <c r="R2262" i="1"/>
  <c r="S2262" i="1"/>
  <c r="Q2262" i="1"/>
  <c r="R2266" i="1"/>
  <c r="S2266" i="1"/>
  <c r="Q2266" i="1"/>
  <c r="R2270" i="1"/>
  <c r="S2270" i="1"/>
  <c r="Q2270" i="1"/>
  <c r="R2274" i="1"/>
  <c r="S2274" i="1"/>
  <c r="Q2274" i="1"/>
  <c r="R2278" i="1"/>
  <c r="S2278" i="1"/>
  <c r="Q2278" i="1"/>
  <c r="R2282" i="1"/>
  <c r="S2282" i="1"/>
  <c r="Q2282" i="1"/>
  <c r="R2286" i="1"/>
  <c r="S2286" i="1"/>
  <c r="Q2286" i="1"/>
  <c r="R2290" i="1"/>
  <c r="S2290" i="1"/>
  <c r="Q2290" i="1"/>
  <c r="R2294" i="1"/>
  <c r="S2294" i="1"/>
  <c r="Q2294" i="1"/>
  <c r="R2299" i="1"/>
  <c r="S2299" i="1"/>
  <c r="Q2299" i="1"/>
  <c r="R2303" i="1"/>
  <c r="S2303" i="1"/>
  <c r="Q2303" i="1"/>
  <c r="R2307" i="1"/>
  <c r="S2307" i="1"/>
  <c r="Q2307" i="1"/>
  <c r="R2311" i="1"/>
  <c r="S2311" i="1"/>
  <c r="Q2311" i="1"/>
  <c r="R2315" i="1"/>
  <c r="S2315" i="1"/>
  <c r="Q2315" i="1"/>
  <c r="R2319" i="1"/>
  <c r="S2319" i="1"/>
  <c r="Q2319" i="1"/>
  <c r="R2324" i="1"/>
  <c r="S2324" i="1"/>
  <c r="Q2324" i="1"/>
  <c r="R2328" i="1"/>
  <c r="S2328" i="1"/>
  <c r="Q2328" i="1"/>
  <c r="R2332" i="1"/>
  <c r="S2332" i="1"/>
  <c r="Q2332" i="1"/>
  <c r="R2336" i="1"/>
  <c r="S2336" i="1"/>
  <c r="Q2336" i="1"/>
  <c r="R2340" i="1"/>
  <c r="S2340" i="1"/>
  <c r="Q2340" i="1"/>
  <c r="R2344" i="1"/>
  <c r="S2344" i="1"/>
  <c r="Q2344" i="1"/>
  <c r="R2350" i="1"/>
  <c r="S2350" i="1"/>
  <c r="Q2350" i="1"/>
  <c r="R2354" i="1"/>
  <c r="S2354" i="1"/>
  <c r="Q2354" i="1"/>
  <c r="R2358" i="1"/>
  <c r="S2358" i="1"/>
  <c r="Q2358" i="1"/>
  <c r="R2362" i="1"/>
  <c r="S2362" i="1"/>
  <c r="Q2362" i="1"/>
  <c r="R2366" i="1"/>
  <c r="S2366" i="1"/>
  <c r="Q2366" i="1"/>
  <c r="R2370" i="1"/>
  <c r="S2370" i="1"/>
  <c r="Q2370" i="1"/>
  <c r="R2374" i="1"/>
  <c r="S2374" i="1"/>
  <c r="Q2374" i="1"/>
  <c r="R2378" i="1"/>
  <c r="S2378" i="1"/>
  <c r="Q2378" i="1"/>
  <c r="R2382" i="1"/>
  <c r="S2382" i="1"/>
  <c r="Q2382" i="1"/>
  <c r="R2389" i="1"/>
  <c r="S2389" i="1"/>
  <c r="Q2389" i="1"/>
  <c r="R2393" i="1"/>
  <c r="S2393" i="1"/>
  <c r="Q2393" i="1"/>
  <c r="R2398" i="1"/>
  <c r="S2398" i="1"/>
  <c r="Q2398" i="1"/>
  <c r="R2402" i="1"/>
  <c r="S2402" i="1"/>
  <c r="Q2402" i="1"/>
  <c r="R2406" i="1"/>
  <c r="S2406" i="1"/>
  <c r="Q2406" i="1"/>
  <c r="R2410" i="1"/>
  <c r="S2410" i="1"/>
  <c r="Q2410" i="1"/>
  <c r="R2414" i="1"/>
  <c r="S2414" i="1"/>
  <c r="Q2414" i="1"/>
  <c r="R2418" i="1"/>
  <c r="S2418" i="1"/>
  <c r="Q2418" i="1"/>
  <c r="R2422" i="1"/>
  <c r="S2422" i="1"/>
  <c r="Q2422" i="1"/>
  <c r="R2426" i="1"/>
  <c r="S2426" i="1"/>
  <c r="Q2426" i="1"/>
  <c r="R2430" i="1"/>
  <c r="S2430" i="1"/>
  <c r="Q2430" i="1"/>
  <c r="R2435" i="1"/>
  <c r="S2435" i="1"/>
  <c r="Q2435" i="1"/>
  <c r="R2441" i="1"/>
  <c r="S2441" i="1"/>
  <c r="Q2441" i="1"/>
  <c r="R2445" i="1"/>
  <c r="S2445" i="1"/>
  <c r="Q2445" i="1"/>
  <c r="R2450" i="1"/>
  <c r="S2450" i="1"/>
  <c r="Q2450" i="1"/>
  <c r="R2454" i="1"/>
  <c r="S2454" i="1"/>
  <c r="Q2454" i="1"/>
  <c r="R2461" i="1"/>
  <c r="S2461" i="1"/>
  <c r="Q2461" i="1"/>
  <c r="R2465" i="1"/>
  <c r="S2465" i="1"/>
  <c r="Q2465" i="1"/>
  <c r="R2469" i="1"/>
  <c r="S2469" i="1"/>
  <c r="Q2469" i="1"/>
  <c r="R2474" i="1"/>
  <c r="S2474" i="1"/>
  <c r="Q2474" i="1"/>
  <c r="R2478" i="1"/>
  <c r="S2478" i="1"/>
  <c r="Q2478" i="1"/>
  <c r="R2482" i="1"/>
  <c r="S2482" i="1"/>
  <c r="Q2482" i="1"/>
  <c r="R2486" i="1"/>
  <c r="S2486" i="1"/>
  <c r="Q2486" i="1"/>
  <c r="R2490" i="1"/>
  <c r="S2490" i="1"/>
  <c r="Q2490" i="1"/>
  <c r="Q1549" i="1"/>
  <c r="Q1553" i="1"/>
  <c r="Q1557" i="1"/>
  <c r="Q1561" i="1"/>
  <c r="Q1565" i="1"/>
  <c r="Q1569" i="1"/>
  <c r="Q1574" i="1"/>
  <c r="Q1578" i="1"/>
  <c r="Q1582" i="1"/>
  <c r="Q1586" i="1"/>
  <c r="Q1590" i="1"/>
  <c r="Q1594" i="1"/>
  <c r="Q1598" i="1"/>
  <c r="Q1602" i="1"/>
  <c r="Q1606" i="1"/>
  <c r="Q1610" i="1"/>
  <c r="Q1614" i="1"/>
  <c r="Q1618" i="1"/>
  <c r="Q1622" i="1"/>
  <c r="Q1626" i="1"/>
  <c r="Q1630" i="1"/>
  <c r="Q1634" i="1"/>
  <c r="Q1638" i="1"/>
  <c r="Q1642" i="1"/>
  <c r="Q1646" i="1"/>
  <c r="Q1650" i="1"/>
  <c r="Q1654" i="1"/>
  <c r="Q1658" i="1"/>
  <c r="Q1662" i="1"/>
  <c r="Q1666" i="1"/>
  <c r="Q1670" i="1"/>
  <c r="Q1674" i="1"/>
  <c r="Q1678" i="1"/>
  <c r="Q1682" i="1"/>
  <c r="Q1686" i="1"/>
  <c r="Q1690" i="1"/>
  <c r="Q1694" i="1"/>
  <c r="Q1698" i="1"/>
  <c r="Q1702" i="1"/>
  <c r="Q1708" i="1"/>
  <c r="Q1712" i="1"/>
  <c r="Q1716" i="1"/>
  <c r="Q1720" i="1"/>
  <c r="Q1724" i="1"/>
  <c r="Q1728" i="1"/>
  <c r="Q1735" i="1"/>
  <c r="Q1739" i="1"/>
  <c r="Q1743" i="1"/>
  <c r="Q1747" i="1"/>
  <c r="Q1751" i="1"/>
  <c r="Q1755" i="1"/>
  <c r="Q1759" i="1"/>
  <c r="Q1763" i="1"/>
  <c r="Q1775" i="1"/>
  <c r="Q1779" i="1"/>
  <c r="Q1783" i="1"/>
  <c r="Q1787" i="1"/>
  <c r="Q1792" i="1"/>
  <c r="Q1796" i="1"/>
  <c r="Q1800" i="1"/>
  <c r="Q1804" i="1"/>
  <c r="Q1808" i="1"/>
  <c r="Q1812" i="1"/>
  <c r="Q1819" i="1"/>
  <c r="Q1823" i="1"/>
  <c r="Q1827" i="1"/>
  <c r="Q1832" i="1"/>
  <c r="Q1836" i="1"/>
  <c r="Q1840" i="1"/>
  <c r="Q1846" i="1"/>
  <c r="Q1850" i="1"/>
  <c r="Q1854" i="1"/>
  <c r="Q1858" i="1"/>
  <c r="Q1863" i="1"/>
  <c r="Q1867" i="1"/>
  <c r="Q1878" i="1"/>
  <c r="Q1882" i="1"/>
  <c r="Q1886" i="1"/>
  <c r="Q1890" i="1"/>
  <c r="Q1894" i="1"/>
  <c r="Q1899" i="1"/>
  <c r="Q1903" i="1"/>
  <c r="Q1907" i="1"/>
  <c r="Q1911" i="1"/>
  <c r="Q1918" i="1"/>
  <c r="Q1922" i="1"/>
  <c r="Q1926" i="1"/>
  <c r="Q1930" i="1"/>
  <c r="Q1934" i="1"/>
  <c r="Q1938" i="1"/>
  <c r="Q1942" i="1"/>
  <c r="Q1946" i="1"/>
  <c r="Q1952" i="1"/>
  <c r="Q1956" i="1"/>
  <c r="Q1962" i="1"/>
  <c r="Q1967" i="1"/>
  <c r="Q1975" i="1"/>
  <c r="Q1979" i="1"/>
  <c r="Q1983" i="1"/>
  <c r="Q1991" i="1"/>
  <c r="N1323" i="1"/>
  <c r="N1328" i="1"/>
  <c r="M1327" i="1"/>
  <c r="AP1327" i="1" s="1"/>
  <c r="M2208" i="1"/>
  <c r="AP2208" i="1" s="1"/>
  <c r="M2191" i="1"/>
  <c r="AP2191" i="1" s="1"/>
  <c r="O2187" i="1"/>
  <c r="M2174" i="1"/>
  <c r="AP2174" i="1" s="1"/>
  <c r="M2154" i="1"/>
  <c r="AP2154" i="1" s="1"/>
  <c r="M2150" i="1"/>
  <c r="AP2150" i="1" s="1"/>
  <c r="M2146" i="1"/>
  <c r="AP2146" i="1" s="1"/>
  <c r="M2112" i="1"/>
  <c r="AP2112" i="1" s="1"/>
  <c r="M2108" i="1"/>
  <c r="AP2108" i="1" s="1"/>
  <c r="M2100" i="1"/>
  <c r="AP2100" i="1" s="1"/>
  <c r="M2092" i="1"/>
  <c r="AP2092" i="1" s="1"/>
  <c r="M2088" i="1"/>
  <c r="AP2088" i="1" s="1"/>
  <c r="M1956" i="1"/>
  <c r="AP1956" i="1" s="1"/>
  <c r="M1886" i="1"/>
  <c r="AP1886" i="1" s="1"/>
  <c r="N1331" i="1"/>
  <c r="M1331" i="1"/>
  <c r="AP1331" i="1" s="1"/>
  <c r="M1330" i="1"/>
  <c r="AP1330" i="1" s="1"/>
  <c r="M1324" i="1"/>
  <c r="AP1324" i="1" s="1"/>
  <c r="M1326" i="1"/>
  <c r="AP1326" i="1" s="1"/>
  <c r="M1323" i="1"/>
  <c r="AP1323" i="1" s="1"/>
  <c r="N1324" i="1"/>
  <c r="M1328" i="1"/>
  <c r="AP1328" i="1" s="1"/>
  <c r="M1322" i="1"/>
  <c r="AP1322" i="1" s="1"/>
  <c r="O1442" i="1"/>
  <c r="N1442" i="1"/>
  <c r="O1446" i="1"/>
  <c r="N1446" i="1"/>
  <c r="O1450" i="1"/>
  <c r="N1450" i="1"/>
  <c r="O1454" i="1"/>
  <c r="N1454" i="1"/>
  <c r="O1458" i="1"/>
  <c r="N1458" i="1"/>
  <c r="O1462" i="1"/>
  <c r="N1462" i="1"/>
  <c r="O1466" i="1"/>
  <c r="N1466" i="1"/>
  <c r="O1470" i="1"/>
  <c r="N1470" i="1"/>
  <c r="O1474" i="1"/>
  <c r="N1474" i="1"/>
  <c r="O1478" i="1"/>
  <c r="N1478" i="1"/>
  <c r="O1482" i="1"/>
  <c r="N1482" i="1"/>
  <c r="O1486" i="1"/>
  <c r="N1486" i="1"/>
  <c r="O1490" i="1"/>
  <c r="N1490" i="1"/>
  <c r="O1495" i="1"/>
  <c r="N1495" i="1"/>
  <c r="O1499" i="1"/>
  <c r="N1499" i="1"/>
  <c r="O1505" i="1"/>
  <c r="N1505" i="1"/>
  <c r="O1509" i="1"/>
  <c r="N1509" i="1"/>
  <c r="O1513" i="1"/>
  <c r="N1513" i="1"/>
  <c r="O1517" i="1"/>
  <c r="N1517" i="1"/>
  <c r="O1521" i="1"/>
  <c r="N1521" i="1"/>
  <c r="O1526" i="1"/>
  <c r="N1526" i="1"/>
  <c r="O1530" i="1"/>
  <c r="N1530" i="1"/>
  <c r="O1536" i="1"/>
  <c r="N1536" i="1"/>
  <c r="O1540" i="1"/>
  <c r="N1540" i="1"/>
  <c r="O1545" i="1"/>
  <c r="N1545" i="1"/>
  <c r="O1550" i="1"/>
  <c r="N1550" i="1"/>
  <c r="O1554" i="1"/>
  <c r="N1554" i="1"/>
  <c r="O1659" i="1"/>
  <c r="N1659" i="1"/>
  <c r="O1691" i="1"/>
  <c r="N1691" i="1"/>
  <c r="O1399" i="1"/>
  <c r="N1399" i="1"/>
  <c r="O1402" i="1"/>
  <c r="M1402" i="1"/>
  <c r="AP1402" i="1" s="1"/>
  <c r="O1408" i="1"/>
  <c r="N1408" i="1"/>
  <c r="O1411" i="1"/>
  <c r="M1411" i="1"/>
  <c r="AP1411" i="1" s="1"/>
  <c r="O1416" i="1"/>
  <c r="N1416" i="1"/>
  <c r="O1420" i="1"/>
  <c r="M1420" i="1"/>
  <c r="AP1420" i="1" s="1"/>
  <c r="O1425" i="1"/>
  <c r="N1425" i="1"/>
  <c r="O1428" i="1"/>
  <c r="M1428" i="1"/>
  <c r="AP1428" i="1" s="1"/>
  <c r="O1433" i="1"/>
  <c r="N1433" i="1"/>
  <c r="O1436" i="1"/>
  <c r="M1436" i="1"/>
  <c r="AP1436" i="1" s="1"/>
  <c r="O1441" i="1"/>
  <c r="M1441" i="1"/>
  <c r="AP1441" i="1" s="1"/>
  <c r="N1441" i="1"/>
  <c r="O1445" i="1"/>
  <c r="M1445" i="1"/>
  <c r="AP1445" i="1" s="1"/>
  <c r="N1445" i="1"/>
  <c r="O1449" i="1"/>
  <c r="M1449" i="1"/>
  <c r="AP1449" i="1" s="1"/>
  <c r="N1449" i="1"/>
  <c r="O1453" i="1"/>
  <c r="M1453" i="1"/>
  <c r="AP1453" i="1" s="1"/>
  <c r="N1453" i="1"/>
  <c r="O1457" i="1"/>
  <c r="M1457" i="1"/>
  <c r="AP1457" i="1" s="1"/>
  <c r="N1457" i="1"/>
  <c r="O1461" i="1"/>
  <c r="M1461" i="1"/>
  <c r="AP1461" i="1" s="1"/>
  <c r="N1461" i="1"/>
  <c r="O1465" i="1"/>
  <c r="M1465" i="1"/>
  <c r="AP1465" i="1" s="1"/>
  <c r="N1465" i="1"/>
  <c r="O1469" i="1"/>
  <c r="M1469" i="1"/>
  <c r="AP1469" i="1" s="1"/>
  <c r="N1469" i="1"/>
  <c r="O1473" i="1"/>
  <c r="M1473" i="1"/>
  <c r="AP1473" i="1" s="1"/>
  <c r="N1473" i="1"/>
  <c r="O1477" i="1"/>
  <c r="M1477" i="1"/>
  <c r="AP1477" i="1" s="1"/>
  <c r="N1477" i="1"/>
  <c r="O1481" i="1"/>
  <c r="M1481" i="1"/>
  <c r="AP1481" i="1" s="1"/>
  <c r="N1481" i="1"/>
  <c r="O1485" i="1"/>
  <c r="M1485" i="1"/>
  <c r="AP1485" i="1" s="1"/>
  <c r="N1485" i="1"/>
  <c r="O1489" i="1"/>
  <c r="M1489" i="1"/>
  <c r="AP1489" i="1" s="1"/>
  <c r="N1489" i="1"/>
  <c r="O1493" i="1"/>
  <c r="M1493" i="1"/>
  <c r="AP1493" i="1" s="1"/>
  <c r="N1493" i="1"/>
  <c r="O1498" i="1"/>
  <c r="M1498" i="1"/>
  <c r="AP1498" i="1" s="1"/>
  <c r="N1498" i="1"/>
  <c r="O1504" i="1"/>
  <c r="M1504" i="1"/>
  <c r="AP1504" i="1" s="1"/>
  <c r="N1504" i="1"/>
  <c r="O1508" i="1"/>
  <c r="M1508" i="1"/>
  <c r="AP1508" i="1" s="1"/>
  <c r="N1508" i="1"/>
  <c r="O1512" i="1"/>
  <c r="M1512" i="1"/>
  <c r="AP1512" i="1" s="1"/>
  <c r="N1512" i="1"/>
  <c r="O1516" i="1"/>
  <c r="M1516" i="1"/>
  <c r="AP1516" i="1" s="1"/>
  <c r="N1516" i="1"/>
  <c r="O1520" i="1"/>
  <c r="M1520" i="1"/>
  <c r="AP1520" i="1" s="1"/>
  <c r="N1520" i="1"/>
  <c r="O1524" i="1"/>
  <c r="M1524" i="1"/>
  <c r="AP1524" i="1" s="1"/>
  <c r="N1524" i="1"/>
  <c r="O1529" i="1"/>
  <c r="M1529" i="1"/>
  <c r="AP1529" i="1" s="1"/>
  <c r="N1529" i="1"/>
  <c r="O1535" i="1"/>
  <c r="M1535" i="1"/>
  <c r="AP1535" i="1" s="1"/>
  <c r="N1535" i="1"/>
  <c r="O1539" i="1"/>
  <c r="M1539" i="1"/>
  <c r="AP1539" i="1" s="1"/>
  <c r="N1539" i="1"/>
  <c r="O1544" i="1"/>
  <c r="M1544" i="1"/>
  <c r="AP1544" i="1" s="1"/>
  <c r="N1544" i="1"/>
  <c r="O1549" i="1"/>
  <c r="M1549" i="1"/>
  <c r="AP1549" i="1" s="1"/>
  <c r="N1549" i="1"/>
  <c r="O1553" i="1"/>
  <c r="M1553" i="1"/>
  <c r="AP1553" i="1" s="1"/>
  <c r="N1553" i="1"/>
  <c r="O1557" i="1"/>
  <c r="M1557" i="1"/>
  <c r="AP1557" i="1" s="1"/>
  <c r="N1557" i="1"/>
  <c r="O1561" i="1"/>
  <c r="M1561" i="1"/>
  <c r="AP1561" i="1" s="1"/>
  <c r="N1561" i="1"/>
  <c r="O1565" i="1"/>
  <c r="M1565" i="1"/>
  <c r="AP1565" i="1" s="1"/>
  <c r="N1565" i="1"/>
  <c r="O1569" i="1"/>
  <c r="M1569" i="1"/>
  <c r="AP1569" i="1" s="1"/>
  <c r="N1569" i="1"/>
  <c r="O1574" i="1"/>
  <c r="M1574" i="1"/>
  <c r="AP1574" i="1" s="1"/>
  <c r="N1574" i="1"/>
  <c r="O1578" i="1"/>
  <c r="M1578" i="1"/>
  <c r="AP1578" i="1" s="1"/>
  <c r="N1578" i="1"/>
  <c r="O1582" i="1"/>
  <c r="M1582" i="1"/>
  <c r="AP1582" i="1" s="1"/>
  <c r="N1582" i="1"/>
  <c r="O1586" i="1"/>
  <c r="M1586" i="1"/>
  <c r="AP1586" i="1" s="1"/>
  <c r="N1586" i="1"/>
  <c r="O1590" i="1"/>
  <c r="M1590" i="1"/>
  <c r="AP1590" i="1" s="1"/>
  <c r="N1590" i="1"/>
  <c r="O1594" i="1"/>
  <c r="M1594" i="1"/>
  <c r="AP1594" i="1" s="1"/>
  <c r="N1594" i="1"/>
  <c r="O1598" i="1"/>
  <c r="M1598" i="1"/>
  <c r="AP1598" i="1" s="1"/>
  <c r="N1598" i="1"/>
  <c r="O1602" i="1"/>
  <c r="M1602" i="1"/>
  <c r="AP1602" i="1" s="1"/>
  <c r="N1602" i="1"/>
  <c r="O1606" i="1"/>
  <c r="M1606" i="1"/>
  <c r="AP1606" i="1" s="1"/>
  <c r="N1606" i="1"/>
  <c r="O1610" i="1"/>
  <c r="M1610" i="1"/>
  <c r="AP1610" i="1" s="1"/>
  <c r="N1610" i="1"/>
  <c r="O1614" i="1"/>
  <c r="M1614" i="1"/>
  <c r="AP1614" i="1" s="1"/>
  <c r="N1614" i="1"/>
  <c r="O1618" i="1"/>
  <c r="M1618" i="1"/>
  <c r="AP1618" i="1" s="1"/>
  <c r="N1618" i="1"/>
  <c r="O1622" i="1"/>
  <c r="M1622" i="1"/>
  <c r="AP1622" i="1" s="1"/>
  <c r="N1622" i="1"/>
  <c r="O1626" i="1"/>
  <c r="M1626" i="1"/>
  <c r="AP1626" i="1" s="1"/>
  <c r="N1626" i="1"/>
  <c r="O1630" i="1"/>
  <c r="M1630" i="1"/>
  <c r="AP1630" i="1" s="1"/>
  <c r="N1630" i="1"/>
  <c r="O1662" i="1"/>
  <c r="M1662" i="1"/>
  <c r="AP1662" i="1" s="1"/>
  <c r="N1662" i="1"/>
  <c r="O1694" i="1"/>
  <c r="M1694" i="1"/>
  <c r="AP1694" i="1" s="1"/>
  <c r="N1694" i="1"/>
  <c r="O1643" i="1"/>
  <c r="N1643" i="1"/>
  <c r="O1675" i="1"/>
  <c r="N1675" i="1"/>
  <c r="N1325" i="1"/>
  <c r="N1333" i="1"/>
  <c r="N1343" i="1"/>
  <c r="N1352" i="1"/>
  <c r="N1356" i="1"/>
  <c r="N1360" i="1"/>
  <c r="N1364" i="1"/>
  <c r="N1369" i="1"/>
  <c r="N1374" i="1"/>
  <c r="N1378" i="1"/>
  <c r="N1382" i="1"/>
  <c r="N1387" i="1"/>
  <c r="N1391" i="1"/>
  <c r="N1395" i="1"/>
  <c r="O1398" i="1"/>
  <c r="M1398" i="1"/>
  <c r="AP1398" i="1" s="1"/>
  <c r="O1403" i="1"/>
  <c r="N1403" i="1"/>
  <c r="O1407" i="1"/>
  <c r="M1407" i="1"/>
  <c r="AP1407" i="1" s="1"/>
  <c r="O1412" i="1"/>
  <c r="N1412" i="1"/>
  <c r="O1415" i="1"/>
  <c r="M1415" i="1"/>
  <c r="AP1415" i="1" s="1"/>
  <c r="O1421" i="1"/>
  <c r="N1421" i="1"/>
  <c r="O1424" i="1"/>
  <c r="M1424" i="1"/>
  <c r="AP1424" i="1" s="1"/>
  <c r="O1429" i="1"/>
  <c r="N1429" i="1"/>
  <c r="O1432" i="1"/>
  <c r="M1432" i="1"/>
  <c r="AP1432" i="1" s="1"/>
  <c r="O1437" i="1"/>
  <c r="N1437" i="1"/>
  <c r="O1646" i="1"/>
  <c r="M1646" i="1"/>
  <c r="AP1646" i="1" s="1"/>
  <c r="N1646" i="1"/>
  <c r="O1678" i="1"/>
  <c r="M1678" i="1"/>
  <c r="AP1678" i="1" s="1"/>
  <c r="N1678" i="1"/>
  <c r="N1329" i="1"/>
  <c r="N1338" i="1"/>
  <c r="N1348" i="1"/>
  <c r="N1322" i="1"/>
  <c r="M1325" i="1"/>
  <c r="AP1325" i="1" s="1"/>
  <c r="N1326" i="1"/>
  <c r="M1329" i="1"/>
  <c r="AP1329" i="1" s="1"/>
  <c r="N1330" i="1"/>
  <c r="M1333" i="1"/>
  <c r="AP1333" i="1" s="1"/>
  <c r="N1334" i="1"/>
  <c r="M1338" i="1"/>
  <c r="AP1338" i="1" s="1"/>
  <c r="N1339" i="1"/>
  <c r="M1343" i="1"/>
  <c r="AP1343" i="1" s="1"/>
  <c r="N1345" i="1"/>
  <c r="M1348" i="1"/>
  <c r="AP1348" i="1" s="1"/>
  <c r="N1349" i="1"/>
  <c r="M1352" i="1"/>
  <c r="AP1352" i="1" s="1"/>
  <c r="N1353" i="1"/>
  <c r="M1356" i="1"/>
  <c r="AP1356" i="1" s="1"/>
  <c r="N1357" i="1"/>
  <c r="M1360" i="1"/>
  <c r="AP1360" i="1" s="1"/>
  <c r="N1361" i="1"/>
  <c r="M1364" i="1"/>
  <c r="AP1364" i="1" s="1"/>
  <c r="N1365" i="1"/>
  <c r="M1369" i="1"/>
  <c r="AP1369" i="1" s="1"/>
  <c r="N1370" i="1"/>
  <c r="M1374" i="1"/>
  <c r="AP1374" i="1" s="1"/>
  <c r="N1375" i="1"/>
  <c r="M1378" i="1"/>
  <c r="AP1378" i="1" s="1"/>
  <c r="N1379" i="1"/>
  <c r="M1382" i="1"/>
  <c r="AP1382" i="1" s="1"/>
  <c r="N1383" i="1"/>
  <c r="M1387" i="1"/>
  <c r="AP1387" i="1" s="1"/>
  <c r="N1388" i="1"/>
  <c r="M1391" i="1"/>
  <c r="AP1391" i="1" s="1"/>
  <c r="N1392" i="1"/>
  <c r="M1395" i="1"/>
  <c r="AP1395" i="1" s="1"/>
  <c r="N1396" i="1"/>
  <c r="N1404" i="1"/>
  <c r="N1413" i="1"/>
  <c r="N1422" i="1"/>
  <c r="N1430" i="1"/>
  <c r="N1438" i="1"/>
  <c r="M1442" i="1"/>
  <c r="AP1442" i="1" s="1"/>
  <c r="M1446" i="1"/>
  <c r="AP1446" i="1" s="1"/>
  <c r="M1450" i="1"/>
  <c r="AP1450" i="1" s="1"/>
  <c r="M1454" i="1"/>
  <c r="AP1454" i="1" s="1"/>
  <c r="M1458" i="1"/>
  <c r="AP1458" i="1" s="1"/>
  <c r="M1462" i="1"/>
  <c r="AP1462" i="1" s="1"/>
  <c r="M1466" i="1"/>
  <c r="AP1466" i="1" s="1"/>
  <c r="M1470" i="1"/>
  <c r="AP1470" i="1" s="1"/>
  <c r="M1474" i="1"/>
  <c r="AP1474" i="1" s="1"/>
  <c r="M1478" i="1"/>
  <c r="AP1478" i="1" s="1"/>
  <c r="M1482" i="1"/>
  <c r="AP1482" i="1" s="1"/>
  <c r="M1486" i="1"/>
  <c r="AP1486" i="1" s="1"/>
  <c r="M1490" i="1"/>
  <c r="AP1490" i="1" s="1"/>
  <c r="M1495" i="1"/>
  <c r="AP1495" i="1" s="1"/>
  <c r="M1499" i="1"/>
  <c r="AP1499" i="1" s="1"/>
  <c r="M1505" i="1"/>
  <c r="AP1505" i="1" s="1"/>
  <c r="M1509" i="1"/>
  <c r="AP1509" i="1" s="1"/>
  <c r="M1513" i="1"/>
  <c r="AP1513" i="1" s="1"/>
  <c r="M1517" i="1"/>
  <c r="AP1517" i="1" s="1"/>
  <c r="M1521" i="1"/>
  <c r="AP1521" i="1" s="1"/>
  <c r="M1526" i="1"/>
  <c r="AP1526" i="1" s="1"/>
  <c r="M1530" i="1"/>
  <c r="AP1530" i="1" s="1"/>
  <c r="M1440" i="1"/>
  <c r="AP1440" i="1" s="1"/>
  <c r="M1444" i="1"/>
  <c r="AP1444" i="1" s="1"/>
  <c r="M1448" i="1"/>
  <c r="AP1448" i="1" s="1"/>
  <c r="M1452" i="1"/>
  <c r="AP1452" i="1" s="1"/>
  <c r="M1456" i="1"/>
  <c r="AP1456" i="1" s="1"/>
  <c r="M1460" i="1"/>
  <c r="AP1460" i="1" s="1"/>
  <c r="M1464" i="1"/>
  <c r="AP1464" i="1" s="1"/>
  <c r="M1468" i="1"/>
  <c r="AP1468" i="1" s="1"/>
  <c r="M1472" i="1"/>
  <c r="AP1472" i="1" s="1"/>
  <c r="M1476" i="1"/>
  <c r="AP1476" i="1" s="1"/>
  <c r="M1480" i="1"/>
  <c r="AP1480" i="1" s="1"/>
  <c r="M1484" i="1"/>
  <c r="AP1484" i="1" s="1"/>
  <c r="M1488" i="1"/>
  <c r="AP1488" i="1" s="1"/>
  <c r="M1492" i="1"/>
  <c r="AP1492" i="1" s="1"/>
  <c r="M1497" i="1"/>
  <c r="AP1497" i="1" s="1"/>
  <c r="M1501" i="1"/>
  <c r="AP1501" i="1" s="1"/>
  <c r="M1507" i="1"/>
  <c r="AP1507" i="1" s="1"/>
  <c r="M1511" i="1"/>
  <c r="AP1511" i="1" s="1"/>
  <c r="M1515" i="1"/>
  <c r="AP1515" i="1" s="1"/>
  <c r="M1519" i="1"/>
  <c r="AP1519" i="1" s="1"/>
  <c r="M1523" i="1"/>
  <c r="AP1523" i="1" s="1"/>
  <c r="M1528" i="1"/>
  <c r="AP1528" i="1" s="1"/>
  <c r="M1534" i="1"/>
  <c r="AP1534" i="1" s="1"/>
  <c r="M1538" i="1"/>
  <c r="AP1538" i="1" s="1"/>
  <c r="M1543" i="1"/>
  <c r="AP1543" i="1" s="1"/>
  <c r="M1548" i="1"/>
  <c r="AP1548" i="1" s="1"/>
  <c r="M1552" i="1"/>
  <c r="AP1552" i="1" s="1"/>
  <c r="M1556" i="1"/>
  <c r="AP1556" i="1" s="1"/>
  <c r="M1560" i="1"/>
  <c r="AP1560" i="1" s="1"/>
  <c r="M1564" i="1"/>
  <c r="AP1564" i="1" s="1"/>
  <c r="M1568" i="1"/>
  <c r="AP1568" i="1" s="1"/>
  <c r="M1572" i="1"/>
  <c r="AP1572" i="1" s="1"/>
  <c r="M1577" i="1"/>
  <c r="AP1577" i="1" s="1"/>
  <c r="M1581" i="1"/>
  <c r="AP1581" i="1" s="1"/>
  <c r="M1585" i="1"/>
  <c r="AP1585" i="1" s="1"/>
  <c r="M1589" i="1"/>
  <c r="AP1589" i="1" s="1"/>
  <c r="M1593" i="1"/>
  <c r="AP1593" i="1" s="1"/>
  <c r="M1597" i="1"/>
  <c r="AP1597" i="1" s="1"/>
  <c r="M1601" i="1"/>
  <c r="AP1601" i="1" s="1"/>
  <c r="M1605" i="1"/>
  <c r="AP1605" i="1" s="1"/>
  <c r="M1609" i="1"/>
  <c r="AP1609" i="1" s="1"/>
  <c r="M1613" i="1"/>
  <c r="AP1613" i="1" s="1"/>
  <c r="M1617" i="1"/>
  <c r="AP1617" i="1" s="1"/>
  <c r="M1621" i="1"/>
  <c r="AP1621" i="1" s="1"/>
  <c r="M1625" i="1"/>
  <c r="AP1625" i="1" s="1"/>
  <c r="M1629" i="1"/>
  <c r="AP1629" i="1" s="1"/>
  <c r="N1639" i="1"/>
  <c r="M1642" i="1"/>
  <c r="AP1642" i="1" s="1"/>
  <c r="N1655" i="1"/>
  <c r="M1658" i="1"/>
  <c r="AP1658" i="1" s="1"/>
  <c r="N1671" i="1"/>
  <c r="M1674" i="1"/>
  <c r="AP1674" i="1" s="1"/>
  <c r="N1687" i="1"/>
  <c r="M1690" i="1"/>
  <c r="AP1690" i="1" s="1"/>
  <c r="N1703" i="1"/>
  <c r="M1708" i="1"/>
  <c r="AP1708" i="1" s="1"/>
  <c r="N1712" i="1"/>
  <c r="N1721" i="1"/>
  <c r="M1724" i="1"/>
  <c r="AP1724" i="1" s="1"/>
  <c r="N1728" i="1"/>
  <c r="N1740" i="1"/>
  <c r="M1743" i="1"/>
  <c r="AP1743" i="1" s="1"/>
  <c r="N1747" i="1"/>
  <c r="N1756" i="1"/>
  <c r="M1759" i="1"/>
  <c r="AP1759" i="1" s="1"/>
  <c r="N1763" i="1"/>
  <c r="N1780" i="1"/>
  <c r="M1783" i="1"/>
  <c r="AP1783" i="1" s="1"/>
  <c r="N1787" i="1"/>
  <c r="N1797" i="1"/>
  <c r="M1800" i="1"/>
  <c r="AP1800" i="1" s="1"/>
  <c r="N1804" i="1"/>
  <c r="N1816" i="1"/>
  <c r="M1819" i="1"/>
  <c r="AP1819" i="1" s="1"/>
  <c r="N1823" i="1"/>
  <c r="N1833" i="1"/>
  <c r="M1836" i="1"/>
  <c r="AP1836" i="1" s="1"/>
  <c r="N1840" i="1"/>
  <c r="N1851" i="1"/>
  <c r="M1854" i="1"/>
  <c r="AP1854" i="1" s="1"/>
  <c r="N1858" i="1"/>
  <c r="N1868" i="1"/>
  <c r="M1878" i="1"/>
  <c r="AP1878" i="1" s="1"/>
  <c r="N1882" i="1"/>
  <c r="N1891" i="1"/>
  <c r="M1894" i="1"/>
  <c r="AP1894" i="1" s="1"/>
  <c r="N1899" i="1"/>
  <c r="N1908" i="1"/>
  <c r="M1911" i="1"/>
  <c r="AP1911" i="1" s="1"/>
  <c r="N1918" i="1"/>
  <c r="N1927" i="1"/>
  <c r="M1930" i="1"/>
  <c r="AP1930" i="1" s="1"/>
  <c r="N1934" i="1"/>
  <c r="N1943" i="1"/>
  <c r="M1946" i="1"/>
  <c r="AP1946" i="1" s="1"/>
  <c r="N1952" i="1"/>
  <c r="N1963" i="1"/>
  <c r="M1967" i="1"/>
  <c r="AP1967" i="1" s="1"/>
  <c r="N1975" i="1"/>
  <c r="N1984" i="1"/>
  <c r="M1991" i="1"/>
  <c r="AP1991" i="1" s="1"/>
  <c r="N1996" i="1"/>
  <c r="N2010" i="1"/>
  <c r="M2013" i="1"/>
  <c r="AP2013" i="1" s="1"/>
  <c r="N2026" i="1"/>
  <c r="N2035" i="1"/>
  <c r="M2038" i="1"/>
  <c r="AP2038" i="1" s="1"/>
  <c r="N2043" i="1"/>
  <c r="M2050" i="1"/>
  <c r="AP2050" i="1" s="1"/>
  <c r="N2052" i="1"/>
  <c r="M2055" i="1"/>
  <c r="AP2055" i="1" s="1"/>
  <c r="N2056" i="1"/>
  <c r="M2059" i="1"/>
  <c r="AP2059" i="1" s="1"/>
  <c r="N2067" i="1"/>
  <c r="M2074" i="1"/>
  <c r="AP2074" i="1" s="1"/>
  <c r="N2075" i="1"/>
  <c r="M2078" i="1"/>
  <c r="AP2078" i="1" s="1"/>
  <c r="N2079" i="1"/>
  <c r="M2082" i="1"/>
  <c r="AP2082" i="1" s="1"/>
  <c r="N2083" i="1"/>
  <c r="M2086" i="1"/>
  <c r="AP2086" i="1" s="1"/>
  <c r="N2087" i="1"/>
  <c r="M2090" i="1"/>
  <c r="AP2090" i="1" s="1"/>
  <c r="N2091" i="1"/>
  <c r="M2094" i="1"/>
  <c r="AP2094" i="1" s="1"/>
  <c r="N2095" i="1"/>
  <c r="M2098" i="1"/>
  <c r="AP2098" i="1" s="1"/>
  <c r="N2099" i="1"/>
  <c r="M2102" i="1"/>
  <c r="AP2102" i="1" s="1"/>
  <c r="N2103" i="1"/>
  <c r="M2106" i="1"/>
  <c r="AP2106" i="1" s="1"/>
  <c r="N2107" i="1"/>
  <c r="M2110" i="1"/>
  <c r="AP2110" i="1" s="1"/>
  <c r="N2111" i="1"/>
  <c r="M2114" i="1"/>
  <c r="AP2114" i="1" s="1"/>
  <c r="N2115" i="1"/>
  <c r="M2118" i="1"/>
  <c r="AP2118" i="1" s="1"/>
  <c r="N2119" i="1"/>
  <c r="M2122" i="1"/>
  <c r="AP2122" i="1" s="1"/>
  <c r="N2123" i="1"/>
  <c r="M2126" i="1"/>
  <c r="AP2126" i="1" s="1"/>
  <c r="N2127" i="1"/>
  <c r="M2130" i="1"/>
  <c r="AP2130" i="1" s="1"/>
  <c r="N2131" i="1"/>
  <c r="M2134" i="1"/>
  <c r="AP2134" i="1" s="1"/>
  <c r="N2136" i="1"/>
  <c r="M2139" i="1"/>
  <c r="AP2139" i="1" s="1"/>
  <c r="N2140" i="1"/>
  <c r="M2143" i="1"/>
  <c r="AP2143" i="1" s="1"/>
  <c r="N2144" i="1"/>
  <c r="M2148" i="1"/>
  <c r="AP2148" i="1" s="1"/>
  <c r="N2149" i="1"/>
  <c r="M2152" i="1"/>
  <c r="AP2152" i="1" s="1"/>
  <c r="N2153" i="1"/>
  <c r="M2156" i="1"/>
  <c r="AP2156" i="1" s="1"/>
  <c r="N2157" i="1"/>
  <c r="M2160" i="1"/>
  <c r="AP2160" i="1" s="1"/>
  <c r="N2161" i="1"/>
  <c r="M2164" i="1"/>
  <c r="AP2164" i="1" s="1"/>
  <c r="N2165" i="1"/>
  <c r="M2168" i="1"/>
  <c r="AP2168" i="1" s="1"/>
  <c r="N2169" i="1"/>
  <c r="M2172" i="1"/>
  <c r="AP2172" i="1" s="1"/>
  <c r="N2173" i="1"/>
  <c r="M2177" i="1"/>
  <c r="AP2177" i="1" s="1"/>
  <c r="N2178" i="1"/>
  <c r="M2181" i="1"/>
  <c r="AP2181" i="1" s="1"/>
  <c r="N2182" i="1"/>
  <c r="M2185" i="1"/>
  <c r="AP2185" i="1" s="1"/>
  <c r="N2186" i="1"/>
  <c r="M2189" i="1"/>
  <c r="AP2189" i="1" s="1"/>
  <c r="N2190" i="1"/>
  <c r="M2194" i="1"/>
  <c r="AP2194" i="1" s="1"/>
  <c r="N2195" i="1"/>
  <c r="M2198" i="1"/>
  <c r="AP2198" i="1" s="1"/>
  <c r="N2199" i="1"/>
  <c r="M2202" i="1"/>
  <c r="AP2202" i="1" s="1"/>
  <c r="N2203" i="1"/>
  <c r="M2206" i="1"/>
  <c r="AP2206" i="1" s="1"/>
  <c r="N2207" i="1"/>
  <c r="M2210" i="1"/>
  <c r="AP2210" i="1" s="1"/>
  <c r="N2211" i="1"/>
  <c r="M2214" i="1"/>
  <c r="AP2214" i="1" s="1"/>
  <c r="N2215" i="1"/>
  <c r="M2218" i="1"/>
  <c r="AP2218" i="1" s="1"/>
  <c r="N2219" i="1"/>
  <c r="N1558" i="1"/>
  <c r="N1562" i="1"/>
  <c r="N1566" i="1"/>
  <c r="N1570" i="1"/>
  <c r="N1575" i="1"/>
  <c r="N1579" i="1"/>
  <c r="N1583" i="1"/>
  <c r="N1587" i="1"/>
  <c r="N1591" i="1"/>
  <c r="N1595" i="1"/>
  <c r="N1599" i="1"/>
  <c r="N1603" i="1"/>
  <c r="N1607" i="1"/>
  <c r="N1611" i="1"/>
  <c r="N1615" i="1"/>
  <c r="N1619" i="1"/>
  <c r="N1623" i="1"/>
  <c r="N1627" i="1"/>
  <c r="N1634" i="1"/>
  <c r="N1650" i="1"/>
  <c r="N1666" i="1"/>
  <c r="N1682" i="1"/>
  <c r="N1709" i="1"/>
  <c r="M1712" i="1"/>
  <c r="AP1712" i="1" s="1"/>
  <c r="N1725" i="1"/>
  <c r="M1728" i="1"/>
  <c r="AP1728" i="1" s="1"/>
  <c r="N1744" i="1"/>
  <c r="M1747" i="1"/>
  <c r="AP1747" i="1" s="1"/>
  <c r="N1760" i="1"/>
  <c r="M1763" i="1"/>
  <c r="AP1763" i="1" s="1"/>
  <c r="N1784" i="1"/>
  <c r="M1787" i="1"/>
  <c r="AP1787" i="1" s="1"/>
  <c r="N1801" i="1"/>
  <c r="M1804" i="1"/>
  <c r="AP1804" i="1" s="1"/>
  <c r="N1820" i="1"/>
  <c r="M1823" i="1"/>
  <c r="AP1823" i="1" s="1"/>
  <c r="N1837" i="1"/>
  <c r="M1840" i="1"/>
  <c r="AP1840" i="1" s="1"/>
  <c r="N1855" i="1"/>
  <c r="M1858" i="1"/>
  <c r="AP1858" i="1" s="1"/>
  <c r="N1879" i="1"/>
  <c r="M1882" i="1"/>
  <c r="AP1882" i="1" s="1"/>
  <c r="N1896" i="1"/>
  <c r="M1899" i="1"/>
  <c r="AP1899" i="1" s="1"/>
  <c r="N1912" i="1"/>
  <c r="M1918" i="1"/>
  <c r="AP1918" i="1" s="1"/>
  <c r="N1931" i="1"/>
  <c r="M1934" i="1"/>
  <c r="AP1934" i="1" s="1"/>
  <c r="N1949" i="1"/>
  <c r="M1952" i="1"/>
  <c r="AP1952" i="1" s="1"/>
  <c r="N1968" i="1"/>
  <c r="M1975" i="1"/>
  <c r="AP1975" i="1" s="1"/>
  <c r="N1992" i="1"/>
  <c r="M1996" i="1"/>
  <c r="AP1996" i="1" s="1"/>
  <c r="N2016" i="1"/>
  <c r="M2026" i="1"/>
  <c r="AP2026" i="1" s="1"/>
  <c r="N2039" i="1"/>
  <c r="M2043" i="1"/>
  <c r="AP2043" i="1" s="1"/>
  <c r="M2052" i="1"/>
  <c r="AP2052" i="1" s="1"/>
  <c r="M2056" i="1"/>
  <c r="AP2056" i="1" s="1"/>
  <c r="M2067" i="1"/>
  <c r="AP2067" i="1" s="1"/>
  <c r="M2075" i="1"/>
  <c r="AP2075" i="1" s="1"/>
  <c r="M2079" i="1"/>
  <c r="AP2079" i="1" s="1"/>
  <c r="M2083" i="1"/>
  <c r="AP2083" i="1" s="1"/>
  <c r="M2087" i="1"/>
  <c r="AP2087" i="1" s="1"/>
  <c r="M2091" i="1"/>
  <c r="AP2091" i="1" s="1"/>
  <c r="M2095" i="1"/>
  <c r="AP2095" i="1" s="1"/>
  <c r="M2099" i="1"/>
  <c r="AP2099" i="1" s="1"/>
  <c r="M2103" i="1"/>
  <c r="AP2103" i="1" s="1"/>
  <c r="M2107" i="1"/>
  <c r="AP2107" i="1" s="1"/>
  <c r="M2111" i="1"/>
  <c r="AP2111" i="1" s="1"/>
  <c r="M2115" i="1"/>
  <c r="AP2115" i="1" s="1"/>
  <c r="M2119" i="1"/>
  <c r="AP2119" i="1" s="1"/>
  <c r="M2123" i="1"/>
  <c r="AP2123" i="1" s="1"/>
  <c r="M2127" i="1"/>
  <c r="AP2127" i="1" s="1"/>
  <c r="M2131" i="1"/>
  <c r="AP2131" i="1" s="1"/>
  <c r="M2136" i="1"/>
  <c r="AP2136" i="1" s="1"/>
  <c r="M2140" i="1"/>
  <c r="AP2140" i="1" s="1"/>
  <c r="M2144" i="1"/>
  <c r="AP2144" i="1" s="1"/>
  <c r="M2149" i="1"/>
  <c r="AP2149" i="1" s="1"/>
  <c r="M2153" i="1"/>
  <c r="AP2153" i="1" s="1"/>
  <c r="M2157" i="1"/>
  <c r="AP2157" i="1" s="1"/>
  <c r="M2161" i="1"/>
  <c r="AP2161" i="1" s="1"/>
  <c r="M2165" i="1"/>
  <c r="AP2165" i="1" s="1"/>
  <c r="M2169" i="1"/>
  <c r="AP2169" i="1" s="1"/>
  <c r="M2173" i="1"/>
  <c r="AP2173" i="1" s="1"/>
  <c r="M2178" i="1"/>
  <c r="AP2178" i="1" s="1"/>
  <c r="M2182" i="1"/>
  <c r="AP2182" i="1" s="1"/>
  <c r="M2186" i="1"/>
  <c r="AP2186" i="1" s="1"/>
  <c r="M2190" i="1"/>
  <c r="AP2190" i="1" s="1"/>
  <c r="M2195" i="1"/>
  <c r="AP2195" i="1" s="1"/>
  <c r="M2199" i="1"/>
  <c r="AP2199" i="1" s="1"/>
  <c r="M2203" i="1"/>
  <c r="AP2203" i="1" s="1"/>
  <c r="M2207" i="1"/>
  <c r="AP2207" i="1" s="1"/>
  <c r="M2211" i="1"/>
  <c r="AP2211" i="1" s="1"/>
  <c r="M2215" i="1"/>
  <c r="AP2215" i="1" s="1"/>
  <c r="M2219" i="1"/>
  <c r="AP2219" i="1" s="1"/>
  <c r="N1708" i="1"/>
  <c r="N1724" i="1"/>
  <c r="N1743" i="1"/>
  <c r="N1759" i="1"/>
  <c r="N1783" i="1"/>
  <c r="N1800" i="1"/>
  <c r="N1819" i="1"/>
  <c r="N1836" i="1"/>
  <c r="N1854" i="1"/>
  <c r="N1878" i="1"/>
  <c r="N1894" i="1"/>
  <c r="N1911" i="1"/>
  <c r="N1930" i="1"/>
  <c r="N1946" i="1"/>
  <c r="N1967" i="1"/>
  <c r="N1991" i="1"/>
  <c r="N2013" i="1"/>
  <c r="N2038" i="1"/>
  <c r="N2050" i="1"/>
  <c r="N2055" i="1"/>
  <c r="N2059" i="1"/>
  <c r="N2074" i="1"/>
  <c r="N2078" i="1"/>
  <c r="N2082" i="1"/>
  <c r="N2086" i="1"/>
  <c r="N2090" i="1"/>
  <c r="N2094" i="1"/>
  <c r="N2098" i="1"/>
  <c r="N2102" i="1"/>
  <c r="N2106" i="1"/>
  <c r="N2110" i="1"/>
  <c r="N2114" i="1"/>
  <c r="N2118" i="1"/>
  <c r="N2122" i="1"/>
  <c r="N2126" i="1"/>
  <c r="N2130" i="1"/>
  <c r="N2134" i="1"/>
  <c r="N2139" i="1"/>
  <c r="N2143" i="1"/>
  <c r="N2148" i="1"/>
  <c r="N2152" i="1"/>
  <c r="N2156" i="1"/>
  <c r="N2160" i="1"/>
  <c r="N2164" i="1"/>
  <c r="N2168" i="1"/>
  <c r="N2172" i="1"/>
  <c r="M2175" i="1"/>
  <c r="AP2175" i="1" s="1"/>
  <c r="N2177" i="1"/>
  <c r="M2180" i="1"/>
  <c r="AP2180" i="1" s="1"/>
  <c r="N2181" i="1"/>
  <c r="M2184" i="1"/>
  <c r="AP2184" i="1" s="1"/>
  <c r="N2185" i="1"/>
  <c r="M2188" i="1"/>
  <c r="AP2188" i="1" s="1"/>
  <c r="N2189" i="1"/>
  <c r="M2192" i="1"/>
  <c r="AP2192" i="1" s="1"/>
  <c r="N2194" i="1"/>
  <c r="M2197" i="1"/>
  <c r="AP2197" i="1" s="1"/>
  <c r="N2198" i="1"/>
  <c r="M2201" i="1"/>
  <c r="AP2201" i="1" s="1"/>
  <c r="N2202" i="1"/>
  <c r="M2205" i="1"/>
  <c r="AP2205" i="1" s="1"/>
  <c r="N2206" i="1"/>
  <c r="M2209" i="1"/>
  <c r="AP2209" i="1" s="1"/>
  <c r="N2210" i="1"/>
  <c r="M2213" i="1"/>
  <c r="AP2213" i="1" s="1"/>
  <c r="N2214" i="1"/>
  <c r="M2217" i="1"/>
  <c r="AP2217" i="1" s="1"/>
  <c r="N2218" i="1"/>
  <c r="M1632" i="1"/>
  <c r="AP1632" i="1" s="1"/>
  <c r="N1633" i="1"/>
  <c r="M1636" i="1"/>
  <c r="AP1636" i="1" s="1"/>
  <c r="N1637" i="1"/>
  <c r="M1640" i="1"/>
  <c r="AP1640" i="1" s="1"/>
  <c r="N1641" i="1"/>
  <c r="M1644" i="1"/>
  <c r="AP1644" i="1" s="1"/>
  <c r="N1645" i="1"/>
  <c r="M1648" i="1"/>
  <c r="AP1648" i="1" s="1"/>
  <c r="N1649" i="1"/>
  <c r="M1652" i="1"/>
  <c r="AP1652" i="1" s="1"/>
  <c r="N1653" i="1"/>
  <c r="M1656" i="1"/>
  <c r="AP1656" i="1" s="1"/>
  <c r="N1657" i="1"/>
  <c r="M1660" i="1"/>
  <c r="AP1660" i="1" s="1"/>
  <c r="N1661" i="1"/>
  <c r="M1664" i="1"/>
  <c r="AP1664" i="1" s="1"/>
  <c r="N1665" i="1"/>
  <c r="M1668" i="1"/>
  <c r="AP1668" i="1" s="1"/>
  <c r="N1669" i="1"/>
  <c r="M1672" i="1"/>
  <c r="AP1672" i="1" s="1"/>
  <c r="N1673" i="1"/>
  <c r="M1676" i="1"/>
  <c r="AP1676" i="1" s="1"/>
  <c r="N1677" i="1"/>
  <c r="M1680" i="1"/>
  <c r="AP1680" i="1" s="1"/>
  <c r="N1681" i="1"/>
  <c r="M1684" i="1"/>
  <c r="AP1684" i="1" s="1"/>
  <c r="N1685" i="1"/>
  <c r="M1688" i="1"/>
  <c r="AP1688" i="1" s="1"/>
  <c r="N1689" i="1"/>
  <c r="M1692" i="1"/>
  <c r="AP1692" i="1" s="1"/>
  <c r="N1693" i="1"/>
  <c r="M1696" i="1"/>
  <c r="AP1696" i="1" s="1"/>
  <c r="N1697" i="1"/>
  <c r="M1700" i="1"/>
  <c r="AP1700" i="1" s="1"/>
  <c r="N1701" i="1"/>
  <c r="M1704" i="1"/>
  <c r="AP1704" i="1" s="1"/>
  <c r="N1707" i="1"/>
  <c r="M1710" i="1"/>
  <c r="AP1710" i="1" s="1"/>
  <c r="N1711" i="1"/>
  <c r="M1714" i="1"/>
  <c r="AP1714" i="1" s="1"/>
  <c r="N1715" i="1"/>
  <c r="M1718" i="1"/>
  <c r="AP1718" i="1" s="1"/>
  <c r="N1719" i="1"/>
  <c r="M1722" i="1"/>
  <c r="AP1722" i="1" s="1"/>
  <c r="N1723" i="1"/>
  <c r="M1726" i="1"/>
  <c r="AP1726" i="1" s="1"/>
  <c r="N1727" i="1"/>
  <c r="M1730" i="1"/>
  <c r="AP1730" i="1" s="1"/>
  <c r="N1731" i="1"/>
  <c r="M1737" i="1"/>
  <c r="AP1737" i="1" s="1"/>
  <c r="N1738" i="1"/>
  <c r="M1741" i="1"/>
  <c r="AP1741" i="1" s="1"/>
  <c r="N1742" i="1"/>
  <c r="M1745" i="1"/>
  <c r="AP1745" i="1" s="1"/>
  <c r="N1746" i="1"/>
  <c r="M1749" i="1"/>
  <c r="AP1749" i="1" s="1"/>
  <c r="N1750" i="1"/>
  <c r="M1753" i="1"/>
  <c r="AP1753" i="1" s="1"/>
  <c r="N1754" i="1"/>
  <c r="M1757" i="1"/>
  <c r="AP1757" i="1" s="1"/>
  <c r="N1758" i="1"/>
  <c r="M1761" i="1"/>
  <c r="AP1761" i="1" s="1"/>
  <c r="N1762" i="1"/>
  <c r="M1773" i="1"/>
  <c r="AP1773" i="1" s="1"/>
  <c r="N1774" i="1"/>
  <c r="M1777" i="1"/>
  <c r="AP1777" i="1" s="1"/>
  <c r="N1778" i="1"/>
  <c r="M1781" i="1"/>
  <c r="AP1781" i="1" s="1"/>
  <c r="N1782" i="1"/>
  <c r="M1785" i="1"/>
  <c r="AP1785" i="1" s="1"/>
  <c r="N1786" i="1"/>
  <c r="M1789" i="1"/>
  <c r="AP1789" i="1" s="1"/>
  <c r="N1790" i="1"/>
  <c r="M1794" i="1"/>
  <c r="AP1794" i="1" s="1"/>
  <c r="N1795" i="1"/>
  <c r="M1798" i="1"/>
  <c r="AP1798" i="1" s="1"/>
  <c r="N1799" i="1"/>
  <c r="M1802" i="1"/>
  <c r="AP1802" i="1" s="1"/>
  <c r="N1803" i="1"/>
  <c r="M1806" i="1"/>
  <c r="AP1806" i="1" s="1"/>
  <c r="N1807" i="1"/>
  <c r="M1810" i="1"/>
  <c r="AP1810" i="1" s="1"/>
  <c r="N1811" i="1"/>
  <c r="M1817" i="1"/>
  <c r="AP1817" i="1" s="1"/>
  <c r="N1818" i="1"/>
  <c r="M1821" i="1"/>
  <c r="AP1821" i="1" s="1"/>
  <c r="N1822" i="1"/>
  <c r="M1825" i="1"/>
  <c r="AP1825" i="1" s="1"/>
  <c r="N1826" i="1"/>
  <c r="M1830" i="1"/>
  <c r="AP1830" i="1" s="1"/>
  <c r="N1831" i="1"/>
  <c r="M1834" i="1"/>
  <c r="AP1834" i="1" s="1"/>
  <c r="N1835" i="1"/>
  <c r="M1838" i="1"/>
  <c r="AP1838" i="1" s="1"/>
  <c r="N1839" i="1"/>
  <c r="M1844" i="1"/>
  <c r="AP1844" i="1" s="1"/>
  <c r="N1845" i="1"/>
  <c r="M1848" i="1"/>
  <c r="AP1848" i="1" s="1"/>
  <c r="N1849" i="1"/>
  <c r="M1852" i="1"/>
  <c r="AP1852" i="1" s="1"/>
  <c r="N1853" i="1"/>
  <c r="M1856" i="1"/>
  <c r="AP1856" i="1" s="1"/>
  <c r="N1857" i="1"/>
  <c r="M1861" i="1"/>
  <c r="AP1861" i="1" s="1"/>
  <c r="N1862" i="1"/>
  <c r="M1865" i="1"/>
  <c r="AP1865" i="1" s="1"/>
  <c r="N1866" i="1"/>
  <c r="M1869" i="1"/>
  <c r="AP1869" i="1" s="1"/>
  <c r="N1877" i="1"/>
  <c r="M1880" i="1"/>
  <c r="AP1880" i="1" s="1"/>
  <c r="N1881" i="1"/>
  <c r="M1884" i="1"/>
  <c r="AP1884" i="1" s="1"/>
  <c r="N1885" i="1"/>
  <c r="M1888" i="1"/>
  <c r="AP1888" i="1" s="1"/>
  <c r="N1889" i="1"/>
  <c r="M1892" i="1"/>
  <c r="AP1892" i="1" s="1"/>
  <c r="N1893" i="1"/>
  <c r="M1897" i="1"/>
  <c r="AP1897" i="1" s="1"/>
  <c r="N1898" i="1"/>
  <c r="M1901" i="1"/>
  <c r="AP1901" i="1" s="1"/>
  <c r="N1902" i="1"/>
  <c r="M1905" i="1"/>
  <c r="AP1905" i="1" s="1"/>
  <c r="N1906" i="1"/>
  <c r="M1909" i="1"/>
  <c r="AP1909" i="1" s="1"/>
  <c r="N1910" i="1"/>
  <c r="M1913" i="1"/>
  <c r="AP1913" i="1" s="1"/>
  <c r="N1914" i="1"/>
  <c r="M1920" i="1"/>
  <c r="AP1920" i="1" s="1"/>
  <c r="N1921" i="1"/>
  <c r="M1924" i="1"/>
  <c r="AP1924" i="1" s="1"/>
  <c r="N1925" i="1"/>
  <c r="M1928" i="1"/>
  <c r="AP1928" i="1" s="1"/>
  <c r="N1929" i="1"/>
  <c r="M1932" i="1"/>
  <c r="AP1932" i="1" s="1"/>
  <c r="N1933" i="1"/>
  <c r="M1936" i="1"/>
  <c r="AP1936" i="1" s="1"/>
  <c r="N1937" i="1"/>
  <c r="M1940" i="1"/>
  <c r="AP1940" i="1" s="1"/>
  <c r="N1941" i="1"/>
  <c r="M1944" i="1"/>
  <c r="AP1944" i="1" s="1"/>
  <c r="N1945" i="1"/>
  <c r="M1950" i="1"/>
  <c r="AP1950" i="1" s="1"/>
  <c r="N1951" i="1"/>
  <c r="M1954" i="1"/>
  <c r="AP1954" i="1" s="1"/>
  <c r="N1955" i="1"/>
  <c r="M1960" i="1"/>
  <c r="AP1960" i="1" s="1"/>
  <c r="N1961" i="1"/>
  <c r="M1964" i="1"/>
  <c r="AP1964" i="1" s="1"/>
  <c r="N1966" i="1"/>
  <c r="M1973" i="1"/>
  <c r="AP1973" i="1" s="1"/>
  <c r="N1974" i="1"/>
  <c r="M1977" i="1"/>
  <c r="AP1977" i="1" s="1"/>
  <c r="N1978" i="1"/>
  <c r="M1981" i="1"/>
  <c r="AP1981" i="1" s="1"/>
  <c r="N1982" i="1"/>
  <c r="M1988" i="1"/>
  <c r="AP1988" i="1" s="1"/>
  <c r="N1990" i="1"/>
  <c r="M1993" i="1"/>
  <c r="AP1993" i="1" s="1"/>
  <c r="N1995" i="1"/>
  <c r="M1999" i="1"/>
  <c r="AP1999" i="1" s="1"/>
  <c r="N2000" i="1"/>
  <c r="M2007" i="1"/>
  <c r="AP2007" i="1" s="1"/>
  <c r="N2008" i="1"/>
  <c r="M2011" i="1"/>
  <c r="AP2011" i="1" s="1"/>
  <c r="N2012" i="1"/>
  <c r="M2017" i="1"/>
  <c r="AP2017" i="1" s="1"/>
  <c r="N2018" i="1"/>
  <c r="M2028" i="1"/>
  <c r="AP2028" i="1" s="1"/>
  <c r="N2029" i="1"/>
  <c r="M2032" i="1"/>
  <c r="AP2032" i="1" s="1"/>
  <c r="N2033" i="1"/>
  <c r="M2036" i="1"/>
  <c r="AP2036" i="1" s="1"/>
  <c r="N2037" i="1"/>
  <c r="M2040" i="1"/>
  <c r="AP2040" i="1" s="1"/>
  <c r="N2042" i="1"/>
  <c r="M2046" i="1"/>
  <c r="AP2046" i="1" s="1"/>
  <c r="N2047" i="1"/>
  <c r="M1633" i="1"/>
  <c r="AP1633" i="1" s="1"/>
  <c r="M1637" i="1"/>
  <c r="AP1637" i="1" s="1"/>
  <c r="M1641" i="1"/>
  <c r="AP1641" i="1" s="1"/>
  <c r="M1645" i="1"/>
  <c r="AP1645" i="1" s="1"/>
  <c r="M1649" i="1"/>
  <c r="AP1649" i="1" s="1"/>
  <c r="M1653" i="1"/>
  <c r="AP1653" i="1" s="1"/>
  <c r="M1657" i="1"/>
  <c r="AP1657" i="1" s="1"/>
  <c r="M1661" i="1"/>
  <c r="AP1661" i="1" s="1"/>
  <c r="M1665" i="1"/>
  <c r="AP1665" i="1" s="1"/>
  <c r="M1669" i="1"/>
  <c r="AP1669" i="1" s="1"/>
  <c r="M1673" i="1"/>
  <c r="AP1673" i="1" s="1"/>
  <c r="M1677" i="1"/>
  <c r="AP1677" i="1" s="1"/>
  <c r="M1681" i="1"/>
  <c r="AP1681" i="1" s="1"/>
  <c r="M1685" i="1"/>
  <c r="AP1685" i="1" s="1"/>
  <c r="M1689" i="1"/>
  <c r="AP1689" i="1" s="1"/>
  <c r="M1693" i="1"/>
  <c r="AP1693" i="1" s="1"/>
  <c r="M1697" i="1"/>
  <c r="AP1697" i="1" s="1"/>
  <c r="M1701" i="1"/>
  <c r="AP1701" i="1" s="1"/>
  <c r="M1707" i="1"/>
  <c r="AP1707" i="1" s="1"/>
  <c r="M1711" i="1"/>
  <c r="AP1711" i="1" s="1"/>
  <c r="M1715" i="1"/>
  <c r="AP1715" i="1" s="1"/>
  <c r="M1719" i="1"/>
  <c r="AP1719" i="1" s="1"/>
  <c r="M1723" i="1"/>
  <c r="AP1723" i="1" s="1"/>
  <c r="M1727" i="1"/>
  <c r="AP1727" i="1" s="1"/>
  <c r="M1731" i="1"/>
  <c r="AP1731" i="1" s="1"/>
  <c r="M1738" i="1"/>
  <c r="AP1738" i="1" s="1"/>
  <c r="M1742" i="1"/>
  <c r="AP1742" i="1" s="1"/>
  <c r="M1746" i="1"/>
  <c r="AP1746" i="1" s="1"/>
  <c r="M1750" i="1"/>
  <c r="AP1750" i="1" s="1"/>
  <c r="M1754" i="1"/>
  <c r="AP1754" i="1" s="1"/>
  <c r="M1758" i="1"/>
  <c r="AP1758" i="1" s="1"/>
  <c r="M1762" i="1"/>
  <c r="AP1762" i="1" s="1"/>
  <c r="M1774" i="1"/>
  <c r="AP1774" i="1" s="1"/>
  <c r="M1778" i="1"/>
  <c r="AP1778" i="1" s="1"/>
  <c r="M1782" i="1"/>
  <c r="AP1782" i="1" s="1"/>
  <c r="M1786" i="1"/>
  <c r="AP1786" i="1" s="1"/>
  <c r="M1790" i="1"/>
  <c r="AP1790" i="1" s="1"/>
  <c r="M1795" i="1"/>
  <c r="AP1795" i="1" s="1"/>
  <c r="M1799" i="1"/>
  <c r="AP1799" i="1" s="1"/>
  <c r="M1803" i="1"/>
  <c r="AP1803" i="1" s="1"/>
  <c r="M1807" i="1"/>
  <c r="AP1807" i="1" s="1"/>
  <c r="M1811" i="1"/>
  <c r="AP1811" i="1" s="1"/>
  <c r="M1818" i="1"/>
  <c r="AP1818" i="1" s="1"/>
  <c r="M1822" i="1"/>
  <c r="AP1822" i="1" s="1"/>
  <c r="M1826" i="1"/>
  <c r="AP1826" i="1" s="1"/>
  <c r="M1831" i="1"/>
  <c r="AP1831" i="1" s="1"/>
  <c r="M1835" i="1"/>
  <c r="AP1835" i="1" s="1"/>
  <c r="M1839" i="1"/>
  <c r="AP1839" i="1" s="1"/>
  <c r="M1845" i="1"/>
  <c r="AP1845" i="1" s="1"/>
  <c r="M1849" i="1"/>
  <c r="AP1849" i="1" s="1"/>
  <c r="M1853" i="1"/>
  <c r="AP1853" i="1" s="1"/>
  <c r="M1857" i="1"/>
  <c r="AP1857" i="1" s="1"/>
  <c r="M1862" i="1"/>
  <c r="AP1862" i="1" s="1"/>
  <c r="M1866" i="1"/>
  <c r="AP1866" i="1" s="1"/>
  <c r="M1877" i="1"/>
  <c r="AP1877" i="1" s="1"/>
  <c r="M1881" i="1"/>
  <c r="AP1881" i="1" s="1"/>
  <c r="M1885" i="1"/>
  <c r="AP1885" i="1" s="1"/>
  <c r="M1889" i="1"/>
  <c r="AP1889" i="1" s="1"/>
  <c r="M1893" i="1"/>
  <c r="AP1893" i="1" s="1"/>
  <c r="M1898" i="1"/>
  <c r="AP1898" i="1" s="1"/>
  <c r="M1902" i="1"/>
  <c r="AP1902" i="1" s="1"/>
  <c r="M1906" i="1"/>
  <c r="AP1906" i="1" s="1"/>
  <c r="M1910" i="1"/>
  <c r="AP1910" i="1" s="1"/>
  <c r="M1914" i="1"/>
  <c r="AP1914" i="1" s="1"/>
  <c r="M1921" i="1"/>
  <c r="AP1921" i="1" s="1"/>
  <c r="M1925" i="1"/>
  <c r="AP1925" i="1" s="1"/>
  <c r="M1929" i="1"/>
  <c r="AP1929" i="1" s="1"/>
  <c r="M1933" i="1"/>
  <c r="AP1933" i="1" s="1"/>
  <c r="M1937" i="1"/>
  <c r="AP1937" i="1" s="1"/>
  <c r="M1941" i="1"/>
  <c r="AP1941" i="1" s="1"/>
  <c r="M1945" i="1"/>
  <c r="AP1945" i="1" s="1"/>
  <c r="M1951" i="1"/>
  <c r="AP1951" i="1" s="1"/>
  <c r="M1955" i="1"/>
  <c r="AP1955" i="1" s="1"/>
  <c r="M1961" i="1"/>
  <c r="AP1961" i="1" s="1"/>
  <c r="M1966" i="1"/>
  <c r="AP1966" i="1" s="1"/>
  <c r="M1974" i="1"/>
  <c r="AP1974" i="1" s="1"/>
  <c r="M1978" i="1"/>
  <c r="AP1978" i="1" s="1"/>
  <c r="M1982" i="1"/>
  <c r="AP1982" i="1" s="1"/>
  <c r="M1990" i="1"/>
  <c r="AP1990" i="1" s="1"/>
  <c r="M1995" i="1"/>
  <c r="AP1995" i="1" s="1"/>
  <c r="M2000" i="1"/>
  <c r="AP2000" i="1" s="1"/>
  <c r="M2008" i="1"/>
  <c r="AP2008" i="1" s="1"/>
  <c r="M2012" i="1"/>
  <c r="AP2012" i="1" s="1"/>
  <c r="M2018" i="1"/>
  <c r="AP2018" i="1" s="1"/>
  <c r="M2029" i="1"/>
  <c r="AP2029" i="1" s="1"/>
  <c r="M2033" i="1"/>
  <c r="AP2033" i="1" s="1"/>
  <c r="M2037" i="1"/>
  <c r="AP2037" i="1" s="1"/>
  <c r="M2042" i="1"/>
  <c r="AP2042" i="1" s="1"/>
  <c r="M2047" i="1"/>
  <c r="AP2047" i="1" s="1"/>
  <c r="M1631" i="1"/>
  <c r="AP1631" i="1" s="1"/>
  <c r="N1632" i="1"/>
  <c r="M1635" i="1"/>
  <c r="AP1635" i="1" s="1"/>
  <c r="N1636" i="1"/>
  <c r="M1639" i="1"/>
  <c r="AP1639" i="1" s="1"/>
  <c r="N1640" i="1"/>
  <c r="M1643" i="1"/>
  <c r="AP1643" i="1" s="1"/>
  <c r="N1644" i="1"/>
  <c r="M1647" i="1"/>
  <c r="AP1647" i="1" s="1"/>
  <c r="N1648" i="1"/>
  <c r="M1651" i="1"/>
  <c r="AP1651" i="1" s="1"/>
  <c r="N1652" i="1"/>
  <c r="M1655" i="1"/>
  <c r="AP1655" i="1" s="1"/>
  <c r="N1656" i="1"/>
  <c r="M1659" i="1"/>
  <c r="AP1659" i="1" s="1"/>
  <c r="N1660" i="1"/>
  <c r="M1663" i="1"/>
  <c r="AP1663" i="1" s="1"/>
  <c r="N1664" i="1"/>
  <c r="M1667" i="1"/>
  <c r="AP1667" i="1" s="1"/>
  <c r="N1668" i="1"/>
  <c r="M1671" i="1"/>
  <c r="AP1671" i="1" s="1"/>
  <c r="N1672" i="1"/>
  <c r="M1675" i="1"/>
  <c r="AP1675" i="1" s="1"/>
  <c r="N1676" i="1"/>
  <c r="M1679" i="1"/>
  <c r="AP1679" i="1" s="1"/>
  <c r="N1680" i="1"/>
  <c r="M1683" i="1"/>
  <c r="AP1683" i="1" s="1"/>
  <c r="N1684" i="1"/>
  <c r="M1687" i="1"/>
  <c r="AP1687" i="1" s="1"/>
  <c r="N1688" i="1"/>
  <c r="M1691" i="1"/>
  <c r="AP1691" i="1" s="1"/>
  <c r="N1692" i="1"/>
  <c r="M1695" i="1"/>
  <c r="AP1695" i="1" s="1"/>
  <c r="N1696" i="1"/>
  <c r="M1699" i="1"/>
  <c r="AP1699" i="1" s="1"/>
  <c r="N1700" i="1"/>
  <c r="M1703" i="1"/>
  <c r="AP1703" i="1" s="1"/>
  <c r="N1704" i="1"/>
  <c r="M1709" i="1"/>
  <c r="AP1709" i="1" s="1"/>
  <c r="N1710" i="1"/>
  <c r="M1713" i="1"/>
  <c r="AP1713" i="1" s="1"/>
  <c r="N1714" i="1"/>
  <c r="M1717" i="1"/>
  <c r="AP1717" i="1" s="1"/>
  <c r="N1718" i="1"/>
  <c r="M1721" i="1"/>
  <c r="AP1721" i="1" s="1"/>
  <c r="N1722" i="1"/>
  <c r="M1725" i="1"/>
  <c r="AP1725" i="1" s="1"/>
  <c r="N1726" i="1"/>
  <c r="M1729" i="1"/>
  <c r="AP1729" i="1" s="1"/>
  <c r="N1730" i="1"/>
  <c r="M1736" i="1"/>
  <c r="AP1736" i="1" s="1"/>
  <c r="N1737" i="1"/>
  <c r="M1740" i="1"/>
  <c r="AP1740" i="1" s="1"/>
  <c r="N1741" i="1"/>
  <c r="M1744" i="1"/>
  <c r="AP1744" i="1" s="1"/>
  <c r="N1745" i="1"/>
  <c r="M1748" i="1"/>
  <c r="AP1748" i="1" s="1"/>
  <c r="N1749" i="1"/>
  <c r="M1752" i="1"/>
  <c r="AP1752" i="1" s="1"/>
  <c r="N1753" i="1"/>
  <c r="M1756" i="1"/>
  <c r="AP1756" i="1" s="1"/>
  <c r="N1757" i="1"/>
  <c r="M1760" i="1"/>
  <c r="AP1760" i="1" s="1"/>
  <c r="N1761" i="1"/>
  <c r="M1765" i="1"/>
  <c r="AP1765" i="1" s="1"/>
  <c r="N1773" i="1"/>
  <c r="M1776" i="1"/>
  <c r="AP1776" i="1" s="1"/>
  <c r="N1777" i="1"/>
  <c r="M1780" i="1"/>
  <c r="AP1780" i="1" s="1"/>
  <c r="N1781" i="1"/>
  <c r="M1784" i="1"/>
  <c r="AP1784" i="1" s="1"/>
  <c r="N1785" i="1"/>
  <c r="M1788" i="1"/>
  <c r="AP1788" i="1" s="1"/>
  <c r="N1789" i="1"/>
  <c r="M1793" i="1"/>
  <c r="AP1793" i="1" s="1"/>
  <c r="N1794" i="1"/>
  <c r="M1797" i="1"/>
  <c r="AP1797" i="1" s="1"/>
  <c r="N1798" i="1"/>
  <c r="M1801" i="1"/>
  <c r="AP1801" i="1" s="1"/>
  <c r="N1802" i="1"/>
  <c r="M1805" i="1"/>
  <c r="AP1805" i="1" s="1"/>
  <c r="N1806" i="1"/>
  <c r="M1809" i="1"/>
  <c r="AP1809" i="1" s="1"/>
  <c r="N1810" i="1"/>
  <c r="M1816" i="1"/>
  <c r="AP1816" i="1" s="1"/>
  <c r="N1817" i="1"/>
  <c r="M1820" i="1"/>
  <c r="AP1820" i="1" s="1"/>
  <c r="N1821" i="1"/>
  <c r="M1824" i="1"/>
  <c r="AP1824" i="1" s="1"/>
  <c r="N1825" i="1"/>
  <c r="M1828" i="1"/>
  <c r="AP1828" i="1" s="1"/>
  <c r="N1830" i="1"/>
  <c r="M1833" i="1"/>
  <c r="AP1833" i="1" s="1"/>
  <c r="N1834" i="1"/>
  <c r="M1837" i="1"/>
  <c r="AP1837" i="1" s="1"/>
  <c r="N1838" i="1"/>
  <c r="M1841" i="1"/>
  <c r="AP1841" i="1" s="1"/>
  <c r="N1844" i="1"/>
  <c r="M1847" i="1"/>
  <c r="AP1847" i="1" s="1"/>
  <c r="N1848" i="1"/>
  <c r="M1851" i="1"/>
  <c r="AP1851" i="1" s="1"/>
  <c r="N1852" i="1"/>
  <c r="M1855" i="1"/>
  <c r="AP1855" i="1" s="1"/>
  <c r="N1856" i="1"/>
  <c r="M1860" i="1"/>
  <c r="AP1860" i="1" s="1"/>
  <c r="N1861" i="1"/>
  <c r="M1864" i="1"/>
  <c r="AP1864" i="1" s="1"/>
  <c r="N1865" i="1"/>
  <c r="M1868" i="1"/>
  <c r="AP1868" i="1" s="1"/>
  <c r="N1869" i="1"/>
  <c r="M1879" i="1"/>
  <c r="AP1879" i="1" s="1"/>
  <c r="N1880" i="1"/>
  <c r="M1883" i="1"/>
  <c r="AP1883" i="1" s="1"/>
  <c r="N1884" i="1"/>
  <c r="M1887" i="1"/>
  <c r="AP1887" i="1" s="1"/>
  <c r="N1888" i="1"/>
  <c r="M1891" i="1"/>
  <c r="AP1891" i="1" s="1"/>
  <c r="N1892" i="1"/>
  <c r="M1896" i="1"/>
  <c r="AP1896" i="1" s="1"/>
  <c r="N1897" i="1"/>
  <c r="M1900" i="1"/>
  <c r="AP1900" i="1" s="1"/>
  <c r="N1901" i="1"/>
  <c r="M1904" i="1"/>
  <c r="AP1904" i="1" s="1"/>
  <c r="N1905" i="1"/>
  <c r="M1908" i="1"/>
  <c r="AP1908" i="1" s="1"/>
  <c r="N1909" i="1"/>
  <c r="M1912" i="1"/>
  <c r="AP1912" i="1" s="1"/>
  <c r="N1913" i="1"/>
  <c r="M1919" i="1"/>
  <c r="AP1919" i="1" s="1"/>
  <c r="N1920" i="1"/>
  <c r="M1923" i="1"/>
  <c r="AP1923" i="1" s="1"/>
  <c r="N1924" i="1"/>
  <c r="M1927" i="1"/>
  <c r="AP1927" i="1" s="1"/>
  <c r="N1928" i="1"/>
  <c r="M1931" i="1"/>
  <c r="AP1931" i="1" s="1"/>
  <c r="N1932" i="1"/>
  <c r="M1935" i="1"/>
  <c r="AP1935" i="1" s="1"/>
  <c r="N1936" i="1"/>
  <c r="M1939" i="1"/>
  <c r="AP1939" i="1" s="1"/>
  <c r="N1940" i="1"/>
  <c r="M1943" i="1"/>
  <c r="AP1943" i="1" s="1"/>
  <c r="N1944" i="1"/>
  <c r="M1949" i="1"/>
  <c r="AP1949" i="1" s="1"/>
  <c r="N1950" i="1"/>
  <c r="M1953" i="1"/>
  <c r="AP1953" i="1" s="1"/>
  <c r="N1954" i="1"/>
  <c r="M1957" i="1"/>
  <c r="AP1957" i="1" s="1"/>
  <c r="N1960" i="1"/>
  <c r="M1963" i="1"/>
  <c r="AP1963" i="1" s="1"/>
  <c r="N1964" i="1"/>
  <c r="M1968" i="1"/>
  <c r="AP1968" i="1" s="1"/>
  <c r="N1973" i="1"/>
  <c r="M1976" i="1"/>
  <c r="AP1976" i="1" s="1"/>
  <c r="N1977" i="1"/>
  <c r="M1980" i="1"/>
  <c r="AP1980" i="1" s="1"/>
  <c r="N1981" i="1"/>
  <c r="M1984" i="1"/>
  <c r="AP1984" i="1" s="1"/>
  <c r="N1988" i="1"/>
  <c r="M1992" i="1"/>
  <c r="AP1992" i="1" s="1"/>
  <c r="N1993" i="1"/>
  <c r="M1997" i="1"/>
  <c r="AP1997" i="1" s="1"/>
  <c r="N1999" i="1"/>
  <c r="M2006" i="1"/>
  <c r="AP2006" i="1" s="1"/>
  <c r="N2007" i="1"/>
  <c r="M2010" i="1"/>
  <c r="AP2010" i="1" s="1"/>
  <c r="N2011" i="1"/>
  <c r="M2016" i="1"/>
  <c r="AP2016" i="1" s="1"/>
  <c r="N2017" i="1"/>
  <c r="M2027" i="1"/>
  <c r="AP2027" i="1" s="1"/>
  <c r="N2028" i="1"/>
  <c r="M2031" i="1"/>
  <c r="AP2031" i="1" s="1"/>
  <c r="N2032" i="1"/>
  <c r="M2035" i="1"/>
  <c r="AP2035" i="1" s="1"/>
  <c r="N2036" i="1"/>
  <c r="M2039" i="1"/>
  <c r="AP2039" i="1" s="1"/>
  <c r="N2040" i="1"/>
  <c r="M2045" i="1"/>
  <c r="AP2045" i="1" s="1"/>
  <c r="N2046" i="1"/>
  <c r="M2223" i="1"/>
  <c r="AP2223" i="1" s="1"/>
  <c r="N2223" i="1"/>
  <c r="O2223" i="1"/>
  <c r="M2227" i="1"/>
  <c r="AP2227" i="1" s="1"/>
  <c r="N2227" i="1"/>
  <c r="O2227" i="1"/>
  <c r="M2231" i="1"/>
  <c r="AP2231" i="1" s="1"/>
  <c r="N2231" i="1"/>
  <c r="O2231" i="1"/>
  <c r="M2235" i="1"/>
  <c r="AP2235" i="1" s="1"/>
  <c r="N2235" i="1"/>
  <c r="O2235" i="1"/>
  <c r="M2239" i="1"/>
  <c r="AP2239" i="1" s="1"/>
  <c r="N2239" i="1"/>
  <c r="O2239" i="1"/>
  <c r="M2243" i="1"/>
  <c r="AP2243" i="1" s="1"/>
  <c r="N2243" i="1"/>
  <c r="O2243" i="1"/>
  <c r="M2247" i="1"/>
  <c r="AP2247" i="1" s="1"/>
  <c r="N2247" i="1"/>
  <c r="O2247" i="1"/>
  <c r="M2251" i="1"/>
  <c r="AP2251" i="1" s="1"/>
  <c r="N2251" i="1"/>
  <c r="O2251" i="1"/>
  <c r="M2255" i="1"/>
  <c r="AP2255" i="1" s="1"/>
  <c r="N2255" i="1"/>
  <c r="O2255" i="1"/>
  <c r="M2265" i="1"/>
  <c r="AP2265" i="1" s="1"/>
  <c r="N2265" i="1"/>
  <c r="O2265" i="1"/>
  <c r="M2269" i="1"/>
  <c r="AP2269" i="1" s="1"/>
  <c r="N2269" i="1"/>
  <c r="O2269" i="1"/>
  <c r="M2273" i="1"/>
  <c r="AP2273" i="1" s="1"/>
  <c r="N2273" i="1"/>
  <c r="O2273" i="1"/>
  <c r="M2277" i="1"/>
  <c r="AP2277" i="1" s="1"/>
  <c r="N2277" i="1"/>
  <c r="O2277" i="1"/>
  <c r="M2281" i="1"/>
  <c r="AP2281" i="1" s="1"/>
  <c r="N2281" i="1"/>
  <c r="O2281" i="1"/>
  <c r="M2285" i="1"/>
  <c r="AP2285" i="1" s="1"/>
  <c r="N2285" i="1"/>
  <c r="O2285" i="1"/>
  <c r="M2289" i="1"/>
  <c r="AP2289" i="1" s="1"/>
  <c r="N2289" i="1"/>
  <c r="O2289" i="1"/>
  <c r="M2293" i="1"/>
  <c r="AP2293" i="1" s="1"/>
  <c r="N2293" i="1"/>
  <c r="O2293" i="1"/>
  <c r="M2298" i="1"/>
  <c r="AP2298" i="1" s="1"/>
  <c r="N2298" i="1"/>
  <c r="O2298" i="1"/>
  <c r="M2302" i="1"/>
  <c r="AP2302" i="1" s="1"/>
  <c r="N2302" i="1"/>
  <c r="O2302" i="1"/>
  <c r="M2306" i="1"/>
  <c r="AP2306" i="1" s="1"/>
  <c r="N2306" i="1"/>
  <c r="O2306" i="1"/>
  <c r="M2310" i="1"/>
  <c r="AP2310" i="1" s="1"/>
  <c r="N2310" i="1"/>
  <c r="O2310" i="1"/>
  <c r="M2314" i="1"/>
  <c r="AP2314" i="1" s="1"/>
  <c r="N2314" i="1"/>
  <c r="O2314" i="1"/>
  <c r="M2318" i="1"/>
  <c r="AP2318" i="1" s="1"/>
  <c r="N2318" i="1"/>
  <c r="O2318" i="1"/>
  <c r="M2323" i="1"/>
  <c r="AP2323" i="1" s="1"/>
  <c r="N2323" i="1"/>
  <c r="O2323" i="1"/>
  <c r="M2327" i="1"/>
  <c r="AP2327" i="1" s="1"/>
  <c r="N2327" i="1"/>
  <c r="O2327" i="1"/>
  <c r="M2331" i="1"/>
  <c r="AP2331" i="1" s="1"/>
  <c r="N2331" i="1"/>
  <c r="O2331" i="1"/>
  <c r="M2335" i="1"/>
  <c r="AP2335" i="1" s="1"/>
  <c r="N2335" i="1"/>
  <c r="O2335" i="1"/>
  <c r="M2339" i="1"/>
  <c r="AP2339" i="1" s="1"/>
  <c r="N2339" i="1"/>
  <c r="O2339" i="1"/>
  <c r="M2343" i="1"/>
  <c r="AP2343" i="1" s="1"/>
  <c r="N2343" i="1"/>
  <c r="O2343" i="1"/>
  <c r="M2349" i="1"/>
  <c r="AP2349" i="1" s="1"/>
  <c r="N2349" i="1"/>
  <c r="O2349" i="1"/>
  <c r="M2353" i="1"/>
  <c r="AP2353" i="1" s="1"/>
  <c r="N2353" i="1"/>
  <c r="O2353" i="1"/>
  <c r="M2357" i="1"/>
  <c r="AP2357" i="1" s="1"/>
  <c r="N2357" i="1"/>
  <c r="O2357" i="1"/>
  <c r="M2361" i="1"/>
  <c r="AP2361" i="1" s="1"/>
  <c r="N2361" i="1"/>
  <c r="O2361" i="1"/>
  <c r="M2365" i="1"/>
  <c r="AP2365" i="1" s="1"/>
  <c r="N2365" i="1"/>
  <c r="O2365" i="1"/>
  <c r="M2369" i="1"/>
  <c r="AP2369" i="1" s="1"/>
  <c r="N2369" i="1"/>
  <c r="O2369" i="1"/>
  <c r="M2373" i="1"/>
  <c r="AP2373" i="1" s="1"/>
  <c r="N2373" i="1"/>
  <c r="O2373" i="1"/>
  <c r="M2377" i="1"/>
  <c r="AP2377" i="1" s="1"/>
  <c r="N2377" i="1"/>
  <c r="O2377" i="1"/>
  <c r="M2381" i="1"/>
  <c r="AP2381" i="1" s="1"/>
  <c r="N2381" i="1"/>
  <c r="O2381" i="1"/>
  <c r="M2388" i="1"/>
  <c r="AP2388" i="1" s="1"/>
  <c r="N2388" i="1"/>
  <c r="O2388" i="1"/>
  <c r="M2392" i="1"/>
  <c r="AP2392" i="1" s="1"/>
  <c r="N2392" i="1"/>
  <c r="O2392" i="1"/>
  <c r="M2397" i="1"/>
  <c r="AP2397" i="1" s="1"/>
  <c r="N2397" i="1"/>
  <c r="O2397" i="1"/>
  <c r="M2401" i="1"/>
  <c r="AP2401" i="1" s="1"/>
  <c r="N2401" i="1"/>
  <c r="O2401" i="1"/>
  <c r="M2222" i="1"/>
  <c r="AP2222" i="1" s="1"/>
  <c r="N2222" i="1"/>
  <c r="O2222" i="1"/>
  <c r="M2226" i="1"/>
  <c r="AP2226" i="1" s="1"/>
  <c r="N2226" i="1"/>
  <c r="O2226" i="1"/>
  <c r="M2230" i="1"/>
  <c r="AP2230" i="1" s="1"/>
  <c r="N2230" i="1"/>
  <c r="O2230" i="1"/>
  <c r="M2234" i="1"/>
  <c r="AP2234" i="1" s="1"/>
  <c r="N2234" i="1"/>
  <c r="O2234" i="1"/>
  <c r="M2238" i="1"/>
  <c r="AP2238" i="1" s="1"/>
  <c r="N2238" i="1"/>
  <c r="O2238" i="1"/>
  <c r="M2242" i="1"/>
  <c r="AP2242" i="1" s="1"/>
  <c r="N2242" i="1"/>
  <c r="O2242" i="1"/>
  <c r="M2246" i="1"/>
  <c r="AP2246" i="1" s="1"/>
  <c r="N2246" i="1"/>
  <c r="O2246" i="1"/>
  <c r="M2250" i="1"/>
  <c r="AP2250" i="1" s="1"/>
  <c r="N2250" i="1"/>
  <c r="O2250" i="1"/>
  <c r="M2254" i="1"/>
  <c r="AP2254" i="1" s="1"/>
  <c r="N2254" i="1"/>
  <c r="O2254" i="1"/>
  <c r="M2258" i="1"/>
  <c r="AP2258" i="1" s="1"/>
  <c r="N2258" i="1"/>
  <c r="O2258" i="1"/>
  <c r="M2264" i="1"/>
  <c r="AP2264" i="1" s="1"/>
  <c r="N2264" i="1"/>
  <c r="O2264" i="1"/>
  <c r="M2268" i="1"/>
  <c r="AP2268" i="1" s="1"/>
  <c r="N2268" i="1"/>
  <c r="O2268" i="1"/>
  <c r="M2272" i="1"/>
  <c r="AP2272" i="1" s="1"/>
  <c r="N2272" i="1"/>
  <c r="O2272" i="1"/>
  <c r="M2276" i="1"/>
  <c r="AP2276" i="1" s="1"/>
  <c r="N2276" i="1"/>
  <c r="O2276" i="1"/>
  <c r="M2280" i="1"/>
  <c r="AP2280" i="1" s="1"/>
  <c r="N2280" i="1"/>
  <c r="O2280" i="1"/>
  <c r="M2284" i="1"/>
  <c r="AP2284" i="1" s="1"/>
  <c r="N2284" i="1"/>
  <c r="O2284" i="1"/>
  <c r="M2288" i="1"/>
  <c r="AP2288" i="1" s="1"/>
  <c r="N2288" i="1"/>
  <c r="O2288" i="1"/>
  <c r="M2292" i="1"/>
  <c r="AP2292" i="1" s="1"/>
  <c r="N2292" i="1"/>
  <c r="O2292" i="1"/>
  <c r="M2296" i="1"/>
  <c r="AP2296" i="1" s="1"/>
  <c r="N2296" i="1"/>
  <c r="O2296" i="1"/>
  <c r="M2301" i="1"/>
  <c r="AP2301" i="1" s="1"/>
  <c r="N2301" i="1"/>
  <c r="O2301" i="1"/>
  <c r="M2305" i="1"/>
  <c r="AP2305" i="1" s="1"/>
  <c r="N2305" i="1"/>
  <c r="O2305" i="1"/>
  <c r="M2309" i="1"/>
  <c r="AP2309" i="1" s="1"/>
  <c r="N2309" i="1"/>
  <c r="O2309" i="1"/>
  <c r="M2313" i="1"/>
  <c r="AP2313" i="1" s="1"/>
  <c r="N2313" i="1"/>
  <c r="O2313" i="1"/>
  <c r="M2317" i="1"/>
  <c r="AP2317" i="1" s="1"/>
  <c r="N2317" i="1"/>
  <c r="O2317" i="1"/>
  <c r="M2322" i="1"/>
  <c r="AP2322" i="1" s="1"/>
  <c r="N2322" i="1"/>
  <c r="O2322" i="1"/>
  <c r="M2326" i="1"/>
  <c r="AP2326" i="1" s="1"/>
  <c r="N2326" i="1"/>
  <c r="O2326" i="1"/>
  <c r="M2330" i="1"/>
  <c r="AP2330" i="1" s="1"/>
  <c r="N2330" i="1"/>
  <c r="O2330" i="1"/>
  <c r="M2334" i="1"/>
  <c r="AP2334" i="1" s="1"/>
  <c r="N2334" i="1"/>
  <c r="O2334" i="1"/>
  <c r="M2338" i="1"/>
  <c r="AP2338" i="1" s="1"/>
  <c r="N2338" i="1"/>
  <c r="O2338" i="1"/>
  <c r="M2342" i="1"/>
  <c r="AP2342" i="1" s="1"/>
  <c r="N2342" i="1"/>
  <c r="O2342" i="1"/>
  <c r="M2348" i="1"/>
  <c r="AP2348" i="1" s="1"/>
  <c r="N2348" i="1"/>
  <c r="O2348" i="1"/>
  <c r="M2352" i="1"/>
  <c r="AP2352" i="1" s="1"/>
  <c r="N2352" i="1"/>
  <c r="O2352" i="1"/>
  <c r="M2356" i="1"/>
  <c r="AP2356" i="1" s="1"/>
  <c r="N2356" i="1"/>
  <c r="O2356" i="1"/>
  <c r="M2360" i="1"/>
  <c r="AP2360" i="1" s="1"/>
  <c r="N2360" i="1"/>
  <c r="O2360" i="1"/>
  <c r="M2364" i="1"/>
  <c r="AP2364" i="1" s="1"/>
  <c r="N2364" i="1"/>
  <c r="O2364" i="1"/>
  <c r="M2368" i="1"/>
  <c r="AP2368" i="1" s="1"/>
  <c r="N2368" i="1"/>
  <c r="O2368" i="1"/>
  <c r="M2372" i="1"/>
  <c r="AP2372" i="1" s="1"/>
  <c r="N2372" i="1"/>
  <c r="O2372" i="1"/>
  <c r="M2376" i="1"/>
  <c r="AP2376" i="1" s="1"/>
  <c r="N2376" i="1"/>
  <c r="O2376" i="1"/>
  <c r="M2380" i="1"/>
  <c r="AP2380" i="1" s="1"/>
  <c r="N2380" i="1"/>
  <c r="O2380" i="1"/>
  <c r="M2387" i="1"/>
  <c r="AP2387" i="1" s="1"/>
  <c r="N2387" i="1"/>
  <c r="O2387" i="1"/>
  <c r="M2391" i="1"/>
  <c r="AP2391" i="1" s="1"/>
  <c r="N2391" i="1"/>
  <c r="O2391" i="1"/>
  <c r="M2395" i="1"/>
  <c r="AP2395" i="1" s="1"/>
  <c r="N2395" i="1"/>
  <c r="O2395" i="1"/>
  <c r="M2400" i="1"/>
  <c r="AP2400" i="1" s="1"/>
  <c r="N2400" i="1"/>
  <c r="O2400" i="1"/>
  <c r="M2221" i="1"/>
  <c r="AP2221" i="1" s="1"/>
  <c r="N2221" i="1"/>
  <c r="O2221" i="1"/>
  <c r="M2225" i="1"/>
  <c r="AP2225" i="1" s="1"/>
  <c r="N2225" i="1"/>
  <c r="O2225" i="1"/>
  <c r="M2229" i="1"/>
  <c r="AP2229" i="1" s="1"/>
  <c r="N2229" i="1"/>
  <c r="O2229" i="1"/>
  <c r="M2233" i="1"/>
  <c r="AP2233" i="1" s="1"/>
  <c r="N2233" i="1"/>
  <c r="O2233" i="1"/>
  <c r="M2237" i="1"/>
  <c r="AP2237" i="1" s="1"/>
  <c r="N2237" i="1"/>
  <c r="O2237" i="1"/>
  <c r="M2241" i="1"/>
  <c r="AP2241" i="1" s="1"/>
  <c r="N2241" i="1"/>
  <c r="O2241" i="1"/>
  <c r="M2245" i="1"/>
  <c r="AP2245" i="1" s="1"/>
  <c r="N2245" i="1"/>
  <c r="O2245" i="1"/>
  <c r="M2249" i="1"/>
  <c r="AP2249" i="1" s="1"/>
  <c r="N2249" i="1"/>
  <c r="O2249" i="1"/>
  <c r="M2253" i="1"/>
  <c r="AP2253" i="1" s="1"/>
  <c r="N2253" i="1"/>
  <c r="O2253" i="1"/>
  <c r="M2257" i="1"/>
  <c r="AP2257" i="1" s="1"/>
  <c r="N2257" i="1"/>
  <c r="O2257" i="1"/>
  <c r="M2263" i="1"/>
  <c r="AP2263" i="1" s="1"/>
  <c r="N2263" i="1"/>
  <c r="O2263" i="1"/>
  <c r="M2267" i="1"/>
  <c r="AP2267" i="1" s="1"/>
  <c r="N2267" i="1"/>
  <c r="O2267" i="1"/>
  <c r="M2271" i="1"/>
  <c r="AP2271" i="1" s="1"/>
  <c r="N2271" i="1"/>
  <c r="O2271" i="1"/>
  <c r="M2275" i="1"/>
  <c r="AP2275" i="1" s="1"/>
  <c r="N2275" i="1"/>
  <c r="O2275" i="1"/>
  <c r="M2279" i="1"/>
  <c r="AP2279" i="1" s="1"/>
  <c r="N2279" i="1"/>
  <c r="O2279" i="1"/>
  <c r="M2283" i="1"/>
  <c r="AP2283" i="1" s="1"/>
  <c r="N2283" i="1"/>
  <c r="O2283" i="1"/>
  <c r="M2287" i="1"/>
  <c r="AP2287" i="1" s="1"/>
  <c r="N2287" i="1"/>
  <c r="O2287" i="1"/>
  <c r="M2291" i="1"/>
  <c r="AP2291" i="1" s="1"/>
  <c r="N2291" i="1"/>
  <c r="O2291" i="1"/>
  <c r="M2295" i="1"/>
  <c r="AP2295" i="1" s="1"/>
  <c r="N2295" i="1"/>
  <c r="O2295" i="1"/>
  <c r="M2300" i="1"/>
  <c r="AP2300" i="1" s="1"/>
  <c r="N2300" i="1"/>
  <c r="O2300" i="1"/>
  <c r="M2304" i="1"/>
  <c r="AP2304" i="1" s="1"/>
  <c r="N2304" i="1"/>
  <c r="O2304" i="1"/>
  <c r="M2308" i="1"/>
  <c r="AP2308" i="1" s="1"/>
  <c r="N2308" i="1"/>
  <c r="O2308" i="1"/>
  <c r="M2312" i="1"/>
  <c r="AP2312" i="1" s="1"/>
  <c r="N2312" i="1"/>
  <c r="O2312" i="1"/>
  <c r="M2316" i="1"/>
  <c r="AP2316" i="1" s="1"/>
  <c r="N2316" i="1"/>
  <c r="O2316" i="1"/>
  <c r="M2320" i="1"/>
  <c r="AP2320" i="1" s="1"/>
  <c r="N2320" i="1"/>
  <c r="O2320" i="1"/>
  <c r="M2325" i="1"/>
  <c r="AP2325" i="1" s="1"/>
  <c r="N2325" i="1"/>
  <c r="O2325" i="1"/>
  <c r="M2329" i="1"/>
  <c r="AP2329" i="1" s="1"/>
  <c r="N2329" i="1"/>
  <c r="O2329" i="1"/>
  <c r="M2333" i="1"/>
  <c r="AP2333" i="1" s="1"/>
  <c r="N2333" i="1"/>
  <c r="O2333" i="1"/>
  <c r="M2337" i="1"/>
  <c r="AP2337" i="1" s="1"/>
  <c r="N2337" i="1"/>
  <c r="O2337" i="1"/>
  <c r="M2341" i="1"/>
  <c r="AP2341" i="1" s="1"/>
  <c r="N2341" i="1"/>
  <c r="O2341" i="1"/>
  <c r="M2347" i="1"/>
  <c r="AP2347" i="1" s="1"/>
  <c r="N2347" i="1"/>
  <c r="O2347" i="1"/>
  <c r="M2351" i="1"/>
  <c r="AP2351" i="1" s="1"/>
  <c r="N2351" i="1"/>
  <c r="O2351" i="1"/>
  <c r="M2355" i="1"/>
  <c r="AP2355" i="1" s="1"/>
  <c r="N2355" i="1"/>
  <c r="O2355" i="1"/>
  <c r="M2359" i="1"/>
  <c r="AP2359" i="1" s="1"/>
  <c r="N2359" i="1"/>
  <c r="O2359" i="1"/>
  <c r="M2363" i="1"/>
  <c r="AP2363" i="1" s="1"/>
  <c r="N2363" i="1"/>
  <c r="O2363" i="1"/>
  <c r="M2367" i="1"/>
  <c r="AP2367" i="1" s="1"/>
  <c r="N2367" i="1"/>
  <c r="O2367" i="1"/>
  <c r="M2371" i="1"/>
  <c r="AP2371" i="1" s="1"/>
  <c r="N2371" i="1"/>
  <c r="O2371" i="1"/>
  <c r="M2375" i="1"/>
  <c r="AP2375" i="1" s="1"/>
  <c r="N2375" i="1"/>
  <c r="O2375" i="1"/>
  <c r="M2379" i="1"/>
  <c r="AP2379" i="1" s="1"/>
  <c r="N2379" i="1"/>
  <c r="O2379" i="1"/>
  <c r="M2386" i="1"/>
  <c r="AP2386" i="1" s="1"/>
  <c r="N2386" i="1"/>
  <c r="O2386" i="1"/>
  <c r="M2390" i="1"/>
  <c r="AP2390" i="1" s="1"/>
  <c r="N2390" i="1"/>
  <c r="O2390" i="1"/>
  <c r="M2394" i="1"/>
  <c r="AP2394" i="1" s="1"/>
  <c r="N2394" i="1"/>
  <c r="O2394" i="1"/>
  <c r="M2399" i="1"/>
  <c r="AP2399" i="1" s="1"/>
  <c r="N2399" i="1"/>
  <c r="O2399" i="1"/>
  <c r="M2220" i="1"/>
  <c r="AP2220" i="1" s="1"/>
  <c r="N2220" i="1"/>
  <c r="O2220" i="1"/>
  <c r="M2224" i="1"/>
  <c r="AP2224" i="1" s="1"/>
  <c r="N2224" i="1"/>
  <c r="O2224" i="1"/>
  <c r="M2228" i="1"/>
  <c r="AP2228" i="1" s="1"/>
  <c r="N2228" i="1"/>
  <c r="O2228" i="1"/>
  <c r="M2232" i="1"/>
  <c r="AP2232" i="1" s="1"/>
  <c r="N2232" i="1"/>
  <c r="O2232" i="1"/>
  <c r="M2236" i="1"/>
  <c r="AP2236" i="1" s="1"/>
  <c r="N2236" i="1"/>
  <c r="O2236" i="1"/>
  <c r="M2240" i="1"/>
  <c r="AP2240" i="1" s="1"/>
  <c r="N2240" i="1"/>
  <c r="O2240" i="1"/>
  <c r="M2244" i="1"/>
  <c r="AP2244" i="1" s="1"/>
  <c r="N2244" i="1"/>
  <c r="O2244" i="1"/>
  <c r="M2248" i="1"/>
  <c r="AP2248" i="1" s="1"/>
  <c r="N2248" i="1"/>
  <c r="O2248" i="1"/>
  <c r="M2252" i="1"/>
  <c r="AP2252" i="1" s="1"/>
  <c r="N2252" i="1"/>
  <c r="O2252" i="1"/>
  <c r="M2256" i="1"/>
  <c r="AP2256" i="1" s="1"/>
  <c r="N2256" i="1"/>
  <c r="O2256" i="1"/>
  <c r="M2262" i="1"/>
  <c r="AP2262" i="1" s="1"/>
  <c r="O2262" i="1"/>
  <c r="M2266" i="1"/>
  <c r="AP2266" i="1" s="1"/>
  <c r="N2266" i="1"/>
  <c r="O2266" i="1"/>
  <c r="M2270" i="1"/>
  <c r="AP2270" i="1" s="1"/>
  <c r="N2270" i="1"/>
  <c r="O2270" i="1"/>
  <c r="M2274" i="1"/>
  <c r="AP2274" i="1" s="1"/>
  <c r="N2274" i="1"/>
  <c r="O2274" i="1"/>
  <c r="M2278" i="1"/>
  <c r="AP2278" i="1" s="1"/>
  <c r="N2278" i="1"/>
  <c r="O2278" i="1"/>
  <c r="M2282" i="1"/>
  <c r="AP2282" i="1" s="1"/>
  <c r="N2282" i="1"/>
  <c r="O2282" i="1"/>
  <c r="M2286" i="1"/>
  <c r="AP2286" i="1" s="1"/>
  <c r="N2286" i="1"/>
  <c r="O2286" i="1"/>
  <c r="M2290" i="1"/>
  <c r="AP2290" i="1" s="1"/>
  <c r="N2290" i="1"/>
  <c r="O2290" i="1"/>
  <c r="M2294" i="1"/>
  <c r="AP2294" i="1" s="1"/>
  <c r="N2294" i="1"/>
  <c r="O2294" i="1"/>
  <c r="M2299" i="1"/>
  <c r="AP2299" i="1" s="1"/>
  <c r="N2299" i="1"/>
  <c r="O2299" i="1"/>
  <c r="M2303" i="1"/>
  <c r="AP2303" i="1" s="1"/>
  <c r="N2303" i="1"/>
  <c r="O2303" i="1"/>
  <c r="M2307" i="1"/>
  <c r="AP2307" i="1" s="1"/>
  <c r="N2307" i="1"/>
  <c r="O2307" i="1"/>
  <c r="M2311" i="1"/>
  <c r="AP2311" i="1" s="1"/>
  <c r="N2311" i="1"/>
  <c r="O2311" i="1"/>
  <c r="M2315" i="1"/>
  <c r="AP2315" i="1" s="1"/>
  <c r="N2315" i="1"/>
  <c r="O2315" i="1"/>
  <c r="M2319" i="1"/>
  <c r="AP2319" i="1" s="1"/>
  <c r="N2319" i="1"/>
  <c r="O2319" i="1"/>
  <c r="M2324" i="1"/>
  <c r="AP2324" i="1" s="1"/>
  <c r="N2324" i="1"/>
  <c r="O2324" i="1"/>
  <c r="M2328" i="1"/>
  <c r="AP2328" i="1" s="1"/>
  <c r="N2328" i="1"/>
  <c r="O2328" i="1"/>
  <c r="M2332" i="1"/>
  <c r="AP2332" i="1" s="1"/>
  <c r="N2332" i="1"/>
  <c r="O2332" i="1"/>
  <c r="M2336" i="1"/>
  <c r="AP2336" i="1" s="1"/>
  <c r="N2336" i="1"/>
  <c r="O2336" i="1"/>
  <c r="M2340" i="1"/>
  <c r="AP2340" i="1" s="1"/>
  <c r="N2340" i="1"/>
  <c r="O2340" i="1"/>
  <c r="M2344" i="1"/>
  <c r="AP2344" i="1" s="1"/>
  <c r="N2344" i="1"/>
  <c r="O2344" i="1"/>
  <c r="M2350" i="1"/>
  <c r="AP2350" i="1" s="1"/>
  <c r="N2350" i="1"/>
  <c r="O2350" i="1"/>
  <c r="M2354" i="1"/>
  <c r="AP2354" i="1" s="1"/>
  <c r="N2354" i="1"/>
  <c r="O2354" i="1"/>
  <c r="M2358" i="1"/>
  <c r="AP2358" i="1" s="1"/>
  <c r="N2358" i="1"/>
  <c r="O2358" i="1"/>
  <c r="M2362" i="1"/>
  <c r="AP2362" i="1" s="1"/>
  <c r="N2362" i="1"/>
  <c r="O2362" i="1"/>
  <c r="M2366" i="1"/>
  <c r="AP2366" i="1" s="1"/>
  <c r="N2366" i="1"/>
  <c r="O2366" i="1"/>
  <c r="M2370" i="1"/>
  <c r="AP2370" i="1" s="1"/>
  <c r="N2370" i="1"/>
  <c r="O2370" i="1"/>
  <c r="M2374" i="1"/>
  <c r="AP2374" i="1" s="1"/>
  <c r="N2374" i="1"/>
  <c r="O2374" i="1"/>
  <c r="M2378" i="1"/>
  <c r="AP2378" i="1" s="1"/>
  <c r="N2378" i="1"/>
  <c r="O2378" i="1"/>
  <c r="M2382" i="1"/>
  <c r="AP2382" i="1" s="1"/>
  <c r="N2382" i="1"/>
  <c r="O2382" i="1"/>
  <c r="M2389" i="1"/>
  <c r="AP2389" i="1" s="1"/>
  <c r="N2389" i="1"/>
  <c r="O2389" i="1"/>
  <c r="M2393" i="1"/>
  <c r="AP2393" i="1" s="1"/>
  <c r="N2393" i="1"/>
  <c r="O2393" i="1"/>
  <c r="M2398" i="1"/>
  <c r="AP2398" i="1" s="1"/>
  <c r="N2398" i="1"/>
  <c r="O2398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3" i="1"/>
  <c r="O2434" i="1"/>
  <c r="O2435" i="1"/>
  <c r="O2436" i="1"/>
  <c r="O2437" i="1"/>
  <c r="O2438" i="1"/>
  <c r="O2441" i="1"/>
  <c r="O2442" i="1"/>
  <c r="O2443" i="1"/>
  <c r="O2444" i="1"/>
  <c r="O2445" i="1"/>
  <c r="O2447" i="1"/>
  <c r="O2448" i="1"/>
  <c r="O2449" i="1"/>
  <c r="O2450" i="1"/>
  <c r="O2451" i="1"/>
  <c r="O2452" i="1"/>
  <c r="O2453" i="1"/>
  <c r="O2454" i="1"/>
  <c r="O2455" i="1"/>
  <c r="O2456" i="1"/>
  <c r="O2457" i="1"/>
  <c r="O2461" i="1"/>
  <c r="O2462" i="1"/>
  <c r="O2463" i="1"/>
  <c r="O2464" i="1"/>
  <c r="O2465" i="1"/>
  <c r="O2466" i="1"/>
  <c r="O2467" i="1"/>
  <c r="O2468" i="1"/>
  <c r="O2469" i="1"/>
  <c r="O2470" i="1"/>
  <c r="O2471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3" i="1"/>
  <c r="N2434" i="1"/>
  <c r="N2435" i="1"/>
  <c r="N2436" i="1"/>
  <c r="N2437" i="1"/>
  <c r="N2438" i="1"/>
  <c r="N2441" i="1"/>
  <c r="N2442" i="1"/>
  <c r="N2443" i="1"/>
  <c r="N2444" i="1"/>
  <c r="N2445" i="1"/>
  <c r="N2447" i="1"/>
  <c r="N2448" i="1"/>
  <c r="N2449" i="1"/>
  <c r="N2450" i="1"/>
  <c r="N2451" i="1"/>
  <c r="N2452" i="1"/>
  <c r="N2453" i="1"/>
  <c r="N2454" i="1"/>
  <c r="N2455" i="1"/>
  <c r="N2456" i="1"/>
  <c r="N2457" i="1"/>
  <c r="N2461" i="1"/>
  <c r="N2462" i="1"/>
  <c r="N2463" i="1"/>
  <c r="N2464" i="1"/>
  <c r="N2465" i="1"/>
  <c r="N2466" i="1"/>
  <c r="N2467" i="1"/>
  <c r="N2468" i="1"/>
  <c r="N2469" i="1"/>
  <c r="N2470" i="1"/>
  <c r="N2471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E89" i="2"/>
  <c r="E15" i="2" s="1"/>
  <c r="D36" i="2"/>
  <c r="D7" i="2" s="1"/>
  <c r="S14" i="1" s="1"/>
  <c r="T17" i="11" l="1"/>
  <c r="T21" i="11" s="1"/>
  <c r="U17" i="11" s="1"/>
  <c r="U21" i="11" s="1"/>
  <c r="AM2916" i="1"/>
  <c r="S1318" i="1"/>
  <c r="Z1318" i="1" s="1"/>
  <c r="S983" i="1"/>
  <c r="Y1321" i="1"/>
  <c r="U1321" i="1"/>
  <c r="V1321" i="1"/>
  <c r="Z1321" i="1"/>
  <c r="Y1863" i="1"/>
  <c r="U1863" i="1"/>
  <c r="V1863" i="1"/>
  <c r="Z1863" i="1"/>
  <c r="Z1755" i="1"/>
  <c r="V1755" i="1"/>
  <c r="U1755" i="1"/>
  <c r="Y1755" i="1"/>
  <c r="Z1009" i="1"/>
  <c r="V1009" i="1"/>
  <c r="Y1009" i="1"/>
  <c r="U1009" i="1"/>
  <c r="U393" i="1"/>
  <c r="Y393" i="1"/>
  <c r="V251" i="1"/>
  <c r="Z251" i="1"/>
  <c r="U251" i="1"/>
  <c r="Y251" i="1"/>
  <c r="V393" i="1"/>
  <c r="Z393" i="1"/>
  <c r="Y1860" i="1"/>
  <c r="U1860" i="1"/>
  <c r="Y1754" i="1"/>
  <c r="U1754" i="1"/>
  <c r="Y804" i="1"/>
  <c r="U804" i="1"/>
  <c r="Z1754" i="1"/>
  <c r="V1754" i="1"/>
  <c r="Z1860" i="1"/>
  <c r="V1860" i="1"/>
  <c r="Z1265" i="1"/>
  <c r="V1265" i="1"/>
  <c r="Z801" i="1"/>
  <c r="V801" i="1"/>
  <c r="Z1828" i="1"/>
  <c r="V1828" i="1"/>
  <c r="Z804" i="1"/>
  <c r="V804" i="1"/>
  <c r="Y1828" i="1"/>
  <c r="U1828" i="1"/>
  <c r="Y1265" i="1"/>
  <c r="U1265" i="1"/>
  <c r="Y801" i="1"/>
  <c r="U801" i="1"/>
  <c r="P617" i="17"/>
  <c r="V700" i="1"/>
  <c r="Z700" i="1"/>
  <c r="U700" i="1"/>
  <c r="Y700" i="1"/>
  <c r="U707" i="1"/>
  <c r="Y707" i="1"/>
  <c r="U696" i="1"/>
  <c r="Y696" i="1"/>
  <c r="U1169" i="1"/>
  <c r="Y1169" i="1"/>
  <c r="V707" i="1"/>
  <c r="Z707" i="1"/>
  <c r="V1169" i="1"/>
  <c r="Z1169" i="1"/>
  <c r="U1331" i="1"/>
  <c r="Y1331" i="1"/>
  <c r="V696" i="1"/>
  <c r="Z696" i="1"/>
  <c r="V1331" i="1"/>
  <c r="Z1331" i="1"/>
  <c r="Z14" i="1"/>
  <c r="V14" i="1"/>
  <c r="U2469" i="1"/>
  <c r="Y2469" i="1"/>
  <c r="V2382" i="1"/>
  <c r="Z2382" i="1"/>
  <c r="V2366" i="1"/>
  <c r="Z2366" i="1"/>
  <c r="U2328" i="1"/>
  <c r="Y2328" i="1"/>
  <c r="Y1967" i="1"/>
  <c r="U1967" i="1"/>
  <c r="Y1922" i="1"/>
  <c r="U1922" i="1"/>
  <c r="U1800" i="1"/>
  <c r="Y1800" i="1"/>
  <c r="U1759" i="1"/>
  <c r="Y1759" i="1"/>
  <c r="U1698" i="1"/>
  <c r="Y1698" i="1"/>
  <c r="Y1666" i="1"/>
  <c r="U1666" i="1"/>
  <c r="Y1634" i="1"/>
  <c r="U1634" i="1"/>
  <c r="Y1598" i="1"/>
  <c r="U1598" i="1"/>
  <c r="U2371" i="1"/>
  <c r="Y2371" i="1"/>
  <c r="V2351" i="1"/>
  <c r="Z2351" i="1"/>
  <c r="Z2117" i="1"/>
  <c r="V2117" i="1"/>
  <c r="V2039" i="1"/>
  <c r="Z2039" i="1"/>
  <c r="Y1927" i="1"/>
  <c r="U1927" i="1"/>
  <c r="Y1891" i="1"/>
  <c r="U1891" i="1"/>
  <c r="Y1748" i="1"/>
  <c r="U1748" i="1"/>
  <c r="U1687" i="1"/>
  <c r="Y1687" i="1"/>
  <c r="Y1647" i="1"/>
  <c r="U1647" i="1"/>
  <c r="V2476" i="1"/>
  <c r="Z2476" i="1"/>
  <c r="Y2452" i="1"/>
  <c r="U2452" i="1"/>
  <c r="Y2433" i="1"/>
  <c r="U2433" i="1"/>
  <c r="U2330" i="1"/>
  <c r="Y2330" i="1"/>
  <c r="V2284" i="1"/>
  <c r="Z2284" i="1"/>
  <c r="Z2234" i="1"/>
  <c r="V2234" i="1"/>
  <c r="Z2040" i="1"/>
  <c r="V2040" i="1"/>
  <c r="Y1924" i="1"/>
  <c r="U1924" i="1"/>
  <c r="V1672" i="1"/>
  <c r="Z1672" i="1"/>
  <c r="Z1640" i="1"/>
  <c r="V1640" i="1"/>
  <c r="V1608" i="1"/>
  <c r="Z1608" i="1"/>
  <c r="V1401" i="1"/>
  <c r="Z1401" i="1"/>
  <c r="Y2457" i="1"/>
  <c r="U2457" i="1"/>
  <c r="V2409" i="1"/>
  <c r="Z2409" i="1"/>
  <c r="Z2392" i="1"/>
  <c r="V2392" i="1"/>
  <c r="U2369" i="1"/>
  <c r="Y2369" i="1"/>
  <c r="Z2323" i="1"/>
  <c r="V2323" i="1"/>
  <c r="Y1995" i="1"/>
  <c r="U1995" i="1"/>
  <c r="Y1941" i="1"/>
  <c r="U1941" i="1"/>
  <c r="Y1906" i="1"/>
  <c r="U1906" i="1"/>
  <c r="Y1881" i="1"/>
  <c r="U1881" i="1"/>
  <c r="Y1822" i="1"/>
  <c r="U1822" i="1"/>
  <c r="U1786" i="1"/>
  <c r="Y1786" i="1"/>
  <c r="Y1685" i="1"/>
  <c r="U1685" i="1"/>
  <c r="Y1621" i="1"/>
  <c r="U1621" i="1"/>
  <c r="Y1484" i="1"/>
  <c r="U1484" i="1"/>
  <c r="Y1420" i="1"/>
  <c r="U1420" i="1"/>
  <c r="Y1469" i="1"/>
  <c r="U1469" i="1"/>
  <c r="U1203" i="1"/>
  <c r="Y1203" i="1"/>
  <c r="Z1155" i="1"/>
  <c r="V1155" i="1"/>
  <c r="Z1113" i="1"/>
  <c r="V1113" i="1"/>
  <c r="Z1027" i="1"/>
  <c r="V1027" i="1"/>
  <c r="V1000" i="1"/>
  <c r="Z1000" i="1"/>
  <c r="Z810" i="1"/>
  <c r="V810" i="1"/>
  <c r="Y725" i="1"/>
  <c r="U725" i="1"/>
  <c r="Z1486" i="1"/>
  <c r="V1486" i="1"/>
  <c r="Z1470" i="1"/>
  <c r="V1470" i="1"/>
  <c r="V1361" i="1"/>
  <c r="Z1361" i="1"/>
  <c r="V1326" i="1"/>
  <c r="Z1326" i="1"/>
  <c r="Y1200" i="1"/>
  <c r="U1200" i="1"/>
  <c r="U1184" i="1"/>
  <c r="Y1184" i="1"/>
  <c r="Y1053" i="1"/>
  <c r="U1053" i="1"/>
  <c r="U763" i="1"/>
  <c r="Y763" i="1"/>
  <c r="V708" i="1"/>
  <c r="Z708" i="1"/>
  <c r="V1237" i="1"/>
  <c r="Z1237" i="1"/>
  <c r="V1221" i="1"/>
  <c r="Z1221" i="1"/>
  <c r="V1205" i="1"/>
  <c r="Z1205" i="1"/>
  <c r="Z1189" i="1"/>
  <c r="V1189" i="1"/>
  <c r="Z1173" i="1"/>
  <c r="V1173" i="1"/>
  <c r="Z1153" i="1"/>
  <c r="V1153" i="1"/>
  <c r="Z1042" i="1"/>
  <c r="V1042" i="1"/>
  <c r="Y1019" i="1"/>
  <c r="U1019" i="1"/>
  <c r="V996" i="1"/>
  <c r="Z996" i="1"/>
  <c r="V976" i="1"/>
  <c r="Z976" i="1"/>
  <c r="Z792" i="1"/>
  <c r="V792" i="1"/>
  <c r="Y772" i="1"/>
  <c r="U772" i="1"/>
  <c r="V709" i="1"/>
  <c r="Z709" i="1"/>
  <c r="Y689" i="1"/>
  <c r="U689" i="1"/>
  <c r="Z403" i="1"/>
  <c r="V403" i="1"/>
  <c r="Y343" i="1"/>
  <c r="U343" i="1"/>
  <c r="V1324" i="1"/>
  <c r="Z1324" i="1"/>
  <c r="Y1257" i="1"/>
  <c r="U1257" i="1"/>
  <c r="Z1242" i="1"/>
  <c r="V1242" i="1"/>
  <c r="Y1079" i="1"/>
  <c r="U1079" i="1"/>
  <c r="Y1043" i="1"/>
  <c r="U1043" i="1"/>
  <c r="Z1006" i="1"/>
  <c r="V1006" i="1"/>
  <c r="V985" i="1"/>
  <c r="Z985" i="1"/>
  <c r="Y710" i="1"/>
  <c r="U710" i="1"/>
  <c r="V440" i="1"/>
  <c r="Z440" i="1"/>
  <c r="Z408" i="1"/>
  <c r="V408" i="1"/>
  <c r="Z392" i="1"/>
  <c r="V392" i="1"/>
  <c r="U437" i="1"/>
  <c r="Y437" i="1"/>
  <c r="Y397" i="1"/>
  <c r="U397" i="1"/>
  <c r="Y365" i="1"/>
  <c r="U365" i="1"/>
  <c r="Z353" i="1"/>
  <c r="V353" i="1"/>
  <c r="Z337" i="1"/>
  <c r="V337" i="1"/>
  <c r="Z321" i="1"/>
  <c r="V321" i="1"/>
  <c r="V50" i="1"/>
  <c r="Z50" i="1"/>
  <c r="Z406" i="1"/>
  <c r="V406" i="1"/>
  <c r="Z390" i="1"/>
  <c r="V390" i="1"/>
  <c r="Z358" i="1"/>
  <c r="V358" i="1"/>
  <c r="V326" i="1"/>
  <c r="Z326" i="1"/>
  <c r="Z102" i="1"/>
  <c r="V102" i="1"/>
  <c r="U8" i="1"/>
  <c r="Y8" i="1"/>
  <c r="U56" i="1"/>
  <c r="Y56" i="1"/>
  <c r="U13" i="1"/>
  <c r="Y13" i="1"/>
  <c r="V2454" i="1"/>
  <c r="Z2454" i="1"/>
  <c r="U2430" i="1"/>
  <c r="Y2430" i="1"/>
  <c r="U2414" i="1"/>
  <c r="Y2414" i="1"/>
  <c r="Y1991" i="1"/>
  <c r="U1991" i="1"/>
  <c r="Y1956" i="1"/>
  <c r="U1956" i="1"/>
  <c r="Y1930" i="1"/>
  <c r="U1930" i="1"/>
  <c r="Y1894" i="1"/>
  <c r="U1894" i="1"/>
  <c r="Y1846" i="1"/>
  <c r="U1846" i="1"/>
  <c r="Y1775" i="1"/>
  <c r="U1775" i="1"/>
  <c r="U1724" i="1"/>
  <c r="Y1724" i="1"/>
  <c r="U1690" i="1"/>
  <c r="Y1690" i="1"/>
  <c r="Y1658" i="1"/>
  <c r="U1658" i="1"/>
  <c r="Y1626" i="1"/>
  <c r="U1626" i="1"/>
  <c r="Y2479" i="1"/>
  <c r="U2479" i="1"/>
  <c r="V2436" i="1"/>
  <c r="Z2436" i="1"/>
  <c r="U2320" i="1"/>
  <c r="Y2320" i="1"/>
  <c r="U2045" i="1"/>
  <c r="Y2045" i="1"/>
  <c r="Z2016" i="1"/>
  <c r="V2016" i="1"/>
  <c r="Y1935" i="1"/>
  <c r="U1935" i="1"/>
  <c r="Y1868" i="1"/>
  <c r="U1868" i="1"/>
  <c r="U1833" i="1"/>
  <c r="Y1833" i="1"/>
  <c r="U1713" i="1"/>
  <c r="Y1713" i="1"/>
  <c r="Y1679" i="1"/>
  <c r="U1679" i="1"/>
  <c r="Y1623" i="1"/>
  <c r="U1623" i="1"/>
  <c r="U2416" i="1"/>
  <c r="Y2416" i="1"/>
  <c r="U2348" i="1"/>
  <c r="Y2348" i="1"/>
  <c r="U2280" i="1"/>
  <c r="Y2280" i="1"/>
  <c r="Z2017" i="1"/>
  <c r="V2017" i="1"/>
  <c r="Z1825" i="1"/>
  <c r="V1825" i="1"/>
  <c r="V1714" i="1"/>
  <c r="Z1714" i="1"/>
  <c r="Z1680" i="1"/>
  <c r="V1680" i="1"/>
  <c r="Z1656" i="1"/>
  <c r="V1656" i="1"/>
  <c r="V1632" i="1"/>
  <c r="Z1632" i="1"/>
  <c r="V1531" i="1"/>
  <c r="Z1531" i="1"/>
  <c r="V1479" i="1"/>
  <c r="Z1479" i="1"/>
  <c r="Z1376" i="1"/>
  <c r="V1376" i="1"/>
  <c r="V2481" i="1"/>
  <c r="Z2481" i="1"/>
  <c r="U2438" i="1"/>
  <c r="Y2438" i="1"/>
  <c r="U2388" i="1"/>
  <c r="Y2388" i="1"/>
  <c r="Z2339" i="1"/>
  <c r="V2339" i="1"/>
  <c r="V2251" i="1"/>
  <c r="Z2251" i="1"/>
  <c r="Z2067" i="1"/>
  <c r="V2067" i="1"/>
  <c r="U1974" i="1"/>
  <c r="Y1974" i="1"/>
  <c r="Y1933" i="1"/>
  <c r="U1933" i="1"/>
  <c r="U1711" i="1"/>
  <c r="Y1711" i="1"/>
  <c r="U1677" i="1"/>
  <c r="Y1677" i="1"/>
  <c r="Y1645" i="1"/>
  <c r="U1645" i="1"/>
  <c r="Y1485" i="1"/>
  <c r="U1485" i="1"/>
  <c r="Z1175" i="1"/>
  <c r="V1175" i="1"/>
  <c r="Y1127" i="1"/>
  <c r="U1127" i="1"/>
  <c r="Y964" i="1"/>
  <c r="U964" i="1"/>
  <c r="Y835" i="1"/>
  <c r="U835" i="1"/>
  <c r="Y758" i="1"/>
  <c r="U758" i="1"/>
  <c r="Y742" i="1"/>
  <c r="U742" i="1"/>
  <c r="U672" i="1"/>
  <c r="Y672" i="1"/>
  <c r="U1458" i="1"/>
  <c r="Y1458" i="1"/>
  <c r="U1330" i="1"/>
  <c r="Y1330" i="1"/>
  <c r="Y1313" i="1"/>
  <c r="U1313" i="1"/>
  <c r="U1232" i="1"/>
  <c r="Y1232" i="1"/>
  <c r="Y991" i="1"/>
  <c r="U991" i="1"/>
  <c r="V759" i="1"/>
  <c r="Z759" i="1"/>
  <c r="V743" i="1"/>
  <c r="Z743" i="1"/>
  <c r="V1310" i="1"/>
  <c r="Z1310" i="1"/>
  <c r="Y1125" i="1"/>
  <c r="U1125" i="1"/>
  <c r="Z1078" i="1"/>
  <c r="V1078" i="1"/>
  <c r="Y1037" i="1"/>
  <c r="U1037" i="1"/>
  <c r="Y788" i="1"/>
  <c r="U788" i="1"/>
  <c r="U652" i="1"/>
  <c r="Y652" i="1"/>
  <c r="U455" i="1"/>
  <c r="Y455" i="1"/>
  <c r="U431" i="1"/>
  <c r="Y431" i="1"/>
  <c r="Y415" i="1"/>
  <c r="U415" i="1"/>
  <c r="Y391" i="1"/>
  <c r="U391" i="1"/>
  <c r="Z363" i="1"/>
  <c r="V363" i="1"/>
  <c r="Z347" i="1"/>
  <c r="V347" i="1"/>
  <c r="Z331" i="1"/>
  <c r="V331" i="1"/>
  <c r="Y1238" i="1"/>
  <c r="U1238" i="1"/>
  <c r="Z1226" i="1"/>
  <c r="V1226" i="1"/>
  <c r="V1210" i="1"/>
  <c r="Z1210" i="1"/>
  <c r="V1194" i="1"/>
  <c r="Z1194" i="1"/>
  <c r="Z1178" i="1"/>
  <c r="V1178" i="1"/>
  <c r="U980" i="1"/>
  <c r="Y980" i="1"/>
  <c r="V843" i="1"/>
  <c r="Z843" i="1"/>
  <c r="U777" i="1"/>
  <c r="Y777" i="1"/>
  <c r="Z765" i="1"/>
  <c r="V765" i="1"/>
  <c r="Y436" i="1"/>
  <c r="U436" i="1"/>
  <c r="U404" i="1"/>
  <c r="Y404" i="1"/>
  <c r="U372" i="1"/>
  <c r="Y372" i="1"/>
  <c r="U226" i="1"/>
  <c r="Y226" i="1"/>
  <c r="Z214" i="1"/>
  <c r="V214" i="1"/>
  <c r="Z409" i="1"/>
  <c r="V409" i="1"/>
  <c r="Y349" i="1"/>
  <c r="U349" i="1"/>
  <c r="Y333" i="1"/>
  <c r="U333" i="1"/>
  <c r="U252" i="1"/>
  <c r="Y252" i="1"/>
  <c r="U219" i="1"/>
  <c r="Y219" i="1"/>
  <c r="V42" i="1"/>
  <c r="Z42" i="1"/>
  <c r="Z15" i="1"/>
  <c r="V15" i="1"/>
  <c r="V454" i="1"/>
  <c r="Z454" i="1"/>
  <c r="V422" i="1"/>
  <c r="Z422" i="1"/>
  <c r="Z342" i="1"/>
  <c r="V342" i="1"/>
  <c r="U12" i="1"/>
  <c r="Y12" i="1"/>
  <c r="V191" i="1"/>
  <c r="Z191" i="1"/>
  <c r="V25" i="1"/>
  <c r="Z25" i="1"/>
  <c r="V2469" i="1"/>
  <c r="Z2469" i="1"/>
  <c r="Z2450" i="1"/>
  <c r="V2450" i="1"/>
  <c r="Z2430" i="1"/>
  <c r="V2430" i="1"/>
  <c r="V2414" i="1"/>
  <c r="Z2414" i="1"/>
  <c r="V2398" i="1"/>
  <c r="Z2398" i="1"/>
  <c r="V2378" i="1"/>
  <c r="Z2378" i="1"/>
  <c r="V2328" i="1"/>
  <c r="Z2328" i="1"/>
  <c r="U2274" i="1"/>
  <c r="Y2274" i="1"/>
  <c r="Z1922" i="1"/>
  <c r="V1922" i="1"/>
  <c r="Z1894" i="1"/>
  <c r="V1894" i="1"/>
  <c r="Z1854" i="1"/>
  <c r="V1854" i="1"/>
  <c r="V1827" i="1"/>
  <c r="Z1827" i="1"/>
  <c r="V1800" i="1"/>
  <c r="Z1800" i="1"/>
  <c r="Z1775" i="1"/>
  <c r="V1775" i="1"/>
  <c r="V1690" i="1"/>
  <c r="Z1690" i="1"/>
  <c r="Z1666" i="1"/>
  <c r="V1666" i="1"/>
  <c r="Z1642" i="1"/>
  <c r="V1642" i="1"/>
  <c r="Z1569" i="1"/>
  <c r="V1569" i="1"/>
  <c r="V2470" i="1"/>
  <c r="Z2470" i="1"/>
  <c r="U2455" i="1"/>
  <c r="Y2455" i="1"/>
  <c r="Y2436" i="1"/>
  <c r="U2436" i="1"/>
  <c r="U2403" i="1"/>
  <c r="Y2403" i="1"/>
  <c r="U2351" i="1"/>
  <c r="Y2351" i="1"/>
  <c r="Y2333" i="1"/>
  <c r="U2333" i="1"/>
  <c r="U2316" i="1"/>
  <c r="Y2316" i="1"/>
  <c r="U2117" i="1"/>
  <c r="Y2117" i="1"/>
  <c r="U2101" i="1"/>
  <c r="Y2101" i="1"/>
  <c r="U2039" i="1"/>
  <c r="Y2039" i="1"/>
  <c r="Y2016" i="1"/>
  <c r="U2016" i="1"/>
  <c r="Z1931" i="1"/>
  <c r="V1931" i="1"/>
  <c r="V1879" i="1"/>
  <c r="Z1879" i="1"/>
  <c r="V1837" i="1"/>
  <c r="Z1837" i="1"/>
  <c r="V1776" i="1"/>
  <c r="Z1776" i="1"/>
  <c r="V1667" i="1"/>
  <c r="Z1667" i="1"/>
  <c r="V1643" i="1"/>
  <c r="Z1643" i="1"/>
  <c r="V2471" i="1"/>
  <c r="Z2471" i="1"/>
  <c r="V2452" i="1"/>
  <c r="Z2452" i="1"/>
  <c r="Z2433" i="1"/>
  <c r="V2433" i="1"/>
  <c r="Z2416" i="1"/>
  <c r="V2416" i="1"/>
  <c r="U2395" i="1"/>
  <c r="Y2395" i="1"/>
  <c r="U2360" i="1"/>
  <c r="Y2360" i="1"/>
  <c r="V2348" i="1"/>
  <c r="Z2348" i="1"/>
  <c r="Z2330" i="1"/>
  <c r="V2330" i="1"/>
  <c r="V2055" i="1"/>
  <c r="Z2055" i="1"/>
  <c r="Z1950" i="1"/>
  <c r="V1950" i="1"/>
  <c r="Z1924" i="1"/>
  <c r="V1924" i="1"/>
  <c r="Y1856" i="1"/>
  <c r="U1856" i="1"/>
  <c r="U1802" i="1"/>
  <c r="Y1802" i="1"/>
  <c r="Y1777" i="1"/>
  <c r="U1777" i="1"/>
  <c r="U1692" i="1"/>
  <c r="Y1692" i="1"/>
  <c r="U1668" i="1"/>
  <c r="Y1668" i="1"/>
  <c r="U1644" i="1"/>
  <c r="Y1644" i="1"/>
  <c r="U1628" i="1"/>
  <c r="Y1628" i="1"/>
  <c r="U2473" i="1"/>
  <c r="Y2473" i="1"/>
  <c r="Y2453" i="1"/>
  <c r="U2453" i="1"/>
  <c r="Z2438" i="1"/>
  <c r="V2438" i="1"/>
  <c r="Z2421" i="1"/>
  <c r="V2421" i="1"/>
  <c r="Z2388" i="1"/>
  <c r="V2388" i="1"/>
  <c r="V2369" i="1"/>
  <c r="Z2369" i="1"/>
  <c r="Z2335" i="1"/>
  <c r="V2335" i="1"/>
  <c r="U2127" i="1"/>
  <c r="Y2127" i="1"/>
  <c r="Z1995" i="1"/>
  <c r="V1995" i="1"/>
  <c r="Z1951" i="1"/>
  <c r="V1951" i="1"/>
  <c r="Z1933" i="1"/>
  <c r="V1933" i="1"/>
  <c r="Z1906" i="1"/>
  <c r="V1906" i="1"/>
  <c r="Z1881" i="1"/>
  <c r="V1881" i="1"/>
  <c r="V1839" i="1"/>
  <c r="Z1839" i="1"/>
  <c r="Z1811" i="1"/>
  <c r="V1811" i="1"/>
  <c r="V1786" i="1"/>
  <c r="Z1786" i="1"/>
  <c r="Z1727" i="1"/>
  <c r="V1727" i="1"/>
  <c r="Z1701" i="1"/>
  <c r="V1701" i="1"/>
  <c r="V1677" i="1"/>
  <c r="Z1677" i="1"/>
  <c r="Z1629" i="1"/>
  <c r="V1629" i="1"/>
  <c r="Y1516" i="1"/>
  <c r="U1516" i="1"/>
  <c r="V1485" i="1"/>
  <c r="Z1485" i="1"/>
  <c r="V1469" i="1"/>
  <c r="Z1469" i="1"/>
  <c r="Y1199" i="1"/>
  <c r="U1199" i="1"/>
  <c r="U1183" i="1"/>
  <c r="Y1183" i="1"/>
  <c r="Y1052" i="1"/>
  <c r="U1052" i="1"/>
  <c r="V835" i="1"/>
  <c r="Z835" i="1"/>
  <c r="Y770" i="1"/>
  <c r="U770" i="1"/>
  <c r="Y738" i="1"/>
  <c r="U738" i="1"/>
  <c r="U684" i="1"/>
  <c r="Y684" i="1"/>
  <c r="U668" i="1"/>
  <c r="Y668" i="1"/>
  <c r="U650" i="1"/>
  <c r="Y650" i="1"/>
  <c r="Y1486" i="1"/>
  <c r="U1486" i="1"/>
  <c r="Y1470" i="1"/>
  <c r="U1470" i="1"/>
  <c r="Z1357" i="1"/>
  <c r="V1357" i="1"/>
  <c r="V1322" i="1"/>
  <c r="Z1322" i="1"/>
  <c r="V1224" i="1"/>
  <c r="Z1224" i="1"/>
  <c r="Y1212" i="1"/>
  <c r="U1212" i="1"/>
  <c r="Y1180" i="1"/>
  <c r="U1180" i="1"/>
  <c r="Z1156" i="1"/>
  <c r="V1156" i="1"/>
  <c r="V897" i="1"/>
  <c r="Z897" i="1"/>
  <c r="Z803" i="1"/>
  <c r="V803" i="1"/>
  <c r="U791" i="1"/>
  <c r="Y791" i="1"/>
  <c r="Z787" i="1"/>
  <c r="V787" i="1"/>
  <c r="Y775" i="1"/>
  <c r="U775" i="1"/>
  <c r="Y743" i="1"/>
  <c r="U743" i="1"/>
  <c r="Z739" i="1"/>
  <c r="V739" i="1"/>
  <c r="U708" i="1"/>
  <c r="Y708" i="1"/>
  <c r="Y673" i="1"/>
  <c r="U673" i="1"/>
  <c r="U1354" i="1"/>
  <c r="Y1354" i="1"/>
  <c r="Z1305" i="1"/>
  <c r="V1305" i="1"/>
  <c r="V1268" i="1"/>
  <c r="Z1268" i="1"/>
  <c r="V1233" i="1"/>
  <c r="Z1233" i="1"/>
  <c r="Z1185" i="1"/>
  <c r="V1185" i="1"/>
  <c r="U1165" i="1"/>
  <c r="Y1165" i="1"/>
  <c r="Z1125" i="1"/>
  <c r="V1125" i="1"/>
  <c r="Z1019" i="1"/>
  <c r="V1019" i="1"/>
  <c r="Y816" i="1"/>
  <c r="U816" i="1"/>
  <c r="V772" i="1"/>
  <c r="Z772" i="1"/>
  <c r="V740" i="1"/>
  <c r="Z740" i="1"/>
  <c r="Y682" i="1"/>
  <c r="U682" i="1"/>
  <c r="V670" i="1"/>
  <c r="Z670" i="1"/>
  <c r="Z455" i="1"/>
  <c r="V455" i="1"/>
  <c r="Z431" i="1"/>
  <c r="V431" i="1"/>
  <c r="Y411" i="1"/>
  <c r="U411" i="1"/>
  <c r="Y387" i="1"/>
  <c r="U387" i="1"/>
  <c r="Y355" i="1"/>
  <c r="U355" i="1"/>
  <c r="Z343" i="1"/>
  <c r="V343" i="1"/>
  <c r="U250" i="1"/>
  <c r="Y250" i="1"/>
  <c r="Y1315" i="1"/>
  <c r="U1315" i="1"/>
  <c r="Y1253" i="1"/>
  <c r="U1253" i="1"/>
  <c r="Z1238" i="1"/>
  <c r="V1238" i="1"/>
  <c r="U1218" i="1"/>
  <c r="Y1218" i="1"/>
  <c r="Z1206" i="1"/>
  <c r="V1206" i="1"/>
  <c r="Y1186" i="1"/>
  <c r="U1186" i="1"/>
  <c r="Z1174" i="1"/>
  <c r="V1174" i="1"/>
  <c r="Z1154" i="1"/>
  <c r="V1154" i="1"/>
  <c r="Z1079" i="1"/>
  <c r="V1079" i="1"/>
  <c r="Z1043" i="1"/>
  <c r="V1043" i="1"/>
  <c r="U993" i="1"/>
  <c r="Y993" i="1"/>
  <c r="V980" i="1"/>
  <c r="Z980" i="1"/>
  <c r="V968" i="1"/>
  <c r="Z968" i="1"/>
  <c r="Y851" i="1"/>
  <c r="U851" i="1"/>
  <c r="Y834" i="1"/>
  <c r="U834" i="1"/>
  <c r="U789" i="1"/>
  <c r="Y789" i="1"/>
  <c r="V777" i="1"/>
  <c r="Z777" i="1"/>
  <c r="U757" i="1"/>
  <c r="Y757" i="1"/>
  <c r="U724" i="1"/>
  <c r="Y724" i="1"/>
  <c r="V710" i="1"/>
  <c r="Z710" i="1"/>
  <c r="Y456" i="1"/>
  <c r="U456" i="1"/>
  <c r="Y400" i="1"/>
  <c r="U400" i="1"/>
  <c r="Z388" i="1"/>
  <c r="V388" i="1"/>
  <c r="Y368" i="1"/>
  <c r="U368" i="1"/>
  <c r="U255" i="1"/>
  <c r="Y255" i="1"/>
  <c r="Y188" i="1"/>
  <c r="U188" i="1"/>
  <c r="U621" i="1"/>
  <c r="Y621" i="1"/>
  <c r="U433" i="1"/>
  <c r="Y433" i="1"/>
  <c r="Z397" i="1"/>
  <c r="V397" i="1"/>
  <c r="Z365" i="1"/>
  <c r="V365" i="1"/>
  <c r="Z333" i="1"/>
  <c r="V333" i="1"/>
  <c r="U248" i="1"/>
  <c r="Y248" i="1"/>
  <c r="Z177" i="1"/>
  <c r="V177" i="1"/>
  <c r="U58" i="1"/>
  <c r="Y58" i="1"/>
  <c r="V450" i="1"/>
  <c r="Z450" i="1"/>
  <c r="U406" i="1"/>
  <c r="Y406" i="1"/>
  <c r="Z370" i="1"/>
  <c r="V370" i="1"/>
  <c r="U358" i="1"/>
  <c r="Y358" i="1"/>
  <c r="V322" i="1"/>
  <c r="Z322" i="1"/>
  <c r="U253" i="1"/>
  <c r="Y253" i="1"/>
  <c r="U52" i="1"/>
  <c r="Y52" i="1"/>
  <c r="Z13" i="1"/>
  <c r="V13" i="1"/>
  <c r="U100" i="1"/>
  <c r="Y100" i="1"/>
  <c r="Z53" i="1"/>
  <c r="V53" i="1"/>
  <c r="Z2474" i="1"/>
  <c r="V2474" i="1"/>
  <c r="Y2450" i="1"/>
  <c r="U2450" i="1"/>
  <c r="U2378" i="1"/>
  <c r="Y2378" i="1"/>
  <c r="V2332" i="1"/>
  <c r="Z2332" i="1"/>
  <c r="Z2013" i="1"/>
  <c r="V2013" i="1"/>
  <c r="Y1938" i="1"/>
  <c r="U1938" i="1"/>
  <c r="Y1854" i="1"/>
  <c r="U1854" i="1"/>
  <c r="Y1783" i="1"/>
  <c r="U1783" i="1"/>
  <c r="U1674" i="1"/>
  <c r="Y1674" i="1"/>
  <c r="Y1642" i="1"/>
  <c r="U1642" i="1"/>
  <c r="Y1569" i="1"/>
  <c r="U1569" i="1"/>
  <c r="U2442" i="1"/>
  <c r="Y2442" i="1"/>
  <c r="V2419" i="1"/>
  <c r="Z2419" i="1"/>
  <c r="Z2403" i="1"/>
  <c r="V2403" i="1"/>
  <c r="U2337" i="1"/>
  <c r="Y2337" i="1"/>
  <c r="Z2101" i="1"/>
  <c r="V2101" i="1"/>
  <c r="U2027" i="1"/>
  <c r="Y2027" i="1"/>
  <c r="Y1943" i="1"/>
  <c r="U1943" i="1"/>
  <c r="Y1919" i="1"/>
  <c r="U1919" i="1"/>
  <c r="Y1851" i="1"/>
  <c r="U1851" i="1"/>
  <c r="Y1816" i="1"/>
  <c r="U1816" i="1"/>
  <c r="U1780" i="1"/>
  <c r="Y1780" i="1"/>
  <c r="U1729" i="1"/>
  <c r="Y1729" i="1"/>
  <c r="U1695" i="1"/>
  <c r="Y1695" i="1"/>
  <c r="Y1663" i="1"/>
  <c r="U1663" i="1"/>
  <c r="Z2456" i="1"/>
  <c r="V2456" i="1"/>
  <c r="Z2334" i="1"/>
  <c r="V2334" i="1"/>
  <c r="U2055" i="1"/>
  <c r="Y2055" i="1"/>
  <c r="Y1932" i="1"/>
  <c r="U1932" i="1"/>
  <c r="Z1884" i="1"/>
  <c r="V1884" i="1"/>
  <c r="Z1789" i="1"/>
  <c r="V1789" i="1"/>
  <c r="Z1688" i="1"/>
  <c r="V1688" i="1"/>
  <c r="Z2444" i="1"/>
  <c r="V2444" i="1"/>
  <c r="Y2421" i="1"/>
  <c r="U2421" i="1"/>
  <c r="Z2373" i="1"/>
  <c r="V2373" i="1"/>
  <c r="Y2353" i="1"/>
  <c r="U2353" i="1"/>
  <c r="V2306" i="1"/>
  <c r="Z2306" i="1"/>
  <c r="Z2273" i="1"/>
  <c r="V2273" i="1"/>
  <c r="Y2165" i="1"/>
  <c r="U2165" i="1"/>
  <c r="Z2018" i="1"/>
  <c r="V2018" i="1"/>
  <c r="Y1951" i="1"/>
  <c r="U1951" i="1"/>
  <c r="Y1914" i="1"/>
  <c r="U1914" i="1"/>
  <c r="Y1889" i="1"/>
  <c r="U1889" i="1"/>
  <c r="Y1811" i="1"/>
  <c r="U1811" i="1"/>
  <c r="U1701" i="1"/>
  <c r="Y1701" i="1"/>
  <c r="Y1669" i="1"/>
  <c r="U1669" i="1"/>
  <c r="U1572" i="1"/>
  <c r="Y1572" i="1"/>
  <c r="Y1468" i="1"/>
  <c r="U1468" i="1"/>
  <c r="V1544" i="1"/>
  <c r="Z1544" i="1"/>
  <c r="V1524" i="1"/>
  <c r="Z1524" i="1"/>
  <c r="U1270" i="1"/>
  <c r="Y1270" i="1"/>
  <c r="Z1191" i="1"/>
  <c r="V1191" i="1"/>
  <c r="Y1057" i="1"/>
  <c r="U1057" i="1"/>
  <c r="Y774" i="1"/>
  <c r="U774" i="1"/>
  <c r="V729" i="1"/>
  <c r="Z729" i="1"/>
  <c r="U1545" i="1"/>
  <c r="Y1545" i="1"/>
  <c r="Z1345" i="1"/>
  <c r="V1345" i="1"/>
  <c r="V1228" i="1"/>
  <c r="Z1228" i="1"/>
  <c r="Z1212" i="1"/>
  <c r="V1212" i="1"/>
  <c r="Y1168" i="1"/>
  <c r="U1168" i="1"/>
  <c r="Y1124" i="1"/>
  <c r="U1124" i="1"/>
  <c r="Y1106" i="1"/>
  <c r="U1106" i="1"/>
  <c r="U953" i="1"/>
  <c r="Y953" i="1"/>
  <c r="V791" i="1"/>
  <c r="Z791" i="1"/>
  <c r="Z656" i="1"/>
  <c r="V656" i="1"/>
  <c r="Y1323" i="1"/>
  <c r="U1323" i="1"/>
  <c r="U1297" i="1"/>
  <c r="Y1297" i="1"/>
  <c r="Y1268" i="1"/>
  <c r="U1268" i="1"/>
  <c r="Y1217" i="1"/>
  <c r="U1217" i="1"/>
  <c r="Y1201" i="1"/>
  <c r="U1201" i="1"/>
  <c r="Z1094" i="1"/>
  <c r="V1094" i="1"/>
  <c r="Y992" i="1"/>
  <c r="U992" i="1"/>
  <c r="U833" i="1"/>
  <c r="Y833" i="1"/>
  <c r="V776" i="1"/>
  <c r="Z776" i="1"/>
  <c r="V760" i="1"/>
  <c r="Z760" i="1"/>
  <c r="Y740" i="1"/>
  <c r="U740" i="1"/>
  <c r="Y670" i="1"/>
  <c r="U670" i="1"/>
  <c r="Z443" i="1"/>
  <c r="V443" i="1"/>
  <c r="Z395" i="1"/>
  <c r="V395" i="1"/>
  <c r="Y359" i="1"/>
  <c r="U359" i="1"/>
  <c r="Y1222" i="1"/>
  <c r="U1222" i="1"/>
  <c r="U1206" i="1"/>
  <c r="Y1206" i="1"/>
  <c r="Y1190" i="1"/>
  <c r="U1190" i="1"/>
  <c r="Y1174" i="1"/>
  <c r="U1174" i="1"/>
  <c r="Y1154" i="1"/>
  <c r="U1154" i="1"/>
  <c r="Y968" i="1"/>
  <c r="U968" i="1"/>
  <c r="U870" i="1"/>
  <c r="Y870" i="1"/>
  <c r="U761" i="1"/>
  <c r="Y761" i="1"/>
  <c r="U728" i="1"/>
  <c r="Y728" i="1"/>
  <c r="U388" i="1"/>
  <c r="Y388" i="1"/>
  <c r="V328" i="1"/>
  <c r="Z328" i="1"/>
  <c r="U259" i="1"/>
  <c r="Y259" i="1"/>
  <c r="Z247" i="1"/>
  <c r="V247" i="1"/>
  <c r="Y405" i="1"/>
  <c r="U405" i="1"/>
  <c r="Z369" i="1"/>
  <c r="V369" i="1"/>
  <c r="Z256" i="1"/>
  <c r="V256" i="1"/>
  <c r="Z205" i="1"/>
  <c r="V205" i="1"/>
  <c r="U177" i="1"/>
  <c r="Y177" i="1"/>
  <c r="V101" i="1"/>
  <c r="Z101" i="1"/>
  <c r="U11" i="1"/>
  <c r="Y11" i="1"/>
  <c r="U410" i="1"/>
  <c r="Y410" i="1"/>
  <c r="U394" i="1"/>
  <c r="Y394" i="1"/>
  <c r="U362" i="1"/>
  <c r="Y362" i="1"/>
  <c r="U346" i="1"/>
  <c r="Y346" i="1"/>
  <c r="U330" i="1"/>
  <c r="Y330" i="1"/>
  <c r="V253" i="1"/>
  <c r="Z253" i="1"/>
  <c r="Z103" i="1"/>
  <c r="V103" i="1"/>
  <c r="U53" i="1"/>
  <c r="Y53" i="1"/>
  <c r="U2092" i="1"/>
  <c r="Y2092" i="1"/>
  <c r="Y2048" i="1"/>
  <c r="U2048" i="1"/>
  <c r="Z1967" i="1"/>
  <c r="V1967" i="1"/>
  <c r="Z1938" i="1"/>
  <c r="V1938" i="1"/>
  <c r="Z1846" i="1"/>
  <c r="V1846" i="1"/>
  <c r="V1792" i="1"/>
  <c r="Z1792" i="1"/>
  <c r="V1759" i="1"/>
  <c r="Z1759" i="1"/>
  <c r="V1724" i="1"/>
  <c r="Z1724" i="1"/>
  <c r="V1698" i="1"/>
  <c r="Z1698" i="1"/>
  <c r="V1674" i="1"/>
  <c r="Z1674" i="1"/>
  <c r="Z1650" i="1"/>
  <c r="V1650" i="1"/>
  <c r="Z1626" i="1"/>
  <c r="V1626" i="1"/>
  <c r="V1598" i="1"/>
  <c r="Z1598" i="1"/>
  <c r="Y2475" i="1"/>
  <c r="U2475" i="1"/>
  <c r="V2431" i="1"/>
  <c r="Z2431" i="1"/>
  <c r="Z2379" i="1"/>
  <c r="V2379" i="1"/>
  <c r="Z1949" i="1"/>
  <c r="V1949" i="1"/>
  <c r="Z1923" i="1"/>
  <c r="V1923" i="1"/>
  <c r="Z1896" i="1"/>
  <c r="V1896" i="1"/>
  <c r="Z1820" i="1"/>
  <c r="V1820" i="1"/>
  <c r="Z1725" i="1"/>
  <c r="V1725" i="1"/>
  <c r="V1683" i="1"/>
  <c r="Z1683" i="1"/>
  <c r="V1659" i="1"/>
  <c r="Z1659" i="1"/>
  <c r="V1635" i="1"/>
  <c r="Z1635" i="1"/>
  <c r="V2380" i="1"/>
  <c r="Z2380" i="1"/>
  <c r="Z2280" i="1"/>
  <c r="V2280" i="1"/>
  <c r="Y2126" i="1"/>
  <c r="U2126" i="1"/>
  <c r="Z1932" i="1"/>
  <c r="V1932" i="1"/>
  <c r="Y1905" i="1"/>
  <c r="U1905" i="1"/>
  <c r="Y1865" i="1"/>
  <c r="U1865" i="1"/>
  <c r="U1810" i="1"/>
  <c r="Y1810" i="1"/>
  <c r="Y1785" i="1"/>
  <c r="U1785" i="1"/>
  <c r="U1753" i="1"/>
  <c r="Y1753" i="1"/>
  <c r="U1718" i="1"/>
  <c r="Y1718" i="1"/>
  <c r="U1652" i="1"/>
  <c r="Y1652" i="1"/>
  <c r="U1620" i="1"/>
  <c r="Y1620" i="1"/>
  <c r="U1596" i="1"/>
  <c r="Y1596" i="1"/>
  <c r="U1483" i="1"/>
  <c r="Y1483" i="1"/>
  <c r="U1455" i="1"/>
  <c r="Y1455" i="1"/>
  <c r="Y1405" i="1"/>
  <c r="U1405" i="1"/>
  <c r="U2434" i="1"/>
  <c r="Y2434" i="1"/>
  <c r="V2353" i="1"/>
  <c r="Z2353" i="1"/>
  <c r="Z1961" i="1"/>
  <c r="V1961" i="1"/>
  <c r="Z1925" i="1"/>
  <c r="V1925" i="1"/>
  <c r="Z1898" i="1"/>
  <c r="V1898" i="1"/>
  <c r="Z1866" i="1"/>
  <c r="V1866" i="1"/>
  <c r="Z1803" i="1"/>
  <c r="V1803" i="1"/>
  <c r="Z1711" i="1"/>
  <c r="V1711" i="1"/>
  <c r="V1685" i="1"/>
  <c r="Z1685" i="1"/>
  <c r="V1669" i="1"/>
  <c r="Z1669" i="1"/>
  <c r="Z1484" i="1"/>
  <c r="V1484" i="1"/>
  <c r="U1481" i="1"/>
  <c r="Y1481" i="1"/>
  <c r="U1364" i="1"/>
  <c r="Y1364" i="1"/>
  <c r="Y1329" i="1"/>
  <c r="U1329" i="1"/>
  <c r="U1312" i="1"/>
  <c r="Y1312" i="1"/>
  <c r="Z1270" i="1"/>
  <c r="V1270" i="1"/>
  <c r="Y1231" i="1"/>
  <c r="U1231" i="1"/>
  <c r="Z1057" i="1"/>
  <c r="V1057" i="1"/>
  <c r="Y960" i="1"/>
  <c r="U960" i="1"/>
  <c r="U896" i="1"/>
  <c r="Y896" i="1"/>
  <c r="V883" i="1"/>
  <c r="Z883" i="1"/>
  <c r="Y802" i="1"/>
  <c r="U802" i="1"/>
  <c r="Y754" i="1"/>
  <c r="U754" i="1"/>
  <c r="U1361" i="1"/>
  <c r="Y1361" i="1"/>
  <c r="Y1345" i="1"/>
  <c r="U1345" i="1"/>
  <c r="U1326" i="1"/>
  <c r="Y1326" i="1"/>
  <c r="Z1240" i="1"/>
  <c r="V1240" i="1"/>
  <c r="Y1228" i="1"/>
  <c r="U1228" i="1"/>
  <c r="Y1196" i="1"/>
  <c r="U1196" i="1"/>
  <c r="Z1176" i="1"/>
  <c r="V1176" i="1"/>
  <c r="U1164" i="1"/>
  <c r="Y1164" i="1"/>
  <c r="Z1114" i="1"/>
  <c r="V1114" i="1"/>
  <c r="Z1045" i="1"/>
  <c r="V1045" i="1"/>
  <c r="V1004" i="1"/>
  <c r="Z1004" i="1"/>
  <c r="Z832" i="1"/>
  <c r="V832" i="1"/>
  <c r="Z771" i="1"/>
  <c r="V771" i="1"/>
  <c r="Y759" i="1"/>
  <c r="U759" i="1"/>
  <c r="V669" i="1"/>
  <c r="Z669" i="1"/>
  <c r="U656" i="1"/>
  <c r="Y656" i="1"/>
  <c r="Y1335" i="1"/>
  <c r="U1335" i="1"/>
  <c r="Z1323" i="1"/>
  <c r="V1323" i="1"/>
  <c r="V1297" i="1"/>
  <c r="Z1297" i="1"/>
  <c r="Z1252" i="1"/>
  <c r="V1252" i="1"/>
  <c r="U1229" i="1"/>
  <c r="Y1229" i="1"/>
  <c r="V1217" i="1"/>
  <c r="Z1217" i="1"/>
  <c r="Y1213" i="1"/>
  <c r="U1213" i="1"/>
  <c r="V1201" i="1"/>
  <c r="Z1201" i="1"/>
  <c r="U1181" i="1"/>
  <c r="Y1181" i="1"/>
  <c r="Z1054" i="1"/>
  <c r="V1054" i="1"/>
  <c r="Z1037" i="1"/>
  <c r="V1037" i="1"/>
  <c r="V992" i="1"/>
  <c r="Z992" i="1"/>
  <c r="V833" i="1"/>
  <c r="Z833" i="1"/>
  <c r="Y800" i="1"/>
  <c r="U800" i="1"/>
  <c r="Z788" i="1"/>
  <c r="V788" i="1"/>
  <c r="U768" i="1"/>
  <c r="Y768" i="1"/>
  <c r="V756" i="1"/>
  <c r="Z756" i="1"/>
  <c r="Y736" i="1"/>
  <c r="U736" i="1"/>
  <c r="V689" i="1"/>
  <c r="Z689" i="1"/>
  <c r="V652" i="1"/>
  <c r="Z652" i="1"/>
  <c r="U451" i="1"/>
  <c r="Y451" i="1"/>
  <c r="Z415" i="1"/>
  <c r="V415" i="1"/>
  <c r="Z391" i="1"/>
  <c r="V391" i="1"/>
  <c r="Y371" i="1"/>
  <c r="U371" i="1"/>
  <c r="Z359" i="1"/>
  <c r="V359" i="1"/>
  <c r="V1257" i="1"/>
  <c r="Z1257" i="1"/>
  <c r="Y1234" i="1"/>
  <c r="U1234" i="1"/>
  <c r="Z1222" i="1"/>
  <c r="V1222" i="1"/>
  <c r="Y1202" i="1"/>
  <c r="U1202" i="1"/>
  <c r="Z1190" i="1"/>
  <c r="V1190" i="1"/>
  <c r="Y1126" i="1"/>
  <c r="U1126" i="1"/>
  <c r="V870" i="1"/>
  <c r="Z870" i="1"/>
  <c r="U773" i="1"/>
  <c r="Y773" i="1"/>
  <c r="V761" i="1"/>
  <c r="Z761" i="1"/>
  <c r="U741" i="1"/>
  <c r="Y741" i="1"/>
  <c r="Z728" i="1"/>
  <c r="V728" i="1"/>
  <c r="U690" i="1"/>
  <c r="Y690" i="1"/>
  <c r="V436" i="1"/>
  <c r="Z436" i="1"/>
  <c r="Z404" i="1"/>
  <c r="V404" i="1"/>
  <c r="U384" i="1"/>
  <c r="Y384" i="1"/>
  <c r="Z372" i="1"/>
  <c r="V372" i="1"/>
  <c r="Y352" i="1"/>
  <c r="U352" i="1"/>
  <c r="Y336" i="1"/>
  <c r="U336" i="1"/>
  <c r="V259" i="1"/>
  <c r="Z259" i="1"/>
  <c r="Z226" i="1"/>
  <c r="V226" i="1"/>
  <c r="Z437" i="1"/>
  <c r="V437" i="1"/>
  <c r="Z405" i="1"/>
  <c r="V405" i="1"/>
  <c r="Y361" i="1"/>
  <c r="U361" i="1"/>
  <c r="Z349" i="1"/>
  <c r="V349" i="1"/>
  <c r="Y329" i="1"/>
  <c r="U329" i="1"/>
  <c r="U296" i="1"/>
  <c r="Y296" i="1"/>
  <c r="U264" i="1"/>
  <c r="Y264" i="1"/>
  <c r="V252" i="1"/>
  <c r="Z252" i="1"/>
  <c r="Z219" i="1"/>
  <c r="V219" i="1"/>
  <c r="Z11" i="1"/>
  <c r="V11" i="1"/>
  <c r="V631" i="1"/>
  <c r="Z631" i="1"/>
  <c r="U454" i="1"/>
  <c r="Y454" i="1"/>
  <c r="V434" i="1"/>
  <c r="Z434" i="1"/>
  <c r="U422" i="1"/>
  <c r="Y422" i="1"/>
  <c r="Z402" i="1"/>
  <c r="V402" i="1"/>
  <c r="U390" i="1"/>
  <c r="Y390" i="1"/>
  <c r="V354" i="1"/>
  <c r="Z354" i="1"/>
  <c r="U342" i="1"/>
  <c r="Y342" i="1"/>
  <c r="V338" i="1"/>
  <c r="Z338" i="1"/>
  <c r="U326" i="1"/>
  <c r="Y326" i="1"/>
  <c r="V186" i="1"/>
  <c r="Z186" i="1"/>
  <c r="U102" i="1"/>
  <c r="Y102" i="1"/>
  <c r="Z20" i="1"/>
  <c r="V20" i="1"/>
  <c r="Z8" i="1"/>
  <c r="V8" i="1"/>
  <c r="V56" i="1"/>
  <c r="Z56" i="1"/>
  <c r="Y180" i="1"/>
  <c r="U180" i="1"/>
  <c r="U49" i="1"/>
  <c r="Y49" i="1"/>
  <c r="V2435" i="1"/>
  <c r="Z2435" i="1"/>
  <c r="V2418" i="1"/>
  <c r="Z2418" i="1"/>
  <c r="U2398" i="1"/>
  <c r="Y2398" i="1"/>
  <c r="V2038" i="1"/>
  <c r="Z2038" i="1"/>
  <c r="U1827" i="1"/>
  <c r="Y1827" i="1"/>
  <c r="U1792" i="1"/>
  <c r="Y1792" i="1"/>
  <c r="U1751" i="1"/>
  <c r="Y1751" i="1"/>
  <c r="U1682" i="1"/>
  <c r="Y1682" i="1"/>
  <c r="Y1650" i="1"/>
  <c r="U1650" i="1"/>
  <c r="Z2475" i="1"/>
  <c r="V2475" i="1"/>
  <c r="Z2455" i="1"/>
  <c r="V2455" i="1"/>
  <c r="Y2407" i="1"/>
  <c r="U2407" i="1"/>
  <c r="Z2333" i="1"/>
  <c r="V2333" i="1"/>
  <c r="V2316" i="1"/>
  <c r="Z2316" i="1"/>
  <c r="Y1984" i="1"/>
  <c r="U1984" i="1"/>
  <c r="Y1908" i="1"/>
  <c r="U1908" i="1"/>
  <c r="U1703" i="1"/>
  <c r="Y1703" i="1"/>
  <c r="Y1671" i="1"/>
  <c r="U1671" i="1"/>
  <c r="Y1639" i="1"/>
  <c r="U1639" i="1"/>
  <c r="Y1607" i="1"/>
  <c r="U1607" i="1"/>
  <c r="Y2471" i="1"/>
  <c r="U2471" i="1"/>
  <c r="Z2420" i="1"/>
  <c r="V2420" i="1"/>
  <c r="V2404" i="1"/>
  <c r="Z2404" i="1"/>
  <c r="U2380" i="1"/>
  <c r="Y2380" i="1"/>
  <c r="Y1993" i="1"/>
  <c r="U1993" i="1"/>
  <c r="U1950" i="1"/>
  <c r="Y1950" i="1"/>
  <c r="Y1913" i="1"/>
  <c r="U1913" i="1"/>
  <c r="Z1869" i="1"/>
  <c r="V1869" i="1"/>
  <c r="V1806" i="1"/>
  <c r="Z1806" i="1"/>
  <c r="Z1664" i="1"/>
  <c r="V1664" i="1"/>
  <c r="V1624" i="1"/>
  <c r="Z1624" i="1"/>
  <c r="V1385" i="1"/>
  <c r="Z1385" i="1"/>
  <c r="Y2477" i="1"/>
  <c r="U2477" i="1"/>
  <c r="V2425" i="1"/>
  <c r="Z2425" i="1"/>
  <c r="Z2357" i="1"/>
  <c r="V2357" i="1"/>
  <c r="U2335" i="1"/>
  <c r="Y2335" i="1"/>
  <c r="Z2153" i="1"/>
  <c r="V2153" i="1"/>
  <c r="Y1961" i="1"/>
  <c r="U1961" i="1"/>
  <c r="Y1925" i="1"/>
  <c r="U1925" i="1"/>
  <c r="Y1898" i="1"/>
  <c r="U1898" i="1"/>
  <c r="Y1866" i="1"/>
  <c r="U1866" i="1"/>
  <c r="Y1839" i="1"/>
  <c r="U1839" i="1"/>
  <c r="Y1803" i="1"/>
  <c r="U1803" i="1"/>
  <c r="U1727" i="1"/>
  <c r="Y1727" i="1"/>
  <c r="U1693" i="1"/>
  <c r="Y1693" i="1"/>
  <c r="U1661" i="1"/>
  <c r="Y1661" i="1"/>
  <c r="Y1629" i="1"/>
  <c r="U1629" i="1"/>
  <c r="U1492" i="1"/>
  <c r="Y1492" i="1"/>
  <c r="Y1520" i="1"/>
  <c r="U1520" i="1"/>
  <c r="V1223" i="1"/>
  <c r="Z1223" i="1"/>
  <c r="V1207" i="1"/>
  <c r="Z1207" i="1"/>
  <c r="U1187" i="1"/>
  <c r="Y1187" i="1"/>
  <c r="U883" i="1"/>
  <c r="Y883" i="1"/>
  <c r="Y806" i="1"/>
  <c r="U806" i="1"/>
  <c r="V762" i="1"/>
  <c r="Z762" i="1"/>
  <c r="U1490" i="1"/>
  <c r="Y1490" i="1"/>
  <c r="U1216" i="1"/>
  <c r="Y1216" i="1"/>
  <c r="Z1196" i="1"/>
  <c r="V1196" i="1"/>
  <c r="Z1180" i="1"/>
  <c r="V1180" i="1"/>
  <c r="Z1164" i="1"/>
  <c r="V1164" i="1"/>
  <c r="Y921" i="1"/>
  <c r="U921" i="1"/>
  <c r="V775" i="1"/>
  <c r="Z775" i="1"/>
  <c r="V673" i="1"/>
  <c r="Z673" i="1"/>
  <c r="V1346" i="1"/>
  <c r="Z1346" i="1"/>
  <c r="U1305" i="1"/>
  <c r="Y1305" i="1"/>
  <c r="U1252" i="1"/>
  <c r="Y1252" i="1"/>
  <c r="Y1233" i="1"/>
  <c r="U1233" i="1"/>
  <c r="Y1185" i="1"/>
  <c r="U1185" i="1"/>
  <c r="Y1054" i="1"/>
  <c r="U1054" i="1"/>
  <c r="Z918" i="1"/>
  <c r="V918" i="1"/>
  <c r="V837" i="1"/>
  <c r="Z837" i="1"/>
  <c r="Y756" i="1"/>
  <c r="U756" i="1"/>
  <c r="Z435" i="1"/>
  <c r="V435" i="1"/>
  <c r="V923" i="1"/>
  <c r="Z923" i="1"/>
  <c r="Y2482" i="1"/>
  <c r="U2482" i="1"/>
  <c r="U2410" i="1"/>
  <c r="Y2410" i="1"/>
  <c r="U2393" i="1"/>
  <c r="Y2393" i="1"/>
  <c r="U2374" i="1"/>
  <c r="Y2374" i="1"/>
  <c r="U2224" i="1"/>
  <c r="Y2224" i="1"/>
  <c r="U2174" i="1"/>
  <c r="Y2174" i="1"/>
  <c r="Y2030" i="1"/>
  <c r="U2030" i="1"/>
  <c r="Z1991" i="1"/>
  <c r="V1991" i="1"/>
  <c r="Z1956" i="1"/>
  <c r="V1956" i="1"/>
  <c r="Z1930" i="1"/>
  <c r="V1930" i="1"/>
  <c r="Z1783" i="1"/>
  <c r="V1783" i="1"/>
  <c r="V1751" i="1"/>
  <c r="Z1751" i="1"/>
  <c r="V1682" i="1"/>
  <c r="Z1682" i="1"/>
  <c r="Z1658" i="1"/>
  <c r="V1658" i="1"/>
  <c r="V1634" i="1"/>
  <c r="Z1634" i="1"/>
  <c r="U2419" i="1"/>
  <c r="Y2419" i="1"/>
  <c r="V2399" i="1"/>
  <c r="Z2399" i="1"/>
  <c r="Z2347" i="1"/>
  <c r="V2347" i="1"/>
  <c r="V1968" i="1"/>
  <c r="Z1968" i="1"/>
  <c r="Z1939" i="1"/>
  <c r="V1939" i="1"/>
  <c r="Z1912" i="1"/>
  <c r="V1912" i="1"/>
  <c r="V1887" i="1"/>
  <c r="Z1887" i="1"/>
  <c r="Z1752" i="1"/>
  <c r="V1752" i="1"/>
  <c r="Z1699" i="1"/>
  <c r="V1699" i="1"/>
  <c r="V1675" i="1"/>
  <c r="Z1675" i="1"/>
  <c r="V1651" i="1"/>
  <c r="Z1651" i="1"/>
  <c r="Z1627" i="1"/>
  <c r="V1627" i="1"/>
  <c r="Z1595" i="1"/>
  <c r="V1595" i="1"/>
  <c r="U2448" i="1"/>
  <c r="Y2448" i="1"/>
  <c r="U2326" i="1"/>
  <c r="Y2326" i="1"/>
  <c r="Y2032" i="1"/>
  <c r="U2032" i="1"/>
  <c r="Z1993" i="1"/>
  <c r="V1993" i="1"/>
  <c r="Z1913" i="1"/>
  <c r="V1913" i="1"/>
  <c r="Y1880" i="1"/>
  <c r="U1880" i="1"/>
  <c r="Y1848" i="1"/>
  <c r="U1848" i="1"/>
  <c r="U1821" i="1"/>
  <c r="Y1821" i="1"/>
  <c r="U1794" i="1"/>
  <c r="Y1794" i="1"/>
  <c r="U1761" i="1"/>
  <c r="Y1761" i="1"/>
  <c r="U1737" i="1"/>
  <c r="Y1737" i="1"/>
  <c r="U1710" i="1"/>
  <c r="Y1710" i="1"/>
  <c r="U1684" i="1"/>
  <c r="Y1684" i="1"/>
  <c r="Y1527" i="1"/>
  <c r="U1527" i="1"/>
  <c r="Y1414" i="1"/>
  <c r="U1414" i="1"/>
  <c r="V2477" i="1"/>
  <c r="Z2477" i="1"/>
  <c r="Z2457" i="1"/>
  <c r="V2457" i="1"/>
  <c r="U2417" i="1"/>
  <c r="Y2417" i="1"/>
  <c r="U2381" i="1"/>
  <c r="Y2381" i="1"/>
  <c r="U2349" i="1"/>
  <c r="Y2349" i="1"/>
  <c r="U2331" i="1"/>
  <c r="Y2331" i="1"/>
  <c r="Y2243" i="1"/>
  <c r="U2243" i="1"/>
  <c r="Z2165" i="1"/>
  <c r="V2165" i="1"/>
  <c r="Z1974" i="1"/>
  <c r="V1974" i="1"/>
  <c r="Z1941" i="1"/>
  <c r="V1941" i="1"/>
  <c r="Z1914" i="1"/>
  <c r="V1914" i="1"/>
  <c r="Z1889" i="1"/>
  <c r="V1889" i="1"/>
  <c r="Z1822" i="1"/>
  <c r="V1822" i="1"/>
  <c r="Z1693" i="1"/>
  <c r="V1693" i="1"/>
  <c r="V1661" i="1"/>
  <c r="Z1661" i="1"/>
  <c r="V1645" i="1"/>
  <c r="Z1645" i="1"/>
  <c r="V1621" i="1"/>
  <c r="Z1621" i="1"/>
  <c r="V1572" i="1"/>
  <c r="Z1572" i="1"/>
  <c r="V1492" i="1"/>
  <c r="Z1492" i="1"/>
  <c r="Z1468" i="1"/>
  <c r="V1468" i="1"/>
  <c r="Z1420" i="1"/>
  <c r="V1420" i="1"/>
  <c r="Z1520" i="1"/>
  <c r="V1520" i="1"/>
  <c r="Y1399" i="1"/>
  <c r="U1399" i="1"/>
  <c r="Y1215" i="1"/>
  <c r="U1215" i="1"/>
  <c r="V1203" i="1"/>
  <c r="Z1203" i="1"/>
  <c r="Z1187" i="1"/>
  <c r="V1187" i="1"/>
  <c r="Z1127" i="1"/>
  <c r="V1127" i="1"/>
  <c r="Y990" i="1"/>
  <c r="U990" i="1"/>
  <c r="V964" i="1"/>
  <c r="Z964" i="1"/>
  <c r="Z806" i="1"/>
  <c r="V806" i="1"/>
  <c r="V774" i="1"/>
  <c r="Z774" i="1"/>
  <c r="V758" i="1"/>
  <c r="Z758" i="1"/>
  <c r="V742" i="1"/>
  <c r="Z742" i="1"/>
  <c r="V725" i="1"/>
  <c r="Z725" i="1"/>
  <c r="Z672" i="1"/>
  <c r="V672" i="1"/>
  <c r="Z1482" i="1"/>
  <c r="V1482" i="1"/>
  <c r="V1409" i="1"/>
  <c r="Z1409" i="1"/>
  <c r="V1375" i="1"/>
  <c r="Z1375" i="1"/>
  <c r="V2478" i="1"/>
  <c r="Z2478" i="1"/>
  <c r="U2474" i="1"/>
  <c r="Y2474" i="1"/>
  <c r="Y2454" i="1"/>
  <c r="U2454" i="1"/>
  <c r="U2435" i="1"/>
  <c r="Y2435" i="1"/>
  <c r="V2422" i="1"/>
  <c r="Z2422" i="1"/>
  <c r="U2418" i="1"/>
  <c r="Y2418" i="1"/>
  <c r="U2382" i="1"/>
  <c r="Y2382" i="1"/>
  <c r="V2370" i="1"/>
  <c r="Z2370" i="1"/>
  <c r="U2366" i="1"/>
  <c r="Y2366" i="1"/>
  <c r="V2354" i="1"/>
  <c r="Z2354" i="1"/>
  <c r="U2332" i="1"/>
  <c r="Y2332" i="1"/>
  <c r="V2319" i="1"/>
  <c r="Z2319" i="1"/>
  <c r="Z2104" i="1"/>
  <c r="V2104" i="1"/>
  <c r="Z2043" i="1"/>
  <c r="V2043" i="1"/>
  <c r="Y2038" i="1"/>
  <c r="U2038" i="1"/>
  <c r="V2026" i="1"/>
  <c r="Z2026" i="1"/>
  <c r="Y2013" i="1"/>
  <c r="U2013" i="1"/>
  <c r="Z1996" i="1"/>
  <c r="V1996" i="1"/>
  <c r="Z1962" i="1"/>
  <c r="V1962" i="1"/>
  <c r="V1952" i="1"/>
  <c r="Z1952" i="1"/>
  <c r="Z1934" i="1"/>
  <c r="V1934" i="1"/>
  <c r="Z1926" i="1"/>
  <c r="V1926" i="1"/>
  <c r="Z1918" i="1"/>
  <c r="V1918" i="1"/>
  <c r="Z1890" i="1"/>
  <c r="V1890" i="1"/>
  <c r="Z1858" i="1"/>
  <c r="V1858" i="1"/>
  <c r="V1823" i="1"/>
  <c r="Z1823" i="1"/>
  <c r="V1812" i="1"/>
  <c r="Z1812" i="1"/>
  <c r="Z1787" i="1"/>
  <c r="V1787" i="1"/>
  <c r="V1763" i="1"/>
  <c r="Z1763" i="1"/>
  <c r="Z1739" i="1"/>
  <c r="V1739" i="1"/>
  <c r="V1702" i="1"/>
  <c r="Z1702" i="1"/>
  <c r="V1694" i="1"/>
  <c r="Z1694" i="1"/>
  <c r="V1686" i="1"/>
  <c r="Z1686" i="1"/>
  <c r="V1678" i="1"/>
  <c r="Z1678" i="1"/>
  <c r="V1670" i="1"/>
  <c r="Z1670" i="1"/>
  <c r="Z1662" i="1"/>
  <c r="V1662" i="1"/>
  <c r="Z1646" i="1"/>
  <c r="V1646" i="1"/>
  <c r="Z1638" i="1"/>
  <c r="V1638" i="1"/>
  <c r="V1630" i="1"/>
  <c r="Z1630" i="1"/>
  <c r="Z1622" i="1"/>
  <c r="V1622" i="1"/>
  <c r="Z1565" i="1"/>
  <c r="V1565" i="1"/>
  <c r="Y2483" i="1"/>
  <c r="U2483" i="1"/>
  <c r="V2479" i="1"/>
  <c r="Z2479" i="1"/>
  <c r="Y2466" i="1"/>
  <c r="U2466" i="1"/>
  <c r="U2447" i="1"/>
  <c r="Y2447" i="1"/>
  <c r="Z2442" i="1"/>
  <c r="V2442" i="1"/>
  <c r="U2427" i="1"/>
  <c r="Y2427" i="1"/>
  <c r="Z2407" i="1"/>
  <c r="V2407" i="1"/>
  <c r="U2394" i="1"/>
  <c r="Y2394" i="1"/>
  <c r="U2375" i="1"/>
  <c r="Y2375" i="1"/>
  <c r="Z2371" i="1"/>
  <c r="V2371" i="1"/>
  <c r="Z2337" i="1"/>
  <c r="V2337" i="1"/>
  <c r="V2320" i="1"/>
  <c r="Z2320" i="1"/>
  <c r="Y2225" i="1"/>
  <c r="U2225" i="1"/>
  <c r="Y2159" i="1"/>
  <c r="U2159" i="1"/>
  <c r="U2049" i="1"/>
  <c r="Y2049" i="1"/>
  <c r="Z2045" i="1"/>
  <c r="V2045" i="1"/>
  <c r="Z2027" i="1"/>
  <c r="V2027" i="1"/>
  <c r="U2006" i="1"/>
  <c r="Y2006" i="1"/>
  <c r="V1984" i="1"/>
  <c r="Z1984" i="1"/>
  <c r="Z1943" i="1"/>
  <c r="V1943" i="1"/>
  <c r="Z1935" i="1"/>
  <c r="V1935" i="1"/>
  <c r="Z1927" i="1"/>
  <c r="V1927" i="1"/>
  <c r="Z1919" i="1"/>
  <c r="V1919" i="1"/>
  <c r="Z1908" i="1"/>
  <c r="V1908" i="1"/>
  <c r="Z1891" i="1"/>
  <c r="V1891" i="1"/>
  <c r="Z1868" i="1"/>
  <c r="V1868" i="1"/>
  <c r="Z1851" i="1"/>
  <c r="V1851" i="1"/>
  <c r="Z1833" i="1"/>
  <c r="V1833" i="1"/>
  <c r="Z1816" i="1"/>
  <c r="V1816" i="1"/>
  <c r="V1780" i="1"/>
  <c r="Z1780" i="1"/>
  <c r="Z1748" i="1"/>
  <c r="V1748" i="1"/>
  <c r="Z1729" i="1"/>
  <c r="V1729" i="1"/>
  <c r="Z1713" i="1"/>
  <c r="V1713" i="1"/>
  <c r="Z1703" i="1"/>
  <c r="V1703" i="1"/>
  <c r="Z1695" i="1"/>
  <c r="V1695" i="1"/>
  <c r="V1687" i="1"/>
  <c r="Z1687" i="1"/>
  <c r="V1679" i="1"/>
  <c r="Z1679" i="1"/>
  <c r="V1671" i="1"/>
  <c r="Z1671" i="1"/>
  <c r="V1663" i="1"/>
  <c r="Z1663" i="1"/>
  <c r="V1647" i="1"/>
  <c r="Z1647" i="1"/>
  <c r="V1639" i="1"/>
  <c r="Z1639" i="1"/>
  <c r="Z1623" i="1"/>
  <c r="V1623" i="1"/>
  <c r="Z1607" i="1"/>
  <c r="V1607" i="1"/>
  <c r="V2480" i="1"/>
  <c r="Z2480" i="1"/>
  <c r="U2476" i="1"/>
  <c r="Y2476" i="1"/>
  <c r="Z2463" i="1"/>
  <c r="V2463" i="1"/>
  <c r="Y2456" i="1"/>
  <c r="U2456" i="1"/>
  <c r="V2443" i="1"/>
  <c r="Z2443" i="1"/>
  <c r="U2420" i="1"/>
  <c r="Y2420" i="1"/>
  <c r="Z2408" i="1"/>
  <c r="V2408" i="1"/>
  <c r="U2404" i="1"/>
  <c r="Y2404" i="1"/>
  <c r="Z2391" i="1"/>
  <c r="V2391" i="1"/>
  <c r="V2372" i="1"/>
  <c r="Z2372" i="1"/>
  <c r="V2356" i="1"/>
  <c r="Z2356" i="1"/>
  <c r="U2334" i="1"/>
  <c r="Y2334" i="1"/>
  <c r="V2322" i="1"/>
  <c r="Z2322" i="1"/>
  <c r="U2284" i="1"/>
  <c r="Y2284" i="1"/>
  <c r="Z2272" i="1"/>
  <c r="V2272" i="1"/>
  <c r="U2234" i="1"/>
  <c r="Y2234" i="1"/>
  <c r="V2206" i="1"/>
  <c r="Z2206" i="1"/>
  <c r="V2046" i="1"/>
  <c r="Z2046" i="1"/>
  <c r="Y2040" i="1"/>
  <c r="U2040" i="1"/>
  <c r="Y2017" i="1"/>
  <c r="U2017" i="1"/>
  <c r="Z1988" i="1"/>
  <c r="V1988" i="1"/>
  <c r="Z1977" i="1"/>
  <c r="V1977" i="1"/>
  <c r="Z1954" i="1"/>
  <c r="V1954" i="1"/>
  <c r="V1936" i="1"/>
  <c r="Z1936" i="1"/>
  <c r="V1928" i="1"/>
  <c r="Z1928" i="1"/>
  <c r="V1920" i="1"/>
  <c r="Z1920" i="1"/>
  <c r="Y1884" i="1"/>
  <c r="U1884" i="1"/>
  <c r="U1869" i="1"/>
  <c r="Y1869" i="1"/>
  <c r="U1825" i="1"/>
  <c r="Y1825" i="1"/>
  <c r="Y1806" i="1"/>
  <c r="U1806" i="1"/>
  <c r="Y1789" i="1"/>
  <c r="U1789" i="1"/>
  <c r="V2482" i="1"/>
  <c r="Z2482" i="1"/>
  <c r="Y2478" i="1"/>
  <c r="U2478" i="1"/>
  <c r="U2422" i="1"/>
  <c r="Y2422" i="1"/>
  <c r="V2410" i="1"/>
  <c r="Z2410" i="1"/>
  <c r="Z2393" i="1"/>
  <c r="V2393" i="1"/>
  <c r="V2374" i="1"/>
  <c r="Z2374" i="1"/>
  <c r="U2370" i="1"/>
  <c r="Y2370" i="1"/>
  <c r="U2354" i="1"/>
  <c r="Y2354" i="1"/>
  <c r="U2319" i="1"/>
  <c r="Y2319" i="1"/>
  <c r="V2274" i="1"/>
  <c r="Z2274" i="1"/>
  <c r="Z2224" i="1"/>
  <c r="V2224" i="1"/>
  <c r="Z2174" i="1"/>
  <c r="V2174" i="1"/>
  <c r="Y2104" i="1"/>
  <c r="U2104" i="1"/>
  <c r="V2092" i="1"/>
  <c r="Z2092" i="1"/>
  <c r="Z2048" i="1"/>
  <c r="V2048" i="1"/>
  <c r="U2043" i="1"/>
  <c r="Y2043" i="1"/>
  <c r="V2030" i="1"/>
  <c r="Z2030" i="1"/>
  <c r="U2026" i="1"/>
  <c r="Y2026" i="1"/>
  <c r="Y1996" i="1"/>
  <c r="U1996" i="1"/>
  <c r="Y1962" i="1"/>
  <c r="U1962" i="1"/>
  <c r="Y1952" i="1"/>
  <c r="U1952" i="1"/>
  <c r="U1934" i="1"/>
  <c r="Y1934" i="1"/>
  <c r="U1926" i="1"/>
  <c r="Y1926" i="1"/>
  <c r="U1918" i="1"/>
  <c r="Y1918" i="1"/>
  <c r="Y1890" i="1"/>
  <c r="U1890" i="1"/>
  <c r="Y1858" i="1"/>
  <c r="U1858" i="1"/>
  <c r="Y1823" i="1"/>
  <c r="U1823" i="1"/>
  <c r="U1812" i="1"/>
  <c r="Y1812" i="1"/>
  <c r="Y1787" i="1"/>
  <c r="U1787" i="1"/>
  <c r="U1763" i="1"/>
  <c r="Y1763" i="1"/>
  <c r="U1739" i="1"/>
  <c r="Y1739" i="1"/>
  <c r="U1702" i="1"/>
  <c r="Y1702" i="1"/>
  <c r="U1694" i="1"/>
  <c r="Y1694" i="1"/>
  <c r="U1686" i="1"/>
  <c r="Y1686" i="1"/>
  <c r="U1678" i="1"/>
  <c r="Y1678" i="1"/>
  <c r="Y1670" i="1"/>
  <c r="U1670" i="1"/>
  <c r="Y1662" i="1"/>
  <c r="U1662" i="1"/>
  <c r="Y1646" i="1"/>
  <c r="U1646" i="1"/>
  <c r="Y1638" i="1"/>
  <c r="U1638" i="1"/>
  <c r="Y1630" i="1"/>
  <c r="U1630" i="1"/>
  <c r="Y1622" i="1"/>
  <c r="U1622" i="1"/>
  <c r="Y1565" i="1"/>
  <c r="U1565" i="1"/>
  <c r="Z2483" i="1"/>
  <c r="V2483" i="1"/>
  <c r="U2470" i="1"/>
  <c r="Y2470" i="1"/>
  <c r="Z2466" i="1"/>
  <c r="V2466" i="1"/>
  <c r="Z2447" i="1"/>
  <c r="V2447" i="1"/>
  <c r="U2431" i="1"/>
  <c r="Y2431" i="1"/>
  <c r="Z2427" i="1"/>
  <c r="V2427" i="1"/>
  <c r="U2399" i="1"/>
  <c r="Y2399" i="1"/>
  <c r="V2394" i="1"/>
  <c r="Z2394" i="1"/>
  <c r="U2379" i="1"/>
  <c r="Y2379" i="1"/>
  <c r="V2375" i="1"/>
  <c r="Z2375" i="1"/>
  <c r="Y2347" i="1"/>
  <c r="U2347" i="1"/>
  <c r="Z2225" i="1"/>
  <c r="V2225" i="1"/>
  <c r="V2159" i="1"/>
  <c r="Z2159" i="1"/>
  <c r="Z2049" i="1"/>
  <c r="V2049" i="1"/>
  <c r="Z2006" i="1"/>
  <c r="V2006" i="1"/>
  <c r="Y1968" i="1"/>
  <c r="U1968" i="1"/>
  <c r="Y1949" i="1"/>
  <c r="U1949" i="1"/>
  <c r="Y1939" i="1"/>
  <c r="U1939" i="1"/>
  <c r="Y1931" i="1"/>
  <c r="U1931" i="1"/>
  <c r="Y1923" i="1"/>
  <c r="U1923" i="1"/>
  <c r="Y1912" i="1"/>
  <c r="U1912" i="1"/>
  <c r="Y1896" i="1"/>
  <c r="U1896" i="1"/>
  <c r="Y1887" i="1"/>
  <c r="U1887" i="1"/>
  <c r="Y1879" i="1"/>
  <c r="U1879" i="1"/>
  <c r="U1837" i="1"/>
  <c r="Y1837" i="1"/>
  <c r="Y1820" i="1"/>
  <c r="U1820" i="1"/>
  <c r="U1776" i="1"/>
  <c r="Y1776" i="1"/>
  <c r="Y1752" i="1"/>
  <c r="U1752" i="1"/>
  <c r="U1725" i="1"/>
  <c r="Y1725" i="1"/>
  <c r="U1699" i="1"/>
  <c r="Y1699" i="1"/>
  <c r="U1683" i="1"/>
  <c r="Y1683" i="1"/>
  <c r="Y1675" i="1"/>
  <c r="U1675" i="1"/>
  <c r="Y1667" i="1"/>
  <c r="U1667" i="1"/>
  <c r="Y1659" i="1"/>
  <c r="U1659" i="1"/>
  <c r="U1651" i="1"/>
  <c r="Y1651" i="1"/>
  <c r="U1643" i="1"/>
  <c r="Y1643" i="1"/>
  <c r="U1635" i="1"/>
  <c r="Y1635" i="1"/>
  <c r="Y1627" i="1"/>
  <c r="U1627" i="1"/>
  <c r="Y1595" i="1"/>
  <c r="U1595" i="1"/>
  <c r="U2480" i="1"/>
  <c r="Y2480" i="1"/>
  <c r="Y2463" i="1"/>
  <c r="U2463" i="1"/>
  <c r="V2448" i="1"/>
  <c r="Z2448" i="1"/>
  <c r="U2443" i="1"/>
  <c r="Y2443" i="1"/>
  <c r="U2408" i="1"/>
  <c r="Y2408" i="1"/>
  <c r="Z2395" i="1"/>
  <c r="V2395" i="1"/>
  <c r="U2391" i="1"/>
  <c r="Y2391" i="1"/>
  <c r="U2372" i="1"/>
  <c r="Y2372" i="1"/>
  <c r="Z2360" i="1"/>
  <c r="V2360" i="1"/>
  <c r="U2356" i="1"/>
  <c r="Y2356" i="1"/>
  <c r="Z2326" i="1"/>
  <c r="V2326" i="1"/>
  <c r="U2322" i="1"/>
  <c r="Y2322" i="1"/>
  <c r="U2272" i="1"/>
  <c r="Y2272" i="1"/>
  <c r="U2206" i="1"/>
  <c r="Y2206" i="1"/>
  <c r="V2126" i="1"/>
  <c r="Z2126" i="1"/>
  <c r="Y2046" i="1"/>
  <c r="U2046" i="1"/>
  <c r="Z2032" i="1"/>
  <c r="V2032" i="1"/>
  <c r="Y1988" i="1"/>
  <c r="U1988" i="1"/>
  <c r="Y1977" i="1"/>
  <c r="U1977" i="1"/>
  <c r="Y1954" i="1"/>
  <c r="U1954" i="1"/>
  <c r="Y1936" i="1"/>
  <c r="U1936" i="1"/>
  <c r="Y1928" i="1"/>
  <c r="U1928" i="1"/>
  <c r="Y1920" i="1"/>
  <c r="U1920" i="1"/>
  <c r="Z1880" i="1"/>
  <c r="V1880" i="1"/>
  <c r="Z1865" i="1"/>
  <c r="V1865" i="1"/>
  <c r="Z1856" i="1"/>
  <c r="V1856" i="1"/>
  <c r="Z1848" i="1"/>
  <c r="V1848" i="1"/>
  <c r="V1821" i="1"/>
  <c r="Z1821" i="1"/>
  <c r="V1810" i="1"/>
  <c r="Z1810" i="1"/>
  <c r="V1802" i="1"/>
  <c r="Z1802" i="1"/>
  <c r="V1794" i="1"/>
  <c r="Z1794" i="1"/>
  <c r="Z1785" i="1"/>
  <c r="V1785" i="1"/>
  <c r="Z1777" i="1"/>
  <c r="V1777" i="1"/>
  <c r="V1761" i="1"/>
  <c r="Z1761" i="1"/>
  <c r="V1753" i="1"/>
  <c r="Z1753" i="1"/>
  <c r="Z1737" i="1"/>
  <c r="V1737" i="1"/>
  <c r="V1718" i="1"/>
  <c r="Z1718" i="1"/>
  <c r="V1710" i="1"/>
  <c r="Z1710" i="1"/>
  <c r="V1692" i="1"/>
  <c r="Z1692" i="1"/>
  <c r="Z1684" i="1"/>
  <c r="V1684" i="1"/>
  <c r="U1714" i="1"/>
  <c r="Y1714" i="1"/>
  <c r="Y1688" i="1"/>
  <c r="U1688" i="1"/>
  <c r="Y1680" i="1"/>
  <c r="U1680" i="1"/>
  <c r="U1672" i="1"/>
  <c r="Y1672" i="1"/>
  <c r="U1664" i="1"/>
  <c r="Y1664" i="1"/>
  <c r="U1656" i="1"/>
  <c r="Y1656" i="1"/>
  <c r="U1640" i="1"/>
  <c r="Y1640" i="1"/>
  <c r="U1632" i="1"/>
  <c r="Y1632" i="1"/>
  <c r="U1624" i="1"/>
  <c r="Y1624" i="1"/>
  <c r="U1608" i="1"/>
  <c r="Y1608" i="1"/>
  <c r="U1531" i="1"/>
  <c r="Y1531" i="1"/>
  <c r="Y1479" i="1"/>
  <c r="U1479" i="1"/>
  <c r="U1401" i="1"/>
  <c r="Y1401" i="1"/>
  <c r="U1385" i="1"/>
  <c r="Y1385" i="1"/>
  <c r="Y1376" i="1"/>
  <c r="U1376" i="1"/>
  <c r="U2481" i="1"/>
  <c r="Y2481" i="1"/>
  <c r="V2468" i="1"/>
  <c r="Z2468" i="1"/>
  <c r="V2449" i="1"/>
  <c r="Z2449" i="1"/>
  <c r="U2444" i="1"/>
  <c r="Y2444" i="1"/>
  <c r="Y2425" i="1"/>
  <c r="U2425" i="1"/>
  <c r="V2413" i="1"/>
  <c r="Z2413" i="1"/>
  <c r="Y2409" i="1"/>
  <c r="U2409" i="1"/>
  <c r="V2397" i="1"/>
  <c r="Z2397" i="1"/>
  <c r="U2392" i="1"/>
  <c r="Y2392" i="1"/>
  <c r="V2377" i="1"/>
  <c r="Z2377" i="1"/>
  <c r="U2373" i="1"/>
  <c r="Y2373" i="1"/>
  <c r="V2361" i="1"/>
  <c r="Z2361" i="1"/>
  <c r="U2357" i="1"/>
  <c r="Y2357" i="1"/>
  <c r="V2343" i="1"/>
  <c r="Z2343" i="1"/>
  <c r="Y2339" i="1"/>
  <c r="U2339" i="1"/>
  <c r="Z2327" i="1"/>
  <c r="V2327" i="1"/>
  <c r="U2323" i="1"/>
  <c r="Y2323" i="1"/>
  <c r="U2306" i="1"/>
  <c r="Y2306" i="1"/>
  <c r="U2273" i="1"/>
  <c r="Y2273" i="1"/>
  <c r="U2251" i="1"/>
  <c r="Y2251" i="1"/>
  <c r="V2190" i="1"/>
  <c r="Z2190" i="1"/>
  <c r="V2173" i="1"/>
  <c r="Z2173" i="1"/>
  <c r="Y2153" i="1"/>
  <c r="U2153" i="1"/>
  <c r="Z2091" i="1"/>
  <c r="V2091" i="1"/>
  <c r="U2067" i="1"/>
  <c r="Y2067" i="1"/>
  <c r="V2047" i="1"/>
  <c r="Z2047" i="1"/>
  <c r="Z2029" i="1"/>
  <c r="V2029" i="1"/>
  <c r="Y2018" i="1"/>
  <c r="U2018" i="1"/>
  <c r="Z1990" i="1"/>
  <c r="V1990" i="1"/>
  <c r="Z1945" i="1"/>
  <c r="V1945" i="1"/>
  <c r="Z1937" i="1"/>
  <c r="V1937" i="1"/>
  <c r="Z1929" i="1"/>
  <c r="V1929" i="1"/>
  <c r="Z1921" i="1"/>
  <c r="V1921" i="1"/>
  <c r="Z1893" i="1"/>
  <c r="V1893" i="1"/>
  <c r="V1835" i="1"/>
  <c r="Z1835" i="1"/>
  <c r="V1790" i="1"/>
  <c r="Z1790" i="1"/>
  <c r="Z1758" i="1"/>
  <c r="V1758" i="1"/>
  <c r="Z1715" i="1"/>
  <c r="V1715" i="1"/>
  <c r="Z1707" i="1"/>
  <c r="V1707" i="1"/>
  <c r="Z1697" i="1"/>
  <c r="V1697" i="1"/>
  <c r="V1689" i="1"/>
  <c r="Z1689" i="1"/>
  <c r="V1673" i="1"/>
  <c r="Z1673" i="1"/>
  <c r="V1657" i="1"/>
  <c r="Z1657" i="1"/>
  <c r="V1649" i="1"/>
  <c r="Z1649" i="1"/>
  <c r="V1641" i="1"/>
  <c r="Z1641" i="1"/>
  <c r="Z1633" i="1"/>
  <c r="V1633" i="1"/>
  <c r="Z1625" i="1"/>
  <c r="V1625" i="1"/>
  <c r="Z1609" i="1"/>
  <c r="V1609" i="1"/>
  <c r="V1543" i="1"/>
  <c r="Z1543" i="1"/>
  <c r="V1523" i="1"/>
  <c r="Z1523" i="1"/>
  <c r="Z1456" i="1"/>
  <c r="V1456" i="1"/>
  <c r="Z1424" i="1"/>
  <c r="V1424" i="1"/>
  <c r="V1415" i="1"/>
  <c r="Z1415" i="1"/>
  <c r="V1363" i="1"/>
  <c r="Z1363" i="1"/>
  <c r="Y1544" i="1"/>
  <c r="U1544" i="1"/>
  <c r="U1524" i="1"/>
  <c r="Y1524" i="1"/>
  <c r="Z1325" i="1"/>
  <c r="V1325" i="1"/>
  <c r="V1243" i="1"/>
  <c r="Z1243" i="1"/>
  <c r="V1227" i="1"/>
  <c r="Z1227" i="1"/>
  <c r="Y1223" i="1"/>
  <c r="U1223" i="1"/>
  <c r="V1211" i="1"/>
  <c r="Z1211" i="1"/>
  <c r="Y1207" i="1"/>
  <c r="U1207" i="1"/>
  <c r="V1195" i="1"/>
  <c r="Z1195" i="1"/>
  <c r="U1191" i="1"/>
  <c r="Y1191" i="1"/>
  <c r="Z1179" i="1"/>
  <c r="V1179" i="1"/>
  <c r="U1175" i="1"/>
  <c r="Y1175" i="1"/>
  <c r="Y1155" i="1"/>
  <c r="U1155" i="1"/>
  <c r="Z1117" i="1"/>
  <c r="V1117" i="1"/>
  <c r="Y1113" i="1"/>
  <c r="U1113" i="1"/>
  <c r="Z1084" i="1"/>
  <c r="V1084" i="1"/>
  <c r="Z1048" i="1"/>
  <c r="V1048" i="1"/>
  <c r="Y1027" i="1"/>
  <c r="U1027" i="1"/>
  <c r="Y1000" i="1"/>
  <c r="U1000" i="1"/>
  <c r="Z986" i="1"/>
  <c r="V986" i="1"/>
  <c r="V956" i="1"/>
  <c r="Z956" i="1"/>
  <c r="Y810" i="1"/>
  <c r="U810" i="1"/>
  <c r="Z798" i="1"/>
  <c r="V798" i="1"/>
  <c r="Z782" i="1"/>
  <c r="V782" i="1"/>
  <c r="V766" i="1"/>
  <c r="Z766" i="1"/>
  <c r="Y762" i="1"/>
  <c r="U762" i="1"/>
  <c r="Y729" i="1"/>
  <c r="U729" i="1"/>
  <c r="V716" i="1"/>
  <c r="Z716" i="1"/>
  <c r="V699" i="1"/>
  <c r="Z699" i="1"/>
  <c r="Z680" i="1"/>
  <c r="V680" i="1"/>
  <c r="V1545" i="1"/>
  <c r="Z1545" i="1"/>
  <c r="V1490" i="1"/>
  <c r="Z1490" i="1"/>
  <c r="V1458" i="1"/>
  <c r="Z1458" i="1"/>
  <c r="Y1438" i="1"/>
  <c r="U1438" i="1"/>
  <c r="V1330" i="1"/>
  <c r="Z1330" i="1"/>
  <c r="Y1317" i="1"/>
  <c r="U1317" i="1"/>
  <c r="Z1313" i="1"/>
  <c r="V1313" i="1"/>
  <c r="Y1271" i="1"/>
  <c r="U1271" i="1"/>
  <c r="U1236" i="1"/>
  <c r="Y1236" i="1"/>
  <c r="Z1232" i="1"/>
  <c r="V1232" i="1"/>
  <c r="Y1220" i="1"/>
  <c r="U1220" i="1"/>
  <c r="Z1216" i="1"/>
  <c r="V1216" i="1"/>
  <c r="Y1204" i="1"/>
  <c r="U1204" i="1"/>
  <c r="V1200" i="1"/>
  <c r="Z1200" i="1"/>
  <c r="Y1188" i="1"/>
  <c r="U1188" i="1"/>
  <c r="Z1184" i="1"/>
  <c r="V1184" i="1"/>
  <c r="Y1172" i="1"/>
  <c r="U1172" i="1"/>
  <c r="Z1168" i="1"/>
  <c r="V1168" i="1"/>
  <c r="Z1124" i="1"/>
  <c r="V1124" i="1"/>
  <c r="Y1110" i="1"/>
  <c r="U1110" i="1"/>
  <c r="Z1106" i="1"/>
  <c r="V1106" i="1"/>
  <c r="Z1053" i="1"/>
  <c r="V1053" i="1"/>
  <c r="V991" i="1"/>
  <c r="Z991" i="1"/>
  <c r="V953" i="1"/>
  <c r="Z953" i="1"/>
  <c r="V921" i="1"/>
  <c r="Z921" i="1"/>
  <c r="U799" i="1"/>
  <c r="Y799" i="1"/>
  <c r="U783" i="1"/>
  <c r="Y783" i="1"/>
  <c r="U767" i="1"/>
  <c r="Y767" i="1"/>
  <c r="V763" i="1"/>
  <c r="Z763" i="1"/>
  <c r="U735" i="1"/>
  <c r="Y735" i="1"/>
  <c r="Y681" i="1"/>
  <c r="U681" i="1"/>
  <c r="U1346" i="1"/>
  <c r="Y1346" i="1"/>
  <c r="V1314" i="1"/>
  <c r="Z1314" i="1"/>
  <c r="U1310" i="1"/>
  <c r="Y1310" i="1"/>
  <c r="V1276" i="1"/>
  <c r="Z1276" i="1"/>
  <c r="V1241" i="1"/>
  <c r="Z1241" i="1"/>
  <c r="Y1237" i="1"/>
  <c r="U1237" i="1"/>
  <c r="V1225" i="1"/>
  <c r="Z1225" i="1"/>
  <c r="U1221" i="1"/>
  <c r="Y1221" i="1"/>
  <c r="V1209" i="1"/>
  <c r="Z1209" i="1"/>
  <c r="Y1205" i="1"/>
  <c r="U1205" i="1"/>
  <c r="Z1193" i="1"/>
  <c r="V1193" i="1"/>
  <c r="U1189" i="1"/>
  <c r="Y1189" i="1"/>
  <c r="Z1177" i="1"/>
  <c r="V1177" i="1"/>
  <c r="U1173" i="1"/>
  <c r="Y1173" i="1"/>
  <c r="Z1158" i="1"/>
  <c r="V1158" i="1"/>
  <c r="Y1153" i="1"/>
  <c r="U1153" i="1"/>
  <c r="Z1115" i="1"/>
  <c r="V1115" i="1"/>
  <c r="Z1098" i="1"/>
  <c r="V1098" i="1"/>
  <c r="Y1094" i="1"/>
  <c r="U1094" i="1"/>
  <c r="Y1078" i="1"/>
  <c r="U1078" i="1"/>
  <c r="Y1042" i="1"/>
  <c r="U1042" i="1"/>
  <c r="Y996" i="1"/>
  <c r="U996" i="1"/>
  <c r="U976" i="1"/>
  <c r="Y976" i="1"/>
  <c r="U918" i="1"/>
  <c r="Y918" i="1"/>
  <c r="U837" i="1"/>
  <c r="Y837" i="1"/>
  <c r="U792" i="1"/>
  <c r="Y792" i="1"/>
  <c r="U776" i="1"/>
  <c r="Y776" i="1"/>
  <c r="V764" i="1"/>
  <c r="Z764" i="1"/>
  <c r="U760" i="1"/>
  <c r="Y760" i="1"/>
  <c r="Z714" i="1"/>
  <c r="V714" i="1"/>
  <c r="Y709" i="1"/>
  <c r="U709" i="1"/>
  <c r="V617" i="1"/>
  <c r="Z617" i="1"/>
  <c r="U443" i="1"/>
  <c r="Y443" i="1"/>
  <c r="U435" i="1"/>
  <c r="Y435" i="1"/>
  <c r="Z407" i="1"/>
  <c r="V407" i="1"/>
  <c r="Y403" i="1"/>
  <c r="U403" i="1"/>
  <c r="Y395" i="1"/>
  <c r="U395" i="1"/>
  <c r="Z367" i="1"/>
  <c r="V367" i="1"/>
  <c r="Y363" i="1"/>
  <c r="U363" i="1"/>
  <c r="Z351" i="1"/>
  <c r="V351" i="1"/>
  <c r="Y347" i="1"/>
  <c r="U347" i="1"/>
  <c r="Y331" i="1"/>
  <c r="U331" i="1"/>
  <c r="Z262" i="1"/>
  <c r="V262" i="1"/>
  <c r="V245" i="1"/>
  <c r="Z245" i="1"/>
  <c r="V1328" i="1"/>
  <c r="Z1328" i="1"/>
  <c r="U1324" i="1"/>
  <c r="Y1324" i="1"/>
  <c r="V1311" i="1"/>
  <c r="Z1311" i="1"/>
  <c r="U1242" i="1"/>
  <c r="Y1242" i="1"/>
  <c r="Z1230" i="1"/>
  <c r="V1230" i="1"/>
  <c r="U1226" i="1"/>
  <c r="Y1226" i="1"/>
  <c r="V1214" i="1"/>
  <c r="Z1214" i="1"/>
  <c r="U1210" i="1"/>
  <c r="Y1210" i="1"/>
  <c r="V1198" i="1"/>
  <c r="Z1198" i="1"/>
  <c r="Y1194" i="1"/>
  <c r="U1194" i="1"/>
  <c r="Z1182" i="1"/>
  <c r="V1182" i="1"/>
  <c r="Y1178" i="1"/>
  <c r="U1178" i="1"/>
  <c r="Z1166" i="1"/>
  <c r="V1166" i="1"/>
  <c r="Z1121" i="1"/>
  <c r="V1121" i="1"/>
  <c r="Z1013" i="1"/>
  <c r="V1013" i="1"/>
  <c r="U1006" i="1"/>
  <c r="Y1006" i="1"/>
  <c r="V989" i="1"/>
  <c r="Z989" i="1"/>
  <c r="Y985" i="1"/>
  <c r="U985" i="1"/>
  <c r="V943" i="1"/>
  <c r="Z943" i="1"/>
  <c r="V927" i="1"/>
  <c r="Z927" i="1"/>
  <c r="Y923" i="1"/>
  <c r="U923" i="1"/>
  <c r="V878" i="1"/>
  <c r="Z878" i="1"/>
  <c r="U843" i="1"/>
  <c r="Y843" i="1"/>
  <c r="Z769" i="1"/>
  <c r="V769" i="1"/>
  <c r="U765" i="1"/>
  <c r="Y765" i="1"/>
  <c r="Z753" i="1"/>
  <c r="V753" i="1"/>
  <c r="V702" i="1"/>
  <c r="Z702" i="1"/>
  <c r="V683" i="1"/>
  <c r="Z683" i="1"/>
  <c r="Z533" i="1"/>
  <c r="V533" i="1"/>
  <c r="Y440" i="1"/>
  <c r="U440" i="1"/>
  <c r="Z412" i="1"/>
  <c r="V412" i="1"/>
  <c r="Y408" i="1"/>
  <c r="U408" i="1"/>
  <c r="Z396" i="1"/>
  <c r="V396" i="1"/>
  <c r="Y392" i="1"/>
  <c r="U392" i="1"/>
  <c r="Z364" i="1"/>
  <c r="V364" i="1"/>
  <c r="V348" i="1"/>
  <c r="Z348" i="1"/>
  <c r="Z332" i="1"/>
  <c r="V332" i="1"/>
  <c r="U328" i="1"/>
  <c r="Y328" i="1"/>
  <c r="Z316" i="1"/>
  <c r="V316" i="1"/>
  <c r="U247" i="1"/>
  <c r="Y247" i="1"/>
  <c r="V218" i="1"/>
  <c r="Z218" i="1"/>
  <c r="Y214" i="1"/>
  <c r="U214" i="1"/>
  <c r="Z453" i="1"/>
  <c r="V453" i="1"/>
  <c r="Z413" i="1"/>
  <c r="V413" i="1"/>
  <c r="Y409" i="1"/>
  <c r="U409" i="1"/>
  <c r="Z389" i="1"/>
  <c r="V389" i="1"/>
  <c r="Z373" i="1"/>
  <c r="V373" i="1"/>
  <c r="Y369" i="1"/>
  <c r="U369" i="1"/>
  <c r="Y353" i="1"/>
  <c r="U353" i="1"/>
  <c r="Y337" i="1"/>
  <c r="U337" i="1"/>
  <c r="U321" i="1"/>
  <c r="Y321" i="1"/>
  <c r="V260" i="1"/>
  <c r="Z260" i="1"/>
  <c r="U256" i="1"/>
  <c r="Y256" i="1"/>
  <c r="Z243" i="1"/>
  <c r="V243" i="1"/>
  <c r="U205" i="1"/>
  <c r="Y205" i="1"/>
  <c r="Y101" i="1"/>
  <c r="U101" i="1"/>
  <c r="Z54" i="1"/>
  <c r="V54" i="1"/>
  <c r="U50" i="1"/>
  <c r="Y50" i="1"/>
  <c r="U42" i="1"/>
  <c r="Y42" i="1"/>
  <c r="U15" i="1"/>
  <c r="Y15" i="1"/>
  <c r="Y643" i="1"/>
  <c r="U643" i="1"/>
  <c r="U414" i="1"/>
  <c r="Y414" i="1"/>
  <c r="Z410" i="1"/>
  <c r="V410" i="1"/>
  <c r="Z394" i="1"/>
  <c r="V394" i="1"/>
  <c r="U366" i="1"/>
  <c r="Y366" i="1"/>
  <c r="Z362" i="1"/>
  <c r="V362" i="1"/>
  <c r="U350" i="1"/>
  <c r="Y350" i="1"/>
  <c r="V346" i="1"/>
  <c r="Z346" i="1"/>
  <c r="U334" i="1"/>
  <c r="Y334" i="1"/>
  <c r="V330" i="1"/>
  <c r="Z330" i="1"/>
  <c r="U261" i="1"/>
  <c r="Y261" i="1"/>
  <c r="U244" i="1"/>
  <c r="Y244" i="1"/>
  <c r="Z194" i="1"/>
  <c r="V194" i="1"/>
  <c r="Y51" i="1"/>
  <c r="U51" i="1"/>
  <c r="U43" i="1"/>
  <c r="Y43" i="1"/>
  <c r="U16" i="1"/>
  <c r="Y16" i="1"/>
  <c r="V12" i="1"/>
  <c r="Z12" i="1"/>
  <c r="U191" i="1"/>
  <c r="Y191" i="1"/>
  <c r="U103" i="1"/>
  <c r="Y103" i="1"/>
  <c r="Z48" i="1"/>
  <c r="V48" i="1"/>
  <c r="U25" i="1"/>
  <c r="Y25" i="1"/>
  <c r="Z61" i="1"/>
  <c r="V61" i="1"/>
  <c r="Z1668" i="1"/>
  <c r="V1668" i="1"/>
  <c r="Z1652" i="1"/>
  <c r="V1652" i="1"/>
  <c r="Z1644" i="1"/>
  <c r="V1644" i="1"/>
  <c r="V1628" i="1"/>
  <c r="Z1628" i="1"/>
  <c r="V1620" i="1"/>
  <c r="Z1620" i="1"/>
  <c r="V1596" i="1"/>
  <c r="Z1596" i="1"/>
  <c r="V1527" i="1"/>
  <c r="Z1527" i="1"/>
  <c r="V1483" i="1"/>
  <c r="Z1483" i="1"/>
  <c r="V1455" i="1"/>
  <c r="Z1455" i="1"/>
  <c r="V1414" i="1"/>
  <c r="Z1414" i="1"/>
  <c r="V1405" i="1"/>
  <c r="Z1405" i="1"/>
  <c r="V2473" i="1"/>
  <c r="Z2473" i="1"/>
  <c r="U2468" i="1"/>
  <c r="Y2468" i="1"/>
  <c r="Z2453" i="1"/>
  <c r="V2453" i="1"/>
  <c r="U2449" i="1"/>
  <c r="Y2449" i="1"/>
  <c r="Z2434" i="1"/>
  <c r="V2434" i="1"/>
  <c r="Z2417" i="1"/>
  <c r="V2417" i="1"/>
  <c r="Y2413" i="1"/>
  <c r="U2413" i="1"/>
  <c r="U2397" i="1"/>
  <c r="Y2397" i="1"/>
  <c r="Z2381" i="1"/>
  <c r="V2381" i="1"/>
  <c r="U2377" i="1"/>
  <c r="Y2377" i="1"/>
  <c r="U2361" i="1"/>
  <c r="Y2361" i="1"/>
  <c r="V2349" i="1"/>
  <c r="Z2349" i="1"/>
  <c r="U2343" i="1"/>
  <c r="Y2343" i="1"/>
  <c r="Z2331" i="1"/>
  <c r="V2331" i="1"/>
  <c r="Y2327" i="1"/>
  <c r="U2327" i="1"/>
  <c r="Z2243" i="1"/>
  <c r="V2243" i="1"/>
  <c r="U2190" i="1"/>
  <c r="Y2190" i="1"/>
  <c r="Y2173" i="1"/>
  <c r="U2173" i="1"/>
  <c r="V2127" i="1"/>
  <c r="Z2127" i="1"/>
  <c r="U2091" i="1"/>
  <c r="Y2091" i="1"/>
  <c r="U2047" i="1"/>
  <c r="Y2047" i="1"/>
  <c r="U2029" i="1"/>
  <c r="Y2029" i="1"/>
  <c r="U1990" i="1"/>
  <c r="Y1990" i="1"/>
  <c r="Y1945" i="1"/>
  <c r="U1945" i="1"/>
  <c r="Y1937" i="1"/>
  <c r="U1937" i="1"/>
  <c r="Y1929" i="1"/>
  <c r="U1929" i="1"/>
  <c r="Y1921" i="1"/>
  <c r="U1921" i="1"/>
  <c r="U1893" i="1"/>
  <c r="Y1893" i="1"/>
  <c r="U1835" i="1"/>
  <c r="Y1835" i="1"/>
  <c r="U1790" i="1"/>
  <c r="Y1790" i="1"/>
  <c r="Y1758" i="1"/>
  <c r="U1758" i="1"/>
  <c r="U1715" i="1"/>
  <c r="Y1715" i="1"/>
  <c r="U1707" i="1"/>
  <c r="Y1707" i="1"/>
  <c r="U1697" i="1"/>
  <c r="Y1697" i="1"/>
  <c r="Y1689" i="1"/>
  <c r="U1689" i="1"/>
  <c r="U1673" i="1"/>
  <c r="Y1673" i="1"/>
  <c r="Y1657" i="1"/>
  <c r="U1657" i="1"/>
  <c r="U1649" i="1"/>
  <c r="Y1649" i="1"/>
  <c r="U1641" i="1"/>
  <c r="Y1641" i="1"/>
  <c r="Y1633" i="1"/>
  <c r="U1633" i="1"/>
  <c r="U1625" i="1"/>
  <c r="Y1625" i="1"/>
  <c r="U1609" i="1"/>
  <c r="Y1609" i="1"/>
  <c r="Y1543" i="1"/>
  <c r="U1543" i="1"/>
  <c r="U1523" i="1"/>
  <c r="Y1523" i="1"/>
  <c r="Y1456" i="1"/>
  <c r="U1456" i="1"/>
  <c r="Y1424" i="1"/>
  <c r="U1424" i="1"/>
  <c r="Y1415" i="1"/>
  <c r="U1415" i="1"/>
  <c r="U1363" i="1"/>
  <c r="Y1363" i="1"/>
  <c r="Z1516" i="1"/>
  <c r="V1516" i="1"/>
  <c r="V1481" i="1"/>
  <c r="Z1481" i="1"/>
  <c r="V1399" i="1"/>
  <c r="Z1399" i="1"/>
  <c r="V1364" i="1"/>
  <c r="Z1364" i="1"/>
  <c r="Z1329" i="1"/>
  <c r="V1329" i="1"/>
  <c r="Y1325" i="1"/>
  <c r="U1325" i="1"/>
  <c r="V1312" i="1"/>
  <c r="Z1312" i="1"/>
  <c r="Y1243" i="1"/>
  <c r="U1243" i="1"/>
  <c r="V1231" i="1"/>
  <c r="Z1231" i="1"/>
  <c r="U1227" i="1"/>
  <c r="Y1227" i="1"/>
  <c r="V1215" i="1"/>
  <c r="Z1215" i="1"/>
  <c r="U1211" i="1"/>
  <c r="Y1211" i="1"/>
  <c r="V1199" i="1"/>
  <c r="Z1199" i="1"/>
  <c r="Y1195" i="1"/>
  <c r="U1195" i="1"/>
  <c r="Z1183" i="1"/>
  <c r="V1183" i="1"/>
  <c r="U1179" i="1"/>
  <c r="Y1179" i="1"/>
  <c r="Y1117" i="1"/>
  <c r="U1117" i="1"/>
  <c r="Y1084" i="1"/>
  <c r="U1084" i="1"/>
  <c r="Z1052" i="1"/>
  <c r="V1052" i="1"/>
  <c r="Y1048" i="1"/>
  <c r="U1048" i="1"/>
  <c r="V990" i="1"/>
  <c r="Z990" i="1"/>
  <c r="Y986" i="1"/>
  <c r="U986" i="1"/>
  <c r="V960" i="1"/>
  <c r="Z960" i="1"/>
  <c r="Y956" i="1"/>
  <c r="U956" i="1"/>
  <c r="V896" i="1"/>
  <c r="Z896" i="1"/>
  <c r="Z802" i="1"/>
  <c r="V802" i="1"/>
  <c r="Y798" i="1"/>
  <c r="U798" i="1"/>
  <c r="Y782" i="1"/>
  <c r="U782" i="1"/>
  <c r="V770" i="1"/>
  <c r="Z770" i="1"/>
  <c r="Y766" i="1"/>
  <c r="U766" i="1"/>
  <c r="V754" i="1"/>
  <c r="Z754" i="1"/>
  <c r="V738" i="1"/>
  <c r="Z738" i="1"/>
  <c r="U716" i="1"/>
  <c r="Y716" i="1"/>
  <c r="Y699" i="1"/>
  <c r="U699" i="1"/>
  <c r="V684" i="1"/>
  <c r="Z684" i="1"/>
  <c r="U680" i="1"/>
  <c r="Y680" i="1"/>
  <c r="V668" i="1"/>
  <c r="Z668" i="1"/>
  <c r="Z650" i="1"/>
  <c r="V650" i="1"/>
  <c r="Y1482" i="1"/>
  <c r="U1482" i="1"/>
  <c r="Z1438" i="1"/>
  <c r="V1438" i="1"/>
  <c r="U1409" i="1"/>
  <c r="Y1409" i="1"/>
  <c r="U1375" i="1"/>
  <c r="Y1375" i="1"/>
  <c r="Y1357" i="1"/>
  <c r="U1357" i="1"/>
  <c r="U1322" i="1"/>
  <c r="Y1322" i="1"/>
  <c r="Z1317" i="1"/>
  <c r="V1317" i="1"/>
  <c r="V1271" i="1"/>
  <c r="Z1271" i="1"/>
  <c r="U1240" i="1"/>
  <c r="Y1240" i="1"/>
  <c r="Z1236" i="1"/>
  <c r="V1236" i="1"/>
  <c r="Y1224" i="1"/>
  <c r="U1224" i="1"/>
  <c r="V1220" i="1"/>
  <c r="Z1220" i="1"/>
  <c r="Z1204" i="1"/>
  <c r="V1204" i="1"/>
  <c r="Z1188" i="1"/>
  <c r="V1188" i="1"/>
  <c r="U1176" i="1"/>
  <c r="Y1176" i="1"/>
  <c r="Z1172" i="1"/>
  <c r="V1172" i="1"/>
  <c r="Y1156" i="1"/>
  <c r="U1156" i="1"/>
  <c r="Y1114" i="1"/>
  <c r="U1114" i="1"/>
  <c r="Z1110" i="1"/>
  <c r="V1110" i="1"/>
  <c r="Y1045" i="1"/>
  <c r="U1045" i="1"/>
  <c r="U1004" i="1"/>
  <c r="Y1004" i="1"/>
  <c r="Y897" i="1"/>
  <c r="U897" i="1"/>
  <c r="Y832" i="1"/>
  <c r="U832" i="1"/>
  <c r="Y803" i="1"/>
  <c r="U803" i="1"/>
  <c r="V799" i="1"/>
  <c r="Z799" i="1"/>
  <c r="Y787" i="1"/>
  <c r="U787" i="1"/>
  <c r="V783" i="1"/>
  <c r="Z783" i="1"/>
  <c r="U771" i="1"/>
  <c r="Y771" i="1"/>
  <c r="V767" i="1"/>
  <c r="Z767" i="1"/>
  <c r="Y739" i="1"/>
  <c r="U739" i="1"/>
  <c r="V735" i="1"/>
  <c r="Z735" i="1"/>
  <c r="V681" i="1"/>
  <c r="Z681" i="1"/>
  <c r="Y669" i="1"/>
  <c r="U669" i="1"/>
  <c r="V1354" i="1"/>
  <c r="Z1354" i="1"/>
  <c r="Z1335" i="1"/>
  <c r="V1335" i="1"/>
  <c r="U1314" i="1"/>
  <c r="Y1314" i="1"/>
  <c r="Y1276" i="1"/>
  <c r="U1276" i="1"/>
  <c r="Y1241" i="1"/>
  <c r="U1241" i="1"/>
  <c r="V1229" i="1"/>
  <c r="Z1229" i="1"/>
  <c r="Y1225" i="1"/>
  <c r="U1225" i="1"/>
  <c r="V1213" i="1"/>
  <c r="Z1213" i="1"/>
  <c r="Y1209" i="1"/>
  <c r="U1209" i="1"/>
  <c r="U1193" i="1"/>
  <c r="Y1193" i="1"/>
  <c r="Z1181" i="1"/>
  <c r="V1181" i="1"/>
  <c r="Y1177" i="1"/>
  <c r="U1177" i="1"/>
  <c r="Z1165" i="1"/>
  <c r="V1165" i="1"/>
  <c r="Y1158" i="1"/>
  <c r="U1158" i="1"/>
  <c r="Y1115" i="1"/>
  <c r="U1115" i="1"/>
  <c r="Y1098" i="1"/>
  <c r="U1098" i="1"/>
  <c r="Z816" i="1"/>
  <c r="V816" i="1"/>
  <c r="Z800" i="1"/>
  <c r="V800" i="1"/>
  <c r="V768" i="1"/>
  <c r="Z768" i="1"/>
  <c r="Y764" i="1"/>
  <c r="U764" i="1"/>
  <c r="V736" i="1"/>
  <c r="Z736" i="1"/>
  <c r="U714" i="1"/>
  <c r="Y714" i="1"/>
  <c r="Z682" i="1"/>
  <c r="V682" i="1"/>
  <c r="U617" i="1"/>
  <c r="Y617" i="1"/>
  <c r="Z451" i="1"/>
  <c r="V451" i="1"/>
  <c r="Z411" i="1"/>
  <c r="V411" i="1"/>
  <c r="Y407" i="1"/>
  <c r="U407" i="1"/>
  <c r="Z387" i="1"/>
  <c r="V387" i="1"/>
  <c r="Z371" i="1"/>
  <c r="V371" i="1"/>
  <c r="Y367" i="1"/>
  <c r="U367" i="1"/>
  <c r="Z355" i="1"/>
  <c r="V355" i="1"/>
  <c r="Y351" i="1"/>
  <c r="U351" i="1"/>
  <c r="U262" i="1"/>
  <c r="Y262" i="1"/>
  <c r="V250" i="1"/>
  <c r="Z250" i="1"/>
  <c r="Y245" i="1"/>
  <c r="U245" i="1"/>
  <c r="U1328" i="1"/>
  <c r="Y1328" i="1"/>
  <c r="Z1315" i="1"/>
  <c r="V1315" i="1"/>
  <c r="U1311" i="1"/>
  <c r="Y1311" i="1"/>
  <c r="V1253" i="1"/>
  <c r="Z1253" i="1"/>
  <c r="Z1234" i="1"/>
  <c r="V1234" i="1"/>
  <c r="Y1230" i="1"/>
  <c r="U1230" i="1"/>
  <c r="Z1218" i="1"/>
  <c r="V1218" i="1"/>
  <c r="Y1214" i="1"/>
  <c r="U1214" i="1"/>
  <c r="V1202" i="1"/>
  <c r="Z1202" i="1"/>
  <c r="U1198" i="1"/>
  <c r="Y1198" i="1"/>
  <c r="Z1186" i="1"/>
  <c r="V1186" i="1"/>
  <c r="Y1182" i="1"/>
  <c r="U1182" i="1"/>
  <c r="Y1166" i="1"/>
  <c r="U1166" i="1"/>
  <c r="Z1126" i="1"/>
  <c r="V1126" i="1"/>
  <c r="Y1121" i="1"/>
  <c r="U1121" i="1"/>
  <c r="Y1013" i="1"/>
  <c r="U1013" i="1"/>
  <c r="V993" i="1"/>
  <c r="Z993" i="1"/>
  <c r="U989" i="1"/>
  <c r="Y989" i="1"/>
  <c r="U943" i="1"/>
  <c r="Y943" i="1"/>
  <c r="Y927" i="1"/>
  <c r="U927" i="1"/>
  <c r="U878" i="1"/>
  <c r="Y878" i="1"/>
  <c r="V851" i="1"/>
  <c r="Z851" i="1"/>
  <c r="Z834" i="1"/>
  <c r="V834" i="1"/>
  <c r="V789" i="1"/>
  <c r="Z789" i="1"/>
  <c r="V773" i="1"/>
  <c r="Z773" i="1"/>
  <c r="U769" i="1"/>
  <c r="Y769" i="1"/>
  <c r="V757" i="1"/>
  <c r="Z757" i="1"/>
  <c r="U753" i="1"/>
  <c r="Y753" i="1"/>
  <c r="V741" i="1"/>
  <c r="Z741" i="1"/>
  <c r="V724" i="1"/>
  <c r="Z724" i="1"/>
  <c r="Y702" i="1"/>
  <c r="U702" i="1"/>
  <c r="Z690" i="1"/>
  <c r="V690" i="1"/>
  <c r="U683" i="1"/>
  <c r="Y683" i="1"/>
  <c r="U533" i="1"/>
  <c r="Y533" i="1"/>
  <c r="Z456" i="1"/>
  <c r="V456" i="1"/>
  <c r="U412" i="1"/>
  <c r="Y412" i="1"/>
  <c r="Z400" i="1"/>
  <c r="V400" i="1"/>
  <c r="U396" i="1"/>
  <c r="Y396" i="1"/>
  <c r="Z384" i="1"/>
  <c r="V384" i="1"/>
  <c r="Z368" i="1"/>
  <c r="V368" i="1"/>
  <c r="Y364" i="1"/>
  <c r="U364" i="1"/>
  <c r="Z352" i="1"/>
  <c r="V352" i="1"/>
  <c r="Y348" i="1"/>
  <c r="U348" i="1"/>
  <c r="V336" i="1"/>
  <c r="Z336" i="1"/>
  <c r="U332" i="1"/>
  <c r="Y332" i="1"/>
  <c r="U316" i="1"/>
  <c r="Y316" i="1"/>
  <c r="V255" i="1"/>
  <c r="Z255" i="1"/>
  <c r="Y218" i="1"/>
  <c r="U218" i="1"/>
  <c r="Z188" i="1"/>
  <c r="V188" i="1"/>
  <c r="V621" i="1"/>
  <c r="Z621" i="1"/>
  <c r="U453" i="1"/>
  <c r="Y453" i="1"/>
  <c r="Z433" i="1"/>
  <c r="V433" i="1"/>
  <c r="Y413" i="1"/>
  <c r="U413" i="1"/>
  <c r="Y389" i="1"/>
  <c r="U389" i="1"/>
  <c r="Y373" i="1"/>
  <c r="U373" i="1"/>
  <c r="Z361" i="1"/>
  <c r="V361" i="1"/>
  <c r="Z329" i="1"/>
  <c r="V329" i="1"/>
  <c r="Z296" i="1"/>
  <c r="V296" i="1"/>
  <c r="V264" i="1"/>
  <c r="Z264" i="1"/>
  <c r="U260" i="1"/>
  <c r="Y260" i="1"/>
  <c r="V248" i="1"/>
  <c r="Z248" i="1"/>
  <c r="U243" i="1"/>
  <c r="Y243" i="1"/>
  <c r="Z58" i="1"/>
  <c r="V58" i="1"/>
  <c r="U54" i="1"/>
  <c r="Y54" i="1"/>
  <c r="V643" i="1"/>
  <c r="Z643" i="1"/>
  <c r="Y631" i="1"/>
  <c r="U631" i="1"/>
  <c r="U450" i="1"/>
  <c r="Y450" i="1"/>
  <c r="U434" i="1"/>
  <c r="Y434" i="1"/>
  <c r="Z414" i="1"/>
  <c r="V414" i="1"/>
  <c r="U402" i="1"/>
  <c r="Y402" i="1"/>
  <c r="U370" i="1"/>
  <c r="Y370" i="1"/>
  <c r="Z366" i="1"/>
  <c r="V366" i="1"/>
  <c r="Y354" i="1"/>
  <c r="U354" i="1"/>
  <c r="V350" i="1"/>
  <c r="Z350" i="1"/>
  <c r="U338" i="1"/>
  <c r="Y338" i="1"/>
  <c r="Z334" i="1"/>
  <c r="V334" i="1"/>
  <c r="U322" i="1"/>
  <c r="Y322" i="1"/>
  <c r="Z261" i="1"/>
  <c r="V261" i="1"/>
  <c r="Z244" i="1"/>
  <c r="V244" i="1"/>
  <c r="Y186" i="1"/>
  <c r="U186" i="1"/>
  <c r="Z51" i="1"/>
  <c r="V51" i="1"/>
  <c r="V43" i="1"/>
  <c r="Z43" i="1"/>
  <c r="U20" i="1"/>
  <c r="Y20" i="1"/>
  <c r="V16" i="1"/>
  <c r="Z16" i="1"/>
  <c r="V52" i="1"/>
  <c r="Z52" i="1"/>
  <c r="Y48" i="1"/>
  <c r="U48" i="1"/>
  <c r="V180" i="1"/>
  <c r="Z180" i="1"/>
  <c r="Z100" i="1"/>
  <c r="V100" i="1"/>
  <c r="U61" i="1"/>
  <c r="Y61" i="1"/>
  <c r="V49" i="1"/>
  <c r="Z49" i="1"/>
  <c r="U1318" i="1"/>
  <c r="Y1318" i="1"/>
  <c r="P198" i="17"/>
  <c r="P914" i="17"/>
  <c r="P877" i="17"/>
  <c r="P16" i="17"/>
  <c r="I432" i="10"/>
  <c r="H220" i="18" s="1"/>
  <c r="H432" i="10"/>
  <c r="G220" i="18" s="1"/>
  <c r="P171" i="17"/>
  <c r="P270" i="17"/>
  <c r="E36" i="2"/>
  <c r="E7" i="2" s="1"/>
  <c r="S44" i="1"/>
  <c r="S9" i="1"/>
  <c r="H25" i="11"/>
  <c r="S23" i="1"/>
  <c r="S30" i="1"/>
  <c r="S38" i="1"/>
  <c r="S41" i="1"/>
  <c r="S35" i="1"/>
  <c r="S32" i="1"/>
  <c r="S17" i="1"/>
  <c r="F144" i="10"/>
  <c r="F145" i="10"/>
  <c r="S31" i="1"/>
  <c r="S29" i="1"/>
  <c r="H265" i="10"/>
  <c r="I265" i="10" s="1"/>
  <c r="H213" i="10"/>
  <c r="I213" i="10" s="1"/>
  <c r="H270" i="10"/>
  <c r="I270" i="10" s="1"/>
  <c r="H214" i="10"/>
  <c r="I214" i="10" s="1"/>
  <c r="H266" i="10"/>
  <c r="I266" i="10" s="1"/>
  <c r="H269" i="10"/>
  <c r="I269" i="10" s="1"/>
  <c r="P744" i="17"/>
  <c r="P184" i="17"/>
  <c r="P293" i="17"/>
  <c r="P599" i="17"/>
  <c r="P928" i="17"/>
  <c r="P697" i="17"/>
  <c r="P645" i="17"/>
  <c r="P639" i="17"/>
  <c r="P774" i="17"/>
  <c r="P493" i="17"/>
  <c r="P1004" i="17"/>
  <c r="P969" i="17"/>
  <c r="P954" i="17"/>
  <c r="P934" i="17"/>
  <c r="P897" i="17"/>
  <c r="P870" i="17"/>
  <c r="P832" i="17"/>
  <c r="P907" i="17"/>
  <c r="P819" i="17"/>
  <c r="P806" i="17"/>
  <c r="P766" i="17"/>
  <c r="P759" i="17"/>
  <c r="P728" i="17"/>
  <c r="P660" i="17"/>
  <c r="P653" i="17"/>
  <c r="P1027" i="17" s="1"/>
  <c r="P591" i="17"/>
  <c r="P580" i="17"/>
  <c r="P569" i="17"/>
  <c r="P886" i="17"/>
  <c r="P560" i="17"/>
  <c r="P536" i="17"/>
  <c r="P520" i="17"/>
  <c r="P511" i="17"/>
  <c r="P352" i="17"/>
  <c r="P333" i="17"/>
  <c r="P325" i="17"/>
  <c r="P361" i="17"/>
  <c r="P399" i="17"/>
  <c r="P360" i="17"/>
  <c r="P398" i="17"/>
  <c r="P213" i="17"/>
  <c r="P178" i="17"/>
  <c r="P163" i="17"/>
  <c r="P131" i="17"/>
  <c r="P149" i="17" s="1"/>
  <c r="P118" i="17"/>
  <c r="W3088" i="1"/>
  <c r="AA3088" i="1"/>
  <c r="W2992" i="1"/>
  <c r="AA2992" i="1"/>
  <c r="U7" i="1"/>
  <c r="Y7" i="1"/>
  <c r="V7" i="1"/>
  <c r="Z7" i="1"/>
  <c r="AR787" i="1"/>
  <c r="AR786" i="1"/>
  <c r="AR785" i="1"/>
  <c r="AR784" i="1"/>
  <c r="AR783" i="1"/>
  <c r="AR782" i="1"/>
  <c r="AR781" i="1"/>
  <c r="AR780" i="1"/>
  <c r="AR779" i="1"/>
  <c r="AR778" i="1"/>
  <c r="AR777" i="1"/>
  <c r="AR776" i="1"/>
  <c r="AR775" i="1"/>
  <c r="AR774" i="1"/>
  <c r="AR773" i="1"/>
  <c r="AR772" i="1"/>
  <c r="AR771" i="1"/>
  <c r="AR770" i="1"/>
  <c r="AR769" i="1"/>
  <c r="AR768" i="1"/>
  <c r="AR767" i="1"/>
  <c r="AR766" i="1"/>
  <c r="AR765" i="1"/>
  <c r="AR764" i="1"/>
  <c r="AR763" i="1"/>
  <c r="AR762" i="1"/>
  <c r="AR761" i="1"/>
  <c r="AR760" i="1"/>
  <c r="AR759" i="1"/>
  <c r="AR758" i="1"/>
  <c r="AR757" i="1"/>
  <c r="AR756" i="1"/>
  <c r="AR755" i="1"/>
  <c r="AR754" i="1"/>
  <c r="AR753" i="1"/>
  <c r="AR752" i="1"/>
  <c r="AR751" i="1"/>
  <c r="AR750" i="1"/>
  <c r="AR749" i="1"/>
  <c r="AR748" i="1"/>
  <c r="AR747" i="1"/>
  <c r="AR746" i="1"/>
  <c r="AR745" i="1"/>
  <c r="AR744" i="1"/>
  <c r="AR743" i="1"/>
  <c r="AR742" i="1"/>
  <c r="AR741" i="1"/>
  <c r="AR740" i="1"/>
  <c r="AR739" i="1"/>
  <c r="AR738" i="1"/>
  <c r="AR737" i="1"/>
  <c r="AR736" i="1"/>
  <c r="AR735" i="1"/>
  <c r="AR734" i="1"/>
  <c r="AR733" i="1"/>
  <c r="AR732" i="1"/>
  <c r="AR731" i="1"/>
  <c r="AR729" i="1"/>
  <c r="AR728" i="1"/>
  <c r="AR727" i="1"/>
  <c r="AR726" i="1"/>
  <c r="AR725" i="1"/>
  <c r="AR724" i="1"/>
  <c r="AR723" i="1"/>
  <c r="AR722" i="1"/>
  <c r="AR721" i="1"/>
  <c r="AR720" i="1"/>
  <c r="AR719" i="1"/>
  <c r="AR718" i="1"/>
  <c r="AR716" i="1"/>
  <c r="AR715" i="1"/>
  <c r="AR714" i="1"/>
  <c r="AR713" i="1"/>
  <c r="AR712" i="1"/>
  <c r="AR710" i="1"/>
  <c r="AR709" i="1"/>
  <c r="AR708" i="1"/>
  <c r="AR707" i="1"/>
  <c r="AR706" i="1"/>
  <c r="AR705" i="1"/>
  <c r="AR704" i="1"/>
  <c r="AR703" i="1"/>
  <c r="AR702" i="1"/>
  <c r="AR701" i="1"/>
  <c r="AR700" i="1"/>
  <c r="AR699" i="1"/>
  <c r="AR698" i="1"/>
  <c r="AR697" i="1"/>
  <c r="AR696" i="1"/>
  <c r="AR695" i="1"/>
  <c r="AR694" i="1"/>
  <c r="AR693" i="1"/>
  <c r="AR692" i="1"/>
  <c r="AR691" i="1"/>
  <c r="AR690" i="1"/>
  <c r="AR689" i="1"/>
  <c r="AR686" i="1"/>
  <c r="AR684" i="1"/>
  <c r="AR683" i="1"/>
  <c r="AR682" i="1"/>
  <c r="AR681" i="1"/>
  <c r="AR680" i="1"/>
  <c r="AR679" i="1"/>
  <c r="AR678" i="1"/>
  <c r="AR677" i="1"/>
  <c r="AR676" i="1"/>
  <c r="AR675" i="1"/>
  <c r="AR674" i="1"/>
  <c r="AR673" i="1"/>
  <c r="AR672" i="1"/>
  <c r="AR671" i="1"/>
  <c r="AR670" i="1"/>
  <c r="AR669" i="1"/>
  <c r="AR668" i="1"/>
  <c r="AR667" i="1"/>
  <c r="AR666" i="1"/>
  <c r="AR664" i="1"/>
  <c r="AR663" i="1"/>
  <c r="AR662" i="1"/>
  <c r="AR661" i="1"/>
  <c r="AR660" i="1"/>
  <c r="AR659" i="1"/>
  <c r="AR658" i="1"/>
  <c r="AR657" i="1"/>
  <c r="AR656" i="1"/>
  <c r="AR655" i="1"/>
  <c r="AR654" i="1"/>
  <c r="AR652" i="1"/>
  <c r="AR651" i="1"/>
  <c r="AR650" i="1"/>
  <c r="AR649" i="1"/>
  <c r="AR648" i="1"/>
  <c r="AR647" i="1"/>
  <c r="AR646" i="1"/>
  <c r="AR645" i="1"/>
  <c r="AR644" i="1"/>
  <c r="AR643" i="1"/>
  <c r="AR642" i="1"/>
  <c r="AR641" i="1"/>
  <c r="AR640" i="1"/>
  <c r="AR639" i="1"/>
  <c r="AR638" i="1"/>
  <c r="AR637" i="1"/>
  <c r="AR636" i="1"/>
  <c r="AR635" i="1"/>
  <c r="AR634" i="1"/>
  <c r="AR633" i="1"/>
  <c r="AR632" i="1"/>
  <c r="AR631" i="1"/>
  <c r="AR629" i="1"/>
  <c r="AR628" i="1"/>
  <c r="AR627" i="1"/>
  <c r="AR626" i="1"/>
  <c r="AR625" i="1"/>
  <c r="AR624" i="1"/>
  <c r="AR623" i="1"/>
  <c r="AR622" i="1"/>
  <c r="AR621" i="1"/>
  <c r="AR620" i="1"/>
  <c r="AR617" i="1"/>
  <c r="AR616" i="1"/>
  <c r="AR615" i="1"/>
  <c r="AR614" i="1"/>
  <c r="AR613" i="1"/>
  <c r="AR612" i="1"/>
  <c r="AR611" i="1"/>
  <c r="AR610" i="1"/>
  <c r="AR608" i="1"/>
  <c r="AR607" i="1"/>
  <c r="AR606" i="1"/>
  <c r="AR605" i="1"/>
  <c r="AR604" i="1"/>
  <c r="AR603" i="1"/>
  <c r="AR602" i="1"/>
  <c r="AR601" i="1"/>
  <c r="AR600" i="1"/>
  <c r="AR599" i="1"/>
  <c r="AR598" i="1"/>
  <c r="AR597" i="1"/>
  <c r="AR596" i="1"/>
  <c r="AR595" i="1"/>
  <c r="AR594" i="1"/>
  <c r="AR593" i="1"/>
  <c r="AR592" i="1"/>
  <c r="AR591" i="1"/>
  <c r="AR590" i="1"/>
  <c r="AR589" i="1"/>
  <c r="AR588" i="1"/>
  <c r="AR587" i="1"/>
  <c r="AR586" i="1"/>
  <c r="AR585" i="1"/>
  <c r="AR584" i="1"/>
  <c r="AR583" i="1"/>
  <c r="AR582" i="1"/>
  <c r="AR581" i="1"/>
  <c r="AR580" i="1"/>
  <c r="AR579" i="1"/>
  <c r="AR578" i="1"/>
  <c r="AR577" i="1"/>
  <c r="AR576" i="1"/>
  <c r="AR575" i="1"/>
  <c r="AR574" i="1"/>
  <c r="AR573" i="1"/>
  <c r="AR572" i="1"/>
  <c r="AR571" i="1"/>
  <c r="AR570" i="1"/>
  <c r="AR569" i="1"/>
  <c r="AR568" i="1"/>
  <c r="AR567" i="1"/>
  <c r="AR566" i="1"/>
  <c r="AR565" i="1"/>
  <c r="AR564" i="1"/>
  <c r="AR563" i="1"/>
  <c r="AR562" i="1"/>
  <c r="AR561" i="1"/>
  <c r="AR560" i="1"/>
  <c r="AR559" i="1"/>
  <c r="AR558" i="1"/>
  <c r="AR557" i="1"/>
  <c r="AR556" i="1"/>
  <c r="AR555" i="1"/>
  <c r="AR554" i="1"/>
  <c r="AR553" i="1"/>
  <c r="AR552" i="1"/>
  <c r="AR551" i="1"/>
  <c r="AR550" i="1"/>
  <c r="AR549" i="1"/>
  <c r="AR548" i="1"/>
  <c r="AR547" i="1"/>
  <c r="AR546" i="1"/>
  <c r="AR545" i="1"/>
  <c r="AR544" i="1"/>
  <c r="AR543" i="1"/>
  <c r="AR542" i="1"/>
  <c r="AR541" i="1"/>
  <c r="AR540" i="1"/>
  <c r="AR539" i="1"/>
  <c r="AR538" i="1"/>
  <c r="AR537" i="1"/>
  <c r="AR536" i="1"/>
  <c r="AR535" i="1"/>
  <c r="AR534" i="1"/>
  <c r="AR533" i="1"/>
  <c r="AR532" i="1"/>
  <c r="AR531" i="1"/>
  <c r="AR530" i="1"/>
  <c r="AR529" i="1"/>
  <c r="AR528" i="1"/>
  <c r="AR527" i="1"/>
  <c r="AR526" i="1"/>
  <c r="AR525" i="1"/>
  <c r="AR524" i="1"/>
  <c r="AR523" i="1"/>
  <c r="AR522" i="1"/>
  <c r="AR521" i="1"/>
  <c r="AR520" i="1"/>
  <c r="AR519" i="1"/>
  <c r="AR518" i="1"/>
  <c r="AR517" i="1"/>
  <c r="AR516" i="1"/>
  <c r="AR515" i="1"/>
  <c r="AR514" i="1"/>
  <c r="AR513" i="1"/>
  <c r="AR512" i="1"/>
  <c r="AR511" i="1"/>
  <c r="AR510" i="1"/>
  <c r="AR509" i="1"/>
  <c r="AR508" i="1"/>
  <c r="AR507" i="1"/>
  <c r="AR506" i="1"/>
  <c r="AR505" i="1"/>
  <c r="AR504" i="1"/>
  <c r="AR503" i="1"/>
  <c r="AR502" i="1"/>
  <c r="AR501" i="1"/>
  <c r="AR500" i="1"/>
  <c r="AR499" i="1"/>
  <c r="AR498" i="1"/>
  <c r="AR497" i="1"/>
  <c r="AR496" i="1"/>
  <c r="AR495" i="1"/>
  <c r="AR494" i="1"/>
  <c r="AR493" i="1"/>
  <c r="AR492" i="1"/>
  <c r="AR491" i="1"/>
  <c r="AR490" i="1"/>
  <c r="AR489" i="1"/>
  <c r="AR488" i="1"/>
  <c r="AR487" i="1"/>
  <c r="AR486" i="1"/>
  <c r="AR485" i="1"/>
  <c r="AR484" i="1"/>
  <c r="AR483" i="1"/>
  <c r="AR482" i="1"/>
  <c r="AR481" i="1"/>
  <c r="AR480" i="1"/>
  <c r="AR479" i="1"/>
  <c r="AR478" i="1"/>
  <c r="AR477" i="1"/>
  <c r="AR475" i="1"/>
  <c r="AR474" i="1"/>
  <c r="AR473" i="1"/>
  <c r="AR472" i="1"/>
  <c r="AR471" i="1"/>
  <c r="AR470" i="1"/>
  <c r="AR469" i="1"/>
  <c r="AR468" i="1"/>
  <c r="AR467" i="1"/>
  <c r="AR466" i="1"/>
  <c r="AR465" i="1"/>
  <c r="AR464" i="1"/>
  <c r="AR463" i="1"/>
  <c r="AR462" i="1"/>
  <c r="AR461" i="1"/>
  <c r="AR460" i="1"/>
  <c r="AR459" i="1"/>
  <c r="AR458" i="1"/>
  <c r="AR457" i="1"/>
  <c r="AR456" i="1"/>
  <c r="AR455" i="1"/>
  <c r="AR454" i="1"/>
  <c r="AR453" i="1"/>
  <c r="AR452" i="1"/>
  <c r="AR451" i="1"/>
  <c r="AR450" i="1"/>
  <c r="AR449" i="1"/>
  <c r="AR448" i="1"/>
  <c r="AR447" i="1"/>
  <c r="AR446" i="1"/>
  <c r="AR445" i="1"/>
  <c r="AR444" i="1"/>
  <c r="AR443" i="1"/>
  <c r="AR442" i="1"/>
  <c r="AR441" i="1"/>
  <c r="AR440" i="1"/>
  <c r="AR439" i="1"/>
  <c r="AR438" i="1"/>
  <c r="AR437" i="1"/>
  <c r="AR436" i="1"/>
  <c r="AR435" i="1"/>
  <c r="AR434" i="1"/>
  <c r="AR433" i="1"/>
  <c r="AR432" i="1"/>
  <c r="AR431" i="1"/>
  <c r="AR430" i="1"/>
  <c r="AR429" i="1"/>
  <c r="AR428" i="1"/>
  <c r="AR427" i="1"/>
  <c r="AR426" i="1"/>
  <c r="AR425" i="1"/>
  <c r="AR424" i="1"/>
  <c r="AR423" i="1"/>
  <c r="AR422" i="1"/>
  <c r="AR421" i="1"/>
  <c r="AR420" i="1"/>
  <c r="AR419" i="1"/>
  <c r="AR418" i="1"/>
  <c r="AR417" i="1"/>
  <c r="AR416" i="1"/>
  <c r="AR415" i="1"/>
  <c r="AR414" i="1"/>
  <c r="AR413" i="1"/>
  <c r="AR412" i="1"/>
  <c r="AR411" i="1"/>
  <c r="AR410" i="1"/>
  <c r="AR409" i="1"/>
  <c r="AR408" i="1"/>
  <c r="AR407" i="1"/>
  <c r="AR406" i="1"/>
  <c r="AR405" i="1"/>
  <c r="AR404" i="1"/>
  <c r="AR403" i="1"/>
  <c r="AR402" i="1"/>
  <c r="AR401" i="1"/>
  <c r="AR400" i="1"/>
  <c r="AR399" i="1"/>
  <c r="AR398" i="1"/>
  <c r="AR397" i="1"/>
  <c r="AR396" i="1"/>
  <c r="AR395" i="1"/>
  <c r="AR394" i="1"/>
  <c r="AR393" i="1"/>
  <c r="AR392" i="1"/>
  <c r="AR391" i="1"/>
  <c r="AR390" i="1"/>
  <c r="AR389" i="1"/>
  <c r="AR388" i="1"/>
  <c r="AR387" i="1"/>
  <c r="AR386" i="1"/>
  <c r="AR385" i="1"/>
  <c r="AR384" i="1"/>
  <c r="AR383" i="1"/>
  <c r="AR382" i="1"/>
  <c r="AR381" i="1"/>
  <c r="AR380" i="1"/>
  <c r="AR379" i="1"/>
  <c r="AR378" i="1"/>
  <c r="AR377" i="1"/>
  <c r="AR376" i="1"/>
  <c r="AR375" i="1"/>
  <c r="AR374" i="1"/>
  <c r="AR373" i="1"/>
  <c r="AR372" i="1"/>
  <c r="AR371" i="1"/>
  <c r="AR370" i="1"/>
  <c r="AR369" i="1"/>
  <c r="AR368" i="1"/>
  <c r="AR367" i="1"/>
  <c r="AR366" i="1"/>
  <c r="AR365" i="1"/>
  <c r="AR364" i="1"/>
  <c r="AR363" i="1"/>
  <c r="AR362" i="1"/>
  <c r="AR361" i="1"/>
  <c r="AR360" i="1"/>
  <c r="AR359" i="1"/>
  <c r="AR358" i="1"/>
  <c r="AR357" i="1"/>
  <c r="AR356" i="1"/>
  <c r="AR355" i="1"/>
  <c r="AR354" i="1"/>
  <c r="AR353" i="1"/>
  <c r="AR352" i="1"/>
  <c r="AR351" i="1"/>
  <c r="AR350" i="1"/>
  <c r="AR349" i="1"/>
  <c r="AR348" i="1"/>
  <c r="AR347" i="1"/>
  <c r="AR346" i="1"/>
  <c r="AR345" i="1"/>
  <c r="AR344" i="1"/>
  <c r="AR343" i="1"/>
  <c r="AR342" i="1"/>
  <c r="AR341" i="1"/>
  <c r="AR340" i="1"/>
  <c r="AR339" i="1"/>
  <c r="AR338" i="1"/>
  <c r="AR337" i="1"/>
  <c r="AR336" i="1"/>
  <c r="AR335" i="1"/>
  <c r="AR334" i="1"/>
  <c r="AR333" i="1"/>
  <c r="AR332" i="1"/>
  <c r="AR331" i="1"/>
  <c r="AR330" i="1"/>
  <c r="AR329" i="1"/>
  <c r="AR328" i="1"/>
  <c r="AR327" i="1"/>
  <c r="AR326" i="1"/>
  <c r="AR325" i="1"/>
  <c r="AR324" i="1"/>
  <c r="AR323" i="1"/>
  <c r="AR322" i="1"/>
  <c r="AR321" i="1"/>
  <c r="AR320" i="1"/>
  <c r="AR319" i="1"/>
  <c r="AR318" i="1"/>
  <c r="AR317" i="1"/>
  <c r="AR316" i="1"/>
  <c r="AR315" i="1"/>
  <c r="AR314" i="1"/>
  <c r="AR313" i="1"/>
  <c r="AR312" i="1"/>
  <c r="AR311" i="1"/>
  <c r="AR310" i="1"/>
  <c r="AR309" i="1"/>
  <c r="AR308" i="1"/>
  <c r="AR307" i="1"/>
  <c r="AR305" i="1"/>
  <c r="AR304" i="1"/>
  <c r="AR303" i="1"/>
  <c r="AR302" i="1"/>
  <c r="AR301" i="1"/>
  <c r="AR300" i="1"/>
  <c r="AR299" i="1"/>
  <c r="AR298" i="1"/>
  <c r="AR297" i="1"/>
  <c r="AR296" i="1"/>
  <c r="AR295" i="1"/>
  <c r="AR294" i="1"/>
  <c r="AR293" i="1"/>
  <c r="AR292" i="1"/>
  <c r="AR291" i="1"/>
  <c r="AR290" i="1"/>
  <c r="AR289" i="1"/>
  <c r="AR288" i="1"/>
  <c r="AR287" i="1"/>
  <c r="AR286" i="1"/>
  <c r="AR285" i="1"/>
  <c r="AR284" i="1"/>
  <c r="AR283" i="1"/>
  <c r="AR282" i="1"/>
  <c r="AR281" i="1"/>
  <c r="AR280" i="1"/>
  <c r="AR279" i="1"/>
  <c r="AR278" i="1"/>
  <c r="AR277" i="1"/>
  <c r="AR276" i="1"/>
  <c r="AR275" i="1"/>
  <c r="AR274" i="1"/>
  <c r="AR273" i="1"/>
  <c r="AR272" i="1"/>
  <c r="AR271" i="1"/>
  <c r="AR270" i="1"/>
  <c r="AR269" i="1"/>
  <c r="AR268" i="1"/>
  <c r="AR267" i="1"/>
  <c r="AR266" i="1"/>
  <c r="AR265" i="1"/>
  <c r="AR264" i="1"/>
  <c r="AR263" i="1"/>
  <c r="AR262" i="1"/>
  <c r="AR261" i="1"/>
  <c r="AR260" i="1"/>
  <c r="AR259" i="1"/>
  <c r="AR258" i="1"/>
  <c r="AR257" i="1"/>
  <c r="AR256" i="1"/>
  <c r="AR255" i="1"/>
  <c r="AR254" i="1"/>
  <c r="AR253" i="1"/>
  <c r="AR252" i="1"/>
  <c r="AR251" i="1"/>
  <c r="AR250" i="1"/>
  <c r="AR249" i="1"/>
  <c r="AR248" i="1"/>
  <c r="AR247" i="1"/>
  <c r="AR245" i="1"/>
  <c r="AR244" i="1"/>
  <c r="AR243" i="1"/>
  <c r="AR242" i="1"/>
  <c r="AR241" i="1"/>
  <c r="AR240" i="1"/>
  <c r="AR239" i="1"/>
  <c r="AR238" i="1"/>
  <c r="AR237" i="1"/>
  <c r="AR236" i="1"/>
  <c r="AR235" i="1"/>
  <c r="AR234" i="1"/>
  <c r="AR232" i="1"/>
  <c r="AR231" i="1"/>
  <c r="AR230" i="1"/>
  <c r="AR229" i="1"/>
  <c r="AR228" i="1"/>
  <c r="AR227" i="1"/>
  <c r="AR226" i="1"/>
  <c r="AR225" i="1"/>
  <c r="AR224" i="1"/>
  <c r="AR223" i="1"/>
  <c r="AR222" i="1"/>
  <c r="AR221" i="1"/>
  <c r="AR220" i="1"/>
  <c r="AR219" i="1"/>
  <c r="AR218" i="1"/>
  <c r="AR217" i="1"/>
  <c r="AR216" i="1"/>
  <c r="AR215" i="1"/>
  <c r="AR214" i="1"/>
  <c r="AR213" i="1"/>
  <c r="AR212" i="1"/>
  <c r="AR211" i="1"/>
  <c r="AR210" i="1"/>
  <c r="AR209" i="1"/>
  <c r="AR208" i="1"/>
  <c r="AR205" i="1"/>
  <c r="AR204" i="1"/>
  <c r="AR203" i="1"/>
  <c r="AR202" i="1"/>
  <c r="AR201" i="1"/>
  <c r="AR200" i="1"/>
  <c r="AR199" i="1"/>
  <c r="AR198" i="1"/>
  <c r="AR197" i="1"/>
  <c r="AR196" i="1"/>
  <c r="AR195" i="1"/>
  <c r="AR194" i="1"/>
  <c r="AR193" i="1"/>
  <c r="AR192" i="1"/>
  <c r="AR191" i="1"/>
  <c r="AR190" i="1"/>
  <c r="AR189" i="1"/>
  <c r="AR188" i="1"/>
  <c r="AR187" i="1"/>
  <c r="AR186" i="1"/>
  <c r="AR185" i="1"/>
  <c r="AR184" i="1"/>
  <c r="AR183" i="1"/>
  <c r="AR182" i="1"/>
  <c r="AR181" i="1"/>
  <c r="AR180" i="1"/>
  <c r="AR179" i="1"/>
  <c r="AR178" i="1"/>
  <c r="AR177" i="1"/>
  <c r="AR176" i="1"/>
  <c r="AR175" i="1"/>
  <c r="AR174" i="1"/>
  <c r="AR173" i="1"/>
  <c r="AR172" i="1"/>
  <c r="AR171" i="1"/>
  <c r="AR170" i="1"/>
  <c r="AR169" i="1"/>
  <c r="AR168" i="1"/>
  <c r="AR167" i="1"/>
  <c r="AR166" i="1"/>
  <c r="AR165" i="1"/>
  <c r="AR164" i="1"/>
  <c r="AR163" i="1"/>
  <c r="AR162" i="1"/>
  <c r="AR161" i="1"/>
  <c r="AR160" i="1"/>
  <c r="AR159" i="1"/>
  <c r="AR158" i="1"/>
  <c r="AR157" i="1"/>
  <c r="AR156" i="1"/>
  <c r="AR155" i="1"/>
  <c r="AR154" i="1"/>
  <c r="AR153" i="1"/>
  <c r="AR152" i="1"/>
  <c r="AR151" i="1"/>
  <c r="AR150" i="1"/>
  <c r="AR149" i="1"/>
  <c r="AR148" i="1"/>
  <c r="AR147" i="1"/>
  <c r="AR146" i="1"/>
  <c r="AR145" i="1"/>
  <c r="AR144" i="1"/>
  <c r="AR143" i="1"/>
  <c r="AR142" i="1"/>
  <c r="AR141" i="1"/>
  <c r="AR140" i="1"/>
  <c r="AR139" i="1"/>
  <c r="AR138" i="1"/>
  <c r="AR137" i="1"/>
  <c r="AR136" i="1"/>
  <c r="AR135" i="1"/>
  <c r="AR134" i="1"/>
  <c r="AR133" i="1"/>
  <c r="AR132" i="1"/>
  <c r="AR131" i="1"/>
  <c r="AR130" i="1"/>
  <c r="AR129" i="1"/>
  <c r="AR128" i="1"/>
  <c r="AR127" i="1"/>
  <c r="AR126" i="1"/>
  <c r="AR125" i="1"/>
  <c r="AR124" i="1"/>
  <c r="AR123" i="1"/>
  <c r="AR122" i="1"/>
  <c r="AR121" i="1"/>
  <c r="AR120" i="1"/>
  <c r="AR119" i="1"/>
  <c r="AR118" i="1"/>
  <c r="AR117" i="1"/>
  <c r="AR116" i="1"/>
  <c r="AR115" i="1"/>
  <c r="AR114" i="1"/>
  <c r="AR113" i="1"/>
  <c r="AR112" i="1"/>
  <c r="AR111" i="1"/>
  <c r="AR110" i="1"/>
  <c r="AR109" i="1"/>
  <c r="AR108" i="1"/>
  <c r="AR107" i="1"/>
  <c r="AR106" i="1"/>
  <c r="AR105" i="1"/>
  <c r="AR104" i="1"/>
  <c r="AR103" i="1"/>
  <c r="AR102" i="1"/>
  <c r="AR101" i="1"/>
  <c r="AR100" i="1"/>
  <c r="AR99" i="1"/>
  <c r="AR98" i="1"/>
  <c r="AR97" i="1"/>
  <c r="AR96" i="1"/>
  <c r="AR95" i="1"/>
  <c r="AR94" i="1"/>
  <c r="AR93" i="1"/>
  <c r="AR92" i="1"/>
  <c r="AR90" i="1"/>
  <c r="AR89" i="1"/>
  <c r="AR88" i="1"/>
  <c r="AR87" i="1"/>
  <c r="AR86" i="1"/>
  <c r="AR85" i="1"/>
  <c r="AR83" i="1"/>
  <c r="AR82" i="1"/>
  <c r="AR80" i="1"/>
  <c r="AR79" i="1"/>
  <c r="AR78" i="1"/>
  <c r="AR77" i="1"/>
  <c r="AR76" i="1"/>
  <c r="AR75" i="1"/>
  <c r="AR74" i="1"/>
  <c r="AR73" i="1"/>
  <c r="AR72" i="1"/>
  <c r="AR71" i="1"/>
  <c r="AR70" i="1"/>
  <c r="AR69" i="1"/>
  <c r="AR68" i="1"/>
  <c r="AR67" i="1"/>
  <c r="AR66" i="1"/>
  <c r="AR65" i="1"/>
  <c r="AR64" i="1"/>
  <c r="AR63" i="1"/>
  <c r="AR62" i="1"/>
  <c r="AR61" i="1"/>
  <c r="AR60" i="1"/>
  <c r="AR59" i="1"/>
  <c r="AR58" i="1"/>
  <c r="AR57" i="1"/>
  <c r="AR56" i="1"/>
  <c r="AR55" i="1"/>
  <c r="AR54" i="1"/>
  <c r="AR53" i="1"/>
  <c r="AR52" i="1"/>
  <c r="AR51" i="1"/>
  <c r="AR50" i="1"/>
  <c r="AR49" i="1"/>
  <c r="AR48" i="1"/>
  <c r="AR47" i="1"/>
  <c r="AR46" i="1"/>
  <c r="AR45" i="1"/>
  <c r="AR44" i="1"/>
  <c r="AR43" i="1"/>
  <c r="AR42" i="1"/>
  <c r="AR37" i="1"/>
  <c r="AR36" i="1"/>
  <c r="AR35" i="1"/>
  <c r="AR34" i="1"/>
  <c r="AR33" i="1"/>
  <c r="AR32" i="1"/>
  <c r="AR31" i="1"/>
  <c r="AR30" i="1"/>
  <c r="AR29" i="1"/>
  <c r="AR28" i="1"/>
  <c r="AR27" i="1"/>
  <c r="AR26" i="1"/>
  <c r="AR25" i="1"/>
  <c r="AR24" i="1"/>
  <c r="AR23" i="1"/>
  <c r="AR22" i="1"/>
  <c r="AR21" i="1"/>
  <c r="AR20" i="1"/>
  <c r="AR19" i="1"/>
  <c r="AR18" i="1"/>
  <c r="AR17" i="1"/>
  <c r="AR16" i="1"/>
  <c r="AR15" i="1"/>
  <c r="AR14" i="1"/>
  <c r="AR13" i="1"/>
  <c r="AR12" i="1"/>
  <c r="AR11" i="1"/>
  <c r="AR10" i="1"/>
  <c r="AR9" i="1"/>
  <c r="AR8" i="1"/>
  <c r="AR7" i="1"/>
  <c r="AN2916" i="1" l="1"/>
  <c r="J149" i="10"/>
  <c r="P1013" i="17" s="1"/>
  <c r="AO2916" i="1"/>
  <c r="V1318" i="1"/>
  <c r="Y2916" i="1"/>
  <c r="Z2916" i="1" s="1"/>
  <c r="Z983" i="1"/>
  <c r="V983" i="1"/>
  <c r="Z29" i="1"/>
  <c r="V29" i="1"/>
  <c r="V17" i="1"/>
  <c r="Z17" i="1"/>
  <c r="Z9" i="1"/>
  <c r="V9" i="1"/>
  <c r="V44" i="1"/>
  <c r="Z44" i="1"/>
  <c r="K58" i="1"/>
  <c r="M475" i="1"/>
  <c r="AP475" i="1" s="1"/>
  <c r="AQ475" i="1" s="1"/>
  <c r="K788" i="1"/>
  <c r="K789" i="1"/>
  <c r="K832" i="1"/>
  <c r="K833" i="1"/>
  <c r="K839" i="1"/>
  <c r="K868" i="1"/>
  <c r="J884" i="1"/>
  <c r="K1076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1" i="1"/>
  <c r="K1122" i="1"/>
  <c r="K1124" i="1"/>
  <c r="K1125" i="1"/>
  <c r="K1126" i="1"/>
  <c r="K1127" i="1"/>
  <c r="K1152" i="1"/>
  <c r="K1153" i="1"/>
  <c r="K1154" i="1"/>
  <c r="K1155" i="1"/>
  <c r="K1156" i="1"/>
  <c r="K1158" i="1"/>
  <c r="K1160" i="1"/>
  <c r="K1161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8" i="1"/>
  <c r="K1279" i="1"/>
  <c r="K1283" i="1"/>
  <c r="K1284" i="1"/>
  <c r="K1285" i="1"/>
  <c r="K1286" i="1"/>
  <c r="K1287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9" i="1"/>
  <c r="K1310" i="1"/>
  <c r="K1311" i="1"/>
  <c r="K1312" i="1"/>
  <c r="K1313" i="1"/>
  <c r="K1314" i="1"/>
  <c r="K1315" i="1"/>
  <c r="K1316" i="1"/>
  <c r="K1317" i="1"/>
  <c r="K1319" i="1"/>
  <c r="K1320" i="1"/>
  <c r="K1321" i="1"/>
  <c r="AO3132" i="1"/>
  <c r="AO3128" i="1"/>
  <c r="AO3082" i="1"/>
  <c r="AO2901" i="1"/>
  <c r="AO2886" i="1"/>
  <c r="AO2882" i="1"/>
  <c r="AO2878" i="1"/>
  <c r="AO2864" i="1"/>
  <c r="AO2860" i="1"/>
  <c r="AO2856" i="1"/>
  <c r="AO2915" i="1"/>
  <c r="AO2917" i="1" s="1"/>
  <c r="AO2883" i="1"/>
  <c r="AO2865" i="1"/>
  <c r="AO2857" i="1"/>
  <c r="AO3133" i="1"/>
  <c r="AO3129" i="1"/>
  <c r="AO3118" i="1"/>
  <c r="AO3134" i="1"/>
  <c r="AO3130" i="1"/>
  <c r="AO3126" i="1"/>
  <c r="AO3089" i="1"/>
  <c r="AO3091" i="1" s="1"/>
  <c r="AO2986" i="1"/>
  <c r="AO2888" i="1"/>
  <c r="AO2884" i="1"/>
  <c r="AO2880" i="1"/>
  <c r="AO2866" i="1"/>
  <c r="AO2862" i="1"/>
  <c r="AO2858" i="1"/>
  <c r="AO2885" i="1"/>
  <c r="AO2881" i="1"/>
  <c r="AO2867" i="1"/>
  <c r="AO2863" i="1"/>
  <c r="AO2859" i="1"/>
  <c r="AO2855" i="1"/>
  <c r="AO2906" i="1"/>
  <c r="AO2904" i="1" s="1"/>
  <c r="AO2887" i="1"/>
  <c r="AO2879" i="1"/>
  <c r="AO2861" i="1"/>
  <c r="AO3174" i="1"/>
  <c r="AO3135" i="1"/>
  <c r="AO3131" i="1"/>
  <c r="AO3127" i="1"/>
  <c r="AN3174" i="1"/>
  <c r="AN3135" i="1"/>
  <c r="AN3131" i="1"/>
  <c r="AN3127" i="1"/>
  <c r="AN3132" i="1"/>
  <c r="AN3128" i="1"/>
  <c r="AN3082" i="1"/>
  <c r="AN2901" i="1"/>
  <c r="AN2886" i="1"/>
  <c r="AN2882" i="1"/>
  <c r="AN2878" i="1"/>
  <c r="AN2864" i="1"/>
  <c r="AN2860" i="1"/>
  <c r="AN2856" i="1"/>
  <c r="AN2915" i="1"/>
  <c r="AN2917" i="1" s="1"/>
  <c r="AN2887" i="1"/>
  <c r="AN2879" i="1"/>
  <c r="AN2861" i="1"/>
  <c r="AN3133" i="1"/>
  <c r="AN3129" i="1"/>
  <c r="AN3118" i="1"/>
  <c r="AN3134" i="1"/>
  <c r="AN3130" i="1"/>
  <c r="AN3126" i="1"/>
  <c r="AN3089" i="1"/>
  <c r="AN3091" i="1" s="1"/>
  <c r="AN2986" i="1"/>
  <c r="AN2888" i="1"/>
  <c r="AN2884" i="1"/>
  <c r="AN2880" i="1"/>
  <c r="AN2866" i="1"/>
  <c r="AN2862" i="1"/>
  <c r="AN2858" i="1"/>
  <c r="AN2885" i="1"/>
  <c r="AN2881" i="1"/>
  <c r="AN2867" i="1"/>
  <c r="AN2863" i="1"/>
  <c r="AN2859" i="1"/>
  <c r="AN2906" i="1"/>
  <c r="AN2904" i="1" s="1"/>
  <c r="AN2883" i="1"/>
  <c r="AN2865" i="1"/>
  <c r="AN2857" i="1"/>
  <c r="AM3174" i="1"/>
  <c r="AM3135" i="1"/>
  <c r="AM3131" i="1"/>
  <c r="AM3127" i="1"/>
  <c r="AM3132" i="1"/>
  <c r="AM3128" i="1"/>
  <c r="AM3082" i="1"/>
  <c r="AM2901" i="1"/>
  <c r="AM2886" i="1"/>
  <c r="AM2882" i="1"/>
  <c r="AM2878" i="1"/>
  <c r="AM2864" i="1"/>
  <c r="AM2860" i="1"/>
  <c r="AM2856" i="1"/>
  <c r="AM2906" i="1"/>
  <c r="AM2904" i="1" s="1"/>
  <c r="AM2883" i="1"/>
  <c r="AM2865" i="1"/>
  <c r="AM2857" i="1"/>
  <c r="AM3133" i="1"/>
  <c r="AM3129" i="1"/>
  <c r="AM3118" i="1"/>
  <c r="AM3134" i="1"/>
  <c r="AM3130" i="1"/>
  <c r="AM3126" i="1"/>
  <c r="AM3089" i="1"/>
  <c r="AM3091" i="1" s="1"/>
  <c r="AM2986" i="1"/>
  <c r="AM2888" i="1"/>
  <c r="AM2884" i="1"/>
  <c r="AM2880" i="1"/>
  <c r="AM2866" i="1"/>
  <c r="AM2862" i="1"/>
  <c r="AM2858" i="1"/>
  <c r="AM2885" i="1"/>
  <c r="AM2881" i="1"/>
  <c r="AM2867" i="1"/>
  <c r="AM2863" i="1"/>
  <c r="AM2859" i="1"/>
  <c r="AM2855" i="1"/>
  <c r="AM2915" i="1"/>
  <c r="AM2917" i="1" s="1"/>
  <c r="AM2887" i="1"/>
  <c r="AM2879" i="1"/>
  <c r="AM2861" i="1"/>
  <c r="I220" i="18"/>
  <c r="I257" i="18" s="1"/>
  <c r="J430" i="10"/>
  <c r="H430" i="10" s="1"/>
  <c r="G219" i="18" s="1"/>
  <c r="H144" i="10"/>
  <c r="I144" i="10" s="1"/>
  <c r="F149" i="10"/>
  <c r="F147" i="10"/>
  <c r="R194" i="1"/>
  <c r="H145" i="10"/>
  <c r="I145" i="10" s="1"/>
  <c r="AL3133" i="1"/>
  <c r="AL3129" i="1"/>
  <c r="AL3118" i="1"/>
  <c r="AL2906" i="1"/>
  <c r="AL2904" i="1" s="1"/>
  <c r="AL2886" i="1"/>
  <c r="AL2882" i="1"/>
  <c r="AL2878" i="1"/>
  <c r="AL2864" i="1"/>
  <c r="AL2860" i="1"/>
  <c r="AL2856" i="1"/>
  <c r="AL3130" i="1"/>
  <c r="AL3126" i="1"/>
  <c r="AL2915" i="1"/>
  <c r="AL2917" i="1" s="1"/>
  <c r="AL2887" i="1"/>
  <c r="AL2879" i="1"/>
  <c r="AL2861" i="1"/>
  <c r="AL2901" i="1"/>
  <c r="AL2867" i="1"/>
  <c r="AL2859" i="1"/>
  <c r="AL3134" i="1"/>
  <c r="AL3082" i="1"/>
  <c r="AL2883" i="1"/>
  <c r="AL2865" i="1"/>
  <c r="AL2857" i="1"/>
  <c r="AL2986" i="1"/>
  <c r="AL2888" i="1"/>
  <c r="AL2884" i="1"/>
  <c r="AL2880" i="1"/>
  <c r="AL2866" i="1"/>
  <c r="AL2862" i="1"/>
  <c r="AL2858" i="1"/>
  <c r="AL2885" i="1"/>
  <c r="AL2881" i="1"/>
  <c r="AL2863" i="1"/>
  <c r="AL2855" i="1"/>
  <c r="AL3135" i="1"/>
  <c r="AL3131" i="1"/>
  <c r="AL3127" i="1"/>
  <c r="AL3174" i="1"/>
  <c r="AL3132" i="1"/>
  <c r="AL3128" i="1"/>
  <c r="AL3089" i="1"/>
  <c r="AL3091" i="1" s="1"/>
  <c r="AK3132" i="1"/>
  <c r="AK3128" i="1"/>
  <c r="AK3082" i="1"/>
  <c r="AK2901" i="1"/>
  <c r="AK2886" i="1"/>
  <c r="AK2882" i="1"/>
  <c r="AK2878" i="1"/>
  <c r="AK2864" i="1"/>
  <c r="AK2860" i="1"/>
  <c r="AK2856" i="1"/>
  <c r="AK3174" i="1"/>
  <c r="AK3127" i="1"/>
  <c r="AK2885" i="1"/>
  <c r="AK2867" i="1"/>
  <c r="AK2855" i="1"/>
  <c r="AK3133" i="1"/>
  <c r="AK3129" i="1"/>
  <c r="AK3118" i="1"/>
  <c r="AK2915" i="1"/>
  <c r="AK2917" i="1" s="1"/>
  <c r="AK2906" i="1"/>
  <c r="AK2904" i="1" s="1"/>
  <c r="AK2887" i="1"/>
  <c r="AK2883" i="1"/>
  <c r="AK2879" i="1"/>
  <c r="AK2865" i="1"/>
  <c r="AK2861" i="1"/>
  <c r="AK2857" i="1"/>
  <c r="AK3135" i="1"/>
  <c r="AK2881" i="1"/>
  <c r="AK2863" i="1"/>
  <c r="AK3134" i="1"/>
  <c r="AK3130" i="1"/>
  <c r="AK3126" i="1"/>
  <c r="AK3089" i="1"/>
  <c r="AK3091" i="1" s="1"/>
  <c r="AK2986" i="1"/>
  <c r="AK2888" i="1"/>
  <c r="AK2884" i="1"/>
  <c r="AK2880" i="1"/>
  <c r="AK2866" i="1"/>
  <c r="AK2862" i="1"/>
  <c r="AK2858" i="1"/>
  <c r="AK3131" i="1"/>
  <c r="AK2859" i="1"/>
  <c r="AJ3133" i="1"/>
  <c r="AJ3129" i="1"/>
  <c r="AJ3118" i="1"/>
  <c r="AJ3134" i="1"/>
  <c r="AJ3130" i="1"/>
  <c r="AJ3126" i="1"/>
  <c r="AJ3089" i="1"/>
  <c r="AJ3091" i="1" s="1"/>
  <c r="AJ2986" i="1"/>
  <c r="AJ2888" i="1"/>
  <c r="AJ2884" i="1"/>
  <c r="AJ2880" i="1"/>
  <c r="AJ2866" i="1"/>
  <c r="AJ2862" i="1"/>
  <c r="AJ2858" i="1"/>
  <c r="AJ2885" i="1"/>
  <c r="AJ2881" i="1"/>
  <c r="AJ2867" i="1"/>
  <c r="AJ2863" i="1"/>
  <c r="AJ2859" i="1"/>
  <c r="AJ2855" i="1"/>
  <c r="AJ2906" i="1"/>
  <c r="AJ2904" i="1" s="1"/>
  <c r="AJ2883" i="1"/>
  <c r="AJ2865" i="1"/>
  <c r="AJ2857" i="1"/>
  <c r="AJ3174" i="1"/>
  <c r="AJ3135" i="1"/>
  <c r="AJ3131" i="1"/>
  <c r="AJ3127" i="1"/>
  <c r="AJ3132" i="1"/>
  <c r="AJ3128" i="1"/>
  <c r="AJ3082" i="1"/>
  <c r="AJ2901" i="1"/>
  <c r="AJ2886" i="1"/>
  <c r="AJ2882" i="1"/>
  <c r="AJ2878" i="1"/>
  <c r="AJ2864" i="1"/>
  <c r="AJ2860" i="1"/>
  <c r="AJ2856" i="1"/>
  <c r="AJ2915" i="1"/>
  <c r="AJ2917" i="1" s="1"/>
  <c r="AJ2887" i="1"/>
  <c r="AJ2879" i="1"/>
  <c r="AJ2861" i="1"/>
  <c r="AI3174" i="1"/>
  <c r="AI3132" i="1"/>
  <c r="AI3128" i="1"/>
  <c r="AI3089" i="1"/>
  <c r="AI3091" i="1" s="1"/>
  <c r="AI2986" i="1"/>
  <c r="AI2901" i="1"/>
  <c r="AI2885" i="1"/>
  <c r="AI2881" i="1"/>
  <c r="AI2867" i="1"/>
  <c r="AI2863" i="1"/>
  <c r="AI2859" i="1"/>
  <c r="AI2855" i="1"/>
  <c r="AI2906" i="1"/>
  <c r="AI2904" i="1" s="1"/>
  <c r="AI2886" i="1"/>
  <c r="AI2882" i="1"/>
  <c r="AI2878" i="1"/>
  <c r="AI2864" i="1"/>
  <c r="AI2860" i="1"/>
  <c r="AI2856" i="1"/>
  <c r="AI3133" i="1"/>
  <c r="AI3129" i="1"/>
  <c r="AI3118" i="1"/>
  <c r="AI3134" i="1"/>
  <c r="AI3130" i="1"/>
  <c r="AI3126" i="1"/>
  <c r="AI3082" i="1"/>
  <c r="AI2915" i="1"/>
  <c r="AI2917" i="1" s="1"/>
  <c r="AI2887" i="1"/>
  <c r="AI2883" i="1"/>
  <c r="AI2879" i="1"/>
  <c r="AI2865" i="1"/>
  <c r="AI2861" i="1"/>
  <c r="AI2857" i="1"/>
  <c r="AI2888" i="1"/>
  <c r="AI2884" i="1"/>
  <c r="AI2880" i="1"/>
  <c r="AI2866" i="1"/>
  <c r="AI2862" i="1"/>
  <c r="AI2858" i="1"/>
  <c r="AI3135" i="1"/>
  <c r="AI3131" i="1"/>
  <c r="AI3127" i="1"/>
  <c r="AH3134" i="1"/>
  <c r="AH3130" i="1"/>
  <c r="AH3126" i="1"/>
  <c r="AH3089" i="1"/>
  <c r="AH3091" i="1" s="1"/>
  <c r="AH2986" i="1"/>
  <c r="AH2888" i="1"/>
  <c r="AH2884" i="1"/>
  <c r="AH2880" i="1"/>
  <c r="AH2866" i="1"/>
  <c r="AH2862" i="1"/>
  <c r="AH2858" i="1"/>
  <c r="AH2885" i="1"/>
  <c r="AH2881" i="1"/>
  <c r="AH2867" i="1"/>
  <c r="AH2863" i="1"/>
  <c r="AH2859" i="1"/>
  <c r="AH2855" i="1"/>
  <c r="AH2915" i="1"/>
  <c r="AH2917" i="1" s="1"/>
  <c r="AH2887" i="1"/>
  <c r="AH2879" i="1"/>
  <c r="AH2861" i="1"/>
  <c r="AH3174" i="1"/>
  <c r="AH3135" i="1"/>
  <c r="AH3131" i="1"/>
  <c r="AH3127" i="1"/>
  <c r="AH3132" i="1"/>
  <c r="AH3128" i="1"/>
  <c r="AH3082" i="1"/>
  <c r="AH2901" i="1"/>
  <c r="AH2886" i="1"/>
  <c r="AH2882" i="1"/>
  <c r="AH2878" i="1"/>
  <c r="AH2864" i="1"/>
  <c r="AH2860" i="1"/>
  <c r="AH2856" i="1"/>
  <c r="AH2906" i="1"/>
  <c r="AH2904" i="1" s="1"/>
  <c r="AH2883" i="1"/>
  <c r="AH2865" i="1"/>
  <c r="AH2857" i="1"/>
  <c r="AH3133" i="1"/>
  <c r="AH3129" i="1"/>
  <c r="AH3118" i="1"/>
  <c r="K7" i="1"/>
  <c r="K16" i="1"/>
  <c r="K32" i="1"/>
  <c r="K60" i="1"/>
  <c r="K80" i="1"/>
  <c r="K99" i="1"/>
  <c r="K20" i="1"/>
  <c r="K36" i="1"/>
  <c r="K52" i="1"/>
  <c r="K76" i="1"/>
  <c r="K103" i="1"/>
  <c r="K8" i="1"/>
  <c r="K24" i="1"/>
  <c r="K44" i="1"/>
  <c r="K56" i="1"/>
  <c r="K68" i="1"/>
  <c r="K90" i="1"/>
  <c r="K95" i="1"/>
  <c r="K12" i="1"/>
  <c r="K28" i="1"/>
  <c r="K48" i="1"/>
  <c r="K64" i="1"/>
  <c r="K72" i="1"/>
  <c r="K86" i="1"/>
  <c r="K107" i="1"/>
  <c r="K115" i="1"/>
  <c r="K131" i="1"/>
  <c r="K147" i="1"/>
  <c r="K163" i="1"/>
  <c r="K179" i="1"/>
  <c r="K199" i="1"/>
  <c r="K213" i="1"/>
  <c r="K229" i="1"/>
  <c r="K250" i="1"/>
  <c r="K262" i="1"/>
  <c r="K278" i="1"/>
  <c r="K294" i="1"/>
  <c r="K315" i="1"/>
  <c r="K327" i="1"/>
  <c r="K343" i="1"/>
  <c r="K359" i="1"/>
  <c r="K375" i="1"/>
  <c r="K395" i="1"/>
  <c r="K407" i="1"/>
  <c r="K423" i="1"/>
  <c r="K443" i="1"/>
  <c r="K467" i="1"/>
  <c r="K484" i="1"/>
  <c r="K504" i="1"/>
  <c r="K520" i="1"/>
  <c r="K528" i="1"/>
  <c r="K544" i="1"/>
  <c r="K564" i="1"/>
  <c r="K588" i="1"/>
  <c r="K608" i="1"/>
  <c r="K623" i="1"/>
  <c r="K644" i="1"/>
  <c r="K661" i="1"/>
  <c r="K678" i="1"/>
  <c r="K693" i="1"/>
  <c r="K714" i="1"/>
  <c r="K732" i="1"/>
  <c r="K744" i="1"/>
  <c r="K760" i="1"/>
  <c r="K776" i="1"/>
  <c r="K119" i="1"/>
  <c r="K135" i="1"/>
  <c r="K151" i="1"/>
  <c r="K167" i="1"/>
  <c r="K183" i="1"/>
  <c r="K195" i="1"/>
  <c r="K217" i="1"/>
  <c r="K233" i="1"/>
  <c r="K245" i="1"/>
  <c r="K266" i="1"/>
  <c r="K282" i="1"/>
  <c r="K298" i="1"/>
  <c r="K311" i="1"/>
  <c r="K331" i="1"/>
  <c r="K347" i="1"/>
  <c r="K363" i="1"/>
  <c r="K379" i="1"/>
  <c r="K391" i="1"/>
  <c r="K411" i="1"/>
  <c r="K427" i="1"/>
  <c r="K439" i="1"/>
  <c r="K455" i="1"/>
  <c r="K471" i="1"/>
  <c r="K488" i="1"/>
  <c r="K500" i="1"/>
  <c r="K516" i="1"/>
  <c r="K532" i="1"/>
  <c r="K548" i="1"/>
  <c r="K560" i="1"/>
  <c r="K576" i="1"/>
  <c r="K592" i="1"/>
  <c r="K604" i="1"/>
  <c r="K627" i="1"/>
  <c r="K640" i="1"/>
  <c r="K657" i="1"/>
  <c r="K674" i="1"/>
  <c r="K697" i="1"/>
  <c r="K709" i="1"/>
  <c r="K727" i="1"/>
  <c r="K748" i="1"/>
  <c r="K764" i="1"/>
  <c r="K27" i="1"/>
  <c r="K43" i="1"/>
  <c r="K55" i="1"/>
  <c r="K67" i="1"/>
  <c r="K89" i="1"/>
  <c r="K102" i="1"/>
  <c r="K114" i="1"/>
  <c r="K134" i="1"/>
  <c r="K150" i="1"/>
  <c r="K162" i="1"/>
  <c r="K174" i="1"/>
  <c r="K186" i="1"/>
  <c r="K198" i="1"/>
  <c r="K212" i="1"/>
  <c r="K224" i="1"/>
  <c r="K236" i="1"/>
  <c r="K249" i="1"/>
  <c r="K269" i="1"/>
  <c r="K281" i="1"/>
  <c r="K293" i="1"/>
  <c r="K297" i="1"/>
  <c r="K301" i="1"/>
  <c r="K314" i="1"/>
  <c r="K318" i="1"/>
  <c r="K322" i="1"/>
  <c r="K326" i="1"/>
  <c r="K330" i="1"/>
  <c r="K334" i="1"/>
  <c r="K338" i="1"/>
  <c r="K342" i="1"/>
  <c r="K346" i="1"/>
  <c r="K350" i="1"/>
  <c r="K354" i="1"/>
  <c r="K358" i="1"/>
  <c r="K362" i="1"/>
  <c r="K366" i="1"/>
  <c r="K370" i="1"/>
  <c r="K374" i="1"/>
  <c r="K378" i="1"/>
  <c r="K382" i="1"/>
  <c r="K386" i="1"/>
  <c r="K390" i="1"/>
  <c r="K394" i="1"/>
  <c r="K398" i="1"/>
  <c r="K402" i="1"/>
  <c r="K406" i="1"/>
  <c r="K410" i="1"/>
  <c r="K414" i="1"/>
  <c r="K418" i="1"/>
  <c r="K422" i="1"/>
  <c r="K426" i="1"/>
  <c r="K430" i="1"/>
  <c r="K434" i="1"/>
  <c r="K438" i="1"/>
  <c r="K442" i="1"/>
  <c r="K446" i="1"/>
  <c r="K450" i="1"/>
  <c r="K454" i="1"/>
  <c r="K458" i="1"/>
  <c r="K462" i="1"/>
  <c r="K466" i="1"/>
  <c r="K470" i="1"/>
  <c r="K474" i="1"/>
  <c r="K479" i="1"/>
  <c r="K483" i="1"/>
  <c r="K487" i="1"/>
  <c r="K491" i="1"/>
  <c r="K495" i="1"/>
  <c r="K499" i="1"/>
  <c r="K503" i="1"/>
  <c r="K507" i="1"/>
  <c r="K511" i="1"/>
  <c r="K515" i="1"/>
  <c r="K519" i="1"/>
  <c r="K523" i="1"/>
  <c r="K527" i="1"/>
  <c r="K531" i="1"/>
  <c r="K535" i="1"/>
  <c r="K539" i="1"/>
  <c r="K543" i="1"/>
  <c r="K547" i="1"/>
  <c r="K551" i="1"/>
  <c r="K555" i="1"/>
  <c r="K559" i="1"/>
  <c r="K563" i="1"/>
  <c r="K567" i="1"/>
  <c r="K571" i="1"/>
  <c r="K575" i="1"/>
  <c r="K579" i="1"/>
  <c r="K583" i="1"/>
  <c r="K587" i="1"/>
  <c r="K591" i="1"/>
  <c r="K595" i="1"/>
  <c r="K599" i="1"/>
  <c r="K603" i="1"/>
  <c r="K607" i="1"/>
  <c r="K612" i="1"/>
  <c r="K616" i="1"/>
  <c r="K622" i="1"/>
  <c r="K626" i="1"/>
  <c r="K631" i="1"/>
  <c r="K635" i="1"/>
  <c r="K639" i="1"/>
  <c r="K643" i="1"/>
  <c r="K647" i="1"/>
  <c r="K651" i="1"/>
  <c r="K656" i="1"/>
  <c r="K660" i="1"/>
  <c r="K664" i="1"/>
  <c r="K669" i="1"/>
  <c r="K673" i="1"/>
  <c r="K677" i="1"/>
  <c r="K681" i="1"/>
  <c r="K686" i="1"/>
  <c r="K692" i="1"/>
  <c r="K696" i="1"/>
  <c r="K700" i="1"/>
  <c r="K704" i="1"/>
  <c r="K708" i="1"/>
  <c r="K713" i="1"/>
  <c r="K718" i="1"/>
  <c r="K722" i="1"/>
  <c r="K726" i="1"/>
  <c r="K731" i="1"/>
  <c r="K735" i="1"/>
  <c r="K739" i="1"/>
  <c r="K743" i="1"/>
  <c r="K747" i="1"/>
  <c r="K751" i="1"/>
  <c r="K755" i="1"/>
  <c r="K759" i="1"/>
  <c r="K763" i="1"/>
  <c r="K767" i="1"/>
  <c r="K771" i="1"/>
  <c r="K775" i="1"/>
  <c r="K779" i="1"/>
  <c r="K783" i="1"/>
  <c r="K787" i="1"/>
  <c r="K111" i="1"/>
  <c r="K127" i="1"/>
  <c r="K139" i="1"/>
  <c r="K155" i="1"/>
  <c r="K175" i="1"/>
  <c r="K191" i="1"/>
  <c r="K203" i="1"/>
  <c r="K225" i="1"/>
  <c r="K241" i="1"/>
  <c r="K258" i="1"/>
  <c r="K270" i="1"/>
  <c r="K286" i="1"/>
  <c r="K302" i="1"/>
  <c r="K323" i="1"/>
  <c r="K339" i="1"/>
  <c r="K355" i="1"/>
  <c r="K367" i="1"/>
  <c r="K383" i="1"/>
  <c r="K399" i="1"/>
  <c r="K419" i="1"/>
  <c r="K431" i="1"/>
  <c r="K451" i="1"/>
  <c r="K459" i="1"/>
  <c r="K475" i="1"/>
  <c r="K492" i="1"/>
  <c r="K508" i="1"/>
  <c r="K524" i="1"/>
  <c r="K540" i="1"/>
  <c r="K552" i="1"/>
  <c r="K568" i="1"/>
  <c r="K584" i="1"/>
  <c r="K600" i="1"/>
  <c r="K617" i="1"/>
  <c r="K636" i="1"/>
  <c r="K652" i="1"/>
  <c r="K670" i="1"/>
  <c r="K682" i="1"/>
  <c r="K705" i="1"/>
  <c r="K723" i="1"/>
  <c r="K740" i="1"/>
  <c r="K756" i="1"/>
  <c r="K772" i="1"/>
  <c r="K784" i="1"/>
  <c r="K15" i="1"/>
  <c r="K19" i="1"/>
  <c r="K31" i="1"/>
  <c r="K47" i="1"/>
  <c r="K63" i="1"/>
  <c r="K75" i="1"/>
  <c r="K85" i="1"/>
  <c r="K98" i="1"/>
  <c r="K110" i="1"/>
  <c r="K118" i="1"/>
  <c r="K130" i="1"/>
  <c r="K142" i="1"/>
  <c r="K154" i="1"/>
  <c r="K170" i="1"/>
  <c r="K178" i="1"/>
  <c r="K194" i="1"/>
  <c r="K208" i="1"/>
  <c r="K220" i="1"/>
  <c r="K228" i="1"/>
  <c r="K244" i="1"/>
  <c r="K253" i="1"/>
  <c r="K261" i="1"/>
  <c r="K277" i="1"/>
  <c r="K285" i="1"/>
  <c r="K305" i="1"/>
  <c r="K10" i="1"/>
  <c r="K14" i="1"/>
  <c r="K18" i="1"/>
  <c r="K22" i="1"/>
  <c r="K26" i="1"/>
  <c r="K30" i="1"/>
  <c r="K34" i="1"/>
  <c r="K42" i="1"/>
  <c r="K46" i="1"/>
  <c r="K50" i="1"/>
  <c r="K54" i="1"/>
  <c r="K62" i="1"/>
  <c r="K66" i="1"/>
  <c r="K70" i="1"/>
  <c r="K74" i="1"/>
  <c r="K78" i="1"/>
  <c r="K83" i="1"/>
  <c r="K88" i="1"/>
  <c r="K93" i="1"/>
  <c r="K97" i="1"/>
  <c r="K101" i="1"/>
  <c r="K105" i="1"/>
  <c r="K109" i="1"/>
  <c r="K113" i="1"/>
  <c r="K117" i="1"/>
  <c r="K121" i="1"/>
  <c r="K125" i="1"/>
  <c r="K129" i="1"/>
  <c r="K133" i="1"/>
  <c r="K137" i="1"/>
  <c r="K141" i="1"/>
  <c r="K145" i="1"/>
  <c r="K149" i="1"/>
  <c r="K153" i="1"/>
  <c r="K157" i="1"/>
  <c r="K161" i="1"/>
  <c r="K165" i="1"/>
  <c r="K169" i="1"/>
  <c r="K173" i="1"/>
  <c r="K177" i="1"/>
  <c r="K181" i="1"/>
  <c r="K185" i="1"/>
  <c r="K189" i="1"/>
  <c r="K193" i="1"/>
  <c r="K197" i="1"/>
  <c r="K201" i="1"/>
  <c r="K205" i="1"/>
  <c r="K211" i="1"/>
  <c r="K215" i="1"/>
  <c r="K219" i="1"/>
  <c r="K223" i="1"/>
  <c r="K227" i="1"/>
  <c r="K231" i="1"/>
  <c r="K235" i="1"/>
  <c r="K239" i="1"/>
  <c r="K243" i="1"/>
  <c r="K248" i="1"/>
  <c r="K252" i="1"/>
  <c r="K256" i="1"/>
  <c r="K260" i="1"/>
  <c r="K264" i="1"/>
  <c r="K268" i="1"/>
  <c r="K272" i="1"/>
  <c r="K276" i="1"/>
  <c r="K280" i="1"/>
  <c r="K284" i="1"/>
  <c r="K288" i="1"/>
  <c r="K292" i="1"/>
  <c r="K296" i="1"/>
  <c r="K300" i="1"/>
  <c r="K304" i="1"/>
  <c r="K309" i="1"/>
  <c r="K313" i="1"/>
  <c r="K317" i="1"/>
  <c r="K321" i="1"/>
  <c r="K325" i="1"/>
  <c r="K329" i="1"/>
  <c r="K333" i="1"/>
  <c r="K337" i="1"/>
  <c r="K341" i="1"/>
  <c r="K345" i="1"/>
  <c r="K349" i="1"/>
  <c r="K353" i="1"/>
  <c r="K357" i="1"/>
  <c r="K361" i="1"/>
  <c r="K365" i="1"/>
  <c r="K369" i="1"/>
  <c r="K373" i="1"/>
  <c r="K377" i="1"/>
  <c r="K381" i="1"/>
  <c r="K385" i="1"/>
  <c r="K389" i="1"/>
  <c r="K393" i="1"/>
  <c r="K397" i="1"/>
  <c r="K401" i="1"/>
  <c r="K405" i="1"/>
  <c r="K409" i="1"/>
  <c r="K413" i="1"/>
  <c r="K417" i="1"/>
  <c r="K421" i="1"/>
  <c r="K425" i="1"/>
  <c r="K429" i="1"/>
  <c r="K433" i="1"/>
  <c r="K437" i="1"/>
  <c r="K441" i="1"/>
  <c r="K445" i="1"/>
  <c r="K449" i="1"/>
  <c r="K453" i="1"/>
  <c r="K457" i="1"/>
  <c r="K461" i="1"/>
  <c r="K465" i="1"/>
  <c r="K469" i="1"/>
  <c r="K473" i="1"/>
  <c r="K478" i="1"/>
  <c r="K482" i="1"/>
  <c r="K486" i="1"/>
  <c r="K490" i="1"/>
  <c r="K494" i="1"/>
  <c r="K498" i="1"/>
  <c r="K502" i="1"/>
  <c r="K506" i="1"/>
  <c r="K510" i="1"/>
  <c r="K514" i="1"/>
  <c r="K518" i="1"/>
  <c r="K522" i="1"/>
  <c r="K526" i="1"/>
  <c r="K530" i="1"/>
  <c r="K534" i="1"/>
  <c r="K538" i="1"/>
  <c r="K542" i="1"/>
  <c r="K546" i="1"/>
  <c r="K550" i="1"/>
  <c r="K554" i="1"/>
  <c r="K558" i="1"/>
  <c r="K562" i="1"/>
  <c r="K566" i="1"/>
  <c r="K570" i="1"/>
  <c r="K574" i="1"/>
  <c r="K578" i="1"/>
  <c r="K582" i="1"/>
  <c r="K586" i="1"/>
  <c r="K590" i="1"/>
  <c r="K594" i="1"/>
  <c r="K598" i="1"/>
  <c r="K602" i="1"/>
  <c r="K606" i="1"/>
  <c r="K611" i="1"/>
  <c r="K615" i="1"/>
  <c r="K621" i="1"/>
  <c r="K625" i="1"/>
  <c r="K629" i="1"/>
  <c r="K634" i="1"/>
  <c r="K638" i="1"/>
  <c r="K642" i="1"/>
  <c r="K646" i="1"/>
  <c r="K650" i="1"/>
  <c r="K655" i="1"/>
  <c r="K659" i="1"/>
  <c r="K663" i="1"/>
  <c r="K668" i="1"/>
  <c r="K672" i="1"/>
  <c r="K676" i="1"/>
  <c r="K680" i="1"/>
  <c r="K684" i="1"/>
  <c r="K691" i="1"/>
  <c r="K695" i="1"/>
  <c r="K699" i="1"/>
  <c r="K703" i="1"/>
  <c r="K707" i="1"/>
  <c r="K712" i="1"/>
  <c r="K716" i="1"/>
  <c r="K721" i="1"/>
  <c r="K725" i="1"/>
  <c r="K729" i="1"/>
  <c r="K734" i="1"/>
  <c r="K738" i="1"/>
  <c r="K742" i="1"/>
  <c r="K746" i="1"/>
  <c r="K750" i="1"/>
  <c r="K754" i="1"/>
  <c r="K758" i="1"/>
  <c r="K762" i="1"/>
  <c r="K766" i="1"/>
  <c r="K770" i="1"/>
  <c r="K774" i="1"/>
  <c r="K778" i="1"/>
  <c r="K782" i="1"/>
  <c r="K786" i="1"/>
  <c r="K123" i="1"/>
  <c r="K143" i="1"/>
  <c r="K159" i="1"/>
  <c r="K171" i="1"/>
  <c r="K187" i="1"/>
  <c r="K209" i="1"/>
  <c r="K221" i="1"/>
  <c r="K237" i="1"/>
  <c r="K254" i="1"/>
  <c r="K274" i="1"/>
  <c r="K290" i="1"/>
  <c r="K307" i="1"/>
  <c r="K319" i="1"/>
  <c r="K335" i="1"/>
  <c r="K351" i="1"/>
  <c r="K371" i="1"/>
  <c r="K387" i="1"/>
  <c r="K403" i="1"/>
  <c r="K415" i="1"/>
  <c r="K435" i="1"/>
  <c r="K447" i="1"/>
  <c r="K463" i="1"/>
  <c r="K480" i="1"/>
  <c r="K496" i="1"/>
  <c r="K512" i="1"/>
  <c r="K536" i="1"/>
  <c r="K556" i="1"/>
  <c r="K572" i="1"/>
  <c r="K580" i="1"/>
  <c r="K596" i="1"/>
  <c r="K613" i="1"/>
  <c r="K632" i="1"/>
  <c r="K648" i="1"/>
  <c r="K666" i="1"/>
  <c r="K689" i="1"/>
  <c r="K701" i="1"/>
  <c r="K719" i="1"/>
  <c r="K736" i="1"/>
  <c r="K752" i="1"/>
  <c r="K768" i="1"/>
  <c r="K780" i="1"/>
  <c r="K11" i="1"/>
  <c r="K23" i="1"/>
  <c r="K35" i="1"/>
  <c r="K51" i="1"/>
  <c r="K59" i="1"/>
  <c r="K71" i="1"/>
  <c r="K79" i="1"/>
  <c r="K94" i="1"/>
  <c r="K106" i="1"/>
  <c r="K122" i="1"/>
  <c r="K126" i="1"/>
  <c r="K138" i="1"/>
  <c r="K146" i="1"/>
  <c r="K158" i="1"/>
  <c r="K166" i="1"/>
  <c r="K182" i="1"/>
  <c r="K190" i="1"/>
  <c r="K202" i="1"/>
  <c r="K216" i="1"/>
  <c r="K232" i="1"/>
  <c r="K240" i="1"/>
  <c r="K257" i="1"/>
  <c r="K265" i="1"/>
  <c r="K273" i="1"/>
  <c r="K289" i="1"/>
  <c r="K310" i="1"/>
  <c r="K9" i="1"/>
  <c r="K13" i="1"/>
  <c r="K17" i="1"/>
  <c r="K21" i="1"/>
  <c r="K25" i="1"/>
  <c r="K29" i="1"/>
  <c r="K33" i="1"/>
  <c r="K37" i="1"/>
  <c r="K45" i="1"/>
  <c r="K49" i="1"/>
  <c r="K53" i="1"/>
  <c r="K57" i="1"/>
  <c r="K61" i="1"/>
  <c r="K65" i="1"/>
  <c r="K69" i="1"/>
  <c r="K73" i="1"/>
  <c r="K77" i="1"/>
  <c r="K82" i="1"/>
  <c r="K87" i="1"/>
  <c r="K92" i="1"/>
  <c r="K96" i="1"/>
  <c r="K100" i="1"/>
  <c r="K104" i="1"/>
  <c r="K108" i="1"/>
  <c r="K112" i="1"/>
  <c r="K116" i="1"/>
  <c r="K120" i="1"/>
  <c r="K124" i="1"/>
  <c r="K128" i="1"/>
  <c r="K132" i="1"/>
  <c r="K136" i="1"/>
  <c r="K140" i="1"/>
  <c r="K144" i="1"/>
  <c r="K148" i="1"/>
  <c r="K152" i="1"/>
  <c r="K156" i="1"/>
  <c r="K160" i="1"/>
  <c r="K164" i="1"/>
  <c r="K168" i="1"/>
  <c r="K172" i="1"/>
  <c r="K176" i="1"/>
  <c r="K180" i="1"/>
  <c r="K184" i="1"/>
  <c r="K188" i="1"/>
  <c r="K192" i="1"/>
  <c r="K196" i="1"/>
  <c r="K200" i="1"/>
  <c r="K204" i="1"/>
  <c r="K210" i="1"/>
  <c r="K214" i="1"/>
  <c r="K218" i="1"/>
  <c r="K222" i="1"/>
  <c r="K226" i="1"/>
  <c r="K230" i="1"/>
  <c r="K234" i="1"/>
  <c r="K238" i="1"/>
  <c r="K242" i="1"/>
  <c r="K247" i="1"/>
  <c r="K251" i="1"/>
  <c r="K255" i="1"/>
  <c r="K259" i="1"/>
  <c r="K263" i="1"/>
  <c r="K267" i="1"/>
  <c r="K271" i="1"/>
  <c r="K275" i="1"/>
  <c r="K279" i="1"/>
  <c r="K283" i="1"/>
  <c r="K287" i="1"/>
  <c r="K291" i="1"/>
  <c r="K295" i="1"/>
  <c r="K299" i="1"/>
  <c r="K303" i="1"/>
  <c r="K308" i="1"/>
  <c r="K312" i="1"/>
  <c r="K316" i="1"/>
  <c r="K320" i="1"/>
  <c r="K324" i="1"/>
  <c r="K328" i="1"/>
  <c r="K332" i="1"/>
  <c r="K336" i="1"/>
  <c r="K340" i="1"/>
  <c r="K344" i="1"/>
  <c r="K348" i="1"/>
  <c r="K352" i="1"/>
  <c r="K356" i="1"/>
  <c r="K360" i="1"/>
  <c r="K364" i="1"/>
  <c r="K368" i="1"/>
  <c r="K372" i="1"/>
  <c r="K376" i="1"/>
  <c r="K380" i="1"/>
  <c r="K384" i="1"/>
  <c r="K388" i="1"/>
  <c r="K392" i="1"/>
  <c r="K396" i="1"/>
  <c r="K400" i="1"/>
  <c r="K404" i="1"/>
  <c r="K408" i="1"/>
  <c r="K412" i="1"/>
  <c r="K416" i="1"/>
  <c r="K420" i="1"/>
  <c r="K424" i="1"/>
  <c r="K428" i="1"/>
  <c r="K432" i="1"/>
  <c r="K436" i="1"/>
  <c r="K440" i="1"/>
  <c r="K444" i="1"/>
  <c r="K448" i="1"/>
  <c r="K452" i="1"/>
  <c r="K456" i="1"/>
  <c r="K460" i="1"/>
  <c r="K464" i="1"/>
  <c r="K468" i="1"/>
  <c r="K472" i="1"/>
  <c r="K477" i="1"/>
  <c r="K481" i="1"/>
  <c r="K485" i="1"/>
  <c r="K489" i="1"/>
  <c r="K493" i="1"/>
  <c r="K497" i="1"/>
  <c r="K501" i="1"/>
  <c r="K505" i="1"/>
  <c r="K509" i="1"/>
  <c r="K513" i="1"/>
  <c r="K517" i="1"/>
  <c r="K521" i="1"/>
  <c r="K525" i="1"/>
  <c r="K529" i="1"/>
  <c r="K533" i="1"/>
  <c r="K537" i="1"/>
  <c r="K541" i="1"/>
  <c r="K545" i="1"/>
  <c r="K549" i="1"/>
  <c r="K553" i="1"/>
  <c r="K557" i="1"/>
  <c r="K561" i="1"/>
  <c r="K565" i="1"/>
  <c r="K569" i="1"/>
  <c r="K573" i="1"/>
  <c r="K577" i="1"/>
  <c r="K581" i="1"/>
  <c r="K585" i="1"/>
  <c r="K589" i="1"/>
  <c r="K593" i="1"/>
  <c r="K597" i="1"/>
  <c r="K601" i="1"/>
  <c r="K605" i="1"/>
  <c r="K610" i="1"/>
  <c r="K614" i="1"/>
  <c r="K620" i="1"/>
  <c r="K624" i="1"/>
  <c r="K628" i="1"/>
  <c r="K633" i="1"/>
  <c r="K637" i="1"/>
  <c r="K641" i="1"/>
  <c r="K645" i="1"/>
  <c r="K649" i="1"/>
  <c r="K654" i="1"/>
  <c r="K658" i="1"/>
  <c r="K662" i="1"/>
  <c r="K667" i="1"/>
  <c r="K671" i="1"/>
  <c r="K675" i="1"/>
  <c r="K679" i="1"/>
  <c r="K683" i="1"/>
  <c r="K690" i="1"/>
  <c r="K694" i="1"/>
  <c r="K698" i="1"/>
  <c r="K702" i="1"/>
  <c r="K706" i="1"/>
  <c r="K710" i="1"/>
  <c r="K715" i="1"/>
  <c r="K720" i="1"/>
  <c r="K724" i="1"/>
  <c r="K728" i="1"/>
  <c r="K733" i="1"/>
  <c r="K737" i="1"/>
  <c r="K741" i="1"/>
  <c r="K745" i="1"/>
  <c r="K749" i="1"/>
  <c r="K753" i="1"/>
  <c r="K757" i="1"/>
  <c r="K761" i="1"/>
  <c r="K765" i="1"/>
  <c r="K769" i="1"/>
  <c r="K773" i="1"/>
  <c r="K777" i="1"/>
  <c r="K781" i="1"/>
  <c r="K785" i="1"/>
  <c r="P1026" i="17"/>
  <c r="J432" i="10"/>
  <c r="P448" i="17"/>
  <c r="M58" i="1"/>
  <c r="AP58" i="1" s="1"/>
  <c r="AQ58" i="1" s="1"/>
  <c r="M15" i="1"/>
  <c r="AP15" i="1" s="1"/>
  <c r="AQ15" i="1" s="1"/>
  <c r="M27" i="1"/>
  <c r="AP27" i="1" s="1"/>
  <c r="AQ27" i="1" s="1"/>
  <c r="M42" i="1"/>
  <c r="AP42" i="1" s="1"/>
  <c r="AQ42" i="1" s="1"/>
  <c r="M54" i="1"/>
  <c r="AP54" i="1" s="1"/>
  <c r="AQ54" i="1" s="1"/>
  <c r="M66" i="1"/>
  <c r="AP66" i="1" s="1"/>
  <c r="AQ66" i="1" s="1"/>
  <c r="M78" i="1"/>
  <c r="AP78" i="1" s="1"/>
  <c r="AQ78" i="1" s="1"/>
  <c r="M101" i="1"/>
  <c r="AP101" i="1" s="1"/>
  <c r="AQ101" i="1" s="1"/>
  <c r="M113" i="1"/>
  <c r="AP113" i="1" s="1"/>
  <c r="AQ113" i="1" s="1"/>
  <c r="M125" i="1"/>
  <c r="AP125" i="1" s="1"/>
  <c r="AQ125" i="1" s="1"/>
  <c r="M145" i="1"/>
  <c r="AP145" i="1" s="1"/>
  <c r="AQ145" i="1" s="1"/>
  <c r="M157" i="1"/>
  <c r="AP157" i="1" s="1"/>
  <c r="AQ157" i="1" s="1"/>
  <c r="M173" i="1"/>
  <c r="AP173" i="1" s="1"/>
  <c r="AQ173" i="1" s="1"/>
  <c r="M185" i="1"/>
  <c r="AP185" i="1" s="1"/>
  <c r="AQ185" i="1" s="1"/>
  <c r="M201" i="1"/>
  <c r="AP201" i="1" s="1"/>
  <c r="AQ201" i="1" s="1"/>
  <c r="N8" i="1"/>
  <c r="N12" i="1"/>
  <c r="N16" i="1"/>
  <c r="N20" i="1"/>
  <c r="N24" i="1"/>
  <c r="N28" i="1"/>
  <c r="N32" i="1"/>
  <c r="N36" i="1"/>
  <c r="N43" i="1"/>
  <c r="N47" i="1"/>
  <c r="N51" i="1"/>
  <c r="N55" i="1"/>
  <c r="N59" i="1"/>
  <c r="N63" i="1"/>
  <c r="N67" i="1"/>
  <c r="N71" i="1"/>
  <c r="N75" i="1"/>
  <c r="N79" i="1"/>
  <c r="N85" i="1"/>
  <c r="N89" i="1"/>
  <c r="N94" i="1"/>
  <c r="N98" i="1"/>
  <c r="N102" i="1"/>
  <c r="N106" i="1"/>
  <c r="N110" i="1"/>
  <c r="N114" i="1"/>
  <c r="N118" i="1"/>
  <c r="N122" i="1"/>
  <c r="N126" i="1"/>
  <c r="N130" i="1"/>
  <c r="N134" i="1"/>
  <c r="N138" i="1"/>
  <c r="N142" i="1"/>
  <c r="N146" i="1"/>
  <c r="N150" i="1"/>
  <c r="N154" i="1"/>
  <c r="N158" i="1"/>
  <c r="N162" i="1"/>
  <c r="N166" i="1"/>
  <c r="O587" i="1"/>
  <c r="O591" i="1"/>
  <c r="O595" i="1"/>
  <c r="O599" i="1"/>
  <c r="O603" i="1"/>
  <c r="O607" i="1"/>
  <c r="O612" i="1"/>
  <c r="O616" i="1"/>
  <c r="O622" i="1"/>
  <c r="O626" i="1"/>
  <c r="O631" i="1"/>
  <c r="O635" i="1"/>
  <c r="O639" i="1"/>
  <c r="O643" i="1"/>
  <c r="O647" i="1"/>
  <c r="O651" i="1"/>
  <c r="O656" i="1"/>
  <c r="O660" i="1"/>
  <c r="O664" i="1"/>
  <c r="O669" i="1"/>
  <c r="O673" i="1"/>
  <c r="O677" i="1"/>
  <c r="O681" i="1"/>
  <c r="O686" i="1"/>
  <c r="O692" i="1"/>
  <c r="O696" i="1"/>
  <c r="O700" i="1"/>
  <c r="O704" i="1"/>
  <c r="O708" i="1"/>
  <c r="O713" i="1"/>
  <c r="O718" i="1"/>
  <c r="O722" i="1"/>
  <c r="O726" i="1"/>
  <c r="O731" i="1"/>
  <c r="O735" i="1"/>
  <c r="O739" i="1"/>
  <c r="O743" i="1"/>
  <c r="O747" i="1"/>
  <c r="O751" i="1"/>
  <c r="O755" i="1"/>
  <c r="O759" i="1"/>
  <c r="O763" i="1"/>
  <c r="O767" i="1"/>
  <c r="O771" i="1"/>
  <c r="O775" i="1"/>
  <c r="O779" i="1"/>
  <c r="O783" i="1"/>
  <c r="O787" i="1"/>
  <c r="M23" i="1"/>
  <c r="AP23" i="1" s="1"/>
  <c r="AQ23" i="1" s="1"/>
  <c r="M35" i="1"/>
  <c r="AP35" i="1" s="1"/>
  <c r="AQ35" i="1" s="1"/>
  <c r="M46" i="1"/>
  <c r="AP46" i="1" s="1"/>
  <c r="AQ46" i="1" s="1"/>
  <c r="M70" i="1"/>
  <c r="AP70" i="1" s="1"/>
  <c r="AQ70" i="1" s="1"/>
  <c r="M83" i="1"/>
  <c r="AP83" i="1" s="1"/>
  <c r="AQ83" i="1" s="1"/>
  <c r="M93" i="1"/>
  <c r="AP93" i="1" s="1"/>
  <c r="AQ93" i="1" s="1"/>
  <c r="M105" i="1"/>
  <c r="AP105" i="1" s="1"/>
  <c r="AQ105" i="1" s="1"/>
  <c r="M117" i="1"/>
  <c r="AP117" i="1" s="1"/>
  <c r="AQ117" i="1" s="1"/>
  <c r="M129" i="1"/>
  <c r="AP129" i="1" s="1"/>
  <c r="AQ129" i="1" s="1"/>
  <c r="M141" i="1"/>
  <c r="AP141" i="1" s="1"/>
  <c r="AQ141" i="1" s="1"/>
  <c r="M153" i="1"/>
  <c r="AP153" i="1" s="1"/>
  <c r="AQ153" i="1" s="1"/>
  <c r="M165" i="1"/>
  <c r="AP165" i="1" s="1"/>
  <c r="AQ165" i="1" s="1"/>
  <c r="M177" i="1"/>
  <c r="AP177" i="1" s="1"/>
  <c r="AQ177" i="1" s="1"/>
  <c r="M189" i="1"/>
  <c r="AP189" i="1" s="1"/>
  <c r="AQ189" i="1" s="1"/>
  <c r="M193" i="1"/>
  <c r="AP193" i="1" s="1"/>
  <c r="AQ193" i="1" s="1"/>
  <c r="M205" i="1"/>
  <c r="AP205" i="1" s="1"/>
  <c r="AQ205" i="1" s="1"/>
  <c r="M219" i="1"/>
  <c r="AP219" i="1" s="1"/>
  <c r="AQ219" i="1" s="1"/>
  <c r="M10" i="1"/>
  <c r="AP10" i="1" s="1"/>
  <c r="AQ10" i="1" s="1"/>
  <c r="M14" i="1"/>
  <c r="AP14" i="1" s="1"/>
  <c r="AQ14" i="1" s="1"/>
  <c r="N18" i="1"/>
  <c r="N22" i="1"/>
  <c r="N26" i="1"/>
  <c r="M30" i="1"/>
  <c r="AP30" i="1" s="1"/>
  <c r="AQ30" i="1" s="1"/>
  <c r="N34" i="1"/>
  <c r="N45" i="1"/>
  <c r="M49" i="1"/>
  <c r="AP49" i="1" s="1"/>
  <c r="AQ49" i="1" s="1"/>
  <c r="N53" i="1"/>
  <c r="N57" i="1"/>
  <c r="N61" i="1"/>
  <c r="M65" i="1"/>
  <c r="AP65" i="1" s="1"/>
  <c r="AQ65" i="1" s="1"/>
  <c r="N69" i="1"/>
  <c r="N73" i="1"/>
  <c r="N77" i="1"/>
  <c r="M82" i="1"/>
  <c r="AP82" i="1" s="1"/>
  <c r="AQ82" i="1" s="1"/>
  <c r="N87" i="1"/>
  <c r="N92" i="1"/>
  <c r="N96" i="1"/>
  <c r="M100" i="1"/>
  <c r="AP100" i="1" s="1"/>
  <c r="AQ100" i="1" s="1"/>
  <c r="N104" i="1"/>
  <c r="N108" i="1"/>
  <c r="N112" i="1"/>
  <c r="M116" i="1"/>
  <c r="AP116" i="1" s="1"/>
  <c r="AQ116" i="1" s="1"/>
  <c r="N120" i="1"/>
  <c r="N124" i="1"/>
  <c r="N128" i="1"/>
  <c r="M132" i="1"/>
  <c r="AP132" i="1" s="1"/>
  <c r="AQ132" i="1" s="1"/>
  <c r="N136" i="1"/>
  <c r="N140" i="1"/>
  <c r="N144" i="1"/>
  <c r="M148" i="1"/>
  <c r="AP148" i="1" s="1"/>
  <c r="AQ148" i="1" s="1"/>
  <c r="N152" i="1"/>
  <c r="N156" i="1"/>
  <c r="N160" i="1"/>
  <c r="M164" i="1"/>
  <c r="AP164" i="1" s="1"/>
  <c r="AQ164" i="1" s="1"/>
  <c r="N168" i="1"/>
  <c r="N172" i="1"/>
  <c r="N176" i="1"/>
  <c r="M180" i="1"/>
  <c r="AP180" i="1" s="1"/>
  <c r="AQ180" i="1" s="1"/>
  <c r="N184" i="1"/>
  <c r="N188" i="1"/>
  <c r="N192" i="1"/>
  <c r="M196" i="1"/>
  <c r="AP196" i="1" s="1"/>
  <c r="AQ196" i="1" s="1"/>
  <c r="N200" i="1"/>
  <c r="N204" i="1"/>
  <c r="N210" i="1"/>
  <c r="M214" i="1"/>
  <c r="AP214" i="1" s="1"/>
  <c r="AQ214" i="1" s="1"/>
  <c r="N218" i="1"/>
  <c r="M234" i="1"/>
  <c r="AP234" i="1" s="1"/>
  <c r="AQ234" i="1" s="1"/>
  <c r="M255" i="1"/>
  <c r="AP255" i="1" s="1"/>
  <c r="AQ255" i="1" s="1"/>
  <c r="O761" i="1"/>
  <c r="O765" i="1"/>
  <c r="O769" i="1"/>
  <c r="O773" i="1"/>
  <c r="O777" i="1"/>
  <c r="O781" i="1"/>
  <c r="O785" i="1"/>
  <c r="M11" i="1"/>
  <c r="AP11" i="1" s="1"/>
  <c r="AQ11" i="1" s="1"/>
  <c r="M19" i="1"/>
  <c r="AP19" i="1" s="1"/>
  <c r="AQ19" i="1" s="1"/>
  <c r="M31" i="1"/>
  <c r="AP31" i="1" s="1"/>
  <c r="AQ31" i="1" s="1"/>
  <c r="M50" i="1"/>
  <c r="AP50" i="1" s="1"/>
  <c r="AQ50" i="1" s="1"/>
  <c r="M62" i="1"/>
  <c r="AP62" i="1" s="1"/>
  <c r="AQ62" i="1" s="1"/>
  <c r="M74" i="1"/>
  <c r="AP74" i="1" s="1"/>
  <c r="AQ74" i="1" s="1"/>
  <c r="M88" i="1"/>
  <c r="AP88" i="1" s="1"/>
  <c r="AQ88" i="1" s="1"/>
  <c r="M97" i="1"/>
  <c r="AP97" i="1" s="1"/>
  <c r="AQ97" i="1" s="1"/>
  <c r="M109" i="1"/>
  <c r="AP109" i="1" s="1"/>
  <c r="AQ109" i="1" s="1"/>
  <c r="M121" i="1"/>
  <c r="AP121" i="1" s="1"/>
  <c r="AQ121" i="1" s="1"/>
  <c r="M133" i="1"/>
  <c r="AP133" i="1" s="1"/>
  <c r="AQ133" i="1" s="1"/>
  <c r="M137" i="1"/>
  <c r="AP137" i="1" s="1"/>
  <c r="AQ137" i="1" s="1"/>
  <c r="M149" i="1"/>
  <c r="AP149" i="1" s="1"/>
  <c r="AQ149" i="1" s="1"/>
  <c r="M161" i="1"/>
  <c r="AP161" i="1" s="1"/>
  <c r="AQ161" i="1" s="1"/>
  <c r="M169" i="1"/>
  <c r="AP169" i="1" s="1"/>
  <c r="AQ169" i="1" s="1"/>
  <c r="M181" i="1"/>
  <c r="AP181" i="1" s="1"/>
  <c r="AQ181" i="1" s="1"/>
  <c r="M197" i="1"/>
  <c r="AP197" i="1" s="1"/>
  <c r="AQ197" i="1" s="1"/>
  <c r="M211" i="1"/>
  <c r="AP211" i="1" s="1"/>
  <c r="AQ211" i="1" s="1"/>
  <c r="M215" i="1"/>
  <c r="AP215" i="1" s="1"/>
  <c r="AQ215" i="1" s="1"/>
  <c r="N9" i="1"/>
  <c r="N13" i="1"/>
  <c r="N17" i="1"/>
  <c r="N21" i="1"/>
  <c r="N25" i="1"/>
  <c r="N29" i="1"/>
  <c r="N33" i="1"/>
  <c r="N37" i="1"/>
  <c r="N44" i="1"/>
  <c r="N48" i="1"/>
  <c r="N52" i="1"/>
  <c r="N56" i="1"/>
  <c r="N60" i="1"/>
  <c r="N64" i="1"/>
  <c r="N68" i="1"/>
  <c r="N72" i="1"/>
  <c r="N76" i="1"/>
  <c r="N80" i="1"/>
  <c r="N86" i="1"/>
  <c r="N90" i="1"/>
  <c r="N95" i="1"/>
  <c r="N99" i="1"/>
  <c r="N103" i="1"/>
  <c r="N107" i="1"/>
  <c r="N111" i="1"/>
  <c r="N115" i="1"/>
  <c r="N119" i="1"/>
  <c r="N123" i="1"/>
  <c r="N127" i="1"/>
  <c r="N131" i="1"/>
  <c r="N135" i="1"/>
  <c r="N139" i="1"/>
  <c r="N143" i="1"/>
  <c r="N147" i="1"/>
  <c r="N151" i="1"/>
  <c r="N155" i="1"/>
  <c r="N159" i="1"/>
  <c r="N163" i="1"/>
  <c r="N167" i="1"/>
  <c r="M191" i="1"/>
  <c r="AP191" i="1" s="1"/>
  <c r="AQ191" i="1" s="1"/>
  <c r="M258" i="1"/>
  <c r="AP258" i="1" s="1"/>
  <c r="AQ258" i="1" s="1"/>
  <c r="M315" i="1"/>
  <c r="AP315" i="1" s="1"/>
  <c r="AQ315" i="1" s="1"/>
  <c r="M459" i="1"/>
  <c r="AP459" i="1" s="1"/>
  <c r="AQ459" i="1" s="1"/>
  <c r="M520" i="1"/>
  <c r="AP520" i="1" s="1"/>
  <c r="AQ520" i="1" s="1"/>
  <c r="M652" i="1"/>
  <c r="AP652" i="1" s="1"/>
  <c r="AQ652" i="1" s="1"/>
  <c r="N7" i="1"/>
  <c r="N792" i="1"/>
  <c r="J792" i="1"/>
  <c r="K792" i="1"/>
  <c r="J796" i="1"/>
  <c r="K796" i="1"/>
  <c r="N800" i="1"/>
  <c r="J800" i="1"/>
  <c r="K800" i="1"/>
  <c r="N804" i="1"/>
  <c r="J804" i="1"/>
  <c r="K804" i="1"/>
  <c r="K808" i="1"/>
  <c r="M812" i="1"/>
  <c r="AP812" i="1" s="1"/>
  <c r="K812" i="1"/>
  <c r="K816" i="1"/>
  <c r="J833" i="1"/>
  <c r="J837" i="1"/>
  <c r="K837" i="1"/>
  <c r="J842" i="1"/>
  <c r="K842" i="1"/>
  <c r="K846" i="1"/>
  <c r="K850" i="1"/>
  <c r="K869" i="1"/>
  <c r="J873" i="1"/>
  <c r="K873" i="1"/>
  <c r="J877" i="1"/>
  <c r="K877" i="1"/>
  <c r="M881" i="1"/>
  <c r="AP881" i="1" s="1"/>
  <c r="J881" i="1"/>
  <c r="K881" i="1"/>
  <c r="J885" i="1"/>
  <c r="K885" i="1"/>
  <c r="J889" i="1"/>
  <c r="K889" i="1"/>
  <c r="J894" i="1"/>
  <c r="K894" i="1"/>
  <c r="K898" i="1"/>
  <c r="J902" i="1"/>
  <c r="K902" i="1"/>
  <c r="J906" i="1"/>
  <c r="K906" i="1"/>
  <c r="K910" i="1"/>
  <c r="J914" i="1"/>
  <c r="K914" i="1"/>
  <c r="J918" i="1"/>
  <c r="K918" i="1"/>
  <c r="J922" i="1"/>
  <c r="K922" i="1"/>
  <c r="K926" i="1"/>
  <c r="K930" i="1"/>
  <c r="J934" i="1"/>
  <c r="K934" i="1"/>
  <c r="J938" i="1"/>
  <c r="K938" i="1"/>
  <c r="J942" i="1"/>
  <c r="K942" i="1"/>
  <c r="J946" i="1"/>
  <c r="K946" i="1"/>
  <c r="J950" i="1"/>
  <c r="K950" i="1"/>
  <c r="K954" i="1"/>
  <c r="J958" i="1"/>
  <c r="K958" i="1"/>
  <c r="K962" i="1"/>
  <c r="K966" i="1"/>
  <c r="J971" i="1"/>
  <c r="K971" i="1"/>
  <c r="K976" i="1"/>
  <c r="J984" i="1"/>
  <c r="K984" i="1"/>
  <c r="J988" i="1"/>
  <c r="K988" i="1"/>
  <c r="J992" i="1"/>
  <c r="K992" i="1"/>
  <c r="J996" i="1"/>
  <c r="K996" i="1"/>
  <c r="J1005" i="1"/>
  <c r="K1005" i="1"/>
  <c r="K1009" i="1"/>
  <c r="J1019" i="1"/>
  <c r="K1019" i="1"/>
  <c r="J1025" i="1"/>
  <c r="K1025" i="1"/>
  <c r="J1029" i="1"/>
  <c r="K1029" i="1"/>
  <c r="J1033" i="1"/>
  <c r="K1033" i="1"/>
  <c r="J1037" i="1"/>
  <c r="K1037" i="1"/>
  <c r="K1042" i="1"/>
  <c r="J1046" i="1"/>
  <c r="K1046" i="1"/>
  <c r="J1050" i="1"/>
  <c r="K1050" i="1"/>
  <c r="J1054" i="1"/>
  <c r="K1054" i="1"/>
  <c r="J1078" i="1"/>
  <c r="J1082" i="1"/>
  <c r="J1086" i="1"/>
  <c r="J1090" i="1"/>
  <c r="J1103" i="1"/>
  <c r="M1107" i="1"/>
  <c r="AP1107" i="1" s="1"/>
  <c r="J1107" i="1"/>
  <c r="J1111" i="1"/>
  <c r="J1119" i="1"/>
  <c r="M1125" i="1"/>
  <c r="AP1125" i="1" s="1"/>
  <c r="J1125" i="1"/>
  <c r="J1158" i="1"/>
  <c r="J1169" i="1"/>
  <c r="M1185" i="1"/>
  <c r="AP1185" i="1" s="1"/>
  <c r="M1213" i="1"/>
  <c r="AP1213" i="1" s="1"/>
  <c r="J1248" i="1"/>
  <c r="J1252" i="1"/>
  <c r="J1256" i="1"/>
  <c r="J1260" i="1"/>
  <c r="J1264" i="1"/>
  <c r="J1268" i="1"/>
  <c r="J1272" i="1"/>
  <c r="J1276" i="1"/>
  <c r="J1284" i="1"/>
  <c r="J1289" i="1"/>
  <c r="J1293" i="1"/>
  <c r="J1297" i="1"/>
  <c r="J1301" i="1"/>
  <c r="J1305" i="1"/>
  <c r="J1310" i="1"/>
  <c r="N1314" i="1"/>
  <c r="J1314" i="1"/>
  <c r="J1319" i="1"/>
  <c r="J791" i="1"/>
  <c r="K791" i="1"/>
  <c r="K795" i="1"/>
  <c r="J799" i="1"/>
  <c r="K799" i="1"/>
  <c r="J803" i="1"/>
  <c r="K803" i="1"/>
  <c r="N807" i="1"/>
  <c r="J807" i="1"/>
  <c r="K807" i="1"/>
  <c r="K811" i="1"/>
  <c r="K815" i="1"/>
  <c r="J832" i="1"/>
  <c r="K836" i="1"/>
  <c r="J841" i="1"/>
  <c r="K841" i="1"/>
  <c r="K845" i="1"/>
  <c r="K849" i="1"/>
  <c r="N872" i="1"/>
  <c r="J872" i="1"/>
  <c r="K872" i="1"/>
  <c r="J876" i="1"/>
  <c r="K876" i="1"/>
  <c r="J880" i="1"/>
  <c r="K880" i="1"/>
  <c r="K884" i="1"/>
  <c r="J888" i="1"/>
  <c r="K888" i="1"/>
  <c r="J893" i="1"/>
  <c r="K893" i="1"/>
  <c r="K897" i="1"/>
  <c r="J901" i="1"/>
  <c r="K901" i="1"/>
  <c r="J905" i="1"/>
  <c r="K905" i="1"/>
  <c r="K909" i="1"/>
  <c r="J913" i="1"/>
  <c r="K913" i="1"/>
  <c r="J917" i="1"/>
  <c r="K917" i="1"/>
  <c r="J921" i="1"/>
  <c r="K921" i="1"/>
  <c r="J925" i="1"/>
  <c r="K925" i="1"/>
  <c r="K929" i="1"/>
  <c r="K933" i="1"/>
  <c r="J937" i="1"/>
  <c r="K937" i="1"/>
  <c r="J941" i="1"/>
  <c r="K941" i="1"/>
  <c r="J945" i="1"/>
  <c r="K945" i="1"/>
  <c r="J949" i="1"/>
  <c r="K949" i="1"/>
  <c r="J953" i="1"/>
  <c r="K953" i="1"/>
  <c r="J957" i="1"/>
  <c r="K957" i="1"/>
  <c r="J961" i="1"/>
  <c r="K961" i="1"/>
  <c r="N965" i="1"/>
  <c r="J965" i="1"/>
  <c r="K965" i="1"/>
  <c r="J970" i="1"/>
  <c r="K970" i="1"/>
  <c r="J974" i="1"/>
  <c r="K974" i="1"/>
  <c r="J982" i="1"/>
  <c r="K982" i="1"/>
  <c r="J987" i="1"/>
  <c r="K987" i="1"/>
  <c r="J991" i="1"/>
  <c r="K991" i="1"/>
  <c r="N995" i="1"/>
  <c r="J995" i="1"/>
  <c r="K995" i="1"/>
  <c r="N1004" i="1"/>
  <c r="K1004" i="1"/>
  <c r="J1008" i="1"/>
  <c r="K1008" i="1"/>
  <c r="K1018" i="1"/>
  <c r="J1024" i="1"/>
  <c r="K1024" i="1"/>
  <c r="J1028" i="1"/>
  <c r="K1028" i="1"/>
  <c r="J1032" i="1"/>
  <c r="K1032" i="1"/>
  <c r="J1036" i="1"/>
  <c r="K1036" i="1"/>
  <c r="K1041" i="1"/>
  <c r="J1045" i="1"/>
  <c r="K1045" i="1"/>
  <c r="J1049" i="1"/>
  <c r="K1049" i="1"/>
  <c r="J1053" i="1"/>
  <c r="K1053" i="1"/>
  <c r="J1081" i="1"/>
  <c r="J1089" i="1"/>
  <c r="J1093" i="1"/>
  <c r="J1097" i="1"/>
  <c r="J1102" i="1"/>
  <c r="J1106" i="1"/>
  <c r="N1110" i="1"/>
  <c r="J1110" i="1"/>
  <c r="J1118" i="1"/>
  <c r="J1124" i="1"/>
  <c r="J1152" i="1"/>
  <c r="J1164" i="1"/>
  <c r="J1168" i="1"/>
  <c r="N1172" i="1"/>
  <c r="N1188" i="1"/>
  <c r="N1224" i="1"/>
  <c r="J1247" i="1"/>
  <c r="J1251" i="1"/>
  <c r="J1255" i="1"/>
  <c r="J1259" i="1"/>
  <c r="J1263" i="1"/>
  <c r="N1267" i="1"/>
  <c r="J1267" i="1"/>
  <c r="J1271" i="1"/>
  <c r="J1275" i="1"/>
  <c r="J1283" i="1"/>
  <c r="O1287" i="1"/>
  <c r="J1287" i="1"/>
  <c r="J1292" i="1"/>
  <c r="J1300" i="1"/>
  <c r="O1304" i="1"/>
  <c r="J1304" i="1"/>
  <c r="N1309" i="1"/>
  <c r="J1309" i="1"/>
  <c r="J1313" i="1"/>
  <c r="J1317" i="1"/>
  <c r="J790" i="1"/>
  <c r="K790" i="1"/>
  <c r="M794" i="1"/>
  <c r="AP794" i="1" s="1"/>
  <c r="J794" i="1"/>
  <c r="K794" i="1"/>
  <c r="J798" i="1"/>
  <c r="K798" i="1"/>
  <c r="J802" i="1"/>
  <c r="K802" i="1"/>
  <c r="J806" i="1"/>
  <c r="K806" i="1"/>
  <c r="K810" i="1"/>
  <c r="N814" i="1"/>
  <c r="K814" i="1"/>
  <c r="K818" i="1"/>
  <c r="J835" i="1"/>
  <c r="K835" i="1"/>
  <c r="J840" i="1"/>
  <c r="K840" i="1"/>
  <c r="K844" i="1"/>
  <c r="K848" i="1"/>
  <c r="K852" i="1"/>
  <c r="K871" i="1"/>
  <c r="J875" i="1"/>
  <c r="K875" i="1"/>
  <c r="J879" i="1"/>
  <c r="K879" i="1"/>
  <c r="M883" i="1"/>
  <c r="AP883" i="1" s="1"/>
  <c r="J883" i="1"/>
  <c r="K883" i="1"/>
  <c r="J887" i="1"/>
  <c r="K887" i="1"/>
  <c r="J892" i="1"/>
  <c r="K892" i="1"/>
  <c r="K896" i="1"/>
  <c r="K900" i="1"/>
  <c r="K904" i="1"/>
  <c r="K908" i="1"/>
  <c r="J912" i="1"/>
  <c r="K912" i="1"/>
  <c r="J916" i="1"/>
  <c r="K916" i="1"/>
  <c r="J920" i="1"/>
  <c r="K920" i="1"/>
  <c r="J924" i="1"/>
  <c r="K924" i="1"/>
  <c r="K928" i="1"/>
  <c r="K932" i="1"/>
  <c r="J936" i="1"/>
  <c r="K936" i="1"/>
  <c r="J940" i="1"/>
  <c r="K940" i="1"/>
  <c r="J944" i="1"/>
  <c r="K944" i="1"/>
  <c r="M948" i="1"/>
  <c r="AP948" i="1" s="1"/>
  <c r="J948" i="1"/>
  <c r="K948" i="1"/>
  <c r="J952" i="1"/>
  <c r="K952" i="1"/>
  <c r="J956" i="1"/>
  <c r="K956" i="1"/>
  <c r="J960" i="1"/>
  <c r="K960" i="1"/>
  <c r="K964" i="1"/>
  <c r="J969" i="1"/>
  <c r="K969" i="1"/>
  <c r="J973" i="1"/>
  <c r="K973" i="1"/>
  <c r="J981" i="1"/>
  <c r="K981" i="1"/>
  <c r="J986" i="1"/>
  <c r="K986" i="1"/>
  <c r="J990" i="1"/>
  <c r="K990" i="1"/>
  <c r="J994" i="1"/>
  <c r="K994" i="1"/>
  <c r="K1000" i="1"/>
  <c r="J1007" i="1"/>
  <c r="K1007" i="1"/>
  <c r="K1014" i="1"/>
  <c r="J1023" i="1"/>
  <c r="K1023" i="1"/>
  <c r="K1027" i="1"/>
  <c r="J1031" i="1"/>
  <c r="K1031" i="1"/>
  <c r="J1035" i="1"/>
  <c r="K1035" i="1"/>
  <c r="J1040" i="1"/>
  <c r="K1040" i="1"/>
  <c r="J1044" i="1"/>
  <c r="K1044" i="1"/>
  <c r="K1048" i="1"/>
  <c r="J1052" i="1"/>
  <c r="K1052" i="1"/>
  <c r="J1057" i="1"/>
  <c r="K1057" i="1"/>
  <c r="J1080" i="1"/>
  <c r="M1084" i="1"/>
  <c r="AP1084" i="1" s="1"/>
  <c r="J1084" i="1"/>
  <c r="J1088" i="1"/>
  <c r="J1092" i="1"/>
  <c r="J1096" i="1"/>
  <c r="J1100" i="1"/>
  <c r="J1105" i="1"/>
  <c r="J1109" i="1"/>
  <c r="M1117" i="1"/>
  <c r="AP1117" i="1" s="1"/>
  <c r="J1117" i="1"/>
  <c r="J1127" i="1"/>
  <c r="J1161" i="1"/>
  <c r="M1215" i="1"/>
  <c r="AP1215" i="1" s="1"/>
  <c r="M1227" i="1"/>
  <c r="AP1227" i="1" s="1"/>
  <c r="J1235" i="1"/>
  <c r="J1243" i="1"/>
  <c r="M1250" i="1"/>
  <c r="AP1250" i="1" s="1"/>
  <c r="J1250" i="1"/>
  <c r="J1254" i="1"/>
  <c r="J1258" i="1"/>
  <c r="J1262" i="1"/>
  <c r="J1266" i="1"/>
  <c r="J1270" i="1"/>
  <c r="J1274" i="1"/>
  <c r="J1279" i="1"/>
  <c r="J1286" i="1"/>
  <c r="J1299" i="1"/>
  <c r="J1303" i="1"/>
  <c r="J1307" i="1"/>
  <c r="J1312" i="1"/>
  <c r="J1316" i="1"/>
  <c r="J1321" i="1"/>
  <c r="J793" i="1"/>
  <c r="K793" i="1"/>
  <c r="J797" i="1"/>
  <c r="K797" i="1"/>
  <c r="K801" i="1"/>
  <c r="J805" i="1"/>
  <c r="K805" i="1"/>
  <c r="J809" i="1"/>
  <c r="K809" i="1"/>
  <c r="K813" i="1"/>
  <c r="K817" i="1"/>
  <c r="J834" i="1"/>
  <c r="K834" i="1"/>
  <c r="J839" i="1"/>
  <c r="AR839" i="1" s="1"/>
  <c r="K843" i="1"/>
  <c r="K847" i="1"/>
  <c r="K851" i="1"/>
  <c r="J870" i="1"/>
  <c r="K870" i="1"/>
  <c r="J874" i="1"/>
  <c r="K874" i="1"/>
  <c r="J878" i="1"/>
  <c r="K878" i="1"/>
  <c r="J882" i="1"/>
  <c r="K882" i="1"/>
  <c r="J886" i="1"/>
  <c r="K886" i="1"/>
  <c r="J890" i="1"/>
  <c r="K890" i="1"/>
  <c r="J895" i="1"/>
  <c r="K895" i="1"/>
  <c r="K899" i="1"/>
  <c r="J903" i="1"/>
  <c r="K903" i="1"/>
  <c r="K907" i="1"/>
  <c r="J911" i="1"/>
  <c r="K911" i="1"/>
  <c r="J915" i="1"/>
  <c r="K915" i="1"/>
  <c r="J919" i="1"/>
  <c r="K919" i="1"/>
  <c r="J923" i="1"/>
  <c r="K923" i="1"/>
  <c r="K927" i="1"/>
  <c r="K931" i="1"/>
  <c r="K935" i="1"/>
  <c r="J939" i="1"/>
  <c r="K939" i="1"/>
  <c r="J943" i="1"/>
  <c r="K943" i="1"/>
  <c r="J947" i="1"/>
  <c r="K947" i="1"/>
  <c r="J951" i="1"/>
  <c r="K951" i="1"/>
  <c r="J955" i="1"/>
  <c r="K955" i="1"/>
  <c r="J959" i="1"/>
  <c r="K959" i="1"/>
  <c r="J963" i="1"/>
  <c r="K963" i="1"/>
  <c r="K968" i="1"/>
  <c r="J972" i="1"/>
  <c r="K972" i="1"/>
  <c r="K980" i="1"/>
  <c r="J985" i="1"/>
  <c r="K985" i="1"/>
  <c r="J989" i="1"/>
  <c r="K989" i="1"/>
  <c r="J993" i="1"/>
  <c r="K993" i="1"/>
  <c r="J999" i="1"/>
  <c r="K999" i="1"/>
  <c r="J1006" i="1"/>
  <c r="K1006" i="1"/>
  <c r="J1013" i="1"/>
  <c r="K1013" i="1"/>
  <c r="K1021" i="1"/>
  <c r="J1026" i="1"/>
  <c r="K1026" i="1"/>
  <c r="J1030" i="1"/>
  <c r="K1030" i="1"/>
  <c r="J1034" i="1"/>
  <c r="K1034" i="1"/>
  <c r="K1038" i="1"/>
  <c r="K1043" i="1"/>
  <c r="K1047" i="1"/>
  <c r="K1051" i="1"/>
  <c r="J1055" i="1"/>
  <c r="K1055" i="1"/>
  <c r="J1079" i="1"/>
  <c r="J1083" i="1"/>
  <c r="J1087" i="1"/>
  <c r="J1091" i="1"/>
  <c r="J1095" i="1"/>
  <c r="J1099" i="1"/>
  <c r="J1104" i="1"/>
  <c r="J1108" i="1"/>
  <c r="J1116" i="1"/>
  <c r="J1126" i="1"/>
  <c r="J1154" i="1"/>
  <c r="J1160" i="1"/>
  <c r="J1166" i="1"/>
  <c r="J1242" i="1"/>
  <c r="J1249" i="1"/>
  <c r="J1253" i="1"/>
  <c r="J1257" i="1"/>
  <c r="J1261" i="1"/>
  <c r="J1265" i="1"/>
  <c r="J1269" i="1"/>
  <c r="J1273" i="1"/>
  <c r="J1278" i="1"/>
  <c r="J1285" i="1"/>
  <c r="J1290" i="1"/>
  <c r="J1294" i="1"/>
  <c r="J1298" i="1"/>
  <c r="J1302" i="1"/>
  <c r="J1306" i="1"/>
  <c r="J1311" i="1"/>
  <c r="J1315" i="1"/>
  <c r="J1320" i="1"/>
  <c r="M792" i="1"/>
  <c r="AP792" i="1" s="1"/>
  <c r="M104" i="1"/>
  <c r="AP104" i="1" s="1"/>
  <c r="AQ104" i="1" s="1"/>
  <c r="M57" i="1"/>
  <c r="AP57" i="1" s="1"/>
  <c r="AQ57" i="1" s="1"/>
  <c r="M60" i="1"/>
  <c r="AP60" i="1" s="1"/>
  <c r="AQ60" i="1" s="1"/>
  <c r="N1287" i="1"/>
  <c r="M18" i="1"/>
  <c r="AP18" i="1" s="1"/>
  <c r="AQ18" i="1" s="1"/>
  <c r="M188" i="1"/>
  <c r="AP188" i="1" s="1"/>
  <c r="AQ188" i="1" s="1"/>
  <c r="N1284" i="1"/>
  <c r="M1287" i="1"/>
  <c r="AP1287" i="1" s="1"/>
  <c r="N881" i="1"/>
  <c r="N195" i="1"/>
  <c r="O195" i="1"/>
  <c r="N199" i="1"/>
  <c r="O199" i="1"/>
  <c r="N203" i="1"/>
  <c r="O203" i="1"/>
  <c r="N209" i="1"/>
  <c r="O209" i="1"/>
  <c r="N213" i="1"/>
  <c r="O213" i="1"/>
  <c r="N217" i="1"/>
  <c r="O217" i="1"/>
  <c r="N221" i="1"/>
  <c r="O221" i="1"/>
  <c r="N225" i="1"/>
  <c r="O225" i="1"/>
  <c r="N229" i="1"/>
  <c r="O229" i="1"/>
  <c r="N233" i="1"/>
  <c r="O233" i="1"/>
  <c r="N236" i="1"/>
  <c r="O236" i="1"/>
  <c r="N240" i="1"/>
  <c r="O240" i="1"/>
  <c r="N244" i="1"/>
  <c r="O244" i="1"/>
  <c r="N249" i="1"/>
  <c r="O249" i="1"/>
  <c r="N253" i="1"/>
  <c r="O253" i="1"/>
  <c r="M256" i="1"/>
  <c r="AP256" i="1" s="1"/>
  <c r="AQ256" i="1" s="1"/>
  <c r="O256" i="1"/>
  <c r="N259" i="1"/>
  <c r="O259" i="1"/>
  <c r="M263" i="1"/>
  <c r="AP263" i="1" s="1"/>
  <c r="AQ263" i="1" s="1"/>
  <c r="O263" i="1"/>
  <c r="M267" i="1"/>
  <c r="AP267" i="1" s="1"/>
  <c r="AQ267" i="1" s="1"/>
  <c r="O267" i="1"/>
  <c r="M271" i="1"/>
  <c r="AP271" i="1" s="1"/>
  <c r="AQ271" i="1" s="1"/>
  <c r="O271" i="1"/>
  <c r="M275" i="1"/>
  <c r="AP275" i="1" s="1"/>
  <c r="AQ275" i="1" s="1"/>
  <c r="O275" i="1"/>
  <c r="M279" i="1"/>
  <c r="AP279" i="1" s="1"/>
  <c r="AQ279" i="1" s="1"/>
  <c r="O279" i="1"/>
  <c r="M283" i="1"/>
  <c r="AP283" i="1" s="1"/>
  <c r="AQ283" i="1" s="1"/>
  <c r="O283" i="1"/>
  <c r="M287" i="1"/>
  <c r="AP287" i="1" s="1"/>
  <c r="AQ287" i="1" s="1"/>
  <c r="O287" i="1"/>
  <c r="M291" i="1"/>
  <c r="AP291" i="1" s="1"/>
  <c r="AQ291" i="1" s="1"/>
  <c r="O291" i="1"/>
  <c r="M295" i="1"/>
  <c r="AP295" i="1" s="1"/>
  <c r="AQ295" i="1" s="1"/>
  <c r="O295" i="1"/>
  <c r="M299" i="1"/>
  <c r="AP299" i="1" s="1"/>
  <c r="AQ299" i="1" s="1"/>
  <c r="O299" i="1"/>
  <c r="M303" i="1"/>
  <c r="AP303" i="1" s="1"/>
  <c r="AQ303" i="1" s="1"/>
  <c r="O303" i="1"/>
  <c r="M308" i="1"/>
  <c r="AP308" i="1" s="1"/>
  <c r="AQ308" i="1" s="1"/>
  <c r="O308" i="1"/>
  <c r="M312" i="1"/>
  <c r="AP312" i="1" s="1"/>
  <c r="AQ312" i="1" s="1"/>
  <c r="O312" i="1"/>
  <c r="N319" i="1"/>
  <c r="O319" i="1"/>
  <c r="N323" i="1"/>
  <c r="O323" i="1"/>
  <c r="N327" i="1"/>
  <c r="O327" i="1"/>
  <c r="N331" i="1"/>
  <c r="O331" i="1"/>
  <c r="N335" i="1"/>
  <c r="O335" i="1"/>
  <c r="N339" i="1"/>
  <c r="O339" i="1"/>
  <c r="N343" i="1"/>
  <c r="O343" i="1"/>
  <c r="N347" i="1"/>
  <c r="O347" i="1"/>
  <c r="N351" i="1"/>
  <c r="O351" i="1"/>
  <c r="N355" i="1"/>
  <c r="O355" i="1"/>
  <c r="N359" i="1"/>
  <c r="O359" i="1"/>
  <c r="N363" i="1"/>
  <c r="O363" i="1"/>
  <c r="N367" i="1"/>
  <c r="O367" i="1"/>
  <c r="N371" i="1"/>
  <c r="O371" i="1"/>
  <c r="M375" i="1"/>
  <c r="AP375" i="1" s="1"/>
  <c r="AQ375" i="1" s="1"/>
  <c r="O375" i="1"/>
  <c r="N379" i="1"/>
  <c r="O379" i="1"/>
  <c r="N382" i="1"/>
  <c r="O382" i="1"/>
  <c r="N386" i="1"/>
  <c r="O386" i="1"/>
  <c r="N390" i="1"/>
  <c r="O390" i="1"/>
  <c r="N394" i="1"/>
  <c r="O394" i="1"/>
  <c r="N398" i="1"/>
  <c r="O398" i="1"/>
  <c r="N402" i="1"/>
  <c r="O402" i="1"/>
  <c r="N406" i="1"/>
  <c r="O406" i="1"/>
  <c r="N410" i="1"/>
  <c r="O410" i="1"/>
  <c r="N414" i="1"/>
  <c r="O414" i="1"/>
  <c r="N418" i="1"/>
  <c r="O418" i="1"/>
  <c r="N422" i="1"/>
  <c r="O422" i="1"/>
  <c r="N426" i="1"/>
  <c r="O426" i="1"/>
  <c r="N430" i="1"/>
  <c r="O430" i="1"/>
  <c r="N434" i="1"/>
  <c r="O434" i="1"/>
  <c r="N438" i="1"/>
  <c r="O438" i="1"/>
  <c r="N442" i="1"/>
  <c r="O442" i="1"/>
  <c r="N446" i="1"/>
  <c r="O446" i="1"/>
  <c r="N450" i="1"/>
  <c r="O450" i="1"/>
  <c r="N454" i="1"/>
  <c r="O454" i="1"/>
  <c r="N458" i="1"/>
  <c r="O458" i="1"/>
  <c r="N461" i="1"/>
  <c r="O461" i="1"/>
  <c r="N465" i="1"/>
  <c r="O465" i="1"/>
  <c r="N469" i="1"/>
  <c r="O469" i="1"/>
  <c r="N473" i="1"/>
  <c r="O473" i="1"/>
  <c r="N478" i="1"/>
  <c r="O478" i="1"/>
  <c r="N482" i="1"/>
  <c r="O482" i="1"/>
  <c r="N486" i="1"/>
  <c r="O486" i="1"/>
  <c r="N490" i="1"/>
  <c r="O490" i="1"/>
  <c r="N494" i="1"/>
  <c r="O494" i="1"/>
  <c r="N498" i="1"/>
  <c r="O498" i="1"/>
  <c r="N502" i="1"/>
  <c r="O502" i="1"/>
  <c r="N506" i="1"/>
  <c r="O506" i="1"/>
  <c r="N510" i="1"/>
  <c r="O510" i="1"/>
  <c r="N514" i="1"/>
  <c r="O514" i="1"/>
  <c r="N518" i="1"/>
  <c r="O518" i="1"/>
  <c r="M521" i="1"/>
  <c r="AP521" i="1" s="1"/>
  <c r="AQ521" i="1" s="1"/>
  <c r="O521" i="1"/>
  <c r="M525" i="1"/>
  <c r="AP525" i="1" s="1"/>
  <c r="AQ525" i="1" s="1"/>
  <c r="O525" i="1"/>
  <c r="M529" i="1"/>
  <c r="AP529" i="1" s="1"/>
  <c r="AQ529" i="1" s="1"/>
  <c r="O529" i="1"/>
  <c r="M533" i="1"/>
  <c r="AP533" i="1" s="1"/>
  <c r="AQ533" i="1" s="1"/>
  <c r="O533" i="1"/>
  <c r="M537" i="1"/>
  <c r="AP537" i="1" s="1"/>
  <c r="AQ537" i="1" s="1"/>
  <c r="O537" i="1"/>
  <c r="M541" i="1"/>
  <c r="AP541" i="1" s="1"/>
  <c r="AQ541" i="1" s="1"/>
  <c r="O541" i="1"/>
  <c r="M545" i="1"/>
  <c r="AP545" i="1" s="1"/>
  <c r="AQ545" i="1" s="1"/>
  <c r="O545" i="1"/>
  <c r="M549" i="1"/>
  <c r="AP549" i="1" s="1"/>
  <c r="AQ549" i="1" s="1"/>
  <c r="O549" i="1"/>
  <c r="M553" i="1"/>
  <c r="AP553" i="1" s="1"/>
  <c r="AQ553" i="1" s="1"/>
  <c r="O553" i="1"/>
  <c r="M557" i="1"/>
  <c r="AP557" i="1" s="1"/>
  <c r="AQ557" i="1" s="1"/>
  <c r="O557" i="1"/>
  <c r="M561" i="1"/>
  <c r="AP561" i="1" s="1"/>
  <c r="AQ561" i="1" s="1"/>
  <c r="O561" i="1"/>
  <c r="M565" i="1"/>
  <c r="AP565" i="1" s="1"/>
  <c r="AQ565" i="1" s="1"/>
  <c r="O565" i="1"/>
  <c r="M569" i="1"/>
  <c r="AP569" i="1" s="1"/>
  <c r="AQ569" i="1" s="1"/>
  <c r="O569" i="1"/>
  <c r="M573" i="1"/>
  <c r="AP573" i="1" s="1"/>
  <c r="AQ573" i="1" s="1"/>
  <c r="O573" i="1"/>
  <c r="M577" i="1"/>
  <c r="AP577" i="1" s="1"/>
  <c r="AQ577" i="1" s="1"/>
  <c r="O577" i="1"/>
  <c r="M581" i="1"/>
  <c r="AP581" i="1" s="1"/>
  <c r="AQ581" i="1" s="1"/>
  <c r="O581" i="1"/>
  <c r="M585" i="1"/>
  <c r="AP585" i="1" s="1"/>
  <c r="AQ585" i="1" s="1"/>
  <c r="O585" i="1"/>
  <c r="M589" i="1"/>
  <c r="AP589" i="1" s="1"/>
  <c r="AQ589" i="1" s="1"/>
  <c r="O589" i="1"/>
  <c r="M593" i="1"/>
  <c r="AP593" i="1" s="1"/>
  <c r="AQ593" i="1" s="1"/>
  <c r="O593" i="1"/>
  <c r="M597" i="1"/>
  <c r="AP597" i="1" s="1"/>
  <c r="AQ597" i="1" s="1"/>
  <c r="O597" i="1"/>
  <c r="M601" i="1"/>
  <c r="AP601" i="1" s="1"/>
  <c r="AQ601" i="1" s="1"/>
  <c r="O601" i="1"/>
  <c r="M605" i="1"/>
  <c r="AP605" i="1" s="1"/>
  <c r="AQ605" i="1" s="1"/>
  <c r="O605" i="1"/>
  <c r="M610" i="1"/>
  <c r="AP610" i="1" s="1"/>
  <c r="AQ610" i="1" s="1"/>
  <c r="O610" i="1"/>
  <c r="M614" i="1"/>
  <c r="AP614" i="1" s="1"/>
  <c r="AQ614" i="1" s="1"/>
  <c r="O614" i="1"/>
  <c r="M620" i="1"/>
  <c r="AP620" i="1" s="1"/>
  <c r="AQ620" i="1" s="1"/>
  <c r="O620" i="1"/>
  <c r="M624" i="1"/>
  <c r="AP624" i="1" s="1"/>
  <c r="AQ624" i="1" s="1"/>
  <c r="O624" i="1"/>
  <c r="M628" i="1"/>
  <c r="AP628" i="1" s="1"/>
  <c r="AQ628" i="1" s="1"/>
  <c r="O628" i="1"/>
  <c r="M633" i="1"/>
  <c r="AP633" i="1" s="1"/>
  <c r="AQ633" i="1" s="1"/>
  <c r="O633" i="1"/>
  <c r="M637" i="1"/>
  <c r="AP637" i="1" s="1"/>
  <c r="AQ637" i="1" s="1"/>
  <c r="O637" i="1"/>
  <c r="M641" i="1"/>
  <c r="AP641" i="1" s="1"/>
  <c r="AQ641" i="1" s="1"/>
  <c r="O641" i="1"/>
  <c r="M645" i="1"/>
  <c r="AP645" i="1" s="1"/>
  <c r="AQ645" i="1" s="1"/>
  <c r="O645" i="1"/>
  <c r="M649" i="1"/>
  <c r="AP649" i="1" s="1"/>
  <c r="AQ649" i="1" s="1"/>
  <c r="O649" i="1"/>
  <c r="M657" i="1"/>
  <c r="AP657" i="1" s="1"/>
  <c r="AQ657" i="1" s="1"/>
  <c r="O657" i="1"/>
  <c r="N661" i="1"/>
  <c r="O661" i="1"/>
  <c r="M666" i="1"/>
  <c r="AP666" i="1" s="1"/>
  <c r="AQ666" i="1" s="1"/>
  <c r="O666" i="1"/>
  <c r="N670" i="1"/>
  <c r="O670" i="1"/>
  <c r="M674" i="1"/>
  <c r="AP674" i="1" s="1"/>
  <c r="AQ674" i="1" s="1"/>
  <c r="O674" i="1"/>
  <c r="N678" i="1"/>
  <c r="O678" i="1"/>
  <c r="M682" i="1"/>
  <c r="AP682" i="1" s="1"/>
  <c r="AQ682" i="1" s="1"/>
  <c r="O682" i="1"/>
  <c r="N689" i="1"/>
  <c r="O689" i="1"/>
  <c r="M693" i="1"/>
  <c r="AP693" i="1" s="1"/>
  <c r="AQ693" i="1" s="1"/>
  <c r="O693" i="1"/>
  <c r="N697" i="1"/>
  <c r="O697" i="1"/>
  <c r="M701" i="1"/>
  <c r="AP701" i="1" s="1"/>
  <c r="AQ701" i="1" s="1"/>
  <c r="O701" i="1"/>
  <c r="N705" i="1"/>
  <c r="O705" i="1"/>
  <c r="J789" i="1"/>
  <c r="O789" i="1"/>
  <c r="O792" i="1"/>
  <c r="N795" i="1"/>
  <c r="O795" i="1"/>
  <c r="O799" i="1"/>
  <c r="O803" i="1"/>
  <c r="O806" i="1"/>
  <c r="O810" i="1"/>
  <c r="M813" i="1"/>
  <c r="AP813" i="1" s="1"/>
  <c r="O813" i="1"/>
  <c r="O817" i="1"/>
  <c r="N834" i="1"/>
  <c r="O834" i="1"/>
  <c r="O839" i="1"/>
  <c r="N843" i="1"/>
  <c r="O843" i="1"/>
  <c r="O847" i="1"/>
  <c r="M851" i="1"/>
  <c r="AP851" i="1" s="1"/>
  <c r="O851" i="1"/>
  <c r="M870" i="1"/>
  <c r="AP870" i="1" s="1"/>
  <c r="O870" i="1"/>
  <c r="O873" i="1"/>
  <c r="O877" i="1"/>
  <c r="O881" i="1"/>
  <c r="N883" i="1"/>
  <c r="O883" i="1"/>
  <c r="M886" i="1"/>
  <c r="AP886" i="1" s="1"/>
  <c r="O886" i="1"/>
  <c r="O890" i="1"/>
  <c r="M895" i="1"/>
  <c r="AP895" i="1" s="1"/>
  <c r="O895" i="1"/>
  <c r="M899" i="1"/>
  <c r="AP899" i="1" s="1"/>
  <c r="O899" i="1"/>
  <c r="M903" i="1"/>
  <c r="AP903" i="1" s="1"/>
  <c r="O903" i="1"/>
  <c r="O907" i="1"/>
  <c r="M911" i="1"/>
  <c r="AP911" i="1" s="1"/>
  <c r="O911" i="1"/>
  <c r="M915" i="1"/>
  <c r="AP915" i="1" s="1"/>
  <c r="O915" i="1"/>
  <c r="M919" i="1"/>
  <c r="AP919" i="1" s="1"/>
  <c r="O919" i="1"/>
  <c r="O923" i="1"/>
  <c r="M927" i="1"/>
  <c r="AP927" i="1" s="1"/>
  <c r="O927" i="1"/>
  <c r="M931" i="1"/>
  <c r="AP931" i="1" s="1"/>
  <c r="O931" i="1"/>
  <c r="M935" i="1"/>
  <c r="AP935" i="1" s="1"/>
  <c r="O935" i="1"/>
  <c r="O939" i="1"/>
  <c r="M943" i="1"/>
  <c r="AP943" i="1" s="1"/>
  <c r="O943" i="1"/>
  <c r="M947" i="1"/>
  <c r="AP947" i="1" s="1"/>
  <c r="O947" i="1"/>
  <c r="O950" i="1"/>
  <c r="O954" i="1"/>
  <c r="O958" i="1"/>
  <c r="O962" i="1"/>
  <c r="M970" i="1"/>
  <c r="AP970" i="1" s="1"/>
  <c r="O970" i="1"/>
  <c r="M974" i="1"/>
  <c r="AP974" i="1" s="1"/>
  <c r="O974" i="1"/>
  <c r="M982" i="1"/>
  <c r="AP982" i="1" s="1"/>
  <c r="O982" i="1"/>
  <c r="M987" i="1"/>
  <c r="AP987" i="1" s="1"/>
  <c r="O987" i="1"/>
  <c r="M991" i="1"/>
  <c r="AP991" i="1" s="1"/>
  <c r="O991" i="1"/>
  <c r="M995" i="1"/>
  <c r="AP995" i="1" s="1"/>
  <c r="O995" i="1"/>
  <c r="N1000" i="1"/>
  <c r="O1000" i="1"/>
  <c r="M1006" i="1"/>
  <c r="AP1006" i="1" s="1"/>
  <c r="O1006" i="1"/>
  <c r="M1013" i="1"/>
  <c r="AP1013" i="1" s="1"/>
  <c r="O1013" i="1"/>
  <c r="M1021" i="1"/>
  <c r="AP1021" i="1" s="1"/>
  <c r="O1021" i="1"/>
  <c r="M1026" i="1"/>
  <c r="AP1026" i="1" s="1"/>
  <c r="O1026" i="1"/>
  <c r="M1030" i="1"/>
  <c r="AP1030" i="1" s="1"/>
  <c r="O1030" i="1"/>
  <c r="M1034" i="1"/>
  <c r="AP1034" i="1" s="1"/>
  <c r="O1034" i="1"/>
  <c r="M1038" i="1"/>
  <c r="AP1038" i="1" s="1"/>
  <c r="O1038" i="1"/>
  <c r="M1043" i="1"/>
  <c r="AP1043" i="1" s="1"/>
  <c r="O1043" i="1"/>
  <c r="M1047" i="1"/>
  <c r="AP1047" i="1" s="1"/>
  <c r="O1047" i="1"/>
  <c r="M1051" i="1"/>
  <c r="AP1051" i="1" s="1"/>
  <c r="O1051" i="1"/>
  <c r="M1055" i="1"/>
  <c r="AP1055" i="1" s="1"/>
  <c r="O1055" i="1"/>
  <c r="M1079" i="1"/>
  <c r="AP1079" i="1" s="1"/>
  <c r="O1079" i="1"/>
  <c r="M1083" i="1"/>
  <c r="AP1083" i="1" s="1"/>
  <c r="O1083" i="1"/>
  <c r="O1086" i="1"/>
  <c r="O1090" i="1"/>
  <c r="O1094" i="1"/>
  <c r="O1098" i="1"/>
  <c r="O1103" i="1"/>
  <c r="O1107" i="1"/>
  <c r="M1110" i="1"/>
  <c r="AP1110" i="1" s="1"/>
  <c r="O1110" i="1"/>
  <c r="N1113" i="1"/>
  <c r="O1113" i="1"/>
  <c r="N1117" i="1"/>
  <c r="O1117" i="1"/>
  <c r="M1121" i="1"/>
  <c r="AP1121" i="1" s="1"/>
  <c r="O1121" i="1"/>
  <c r="O1153" i="1"/>
  <c r="O1158" i="1"/>
  <c r="O1165" i="1"/>
  <c r="O1169" i="1"/>
  <c r="M1176" i="1"/>
  <c r="AP1176" i="1" s="1"/>
  <c r="O1176" i="1"/>
  <c r="M1180" i="1"/>
  <c r="AP1180" i="1" s="1"/>
  <c r="O1180" i="1"/>
  <c r="M1184" i="1"/>
  <c r="AP1184" i="1" s="1"/>
  <c r="O1184" i="1"/>
  <c r="N1187" i="1"/>
  <c r="O1187" i="1"/>
  <c r="M1190" i="1"/>
  <c r="AP1190" i="1" s="1"/>
  <c r="O1190" i="1"/>
  <c r="M1194" i="1"/>
  <c r="AP1194" i="1" s="1"/>
  <c r="O1194" i="1"/>
  <c r="M1198" i="1"/>
  <c r="AP1198" i="1" s="1"/>
  <c r="O1198" i="1"/>
  <c r="M1202" i="1"/>
  <c r="AP1202" i="1" s="1"/>
  <c r="O1202" i="1"/>
  <c r="M1206" i="1"/>
  <c r="AP1206" i="1" s="1"/>
  <c r="O1206" i="1"/>
  <c r="M1210" i="1"/>
  <c r="AP1210" i="1" s="1"/>
  <c r="O1210" i="1"/>
  <c r="M1216" i="1"/>
  <c r="AP1216" i="1" s="1"/>
  <c r="O1216" i="1"/>
  <c r="M1220" i="1"/>
  <c r="AP1220" i="1" s="1"/>
  <c r="O1220" i="1"/>
  <c r="M1224" i="1"/>
  <c r="AP1224" i="1" s="1"/>
  <c r="O1224" i="1"/>
  <c r="N1227" i="1"/>
  <c r="O1227" i="1"/>
  <c r="M1230" i="1"/>
  <c r="AP1230" i="1" s="1"/>
  <c r="O1230" i="1"/>
  <c r="M1234" i="1"/>
  <c r="AP1234" i="1" s="1"/>
  <c r="O1234" i="1"/>
  <c r="M1238" i="1"/>
  <c r="AP1238" i="1" s="1"/>
  <c r="O1238" i="1"/>
  <c r="M1242" i="1"/>
  <c r="AP1242" i="1" s="1"/>
  <c r="O1242" i="1"/>
  <c r="M1249" i="1"/>
  <c r="AP1249" i="1" s="1"/>
  <c r="O1249" i="1"/>
  <c r="O1252" i="1"/>
  <c r="M1256" i="1"/>
  <c r="AP1256" i="1" s="1"/>
  <c r="O1256" i="1"/>
  <c r="M1260" i="1"/>
  <c r="AP1260" i="1" s="1"/>
  <c r="O1260" i="1"/>
  <c r="M1264" i="1"/>
  <c r="AP1264" i="1" s="1"/>
  <c r="O1264" i="1"/>
  <c r="M1271" i="1"/>
  <c r="AP1271" i="1" s="1"/>
  <c r="O1271" i="1"/>
  <c r="N1275" i="1"/>
  <c r="O1275" i="1"/>
  <c r="M1283" i="1"/>
  <c r="AP1283" i="1" s="1"/>
  <c r="O1283" i="1"/>
  <c r="M1286" i="1"/>
  <c r="AP1286" i="1" s="1"/>
  <c r="O1286" i="1"/>
  <c r="M1289" i="1"/>
  <c r="AP1289" i="1" s="1"/>
  <c r="O1289" i="1"/>
  <c r="M1293" i="1"/>
  <c r="AP1293" i="1" s="1"/>
  <c r="O1293" i="1"/>
  <c r="M1297" i="1"/>
  <c r="AP1297" i="1" s="1"/>
  <c r="O1297" i="1"/>
  <c r="M1301" i="1"/>
  <c r="AP1301" i="1" s="1"/>
  <c r="O1301" i="1"/>
  <c r="M1307" i="1"/>
  <c r="AP1307" i="1" s="1"/>
  <c r="O1307" i="1"/>
  <c r="N1311" i="1"/>
  <c r="O1311" i="1"/>
  <c r="M1319" i="1"/>
  <c r="AP1319" i="1" s="1"/>
  <c r="O1319" i="1"/>
  <c r="M1304" i="1"/>
  <c r="AP1304" i="1" s="1"/>
  <c r="O7" i="1"/>
  <c r="O11" i="1"/>
  <c r="O15" i="1"/>
  <c r="O19" i="1"/>
  <c r="O23" i="1"/>
  <c r="O27" i="1"/>
  <c r="O31" i="1"/>
  <c r="O35" i="1"/>
  <c r="O42" i="1"/>
  <c r="O46" i="1"/>
  <c r="O50" i="1"/>
  <c r="O54" i="1"/>
  <c r="O58" i="1"/>
  <c r="O62" i="1"/>
  <c r="O66" i="1"/>
  <c r="O70" i="1"/>
  <c r="O74" i="1"/>
  <c r="O78" i="1"/>
  <c r="O83" i="1"/>
  <c r="O88" i="1"/>
  <c r="O93" i="1"/>
  <c r="O97" i="1"/>
  <c r="O101" i="1"/>
  <c r="O105" i="1"/>
  <c r="O109" i="1"/>
  <c r="O113" i="1"/>
  <c r="O117" i="1"/>
  <c r="O121" i="1"/>
  <c r="O125" i="1"/>
  <c r="O129" i="1"/>
  <c r="O133" i="1"/>
  <c r="O137" i="1"/>
  <c r="O141" i="1"/>
  <c r="O145" i="1"/>
  <c r="O149" i="1"/>
  <c r="O153" i="1"/>
  <c r="O157" i="1"/>
  <c r="O161" i="1"/>
  <c r="O165" i="1"/>
  <c r="O169" i="1"/>
  <c r="O177" i="1"/>
  <c r="O185" i="1"/>
  <c r="O193" i="1"/>
  <c r="O201" i="1"/>
  <c r="O211" i="1"/>
  <c r="O219" i="1"/>
  <c r="N191" i="1"/>
  <c r="O191" i="1"/>
  <c r="N194" i="1"/>
  <c r="O194" i="1"/>
  <c r="N198" i="1"/>
  <c r="O198" i="1"/>
  <c r="N202" i="1"/>
  <c r="O202" i="1"/>
  <c r="N208" i="1"/>
  <c r="O208" i="1"/>
  <c r="N212" i="1"/>
  <c r="O212" i="1"/>
  <c r="N216" i="1"/>
  <c r="O216" i="1"/>
  <c r="N220" i="1"/>
  <c r="O220" i="1"/>
  <c r="N224" i="1"/>
  <c r="O224" i="1"/>
  <c r="N228" i="1"/>
  <c r="O228" i="1"/>
  <c r="N232" i="1"/>
  <c r="O232" i="1"/>
  <c r="M235" i="1"/>
  <c r="AP235" i="1" s="1"/>
  <c r="AQ235" i="1" s="1"/>
  <c r="O235" i="1"/>
  <c r="M239" i="1"/>
  <c r="AP239" i="1" s="1"/>
  <c r="AQ239" i="1" s="1"/>
  <c r="O239" i="1"/>
  <c r="M243" i="1"/>
  <c r="AP243" i="1" s="1"/>
  <c r="AQ243" i="1" s="1"/>
  <c r="O243" i="1"/>
  <c r="M248" i="1"/>
  <c r="AP248" i="1" s="1"/>
  <c r="AQ248" i="1" s="1"/>
  <c r="O248" i="1"/>
  <c r="M252" i="1"/>
  <c r="AP252" i="1" s="1"/>
  <c r="AQ252" i="1" s="1"/>
  <c r="O252" i="1"/>
  <c r="N262" i="1"/>
  <c r="O262" i="1"/>
  <c r="N266" i="1"/>
  <c r="O266" i="1"/>
  <c r="N270" i="1"/>
  <c r="O270" i="1"/>
  <c r="N274" i="1"/>
  <c r="O274" i="1"/>
  <c r="N278" i="1"/>
  <c r="O278" i="1"/>
  <c r="N282" i="1"/>
  <c r="O282" i="1"/>
  <c r="N286" i="1"/>
  <c r="O286" i="1"/>
  <c r="N290" i="1"/>
  <c r="O290" i="1"/>
  <c r="N294" i="1"/>
  <c r="O294" i="1"/>
  <c r="N298" i="1"/>
  <c r="O298" i="1"/>
  <c r="N302" i="1"/>
  <c r="O302" i="1"/>
  <c r="N307" i="1"/>
  <c r="O307" i="1"/>
  <c r="N311" i="1"/>
  <c r="O311" i="1"/>
  <c r="N315" i="1"/>
  <c r="O315" i="1"/>
  <c r="N318" i="1"/>
  <c r="O318" i="1"/>
  <c r="N322" i="1"/>
  <c r="O322" i="1"/>
  <c r="N326" i="1"/>
  <c r="O326" i="1"/>
  <c r="N330" i="1"/>
  <c r="O330" i="1"/>
  <c r="N334" i="1"/>
  <c r="O334" i="1"/>
  <c r="N338" i="1"/>
  <c r="O338" i="1"/>
  <c r="N342" i="1"/>
  <c r="O342" i="1"/>
  <c r="N346" i="1"/>
  <c r="O346" i="1"/>
  <c r="N350" i="1"/>
  <c r="O350" i="1"/>
  <c r="N354" i="1"/>
  <c r="O354" i="1"/>
  <c r="N358" i="1"/>
  <c r="O358" i="1"/>
  <c r="N362" i="1"/>
  <c r="O362" i="1"/>
  <c r="N366" i="1"/>
  <c r="O366" i="1"/>
  <c r="N370" i="1"/>
  <c r="O370" i="1"/>
  <c r="N374" i="1"/>
  <c r="O374" i="1"/>
  <c r="N378" i="1"/>
  <c r="O378" i="1"/>
  <c r="N381" i="1"/>
  <c r="O381" i="1"/>
  <c r="N385" i="1"/>
  <c r="O385" i="1"/>
  <c r="N389" i="1"/>
  <c r="O389" i="1"/>
  <c r="N393" i="1"/>
  <c r="O393" i="1"/>
  <c r="N397" i="1"/>
  <c r="O397" i="1"/>
  <c r="N401" i="1"/>
  <c r="O401" i="1"/>
  <c r="N405" i="1"/>
  <c r="O405" i="1"/>
  <c r="N409" i="1"/>
  <c r="O409" i="1"/>
  <c r="N413" i="1"/>
  <c r="O413" i="1"/>
  <c r="N417" i="1"/>
  <c r="O417" i="1"/>
  <c r="N421" i="1"/>
  <c r="O421" i="1"/>
  <c r="N425" i="1"/>
  <c r="O425" i="1"/>
  <c r="N429" i="1"/>
  <c r="O429" i="1"/>
  <c r="N433" i="1"/>
  <c r="O433" i="1"/>
  <c r="N437" i="1"/>
  <c r="O437" i="1"/>
  <c r="N441" i="1"/>
  <c r="O441" i="1"/>
  <c r="N445" i="1"/>
  <c r="O445" i="1"/>
  <c r="N449" i="1"/>
  <c r="O449" i="1"/>
  <c r="N453" i="1"/>
  <c r="O453" i="1"/>
  <c r="N457" i="1"/>
  <c r="O457" i="1"/>
  <c r="M460" i="1"/>
  <c r="AP460" i="1" s="1"/>
  <c r="AQ460" i="1" s="1"/>
  <c r="O460" i="1"/>
  <c r="M464" i="1"/>
  <c r="AP464" i="1" s="1"/>
  <c r="AQ464" i="1" s="1"/>
  <c r="O464" i="1"/>
  <c r="M468" i="1"/>
  <c r="AP468" i="1" s="1"/>
  <c r="AQ468" i="1" s="1"/>
  <c r="O468" i="1"/>
  <c r="M472" i="1"/>
  <c r="AP472" i="1" s="1"/>
  <c r="AQ472" i="1" s="1"/>
  <c r="O472" i="1"/>
  <c r="M477" i="1"/>
  <c r="AP477" i="1" s="1"/>
  <c r="AQ477" i="1" s="1"/>
  <c r="O477" i="1"/>
  <c r="M481" i="1"/>
  <c r="AP481" i="1" s="1"/>
  <c r="AQ481" i="1" s="1"/>
  <c r="O481" i="1"/>
  <c r="M485" i="1"/>
  <c r="AP485" i="1" s="1"/>
  <c r="AQ485" i="1" s="1"/>
  <c r="O485" i="1"/>
  <c r="M489" i="1"/>
  <c r="AP489" i="1" s="1"/>
  <c r="AQ489" i="1" s="1"/>
  <c r="O489" i="1"/>
  <c r="M493" i="1"/>
  <c r="AP493" i="1" s="1"/>
  <c r="AQ493" i="1" s="1"/>
  <c r="O493" i="1"/>
  <c r="M497" i="1"/>
  <c r="AP497" i="1" s="1"/>
  <c r="AQ497" i="1" s="1"/>
  <c r="O497" i="1"/>
  <c r="M501" i="1"/>
  <c r="AP501" i="1" s="1"/>
  <c r="AQ501" i="1" s="1"/>
  <c r="O501" i="1"/>
  <c r="M505" i="1"/>
  <c r="AP505" i="1" s="1"/>
  <c r="AQ505" i="1" s="1"/>
  <c r="O505" i="1"/>
  <c r="M509" i="1"/>
  <c r="AP509" i="1" s="1"/>
  <c r="AQ509" i="1" s="1"/>
  <c r="O509" i="1"/>
  <c r="M513" i="1"/>
  <c r="AP513" i="1" s="1"/>
  <c r="AQ513" i="1" s="1"/>
  <c r="O513" i="1"/>
  <c r="M517" i="1"/>
  <c r="AP517" i="1" s="1"/>
  <c r="AQ517" i="1" s="1"/>
  <c r="O517" i="1"/>
  <c r="M524" i="1"/>
  <c r="AP524" i="1" s="1"/>
  <c r="AQ524" i="1" s="1"/>
  <c r="O524" i="1"/>
  <c r="N528" i="1"/>
  <c r="O528" i="1"/>
  <c r="M532" i="1"/>
  <c r="AP532" i="1" s="1"/>
  <c r="AQ532" i="1" s="1"/>
  <c r="O532" i="1"/>
  <c r="N536" i="1"/>
  <c r="O536" i="1"/>
  <c r="M540" i="1"/>
  <c r="AP540" i="1" s="1"/>
  <c r="AQ540" i="1" s="1"/>
  <c r="O540" i="1"/>
  <c r="N544" i="1"/>
  <c r="O544" i="1"/>
  <c r="M548" i="1"/>
  <c r="AP548" i="1" s="1"/>
  <c r="AQ548" i="1" s="1"/>
  <c r="O548" i="1"/>
  <c r="N552" i="1"/>
  <c r="O552" i="1"/>
  <c r="M556" i="1"/>
  <c r="AP556" i="1" s="1"/>
  <c r="AQ556" i="1" s="1"/>
  <c r="O556" i="1"/>
  <c r="N560" i="1"/>
  <c r="O560" i="1"/>
  <c r="M564" i="1"/>
  <c r="AP564" i="1" s="1"/>
  <c r="AQ564" i="1" s="1"/>
  <c r="O564" i="1"/>
  <c r="N568" i="1"/>
  <c r="O568" i="1"/>
  <c r="M572" i="1"/>
  <c r="AP572" i="1" s="1"/>
  <c r="AQ572" i="1" s="1"/>
  <c r="O572" i="1"/>
  <c r="N576" i="1"/>
  <c r="O576" i="1"/>
  <c r="M580" i="1"/>
  <c r="AP580" i="1" s="1"/>
  <c r="AQ580" i="1" s="1"/>
  <c r="O580" i="1"/>
  <c r="N584" i="1"/>
  <c r="O584" i="1"/>
  <c r="M588" i="1"/>
  <c r="AP588" i="1" s="1"/>
  <c r="AQ588" i="1" s="1"/>
  <c r="O588" i="1"/>
  <c r="N592" i="1"/>
  <c r="O592" i="1"/>
  <c r="M596" i="1"/>
  <c r="AP596" i="1" s="1"/>
  <c r="AQ596" i="1" s="1"/>
  <c r="O596" i="1"/>
  <c r="N600" i="1"/>
  <c r="O600" i="1"/>
  <c r="M604" i="1"/>
  <c r="AP604" i="1" s="1"/>
  <c r="AQ604" i="1" s="1"/>
  <c r="O604" i="1"/>
  <c r="N608" i="1"/>
  <c r="O608" i="1"/>
  <c r="M613" i="1"/>
  <c r="AP613" i="1" s="1"/>
  <c r="AQ613" i="1" s="1"/>
  <c r="O613" i="1"/>
  <c r="N617" i="1"/>
  <c r="O617" i="1"/>
  <c r="M623" i="1"/>
  <c r="AP623" i="1" s="1"/>
  <c r="AQ623" i="1" s="1"/>
  <c r="O623" i="1"/>
  <c r="N627" i="1"/>
  <c r="O627" i="1"/>
  <c r="M632" i="1"/>
  <c r="AP632" i="1" s="1"/>
  <c r="AQ632" i="1" s="1"/>
  <c r="O632" i="1"/>
  <c r="N636" i="1"/>
  <c r="O636" i="1"/>
  <c r="M640" i="1"/>
  <c r="AP640" i="1" s="1"/>
  <c r="AQ640" i="1" s="1"/>
  <c r="O640" i="1"/>
  <c r="N644" i="1"/>
  <c r="O644" i="1"/>
  <c r="M648" i="1"/>
  <c r="AP648" i="1" s="1"/>
  <c r="AQ648" i="1" s="1"/>
  <c r="O648" i="1"/>
  <c r="N652" i="1"/>
  <c r="O652" i="1"/>
  <c r="N707" i="1"/>
  <c r="O707" i="1"/>
  <c r="N712" i="1"/>
  <c r="O712" i="1"/>
  <c r="N716" i="1"/>
  <c r="O716" i="1"/>
  <c r="N721" i="1"/>
  <c r="O721" i="1"/>
  <c r="N725" i="1"/>
  <c r="O725" i="1"/>
  <c r="N729" i="1"/>
  <c r="O729" i="1"/>
  <c r="N734" i="1"/>
  <c r="O734" i="1"/>
  <c r="N738" i="1"/>
  <c r="O738" i="1"/>
  <c r="N742" i="1"/>
  <c r="O742" i="1"/>
  <c r="N746" i="1"/>
  <c r="O746" i="1"/>
  <c r="N750" i="1"/>
  <c r="O750" i="1"/>
  <c r="N754" i="1"/>
  <c r="O754" i="1"/>
  <c r="N758" i="1"/>
  <c r="O758" i="1"/>
  <c r="N762" i="1"/>
  <c r="O762" i="1"/>
  <c r="N766" i="1"/>
  <c r="O766" i="1"/>
  <c r="N770" i="1"/>
  <c r="O770" i="1"/>
  <c r="N774" i="1"/>
  <c r="O774" i="1"/>
  <c r="N778" i="1"/>
  <c r="O778" i="1"/>
  <c r="N782" i="1"/>
  <c r="O782" i="1"/>
  <c r="N786" i="1"/>
  <c r="O786" i="1"/>
  <c r="M788" i="1"/>
  <c r="AP788" i="1" s="1"/>
  <c r="O788" i="1"/>
  <c r="N794" i="1"/>
  <c r="O794" i="1"/>
  <c r="O798" i="1"/>
  <c r="M802" i="1"/>
  <c r="AP802" i="1" s="1"/>
  <c r="O802" i="1"/>
  <c r="N805" i="1"/>
  <c r="O805" i="1"/>
  <c r="O809" i="1"/>
  <c r="N816" i="1"/>
  <c r="O816" i="1"/>
  <c r="M833" i="1"/>
  <c r="AP833" i="1" s="1"/>
  <c r="O833" i="1"/>
  <c r="M837" i="1"/>
  <c r="AP837" i="1" s="1"/>
  <c r="O837" i="1"/>
  <c r="O842" i="1"/>
  <c r="M846" i="1"/>
  <c r="AP846" i="1" s="1"/>
  <c r="O846" i="1"/>
  <c r="M850" i="1"/>
  <c r="AP850" i="1" s="1"/>
  <c r="O850" i="1"/>
  <c r="O869" i="1"/>
  <c r="M876" i="1"/>
  <c r="AP876" i="1" s="1"/>
  <c r="O876" i="1"/>
  <c r="O880" i="1"/>
  <c r="M882" i="1"/>
  <c r="AP882" i="1" s="1"/>
  <c r="O882" i="1"/>
  <c r="O885" i="1"/>
  <c r="O889" i="1"/>
  <c r="O894" i="1"/>
  <c r="O898" i="1"/>
  <c r="O902" i="1"/>
  <c r="O906" i="1"/>
  <c r="O910" i="1"/>
  <c r="O914" i="1"/>
  <c r="O918" i="1"/>
  <c r="O922" i="1"/>
  <c r="O926" i="1"/>
  <c r="O930" i="1"/>
  <c r="O934" i="1"/>
  <c r="O938" i="1"/>
  <c r="O942" i="1"/>
  <c r="O946" i="1"/>
  <c r="N949" i="1"/>
  <c r="O949" i="1"/>
  <c r="M953" i="1"/>
  <c r="AP953" i="1" s="1"/>
  <c r="O953" i="1"/>
  <c r="M957" i="1"/>
  <c r="AP957" i="1" s="1"/>
  <c r="O957" i="1"/>
  <c r="M961" i="1"/>
  <c r="AP961" i="1" s="1"/>
  <c r="O961" i="1"/>
  <c r="M965" i="1"/>
  <c r="AP965" i="1" s="1"/>
  <c r="O965" i="1"/>
  <c r="N969" i="1"/>
  <c r="O969" i="1"/>
  <c r="N973" i="1"/>
  <c r="O973" i="1"/>
  <c r="N981" i="1"/>
  <c r="O981" i="1"/>
  <c r="N986" i="1"/>
  <c r="O986" i="1"/>
  <c r="N990" i="1"/>
  <c r="O990" i="1"/>
  <c r="N994" i="1"/>
  <c r="O994" i="1"/>
  <c r="M999" i="1"/>
  <c r="AP999" i="1" s="1"/>
  <c r="O999" i="1"/>
  <c r="O1005" i="1"/>
  <c r="O1009" i="1"/>
  <c r="O1019" i="1"/>
  <c r="O1025" i="1"/>
  <c r="O1029" i="1"/>
  <c r="O1033" i="1"/>
  <c r="O1037" i="1"/>
  <c r="O1042" i="1"/>
  <c r="O1046" i="1"/>
  <c r="O1050" i="1"/>
  <c r="O1054" i="1"/>
  <c r="O1078" i="1"/>
  <c r="O1082" i="1"/>
  <c r="M1085" i="1"/>
  <c r="AP1085" i="1" s="1"/>
  <c r="O1085" i="1"/>
  <c r="M1089" i="1"/>
  <c r="AP1089" i="1" s="1"/>
  <c r="O1089" i="1"/>
  <c r="M1093" i="1"/>
  <c r="AP1093" i="1" s="1"/>
  <c r="O1093" i="1"/>
  <c r="M1097" i="1"/>
  <c r="AP1097" i="1" s="1"/>
  <c r="O1097" i="1"/>
  <c r="M1102" i="1"/>
  <c r="AP1102" i="1" s="1"/>
  <c r="O1102" i="1"/>
  <c r="M1106" i="1"/>
  <c r="AP1106" i="1" s="1"/>
  <c r="O1106" i="1"/>
  <c r="N1109" i="1"/>
  <c r="O1109" i="1"/>
  <c r="M1112" i="1"/>
  <c r="AP1112" i="1" s="1"/>
  <c r="O1112" i="1"/>
  <c r="M1116" i="1"/>
  <c r="AP1116" i="1" s="1"/>
  <c r="O1116" i="1"/>
  <c r="O1119" i="1"/>
  <c r="O1125" i="1"/>
  <c r="M1152" i="1"/>
  <c r="AP1152" i="1" s="1"/>
  <c r="O1152" i="1"/>
  <c r="M1156" i="1"/>
  <c r="AP1156" i="1" s="1"/>
  <c r="O1156" i="1"/>
  <c r="M1164" i="1"/>
  <c r="AP1164" i="1" s="1"/>
  <c r="O1164" i="1"/>
  <c r="M1168" i="1"/>
  <c r="AP1168" i="1" s="1"/>
  <c r="O1168" i="1"/>
  <c r="M1172" i="1"/>
  <c r="AP1172" i="1" s="1"/>
  <c r="O1172" i="1"/>
  <c r="N1175" i="1"/>
  <c r="O1175" i="1"/>
  <c r="N1179" i="1"/>
  <c r="O1179" i="1"/>
  <c r="N1183" i="1"/>
  <c r="O1183" i="1"/>
  <c r="M1186" i="1"/>
  <c r="AP1186" i="1" s="1"/>
  <c r="O1186" i="1"/>
  <c r="O1189" i="1"/>
  <c r="O1193" i="1"/>
  <c r="O1197" i="1"/>
  <c r="O1201" i="1"/>
  <c r="O1205" i="1"/>
  <c r="O1209" i="1"/>
  <c r="O1213" i="1"/>
  <c r="N1219" i="1"/>
  <c r="O1219" i="1"/>
  <c r="N1223" i="1"/>
  <c r="O1223" i="1"/>
  <c r="M1226" i="1"/>
  <c r="AP1226" i="1" s="1"/>
  <c r="O1226" i="1"/>
  <c r="M1229" i="1"/>
  <c r="AP1229" i="1" s="1"/>
  <c r="O1229" i="1"/>
  <c r="O1233" i="1"/>
  <c r="O1237" i="1"/>
  <c r="O1241" i="1"/>
  <c r="O1248" i="1"/>
  <c r="M1251" i="1"/>
  <c r="AP1251" i="1" s="1"/>
  <c r="O1251" i="1"/>
  <c r="M1255" i="1"/>
  <c r="AP1255" i="1" s="1"/>
  <c r="O1255" i="1"/>
  <c r="N1259" i="1"/>
  <c r="O1259" i="1"/>
  <c r="O1263" i="1"/>
  <c r="M1267" i="1"/>
  <c r="AP1267" i="1" s="1"/>
  <c r="O1267" i="1"/>
  <c r="M1270" i="1"/>
  <c r="AP1270" i="1" s="1"/>
  <c r="O1270" i="1"/>
  <c r="M1274" i="1"/>
  <c r="AP1274" i="1" s="1"/>
  <c r="O1274" i="1"/>
  <c r="M1279" i="1"/>
  <c r="AP1279" i="1" s="1"/>
  <c r="O1279" i="1"/>
  <c r="N1285" i="1"/>
  <c r="O1285" i="1"/>
  <c r="M1292" i="1"/>
  <c r="AP1292" i="1" s="1"/>
  <c r="O1292" i="1"/>
  <c r="M1296" i="1"/>
  <c r="AP1296" i="1" s="1"/>
  <c r="O1296" i="1"/>
  <c r="M1300" i="1"/>
  <c r="AP1300" i="1" s="1"/>
  <c r="O1300" i="1"/>
  <c r="N1306" i="1"/>
  <c r="O1306" i="1"/>
  <c r="M1310" i="1"/>
  <c r="AP1310" i="1" s="1"/>
  <c r="O1310" i="1"/>
  <c r="M1314" i="1"/>
  <c r="AP1314" i="1" s="1"/>
  <c r="O1314" i="1"/>
  <c r="M1317" i="1"/>
  <c r="AP1317" i="1" s="1"/>
  <c r="O1317" i="1"/>
  <c r="M168" i="1"/>
  <c r="AP168" i="1" s="1"/>
  <c r="AQ168" i="1" s="1"/>
  <c r="O10" i="1"/>
  <c r="O14" i="1"/>
  <c r="O18" i="1"/>
  <c r="O22" i="1"/>
  <c r="O26" i="1"/>
  <c r="O30" i="1"/>
  <c r="O34" i="1"/>
  <c r="O45" i="1"/>
  <c r="O49" i="1"/>
  <c r="O53" i="1"/>
  <c r="O57" i="1"/>
  <c r="O61" i="1"/>
  <c r="O65" i="1"/>
  <c r="O69" i="1"/>
  <c r="O73" i="1"/>
  <c r="O77" i="1"/>
  <c r="O82" i="1"/>
  <c r="O87" i="1"/>
  <c r="O92" i="1"/>
  <c r="O96" i="1"/>
  <c r="O100" i="1"/>
  <c r="O104" i="1"/>
  <c r="O108" i="1"/>
  <c r="O112" i="1"/>
  <c r="O116" i="1"/>
  <c r="O120" i="1"/>
  <c r="O124" i="1"/>
  <c r="O128" i="1"/>
  <c r="O132" i="1"/>
  <c r="O136" i="1"/>
  <c r="O140" i="1"/>
  <c r="O144" i="1"/>
  <c r="O148" i="1"/>
  <c r="O152" i="1"/>
  <c r="O156" i="1"/>
  <c r="O160" i="1"/>
  <c r="O164" i="1"/>
  <c r="O168" i="1"/>
  <c r="O176" i="1"/>
  <c r="O184" i="1"/>
  <c r="O192" i="1"/>
  <c r="O200" i="1"/>
  <c r="O210" i="1"/>
  <c r="O218" i="1"/>
  <c r="N171" i="1"/>
  <c r="O171" i="1"/>
  <c r="N175" i="1"/>
  <c r="O175" i="1"/>
  <c r="N179" i="1"/>
  <c r="O179" i="1"/>
  <c r="N183" i="1"/>
  <c r="O183" i="1"/>
  <c r="N187" i="1"/>
  <c r="O187" i="1"/>
  <c r="N190" i="1"/>
  <c r="O190" i="1"/>
  <c r="M223" i="1"/>
  <c r="AP223" i="1" s="1"/>
  <c r="AQ223" i="1" s="1"/>
  <c r="O223" i="1"/>
  <c r="M227" i="1"/>
  <c r="AP227" i="1" s="1"/>
  <c r="AQ227" i="1" s="1"/>
  <c r="O227" i="1"/>
  <c r="M231" i="1"/>
  <c r="AP231" i="1" s="1"/>
  <c r="AQ231" i="1" s="1"/>
  <c r="O231" i="1"/>
  <c r="N238" i="1"/>
  <c r="O238" i="1"/>
  <c r="N242" i="1"/>
  <c r="O242" i="1"/>
  <c r="M247" i="1"/>
  <c r="AP247" i="1" s="1"/>
  <c r="AQ247" i="1" s="1"/>
  <c r="O247" i="1"/>
  <c r="N251" i="1"/>
  <c r="O251" i="1"/>
  <c r="N255" i="1"/>
  <c r="O255" i="1"/>
  <c r="N258" i="1"/>
  <c r="O258" i="1"/>
  <c r="N261" i="1"/>
  <c r="O261" i="1"/>
  <c r="N265" i="1"/>
  <c r="O265" i="1"/>
  <c r="N269" i="1"/>
  <c r="O269" i="1"/>
  <c r="N273" i="1"/>
  <c r="O273" i="1"/>
  <c r="N277" i="1"/>
  <c r="O277" i="1"/>
  <c r="N281" i="1"/>
  <c r="O281" i="1"/>
  <c r="N285" i="1"/>
  <c r="O285" i="1"/>
  <c r="N289" i="1"/>
  <c r="O289" i="1"/>
  <c r="N293" i="1"/>
  <c r="O293" i="1"/>
  <c r="N297" i="1"/>
  <c r="O297" i="1"/>
  <c r="N301" i="1"/>
  <c r="O301" i="1"/>
  <c r="N305" i="1"/>
  <c r="O305" i="1"/>
  <c r="N310" i="1"/>
  <c r="O310" i="1"/>
  <c r="N314" i="1"/>
  <c r="O314" i="1"/>
  <c r="N317" i="1"/>
  <c r="O317" i="1"/>
  <c r="N321" i="1"/>
  <c r="O321" i="1"/>
  <c r="N325" i="1"/>
  <c r="O325" i="1"/>
  <c r="N329" i="1"/>
  <c r="O329" i="1"/>
  <c r="N333" i="1"/>
  <c r="O333" i="1"/>
  <c r="N337" i="1"/>
  <c r="O337" i="1"/>
  <c r="N341" i="1"/>
  <c r="O341" i="1"/>
  <c r="N345" i="1"/>
  <c r="O345" i="1"/>
  <c r="N349" i="1"/>
  <c r="O349" i="1"/>
  <c r="N353" i="1"/>
  <c r="O353" i="1"/>
  <c r="N357" i="1"/>
  <c r="O357" i="1"/>
  <c r="N361" i="1"/>
  <c r="O361" i="1"/>
  <c r="N365" i="1"/>
  <c r="O365" i="1"/>
  <c r="N369" i="1"/>
  <c r="O369" i="1"/>
  <c r="N373" i="1"/>
  <c r="O373" i="1"/>
  <c r="N377" i="1"/>
  <c r="O377" i="1"/>
  <c r="M380" i="1"/>
  <c r="AP380" i="1" s="1"/>
  <c r="AQ380" i="1" s="1"/>
  <c r="O380" i="1"/>
  <c r="M384" i="1"/>
  <c r="AP384" i="1" s="1"/>
  <c r="AQ384" i="1" s="1"/>
  <c r="O384" i="1"/>
  <c r="M388" i="1"/>
  <c r="AP388" i="1" s="1"/>
  <c r="AQ388" i="1" s="1"/>
  <c r="O388" i="1"/>
  <c r="M392" i="1"/>
  <c r="AP392" i="1" s="1"/>
  <c r="AQ392" i="1" s="1"/>
  <c r="O392" i="1"/>
  <c r="M396" i="1"/>
  <c r="AP396" i="1" s="1"/>
  <c r="AQ396" i="1" s="1"/>
  <c r="O396" i="1"/>
  <c r="M400" i="1"/>
  <c r="AP400" i="1" s="1"/>
  <c r="AQ400" i="1" s="1"/>
  <c r="O400" i="1"/>
  <c r="M404" i="1"/>
  <c r="AP404" i="1" s="1"/>
  <c r="AQ404" i="1" s="1"/>
  <c r="O404" i="1"/>
  <c r="M408" i="1"/>
  <c r="AP408" i="1" s="1"/>
  <c r="AQ408" i="1" s="1"/>
  <c r="O408" i="1"/>
  <c r="M412" i="1"/>
  <c r="AP412" i="1" s="1"/>
  <c r="AQ412" i="1" s="1"/>
  <c r="O412" i="1"/>
  <c r="M416" i="1"/>
  <c r="AP416" i="1" s="1"/>
  <c r="AQ416" i="1" s="1"/>
  <c r="O416" i="1"/>
  <c r="M420" i="1"/>
  <c r="AP420" i="1" s="1"/>
  <c r="AQ420" i="1" s="1"/>
  <c r="O420" i="1"/>
  <c r="M424" i="1"/>
  <c r="AP424" i="1" s="1"/>
  <c r="AQ424" i="1" s="1"/>
  <c r="O424" i="1"/>
  <c r="M428" i="1"/>
  <c r="AP428" i="1" s="1"/>
  <c r="AQ428" i="1" s="1"/>
  <c r="O428" i="1"/>
  <c r="M432" i="1"/>
  <c r="AP432" i="1" s="1"/>
  <c r="AQ432" i="1" s="1"/>
  <c r="O432" i="1"/>
  <c r="M436" i="1"/>
  <c r="AP436" i="1" s="1"/>
  <c r="AQ436" i="1" s="1"/>
  <c r="O436" i="1"/>
  <c r="M440" i="1"/>
  <c r="AP440" i="1" s="1"/>
  <c r="AQ440" i="1" s="1"/>
  <c r="O440" i="1"/>
  <c r="M444" i="1"/>
  <c r="AP444" i="1" s="1"/>
  <c r="AQ444" i="1" s="1"/>
  <c r="O444" i="1"/>
  <c r="M448" i="1"/>
  <c r="AP448" i="1" s="1"/>
  <c r="AQ448" i="1" s="1"/>
  <c r="O448" i="1"/>
  <c r="M452" i="1"/>
  <c r="AP452" i="1" s="1"/>
  <c r="AQ452" i="1" s="1"/>
  <c r="O452" i="1"/>
  <c r="M456" i="1"/>
  <c r="AP456" i="1" s="1"/>
  <c r="AQ456" i="1" s="1"/>
  <c r="O456" i="1"/>
  <c r="N463" i="1"/>
  <c r="O463" i="1"/>
  <c r="N467" i="1"/>
  <c r="O467" i="1"/>
  <c r="N471" i="1"/>
  <c r="O471" i="1"/>
  <c r="N475" i="1"/>
  <c r="O475" i="1"/>
  <c r="N480" i="1"/>
  <c r="O480" i="1"/>
  <c r="N484" i="1"/>
  <c r="O484" i="1"/>
  <c r="N488" i="1"/>
  <c r="O488" i="1"/>
  <c r="N492" i="1"/>
  <c r="O492" i="1"/>
  <c r="N496" i="1"/>
  <c r="O496" i="1"/>
  <c r="N500" i="1"/>
  <c r="O500" i="1"/>
  <c r="N504" i="1"/>
  <c r="O504" i="1"/>
  <c r="N508" i="1"/>
  <c r="O508" i="1"/>
  <c r="N512" i="1"/>
  <c r="O512" i="1"/>
  <c r="M516" i="1"/>
  <c r="AP516" i="1" s="1"/>
  <c r="AQ516" i="1" s="1"/>
  <c r="O516" i="1"/>
  <c r="N520" i="1"/>
  <c r="O520" i="1"/>
  <c r="N523" i="1"/>
  <c r="O523" i="1"/>
  <c r="N527" i="1"/>
  <c r="O527" i="1"/>
  <c r="N531" i="1"/>
  <c r="O531" i="1"/>
  <c r="N535" i="1"/>
  <c r="O535" i="1"/>
  <c r="N539" i="1"/>
  <c r="O539" i="1"/>
  <c r="N543" i="1"/>
  <c r="O543" i="1"/>
  <c r="N547" i="1"/>
  <c r="O547" i="1"/>
  <c r="N551" i="1"/>
  <c r="O551" i="1"/>
  <c r="N555" i="1"/>
  <c r="O555" i="1"/>
  <c r="N559" i="1"/>
  <c r="O559" i="1"/>
  <c r="N563" i="1"/>
  <c r="O563" i="1"/>
  <c r="N567" i="1"/>
  <c r="O567" i="1"/>
  <c r="N571" i="1"/>
  <c r="O571" i="1"/>
  <c r="N575" i="1"/>
  <c r="O575" i="1"/>
  <c r="N579" i="1"/>
  <c r="O579" i="1"/>
  <c r="N583" i="1"/>
  <c r="O583" i="1"/>
  <c r="N655" i="1"/>
  <c r="O655" i="1"/>
  <c r="N659" i="1"/>
  <c r="O659" i="1"/>
  <c r="N663" i="1"/>
  <c r="O663" i="1"/>
  <c r="N668" i="1"/>
  <c r="O668" i="1"/>
  <c r="N672" i="1"/>
  <c r="O672" i="1"/>
  <c r="N676" i="1"/>
  <c r="O676" i="1"/>
  <c r="N680" i="1"/>
  <c r="O680" i="1"/>
  <c r="N684" i="1"/>
  <c r="O684" i="1"/>
  <c r="N691" i="1"/>
  <c r="O691" i="1"/>
  <c r="N695" i="1"/>
  <c r="O695" i="1"/>
  <c r="N699" i="1"/>
  <c r="O699" i="1"/>
  <c r="N703" i="1"/>
  <c r="O703" i="1"/>
  <c r="M706" i="1"/>
  <c r="AP706" i="1" s="1"/>
  <c r="AQ706" i="1" s="1"/>
  <c r="O706" i="1"/>
  <c r="M710" i="1"/>
  <c r="AP710" i="1" s="1"/>
  <c r="AQ710" i="1" s="1"/>
  <c r="O710" i="1"/>
  <c r="M715" i="1"/>
  <c r="AP715" i="1" s="1"/>
  <c r="AQ715" i="1" s="1"/>
  <c r="O715" i="1"/>
  <c r="M720" i="1"/>
  <c r="AP720" i="1" s="1"/>
  <c r="AQ720" i="1" s="1"/>
  <c r="O720" i="1"/>
  <c r="M724" i="1"/>
  <c r="AP724" i="1" s="1"/>
  <c r="AQ724" i="1" s="1"/>
  <c r="O724" i="1"/>
  <c r="M728" i="1"/>
  <c r="AP728" i="1" s="1"/>
  <c r="AQ728" i="1" s="1"/>
  <c r="O728" i="1"/>
  <c r="M733" i="1"/>
  <c r="AP733" i="1" s="1"/>
  <c r="AQ733" i="1" s="1"/>
  <c r="O733" i="1"/>
  <c r="M737" i="1"/>
  <c r="AP737" i="1" s="1"/>
  <c r="AQ737" i="1" s="1"/>
  <c r="O737" i="1"/>
  <c r="M741" i="1"/>
  <c r="AP741" i="1" s="1"/>
  <c r="AQ741" i="1" s="1"/>
  <c r="O741" i="1"/>
  <c r="M745" i="1"/>
  <c r="AP745" i="1" s="1"/>
  <c r="AQ745" i="1" s="1"/>
  <c r="O745" i="1"/>
  <c r="M749" i="1"/>
  <c r="AP749" i="1" s="1"/>
  <c r="AQ749" i="1" s="1"/>
  <c r="O749" i="1"/>
  <c r="M753" i="1"/>
  <c r="AP753" i="1" s="1"/>
  <c r="AQ753" i="1" s="1"/>
  <c r="O753" i="1"/>
  <c r="M757" i="1"/>
  <c r="AP757" i="1" s="1"/>
  <c r="AQ757" i="1" s="1"/>
  <c r="O757" i="1"/>
  <c r="O791" i="1"/>
  <c r="M797" i="1"/>
  <c r="AP797" i="1" s="1"/>
  <c r="O797" i="1"/>
  <c r="O801" i="1"/>
  <c r="O804" i="1"/>
  <c r="M808" i="1"/>
  <c r="AP808" i="1" s="1"/>
  <c r="O808" i="1"/>
  <c r="N812" i="1"/>
  <c r="O812" i="1"/>
  <c r="M815" i="1"/>
  <c r="AP815" i="1" s="1"/>
  <c r="O815" i="1"/>
  <c r="N832" i="1"/>
  <c r="O832" i="1"/>
  <c r="N836" i="1"/>
  <c r="O836" i="1"/>
  <c r="N841" i="1"/>
  <c r="O841" i="1"/>
  <c r="N845" i="1"/>
  <c r="O845" i="1"/>
  <c r="N849" i="1"/>
  <c r="O849" i="1"/>
  <c r="N868" i="1"/>
  <c r="O868" i="1"/>
  <c r="M872" i="1"/>
  <c r="AP872" i="1" s="1"/>
  <c r="O872" i="1"/>
  <c r="N875" i="1"/>
  <c r="O875" i="1"/>
  <c r="N879" i="1"/>
  <c r="O879" i="1"/>
  <c r="N884" i="1"/>
  <c r="O884" i="1"/>
  <c r="M888" i="1"/>
  <c r="AP888" i="1" s="1"/>
  <c r="O888" i="1"/>
  <c r="O893" i="1"/>
  <c r="O897" i="1"/>
  <c r="N901" i="1"/>
  <c r="O901" i="1"/>
  <c r="M905" i="1"/>
  <c r="AP905" i="1" s="1"/>
  <c r="O905" i="1"/>
  <c r="O909" i="1"/>
  <c r="O913" i="1"/>
  <c r="N917" i="1"/>
  <c r="O917" i="1"/>
  <c r="M921" i="1"/>
  <c r="AP921" i="1" s="1"/>
  <c r="O921" i="1"/>
  <c r="O925" i="1"/>
  <c r="O929" i="1"/>
  <c r="N933" i="1"/>
  <c r="O933" i="1"/>
  <c r="M937" i="1"/>
  <c r="AP937" i="1" s="1"/>
  <c r="O937" i="1"/>
  <c r="O941" i="1"/>
  <c r="O945" i="1"/>
  <c r="O952" i="1"/>
  <c r="N956" i="1"/>
  <c r="O956" i="1"/>
  <c r="N960" i="1"/>
  <c r="O960" i="1"/>
  <c r="N964" i="1"/>
  <c r="O964" i="1"/>
  <c r="O968" i="1"/>
  <c r="M972" i="1"/>
  <c r="AP972" i="1" s="1"/>
  <c r="O972" i="1"/>
  <c r="M980" i="1"/>
  <c r="AP980" i="1" s="1"/>
  <c r="O980" i="1"/>
  <c r="M985" i="1"/>
  <c r="AP985" i="1" s="1"/>
  <c r="O985" i="1"/>
  <c r="M989" i="1"/>
  <c r="AP989" i="1" s="1"/>
  <c r="O989" i="1"/>
  <c r="M993" i="1"/>
  <c r="AP993" i="1" s="1"/>
  <c r="O993" i="1"/>
  <c r="O996" i="1"/>
  <c r="M1008" i="1"/>
  <c r="AP1008" i="1" s="1"/>
  <c r="O1008" i="1"/>
  <c r="M1018" i="1"/>
  <c r="AP1018" i="1" s="1"/>
  <c r="O1018" i="1"/>
  <c r="M1024" i="1"/>
  <c r="AP1024" i="1" s="1"/>
  <c r="O1024" i="1"/>
  <c r="M1028" i="1"/>
  <c r="AP1028" i="1" s="1"/>
  <c r="O1028" i="1"/>
  <c r="M1032" i="1"/>
  <c r="AP1032" i="1" s="1"/>
  <c r="O1032" i="1"/>
  <c r="M1036" i="1"/>
  <c r="AP1036" i="1" s="1"/>
  <c r="O1036" i="1"/>
  <c r="M1041" i="1"/>
  <c r="AP1041" i="1" s="1"/>
  <c r="O1041" i="1"/>
  <c r="M1045" i="1"/>
  <c r="AP1045" i="1" s="1"/>
  <c r="O1045" i="1"/>
  <c r="M1049" i="1"/>
  <c r="AP1049" i="1" s="1"/>
  <c r="O1049" i="1"/>
  <c r="M1053" i="1"/>
  <c r="AP1053" i="1" s="1"/>
  <c r="O1053" i="1"/>
  <c r="M1076" i="1"/>
  <c r="AP1076" i="1" s="1"/>
  <c r="O1076" i="1"/>
  <c r="M1081" i="1"/>
  <c r="AP1081" i="1" s="1"/>
  <c r="O1081" i="1"/>
  <c r="N1088" i="1"/>
  <c r="O1088" i="1"/>
  <c r="N1092" i="1"/>
  <c r="O1092" i="1"/>
  <c r="N1096" i="1"/>
  <c r="O1096" i="1"/>
  <c r="N1100" i="1"/>
  <c r="O1100" i="1"/>
  <c r="N1105" i="1"/>
  <c r="O1105" i="1"/>
  <c r="M1108" i="1"/>
  <c r="AP1108" i="1" s="1"/>
  <c r="O1108" i="1"/>
  <c r="O1111" i="1"/>
  <c r="O1115" i="1"/>
  <c r="M1118" i="1"/>
  <c r="AP1118" i="1" s="1"/>
  <c r="O1118" i="1"/>
  <c r="M1124" i="1"/>
  <c r="AP1124" i="1" s="1"/>
  <c r="O1124" i="1"/>
  <c r="N1127" i="1"/>
  <c r="O1127" i="1"/>
  <c r="N1155" i="1"/>
  <c r="O1155" i="1"/>
  <c r="N1161" i="1"/>
  <c r="O1161" i="1"/>
  <c r="N1167" i="1"/>
  <c r="O1167" i="1"/>
  <c r="N1171" i="1"/>
  <c r="O1171" i="1"/>
  <c r="M1174" i="1"/>
  <c r="AP1174" i="1" s="1"/>
  <c r="O1174" i="1"/>
  <c r="M1178" i="1"/>
  <c r="AP1178" i="1" s="1"/>
  <c r="O1178" i="1"/>
  <c r="M1182" i="1"/>
  <c r="AP1182" i="1" s="1"/>
  <c r="O1182" i="1"/>
  <c r="M1192" i="1"/>
  <c r="AP1192" i="1" s="1"/>
  <c r="O1192" i="1"/>
  <c r="M1196" i="1"/>
  <c r="AP1196" i="1" s="1"/>
  <c r="O1196" i="1"/>
  <c r="M1200" i="1"/>
  <c r="AP1200" i="1" s="1"/>
  <c r="O1200" i="1"/>
  <c r="M1204" i="1"/>
  <c r="AP1204" i="1" s="1"/>
  <c r="O1204" i="1"/>
  <c r="M1208" i="1"/>
  <c r="AP1208" i="1" s="1"/>
  <c r="O1208" i="1"/>
  <c r="M1212" i="1"/>
  <c r="AP1212" i="1" s="1"/>
  <c r="O1212" i="1"/>
  <c r="N1215" i="1"/>
  <c r="O1215" i="1"/>
  <c r="M1218" i="1"/>
  <c r="AP1218" i="1" s="1"/>
  <c r="O1218" i="1"/>
  <c r="M1222" i="1"/>
  <c r="AP1222" i="1" s="1"/>
  <c r="O1222" i="1"/>
  <c r="O1225" i="1"/>
  <c r="M1228" i="1"/>
  <c r="AP1228" i="1" s="1"/>
  <c r="O1228" i="1"/>
  <c r="M1232" i="1"/>
  <c r="AP1232" i="1" s="1"/>
  <c r="O1232" i="1"/>
  <c r="M1236" i="1"/>
  <c r="AP1236" i="1" s="1"/>
  <c r="O1236" i="1"/>
  <c r="M1240" i="1"/>
  <c r="AP1240" i="1" s="1"/>
  <c r="O1240" i="1"/>
  <c r="M1247" i="1"/>
  <c r="AP1247" i="1" s="1"/>
  <c r="O1247" i="1"/>
  <c r="N1254" i="1"/>
  <c r="O1254" i="1"/>
  <c r="M1258" i="1"/>
  <c r="AP1258" i="1" s="1"/>
  <c r="O1258" i="1"/>
  <c r="M1262" i="1"/>
  <c r="AP1262" i="1" s="1"/>
  <c r="O1262" i="1"/>
  <c r="M1266" i="1"/>
  <c r="AP1266" i="1" s="1"/>
  <c r="O1266" i="1"/>
  <c r="N1269" i="1"/>
  <c r="O1269" i="1"/>
  <c r="N1273" i="1"/>
  <c r="O1273" i="1"/>
  <c r="N1278" i="1"/>
  <c r="O1278" i="1"/>
  <c r="M1291" i="1"/>
  <c r="AP1291" i="1" s="1"/>
  <c r="O1291" i="1"/>
  <c r="M1295" i="1"/>
  <c r="AP1295" i="1" s="1"/>
  <c r="O1295" i="1"/>
  <c r="M1299" i="1"/>
  <c r="AP1299" i="1" s="1"/>
  <c r="O1299" i="1"/>
  <c r="M1303" i="1"/>
  <c r="AP1303" i="1" s="1"/>
  <c r="O1303" i="1"/>
  <c r="M1305" i="1"/>
  <c r="AP1305" i="1" s="1"/>
  <c r="O1305" i="1"/>
  <c r="N1313" i="1"/>
  <c r="O1313" i="1"/>
  <c r="M1316" i="1"/>
  <c r="AP1316" i="1" s="1"/>
  <c r="O1316" i="1"/>
  <c r="M1321" i="1"/>
  <c r="AP1321" i="1" s="1"/>
  <c r="O1321" i="1"/>
  <c r="O9" i="1"/>
  <c r="O13" i="1"/>
  <c r="O17" i="1"/>
  <c r="O21" i="1"/>
  <c r="O25" i="1"/>
  <c r="O29" i="1"/>
  <c r="O33" i="1"/>
  <c r="O37" i="1"/>
  <c r="O44" i="1"/>
  <c r="O48" i="1"/>
  <c r="O52" i="1"/>
  <c r="O56" i="1"/>
  <c r="O60" i="1"/>
  <c r="O64" i="1"/>
  <c r="O68" i="1"/>
  <c r="O72" i="1"/>
  <c r="O76" i="1"/>
  <c r="O80" i="1"/>
  <c r="O86" i="1"/>
  <c r="O90" i="1"/>
  <c r="O95" i="1"/>
  <c r="O99" i="1"/>
  <c r="O103" i="1"/>
  <c r="O107" i="1"/>
  <c r="O111" i="1"/>
  <c r="O115" i="1"/>
  <c r="O119" i="1"/>
  <c r="O123" i="1"/>
  <c r="O127" i="1"/>
  <c r="O131" i="1"/>
  <c r="O135" i="1"/>
  <c r="O139" i="1"/>
  <c r="O143" i="1"/>
  <c r="O147" i="1"/>
  <c r="O151" i="1"/>
  <c r="O155" i="1"/>
  <c r="O159" i="1"/>
  <c r="O163" i="1"/>
  <c r="O167" i="1"/>
  <c r="O173" i="1"/>
  <c r="O181" i="1"/>
  <c r="O189" i="1"/>
  <c r="O197" i="1"/>
  <c r="O205" i="1"/>
  <c r="O215" i="1"/>
  <c r="N170" i="1"/>
  <c r="O170" i="1"/>
  <c r="N174" i="1"/>
  <c r="O174" i="1"/>
  <c r="N178" i="1"/>
  <c r="O178" i="1"/>
  <c r="N182" i="1"/>
  <c r="O182" i="1"/>
  <c r="N186" i="1"/>
  <c r="O186" i="1"/>
  <c r="N222" i="1"/>
  <c r="O222" i="1"/>
  <c r="N226" i="1"/>
  <c r="O226" i="1"/>
  <c r="M230" i="1"/>
  <c r="AP230" i="1" s="1"/>
  <c r="AQ230" i="1" s="1"/>
  <c r="O230" i="1"/>
  <c r="N234" i="1"/>
  <c r="O234" i="1"/>
  <c r="N237" i="1"/>
  <c r="O237" i="1"/>
  <c r="N241" i="1"/>
  <c r="O241" i="1"/>
  <c r="N245" i="1"/>
  <c r="O245" i="1"/>
  <c r="N250" i="1"/>
  <c r="O250" i="1"/>
  <c r="N254" i="1"/>
  <c r="O254" i="1"/>
  <c r="N257" i="1"/>
  <c r="O257" i="1"/>
  <c r="M260" i="1"/>
  <c r="AP260" i="1" s="1"/>
  <c r="AQ260" i="1" s="1"/>
  <c r="O260" i="1"/>
  <c r="N264" i="1"/>
  <c r="O264" i="1"/>
  <c r="N268" i="1"/>
  <c r="O268" i="1"/>
  <c r="N272" i="1"/>
  <c r="O272" i="1"/>
  <c r="N276" i="1"/>
  <c r="O276" i="1"/>
  <c r="N280" i="1"/>
  <c r="O280" i="1"/>
  <c r="N284" i="1"/>
  <c r="O284" i="1"/>
  <c r="N288" i="1"/>
  <c r="O288" i="1"/>
  <c r="N292" i="1"/>
  <c r="O292" i="1"/>
  <c r="N296" i="1"/>
  <c r="O296" i="1"/>
  <c r="N300" i="1"/>
  <c r="O300" i="1"/>
  <c r="N304" i="1"/>
  <c r="O304" i="1"/>
  <c r="N309" i="1"/>
  <c r="O309" i="1"/>
  <c r="N313" i="1"/>
  <c r="O313" i="1"/>
  <c r="M316" i="1"/>
  <c r="AP316" i="1" s="1"/>
  <c r="AQ316" i="1" s="1"/>
  <c r="O316" i="1"/>
  <c r="M320" i="1"/>
  <c r="AP320" i="1" s="1"/>
  <c r="AQ320" i="1" s="1"/>
  <c r="O320" i="1"/>
  <c r="M324" i="1"/>
  <c r="AP324" i="1" s="1"/>
  <c r="AQ324" i="1" s="1"/>
  <c r="O324" i="1"/>
  <c r="M328" i="1"/>
  <c r="AP328" i="1" s="1"/>
  <c r="AQ328" i="1" s="1"/>
  <c r="O328" i="1"/>
  <c r="M332" i="1"/>
  <c r="AP332" i="1" s="1"/>
  <c r="AQ332" i="1" s="1"/>
  <c r="O332" i="1"/>
  <c r="M336" i="1"/>
  <c r="AP336" i="1" s="1"/>
  <c r="AQ336" i="1" s="1"/>
  <c r="O336" i="1"/>
  <c r="M340" i="1"/>
  <c r="AP340" i="1" s="1"/>
  <c r="AQ340" i="1" s="1"/>
  <c r="O340" i="1"/>
  <c r="M344" i="1"/>
  <c r="AP344" i="1" s="1"/>
  <c r="AQ344" i="1" s="1"/>
  <c r="O344" i="1"/>
  <c r="M348" i="1"/>
  <c r="AP348" i="1" s="1"/>
  <c r="AQ348" i="1" s="1"/>
  <c r="O348" i="1"/>
  <c r="M352" i="1"/>
  <c r="AP352" i="1" s="1"/>
  <c r="AQ352" i="1" s="1"/>
  <c r="O352" i="1"/>
  <c r="M356" i="1"/>
  <c r="AP356" i="1" s="1"/>
  <c r="AQ356" i="1" s="1"/>
  <c r="O356" i="1"/>
  <c r="M360" i="1"/>
  <c r="AP360" i="1" s="1"/>
  <c r="AQ360" i="1" s="1"/>
  <c r="O360" i="1"/>
  <c r="M364" i="1"/>
  <c r="AP364" i="1" s="1"/>
  <c r="AQ364" i="1" s="1"/>
  <c r="O364" i="1"/>
  <c r="M368" i="1"/>
  <c r="AP368" i="1" s="1"/>
  <c r="AQ368" i="1" s="1"/>
  <c r="O368" i="1"/>
  <c r="M372" i="1"/>
  <c r="AP372" i="1" s="1"/>
  <c r="AQ372" i="1" s="1"/>
  <c r="O372" i="1"/>
  <c r="M376" i="1"/>
  <c r="AP376" i="1" s="1"/>
  <c r="AQ376" i="1" s="1"/>
  <c r="O376" i="1"/>
  <c r="N383" i="1"/>
  <c r="O383" i="1"/>
  <c r="N387" i="1"/>
  <c r="O387" i="1"/>
  <c r="M391" i="1"/>
  <c r="AP391" i="1" s="1"/>
  <c r="AQ391" i="1" s="1"/>
  <c r="O391" i="1"/>
  <c r="N395" i="1"/>
  <c r="O395" i="1"/>
  <c r="N399" i="1"/>
  <c r="O399" i="1"/>
  <c r="N403" i="1"/>
  <c r="O403" i="1"/>
  <c r="M407" i="1"/>
  <c r="AP407" i="1" s="1"/>
  <c r="AQ407" i="1" s="1"/>
  <c r="O407" i="1"/>
  <c r="N411" i="1"/>
  <c r="O411" i="1"/>
  <c r="N415" i="1"/>
  <c r="O415" i="1"/>
  <c r="N419" i="1"/>
  <c r="O419" i="1"/>
  <c r="M423" i="1"/>
  <c r="AP423" i="1" s="1"/>
  <c r="AQ423" i="1" s="1"/>
  <c r="O423" i="1"/>
  <c r="N427" i="1"/>
  <c r="O427" i="1"/>
  <c r="N431" i="1"/>
  <c r="O431" i="1"/>
  <c r="N435" i="1"/>
  <c r="O435" i="1"/>
  <c r="M439" i="1"/>
  <c r="AP439" i="1" s="1"/>
  <c r="AQ439" i="1" s="1"/>
  <c r="O439" i="1"/>
  <c r="N443" i="1"/>
  <c r="O443" i="1"/>
  <c r="N447" i="1"/>
  <c r="O447" i="1"/>
  <c r="N451" i="1"/>
  <c r="O451" i="1"/>
  <c r="M455" i="1"/>
  <c r="AP455" i="1" s="1"/>
  <c r="AQ455" i="1" s="1"/>
  <c r="O455" i="1"/>
  <c r="N459" i="1"/>
  <c r="O459" i="1"/>
  <c r="N462" i="1"/>
  <c r="O462" i="1"/>
  <c r="N466" i="1"/>
  <c r="O466" i="1"/>
  <c r="N470" i="1"/>
  <c r="O470" i="1"/>
  <c r="N474" i="1"/>
  <c r="O474" i="1"/>
  <c r="N479" i="1"/>
  <c r="O479" i="1"/>
  <c r="N483" i="1"/>
  <c r="O483" i="1"/>
  <c r="N487" i="1"/>
  <c r="O487" i="1"/>
  <c r="N491" i="1"/>
  <c r="O491" i="1"/>
  <c r="N495" i="1"/>
  <c r="O495" i="1"/>
  <c r="N499" i="1"/>
  <c r="O499" i="1"/>
  <c r="N503" i="1"/>
  <c r="O503" i="1"/>
  <c r="N507" i="1"/>
  <c r="O507" i="1"/>
  <c r="N511" i="1"/>
  <c r="O511" i="1"/>
  <c r="N515" i="1"/>
  <c r="O515" i="1"/>
  <c r="N519" i="1"/>
  <c r="O519" i="1"/>
  <c r="N522" i="1"/>
  <c r="O522" i="1"/>
  <c r="N526" i="1"/>
  <c r="O526" i="1"/>
  <c r="N530" i="1"/>
  <c r="O530" i="1"/>
  <c r="N534" i="1"/>
  <c r="O534" i="1"/>
  <c r="N538" i="1"/>
  <c r="O538" i="1"/>
  <c r="N542" i="1"/>
  <c r="O542" i="1"/>
  <c r="N546" i="1"/>
  <c r="O546" i="1"/>
  <c r="N550" i="1"/>
  <c r="O550" i="1"/>
  <c r="N554" i="1"/>
  <c r="O554" i="1"/>
  <c r="N558" i="1"/>
  <c r="O558" i="1"/>
  <c r="N562" i="1"/>
  <c r="O562" i="1"/>
  <c r="N566" i="1"/>
  <c r="O566" i="1"/>
  <c r="N570" i="1"/>
  <c r="O570" i="1"/>
  <c r="N574" i="1"/>
  <c r="O574" i="1"/>
  <c r="N578" i="1"/>
  <c r="O578" i="1"/>
  <c r="N582" i="1"/>
  <c r="O582" i="1"/>
  <c r="N586" i="1"/>
  <c r="O586" i="1"/>
  <c r="N590" i="1"/>
  <c r="O590" i="1"/>
  <c r="N594" i="1"/>
  <c r="O594" i="1"/>
  <c r="N598" i="1"/>
  <c r="O598" i="1"/>
  <c r="N602" i="1"/>
  <c r="O602" i="1"/>
  <c r="N606" i="1"/>
  <c r="O606" i="1"/>
  <c r="N611" i="1"/>
  <c r="O611" i="1"/>
  <c r="N615" i="1"/>
  <c r="O615" i="1"/>
  <c r="N621" i="1"/>
  <c r="O621" i="1"/>
  <c r="N625" i="1"/>
  <c r="O625" i="1"/>
  <c r="N629" i="1"/>
  <c r="O629" i="1"/>
  <c r="N634" i="1"/>
  <c r="O634" i="1"/>
  <c r="N638" i="1"/>
  <c r="O638" i="1"/>
  <c r="N642" i="1"/>
  <c r="O642" i="1"/>
  <c r="N646" i="1"/>
  <c r="O646" i="1"/>
  <c r="N650" i="1"/>
  <c r="O650" i="1"/>
  <c r="M654" i="1"/>
  <c r="AP654" i="1" s="1"/>
  <c r="AQ654" i="1" s="1"/>
  <c r="O654" i="1"/>
  <c r="M658" i="1"/>
  <c r="AP658" i="1" s="1"/>
  <c r="AQ658" i="1" s="1"/>
  <c r="O658" i="1"/>
  <c r="M662" i="1"/>
  <c r="AP662" i="1" s="1"/>
  <c r="AQ662" i="1" s="1"/>
  <c r="O662" i="1"/>
  <c r="M667" i="1"/>
  <c r="AP667" i="1" s="1"/>
  <c r="AQ667" i="1" s="1"/>
  <c r="O667" i="1"/>
  <c r="M671" i="1"/>
  <c r="AP671" i="1" s="1"/>
  <c r="AQ671" i="1" s="1"/>
  <c r="O671" i="1"/>
  <c r="M675" i="1"/>
  <c r="AP675" i="1" s="1"/>
  <c r="AQ675" i="1" s="1"/>
  <c r="O675" i="1"/>
  <c r="M679" i="1"/>
  <c r="AP679" i="1" s="1"/>
  <c r="AQ679" i="1" s="1"/>
  <c r="O679" i="1"/>
  <c r="M683" i="1"/>
  <c r="AP683" i="1" s="1"/>
  <c r="AQ683" i="1" s="1"/>
  <c r="O683" i="1"/>
  <c r="M690" i="1"/>
  <c r="AP690" i="1" s="1"/>
  <c r="AQ690" i="1" s="1"/>
  <c r="O690" i="1"/>
  <c r="M694" i="1"/>
  <c r="AP694" i="1" s="1"/>
  <c r="AQ694" i="1" s="1"/>
  <c r="O694" i="1"/>
  <c r="M698" i="1"/>
  <c r="AP698" i="1" s="1"/>
  <c r="AQ698" i="1" s="1"/>
  <c r="O698" i="1"/>
  <c r="M702" i="1"/>
  <c r="AP702" i="1" s="1"/>
  <c r="AQ702" i="1" s="1"/>
  <c r="O702" i="1"/>
  <c r="M709" i="1"/>
  <c r="AP709" i="1" s="1"/>
  <c r="AQ709" i="1" s="1"/>
  <c r="O709" i="1"/>
  <c r="N714" i="1"/>
  <c r="O714" i="1"/>
  <c r="M719" i="1"/>
  <c r="AP719" i="1" s="1"/>
  <c r="AQ719" i="1" s="1"/>
  <c r="O719" i="1"/>
  <c r="N723" i="1"/>
  <c r="O723" i="1"/>
  <c r="M727" i="1"/>
  <c r="AP727" i="1" s="1"/>
  <c r="AQ727" i="1" s="1"/>
  <c r="O727" i="1"/>
  <c r="N732" i="1"/>
  <c r="O732" i="1"/>
  <c r="M736" i="1"/>
  <c r="AP736" i="1" s="1"/>
  <c r="AQ736" i="1" s="1"/>
  <c r="O736" i="1"/>
  <c r="N740" i="1"/>
  <c r="O740" i="1"/>
  <c r="M744" i="1"/>
  <c r="AP744" i="1" s="1"/>
  <c r="AQ744" i="1" s="1"/>
  <c r="O744" i="1"/>
  <c r="N748" i="1"/>
  <c r="O748" i="1"/>
  <c r="M752" i="1"/>
  <c r="AP752" i="1" s="1"/>
  <c r="AQ752" i="1" s="1"/>
  <c r="O752" i="1"/>
  <c r="N756" i="1"/>
  <c r="O756" i="1"/>
  <c r="M760" i="1"/>
  <c r="AP760" i="1" s="1"/>
  <c r="AQ760" i="1" s="1"/>
  <c r="O760" i="1"/>
  <c r="N764" i="1"/>
  <c r="O764" i="1"/>
  <c r="M768" i="1"/>
  <c r="AP768" i="1" s="1"/>
  <c r="AQ768" i="1" s="1"/>
  <c r="O768" i="1"/>
  <c r="N772" i="1"/>
  <c r="O772" i="1"/>
  <c r="M776" i="1"/>
  <c r="AP776" i="1" s="1"/>
  <c r="AQ776" i="1" s="1"/>
  <c r="O776" i="1"/>
  <c r="N780" i="1"/>
  <c r="O780" i="1"/>
  <c r="M784" i="1"/>
  <c r="AP784" i="1" s="1"/>
  <c r="AQ784" i="1" s="1"/>
  <c r="O784" i="1"/>
  <c r="M790" i="1"/>
  <c r="AP790" i="1" s="1"/>
  <c r="O790" i="1"/>
  <c r="N793" i="1"/>
  <c r="O793" i="1"/>
  <c r="O796" i="1"/>
  <c r="O800" i="1"/>
  <c r="M807" i="1"/>
  <c r="AP807" i="1" s="1"/>
  <c r="O807" i="1"/>
  <c r="N811" i="1"/>
  <c r="O811" i="1"/>
  <c r="O814" i="1"/>
  <c r="M818" i="1"/>
  <c r="AP818" i="1" s="1"/>
  <c r="O818" i="1"/>
  <c r="M835" i="1"/>
  <c r="AP835" i="1" s="1"/>
  <c r="O835" i="1"/>
  <c r="M840" i="1"/>
  <c r="AP840" i="1" s="1"/>
  <c r="O840" i="1"/>
  <c r="M844" i="1"/>
  <c r="AP844" i="1" s="1"/>
  <c r="O844" i="1"/>
  <c r="M848" i="1"/>
  <c r="AP848" i="1" s="1"/>
  <c r="O848" i="1"/>
  <c r="N852" i="1"/>
  <c r="O852" i="1"/>
  <c r="O871" i="1"/>
  <c r="O874" i="1"/>
  <c r="M878" i="1"/>
  <c r="AP878" i="1" s="1"/>
  <c r="O878" i="1"/>
  <c r="O887" i="1"/>
  <c r="N892" i="1"/>
  <c r="O892" i="1"/>
  <c r="N896" i="1"/>
  <c r="O896" i="1"/>
  <c r="N900" i="1"/>
  <c r="O900" i="1"/>
  <c r="O904" i="1"/>
  <c r="N908" i="1"/>
  <c r="O908" i="1"/>
  <c r="N912" i="1"/>
  <c r="O912" i="1"/>
  <c r="N916" i="1"/>
  <c r="O916" i="1"/>
  <c r="O920" i="1"/>
  <c r="N924" i="1"/>
  <c r="O924" i="1"/>
  <c r="N928" i="1"/>
  <c r="O928" i="1"/>
  <c r="N932" i="1"/>
  <c r="O932" i="1"/>
  <c r="O936" i="1"/>
  <c r="N940" i="1"/>
  <c r="O940" i="1"/>
  <c r="N944" i="1"/>
  <c r="O944" i="1"/>
  <c r="N948" i="1"/>
  <c r="O948" i="1"/>
  <c r="M951" i="1"/>
  <c r="AP951" i="1" s="1"/>
  <c r="O951" i="1"/>
  <c r="O955" i="1"/>
  <c r="O959" i="1"/>
  <c r="O963" i="1"/>
  <c r="O966" i="1"/>
  <c r="O971" i="1"/>
  <c r="O976" i="1"/>
  <c r="O984" i="1"/>
  <c r="O988" i="1"/>
  <c r="O992" i="1"/>
  <c r="M1004" i="1"/>
  <c r="AP1004" i="1" s="1"/>
  <c r="O1004" i="1"/>
  <c r="N1007" i="1"/>
  <c r="O1007" i="1"/>
  <c r="N1014" i="1"/>
  <c r="O1014" i="1"/>
  <c r="N1023" i="1"/>
  <c r="O1023" i="1"/>
  <c r="N1027" i="1"/>
  <c r="O1027" i="1"/>
  <c r="N1031" i="1"/>
  <c r="O1031" i="1"/>
  <c r="N1035" i="1"/>
  <c r="O1035" i="1"/>
  <c r="N1040" i="1"/>
  <c r="O1040" i="1"/>
  <c r="N1044" i="1"/>
  <c r="O1044" i="1"/>
  <c r="N1048" i="1"/>
  <c r="O1048" i="1"/>
  <c r="N1052" i="1"/>
  <c r="O1052" i="1"/>
  <c r="N1057" i="1"/>
  <c r="O1057" i="1"/>
  <c r="N1080" i="1"/>
  <c r="O1080" i="1"/>
  <c r="N1084" i="1"/>
  <c r="O1084" i="1"/>
  <c r="M1087" i="1"/>
  <c r="AP1087" i="1" s="1"/>
  <c r="O1087" i="1"/>
  <c r="M1091" i="1"/>
  <c r="AP1091" i="1" s="1"/>
  <c r="O1091" i="1"/>
  <c r="M1095" i="1"/>
  <c r="AP1095" i="1" s="1"/>
  <c r="O1095" i="1"/>
  <c r="M1099" i="1"/>
  <c r="AP1099" i="1" s="1"/>
  <c r="O1099" i="1"/>
  <c r="M1104" i="1"/>
  <c r="AP1104" i="1" s="1"/>
  <c r="O1104" i="1"/>
  <c r="M1114" i="1"/>
  <c r="AP1114" i="1" s="1"/>
  <c r="O1114" i="1"/>
  <c r="N1122" i="1"/>
  <c r="O1122" i="1"/>
  <c r="M1126" i="1"/>
  <c r="AP1126" i="1" s="1"/>
  <c r="O1126" i="1"/>
  <c r="M1154" i="1"/>
  <c r="AP1154" i="1" s="1"/>
  <c r="O1154" i="1"/>
  <c r="M1160" i="1"/>
  <c r="AP1160" i="1" s="1"/>
  <c r="O1160" i="1"/>
  <c r="M1166" i="1"/>
  <c r="AP1166" i="1" s="1"/>
  <c r="O1166" i="1"/>
  <c r="M1170" i="1"/>
  <c r="AP1170" i="1" s="1"/>
  <c r="O1170" i="1"/>
  <c r="O1173" i="1"/>
  <c r="O1177" i="1"/>
  <c r="O1181" i="1"/>
  <c r="O1185" i="1"/>
  <c r="M1188" i="1"/>
  <c r="AP1188" i="1" s="1"/>
  <c r="O1188" i="1"/>
  <c r="N1191" i="1"/>
  <c r="O1191" i="1"/>
  <c r="N1195" i="1"/>
  <c r="O1195" i="1"/>
  <c r="N1199" i="1"/>
  <c r="O1199" i="1"/>
  <c r="N1203" i="1"/>
  <c r="O1203" i="1"/>
  <c r="N1207" i="1"/>
  <c r="O1207" i="1"/>
  <c r="N1211" i="1"/>
  <c r="O1211" i="1"/>
  <c r="M1214" i="1"/>
  <c r="AP1214" i="1" s="1"/>
  <c r="O1214" i="1"/>
  <c r="O1217" i="1"/>
  <c r="O1221" i="1"/>
  <c r="N1231" i="1"/>
  <c r="O1231" i="1"/>
  <c r="N1235" i="1"/>
  <c r="O1235" i="1"/>
  <c r="N1239" i="1"/>
  <c r="O1239" i="1"/>
  <c r="N1243" i="1"/>
  <c r="O1243" i="1"/>
  <c r="N1250" i="1"/>
  <c r="O1250" i="1"/>
  <c r="M1253" i="1"/>
  <c r="AP1253" i="1" s="1"/>
  <c r="O1253" i="1"/>
  <c r="N1257" i="1"/>
  <c r="O1257" i="1"/>
  <c r="N1261" i="1"/>
  <c r="O1261" i="1"/>
  <c r="N1265" i="1"/>
  <c r="O1265" i="1"/>
  <c r="M1268" i="1"/>
  <c r="AP1268" i="1" s="1"/>
  <c r="O1268" i="1"/>
  <c r="M1272" i="1"/>
  <c r="AP1272" i="1" s="1"/>
  <c r="O1272" i="1"/>
  <c r="M1276" i="1"/>
  <c r="AP1276" i="1" s="1"/>
  <c r="O1276" i="1"/>
  <c r="M1284" i="1"/>
  <c r="AP1284" i="1" s="1"/>
  <c r="O1284" i="1"/>
  <c r="N1290" i="1"/>
  <c r="O1290" i="1"/>
  <c r="N1294" i="1"/>
  <c r="O1294" i="1"/>
  <c r="N1298" i="1"/>
  <c r="O1298" i="1"/>
  <c r="N1302" i="1"/>
  <c r="O1302" i="1"/>
  <c r="M1309" i="1"/>
  <c r="AP1309" i="1" s="1"/>
  <c r="O1309" i="1"/>
  <c r="M1312" i="1"/>
  <c r="AP1312" i="1" s="1"/>
  <c r="O1312" i="1"/>
  <c r="N1315" i="1"/>
  <c r="O1315" i="1"/>
  <c r="N1320" i="1"/>
  <c r="O1320" i="1"/>
  <c r="M34" i="1"/>
  <c r="AP34" i="1" s="1"/>
  <c r="AQ34" i="1" s="1"/>
  <c r="M124" i="1"/>
  <c r="AP124" i="1" s="1"/>
  <c r="AQ124" i="1" s="1"/>
  <c r="M127" i="1"/>
  <c r="AP127" i="1" s="1"/>
  <c r="AQ127" i="1" s="1"/>
  <c r="M379" i="1"/>
  <c r="AP379" i="1" s="1"/>
  <c r="AQ379" i="1" s="1"/>
  <c r="M705" i="1"/>
  <c r="AP705" i="1" s="1"/>
  <c r="AQ705" i="1" s="1"/>
  <c r="N808" i="1"/>
  <c r="M804" i="1"/>
  <c r="AP804" i="1" s="1"/>
  <c r="N1304" i="1"/>
  <c r="O8" i="1"/>
  <c r="O12" i="1"/>
  <c r="O16" i="1"/>
  <c r="O20" i="1"/>
  <c r="O24" i="1"/>
  <c r="O28" i="1"/>
  <c r="O32" i="1"/>
  <c r="O36" i="1"/>
  <c r="O43" i="1"/>
  <c r="O47" i="1"/>
  <c r="O51" i="1"/>
  <c r="O55" i="1"/>
  <c r="O59" i="1"/>
  <c r="O63" i="1"/>
  <c r="O67" i="1"/>
  <c r="O71" i="1"/>
  <c r="O75" i="1"/>
  <c r="O79" i="1"/>
  <c r="O85" i="1"/>
  <c r="O89" i="1"/>
  <c r="O94" i="1"/>
  <c r="O98" i="1"/>
  <c r="O102" i="1"/>
  <c r="O106" i="1"/>
  <c r="O110" i="1"/>
  <c r="O114" i="1"/>
  <c r="O118" i="1"/>
  <c r="O122" i="1"/>
  <c r="O126" i="1"/>
  <c r="O130" i="1"/>
  <c r="O134" i="1"/>
  <c r="O138" i="1"/>
  <c r="O142" i="1"/>
  <c r="O146" i="1"/>
  <c r="O150" i="1"/>
  <c r="O154" i="1"/>
  <c r="O158" i="1"/>
  <c r="O162" i="1"/>
  <c r="O166" i="1"/>
  <c r="O172" i="1"/>
  <c r="O180" i="1"/>
  <c r="O188" i="1"/>
  <c r="O196" i="1"/>
  <c r="O204" i="1"/>
  <c r="O214" i="1"/>
  <c r="N791" i="1"/>
  <c r="N809" i="1"/>
  <c r="M793" i="1"/>
  <c r="AP793" i="1" s="1"/>
  <c r="M795" i="1"/>
  <c r="AP795" i="1" s="1"/>
  <c r="M809" i="1"/>
  <c r="AP809" i="1" s="1"/>
  <c r="N914" i="1"/>
  <c r="N941" i="1"/>
  <c r="M1252" i="1"/>
  <c r="AP1252" i="1" s="1"/>
  <c r="J788" i="1"/>
  <c r="N1264" i="1"/>
  <c r="N1296" i="1"/>
  <c r="M53" i="1"/>
  <c r="AP53" i="1" s="1"/>
  <c r="AQ53" i="1" s="1"/>
  <c r="M73" i="1"/>
  <c r="AP73" i="1" s="1"/>
  <c r="AQ73" i="1" s="1"/>
  <c r="M76" i="1"/>
  <c r="AP76" i="1" s="1"/>
  <c r="AQ76" i="1" s="1"/>
  <c r="M120" i="1"/>
  <c r="AP120" i="1" s="1"/>
  <c r="AQ120" i="1" s="1"/>
  <c r="M140" i="1"/>
  <c r="AP140" i="1" s="1"/>
  <c r="AQ140" i="1" s="1"/>
  <c r="M143" i="1"/>
  <c r="AP143" i="1" s="1"/>
  <c r="AQ143" i="1" s="1"/>
  <c r="M184" i="1"/>
  <c r="AP184" i="1" s="1"/>
  <c r="AQ184" i="1" s="1"/>
  <c r="M204" i="1"/>
  <c r="AP204" i="1" s="1"/>
  <c r="AQ204" i="1" s="1"/>
  <c r="M209" i="1"/>
  <c r="AP209" i="1" s="1"/>
  <c r="AQ209" i="1" s="1"/>
  <c r="M251" i="1"/>
  <c r="AP251" i="1" s="1"/>
  <c r="AQ251" i="1" s="1"/>
  <c r="M298" i="1"/>
  <c r="AP298" i="1" s="1"/>
  <c r="AQ298" i="1" s="1"/>
  <c r="M363" i="1"/>
  <c r="AP363" i="1" s="1"/>
  <c r="AQ363" i="1" s="1"/>
  <c r="M508" i="1"/>
  <c r="AP508" i="1" s="1"/>
  <c r="AQ508" i="1" s="1"/>
  <c r="M636" i="1"/>
  <c r="AP636" i="1" s="1"/>
  <c r="AQ636" i="1" s="1"/>
  <c r="M772" i="1"/>
  <c r="AP772" i="1" s="1"/>
  <c r="AQ772" i="1" s="1"/>
  <c r="N788" i="1"/>
  <c r="N798" i="1"/>
  <c r="M914" i="1"/>
  <c r="AP914" i="1" s="1"/>
  <c r="M916" i="1"/>
  <c r="AP916" i="1" s="1"/>
  <c r="M930" i="1"/>
  <c r="AP930" i="1" s="1"/>
  <c r="M941" i="1"/>
  <c r="AP941" i="1" s="1"/>
  <c r="N957" i="1"/>
  <c r="M1019" i="1"/>
  <c r="AP1019" i="1" s="1"/>
  <c r="M1048" i="1"/>
  <c r="AP1048" i="1" s="1"/>
  <c r="M1090" i="1"/>
  <c r="AP1090" i="1" s="1"/>
  <c r="N1093" i="1"/>
  <c r="M1167" i="1"/>
  <c r="AP1167" i="1" s="1"/>
  <c r="M1181" i="1"/>
  <c r="AP1181" i="1" s="1"/>
  <c r="M1201" i="1"/>
  <c r="AP1201" i="1" s="1"/>
  <c r="N1204" i="1"/>
  <c r="M1217" i="1"/>
  <c r="AP1217" i="1" s="1"/>
  <c r="N1220" i="1"/>
  <c r="N1256" i="1"/>
  <c r="N1271" i="1"/>
  <c r="N1292" i="1"/>
  <c r="M22" i="1"/>
  <c r="AP22" i="1" s="1"/>
  <c r="AQ22" i="1" s="1"/>
  <c r="M25" i="1"/>
  <c r="AP25" i="1" s="1"/>
  <c r="AQ25" i="1" s="1"/>
  <c r="M69" i="1"/>
  <c r="AP69" i="1" s="1"/>
  <c r="AQ69" i="1" s="1"/>
  <c r="M92" i="1"/>
  <c r="AP92" i="1" s="1"/>
  <c r="AQ92" i="1" s="1"/>
  <c r="M95" i="1"/>
  <c r="AP95" i="1" s="1"/>
  <c r="AQ95" i="1" s="1"/>
  <c r="M136" i="1"/>
  <c r="AP136" i="1" s="1"/>
  <c r="AQ136" i="1" s="1"/>
  <c r="M156" i="1"/>
  <c r="AP156" i="1" s="1"/>
  <c r="AQ156" i="1" s="1"/>
  <c r="M159" i="1"/>
  <c r="AP159" i="1" s="1"/>
  <c r="AQ159" i="1" s="1"/>
  <c r="M200" i="1"/>
  <c r="AP200" i="1" s="1"/>
  <c r="AQ200" i="1" s="1"/>
  <c r="M222" i="1"/>
  <c r="AP222" i="1" s="1"/>
  <c r="AQ222" i="1" s="1"/>
  <c r="M225" i="1"/>
  <c r="AP225" i="1" s="1"/>
  <c r="AQ225" i="1" s="1"/>
  <c r="M282" i="1"/>
  <c r="AP282" i="1" s="1"/>
  <c r="AQ282" i="1" s="1"/>
  <c r="M347" i="1"/>
  <c r="AP347" i="1" s="1"/>
  <c r="AQ347" i="1" s="1"/>
  <c r="M584" i="1"/>
  <c r="AP584" i="1" s="1"/>
  <c r="AQ584" i="1" s="1"/>
  <c r="M723" i="1"/>
  <c r="AP723" i="1" s="1"/>
  <c r="AQ723" i="1" s="1"/>
  <c r="M922" i="1"/>
  <c r="AP922" i="1" s="1"/>
  <c r="N946" i="1"/>
  <c r="M971" i="1"/>
  <c r="AP971" i="1" s="1"/>
  <c r="N982" i="1"/>
  <c r="M990" i="1"/>
  <c r="AP990" i="1" s="1"/>
  <c r="M1035" i="1"/>
  <c r="AP1035" i="1" s="1"/>
  <c r="M1197" i="1"/>
  <c r="AP1197" i="1" s="1"/>
  <c r="N1319" i="1"/>
  <c r="M44" i="1"/>
  <c r="AP44" i="1" s="1"/>
  <c r="AQ44" i="1" s="1"/>
  <c r="M87" i="1"/>
  <c r="AP87" i="1" s="1"/>
  <c r="AQ87" i="1" s="1"/>
  <c r="M108" i="1"/>
  <c r="AP108" i="1" s="1"/>
  <c r="AQ108" i="1" s="1"/>
  <c r="M111" i="1"/>
  <c r="AP111" i="1" s="1"/>
  <c r="AQ111" i="1" s="1"/>
  <c r="M152" i="1"/>
  <c r="AP152" i="1" s="1"/>
  <c r="AQ152" i="1" s="1"/>
  <c r="M172" i="1"/>
  <c r="AP172" i="1" s="1"/>
  <c r="AQ172" i="1" s="1"/>
  <c r="M175" i="1"/>
  <c r="AP175" i="1" s="1"/>
  <c r="AQ175" i="1" s="1"/>
  <c r="M218" i="1"/>
  <c r="AP218" i="1" s="1"/>
  <c r="AQ218" i="1" s="1"/>
  <c r="M238" i="1"/>
  <c r="AP238" i="1" s="1"/>
  <c r="AQ238" i="1" s="1"/>
  <c r="M241" i="1"/>
  <c r="AP241" i="1" s="1"/>
  <c r="AQ241" i="1" s="1"/>
  <c r="M266" i="1"/>
  <c r="AP266" i="1" s="1"/>
  <c r="AQ266" i="1" s="1"/>
  <c r="M331" i="1"/>
  <c r="AP331" i="1" s="1"/>
  <c r="AQ331" i="1" s="1"/>
  <c r="M395" i="1"/>
  <c r="AP395" i="1" s="1"/>
  <c r="AQ395" i="1" s="1"/>
  <c r="M568" i="1"/>
  <c r="AP568" i="1" s="1"/>
  <c r="AQ568" i="1" s="1"/>
  <c r="N1317" i="1"/>
  <c r="M1313" i="1"/>
  <c r="AP1313" i="1" s="1"/>
  <c r="N1310" i="1"/>
  <c r="N1305" i="1"/>
  <c r="N1301" i="1"/>
  <c r="N1300" i="1"/>
  <c r="N1297" i="1"/>
  <c r="N1293" i="1"/>
  <c r="N1289" i="1"/>
  <c r="N1283" i="1"/>
  <c r="N1272" i="1"/>
  <c r="M1275" i="1"/>
  <c r="AP1275" i="1" s="1"/>
  <c r="N1276" i="1"/>
  <c r="N1263" i="1"/>
  <c r="M1263" i="1"/>
  <c r="AP1263" i="1" s="1"/>
  <c r="N1268" i="1"/>
  <c r="N1260" i="1"/>
  <c r="M1259" i="1"/>
  <c r="AP1259" i="1" s="1"/>
  <c r="M1257" i="1"/>
  <c r="AP1257" i="1" s="1"/>
  <c r="N1258" i="1"/>
  <c r="M1261" i="1"/>
  <c r="AP1261" i="1" s="1"/>
  <c r="N1262" i="1"/>
  <c r="M1265" i="1"/>
  <c r="AP1265" i="1" s="1"/>
  <c r="N1266" i="1"/>
  <c r="M1269" i="1"/>
  <c r="AP1269" i="1" s="1"/>
  <c r="N1270" i="1"/>
  <c r="M1273" i="1"/>
  <c r="AP1273" i="1" s="1"/>
  <c r="N1274" i="1"/>
  <c r="M1278" i="1"/>
  <c r="AP1278" i="1" s="1"/>
  <c r="N1279" i="1"/>
  <c r="M1285" i="1"/>
  <c r="AP1285" i="1" s="1"/>
  <c r="N1286" i="1"/>
  <c r="M1290" i="1"/>
  <c r="AP1290" i="1" s="1"/>
  <c r="N1291" i="1"/>
  <c r="M1294" i="1"/>
  <c r="AP1294" i="1" s="1"/>
  <c r="N1295" i="1"/>
  <c r="M1298" i="1"/>
  <c r="AP1298" i="1" s="1"/>
  <c r="N1299" i="1"/>
  <c r="M1302" i="1"/>
  <c r="AP1302" i="1" s="1"/>
  <c r="N1303" i="1"/>
  <c r="M1306" i="1"/>
  <c r="AP1306" i="1" s="1"/>
  <c r="N1307" i="1"/>
  <c r="M1311" i="1"/>
  <c r="AP1311" i="1" s="1"/>
  <c r="N1312" i="1"/>
  <c r="M1315" i="1"/>
  <c r="AP1315" i="1" s="1"/>
  <c r="N1316" i="1"/>
  <c r="M1320" i="1"/>
  <c r="AP1320" i="1" s="1"/>
  <c r="N1321" i="1"/>
  <c r="M1248" i="1"/>
  <c r="AP1248" i="1" s="1"/>
  <c r="M1243" i="1"/>
  <c r="AP1243" i="1" s="1"/>
  <c r="N1236" i="1"/>
  <c r="N1240" i="1"/>
  <c r="N1176" i="1"/>
  <c r="M1179" i="1"/>
  <c r="AP1179" i="1" s="1"/>
  <c r="M1199" i="1"/>
  <c r="AP1199" i="1" s="1"/>
  <c r="N1208" i="1"/>
  <c r="M1211" i="1"/>
  <c r="AP1211" i="1" s="1"/>
  <c r="M1231" i="1"/>
  <c r="AP1231" i="1" s="1"/>
  <c r="M1233" i="1"/>
  <c r="AP1233" i="1" s="1"/>
  <c r="M1183" i="1"/>
  <c r="AP1183" i="1" s="1"/>
  <c r="N1192" i="1"/>
  <c r="M1195" i="1"/>
  <c r="AP1195" i="1" s="1"/>
  <c r="M1169" i="1"/>
  <c r="AP1169" i="1" s="1"/>
  <c r="M1165" i="1"/>
  <c r="AP1165" i="1" s="1"/>
  <c r="M1161" i="1"/>
  <c r="AP1161" i="1" s="1"/>
  <c r="N1156" i="1"/>
  <c r="N1152" i="1"/>
  <c r="M1122" i="1"/>
  <c r="AP1122" i="1" s="1"/>
  <c r="M1119" i="1"/>
  <c r="AP1119" i="1" s="1"/>
  <c r="N1114" i="1"/>
  <c r="M1103" i="1"/>
  <c r="AP1103" i="1" s="1"/>
  <c r="M1105" i="1"/>
  <c r="AP1105" i="1" s="1"/>
  <c r="M1100" i="1"/>
  <c r="AP1100" i="1" s="1"/>
  <c r="N1097" i="1"/>
  <c r="M1088" i="1"/>
  <c r="AP1088" i="1" s="1"/>
  <c r="M1086" i="1"/>
  <c r="AP1086" i="1" s="1"/>
  <c r="N1081" i="1"/>
  <c r="N1076" i="1"/>
  <c r="M1054" i="1"/>
  <c r="AP1054" i="1" s="1"/>
  <c r="M1052" i="1"/>
  <c r="AP1052" i="1" s="1"/>
  <c r="M1050" i="1"/>
  <c r="AP1050" i="1" s="1"/>
  <c r="N1045" i="1"/>
  <c r="N1041" i="1"/>
  <c r="M1037" i="1"/>
  <c r="AP1037" i="1" s="1"/>
  <c r="M1033" i="1"/>
  <c r="AP1033" i="1" s="1"/>
  <c r="M1031" i="1"/>
  <c r="AP1031" i="1" s="1"/>
  <c r="N1028" i="1"/>
  <c r="N1024" i="1"/>
  <c r="M1014" i="1"/>
  <c r="AP1014" i="1" s="1"/>
  <c r="M1009" i="1"/>
  <c r="AP1009" i="1" s="1"/>
  <c r="M1007" i="1"/>
  <c r="AP1007" i="1" s="1"/>
  <c r="M996" i="1"/>
  <c r="AP996" i="1" s="1"/>
  <c r="M994" i="1"/>
  <c r="AP994" i="1" s="1"/>
  <c r="M992" i="1"/>
  <c r="AP992" i="1" s="1"/>
  <c r="M988" i="1"/>
  <c r="AP988" i="1" s="1"/>
  <c r="N987" i="1"/>
  <c r="M986" i="1"/>
  <c r="AP986" i="1" s="1"/>
  <c r="M976" i="1"/>
  <c r="AP976" i="1" s="1"/>
  <c r="N974" i="1"/>
  <c r="M973" i="1"/>
  <c r="AP973" i="1" s="1"/>
  <c r="M969" i="1"/>
  <c r="AP969" i="1" s="1"/>
  <c r="M966" i="1"/>
  <c r="AP966" i="1" s="1"/>
  <c r="M964" i="1"/>
  <c r="AP964" i="1" s="1"/>
  <c r="N961" i="1"/>
  <c r="M958" i="1"/>
  <c r="AP958" i="1" s="1"/>
  <c r="M956" i="1"/>
  <c r="AP956" i="1" s="1"/>
  <c r="M954" i="1"/>
  <c r="AP954" i="1" s="1"/>
  <c r="M949" i="1"/>
  <c r="AP949" i="1" s="1"/>
  <c r="M946" i="1"/>
  <c r="AP946" i="1" s="1"/>
  <c r="N937" i="1"/>
  <c r="M940" i="1"/>
  <c r="AP940" i="1" s="1"/>
  <c r="M933" i="1"/>
  <c r="AP933" i="1" s="1"/>
  <c r="M932" i="1"/>
  <c r="AP932" i="1" s="1"/>
  <c r="N926" i="1"/>
  <c r="M925" i="1"/>
  <c r="AP925" i="1" s="1"/>
  <c r="M924" i="1"/>
  <c r="AP924" i="1" s="1"/>
  <c r="M917" i="1"/>
  <c r="AP917" i="1" s="1"/>
  <c r="N909" i="1"/>
  <c r="M909" i="1"/>
  <c r="AP909" i="1" s="1"/>
  <c r="M908" i="1"/>
  <c r="AP908" i="1" s="1"/>
  <c r="N905" i="1"/>
  <c r="M901" i="1"/>
  <c r="AP901" i="1" s="1"/>
  <c r="M900" i="1"/>
  <c r="AP900" i="1" s="1"/>
  <c r="M892" i="1"/>
  <c r="AP892" i="1" s="1"/>
  <c r="N894" i="1"/>
  <c r="M889" i="1"/>
  <c r="AP889" i="1" s="1"/>
  <c r="N876" i="1"/>
  <c r="M868" i="1"/>
  <c r="AP868" i="1" s="1"/>
  <c r="M13" i="1"/>
  <c r="AP13" i="1" s="1"/>
  <c r="AQ13" i="1" s="1"/>
  <c r="M16" i="1"/>
  <c r="AP16" i="1" s="1"/>
  <c r="AQ16" i="1" s="1"/>
  <c r="M36" i="1"/>
  <c r="AP36" i="1" s="1"/>
  <c r="AQ36" i="1" s="1"/>
  <c r="M48" i="1"/>
  <c r="AP48" i="1" s="1"/>
  <c r="AQ48" i="1" s="1"/>
  <c r="M51" i="1"/>
  <c r="AP51" i="1" s="1"/>
  <c r="AQ51" i="1" s="1"/>
  <c r="M71" i="1"/>
  <c r="AP71" i="1" s="1"/>
  <c r="AQ71" i="1" s="1"/>
  <c r="M80" i="1"/>
  <c r="AP80" i="1" s="1"/>
  <c r="AQ80" i="1" s="1"/>
  <c r="M85" i="1"/>
  <c r="AP85" i="1" s="1"/>
  <c r="AQ85" i="1" s="1"/>
  <c r="M106" i="1"/>
  <c r="AP106" i="1" s="1"/>
  <c r="AQ106" i="1" s="1"/>
  <c r="M115" i="1"/>
  <c r="AP115" i="1" s="1"/>
  <c r="AQ115" i="1" s="1"/>
  <c r="M118" i="1"/>
  <c r="AP118" i="1" s="1"/>
  <c r="AQ118" i="1" s="1"/>
  <c r="M138" i="1"/>
  <c r="AP138" i="1" s="1"/>
  <c r="AQ138" i="1" s="1"/>
  <c r="M147" i="1"/>
  <c r="AP147" i="1" s="1"/>
  <c r="AQ147" i="1" s="1"/>
  <c r="M150" i="1"/>
  <c r="AP150" i="1" s="1"/>
  <c r="AQ150" i="1" s="1"/>
  <c r="M170" i="1"/>
  <c r="AP170" i="1" s="1"/>
  <c r="AQ170" i="1" s="1"/>
  <c r="M179" i="1"/>
  <c r="AP179" i="1" s="1"/>
  <c r="AQ179" i="1" s="1"/>
  <c r="M182" i="1"/>
  <c r="AP182" i="1" s="1"/>
  <c r="AQ182" i="1" s="1"/>
  <c r="M202" i="1"/>
  <c r="AP202" i="1" s="1"/>
  <c r="AQ202" i="1" s="1"/>
  <c r="M213" i="1"/>
  <c r="AP213" i="1" s="1"/>
  <c r="AQ213" i="1" s="1"/>
  <c r="M216" i="1"/>
  <c r="AP216" i="1" s="1"/>
  <c r="AQ216" i="1" s="1"/>
  <c r="M236" i="1"/>
  <c r="AP236" i="1" s="1"/>
  <c r="AQ236" i="1" s="1"/>
  <c r="M245" i="1"/>
  <c r="AP245" i="1" s="1"/>
  <c r="AQ245" i="1" s="1"/>
  <c r="M249" i="1"/>
  <c r="AP249" i="1" s="1"/>
  <c r="AQ249" i="1" s="1"/>
  <c r="M278" i="1"/>
  <c r="AP278" i="1" s="1"/>
  <c r="AQ278" i="1" s="1"/>
  <c r="M311" i="1"/>
  <c r="AP311" i="1" s="1"/>
  <c r="AQ311" i="1" s="1"/>
  <c r="M343" i="1"/>
  <c r="AP343" i="1" s="1"/>
  <c r="AQ343" i="1" s="1"/>
  <c r="M443" i="1"/>
  <c r="AP443" i="1" s="1"/>
  <c r="AQ443" i="1" s="1"/>
  <c r="M803" i="1"/>
  <c r="AP803" i="1" s="1"/>
  <c r="M805" i="1"/>
  <c r="AP805" i="1" s="1"/>
  <c r="M810" i="1"/>
  <c r="AP810" i="1" s="1"/>
  <c r="N1008" i="1"/>
  <c r="M1023" i="1"/>
  <c r="AP1023" i="1" s="1"/>
  <c r="M1025" i="1"/>
  <c r="AP1025" i="1" s="1"/>
  <c r="N1032" i="1"/>
  <c r="M1040" i="1"/>
  <c r="AP1040" i="1" s="1"/>
  <c r="M1042" i="1"/>
  <c r="AP1042" i="1" s="1"/>
  <c r="N1049" i="1"/>
  <c r="M1057" i="1"/>
  <c r="AP1057" i="1" s="1"/>
  <c r="M1078" i="1"/>
  <c r="AP1078" i="1" s="1"/>
  <c r="N1085" i="1"/>
  <c r="M1092" i="1"/>
  <c r="AP1092" i="1" s="1"/>
  <c r="M1094" i="1"/>
  <c r="AP1094" i="1" s="1"/>
  <c r="N1102" i="1"/>
  <c r="M1109" i="1"/>
  <c r="AP1109" i="1" s="1"/>
  <c r="M1111" i="1"/>
  <c r="AP1111" i="1" s="1"/>
  <c r="N1118" i="1"/>
  <c r="M1127" i="1"/>
  <c r="AP1127" i="1" s="1"/>
  <c r="M1153" i="1"/>
  <c r="AP1153" i="1" s="1"/>
  <c r="N1164" i="1"/>
  <c r="M1171" i="1"/>
  <c r="AP1171" i="1" s="1"/>
  <c r="M1173" i="1"/>
  <c r="AP1173" i="1" s="1"/>
  <c r="N1180" i="1"/>
  <c r="M1187" i="1"/>
  <c r="AP1187" i="1" s="1"/>
  <c r="M1189" i="1"/>
  <c r="AP1189" i="1" s="1"/>
  <c r="N1196" i="1"/>
  <c r="M1203" i="1"/>
  <c r="AP1203" i="1" s="1"/>
  <c r="M1205" i="1"/>
  <c r="AP1205" i="1" s="1"/>
  <c r="N1212" i="1"/>
  <c r="M1219" i="1"/>
  <c r="AP1219" i="1" s="1"/>
  <c r="M1221" i="1"/>
  <c r="AP1221" i="1" s="1"/>
  <c r="N1228" i="1"/>
  <c r="M1235" i="1"/>
  <c r="AP1235" i="1" s="1"/>
  <c r="M1237" i="1"/>
  <c r="AP1237" i="1" s="1"/>
  <c r="N1247" i="1"/>
  <c r="M1254" i="1"/>
  <c r="AP1254" i="1" s="1"/>
  <c r="M427" i="1"/>
  <c r="AP427" i="1" s="1"/>
  <c r="AQ427" i="1" s="1"/>
  <c r="M492" i="1"/>
  <c r="AP492" i="1" s="1"/>
  <c r="AQ492" i="1" s="1"/>
  <c r="M552" i="1"/>
  <c r="AP552" i="1" s="1"/>
  <c r="AQ552" i="1" s="1"/>
  <c r="M617" i="1"/>
  <c r="AP617" i="1" s="1"/>
  <c r="AQ617" i="1" s="1"/>
  <c r="M689" i="1"/>
  <c r="AP689" i="1" s="1"/>
  <c r="AQ689" i="1" s="1"/>
  <c r="M756" i="1"/>
  <c r="AP756" i="1" s="1"/>
  <c r="AQ756" i="1" s="1"/>
  <c r="M791" i="1"/>
  <c r="AP791" i="1" s="1"/>
  <c r="M873" i="1"/>
  <c r="AP873" i="1" s="1"/>
  <c r="N877" i="1"/>
  <c r="N888" i="1"/>
  <c r="N893" i="1"/>
  <c r="N898" i="1"/>
  <c r="M906" i="1"/>
  <c r="AP906" i="1" s="1"/>
  <c r="N910" i="1"/>
  <c r="N921" i="1"/>
  <c r="N925" i="1"/>
  <c r="N930" i="1"/>
  <c r="M938" i="1"/>
  <c r="AP938" i="1" s="1"/>
  <c r="N942" i="1"/>
  <c r="N953" i="1"/>
  <c r="M960" i="1"/>
  <c r="AP960" i="1" s="1"/>
  <c r="M962" i="1"/>
  <c r="AP962" i="1" s="1"/>
  <c r="N970" i="1"/>
  <c r="M981" i="1"/>
  <c r="AP981" i="1" s="1"/>
  <c r="M984" i="1"/>
  <c r="AP984" i="1" s="1"/>
  <c r="N991" i="1"/>
  <c r="M1000" i="1"/>
  <c r="AP1000" i="1" s="1"/>
  <c r="M1005" i="1"/>
  <c r="AP1005" i="1" s="1"/>
  <c r="N1018" i="1"/>
  <c r="M1027" i="1"/>
  <c r="AP1027" i="1" s="1"/>
  <c r="M1029" i="1"/>
  <c r="AP1029" i="1" s="1"/>
  <c r="N1036" i="1"/>
  <c r="M1044" i="1"/>
  <c r="AP1044" i="1" s="1"/>
  <c r="M1046" i="1"/>
  <c r="AP1046" i="1" s="1"/>
  <c r="N1053" i="1"/>
  <c r="M1080" i="1"/>
  <c r="AP1080" i="1" s="1"/>
  <c r="M1082" i="1"/>
  <c r="AP1082" i="1" s="1"/>
  <c r="N1089" i="1"/>
  <c r="M1096" i="1"/>
  <c r="AP1096" i="1" s="1"/>
  <c r="M1098" i="1"/>
  <c r="AP1098" i="1" s="1"/>
  <c r="N1106" i="1"/>
  <c r="M1113" i="1"/>
  <c r="AP1113" i="1" s="1"/>
  <c r="M1115" i="1"/>
  <c r="AP1115" i="1" s="1"/>
  <c r="N1124" i="1"/>
  <c r="M1155" i="1"/>
  <c r="AP1155" i="1" s="1"/>
  <c r="M1158" i="1"/>
  <c r="AP1158" i="1" s="1"/>
  <c r="N1168" i="1"/>
  <c r="M1175" i="1"/>
  <c r="AP1175" i="1" s="1"/>
  <c r="M1177" i="1"/>
  <c r="AP1177" i="1" s="1"/>
  <c r="N1184" i="1"/>
  <c r="M1191" i="1"/>
  <c r="AP1191" i="1" s="1"/>
  <c r="M1193" i="1"/>
  <c r="AP1193" i="1" s="1"/>
  <c r="N1200" i="1"/>
  <c r="M1207" i="1"/>
  <c r="AP1207" i="1" s="1"/>
  <c r="M1209" i="1"/>
  <c r="AP1209" i="1" s="1"/>
  <c r="N1216" i="1"/>
  <c r="M1223" i="1"/>
  <c r="AP1223" i="1" s="1"/>
  <c r="M1225" i="1"/>
  <c r="AP1225" i="1" s="1"/>
  <c r="N1232" i="1"/>
  <c r="M1239" i="1"/>
  <c r="AP1239" i="1" s="1"/>
  <c r="M1241" i="1"/>
  <c r="AP1241" i="1" s="1"/>
  <c r="N1251" i="1"/>
  <c r="M8" i="1"/>
  <c r="AP8" i="1" s="1"/>
  <c r="AQ8" i="1" s="1"/>
  <c r="M20" i="1"/>
  <c r="AP20" i="1" s="1"/>
  <c r="AQ20" i="1" s="1"/>
  <c r="M29" i="1"/>
  <c r="AP29" i="1" s="1"/>
  <c r="AQ29" i="1" s="1"/>
  <c r="M32" i="1"/>
  <c r="AP32" i="1" s="1"/>
  <c r="AQ32" i="1" s="1"/>
  <c r="M55" i="1"/>
  <c r="AP55" i="1" s="1"/>
  <c r="AQ55" i="1" s="1"/>
  <c r="M64" i="1"/>
  <c r="AP64" i="1" s="1"/>
  <c r="AQ64" i="1" s="1"/>
  <c r="M67" i="1"/>
  <c r="AP67" i="1" s="1"/>
  <c r="AQ67" i="1" s="1"/>
  <c r="M89" i="1"/>
  <c r="AP89" i="1" s="1"/>
  <c r="AQ89" i="1" s="1"/>
  <c r="M99" i="1"/>
  <c r="AP99" i="1" s="1"/>
  <c r="AQ99" i="1" s="1"/>
  <c r="M102" i="1"/>
  <c r="AP102" i="1" s="1"/>
  <c r="AQ102" i="1" s="1"/>
  <c r="M122" i="1"/>
  <c r="AP122" i="1" s="1"/>
  <c r="AQ122" i="1" s="1"/>
  <c r="M131" i="1"/>
  <c r="AP131" i="1" s="1"/>
  <c r="AQ131" i="1" s="1"/>
  <c r="M134" i="1"/>
  <c r="AP134" i="1" s="1"/>
  <c r="AQ134" i="1" s="1"/>
  <c r="M154" i="1"/>
  <c r="AP154" i="1" s="1"/>
  <c r="AQ154" i="1" s="1"/>
  <c r="M163" i="1"/>
  <c r="AP163" i="1" s="1"/>
  <c r="AQ163" i="1" s="1"/>
  <c r="M166" i="1"/>
  <c r="AP166" i="1" s="1"/>
  <c r="AQ166" i="1" s="1"/>
  <c r="M186" i="1"/>
  <c r="AP186" i="1" s="1"/>
  <c r="AQ186" i="1" s="1"/>
  <c r="M195" i="1"/>
  <c r="AP195" i="1" s="1"/>
  <c r="AQ195" i="1" s="1"/>
  <c r="M198" i="1"/>
  <c r="AP198" i="1" s="1"/>
  <c r="AQ198" i="1" s="1"/>
  <c r="M220" i="1"/>
  <c r="AP220" i="1" s="1"/>
  <c r="AQ220" i="1" s="1"/>
  <c r="M229" i="1"/>
  <c r="AP229" i="1" s="1"/>
  <c r="AQ229" i="1" s="1"/>
  <c r="M232" i="1"/>
  <c r="AP232" i="1" s="1"/>
  <c r="AQ232" i="1" s="1"/>
  <c r="M253" i="1"/>
  <c r="AP253" i="1" s="1"/>
  <c r="AQ253" i="1" s="1"/>
  <c r="M262" i="1"/>
  <c r="AP262" i="1" s="1"/>
  <c r="AQ262" i="1" s="1"/>
  <c r="M294" i="1"/>
  <c r="AP294" i="1" s="1"/>
  <c r="AQ294" i="1" s="1"/>
  <c r="M327" i="1"/>
  <c r="AP327" i="1" s="1"/>
  <c r="AQ327" i="1" s="1"/>
  <c r="M359" i="1"/>
  <c r="AP359" i="1" s="1"/>
  <c r="AQ359" i="1" s="1"/>
  <c r="M411" i="1"/>
  <c r="AP411" i="1" s="1"/>
  <c r="AQ411" i="1" s="1"/>
  <c r="M536" i="1"/>
  <c r="AP536" i="1" s="1"/>
  <c r="AQ536" i="1" s="1"/>
  <c r="M600" i="1"/>
  <c r="AP600" i="1" s="1"/>
  <c r="AQ600" i="1" s="1"/>
  <c r="M670" i="1"/>
  <c r="AP670" i="1" s="1"/>
  <c r="AQ670" i="1" s="1"/>
  <c r="M740" i="1"/>
  <c r="AP740" i="1" s="1"/>
  <c r="AQ740" i="1" s="1"/>
  <c r="N803" i="1"/>
  <c r="M843" i="1"/>
  <c r="AP843" i="1" s="1"/>
  <c r="M852" i="1"/>
  <c r="AP852" i="1" s="1"/>
  <c r="M875" i="1"/>
  <c r="AP875" i="1" s="1"/>
  <c r="M884" i="1"/>
  <c r="AP884" i="1" s="1"/>
  <c r="M893" i="1"/>
  <c r="AP893" i="1" s="1"/>
  <c r="M898" i="1"/>
  <c r="AP898" i="1" s="1"/>
  <c r="M599" i="1"/>
  <c r="AP599" i="1" s="1"/>
  <c r="AQ599" i="1" s="1"/>
  <c r="N599" i="1"/>
  <c r="M616" i="1"/>
  <c r="AP616" i="1" s="1"/>
  <c r="AQ616" i="1" s="1"/>
  <c r="N616" i="1"/>
  <c r="M635" i="1"/>
  <c r="AP635" i="1" s="1"/>
  <c r="AQ635" i="1" s="1"/>
  <c r="N635" i="1"/>
  <c r="M651" i="1"/>
  <c r="AP651" i="1" s="1"/>
  <c r="AQ651" i="1" s="1"/>
  <c r="N651" i="1"/>
  <c r="M669" i="1"/>
  <c r="AP669" i="1" s="1"/>
  <c r="AQ669" i="1" s="1"/>
  <c r="N669" i="1"/>
  <c r="M686" i="1"/>
  <c r="AP686" i="1" s="1"/>
  <c r="AQ686" i="1" s="1"/>
  <c r="N686" i="1"/>
  <c r="M704" i="1"/>
  <c r="AP704" i="1" s="1"/>
  <c r="AQ704" i="1" s="1"/>
  <c r="N704" i="1"/>
  <c r="M722" i="1"/>
  <c r="AP722" i="1" s="1"/>
  <c r="AQ722" i="1" s="1"/>
  <c r="N722" i="1"/>
  <c r="M739" i="1"/>
  <c r="AP739" i="1" s="1"/>
  <c r="AQ739" i="1" s="1"/>
  <c r="N739" i="1"/>
  <c r="M755" i="1"/>
  <c r="AP755" i="1" s="1"/>
  <c r="AQ755" i="1" s="1"/>
  <c r="N755" i="1"/>
  <c r="M761" i="1"/>
  <c r="AP761" i="1" s="1"/>
  <c r="AQ761" i="1" s="1"/>
  <c r="N761" i="1"/>
  <c r="M771" i="1"/>
  <c r="AP771" i="1" s="1"/>
  <c r="AQ771" i="1" s="1"/>
  <c r="N771" i="1"/>
  <c r="M777" i="1"/>
  <c r="AP777" i="1" s="1"/>
  <c r="AQ777" i="1" s="1"/>
  <c r="N777" i="1"/>
  <c r="M787" i="1"/>
  <c r="AP787" i="1" s="1"/>
  <c r="AQ787" i="1" s="1"/>
  <c r="N787" i="1"/>
  <c r="N801" i="1"/>
  <c r="M801" i="1"/>
  <c r="AP801" i="1" s="1"/>
  <c r="N806" i="1"/>
  <c r="M814" i="1"/>
  <c r="AP814" i="1" s="1"/>
  <c r="N847" i="1"/>
  <c r="M847" i="1"/>
  <c r="AP847" i="1" s="1"/>
  <c r="M874" i="1"/>
  <c r="AP874" i="1" s="1"/>
  <c r="M897" i="1"/>
  <c r="AP897" i="1" s="1"/>
  <c r="N897" i="1"/>
  <c r="M907" i="1"/>
  <c r="AP907" i="1" s="1"/>
  <c r="M929" i="1"/>
  <c r="AP929" i="1" s="1"/>
  <c r="N929" i="1"/>
  <c r="M939" i="1"/>
  <c r="AP939" i="1" s="1"/>
  <c r="M963" i="1"/>
  <c r="AP963" i="1" s="1"/>
  <c r="M17" i="1"/>
  <c r="AP17" i="1" s="1"/>
  <c r="AQ17" i="1" s="1"/>
  <c r="M24" i="1"/>
  <c r="AP24" i="1" s="1"/>
  <c r="AQ24" i="1" s="1"/>
  <c r="M26" i="1"/>
  <c r="AP26" i="1" s="1"/>
  <c r="AQ26" i="1" s="1"/>
  <c r="M33" i="1"/>
  <c r="AP33" i="1" s="1"/>
  <c r="AQ33" i="1" s="1"/>
  <c r="M43" i="1"/>
  <c r="AP43" i="1" s="1"/>
  <c r="AQ43" i="1" s="1"/>
  <c r="M45" i="1"/>
  <c r="AP45" i="1" s="1"/>
  <c r="AQ45" i="1" s="1"/>
  <c r="M52" i="1"/>
  <c r="AP52" i="1" s="1"/>
  <c r="AQ52" i="1" s="1"/>
  <c r="M59" i="1"/>
  <c r="AP59" i="1" s="1"/>
  <c r="AQ59" i="1" s="1"/>
  <c r="M61" i="1"/>
  <c r="AP61" i="1" s="1"/>
  <c r="AQ61" i="1" s="1"/>
  <c r="M68" i="1"/>
  <c r="AP68" i="1" s="1"/>
  <c r="AQ68" i="1" s="1"/>
  <c r="M75" i="1"/>
  <c r="AP75" i="1" s="1"/>
  <c r="AQ75" i="1" s="1"/>
  <c r="M77" i="1"/>
  <c r="AP77" i="1" s="1"/>
  <c r="AQ77" i="1" s="1"/>
  <c r="M86" i="1"/>
  <c r="AP86" i="1" s="1"/>
  <c r="AQ86" i="1" s="1"/>
  <c r="M94" i="1"/>
  <c r="AP94" i="1" s="1"/>
  <c r="AQ94" i="1" s="1"/>
  <c r="M96" i="1"/>
  <c r="AP96" i="1" s="1"/>
  <c r="AQ96" i="1" s="1"/>
  <c r="M103" i="1"/>
  <c r="AP103" i="1" s="1"/>
  <c r="AQ103" i="1" s="1"/>
  <c r="M110" i="1"/>
  <c r="AP110" i="1" s="1"/>
  <c r="AQ110" i="1" s="1"/>
  <c r="M112" i="1"/>
  <c r="AP112" i="1" s="1"/>
  <c r="AQ112" i="1" s="1"/>
  <c r="M119" i="1"/>
  <c r="AP119" i="1" s="1"/>
  <c r="AQ119" i="1" s="1"/>
  <c r="M126" i="1"/>
  <c r="AP126" i="1" s="1"/>
  <c r="AQ126" i="1" s="1"/>
  <c r="M128" i="1"/>
  <c r="AP128" i="1" s="1"/>
  <c r="AQ128" i="1" s="1"/>
  <c r="M135" i="1"/>
  <c r="AP135" i="1" s="1"/>
  <c r="AQ135" i="1" s="1"/>
  <c r="M142" i="1"/>
  <c r="AP142" i="1" s="1"/>
  <c r="AQ142" i="1" s="1"/>
  <c r="M144" i="1"/>
  <c r="AP144" i="1" s="1"/>
  <c r="AQ144" i="1" s="1"/>
  <c r="M151" i="1"/>
  <c r="AP151" i="1" s="1"/>
  <c r="AQ151" i="1" s="1"/>
  <c r="M158" i="1"/>
  <c r="AP158" i="1" s="1"/>
  <c r="AQ158" i="1" s="1"/>
  <c r="M160" i="1"/>
  <c r="AP160" i="1" s="1"/>
  <c r="AQ160" i="1" s="1"/>
  <c r="M167" i="1"/>
  <c r="AP167" i="1" s="1"/>
  <c r="AQ167" i="1" s="1"/>
  <c r="M174" i="1"/>
  <c r="AP174" i="1" s="1"/>
  <c r="AQ174" i="1" s="1"/>
  <c r="M176" i="1"/>
  <c r="AP176" i="1" s="1"/>
  <c r="AQ176" i="1" s="1"/>
  <c r="M183" i="1"/>
  <c r="AP183" i="1" s="1"/>
  <c r="AQ183" i="1" s="1"/>
  <c r="M190" i="1"/>
  <c r="AP190" i="1" s="1"/>
  <c r="AQ190" i="1" s="1"/>
  <c r="M192" i="1"/>
  <c r="AP192" i="1" s="1"/>
  <c r="AQ192" i="1" s="1"/>
  <c r="M199" i="1"/>
  <c r="AP199" i="1" s="1"/>
  <c r="AQ199" i="1" s="1"/>
  <c r="M208" i="1"/>
  <c r="AP208" i="1" s="1"/>
  <c r="AQ208" i="1" s="1"/>
  <c r="M210" i="1"/>
  <c r="AP210" i="1" s="1"/>
  <c r="AQ210" i="1" s="1"/>
  <c r="M217" i="1"/>
  <c r="AP217" i="1" s="1"/>
  <c r="AQ217" i="1" s="1"/>
  <c r="M224" i="1"/>
  <c r="AP224" i="1" s="1"/>
  <c r="AQ224" i="1" s="1"/>
  <c r="M226" i="1"/>
  <c r="AP226" i="1" s="1"/>
  <c r="AQ226" i="1" s="1"/>
  <c r="M233" i="1"/>
  <c r="AP233" i="1" s="1"/>
  <c r="AQ233" i="1" s="1"/>
  <c r="M240" i="1"/>
  <c r="AP240" i="1" s="1"/>
  <c r="AQ240" i="1" s="1"/>
  <c r="M242" i="1"/>
  <c r="AP242" i="1" s="1"/>
  <c r="AQ242" i="1" s="1"/>
  <c r="M250" i="1"/>
  <c r="AP250" i="1" s="1"/>
  <c r="AQ250" i="1" s="1"/>
  <c r="M257" i="1"/>
  <c r="AP257" i="1" s="1"/>
  <c r="AQ257" i="1" s="1"/>
  <c r="M259" i="1"/>
  <c r="AP259" i="1" s="1"/>
  <c r="AQ259" i="1" s="1"/>
  <c r="M274" i="1"/>
  <c r="AP274" i="1" s="1"/>
  <c r="AQ274" i="1" s="1"/>
  <c r="M290" i="1"/>
  <c r="AP290" i="1" s="1"/>
  <c r="AQ290" i="1" s="1"/>
  <c r="M307" i="1"/>
  <c r="AP307" i="1" s="1"/>
  <c r="AQ307" i="1" s="1"/>
  <c r="M323" i="1"/>
  <c r="AP323" i="1" s="1"/>
  <c r="AQ323" i="1" s="1"/>
  <c r="M339" i="1"/>
  <c r="AP339" i="1" s="1"/>
  <c r="AQ339" i="1" s="1"/>
  <c r="M355" i="1"/>
  <c r="AP355" i="1" s="1"/>
  <c r="AQ355" i="1" s="1"/>
  <c r="M371" i="1"/>
  <c r="AP371" i="1" s="1"/>
  <c r="AQ371" i="1" s="1"/>
  <c r="M387" i="1"/>
  <c r="AP387" i="1" s="1"/>
  <c r="AQ387" i="1" s="1"/>
  <c r="M403" i="1"/>
  <c r="AP403" i="1" s="1"/>
  <c r="AQ403" i="1" s="1"/>
  <c r="M419" i="1"/>
  <c r="AP419" i="1" s="1"/>
  <c r="AQ419" i="1" s="1"/>
  <c r="M435" i="1"/>
  <c r="AP435" i="1" s="1"/>
  <c r="AQ435" i="1" s="1"/>
  <c r="M451" i="1"/>
  <c r="AP451" i="1" s="1"/>
  <c r="AQ451" i="1" s="1"/>
  <c r="M467" i="1"/>
  <c r="AP467" i="1" s="1"/>
  <c r="AQ467" i="1" s="1"/>
  <c r="M484" i="1"/>
  <c r="AP484" i="1" s="1"/>
  <c r="AQ484" i="1" s="1"/>
  <c r="M500" i="1"/>
  <c r="AP500" i="1" s="1"/>
  <c r="AQ500" i="1" s="1"/>
  <c r="M528" i="1"/>
  <c r="AP528" i="1" s="1"/>
  <c r="AQ528" i="1" s="1"/>
  <c r="M544" i="1"/>
  <c r="AP544" i="1" s="1"/>
  <c r="AQ544" i="1" s="1"/>
  <c r="M560" i="1"/>
  <c r="AP560" i="1" s="1"/>
  <c r="AQ560" i="1" s="1"/>
  <c r="M576" i="1"/>
  <c r="AP576" i="1" s="1"/>
  <c r="AQ576" i="1" s="1"/>
  <c r="M592" i="1"/>
  <c r="AP592" i="1" s="1"/>
  <c r="AQ592" i="1" s="1"/>
  <c r="M608" i="1"/>
  <c r="AP608" i="1" s="1"/>
  <c r="AQ608" i="1" s="1"/>
  <c r="M627" i="1"/>
  <c r="AP627" i="1" s="1"/>
  <c r="AQ627" i="1" s="1"/>
  <c r="M644" i="1"/>
  <c r="AP644" i="1" s="1"/>
  <c r="AQ644" i="1" s="1"/>
  <c r="M661" i="1"/>
  <c r="AP661" i="1" s="1"/>
  <c r="AQ661" i="1" s="1"/>
  <c r="M678" i="1"/>
  <c r="AP678" i="1" s="1"/>
  <c r="AQ678" i="1" s="1"/>
  <c r="M697" i="1"/>
  <c r="AP697" i="1" s="1"/>
  <c r="AQ697" i="1" s="1"/>
  <c r="M714" i="1"/>
  <c r="AP714" i="1" s="1"/>
  <c r="AQ714" i="1" s="1"/>
  <c r="M732" i="1"/>
  <c r="AP732" i="1" s="1"/>
  <c r="AQ732" i="1" s="1"/>
  <c r="M748" i="1"/>
  <c r="AP748" i="1" s="1"/>
  <c r="AQ748" i="1" s="1"/>
  <c r="M764" i="1"/>
  <c r="AP764" i="1" s="1"/>
  <c r="AQ764" i="1" s="1"/>
  <c r="M780" i="1"/>
  <c r="AP780" i="1" s="1"/>
  <c r="AQ780" i="1" s="1"/>
  <c r="N10" i="1"/>
  <c r="N14" i="1"/>
  <c r="N30" i="1"/>
  <c r="N49" i="1"/>
  <c r="N65" i="1"/>
  <c r="N82" i="1"/>
  <c r="N100" i="1"/>
  <c r="N116" i="1"/>
  <c r="N132" i="1"/>
  <c r="N148" i="1"/>
  <c r="N164" i="1"/>
  <c r="N180" i="1"/>
  <c r="N196" i="1"/>
  <c r="N214" i="1"/>
  <c r="N230" i="1"/>
  <c r="N247" i="1"/>
  <c r="N263" i="1"/>
  <c r="N267" i="1"/>
  <c r="N271" i="1"/>
  <c r="N275" i="1"/>
  <c r="N279" i="1"/>
  <c r="N283" i="1"/>
  <c r="N287" i="1"/>
  <c r="N291" i="1"/>
  <c r="N295" i="1"/>
  <c r="N299" i="1"/>
  <c r="N303" i="1"/>
  <c r="N308" i="1"/>
  <c r="N312" i="1"/>
  <c r="N316" i="1"/>
  <c r="N320" i="1"/>
  <c r="N324" i="1"/>
  <c r="N328" i="1"/>
  <c r="N332" i="1"/>
  <c r="N336" i="1"/>
  <c r="N340" i="1"/>
  <c r="N344" i="1"/>
  <c r="N348" i="1"/>
  <c r="N352" i="1"/>
  <c r="N356" i="1"/>
  <c r="N360" i="1"/>
  <c r="N364" i="1"/>
  <c r="N368" i="1"/>
  <c r="N372" i="1"/>
  <c r="N376" i="1"/>
  <c r="N380" i="1"/>
  <c r="N384" i="1"/>
  <c r="N388" i="1"/>
  <c r="N392" i="1"/>
  <c r="N396" i="1"/>
  <c r="N400" i="1"/>
  <c r="N404" i="1"/>
  <c r="N408" i="1"/>
  <c r="N412" i="1"/>
  <c r="N416" i="1"/>
  <c r="N420" i="1"/>
  <c r="N424" i="1"/>
  <c r="N428" i="1"/>
  <c r="N432" i="1"/>
  <c r="N436" i="1"/>
  <c r="N440" i="1"/>
  <c r="N444" i="1"/>
  <c r="N448" i="1"/>
  <c r="N452" i="1"/>
  <c r="N456" i="1"/>
  <c r="N460" i="1"/>
  <c r="N464" i="1"/>
  <c r="N481" i="1"/>
  <c r="N497" i="1"/>
  <c r="N513" i="1"/>
  <c r="N524" i="1"/>
  <c r="N529" i="1"/>
  <c r="N540" i="1"/>
  <c r="N545" i="1"/>
  <c r="N556" i="1"/>
  <c r="N561" i="1"/>
  <c r="N572" i="1"/>
  <c r="N577" i="1"/>
  <c r="N588" i="1"/>
  <c r="N593" i="1"/>
  <c r="N604" i="1"/>
  <c r="N610" i="1"/>
  <c r="N623" i="1"/>
  <c r="N628" i="1"/>
  <c r="N640" i="1"/>
  <c r="N645" i="1"/>
  <c r="N657" i="1"/>
  <c r="N662" i="1"/>
  <c r="N674" i="1"/>
  <c r="N679" i="1"/>
  <c r="N693" i="1"/>
  <c r="N698" i="1"/>
  <c r="N709" i="1"/>
  <c r="N715" i="1"/>
  <c r="N727" i="1"/>
  <c r="N733" i="1"/>
  <c r="N744" i="1"/>
  <c r="N749" i="1"/>
  <c r="N760" i="1"/>
  <c r="N768" i="1"/>
  <c r="N776" i="1"/>
  <c r="N784" i="1"/>
  <c r="M595" i="1"/>
  <c r="AP595" i="1" s="1"/>
  <c r="AQ595" i="1" s="1"/>
  <c r="N595" i="1"/>
  <c r="M612" i="1"/>
  <c r="AP612" i="1" s="1"/>
  <c r="AQ612" i="1" s="1"/>
  <c r="N612" i="1"/>
  <c r="M631" i="1"/>
  <c r="AP631" i="1" s="1"/>
  <c r="AQ631" i="1" s="1"/>
  <c r="N631" i="1"/>
  <c r="M647" i="1"/>
  <c r="AP647" i="1" s="1"/>
  <c r="AQ647" i="1" s="1"/>
  <c r="N647" i="1"/>
  <c r="M664" i="1"/>
  <c r="AP664" i="1" s="1"/>
  <c r="AQ664" i="1" s="1"/>
  <c r="N664" i="1"/>
  <c r="M681" i="1"/>
  <c r="AP681" i="1" s="1"/>
  <c r="AQ681" i="1" s="1"/>
  <c r="N681" i="1"/>
  <c r="M700" i="1"/>
  <c r="AP700" i="1" s="1"/>
  <c r="AQ700" i="1" s="1"/>
  <c r="N700" i="1"/>
  <c r="M718" i="1"/>
  <c r="AP718" i="1" s="1"/>
  <c r="AQ718" i="1" s="1"/>
  <c r="N718" i="1"/>
  <c r="M735" i="1"/>
  <c r="AP735" i="1" s="1"/>
  <c r="AQ735" i="1" s="1"/>
  <c r="N735" i="1"/>
  <c r="M751" i="1"/>
  <c r="AP751" i="1" s="1"/>
  <c r="AQ751" i="1" s="1"/>
  <c r="N751" i="1"/>
  <c r="M767" i="1"/>
  <c r="AP767" i="1" s="1"/>
  <c r="AQ767" i="1" s="1"/>
  <c r="N767" i="1"/>
  <c r="M773" i="1"/>
  <c r="AP773" i="1" s="1"/>
  <c r="AQ773" i="1" s="1"/>
  <c r="N773" i="1"/>
  <c r="M783" i="1"/>
  <c r="AP783" i="1" s="1"/>
  <c r="AQ783" i="1" s="1"/>
  <c r="N783" i="1"/>
  <c r="M789" i="1"/>
  <c r="AP789" i="1" s="1"/>
  <c r="M796" i="1"/>
  <c r="AP796" i="1" s="1"/>
  <c r="N796" i="1"/>
  <c r="M800" i="1"/>
  <c r="AP800" i="1" s="1"/>
  <c r="M817" i="1"/>
  <c r="AP817" i="1" s="1"/>
  <c r="N839" i="1"/>
  <c r="M839" i="1"/>
  <c r="AP839" i="1" s="1"/>
  <c r="AQ839" i="1" s="1"/>
  <c r="N871" i="1"/>
  <c r="M871" i="1"/>
  <c r="AP871" i="1" s="1"/>
  <c r="M885" i="1"/>
  <c r="AP885" i="1" s="1"/>
  <c r="N885" i="1"/>
  <c r="N904" i="1"/>
  <c r="M904" i="1"/>
  <c r="AP904" i="1" s="1"/>
  <c r="M918" i="1"/>
  <c r="AP918" i="1" s="1"/>
  <c r="N918" i="1"/>
  <c r="N936" i="1"/>
  <c r="M936" i="1"/>
  <c r="AP936" i="1" s="1"/>
  <c r="M950" i="1"/>
  <c r="AP950" i="1" s="1"/>
  <c r="N950" i="1"/>
  <c r="M968" i="1"/>
  <c r="AP968" i="1" s="1"/>
  <c r="M7" i="1"/>
  <c r="AP7" i="1" s="1"/>
  <c r="AQ7" i="1" s="1"/>
  <c r="M9" i="1"/>
  <c r="AP9" i="1" s="1"/>
  <c r="AQ9" i="1" s="1"/>
  <c r="M12" i="1"/>
  <c r="AP12" i="1" s="1"/>
  <c r="AQ12" i="1" s="1"/>
  <c r="M21" i="1"/>
  <c r="AP21" i="1" s="1"/>
  <c r="AQ21" i="1" s="1"/>
  <c r="M28" i="1"/>
  <c r="AP28" i="1" s="1"/>
  <c r="AQ28" i="1" s="1"/>
  <c r="M37" i="1"/>
  <c r="AP37" i="1" s="1"/>
  <c r="AQ37" i="1" s="1"/>
  <c r="M47" i="1"/>
  <c r="AP47" i="1" s="1"/>
  <c r="AQ47" i="1" s="1"/>
  <c r="M56" i="1"/>
  <c r="AP56" i="1" s="1"/>
  <c r="AQ56" i="1" s="1"/>
  <c r="M63" i="1"/>
  <c r="AP63" i="1" s="1"/>
  <c r="AQ63" i="1" s="1"/>
  <c r="M72" i="1"/>
  <c r="AP72" i="1" s="1"/>
  <c r="AQ72" i="1" s="1"/>
  <c r="M79" i="1"/>
  <c r="AP79" i="1" s="1"/>
  <c r="AQ79" i="1" s="1"/>
  <c r="M90" i="1"/>
  <c r="AP90" i="1" s="1"/>
  <c r="AQ90" i="1" s="1"/>
  <c r="M98" i="1"/>
  <c r="AP98" i="1" s="1"/>
  <c r="AQ98" i="1" s="1"/>
  <c r="M107" i="1"/>
  <c r="AP107" i="1" s="1"/>
  <c r="AQ107" i="1" s="1"/>
  <c r="M114" i="1"/>
  <c r="AP114" i="1" s="1"/>
  <c r="AQ114" i="1" s="1"/>
  <c r="M123" i="1"/>
  <c r="AP123" i="1" s="1"/>
  <c r="AQ123" i="1" s="1"/>
  <c r="M130" i="1"/>
  <c r="AP130" i="1" s="1"/>
  <c r="AQ130" i="1" s="1"/>
  <c r="M139" i="1"/>
  <c r="AP139" i="1" s="1"/>
  <c r="AQ139" i="1" s="1"/>
  <c r="M146" i="1"/>
  <c r="AP146" i="1" s="1"/>
  <c r="AQ146" i="1" s="1"/>
  <c r="M155" i="1"/>
  <c r="AP155" i="1" s="1"/>
  <c r="AQ155" i="1" s="1"/>
  <c r="M162" i="1"/>
  <c r="AP162" i="1" s="1"/>
  <c r="AQ162" i="1" s="1"/>
  <c r="M171" i="1"/>
  <c r="AP171" i="1" s="1"/>
  <c r="AQ171" i="1" s="1"/>
  <c r="M178" i="1"/>
  <c r="AP178" i="1" s="1"/>
  <c r="AQ178" i="1" s="1"/>
  <c r="M187" i="1"/>
  <c r="AP187" i="1" s="1"/>
  <c r="AQ187" i="1" s="1"/>
  <c r="M194" i="1"/>
  <c r="AP194" i="1" s="1"/>
  <c r="AQ194" i="1" s="1"/>
  <c r="M203" i="1"/>
  <c r="AP203" i="1" s="1"/>
  <c r="AQ203" i="1" s="1"/>
  <c r="M212" i="1"/>
  <c r="AP212" i="1" s="1"/>
  <c r="AQ212" i="1" s="1"/>
  <c r="M221" i="1"/>
  <c r="AP221" i="1" s="1"/>
  <c r="AQ221" i="1" s="1"/>
  <c r="M228" i="1"/>
  <c r="AP228" i="1" s="1"/>
  <c r="AQ228" i="1" s="1"/>
  <c r="M237" i="1"/>
  <c r="AP237" i="1" s="1"/>
  <c r="AQ237" i="1" s="1"/>
  <c r="M244" i="1"/>
  <c r="AP244" i="1" s="1"/>
  <c r="AQ244" i="1" s="1"/>
  <c r="M254" i="1"/>
  <c r="AP254" i="1" s="1"/>
  <c r="AQ254" i="1" s="1"/>
  <c r="M261" i="1"/>
  <c r="AP261" i="1" s="1"/>
  <c r="AQ261" i="1" s="1"/>
  <c r="M270" i="1"/>
  <c r="AP270" i="1" s="1"/>
  <c r="AQ270" i="1" s="1"/>
  <c r="M286" i="1"/>
  <c r="AP286" i="1" s="1"/>
  <c r="AQ286" i="1" s="1"/>
  <c r="M302" i="1"/>
  <c r="AP302" i="1" s="1"/>
  <c r="AQ302" i="1" s="1"/>
  <c r="M319" i="1"/>
  <c r="AP319" i="1" s="1"/>
  <c r="AQ319" i="1" s="1"/>
  <c r="M335" i="1"/>
  <c r="AP335" i="1" s="1"/>
  <c r="AQ335" i="1" s="1"/>
  <c r="M351" i="1"/>
  <c r="AP351" i="1" s="1"/>
  <c r="AQ351" i="1" s="1"/>
  <c r="M367" i="1"/>
  <c r="AP367" i="1" s="1"/>
  <c r="AQ367" i="1" s="1"/>
  <c r="M383" i="1"/>
  <c r="AP383" i="1" s="1"/>
  <c r="AQ383" i="1" s="1"/>
  <c r="M399" i="1"/>
  <c r="AP399" i="1" s="1"/>
  <c r="AQ399" i="1" s="1"/>
  <c r="M415" i="1"/>
  <c r="AP415" i="1" s="1"/>
  <c r="AQ415" i="1" s="1"/>
  <c r="M431" i="1"/>
  <c r="AP431" i="1" s="1"/>
  <c r="AQ431" i="1" s="1"/>
  <c r="M447" i="1"/>
  <c r="AP447" i="1" s="1"/>
  <c r="AQ447" i="1" s="1"/>
  <c r="M463" i="1"/>
  <c r="AP463" i="1" s="1"/>
  <c r="AQ463" i="1" s="1"/>
  <c r="M480" i="1"/>
  <c r="AP480" i="1" s="1"/>
  <c r="AQ480" i="1" s="1"/>
  <c r="M496" i="1"/>
  <c r="AP496" i="1" s="1"/>
  <c r="AQ496" i="1" s="1"/>
  <c r="M512" i="1"/>
  <c r="AP512" i="1" s="1"/>
  <c r="AQ512" i="1" s="1"/>
  <c r="M515" i="1"/>
  <c r="AP515" i="1" s="1"/>
  <c r="AQ515" i="1" s="1"/>
  <c r="N375" i="1"/>
  <c r="N391" i="1"/>
  <c r="N407" i="1"/>
  <c r="N423" i="1"/>
  <c r="N439" i="1"/>
  <c r="N455" i="1"/>
  <c r="N468" i="1"/>
  <c r="N485" i="1"/>
  <c r="N501" i="1"/>
  <c r="N517" i="1"/>
  <c r="N533" i="1"/>
  <c r="N549" i="1"/>
  <c r="N565" i="1"/>
  <c r="N581" i="1"/>
  <c r="N597" i="1"/>
  <c r="N614" i="1"/>
  <c r="N633" i="1"/>
  <c r="N649" i="1"/>
  <c r="N667" i="1"/>
  <c r="N683" i="1"/>
  <c r="N702" i="1"/>
  <c r="N720" i="1"/>
  <c r="N737" i="1"/>
  <c r="N753" i="1"/>
  <c r="M591" i="1"/>
  <c r="AP591" i="1" s="1"/>
  <c r="AQ591" i="1" s="1"/>
  <c r="N591" i="1"/>
  <c r="M607" i="1"/>
  <c r="AP607" i="1" s="1"/>
  <c r="AQ607" i="1" s="1"/>
  <c r="N607" i="1"/>
  <c r="M626" i="1"/>
  <c r="AP626" i="1" s="1"/>
  <c r="AQ626" i="1" s="1"/>
  <c r="N626" i="1"/>
  <c r="M643" i="1"/>
  <c r="AP643" i="1" s="1"/>
  <c r="AQ643" i="1" s="1"/>
  <c r="N643" i="1"/>
  <c r="M660" i="1"/>
  <c r="AP660" i="1" s="1"/>
  <c r="AQ660" i="1" s="1"/>
  <c r="N660" i="1"/>
  <c r="M677" i="1"/>
  <c r="AP677" i="1" s="1"/>
  <c r="AQ677" i="1" s="1"/>
  <c r="N677" i="1"/>
  <c r="M696" i="1"/>
  <c r="AP696" i="1" s="1"/>
  <c r="AQ696" i="1" s="1"/>
  <c r="N696" i="1"/>
  <c r="M713" i="1"/>
  <c r="AP713" i="1" s="1"/>
  <c r="AQ713" i="1" s="1"/>
  <c r="N713" i="1"/>
  <c r="M731" i="1"/>
  <c r="AP731" i="1" s="1"/>
  <c r="AQ731" i="1" s="1"/>
  <c r="N731" i="1"/>
  <c r="M747" i="1"/>
  <c r="AP747" i="1" s="1"/>
  <c r="AQ747" i="1" s="1"/>
  <c r="N747" i="1"/>
  <c r="M763" i="1"/>
  <c r="AP763" i="1" s="1"/>
  <c r="AQ763" i="1" s="1"/>
  <c r="N763" i="1"/>
  <c r="M769" i="1"/>
  <c r="AP769" i="1" s="1"/>
  <c r="AQ769" i="1" s="1"/>
  <c r="N769" i="1"/>
  <c r="M779" i="1"/>
  <c r="AP779" i="1" s="1"/>
  <c r="AQ779" i="1" s="1"/>
  <c r="N779" i="1"/>
  <c r="M785" i="1"/>
  <c r="AP785" i="1" s="1"/>
  <c r="AQ785" i="1" s="1"/>
  <c r="N785" i="1"/>
  <c r="M799" i="1"/>
  <c r="AP799" i="1" s="1"/>
  <c r="N799" i="1"/>
  <c r="M842" i="1"/>
  <c r="AP842" i="1" s="1"/>
  <c r="M880" i="1"/>
  <c r="AP880" i="1" s="1"/>
  <c r="N880" i="1"/>
  <c r="M890" i="1"/>
  <c r="AP890" i="1" s="1"/>
  <c r="M913" i="1"/>
  <c r="AP913" i="1" s="1"/>
  <c r="N913" i="1"/>
  <c r="M923" i="1"/>
  <c r="AP923" i="1" s="1"/>
  <c r="M945" i="1"/>
  <c r="AP945" i="1" s="1"/>
  <c r="N945" i="1"/>
  <c r="M955" i="1"/>
  <c r="AP955" i="1" s="1"/>
  <c r="N472" i="1"/>
  <c r="N489" i="1"/>
  <c r="N505" i="1"/>
  <c r="N516" i="1"/>
  <c r="N521" i="1"/>
  <c r="N532" i="1"/>
  <c r="N537" i="1"/>
  <c r="N548" i="1"/>
  <c r="N553" i="1"/>
  <c r="N564" i="1"/>
  <c r="N569" i="1"/>
  <c r="N580" i="1"/>
  <c r="N585" i="1"/>
  <c r="N596" i="1"/>
  <c r="N601" i="1"/>
  <c r="N613" i="1"/>
  <c r="N620" i="1"/>
  <c r="N632" i="1"/>
  <c r="N637" i="1"/>
  <c r="N648" i="1"/>
  <c r="N654" i="1"/>
  <c r="N666" i="1"/>
  <c r="N671" i="1"/>
  <c r="N682" i="1"/>
  <c r="N690" i="1"/>
  <c r="N701" i="1"/>
  <c r="N706" i="1"/>
  <c r="N719" i="1"/>
  <c r="N724" i="1"/>
  <c r="N736" i="1"/>
  <c r="N741" i="1"/>
  <c r="N752" i="1"/>
  <c r="N757" i="1"/>
  <c r="M587" i="1"/>
  <c r="AP587" i="1" s="1"/>
  <c r="AQ587" i="1" s="1"/>
  <c r="N587" i="1"/>
  <c r="M603" i="1"/>
  <c r="AP603" i="1" s="1"/>
  <c r="AQ603" i="1" s="1"/>
  <c r="N603" i="1"/>
  <c r="M622" i="1"/>
  <c r="AP622" i="1" s="1"/>
  <c r="AQ622" i="1" s="1"/>
  <c r="N622" i="1"/>
  <c r="M639" i="1"/>
  <c r="AP639" i="1" s="1"/>
  <c r="AQ639" i="1" s="1"/>
  <c r="N639" i="1"/>
  <c r="M656" i="1"/>
  <c r="AP656" i="1" s="1"/>
  <c r="AQ656" i="1" s="1"/>
  <c r="N656" i="1"/>
  <c r="M673" i="1"/>
  <c r="AP673" i="1" s="1"/>
  <c r="AQ673" i="1" s="1"/>
  <c r="N673" i="1"/>
  <c r="M692" i="1"/>
  <c r="AP692" i="1" s="1"/>
  <c r="AQ692" i="1" s="1"/>
  <c r="N692" i="1"/>
  <c r="M708" i="1"/>
  <c r="AP708" i="1" s="1"/>
  <c r="AQ708" i="1" s="1"/>
  <c r="N708" i="1"/>
  <c r="M726" i="1"/>
  <c r="AP726" i="1" s="1"/>
  <c r="AQ726" i="1" s="1"/>
  <c r="N726" i="1"/>
  <c r="M743" i="1"/>
  <c r="AP743" i="1" s="1"/>
  <c r="AQ743" i="1" s="1"/>
  <c r="N743" i="1"/>
  <c r="M759" i="1"/>
  <c r="AP759" i="1" s="1"/>
  <c r="AQ759" i="1" s="1"/>
  <c r="N759" i="1"/>
  <c r="M765" i="1"/>
  <c r="AP765" i="1" s="1"/>
  <c r="AQ765" i="1" s="1"/>
  <c r="N765" i="1"/>
  <c r="M775" i="1"/>
  <c r="AP775" i="1" s="1"/>
  <c r="AQ775" i="1" s="1"/>
  <c r="N775" i="1"/>
  <c r="M781" i="1"/>
  <c r="AP781" i="1" s="1"/>
  <c r="AQ781" i="1" s="1"/>
  <c r="N781" i="1"/>
  <c r="M798" i="1"/>
  <c r="AP798" i="1" s="1"/>
  <c r="M869" i="1"/>
  <c r="AP869" i="1" s="1"/>
  <c r="N869" i="1"/>
  <c r="N887" i="1"/>
  <c r="M887" i="1"/>
  <c r="AP887" i="1" s="1"/>
  <c r="M902" i="1"/>
  <c r="AP902" i="1" s="1"/>
  <c r="N902" i="1"/>
  <c r="N920" i="1"/>
  <c r="M920" i="1"/>
  <c r="AP920" i="1" s="1"/>
  <c r="M934" i="1"/>
  <c r="AP934" i="1" s="1"/>
  <c r="N934" i="1"/>
  <c r="N952" i="1"/>
  <c r="M952" i="1"/>
  <c r="AP952" i="1" s="1"/>
  <c r="M959" i="1"/>
  <c r="AP959" i="1" s="1"/>
  <c r="M471" i="1"/>
  <c r="AP471" i="1" s="1"/>
  <c r="AQ471" i="1" s="1"/>
  <c r="M488" i="1"/>
  <c r="AP488" i="1" s="1"/>
  <c r="AQ488" i="1" s="1"/>
  <c r="M504" i="1"/>
  <c r="AP504" i="1" s="1"/>
  <c r="AQ504" i="1" s="1"/>
  <c r="N11" i="1"/>
  <c r="N15" i="1"/>
  <c r="N19" i="1"/>
  <c r="N23" i="1"/>
  <c r="N27" i="1"/>
  <c r="N31" i="1"/>
  <c r="N35" i="1"/>
  <c r="N42" i="1"/>
  <c r="N46" i="1"/>
  <c r="N50" i="1"/>
  <c r="N54" i="1"/>
  <c r="N58" i="1"/>
  <c r="N62" i="1"/>
  <c r="N66" i="1"/>
  <c r="N70" i="1"/>
  <c r="N74" i="1"/>
  <c r="N78" i="1"/>
  <c r="N83" i="1"/>
  <c r="N88" i="1"/>
  <c r="N93" i="1"/>
  <c r="N97" i="1"/>
  <c r="N101" i="1"/>
  <c r="N105" i="1"/>
  <c r="N109" i="1"/>
  <c r="N113" i="1"/>
  <c r="N117" i="1"/>
  <c r="N121" i="1"/>
  <c r="N125" i="1"/>
  <c r="N129" i="1"/>
  <c r="N133" i="1"/>
  <c r="N137" i="1"/>
  <c r="N141" i="1"/>
  <c r="N145" i="1"/>
  <c r="N149" i="1"/>
  <c r="N153" i="1"/>
  <c r="N157" i="1"/>
  <c r="N161" i="1"/>
  <c r="N165" i="1"/>
  <c r="N169" i="1"/>
  <c r="N173" i="1"/>
  <c r="N177" i="1"/>
  <c r="N181" i="1"/>
  <c r="N185" i="1"/>
  <c r="N189" i="1"/>
  <c r="N193" i="1"/>
  <c r="N197" i="1"/>
  <c r="N201" i="1"/>
  <c r="N205" i="1"/>
  <c r="N211" i="1"/>
  <c r="N215" i="1"/>
  <c r="N219" i="1"/>
  <c r="N223" i="1"/>
  <c r="N227" i="1"/>
  <c r="N231" i="1"/>
  <c r="N235" i="1"/>
  <c r="N239" i="1"/>
  <c r="N243" i="1"/>
  <c r="N248" i="1"/>
  <c r="N252" i="1"/>
  <c r="N256" i="1"/>
  <c r="N260" i="1"/>
  <c r="N477" i="1"/>
  <c r="N493" i="1"/>
  <c r="N509" i="1"/>
  <c r="N525" i="1"/>
  <c r="N541" i="1"/>
  <c r="N557" i="1"/>
  <c r="N573" i="1"/>
  <c r="N589" i="1"/>
  <c r="N605" i="1"/>
  <c r="N624" i="1"/>
  <c r="N641" i="1"/>
  <c r="N658" i="1"/>
  <c r="N675" i="1"/>
  <c r="N694" i="1"/>
  <c r="N710" i="1"/>
  <c r="N728" i="1"/>
  <c r="N745" i="1"/>
  <c r="N810" i="1"/>
  <c r="N873" i="1"/>
  <c r="M877" i="1"/>
  <c r="AP877" i="1" s="1"/>
  <c r="M879" i="1"/>
  <c r="AP879" i="1" s="1"/>
  <c r="N889" i="1"/>
  <c r="M894" i="1"/>
  <c r="AP894" i="1" s="1"/>
  <c r="M896" i="1"/>
  <c r="AP896" i="1" s="1"/>
  <c r="N906" i="1"/>
  <c r="M910" i="1"/>
  <c r="AP910" i="1" s="1"/>
  <c r="M912" i="1"/>
  <c r="AP912" i="1" s="1"/>
  <c r="N922" i="1"/>
  <c r="M926" i="1"/>
  <c r="AP926" i="1" s="1"/>
  <c r="M928" i="1"/>
  <c r="AP928" i="1" s="1"/>
  <c r="N938" i="1"/>
  <c r="M942" i="1"/>
  <c r="AP942" i="1" s="1"/>
  <c r="M944" i="1"/>
  <c r="AP944" i="1" s="1"/>
  <c r="N954" i="1"/>
  <c r="N958" i="1"/>
  <c r="N962" i="1"/>
  <c r="N966" i="1"/>
  <c r="N971" i="1"/>
  <c r="N976" i="1"/>
  <c r="N984" i="1"/>
  <c r="N988" i="1"/>
  <c r="N992" i="1"/>
  <c r="N996" i="1"/>
  <c r="N1005" i="1"/>
  <c r="N1009" i="1"/>
  <c r="N1019" i="1"/>
  <c r="N1025" i="1"/>
  <c r="N1029" i="1"/>
  <c r="N1033" i="1"/>
  <c r="N1037" i="1"/>
  <c r="N1042" i="1"/>
  <c r="N1046" i="1"/>
  <c r="N1050" i="1"/>
  <c r="N1054" i="1"/>
  <c r="N1078" i="1"/>
  <c r="N1082" i="1"/>
  <c r="N1086" i="1"/>
  <c r="N1090" i="1"/>
  <c r="N1094" i="1"/>
  <c r="N1098" i="1"/>
  <c r="N1103" i="1"/>
  <c r="N1107" i="1"/>
  <c r="N1111" i="1"/>
  <c r="N1115" i="1"/>
  <c r="N1119" i="1"/>
  <c r="N1125" i="1"/>
  <c r="N1153" i="1"/>
  <c r="N1158" i="1"/>
  <c r="N1165" i="1"/>
  <c r="N1169" i="1"/>
  <c r="N1173" i="1"/>
  <c r="N1177" i="1"/>
  <c r="N1181" i="1"/>
  <c r="N1185" i="1"/>
  <c r="N1189" i="1"/>
  <c r="N1193" i="1"/>
  <c r="N1197" i="1"/>
  <c r="N1201" i="1"/>
  <c r="N1205" i="1"/>
  <c r="N1209" i="1"/>
  <c r="N1213" i="1"/>
  <c r="N1217" i="1"/>
  <c r="N1221" i="1"/>
  <c r="N1225" i="1"/>
  <c r="N1229" i="1"/>
  <c r="N1233" i="1"/>
  <c r="N1237" i="1"/>
  <c r="N1241" i="1"/>
  <c r="N1248" i="1"/>
  <c r="N1252" i="1"/>
  <c r="N1255" i="1"/>
  <c r="N874" i="1"/>
  <c r="N878" i="1"/>
  <c r="N886" i="1"/>
  <c r="N890" i="1"/>
  <c r="N895" i="1"/>
  <c r="N899" i="1"/>
  <c r="N907" i="1"/>
  <c r="N911" i="1"/>
  <c r="N915" i="1"/>
  <c r="N919" i="1"/>
  <c r="N923" i="1"/>
  <c r="N927" i="1"/>
  <c r="N931" i="1"/>
  <c r="N935" i="1"/>
  <c r="N939" i="1"/>
  <c r="N943" i="1"/>
  <c r="N947" i="1"/>
  <c r="N951" i="1"/>
  <c r="N955" i="1"/>
  <c r="N959" i="1"/>
  <c r="N963" i="1"/>
  <c r="N968" i="1"/>
  <c r="N972" i="1"/>
  <c r="N980" i="1"/>
  <c r="N985" i="1"/>
  <c r="N989" i="1"/>
  <c r="N993" i="1"/>
  <c r="N999" i="1"/>
  <c r="N1006" i="1"/>
  <c r="N1013" i="1"/>
  <c r="N1021" i="1"/>
  <c r="N1026" i="1"/>
  <c r="N1030" i="1"/>
  <c r="N1034" i="1"/>
  <c r="N1038" i="1"/>
  <c r="N1043" i="1"/>
  <c r="N1047" i="1"/>
  <c r="N1051" i="1"/>
  <c r="N1055" i="1"/>
  <c r="N1079" i="1"/>
  <c r="N1083" i="1"/>
  <c r="N1087" i="1"/>
  <c r="N1091" i="1"/>
  <c r="N1095" i="1"/>
  <c r="N1099" i="1"/>
  <c r="N1104" i="1"/>
  <c r="N1108" i="1"/>
  <c r="N1112" i="1"/>
  <c r="N1116" i="1"/>
  <c r="N1121" i="1"/>
  <c r="N1126" i="1"/>
  <c r="N1154" i="1"/>
  <c r="N1160" i="1"/>
  <c r="N1166" i="1"/>
  <c r="N1170" i="1"/>
  <c r="N1174" i="1"/>
  <c r="N1178" i="1"/>
  <c r="N1182" i="1"/>
  <c r="N1186" i="1"/>
  <c r="N1190" i="1"/>
  <c r="N1194" i="1"/>
  <c r="N1198" i="1"/>
  <c r="N1202" i="1"/>
  <c r="N1206" i="1"/>
  <c r="N1210" i="1"/>
  <c r="N1214" i="1"/>
  <c r="N1218" i="1"/>
  <c r="N1222" i="1"/>
  <c r="N1226" i="1"/>
  <c r="N1230" i="1"/>
  <c r="N1234" i="1"/>
  <c r="N1238" i="1"/>
  <c r="N1242" i="1"/>
  <c r="N1249" i="1"/>
  <c r="N1253" i="1"/>
  <c r="N851" i="1"/>
  <c r="N870" i="1"/>
  <c r="N882" i="1"/>
  <c r="N903" i="1"/>
  <c r="N848" i="1"/>
  <c r="N844" i="1"/>
  <c r="N840" i="1"/>
  <c r="N835" i="1"/>
  <c r="M834" i="1"/>
  <c r="AP834" i="1" s="1"/>
  <c r="N802" i="1"/>
  <c r="M832" i="1"/>
  <c r="AP832" i="1" s="1"/>
  <c r="N833" i="1"/>
  <c r="M836" i="1"/>
  <c r="AP836" i="1" s="1"/>
  <c r="N837" i="1"/>
  <c r="M841" i="1"/>
  <c r="AP841" i="1" s="1"/>
  <c r="N842" i="1"/>
  <c r="M845" i="1"/>
  <c r="AP845" i="1" s="1"/>
  <c r="N846" i="1"/>
  <c r="M849" i="1"/>
  <c r="AP849" i="1" s="1"/>
  <c r="N850" i="1"/>
  <c r="N818" i="1"/>
  <c r="M816" i="1"/>
  <c r="AP816" i="1" s="1"/>
  <c r="N815" i="1"/>
  <c r="N813" i="1"/>
  <c r="N817" i="1"/>
  <c r="M811" i="1"/>
  <c r="AP811" i="1" s="1"/>
  <c r="M806" i="1"/>
  <c r="AP806" i="1" s="1"/>
  <c r="N797" i="1"/>
  <c r="N790" i="1"/>
  <c r="N789" i="1"/>
  <c r="M519" i="1"/>
  <c r="AP519" i="1" s="1"/>
  <c r="AQ519" i="1" s="1"/>
  <c r="M535" i="1"/>
  <c r="AP535" i="1" s="1"/>
  <c r="AQ535" i="1" s="1"/>
  <c r="M551" i="1"/>
  <c r="AP551" i="1" s="1"/>
  <c r="AQ551" i="1" s="1"/>
  <c r="M567" i="1"/>
  <c r="AP567" i="1" s="1"/>
  <c r="AQ567" i="1" s="1"/>
  <c r="M583" i="1"/>
  <c r="AP583" i="1" s="1"/>
  <c r="AQ583" i="1" s="1"/>
  <c r="M264" i="1"/>
  <c r="AP264" i="1" s="1"/>
  <c r="AQ264" i="1" s="1"/>
  <c r="M268" i="1"/>
  <c r="AP268" i="1" s="1"/>
  <c r="AQ268" i="1" s="1"/>
  <c r="M272" i="1"/>
  <c r="AP272" i="1" s="1"/>
  <c r="AQ272" i="1" s="1"/>
  <c r="M276" i="1"/>
  <c r="AP276" i="1" s="1"/>
  <c r="AQ276" i="1" s="1"/>
  <c r="M280" i="1"/>
  <c r="AP280" i="1" s="1"/>
  <c r="AQ280" i="1" s="1"/>
  <c r="M284" i="1"/>
  <c r="AP284" i="1" s="1"/>
  <c r="AQ284" i="1" s="1"/>
  <c r="M288" i="1"/>
  <c r="AP288" i="1" s="1"/>
  <c r="AQ288" i="1" s="1"/>
  <c r="M292" i="1"/>
  <c r="AP292" i="1" s="1"/>
  <c r="AQ292" i="1" s="1"/>
  <c r="M296" i="1"/>
  <c r="AP296" i="1" s="1"/>
  <c r="AQ296" i="1" s="1"/>
  <c r="M300" i="1"/>
  <c r="AP300" i="1" s="1"/>
  <c r="AQ300" i="1" s="1"/>
  <c r="M304" i="1"/>
  <c r="AP304" i="1" s="1"/>
  <c r="AQ304" i="1" s="1"/>
  <c r="M309" i="1"/>
  <c r="AP309" i="1" s="1"/>
  <c r="AQ309" i="1" s="1"/>
  <c r="M313" i="1"/>
  <c r="AP313" i="1" s="1"/>
  <c r="AQ313" i="1" s="1"/>
  <c r="M317" i="1"/>
  <c r="AP317" i="1" s="1"/>
  <c r="AQ317" i="1" s="1"/>
  <c r="M321" i="1"/>
  <c r="AP321" i="1" s="1"/>
  <c r="AQ321" i="1" s="1"/>
  <c r="M325" i="1"/>
  <c r="AP325" i="1" s="1"/>
  <c r="AQ325" i="1" s="1"/>
  <c r="M329" i="1"/>
  <c r="AP329" i="1" s="1"/>
  <c r="AQ329" i="1" s="1"/>
  <c r="M333" i="1"/>
  <c r="AP333" i="1" s="1"/>
  <c r="AQ333" i="1" s="1"/>
  <c r="M337" i="1"/>
  <c r="AP337" i="1" s="1"/>
  <c r="AQ337" i="1" s="1"/>
  <c r="M341" i="1"/>
  <c r="AP341" i="1" s="1"/>
  <c r="AQ341" i="1" s="1"/>
  <c r="M345" i="1"/>
  <c r="AP345" i="1" s="1"/>
  <c r="AQ345" i="1" s="1"/>
  <c r="M349" i="1"/>
  <c r="AP349" i="1" s="1"/>
  <c r="AQ349" i="1" s="1"/>
  <c r="M353" i="1"/>
  <c r="AP353" i="1" s="1"/>
  <c r="AQ353" i="1" s="1"/>
  <c r="M357" i="1"/>
  <c r="AP357" i="1" s="1"/>
  <c r="AQ357" i="1" s="1"/>
  <c r="M361" i="1"/>
  <c r="AP361" i="1" s="1"/>
  <c r="AQ361" i="1" s="1"/>
  <c r="M365" i="1"/>
  <c r="AP365" i="1" s="1"/>
  <c r="AQ365" i="1" s="1"/>
  <c r="M369" i="1"/>
  <c r="AP369" i="1" s="1"/>
  <c r="AQ369" i="1" s="1"/>
  <c r="M373" i="1"/>
  <c r="AP373" i="1" s="1"/>
  <c r="AQ373" i="1" s="1"/>
  <c r="M377" i="1"/>
  <c r="AP377" i="1" s="1"/>
  <c r="AQ377" i="1" s="1"/>
  <c r="M381" i="1"/>
  <c r="AP381" i="1" s="1"/>
  <c r="AQ381" i="1" s="1"/>
  <c r="M385" i="1"/>
  <c r="AP385" i="1" s="1"/>
  <c r="AQ385" i="1" s="1"/>
  <c r="M389" i="1"/>
  <c r="AP389" i="1" s="1"/>
  <c r="AQ389" i="1" s="1"/>
  <c r="M393" i="1"/>
  <c r="AP393" i="1" s="1"/>
  <c r="AQ393" i="1" s="1"/>
  <c r="M397" i="1"/>
  <c r="AP397" i="1" s="1"/>
  <c r="AQ397" i="1" s="1"/>
  <c r="M401" i="1"/>
  <c r="AP401" i="1" s="1"/>
  <c r="AQ401" i="1" s="1"/>
  <c r="M405" i="1"/>
  <c r="AP405" i="1" s="1"/>
  <c r="AQ405" i="1" s="1"/>
  <c r="M409" i="1"/>
  <c r="AP409" i="1" s="1"/>
  <c r="AQ409" i="1" s="1"/>
  <c r="M413" i="1"/>
  <c r="AP413" i="1" s="1"/>
  <c r="AQ413" i="1" s="1"/>
  <c r="M417" i="1"/>
  <c r="AP417" i="1" s="1"/>
  <c r="AQ417" i="1" s="1"/>
  <c r="M421" i="1"/>
  <c r="AP421" i="1" s="1"/>
  <c r="AQ421" i="1" s="1"/>
  <c r="M425" i="1"/>
  <c r="AP425" i="1" s="1"/>
  <c r="AQ425" i="1" s="1"/>
  <c r="M429" i="1"/>
  <c r="AP429" i="1" s="1"/>
  <c r="AQ429" i="1" s="1"/>
  <c r="M433" i="1"/>
  <c r="AP433" i="1" s="1"/>
  <c r="AQ433" i="1" s="1"/>
  <c r="M437" i="1"/>
  <c r="AP437" i="1" s="1"/>
  <c r="AQ437" i="1" s="1"/>
  <c r="M441" i="1"/>
  <c r="AP441" i="1" s="1"/>
  <c r="AQ441" i="1" s="1"/>
  <c r="M445" i="1"/>
  <c r="AP445" i="1" s="1"/>
  <c r="AQ445" i="1" s="1"/>
  <c r="M449" i="1"/>
  <c r="AP449" i="1" s="1"/>
  <c r="AQ449" i="1" s="1"/>
  <c r="M453" i="1"/>
  <c r="AP453" i="1" s="1"/>
  <c r="AQ453" i="1" s="1"/>
  <c r="M457" i="1"/>
  <c r="AP457" i="1" s="1"/>
  <c r="AQ457" i="1" s="1"/>
  <c r="M461" i="1"/>
  <c r="AP461" i="1" s="1"/>
  <c r="AQ461" i="1" s="1"/>
  <c r="M465" i="1"/>
  <c r="AP465" i="1" s="1"/>
  <c r="AQ465" i="1" s="1"/>
  <c r="M469" i="1"/>
  <c r="AP469" i="1" s="1"/>
  <c r="AQ469" i="1" s="1"/>
  <c r="M473" i="1"/>
  <c r="AP473" i="1" s="1"/>
  <c r="AQ473" i="1" s="1"/>
  <c r="M478" i="1"/>
  <c r="AP478" i="1" s="1"/>
  <c r="AQ478" i="1" s="1"/>
  <c r="M482" i="1"/>
  <c r="AP482" i="1" s="1"/>
  <c r="AQ482" i="1" s="1"/>
  <c r="M486" i="1"/>
  <c r="AP486" i="1" s="1"/>
  <c r="AQ486" i="1" s="1"/>
  <c r="M490" i="1"/>
  <c r="AP490" i="1" s="1"/>
  <c r="AQ490" i="1" s="1"/>
  <c r="M494" i="1"/>
  <c r="AP494" i="1" s="1"/>
  <c r="AQ494" i="1" s="1"/>
  <c r="M498" i="1"/>
  <c r="AP498" i="1" s="1"/>
  <c r="AQ498" i="1" s="1"/>
  <c r="M502" i="1"/>
  <c r="AP502" i="1" s="1"/>
  <c r="AQ502" i="1" s="1"/>
  <c r="M506" i="1"/>
  <c r="AP506" i="1" s="1"/>
  <c r="AQ506" i="1" s="1"/>
  <c r="M510" i="1"/>
  <c r="AP510" i="1" s="1"/>
  <c r="AQ510" i="1" s="1"/>
  <c r="M514" i="1"/>
  <c r="AP514" i="1" s="1"/>
  <c r="AQ514" i="1" s="1"/>
  <c r="M523" i="1"/>
  <c r="AP523" i="1" s="1"/>
  <c r="AQ523" i="1" s="1"/>
  <c r="M539" i="1"/>
  <c r="AP539" i="1" s="1"/>
  <c r="AQ539" i="1" s="1"/>
  <c r="M555" i="1"/>
  <c r="AP555" i="1" s="1"/>
  <c r="AQ555" i="1" s="1"/>
  <c r="M571" i="1"/>
  <c r="AP571" i="1" s="1"/>
  <c r="AQ571" i="1" s="1"/>
  <c r="M527" i="1"/>
  <c r="AP527" i="1" s="1"/>
  <c r="AQ527" i="1" s="1"/>
  <c r="M543" i="1"/>
  <c r="AP543" i="1" s="1"/>
  <c r="AQ543" i="1" s="1"/>
  <c r="M559" i="1"/>
  <c r="AP559" i="1" s="1"/>
  <c r="AQ559" i="1" s="1"/>
  <c r="M575" i="1"/>
  <c r="AP575" i="1" s="1"/>
  <c r="AQ575" i="1" s="1"/>
  <c r="M531" i="1"/>
  <c r="AP531" i="1" s="1"/>
  <c r="AQ531" i="1" s="1"/>
  <c r="M547" i="1"/>
  <c r="AP547" i="1" s="1"/>
  <c r="AQ547" i="1" s="1"/>
  <c r="M563" i="1"/>
  <c r="AP563" i="1" s="1"/>
  <c r="AQ563" i="1" s="1"/>
  <c r="M579" i="1"/>
  <c r="AP579" i="1" s="1"/>
  <c r="AQ579" i="1" s="1"/>
  <c r="M265" i="1"/>
  <c r="AP265" i="1" s="1"/>
  <c r="AQ265" i="1" s="1"/>
  <c r="M269" i="1"/>
  <c r="AP269" i="1" s="1"/>
  <c r="AQ269" i="1" s="1"/>
  <c r="M273" i="1"/>
  <c r="AP273" i="1" s="1"/>
  <c r="AQ273" i="1" s="1"/>
  <c r="M277" i="1"/>
  <c r="AP277" i="1" s="1"/>
  <c r="AQ277" i="1" s="1"/>
  <c r="M281" i="1"/>
  <c r="AP281" i="1" s="1"/>
  <c r="AQ281" i="1" s="1"/>
  <c r="M285" i="1"/>
  <c r="AP285" i="1" s="1"/>
  <c r="AQ285" i="1" s="1"/>
  <c r="M289" i="1"/>
  <c r="AP289" i="1" s="1"/>
  <c r="AQ289" i="1" s="1"/>
  <c r="M293" i="1"/>
  <c r="AP293" i="1" s="1"/>
  <c r="AQ293" i="1" s="1"/>
  <c r="M297" i="1"/>
  <c r="AP297" i="1" s="1"/>
  <c r="AQ297" i="1" s="1"/>
  <c r="M301" i="1"/>
  <c r="AP301" i="1" s="1"/>
  <c r="AQ301" i="1" s="1"/>
  <c r="M305" i="1"/>
  <c r="AP305" i="1" s="1"/>
  <c r="AQ305" i="1" s="1"/>
  <c r="M310" i="1"/>
  <c r="AP310" i="1" s="1"/>
  <c r="AQ310" i="1" s="1"/>
  <c r="M314" i="1"/>
  <c r="AP314" i="1" s="1"/>
  <c r="AQ314" i="1" s="1"/>
  <c r="M318" i="1"/>
  <c r="AP318" i="1" s="1"/>
  <c r="AQ318" i="1" s="1"/>
  <c r="M322" i="1"/>
  <c r="AP322" i="1" s="1"/>
  <c r="AQ322" i="1" s="1"/>
  <c r="M326" i="1"/>
  <c r="AP326" i="1" s="1"/>
  <c r="AQ326" i="1" s="1"/>
  <c r="M330" i="1"/>
  <c r="AP330" i="1" s="1"/>
  <c r="AQ330" i="1" s="1"/>
  <c r="M334" i="1"/>
  <c r="AP334" i="1" s="1"/>
  <c r="AQ334" i="1" s="1"/>
  <c r="M338" i="1"/>
  <c r="AP338" i="1" s="1"/>
  <c r="AQ338" i="1" s="1"/>
  <c r="M342" i="1"/>
  <c r="AP342" i="1" s="1"/>
  <c r="AQ342" i="1" s="1"/>
  <c r="M346" i="1"/>
  <c r="AP346" i="1" s="1"/>
  <c r="AQ346" i="1" s="1"/>
  <c r="M350" i="1"/>
  <c r="AP350" i="1" s="1"/>
  <c r="AQ350" i="1" s="1"/>
  <c r="M354" i="1"/>
  <c r="AP354" i="1" s="1"/>
  <c r="AQ354" i="1" s="1"/>
  <c r="M358" i="1"/>
  <c r="AP358" i="1" s="1"/>
  <c r="AQ358" i="1" s="1"/>
  <c r="M362" i="1"/>
  <c r="AP362" i="1" s="1"/>
  <c r="AQ362" i="1" s="1"/>
  <c r="M366" i="1"/>
  <c r="AP366" i="1" s="1"/>
  <c r="AQ366" i="1" s="1"/>
  <c r="M370" i="1"/>
  <c r="AP370" i="1" s="1"/>
  <c r="AQ370" i="1" s="1"/>
  <c r="M374" i="1"/>
  <c r="AP374" i="1" s="1"/>
  <c r="AQ374" i="1" s="1"/>
  <c r="M378" i="1"/>
  <c r="AP378" i="1" s="1"/>
  <c r="AQ378" i="1" s="1"/>
  <c r="M382" i="1"/>
  <c r="AP382" i="1" s="1"/>
  <c r="AQ382" i="1" s="1"/>
  <c r="M386" i="1"/>
  <c r="AP386" i="1" s="1"/>
  <c r="AQ386" i="1" s="1"/>
  <c r="M390" i="1"/>
  <c r="AP390" i="1" s="1"/>
  <c r="AQ390" i="1" s="1"/>
  <c r="M394" i="1"/>
  <c r="AP394" i="1" s="1"/>
  <c r="AQ394" i="1" s="1"/>
  <c r="M398" i="1"/>
  <c r="AP398" i="1" s="1"/>
  <c r="AQ398" i="1" s="1"/>
  <c r="M402" i="1"/>
  <c r="AP402" i="1" s="1"/>
  <c r="AQ402" i="1" s="1"/>
  <c r="M406" i="1"/>
  <c r="AP406" i="1" s="1"/>
  <c r="AQ406" i="1" s="1"/>
  <c r="M410" i="1"/>
  <c r="AP410" i="1" s="1"/>
  <c r="AQ410" i="1" s="1"/>
  <c r="M414" i="1"/>
  <c r="AP414" i="1" s="1"/>
  <c r="AQ414" i="1" s="1"/>
  <c r="M418" i="1"/>
  <c r="AP418" i="1" s="1"/>
  <c r="AQ418" i="1" s="1"/>
  <c r="M422" i="1"/>
  <c r="AP422" i="1" s="1"/>
  <c r="AQ422" i="1" s="1"/>
  <c r="M426" i="1"/>
  <c r="AP426" i="1" s="1"/>
  <c r="AQ426" i="1" s="1"/>
  <c r="M430" i="1"/>
  <c r="AP430" i="1" s="1"/>
  <c r="AQ430" i="1" s="1"/>
  <c r="M434" i="1"/>
  <c r="AP434" i="1" s="1"/>
  <c r="AQ434" i="1" s="1"/>
  <c r="M438" i="1"/>
  <c r="AP438" i="1" s="1"/>
  <c r="AQ438" i="1" s="1"/>
  <c r="M442" i="1"/>
  <c r="AP442" i="1" s="1"/>
  <c r="AQ442" i="1" s="1"/>
  <c r="M446" i="1"/>
  <c r="AP446" i="1" s="1"/>
  <c r="AQ446" i="1" s="1"/>
  <c r="M450" i="1"/>
  <c r="AP450" i="1" s="1"/>
  <c r="AQ450" i="1" s="1"/>
  <c r="M454" i="1"/>
  <c r="AP454" i="1" s="1"/>
  <c r="AQ454" i="1" s="1"/>
  <c r="M458" i="1"/>
  <c r="AP458" i="1" s="1"/>
  <c r="AQ458" i="1" s="1"/>
  <c r="M462" i="1"/>
  <c r="AP462" i="1" s="1"/>
  <c r="AQ462" i="1" s="1"/>
  <c r="M466" i="1"/>
  <c r="AP466" i="1" s="1"/>
  <c r="AQ466" i="1" s="1"/>
  <c r="M470" i="1"/>
  <c r="AP470" i="1" s="1"/>
  <c r="AQ470" i="1" s="1"/>
  <c r="M474" i="1"/>
  <c r="AP474" i="1" s="1"/>
  <c r="AQ474" i="1" s="1"/>
  <c r="M479" i="1"/>
  <c r="AP479" i="1" s="1"/>
  <c r="AQ479" i="1" s="1"/>
  <c r="M483" i="1"/>
  <c r="AP483" i="1" s="1"/>
  <c r="AQ483" i="1" s="1"/>
  <c r="M487" i="1"/>
  <c r="AP487" i="1" s="1"/>
  <c r="AQ487" i="1" s="1"/>
  <c r="M491" i="1"/>
  <c r="AP491" i="1" s="1"/>
  <c r="AQ491" i="1" s="1"/>
  <c r="M495" i="1"/>
  <c r="AP495" i="1" s="1"/>
  <c r="AQ495" i="1" s="1"/>
  <c r="M499" i="1"/>
  <c r="AP499" i="1" s="1"/>
  <c r="AQ499" i="1" s="1"/>
  <c r="M503" i="1"/>
  <c r="AP503" i="1" s="1"/>
  <c r="AQ503" i="1" s="1"/>
  <c r="M507" i="1"/>
  <c r="AP507" i="1" s="1"/>
  <c r="AQ507" i="1" s="1"/>
  <c r="M511" i="1"/>
  <c r="AP511" i="1" s="1"/>
  <c r="AQ511" i="1" s="1"/>
  <c r="M518" i="1"/>
  <c r="AP518" i="1" s="1"/>
  <c r="AQ518" i="1" s="1"/>
  <c r="M522" i="1"/>
  <c r="AP522" i="1" s="1"/>
  <c r="AQ522" i="1" s="1"/>
  <c r="M526" i="1"/>
  <c r="AP526" i="1" s="1"/>
  <c r="AQ526" i="1" s="1"/>
  <c r="M530" i="1"/>
  <c r="AP530" i="1" s="1"/>
  <c r="AQ530" i="1" s="1"/>
  <c r="M534" i="1"/>
  <c r="AP534" i="1" s="1"/>
  <c r="AQ534" i="1" s="1"/>
  <c r="M538" i="1"/>
  <c r="AP538" i="1" s="1"/>
  <c r="AQ538" i="1" s="1"/>
  <c r="M542" i="1"/>
  <c r="AP542" i="1" s="1"/>
  <c r="AQ542" i="1" s="1"/>
  <c r="M546" i="1"/>
  <c r="AP546" i="1" s="1"/>
  <c r="AQ546" i="1" s="1"/>
  <c r="M550" i="1"/>
  <c r="AP550" i="1" s="1"/>
  <c r="AQ550" i="1" s="1"/>
  <c r="M554" i="1"/>
  <c r="AP554" i="1" s="1"/>
  <c r="AQ554" i="1" s="1"/>
  <c r="M558" i="1"/>
  <c r="AP558" i="1" s="1"/>
  <c r="AQ558" i="1" s="1"/>
  <c r="M562" i="1"/>
  <c r="AP562" i="1" s="1"/>
  <c r="AQ562" i="1" s="1"/>
  <c r="M566" i="1"/>
  <c r="AP566" i="1" s="1"/>
  <c r="AQ566" i="1" s="1"/>
  <c r="M570" i="1"/>
  <c r="AP570" i="1" s="1"/>
  <c r="AQ570" i="1" s="1"/>
  <c r="M574" i="1"/>
  <c r="AP574" i="1" s="1"/>
  <c r="AQ574" i="1" s="1"/>
  <c r="M578" i="1"/>
  <c r="AP578" i="1" s="1"/>
  <c r="AQ578" i="1" s="1"/>
  <c r="M582" i="1"/>
  <c r="AP582" i="1" s="1"/>
  <c r="AQ582" i="1" s="1"/>
  <c r="M586" i="1"/>
  <c r="AP586" i="1" s="1"/>
  <c r="AQ586" i="1" s="1"/>
  <c r="M590" i="1"/>
  <c r="AP590" i="1" s="1"/>
  <c r="AQ590" i="1" s="1"/>
  <c r="M594" i="1"/>
  <c r="AP594" i="1" s="1"/>
  <c r="AQ594" i="1" s="1"/>
  <c r="M598" i="1"/>
  <c r="AP598" i="1" s="1"/>
  <c r="AQ598" i="1" s="1"/>
  <c r="M602" i="1"/>
  <c r="AP602" i="1" s="1"/>
  <c r="AQ602" i="1" s="1"/>
  <c r="M606" i="1"/>
  <c r="AP606" i="1" s="1"/>
  <c r="AQ606" i="1" s="1"/>
  <c r="M611" i="1"/>
  <c r="AP611" i="1" s="1"/>
  <c r="AQ611" i="1" s="1"/>
  <c r="M615" i="1"/>
  <c r="AP615" i="1" s="1"/>
  <c r="AQ615" i="1" s="1"/>
  <c r="M621" i="1"/>
  <c r="AP621" i="1" s="1"/>
  <c r="AQ621" i="1" s="1"/>
  <c r="M625" i="1"/>
  <c r="AP625" i="1" s="1"/>
  <c r="AQ625" i="1" s="1"/>
  <c r="M629" i="1"/>
  <c r="AP629" i="1" s="1"/>
  <c r="AQ629" i="1" s="1"/>
  <c r="M634" i="1"/>
  <c r="AP634" i="1" s="1"/>
  <c r="AQ634" i="1" s="1"/>
  <c r="M638" i="1"/>
  <c r="AP638" i="1" s="1"/>
  <c r="AQ638" i="1" s="1"/>
  <c r="M642" i="1"/>
  <c r="AP642" i="1" s="1"/>
  <c r="AQ642" i="1" s="1"/>
  <c r="M646" i="1"/>
  <c r="AP646" i="1" s="1"/>
  <c r="AQ646" i="1" s="1"/>
  <c r="M650" i="1"/>
  <c r="AP650" i="1" s="1"/>
  <c r="AQ650" i="1" s="1"/>
  <c r="M655" i="1"/>
  <c r="AP655" i="1" s="1"/>
  <c r="AQ655" i="1" s="1"/>
  <c r="M659" i="1"/>
  <c r="AP659" i="1" s="1"/>
  <c r="AQ659" i="1" s="1"/>
  <c r="M663" i="1"/>
  <c r="AP663" i="1" s="1"/>
  <c r="AQ663" i="1" s="1"/>
  <c r="M668" i="1"/>
  <c r="AP668" i="1" s="1"/>
  <c r="AQ668" i="1" s="1"/>
  <c r="M672" i="1"/>
  <c r="AP672" i="1" s="1"/>
  <c r="AQ672" i="1" s="1"/>
  <c r="M676" i="1"/>
  <c r="AP676" i="1" s="1"/>
  <c r="AQ676" i="1" s="1"/>
  <c r="M680" i="1"/>
  <c r="AP680" i="1" s="1"/>
  <c r="AQ680" i="1" s="1"/>
  <c r="M684" i="1"/>
  <c r="AP684" i="1" s="1"/>
  <c r="AQ684" i="1" s="1"/>
  <c r="M691" i="1"/>
  <c r="AP691" i="1" s="1"/>
  <c r="AQ691" i="1" s="1"/>
  <c r="M695" i="1"/>
  <c r="AP695" i="1" s="1"/>
  <c r="AQ695" i="1" s="1"/>
  <c r="M699" i="1"/>
  <c r="AP699" i="1" s="1"/>
  <c r="AQ699" i="1" s="1"/>
  <c r="M703" i="1"/>
  <c r="AP703" i="1" s="1"/>
  <c r="AQ703" i="1" s="1"/>
  <c r="M707" i="1"/>
  <c r="AP707" i="1" s="1"/>
  <c r="AQ707" i="1" s="1"/>
  <c r="M712" i="1"/>
  <c r="AP712" i="1" s="1"/>
  <c r="AQ712" i="1" s="1"/>
  <c r="M716" i="1"/>
  <c r="AP716" i="1" s="1"/>
  <c r="AQ716" i="1" s="1"/>
  <c r="M721" i="1"/>
  <c r="AP721" i="1" s="1"/>
  <c r="AQ721" i="1" s="1"/>
  <c r="M725" i="1"/>
  <c r="AP725" i="1" s="1"/>
  <c r="AQ725" i="1" s="1"/>
  <c r="M729" i="1"/>
  <c r="AP729" i="1" s="1"/>
  <c r="AQ729" i="1" s="1"/>
  <c r="M734" i="1"/>
  <c r="AP734" i="1" s="1"/>
  <c r="AQ734" i="1" s="1"/>
  <c r="M738" i="1"/>
  <c r="AP738" i="1" s="1"/>
  <c r="AQ738" i="1" s="1"/>
  <c r="M742" i="1"/>
  <c r="AP742" i="1" s="1"/>
  <c r="AQ742" i="1" s="1"/>
  <c r="M746" i="1"/>
  <c r="AP746" i="1" s="1"/>
  <c r="AQ746" i="1" s="1"/>
  <c r="M750" i="1"/>
  <c r="AP750" i="1" s="1"/>
  <c r="AQ750" i="1" s="1"/>
  <c r="M754" i="1"/>
  <c r="AP754" i="1" s="1"/>
  <c r="AQ754" i="1" s="1"/>
  <c r="M758" i="1"/>
  <c r="AP758" i="1" s="1"/>
  <c r="AQ758" i="1" s="1"/>
  <c r="M762" i="1"/>
  <c r="AP762" i="1" s="1"/>
  <c r="AQ762" i="1" s="1"/>
  <c r="M766" i="1"/>
  <c r="AP766" i="1" s="1"/>
  <c r="AQ766" i="1" s="1"/>
  <c r="M770" i="1"/>
  <c r="AP770" i="1" s="1"/>
  <c r="AQ770" i="1" s="1"/>
  <c r="M774" i="1"/>
  <c r="AP774" i="1" s="1"/>
  <c r="AQ774" i="1" s="1"/>
  <c r="M778" i="1"/>
  <c r="AP778" i="1" s="1"/>
  <c r="AQ778" i="1" s="1"/>
  <c r="M782" i="1"/>
  <c r="AP782" i="1" s="1"/>
  <c r="AQ782" i="1" s="1"/>
  <c r="M786" i="1"/>
  <c r="AP786" i="1" s="1"/>
  <c r="AQ786" i="1" s="1"/>
  <c r="AM3141" i="1" l="1"/>
  <c r="AH3141" i="1"/>
  <c r="V2916" i="1"/>
  <c r="U2916" i="1"/>
  <c r="AN3141" i="1"/>
  <c r="AI3141" i="1"/>
  <c r="AJ3141" i="1"/>
  <c r="AL3141" i="1"/>
  <c r="AK3141" i="1"/>
  <c r="AO3141" i="1"/>
  <c r="Y194" i="1"/>
  <c r="U194" i="1"/>
  <c r="AO2870" i="1"/>
  <c r="AO2891" i="1"/>
  <c r="AO3138" i="1"/>
  <c r="AN2891" i="1"/>
  <c r="AN3138" i="1"/>
  <c r="AM2870" i="1"/>
  <c r="AM2891" i="1"/>
  <c r="AM3138" i="1"/>
  <c r="AB2916" i="1"/>
  <c r="H147" i="10"/>
  <c r="I147" i="10" s="1"/>
  <c r="H149" i="10"/>
  <c r="I149" i="10" s="1"/>
  <c r="AL2870" i="1"/>
  <c r="AL2891" i="1"/>
  <c r="AL3138" i="1"/>
  <c r="AK2870" i="1"/>
  <c r="AK2891" i="1"/>
  <c r="AK3138" i="1"/>
  <c r="L35" i="15"/>
  <c r="L34" i="15"/>
  <c r="AJ3138" i="1"/>
  <c r="AJ2891" i="1"/>
  <c r="AJ2870" i="1"/>
  <c r="AI3138" i="1"/>
  <c r="AI2891" i="1"/>
  <c r="AI2870" i="1"/>
  <c r="AH2870" i="1"/>
  <c r="AH3138" i="1"/>
  <c r="AH2891" i="1"/>
  <c r="I430" i="10"/>
  <c r="H219" i="18" s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F2474" i="1"/>
  <c r="F2473" i="1"/>
  <c r="F2471" i="1"/>
  <c r="F2470" i="1"/>
  <c r="F2469" i="1"/>
  <c r="F2468" i="1"/>
  <c r="F2467" i="1"/>
  <c r="F2466" i="1"/>
  <c r="F2465" i="1"/>
  <c r="F2464" i="1"/>
  <c r="F2463" i="1"/>
  <c r="F2462" i="1"/>
  <c r="F2461" i="1"/>
  <c r="F2457" i="1"/>
  <c r="F2456" i="1"/>
  <c r="F2455" i="1"/>
  <c r="F2454" i="1"/>
  <c r="F2453" i="1"/>
  <c r="F2452" i="1"/>
  <c r="F2451" i="1"/>
  <c r="F2450" i="1"/>
  <c r="F2449" i="1"/>
  <c r="F2448" i="1"/>
  <c r="F2447" i="1"/>
  <c r="F2445" i="1"/>
  <c r="F2444" i="1"/>
  <c r="F2443" i="1"/>
  <c r="F2442" i="1"/>
  <c r="F2441" i="1"/>
  <c r="F2438" i="1"/>
  <c r="F2437" i="1"/>
  <c r="F2436" i="1"/>
  <c r="F2435" i="1"/>
  <c r="F2434" i="1"/>
  <c r="F2433" i="1"/>
  <c r="F2431" i="1"/>
  <c r="F2430" i="1"/>
  <c r="F2429" i="1"/>
  <c r="F2428" i="1"/>
  <c r="F2427" i="1"/>
  <c r="F2426" i="1"/>
  <c r="F2425" i="1"/>
  <c r="F2424" i="1"/>
  <c r="F2423" i="1"/>
  <c r="F2422" i="1"/>
  <c r="F2421" i="1"/>
  <c r="F2420" i="1"/>
  <c r="F2419" i="1"/>
  <c r="F2418" i="1"/>
  <c r="F2417" i="1"/>
  <c r="F2416" i="1"/>
  <c r="F2415" i="1"/>
  <c r="F2414" i="1"/>
  <c r="F2413" i="1"/>
  <c r="F2412" i="1"/>
  <c r="F2411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5" i="1"/>
  <c r="F2394" i="1"/>
  <c r="F2393" i="1"/>
  <c r="F2392" i="1"/>
  <c r="F2391" i="1"/>
  <c r="F2390" i="1"/>
  <c r="F2389" i="1"/>
  <c r="F2388" i="1"/>
  <c r="F2387" i="1"/>
  <c r="F2386" i="1"/>
  <c r="F2382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4" i="1"/>
  <c r="F2143" i="1"/>
  <c r="F2142" i="1"/>
  <c r="F2141" i="1"/>
  <c r="F2140" i="1"/>
  <c r="F2139" i="1"/>
  <c r="F2138" i="1"/>
  <c r="F2137" i="1"/>
  <c r="F2136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67" i="1"/>
  <c r="F2059" i="1"/>
  <c r="F2058" i="1"/>
  <c r="F2057" i="1"/>
  <c r="F2056" i="1"/>
  <c r="F2055" i="1"/>
  <c r="F2054" i="1"/>
  <c r="F2053" i="1"/>
  <c r="F2052" i="1"/>
  <c r="F2050" i="1"/>
  <c r="F2049" i="1"/>
  <c r="F2048" i="1"/>
  <c r="F2047" i="1"/>
  <c r="F2046" i="1"/>
  <c r="F2045" i="1"/>
  <c r="F2043" i="1"/>
  <c r="F2042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18" i="1"/>
  <c r="F2017" i="1"/>
  <c r="F2016" i="1"/>
  <c r="F2013" i="1"/>
  <c r="F2012" i="1"/>
  <c r="F2011" i="1"/>
  <c r="F2010" i="1"/>
  <c r="F2009" i="1"/>
  <c r="F2008" i="1"/>
  <c r="F2007" i="1"/>
  <c r="F2006" i="1"/>
  <c r="F2001" i="1"/>
  <c r="F2000" i="1"/>
  <c r="F1999" i="1"/>
  <c r="F1997" i="1"/>
  <c r="F1996" i="1"/>
  <c r="F1995" i="1"/>
  <c r="F1993" i="1"/>
  <c r="F1992" i="1"/>
  <c r="F1991" i="1"/>
  <c r="F1990" i="1"/>
  <c r="F1988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68" i="1"/>
  <c r="F1967" i="1"/>
  <c r="F1966" i="1"/>
  <c r="F1964" i="1"/>
  <c r="F1963" i="1"/>
  <c r="F1962" i="1"/>
  <c r="F1961" i="1"/>
  <c r="F1960" i="1"/>
  <c r="F1957" i="1"/>
  <c r="F1956" i="1"/>
  <c r="F1955" i="1"/>
  <c r="F1954" i="1"/>
  <c r="F1953" i="1"/>
  <c r="F1952" i="1"/>
  <c r="F1951" i="1"/>
  <c r="F1950" i="1"/>
  <c r="F1949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69" i="1"/>
  <c r="F1868" i="1"/>
  <c r="F1867" i="1"/>
  <c r="F1866" i="1"/>
  <c r="F1865" i="1"/>
  <c r="F1864" i="1"/>
  <c r="F1863" i="1"/>
  <c r="F1862" i="1"/>
  <c r="F1861" i="1"/>
  <c r="F1860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65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6" i="1"/>
  <c r="F1545" i="1"/>
  <c r="F1544" i="1"/>
  <c r="F1543" i="1"/>
  <c r="F1541" i="1"/>
  <c r="F1540" i="1"/>
  <c r="F1539" i="1"/>
  <c r="F1538" i="1"/>
  <c r="F1537" i="1"/>
  <c r="F1536" i="1"/>
  <c r="F1535" i="1"/>
  <c r="F1534" i="1"/>
  <c r="F1531" i="1"/>
  <c r="F1530" i="1"/>
  <c r="F1529" i="1"/>
  <c r="F1528" i="1"/>
  <c r="F1527" i="1"/>
  <c r="F1526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1" i="1"/>
  <c r="F1500" i="1"/>
  <c r="F1499" i="1"/>
  <c r="F1498" i="1"/>
  <c r="F1497" i="1"/>
  <c r="F1496" i="1"/>
  <c r="F1495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7" i="1"/>
  <c r="F1416" i="1"/>
  <c r="F1415" i="1"/>
  <c r="F1414" i="1"/>
  <c r="F1413" i="1"/>
  <c r="F1412" i="1"/>
  <c r="F1411" i="1"/>
  <c r="F1410" i="1"/>
  <c r="F1409" i="1"/>
  <c r="F1408" i="1"/>
  <c r="F1407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0" i="1"/>
  <c r="F1369" i="1"/>
  <c r="F1368" i="1"/>
  <c r="F1367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3" i="1"/>
  <c r="F1341" i="1"/>
  <c r="F1340" i="1"/>
  <c r="F1339" i="1"/>
  <c r="F1338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7" i="1"/>
  <c r="F1316" i="1"/>
  <c r="F1315" i="1"/>
  <c r="F1314" i="1"/>
  <c r="F1313" i="1"/>
  <c r="F1312" i="1"/>
  <c r="F1311" i="1"/>
  <c r="F1310" i="1"/>
  <c r="F1309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7" i="1"/>
  <c r="F1286" i="1"/>
  <c r="F1285" i="1"/>
  <c r="F1284" i="1"/>
  <c r="F1283" i="1"/>
  <c r="F1279" i="1"/>
  <c r="F1278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1" i="1"/>
  <c r="F1160" i="1"/>
  <c r="F1158" i="1"/>
  <c r="F1156" i="1"/>
  <c r="F1155" i="1"/>
  <c r="F1154" i="1"/>
  <c r="F1153" i="1"/>
  <c r="F1152" i="1"/>
  <c r="F1127" i="1"/>
  <c r="F1126" i="1"/>
  <c r="F1125" i="1"/>
  <c r="F1124" i="1"/>
  <c r="F1122" i="1"/>
  <c r="F1121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6" i="1"/>
  <c r="F1057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1" i="1"/>
  <c r="F1019" i="1"/>
  <c r="F1018" i="1"/>
  <c r="F1014" i="1"/>
  <c r="F1013" i="1"/>
  <c r="F1009" i="1"/>
  <c r="F1008" i="1"/>
  <c r="F1007" i="1"/>
  <c r="F1006" i="1"/>
  <c r="F1005" i="1"/>
  <c r="F1004" i="1"/>
  <c r="F1000" i="1"/>
  <c r="F999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2" i="1"/>
  <c r="F981" i="1"/>
  <c r="F980" i="1"/>
  <c r="F976" i="1"/>
  <c r="F974" i="1"/>
  <c r="F973" i="1"/>
  <c r="F972" i="1"/>
  <c r="F971" i="1"/>
  <c r="F970" i="1"/>
  <c r="F969" i="1"/>
  <c r="F968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7" i="1"/>
  <c r="F836" i="1"/>
  <c r="F835" i="1"/>
  <c r="F834" i="1"/>
  <c r="F833" i="1"/>
  <c r="F832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AR1321" i="1"/>
  <c r="AR1320" i="1"/>
  <c r="AR1319" i="1"/>
  <c r="AR1317" i="1"/>
  <c r="AR1316" i="1"/>
  <c r="AR1315" i="1"/>
  <c r="AR1314" i="1"/>
  <c r="AR1313" i="1"/>
  <c r="AR1312" i="1"/>
  <c r="AR1311" i="1"/>
  <c r="AR1310" i="1"/>
  <c r="AR1309" i="1"/>
  <c r="AR1307" i="1"/>
  <c r="AR1306" i="1"/>
  <c r="AR1305" i="1"/>
  <c r="AR1304" i="1"/>
  <c r="AR1303" i="1"/>
  <c r="AR1302" i="1"/>
  <c r="AR1301" i="1"/>
  <c r="AR1300" i="1"/>
  <c r="AR1299" i="1"/>
  <c r="AR1298" i="1"/>
  <c r="AR1297" i="1"/>
  <c r="AR1296" i="1"/>
  <c r="AR1295" i="1"/>
  <c r="AR1294" i="1"/>
  <c r="AR1293" i="1"/>
  <c r="AR1292" i="1"/>
  <c r="AR1291" i="1"/>
  <c r="AR1290" i="1"/>
  <c r="AR1289" i="1"/>
  <c r="AR1287" i="1"/>
  <c r="AR1286" i="1"/>
  <c r="AR1285" i="1"/>
  <c r="AR1284" i="1"/>
  <c r="AR1283" i="1"/>
  <c r="AR1279" i="1"/>
  <c r="AR1278" i="1"/>
  <c r="AR1276" i="1"/>
  <c r="AR1275" i="1"/>
  <c r="AR1274" i="1"/>
  <c r="AR1273" i="1"/>
  <c r="AR1272" i="1"/>
  <c r="AR1271" i="1"/>
  <c r="AR1270" i="1"/>
  <c r="AR1269" i="1"/>
  <c r="AR1268" i="1"/>
  <c r="AR1267" i="1"/>
  <c r="AR1266" i="1"/>
  <c r="AR1265" i="1"/>
  <c r="AR1264" i="1"/>
  <c r="AR1263" i="1"/>
  <c r="AR1262" i="1"/>
  <c r="AR1261" i="1"/>
  <c r="AR1260" i="1"/>
  <c r="AR1259" i="1"/>
  <c r="AR1258" i="1"/>
  <c r="AR1257" i="1"/>
  <c r="AR1256" i="1"/>
  <c r="AR1255" i="1"/>
  <c r="AR1254" i="1"/>
  <c r="AR1253" i="1"/>
  <c r="AR1252" i="1"/>
  <c r="AR1251" i="1"/>
  <c r="AR1250" i="1"/>
  <c r="AR1249" i="1"/>
  <c r="AR1248" i="1"/>
  <c r="AR1247" i="1"/>
  <c r="AR1243" i="1"/>
  <c r="AR1242" i="1"/>
  <c r="AR1241" i="1"/>
  <c r="AR1240" i="1"/>
  <c r="AR1239" i="1"/>
  <c r="AR1238" i="1"/>
  <c r="AR1237" i="1"/>
  <c r="AR1236" i="1"/>
  <c r="AR1235" i="1"/>
  <c r="AR1234" i="1"/>
  <c r="AR1233" i="1"/>
  <c r="AR1232" i="1"/>
  <c r="AR1231" i="1"/>
  <c r="AR1230" i="1"/>
  <c r="AR1229" i="1"/>
  <c r="AR1228" i="1"/>
  <c r="AR1227" i="1"/>
  <c r="AR1226" i="1"/>
  <c r="AR1225" i="1"/>
  <c r="AR1224" i="1"/>
  <c r="AR1223" i="1"/>
  <c r="AR1222" i="1"/>
  <c r="AR1221" i="1"/>
  <c r="AR1220" i="1"/>
  <c r="AR1219" i="1"/>
  <c r="AR1218" i="1"/>
  <c r="AR1217" i="1"/>
  <c r="AR1216" i="1"/>
  <c r="AR1215" i="1"/>
  <c r="AR1214" i="1"/>
  <c r="AR1213" i="1"/>
  <c r="AR1212" i="1"/>
  <c r="AR1211" i="1"/>
  <c r="AR1210" i="1"/>
  <c r="AR1209" i="1"/>
  <c r="AR1208" i="1"/>
  <c r="AR1207" i="1"/>
  <c r="AR1206" i="1"/>
  <c r="AR1205" i="1"/>
  <c r="AR1204" i="1"/>
  <c r="AR1203" i="1"/>
  <c r="AR1202" i="1"/>
  <c r="AR1201" i="1"/>
  <c r="AR1200" i="1"/>
  <c r="AR1199" i="1"/>
  <c r="AR1198" i="1"/>
  <c r="AR1197" i="1"/>
  <c r="AR1196" i="1"/>
  <c r="AR1195" i="1"/>
  <c r="AR1194" i="1"/>
  <c r="AR1193" i="1"/>
  <c r="AR1192" i="1"/>
  <c r="AR1191" i="1"/>
  <c r="AR1190" i="1"/>
  <c r="AR1189" i="1"/>
  <c r="AR1188" i="1"/>
  <c r="AR1187" i="1"/>
  <c r="AR1186" i="1"/>
  <c r="AR1185" i="1"/>
  <c r="AR1184" i="1"/>
  <c r="AR1183" i="1"/>
  <c r="AR1182" i="1"/>
  <c r="AR1181" i="1"/>
  <c r="AR1180" i="1"/>
  <c r="AR1179" i="1"/>
  <c r="AR1178" i="1"/>
  <c r="AR1177" i="1"/>
  <c r="AR1176" i="1"/>
  <c r="AR1175" i="1"/>
  <c r="AR1174" i="1"/>
  <c r="AR1173" i="1"/>
  <c r="AR1172" i="1"/>
  <c r="AR1171" i="1"/>
  <c r="AR1170" i="1"/>
  <c r="AR1169" i="1"/>
  <c r="AR1168" i="1"/>
  <c r="AR1167" i="1"/>
  <c r="AR1166" i="1"/>
  <c r="AR1165" i="1"/>
  <c r="AR1164" i="1"/>
  <c r="AR1161" i="1"/>
  <c r="AR1160" i="1"/>
  <c r="AR1158" i="1"/>
  <c r="AR1156" i="1"/>
  <c r="AR1155" i="1"/>
  <c r="AR1154" i="1"/>
  <c r="AR1153" i="1"/>
  <c r="AR1152" i="1"/>
  <c r="AR1127" i="1"/>
  <c r="AR1126" i="1"/>
  <c r="AR1125" i="1"/>
  <c r="AR1124" i="1"/>
  <c r="AR1122" i="1"/>
  <c r="AR1121" i="1"/>
  <c r="AR1119" i="1"/>
  <c r="AR1118" i="1"/>
  <c r="AR1117" i="1"/>
  <c r="AR1116" i="1"/>
  <c r="AR1115" i="1"/>
  <c r="AR1114" i="1"/>
  <c r="AR1113" i="1"/>
  <c r="AR1112" i="1"/>
  <c r="AR1111" i="1"/>
  <c r="AR1110" i="1"/>
  <c r="AR1109" i="1"/>
  <c r="AR1108" i="1"/>
  <c r="AR1107" i="1"/>
  <c r="AR1106" i="1"/>
  <c r="AR1105" i="1"/>
  <c r="AR1104" i="1"/>
  <c r="AR1103" i="1"/>
  <c r="AR1102" i="1"/>
  <c r="AR1100" i="1"/>
  <c r="AR1099" i="1"/>
  <c r="AR1098" i="1"/>
  <c r="AR1097" i="1"/>
  <c r="AR1096" i="1"/>
  <c r="AR1095" i="1"/>
  <c r="AR1094" i="1"/>
  <c r="AR1093" i="1"/>
  <c r="AR1092" i="1"/>
  <c r="AR1091" i="1"/>
  <c r="AR1090" i="1"/>
  <c r="AR1089" i="1"/>
  <c r="AR1088" i="1"/>
  <c r="AR1087" i="1"/>
  <c r="AR1086" i="1"/>
  <c r="AR1085" i="1"/>
  <c r="AR1084" i="1"/>
  <c r="AR1083" i="1"/>
  <c r="AR1082" i="1"/>
  <c r="AR1081" i="1"/>
  <c r="AR1080" i="1"/>
  <c r="AR1079" i="1"/>
  <c r="AR1078" i="1"/>
  <c r="AR1076" i="1"/>
  <c r="AR1057" i="1"/>
  <c r="AR1055" i="1"/>
  <c r="AR1054" i="1"/>
  <c r="AR1053" i="1"/>
  <c r="AR1052" i="1"/>
  <c r="AR1051" i="1"/>
  <c r="AR1050" i="1"/>
  <c r="AR1049" i="1"/>
  <c r="AR1048" i="1"/>
  <c r="AR1047" i="1"/>
  <c r="AR1046" i="1"/>
  <c r="AR1045" i="1"/>
  <c r="AR1044" i="1"/>
  <c r="AR1043" i="1"/>
  <c r="AR1042" i="1"/>
  <c r="AR1041" i="1"/>
  <c r="AR1040" i="1"/>
  <c r="AR1038" i="1"/>
  <c r="AR1037" i="1"/>
  <c r="AR1036" i="1"/>
  <c r="AR1035" i="1"/>
  <c r="AR1034" i="1"/>
  <c r="AR1033" i="1"/>
  <c r="AR1032" i="1"/>
  <c r="AR1031" i="1"/>
  <c r="AR1030" i="1"/>
  <c r="AR1029" i="1"/>
  <c r="AR1028" i="1"/>
  <c r="AR1027" i="1"/>
  <c r="AR1026" i="1"/>
  <c r="AR1025" i="1"/>
  <c r="AR1024" i="1"/>
  <c r="AR1023" i="1"/>
  <c r="AR1021" i="1"/>
  <c r="AR1019" i="1"/>
  <c r="AR1018" i="1"/>
  <c r="AR1014" i="1"/>
  <c r="AR1013" i="1"/>
  <c r="AR1009" i="1"/>
  <c r="AR1008" i="1"/>
  <c r="AR1007" i="1"/>
  <c r="AR1006" i="1"/>
  <c r="AR1005" i="1"/>
  <c r="AR1004" i="1"/>
  <c r="AR1000" i="1"/>
  <c r="AR999" i="1"/>
  <c r="AR996" i="1"/>
  <c r="AR995" i="1"/>
  <c r="AR994" i="1"/>
  <c r="AR993" i="1"/>
  <c r="AR992" i="1"/>
  <c r="AR991" i="1"/>
  <c r="AR990" i="1"/>
  <c r="AR989" i="1"/>
  <c r="AR988" i="1"/>
  <c r="AR987" i="1"/>
  <c r="AR986" i="1"/>
  <c r="AR985" i="1"/>
  <c r="AR984" i="1"/>
  <c r="AR982" i="1"/>
  <c r="AR981" i="1"/>
  <c r="AR980" i="1"/>
  <c r="AR976" i="1"/>
  <c r="AR974" i="1"/>
  <c r="AR973" i="1"/>
  <c r="AR972" i="1"/>
  <c r="AR971" i="1"/>
  <c r="AR970" i="1"/>
  <c r="AR969" i="1"/>
  <c r="AR968" i="1"/>
  <c r="AR966" i="1"/>
  <c r="AR965" i="1"/>
  <c r="AR964" i="1"/>
  <c r="AR963" i="1"/>
  <c r="AR962" i="1"/>
  <c r="AR961" i="1"/>
  <c r="AR960" i="1"/>
  <c r="AR959" i="1"/>
  <c r="AR958" i="1"/>
  <c r="AR957" i="1"/>
  <c r="AR956" i="1"/>
  <c r="AR955" i="1"/>
  <c r="AR954" i="1"/>
  <c r="AR953" i="1"/>
  <c r="AR952" i="1"/>
  <c r="AR951" i="1"/>
  <c r="AR950" i="1"/>
  <c r="AR949" i="1"/>
  <c r="AR948" i="1"/>
  <c r="AR947" i="1"/>
  <c r="AR946" i="1"/>
  <c r="AR945" i="1"/>
  <c r="AR944" i="1"/>
  <c r="AR943" i="1"/>
  <c r="AR942" i="1"/>
  <c r="AR941" i="1"/>
  <c r="AR940" i="1"/>
  <c r="AR939" i="1"/>
  <c r="AR938" i="1"/>
  <c r="AR937" i="1"/>
  <c r="AR936" i="1"/>
  <c r="AR935" i="1"/>
  <c r="AR934" i="1"/>
  <c r="AR933" i="1"/>
  <c r="AR932" i="1"/>
  <c r="AR931" i="1"/>
  <c r="AR930" i="1"/>
  <c r="AR929" i="1"/>
  <c r="AR928" i="1"/>
  <c r="AR927" i="1"/>
  <c r="AR926" i="1"/>
  <c r="AR925" i="1"/>
  <c r="AR924" i="1"/>
  <c r="AR923" i="1"/>
  <c r="AR922" i="1"/>
  <c r="AR921" i="1"/>
  <c r="AR920" i="1"/>
  <c r="AR919" i="1"/>
  <c r="AR918" i="1"/>
  <c r="AR917" i="1"/>
  <c r="AR916" i="1"/>
  <c r="AR915" i="1"/>
  <c r="AR914" i="1"/>
  <c r="AR913" i="1"/>
  <c r="AR912" i="1"/>
  <c r="AR911" i="1"/>
  <c r="AR910" i="1"/>
  <c r="AR909" i="1"/>
  <c r="AR908" i="1"/>
  <c r="AR907" i="1"/>
  <c r="AR906" i="1"/>
  <c r="AR905" i="1"/>
  <c r="AR904" i="1"/>
  <c r="AR903" i="1"/>
  <c r="AR902" i="1"/>
  <c r="AR901" i="1"/>
  <c r="AR900" i="1"/>
  <c r="AR899" i="1"/>
  <c r="AR898" i="1"/>
  <c r="AR897" i="1"/>
  <c r="AR896" i="1"/>
  <c r="AR895" i="1"/>
  <c r="AR894" i="1"/>
  <c r="AR893" i="1"/>
  <c r="AR892" i="1"/>
  <c r="AR890" i="1"/>
  <c r="AR889" i="1"/>
  <c r="AR888" i="1"/>
  <c r="AR887" i="1"/>
  <c r="AR886" i="1"/>
  <c r="AR885" i="1"/>
  <c r="AR884" i="1"/>
  <c r="AR883" i="1"/>
  <c r="AR882" i="1"/>
  <c r="AR881" i="1"/>
  <c r="AR880" i="1"/>
  <c r="AR879" i="1"/>
  <c r="AR878" i="1"/>
  <c r="AR877" i="1"/>
  <c r="AR876" i="1"/>
  <c r="AR875" i="1"/>
  <c r="AR874" i="1"/>
  <c r="AR873" i="1"/>
  <c r="AR872" i="1"/>
  <c r="AR871" i="1"/>
  <c r="AR870" i="1"/>
  <c r="AR869" i="1"/>
  <c r="AR868" i="1"/>
  <c r="AR852" i="1"/>
  <c r="AR851" i="1"/>
  <c r="AR850" i="1"/>
  <c r="AR849" i="1"/>
  <c r="AR848" i="1"/>
  <c r="AR847" i="1"/>
  <c r="AR846" i="1"/>
  <c r="AR845" i="1"/>
  <c r="AR844" i="1"/>
  <c r="AR843" i="1"/>
  <c r="AR842" i="1"/>
  <c r="AR841" i="1"/>
  <c r="AR840" i="1"/>
  <c r="AR837" i="1"/>
  <c r="AR836" i="1"/>
  <c r="AR835" i="1"/>
  <c r="AR834" i="1"/>
  <c r="AR833" i="1"/>
  <c r="AR832" i="1"/>
  <c r="AR818" i="1"/>
  <c r="AR817" i="1"/>
  <c r="AR816" i="1"/>
  <c r="AR815" i="1"/>
  <c r="AR814" i="1"/>
  <c r="AR813" i="1"/>
  <c r="AR812" i="1"/>
  <c r="AR811" i="1"/>
  <c r="AR810" i="1"/>
  <c r="AR809" i="1"/>
  <c r="AR808" i="1"/>
  <c r="AR807" i="1"/>
  <c r="AR806" i="1"/>
  <c r="AR805" i="1"/>
  <c r="AR804" i="1"/>
  <c r="AR803" i="1"/>
  <c r="AR802" i="1"/>
  <c r="AR801" i="1"/>
  <c r="AR800" i="1"/>
  <c r="AR799" i="1"/>
  <c r="AR798" i="1"/>
  <c r="AR797" i="1"/>
  <c r="AR796" i="1"/>
  <c r="AR795" i="1"/>
  <c r="AR794" i="1"/>
  <c r="AR793" i="1"/>
  <c r="AR792" i="1"/>
  <c r="AR791" i="1"/>
  <c r="AR790" i="1"/>
  <c r="AR789" i="1"/>
  <c r="AR788" i="1"/>
  <c r="AR1325" i="1" l="1"/>
  <c r="AQ1325" i="1"/>
  <c r="AR1329" i="1"/>
  <c r="AQ1329" i="1"/>
  <c r="AR1333" i="1"/>
  <c r="AQ1333" i="1"/>
  <c r="AR1338" i="1"/>
  <c r="AQ1338" i="1"/>
  <c r="AR1343" i="1"/>
  <c r="AQ1343" i="1"/>
  <c r="AR1348" i="1"/>
  <c r="AQ1348" i="1"/>
  <c r="AR1352" i="1"/>
  <c r="AQ1352" i="1"/>
  <c r="AR1356" i="1"/>
  <c r="AQ1356" i="1"/>
  <c r="AR1360" i="1"/>
  <c r="AQ1360" i="1"/>
  <c r="AR1364" i="1"/>
  <c r="AQ1364" i="1"/>
  <c r="AR1369" i="1"/>
  <c r="AQ1369" i="1"/>
  <c r="AR1374" i="1"/>
  <c r="AQ1374" i="1"/>
  <c r="AR1378" i="1"/>
  <c r="AQ1378" i="1"/>
  <c r="AR1382" i="1"/>
  <c r="AQ1382" i="1"/>
  <c r="AR1387" i="1"/>
  <c r="AQ1387" i="1"/>
  <c r="AR1391" i="1"/>
  <c r="AQ1391" i="1"/>
  <c r="AR1395" i="1"/>
  <c r="AQ1395" i="1"/>
  <c r="AR1399" i="1"/>
  <c r="AQ1399" i="1"/>
  <c r="AR1403" i="1"/>
  <c r="AQ1403" i="1"/>
  <c r="AR1408" i="1"/>
  <c r="AQ1408" i="1"/>
  <c r="AR1412" i="1"/>
  <c r="AQ1412" i="1"/>
  <c r="AR1416" i="1"/>
  <c r="AQ1416" i="1"/>
  <c r="AR1421" i="1"/>
  <c r="AQ1421" i="1"/>
  <c r="AR1425" i="1"/>
  <c r="AQ1425" i="1"/>
  <c r="AR1429" i="1"/>
  <c r="AQ1429" i="1"/>
  <c r="AR1433" i="1"/>
  <c r="AQ1433" i="1"/>
  <c r="AR1437" i="1"/>
  <c r="AQ1437" i="1"/>
  <c r="AR1441" i="1"/>
  <c r="AQ1441" i="1"/>
  <c r="AR1445" i="1"/>
  <c r="AQ1445" i="1"/>
  <c r="AR1449" i="1"/>
  <c r="AQ1449" i="1"/>
  <c r="AR1453" i="1"/>
  <c r="AQ1453" i="1"/>
  <c r="AR1457" i="1"/>
  <c r="AQ1457" i="1"/>
  <c r="AR1461" i="1"/>
  <c r="AQ1461" i="1"/>
  <c r="AR1465" i="1"/>
  <c r="AQ1465" i="1"/>
  <c r="AR1469" i="1"/>
  <c r="AQ1469" i="1"/>
  <c r="AR1473" i="1"/>
  <c r="AQ1473" i="1"/>
  <c r="AR1477" i="1"/>
  <c r="AQ1477" i="1"/>
  <c r="AR1481" i="1"/>
  <c r="AQ1481" i="1"/>
  <c r="AR1485" i="1"/>
  <c r="AQ1485" i="1"/>
  <c r="AR1489" i="1"/>
  <c r="AQ1489" i="1"/>
  <c r="AR1493" i="1"/>
  <c r="AQ1493" i="1"/>
  <c r="AR1498" i="1"/>
  <c r="AQ1498" i="1"/>
  <c r="AR1504" i="1"/>
  <c r="AQ1504" i="1"/>
  <c r="AR1508" i="1"/>
  <c r="AQ1508" i="1"/>
  <c r="AR1512" i="1"/>
  <c r="AQ1512" i="1"/>
  <c r="AR1516" i="1"/>
  <c r="AQ1516" i="1"/>
  <c r="AR1520" i="1"/>
  <c r="AQ1520" i="1"/>
  <c r="AR1524" i="1"/>
  <c r="AQ1524" i="1"/>
  <c r="AR1529" i="1"/>
  <c r="AQ1529" i="1"/>
  <c r="AR1535" i="1"/>
  <c r="AQ1535" i="1"/>
  <c r="AR1539" i="1"/>
  <c r="AQ1539" i="1"/>
  <c r="AR1544" i="1"/>
  <c r="AQ1544" i="1"/>
  <c r="AR1549" i="1"/>
  <c r="AQ1549" i="1"/>
  <c r="AR1553" i="1"/>
  <c r="AQ1553" i="1"/>
  <c r="AR1557" i="1"/>
  <c r="AQ1557" i="1"/>
  <c r="AR1561" i="1"/>
  <c r="AQ1561" i="1"/>
  <c r="AR1565" i="1"/>
  <c r="AQ1565" i="1"/>
  <c r="AR1569" i="1"/>
  <c r="AQ1569" i="1"/>
  <c r="AR1574" i="1"/>
  <c r="AQ1574" i="1"/>
  <c r="AR1578" i="1"/>
  <c r="AQ1578" i="1"/>
  <c r="AR1582" i="1"/>
  <c r="AQ1582" i="1"/>
  <c r="AR1586" i="1"/>
  <c r="AQ1586" i="1"/>
  <c r="AR1590" i="1"/>
  <c r="AQ1590" i="1"/>
  <c r="AR1594" i="1"/>
  <c r="AQ1594" i="1"/>
  <c r="AR1598" i="1"/>
  <c r="AQ1598" i="1"/>
  <c r="AR1602" i="1"/>
  <c r="AQ1602" i="1"/>
  <c r="AR1606" i="1"/>
  <c r="AQ1606" i="1"/>
  <c r="AR1610" i="1"/>
  <c r="AQ1610" i="1"/>
  <c r="AR1614" i="1"/>
  <c r="AQ1614" i="1"/>
  <c r="AR1618" i="1"/>
  <c r="AQ1618" i="1"/>
  <c r="AR1622" i="1"/>
  <c r="AQ1622" i="1"/>
  <c r="AR1626" i="1"/>
  <c r="AQ1626" i="1"/>
  <c r="AR1630" i="1"/>
  <c r="AQ1630" i="1"/>
  <c r="AR1634" i="1"/>
  <c r="AQ1634" i="1"/>
  <c r="AR1638" i="1"/>
  <c r="AQ1638" i="1"/>
  <c r="AR1642" i="1"/>
  <c r="AQ1642" i="1"/>
  <c r="AR1646" i="1"/>
  <c r="AQ1646" i="1"/>
  <c r="AR1650" i="1"/>
  <c r="AQ1650" i="1"/>
  <c r="AR1654" i="1"/>
  <c r="AQ1654" i="1"/>
  <c r="AR1658" i="1"/>
  <c r="AQ1658" i="1"/>
  <c r="AR1662" i="1"/>
  <c r="AQ1662" i="1"/>
  <c r="AR1666" i="1"/>
  <c r="AQ1666" i="1"/>
  <c r="AR1670" i="1"/>
  <c r="AQ1670" i="1"/>
  <c r="AR1674" i="1"/>
  <c r="AQ1674" i="1"/>
  <c r="AR1678" i="1"/>
  <c r="AQ1678" i="1"/>
  <c r="AR1682" i="1"/>
  <c r="AQ1682" i="1"/>
  <c r="AR1686" i="1"/>
  <c r="AQ1686" i="1"/>
  <c r="AR1690" i="1"/>
  <c r="AQ1690" i="1"/>
  <c r="AR1694" i="1"/>
  <c r="AQ1694" i="1"/>
  <c r="AR1698" i="1"/>
  <c r="AQ1698" i="1"/>
  <c r="AR1702" i="1"/>
  <c r="AQ1702" i="1"/>
  <c r="AR1708" i="1"/>
  <c r="AQ1708" i="1"/>
  <c r="AR1712" i="1"/>
  <c r="AQ1712" i="1"/>
  <c r="AR1716" i="1"/>
  <c r="AQ1716" i="1"/>
  <c r="AR1720" i="1"/>
  <c r="AQ1720" i="1"/>
  <c r="AR1724" i="1"/>
  <c r="AQ1724" i="1"/>
  <c r="AR1728" i="1"/>
  <c r="AQ1728" i="1"/>
  <c r="AR1735" i="1"/>
  <c r="AQ1735" i="1"/>
  <c r="AR1739" i="1"/>
  <c r="AQ1739" i="1"/>
  <c r="AR1743" i="1"/>
  <c r="AQ1743" i="1"/>
  <c r="AR1747" i="1"/>
  <c r="AQ1747" i="1"/>
  <c r="AR1751" i="1"/>
  <c r="AQ1751" i="1"/>
  <c r="AR1755" i="1"/>
  <c r="AQ1755" i="1"/>
  <c r="AR1759" i="1"/>
  <c r="AQ1759" i="1"/>
  <c r="AR1763" i="1"/>
  <c r="AQ1763" i="1"/>
  <c r="AR1775" i="1"/>
  <c r="AQ1775" i="1"/>
  <c r="AR1779" i="1"/>
  <c r="AQ1779" i="1"/>
  <c r="AR1783" i="1"/>
  <c r="AQ1783" i="1"/>
  <c r="AR1787" i="1"/>
  <c r="AQ1787" i="1"/>
  <c r="AR1792" i="1"/>
  <c r="AQ1792" i="1"/>
  <c r="AR1796" i="1"/>
  <c r="AQ1796" i="1"/>
  <c r="AR1800" i="1"/>
  <c r="AQ1800" i="1"/>
  <c r="AR1804" i="1"/>
  <c r="AQ1804" i="1"/>
  <c r="AR1808" i="1"/>
  <c r="AQ1808" i="1"/>
  <c r="AR1812" i="1"/>
  <c r="AQ1812" i="1"/>
  <c r="AR1819" i="1"/>
  <c r="AQ1819" i="1"/>
  <c r="AR1823" i="1"/>
  <c r="AQ1823" i="1"/>
  <c r="AR1827" i="1"/>
  <c r="AQ1827" i="1"/>
  <c r="AR1832" i="1"/>
  <c r="AQ1832" i="1"/>
  <c r="AR1836" i="1"/>
  <c r="AQ1836" i="1"/>
  <c r="AR1840" i="1"/>
  <c r="AQ1840" i="1"/>
  <c r="AR1846" i="1"/>
  <c r="AQ1846" i="1"/>
  <c r="AR1850" i="1"/>
  <c r="AQ1850" i="1"/>
  <c r="AR1854" i="1"/>
  <c r="AQ1854" i="1"/>
  <c r="AR1858" i="1"/>
  <c r="AQ1858" i="1"/>
  <c r="AR1863" i="1"/>
  <c r="AQ1863" i="1"/>
  <c r="AR1867" i="1"/>
  <c r="AQ1867" i="1"/>
  <c r="AR1878" i="1"/>
  <c r="AQ1878" i="1"/>
  <c r="AR1882" i="1"/>
  <c r="AQ1882" i="1"/>
  <c r="AR1886" i="1"/>
  <c r="AQ1886" i="1"/>
  <c r="AR1890" i="1"/>
  <c r="AQ1890" i="1"/>
  <c r="AR1894" i="1"/>
  <c r="AQ1894" i="1"/>
  <c r="AR1899" i="1"/>
  <c r="AQ1899" i="1"/>
  <c r="AR1903" i="1"/>
  <c r="AQ1903" i="1"/>
  <c r="AR1907" i="1"/>
  <c r="AQ1907" i="1"/>
  <c r="AR1911" i="1"/>
  <c r="AQ1911" i="1"/>
  <c r="AR1918" i="1"/>
  <c r="AQ1918" i="1"/>
  <c r="AR1922" i="1"/>
  <c r="AQ1922" i="1"/>
  <c r="AR1926" i="1"/>
  <c r="AQ1926" i="1"/>
  <c r="AR1930" i="1"/>
  <c r="AQ1930" i="1"/>
  <c r="AR1934" i="1"/>
  <c r="AQ1934" i="1"/>
  <c r="AR1938" i="1"/>
  <c r="AQ1938" i="1"/>
  <c r="AR1942" i="1"/>
  <c r="AQ1942" i="1"/>
  <c r="AR1946" i="1"/>
  <c r="AQ1946" i="1"/>
  <c r="AR1952" i="1"/>
  <c r="AQ1952" i="1"/>
  <c r="AR1956" i="1"/>
  <c r="AQ1956" i="1"/>
  <c r="AR1962" i="1"/>
  <c r="AQ1962" i="1"/>
  <c r="AR1967" i="1"/>
  <c r="AQ1967" i="1"/>
  <c r="AR1975" i="1"/>
  <c r="AQ1975" i="1"/>
  <c r="AR1979" i="1"/>
  <c r="AQ1979" i="1"/>
  <c r="AR1983" i="1"/>
  <c r="AQ1983" i="1"/>
  <c r="AR1991" i="1"/>
  <c r="AQ1991" i="1"/>
  <c r="AR1996" i="1"/>
  <c r="AQ1996" i="1"/>
  <c r="AR2001" i="1"/>
  <c r="AQ2001" i="1"/>
  <c r="AR2009" i="1"/>
  <c r="AQ2009" i="1"/>
  <c r="AR2013" i="1"/>
  <c r="AQ2013" i="1"/>
  <c r="AR2026" i="1"/>
  <c r="AQ2026" i="1"/>
  <c r="AR2030" i="1"/>
  <c r="AQ2030" i="1"/>
  <c r="AR2034" i="1"/>
  <c r="AQ2034" i="1"/>
  <c r="AR2038" i="1"/>
  <c r="AQ2038" i="1"/>
  <c r="AR2043" i="1"/>
  <c r="AQ2043" i="1"/>
  <c r="AR2048" i="1"/>
  <c r="AQ2048" i="1"/>
  <c r="AR2053" i="1"/>
  <c r="AQ2053" i="1"/>
  <c r="AR2057" i="1"/>
  <c r="AQ2057" i="1"/>
  <c r="AR2072" i="1"/>
  <c r="AQ2072" i="1"/>
  <c r="AR2076" i="1"/>
  <c r="AQ2076" i="1"/>
  <c r="AR2080" i="1"/>
  <c r="AQ2080" i="1"/>
  <c r="AR2084" i="1"/>
  <c r="AQ2084" i="1"/>
  <c r="AR2088" i="1"/>
  <c r="AQ2088" i="1"/>
  <c r="AR2092" i="1"/>
  <c r="AQ2092" i="1"/>
  <c r="AR2096" i="1"/>
  <c r="AQ2096" i="1"/>
  <c r="AR2100" i="1"/>
  <c r="AQ2100" i="1"/>
  <c r="AR2104" i="1"/>
  <c r="AQ2104" i="1"/>
  <c r="AR2108" i="1"/>
  <c r="AQ2108" i="1"/>
  <c r="AR2112" i="1"/>
  <c r="AQ2112" i="1"/>
  <c r="AR2116" i="1"/>
  <c r="AQ2116" i="1"/>
  <c r="AR2120" i="1"/>
  <c r="AQ2120" i="1"/>
  <c r="AR2124" i="1"/>
  <c r="AQ2124" i="1"/>
  <c r="AR2128" i="1"/>
  <c r="AQ2128" i="1"/>
  <c r="AR2132" i="1"/>
  <c r="AQ2132" i="1"/>
  <c r="AR2137" i="1"/>
  <c r="AQ2137" i="1"/>
  <c r="AR2141" i="1"/>
  <c r="AQ2141" i="1"/>
  <c r="AR2146" i="1"/>
  <c r="AQ2146" i="1"/>
  <c r="AR2150" i="1"/>
  <c r="AQ2150" i="1"/>
  <c r="AR2154" i="1"/>
  <c r="AQ2154" i="1"/>
  <c r="AR2158" i="1"/>
  <c r="AQ2158" i="1"/>
  <c r="AR2162" i="1"/>
  <c r="AQ2162" i="1"/>
  <c r="AR2166" i="1"/>
  <c r="AQ2166" i="1"/>
  <c r="AR2170" i="1"/>
  <c r="AQ2170" i="1"/>
  <c r="AR2174" i="1"/>
  <c r="AQ2174" i="1"/>
  <c r="AR2179" i="1"/>
  <c r="AQ2179" i="1"/>
  <c r="AR2183" i="1"/>
  <c r="AQ2183" i="1"/>
  <c r="AR2187" i="1"/>
  <c r="AQ2187" i="1"/>
  <c r="AR2191" i="1"/>
  <c r="AQ2191" i="1"/>
  <c r="AR2196" i="1"/>
  <c r="AQ2196" i="1"/>
  <c r="AQ1084" i="1"/>
  <c r="AQ792" i="1"/>
  <c r="AQ927" i="1"/>
  <c r="AQ1286" i="1"/>
  <c r="AQ850" i="1"/>
  <c r="AQ1255" i="1"/>
  <c r="AQ1041" i="1"/>
  <c r="AQ1174" i="1"/>
  <c r="AQ1212" i="1"/>
  <c r="AQ1160" i="1"/>
  <c r="AQ916" i="1"/>
  <c r="AQ1257" i="1"/>
  <c r="AQ1169" i="1"/>
  <c r="AQ964" i="1"/>
  <c r="AQ1040" i="1"/>
  <c r="AQ1219" i="1"/>
  <c r="AQ1158" i="1"/>
  <c r="AQ910" i="1"/>
  <c r="AQ1289" i="1"/>
  <c r="AQ1028" i="1"/>
  <c r="AQ1276" i="1"/>
  <c r="AQ1248" i="1"/>
  <c r="AQ1205" i="1"/>
  <c r="AQ893" i="1"/>
  <c r="AQ1125" i="1"/>
  <c r="AQ943" i="1"/>
  <c r="AQ1013" i="1"/>
  <c r="AQ1051" i="1"/>
  <c r="AQ1194" i="1"/>
  <c r="AQ1234" i="1"/>
  <c r="AQ1089" i="1"/>
  <c r="AQ1156" i="1"/>
  <c r="AQ1292" i="1"/>
  <c r="AQ872" i="1"/>
  <c r="AQ989" i="1"/>
  <c r="AQ1295" i="1"/>
  <c r="AQ840" i="1"/>
  <c r="AQ914" i="1"/>
  <c r="AQ1179" i="1"/>
  <c r="AQ1009" i="1"/>
  <c r="AQ956" i="1"/>
  <c r="AQ1057" i="1"/>
  <c r="AQ1235" i="1"/>
  <c r="AQ1044" i="1"/>
  <c r="AQ1223" i="1"/>
  <c r="AQ814" i="1"/>
  <c r="AQ918" i="1"/>
  <c r="AQ879" i="1"/>
  <c r="AQ841" i="1"/>
  <c r="AQ851" i="1"/>
  <c r="AQ1018" i="1"/>
  <c r="AQ1004" i="1"/>
  <c r="AQ1309" i="1"/>
  <c r="AQ1306" i="1"/>
  <c r="AQ969" i="1"/>
  <c r="AQ1005" i="1"/>
  <c r="AQ842" i="1"/>
  <c r="AQ1283" i="1"/>
  <c r="AQ1226" i="1"/>
  <c r="AQ807" i="1"/>
  <c r="AQ1298" i="1"/>
  <c r="AQ1092" i="1"/>
  <c r="AQ1175" i="1"/>
  <c r="AQ877" i="1"/>
  <c r="AQ948" i="1"/>
  <c r="AQ919" i="1"/>
  <c r="AQ995" i="1"/>
  <c r="AQ1038" i="1"/>
  <c r="AQ1110" i="1"/>
  <c r="AQ1198" i="1"/>
  <c r="AQ1230" i="1"/>
  <c r="AQ833" i="1"/>
  <c r="AQ1116" i="1"/>
  <c r="AQ1186" i="1"/>
  <c r="AQ1314" i="1"/>
  <c r="AQ905" i="1"/>
  <c r="AQ993" i="1"/>
  <c r="AQ1258" i="1"/>
  <c r="AQ1305" i="1"/>
  <c r="AQ878" i="1"/>
  <c r="AQ1181" i="1"/>
  <c r="AQ1165" i="1"/>
  <c r="AQ1052" i="1"/>
  <c r="AQ949" i="1"/>
  <c r="AQ892" i="1"/>
  <c r="AQ1042" i="1"/>
  <c r="AQ1221" i="1"/>
  <c r="AQ1096" i="1"/>
  <c r="AQ884" i="1"/>
  <c r="AQ963" i="1"/>
  <c r="AQ945" i="1"/>
  <c r="AQ952" i="1"/>
  <c r="AQ836" i="1"/>
  <c r="AQ1126" i="1"/>
  <c r="AQ1019" i="1"/>
  <c r="AQ1285" i="1"/>
  <c r="AQ1233" i="1"/>
  <c r="AQ909" i="1"/>
  <c r="AQ1225" i="1"/>
  <c r="AQ903" i="1"/>
  <c r="AQ1081" i="1"/>
  <c r="AQ1268" i="1"/>
  <c r="AQ1290" i="1"/>
  <c r="AQ946" i="1"/>
  <c r="AQ936" i="1"/>
  <c r="AQ811" i="1"/>
  <c r="AR1324" i="1"/>
  <c r="AQ1324" i="1"/>
  <c r="AR1328" i="1"/>
  <c r="AQ1328" i="1"/>
  <c r="AR1332" i="1"/>
  <c r="AQ1332" i="1"/>
  <c r="AR1336" i="1"/>
  <c r="AQ1336" i="1"/>
  <c r="AR1341" i="1"/>
  <c r="AQ1341" i="1"/>
  <c r="AR1347" i="1"/>
  <c r="AQ1347" i="1"/>
  <c r="AR1351" i="1"/>
  <c r="AQ1351" i="1"/>
  <c r="AR1355" i="1"/>
  <c r="AQ1355" i="1"/>
  <c r="AR1359" i="1"/>
  <c r="AQ1359" i="1"/>
  <c r="AR1363" i="1"/>
  <c r="AQ1363" i="1"/>
  <c r="AR1368" i="1"/>
  <c r="AQ1368" i="1"/>
  <c r="AR1373" i="1"/>
  <c r="AQ1373" i="1"/>
  <c r="AR1377" i="1"/>
  <c r="AQ1377" i="1"/>
  <c r="AR1381" i="1"/>
  <c r="AQ1381" i="1"/>
  <c r="AR1386" i="1"/>
  <c r="AQ1386" i="1"/>
  <c r="AR1390" i="1"/>
  <c r="AQ1390" i="1"/>
  <c r="AR1394" i="1"/>
  <c r="AQ1394" i="1"/>
  <c r="AR1398" i="1"/>
  <c r="AQ1398" i="1"/>
  <c r="AR1402" i="1"/>
  <c r="AQ1402" i="1"/>
  <c r="AR1407" i="1"/>
  <c r="AQ1407" i="1"/>
  <c r="AR1411" i="1"/>
  <c r="AQ1411" i="1"/>
  <c r="AR1415" i="1"/>
  <c r="AQ1415" i="1"/>
  <c r="AR1420" i="1"/>
  <c r="AQ1420" i="1"/>
  <c r="AR1424" i="1"/>
  <c r="AQ1424" i="1"/>
  <c r="AR1428" i="1"/>
  <c r="AQ1428" i="1"/>
  <c r="AR1432" i="1"/>
  <c r="AQ1432" i="1"/>
  <c r="AR1436" i="1"/>
  <c r="AQ1436" i="1"/>
  <c r="AR1440" i="1"/>
  <c r="AQ1440" i="1"/>
  <c r="AR1444" i="1"/>
  <c r="AQ1444" i="1"/>
  <c r="AR1448" i="1"/>
  <c r="AQ1448" i="1"/>
  <c r="AR1452" i="1"/>
  <c r="AQ1452" i="1"/>
  <c r="AR1456" i="1"/>
  <c r="AQ1456" i="1"/>
  <c r="AR1460" i="1"/>
  <c r="AQ1460" i="1"/>
  <c r="AR1464" i="1"/>
  <c r="AQ1464" i="1"/>
  <c r="AR1468" i="1"/>
  <c r="AQ1468" i="1"/>
  <c r="AR1472" i="1"/>
  <c r="AQ1472" i="1"/>
  <c r="AR1476" i="1"/>
  <c r="AQ1476" i="1"/>
  <c r="AR1480" i="1"/>
  <c r="AQ1480" i="1"/>
  <c r="AR1484" i="1"/>
  <c r="AQ1484" i="1"/>
  <c r="AR1488" i="1"/>
  <c r="AQ1488" i="1"/>
  <c r="AR1492" i="1"/>
  <c r="AQ1492" i="1"/>
  <c r="AR1497" i="1"/>
  <c r="AQ1497" i="1"/>
  <c r="AR1501" i="1"/>
  <c r="AQ1501" i="1"/>
  <c r="AR1507" i="1"/>
  <c r="AQ1507" i="1"/>
  <c r="AR1511" i="1"/>
  <c r="AQ1511" i="1"/>
  <c r="AR1515" i="1"/>
  <c r="AQ1515" i="1"/>
  <c r="AR1519" i="1"/>
  <c r="AQ1519" i="1"/>
  <c r="AR1523" i="1"/>
  <c r="AQ1523" i="1"/>
  <c r="AR1528" i="1"/>
  <c r="AQ1528" i="1"/>
  <c r="AR1534" i="1"/>
  <c r="AQ1534" i="1"/>
  <c r="AR1538" i="1"/>
  <c r="AQ1538" i="1"/>
  <c r="AR1543" i="1"/>
  <c r="AQ1543" i="1"/>
  <c r="AR1548" i="1"/>
  <c r="AQ1548" i="1"/>
  <c r="AR1552" i="1"/>
  <c r="AQ1552" i="1"/>
  <c r="AR1556" i="1"/>
  <c r="AQ1556" i="1"/>
  <c r="AR1560" i="1"/>
  <c r="AQ1560" i="1"/>
  <c r="AR1564" i="1"/>
  <c r="AQ1564" i="1"/>
  <c r="AR1568" i="1"/>
  <c r="AQ1568" i="1"/>
  <c r="AR1572" i="1"/>
  <c r="AQ1572" i="1"/>
  <c r="AR1577" i="1"/>
  <c r="AQ1577" i="1"/>
  <c r="AR1581" i="1"/>
  <c r="AQ1581" i="1"/>
  <c r="AR1585" i="1"/>
  <c r="AQ1585" i="1"/>
  <c r="AR1589" i="1"/>
  <c r="AQ1589" i="1"/>
  <c r="AR1593" i="1"/>
  <c r="AQ1593" i="1"/>
  <c r="AR1597" i="1"/>
  <c r="AQ1597" i="1"/>
  <c r="AR1601" i="1"/>
  <c r="AQ1601" i="1"/>
  <c r="AR1605" i="1"/>
  <c r="AQ1605" i="1"/>
  <c r="AR1609" i="1"/>
  <c r="AQ1609" i="1"/>
  <c r="AR1613" i="1"/>
  <c r="AQ1613" i="1"/>
  <c r="AR1617" i="1"/>
  <c r="AQ1617" i="1"/>
  <c r="AR1621" i="1"/>
  <c r="AQ1621" i="1"/>
  <c r="AR1625" i="1"/>
  <c r="AQ1625" i="1"/>
  <c r="AR1629" i="1"/>
  <c r="AQ1629" i="1"/>
  <c r="AR1633" i="1"/>
  <c r="AQ1633" i="1"/>
  <c r="AR1637" i="1"/>
  <c r="AQ1637" i="1"/>
  <c r="AR1641" i="1"/>
  <c r="AQ1641" i="1"/>
  <c r="AR1645" i="1"/>
  <c r="AQ1645" i="1"/>
  <c r="AR1649" i="1"/>
  <c r="AQ1649" i="1"/>
  <c r="AR1653" i="1"/>
  <c r="AQ1653" i="1"/>
  <c r="AR1657" i="1"/>
  <c r="AQ1657" i="1"/>
  <c r="AR1661" i="1"/>
  <c r="AQ1661" i="1"/>
  <c r="AR1665" i="1"/>
  <c r="AQ1665" i="1"/>
  <c r="AR1669" i="1"/>
  <c r="AQ1669" i="1"/>
  <c r="AR1673" i="1"/>
  <c r="AQ1673" i="1"/>
  <c r="AR1677" i="1"/>
  <c r="AQ1677" i="1"/>
  <c r="AR1681" i="1"/>
  <c r="AQ1681" i="1"/>
  <c r="AR1685" i="1"/>
  <c r="AQ1685" i="1"/>
  <c r="AR1689" i="1"/>
  <c r="AQ1689" i="1"/>
  <c r="AR1693" i="1"/>
  <c r="AQ1693" i="1"/>
  <c r="AR1697" i="1"/>
  <c r="AQ1697" i="1"/>
  <c r="AR1701" i="1"/>
  <c r="AQ1701" i="1"/>
  <c r="AR1707" i="1"/>
  <c r="AQ1707" i="1"/>
  <c r="AR1711" i="1"/>
  <c r="AQ1711" i="1"/>
  <c r="AR1715" i="1"/>
  <c r="AQ1715" i="1"/>
  <c r="AR1719" i="1"/>
  <c r="AQ1719" i="1"/>
  <c r="AR1723" i="1"/>
  <c r="AQ1723" i="1"/>
  <c r="AR1727" i="1"/>
  <c r="AQ1727" i="1"/>
  <c r="AR1731" i="1"/>
  <c r="AQ1731" i="1"/>
  <c r="AR1738" i="1"/>
  <c r="AQ1738" i="1"/>
  <c r="AR1742" i="1"/>
  <c r="AQ1742" i="1"/>
  <c r="AR1746" i="1"/>
  <c r="AQ1746" i="1"/>
  <c r="AR1750" i="1"/>
  <c r="AQ1750" i="1"/>
  <c r="AR1754" i="1"/>
  <c r="AQ1754" i="1"/>
  <c r="AR1758" i="1"/>
  <c r="AQ1758" i="1"/>
  <c r="AR1762" i="1"/>
  <c r="AQ1762" i="1"/>
  <c r="AR1774" i="1"/>
  <c r="AQ1774" i="1"/>
  <c r="AR1778" i="1"/>
  <c r="AQ1778" i="1"/>
  <c r="AR1782" i="1"/>
  <c r="AQ1782" i="1"/>
  <c r="AR1786" i="1"/>
  <c r="AQ1786" i="1"/>
  <c r="AR1790" i="1"/>
  <c r="AQ1790" i="1"/>
  <c r="AR1795" i="1"/>
  <c r="AQ1795" i="1"/>
  <c r="AR1799" i="1"/>
  <c r="AQ1799" i="1"/>
  <c r="AR1803" i="1"/>
  <c r="AQ1803" i="1"/>
  <c r="AR1807" i="1"/>
  <c r="AQ1807" i="1"/>
  <c r="AR1811" i="1"/>
  <c r="AQ1811" i="1"/>
  <c r="AR1818" i="1"/>
  <c r="AQ1818" i="1"/>
  <c r="AR1822" i="1"/>
  <c r="AQ1822" i="1"/>
  <c r="AR1826" i="1"/>
  <c r="AQ1826" i="1"/>
  <c r="AR1831" i="1"/>
  <c r="AQ1831" i="1"/>
  <c r="AR1835" i="1"/>
  <c r="AQ1835" i="1"/>
  <c r="AR1839" i="1"/>
  <c r="AQ1839" i="1"/>
  <c r="AR1845" i="1"/>
  <c r="AQ1845" i="1"/>
  <c r="AR1849" i="1"/>
  <c r="AQ1849" i="1"/>
  <c r="AR1853" i="1"/>
  <c r="AQ1853" i="1"/>
  <c r="AR1857" i="1"/>
  <c r="AQ1857" i="1"/>
  <c r="AR1862" i="1"/>
  <c r="AQ1862" i="1"/>
  <c r="AR1866" i="1"/>
  <c r="AQ1866" i="1"/>
  <c r="AR1877" i="1"/>
  <c r="AQ1877" i="1"/>
  <c r="AR1881" i="1"/>
  <c r="AQ1881" i="1"/>
  <c r="AR1885" i="1"/>
  <c r="AQ1885" i="1"/>
  <c r="AR1889" i="1"/>
  <c r="AQ1889" i="1"/>
  <c r="AR1893" i="1"/>
  <c r="AQ1893" i="1"/>
  <c r="AR1898" i="1"/>
  <c r="AQ1898" i="1"/>
  <c r="AR1902" i="1"/>
  <c r="AQ1902" i="1"/>
  <c r="AR1906" i="1"/>
  <c r="AQ1906" i="1"/>
  <c r="AR1910" i="1"/>
  <c r="AQ1910" i="1"/>
  <c r="AR1914" i="1"/>
  <c r="AQ1914" i="1"/>
  <c r="AR1921" i="1"/>
  <c r="AQ1921" i="1"/>
  <c r="AR1925" i="1"/>
  <c r="AQ1925" i="1"/>
  <c r="AR1929" i="1"/>
  <c r="AQ1929" i="1"/>
  <c r="AR1933" i="1"/>
  <c r="AQ1933" i="1"/>
  <c r="AR1937" i="1"/>
  <c r="AQ1937" i="1"/>
  <c r="AR1941" i="1"/>
  <c r="AQ1941" i="1"/>
  <c r="AR1945" i="1"/>
  <c r="AQ1945" i="1"/>
  <c r="AR1951" i="1"/>
  <c r="AQ1951" i="1"/>
  <c r="AR1955" i="1"/>
  <c r="AQ1955" i="1"/>
  <c r="AR1961" i="1"/>
  <c r="AQ1961" i="1"/>
  <c r="AR1966" i="1"/>
  <c r="AQ1966" i="1"/>
  <c r="AR1974" i="1"/>
  <c r="AQ1974" i="1"/>
  <c r="AR1978" i="1"/>
  <c r="AQ1978" i="1"/>
  <c r="AR1982" i="1"/>
  <c r="AQ1982" i="1"/>
  <c r="AR1990" i="1"/>
  <c r="AQ1990" i="1"/>
  <c r="AR1995" i="1"/>
  <c r="AQ1995" i="1"/>
  <c r="AR2000" i="1"/>
  <c r="AQ2000" i="1"/>
  <c r="AR2008" i="1"/>
  <c r="AQ2008" i="1"/>
  <c r="AR2012" i="1"/>
  <c r="AQ2012" i="1"/>
  <c r="AR2018" i="1"/>
  <c r="AQ2018" i="1"/>
  <c r="AR2029" i="1"/>
  <c r="AQ2029" i="1"/>
  <c r="AR2033" i="1"/>
  <c r="AQ2033" i="1"/>
  <c r="AR2037" i="1"/>
  <c r="AQ2037" i="1"/>
  <c r="AR2042" i="1"/>
  <c r="AQ2042" i="1"/>
  <c r="AR2047" i="1"/>
  <c r="AQ2047" i="1"/>
  <c r="AR2052" i="1"/>
  <c r="AQ2052" i="1"/>
  <c r="AR2056" i="1"/>
  <c r="AQ2056" i="1"/>
  <c r="AR2067" i="1"/>
  <c r="AQ2067" i="1"/>
  <c r="AR2075" i="1"/>
  <c r="AQ2075" i="1"/>
  <c r="AR2079" i="1"/>
  <c r="AQ2079" i="1"/>
  <c r="AR2083" i="1"/>
  <c r="AQ2083" i="1"/>
  <c r="AR2087" i="1"/>
  <c r="AQ2087" i="1"/>
  <c r="AR2091" i="1"/>
  <c r="AQ2091" i="1"/>
  <c r="AR2095" i="1"/>
  <c r="AQ2095" i="1"/>
  <c r="AR2099" i="1"/>
  <c r="AQ2099" i="1"/>
  <c r="AR2103" i="1"/>
  <c r="AQ2103" i="1"/>
  <c r="AR2107" i="1"/>
  <c r="AQ2107" i="1"/>
  <c r="AR2111" i="1"/>
  <c r="AQ2111" i="1"/>
  <c r="AR2115" i="1"/>
  <c r="AQ2115" i="1"/>
  <c r="AR2119" i="1"/>
  <c r="AQ2119" i="1"/>
  <c r="AR2123" i="1"/>
  <c r="AQ2123" i="1"/>
  <c r="AR2127" i="1"/>
  <c r="AQ2127" i="1"/>
  <c r="AR2131" i="1"/>
  <c r="AQ2131" i="1"/>
  <c r="AR2136" i="1"/>
  <c r="AQ2136" i="1"/>
  <c r="AR2140" i="1"/>
  <c r="AQ2140" i="1"/>
  <c r="AR2144" i="1"/>
  <c r="AQ2144" i="1"/>
  <c r="AR2149" i="1"/>
  <c r="AQ2149" i="1"/>
  <c r="AR2153" i="1"/>
  <c r="AQ2153" i="1"/>
  <c r="AR2157" i="1"/>
  <c r="AQ2157" i="1"/>
  <c r="AR2161" i="1"/>
  <c r="AQ2161" i="1"/>
  <c r="AR2165" i="1"/>
  <c r="AQ2165" i="1"/>
  <c r="AR2169" i="1"/>
  <c r="AQ2169" i="1"/>
  <c r="AR2173" i="1"/>
  <c r="AQ2173" i="1"/>
  <c r="AR2178" i="1"/>
  <c r="AQ2178" i="1"/>
  <c r="AR2182" i="1"/>
  <c r="AQ2182" i="1"/>
  <c r="AR2186" i="1"/>
  <c r="AQ2186" i="1"/>
  <c r="AR2190" i="1"/>
  <c r="AQ2190" i="1"/>
  <c r="AR2195" i="1"/>
  <c r="AQ2195" i="1"/>
  <c r="AQ1213" i="1"/>
  <c r="AQ1250" i="1"/>
  <c r="AQ899" i="1"/>
  <c r="AQ1264" i="1"/>
  <c r="AQ1304" i="1"/>
  <c r="AQ1229" i="1"/>
  <c r="AQ1032" i="1"/>
  <c r="AQ1124" i="1"/>
  <c r="AQ1204" i="1"/>
  <c r="AQ1114" i="1"/>
  <c r="AQ804" i="1"/>
  <c r="AQ1263" i="1"/>
  <c r="AQ1311" i="1"/>
  <c r="AQ988" i="1"/>
  <c r="AQ900" i="1"/>
  <c r="AQ1173" i="1"/>
  <c r="AQ1027" i="1"/>
  <c r="AQ923" i="1"/>
  <c r="AQ1260" i="1"/>
  <c r="AQ1251" i="1"/>
  <c r="AQ1166" i="1"/>
  <c r="AQ1278" i="1"/>
  <c r="AQ932" i="1"/>
  <c r="AQ1193" i="1"/>
  <c r="AQ1107" i="1"/>
  <c r="AQ915" i="1"/>
  <c r="AQ991" i="1"/>
  <c r="AQ1043" i="1"/>
  <c r="AQ1180" i="1"/>
  <c r="AQ1220" i="1"/>
  <c r="AQ876" i="1"/>
  <c r="AQ1112" i="1"/>
  <c r="AQ1279" i="1"/>
  <c r="AQ1317" i="1"/>
  <c r="AQ980" i="1"/>
  <c r="AQ1262" i="1"/>
  <c r="AQ818" i="1"/>
  <c r="AQ809" i="1"/>
  <c r="AQ1243" i="1"/>
  <c r="AQ1031" i="1"/>
  <c r="AQ966" i="1"/>
  <c r="AQ810" i="1"/>
  <c r="AQ1189" i="1"/>
  <c r="AQ984" i="1"/>
  <c r="AQ1177" i="1"/>
  <c r="AQ898" i="1"/>
  <c r="AQ885" i="1"/>
  <c r="AQ955" i="1"/>
  <c r="AQ832" i="1"/>
  <c r="AQ812" i="1"/>
  <c r="AQ953" i="1"/>
  <c r="AQ1200" i="1"/>
  <c r="AQ1188" i="1"/>
  <c r="AQ1269" i="1"/>
  <c r="AQ1033" i="1"/>
  <c r="AQ1111" i="1"/>
  <c r="AQ904" i="1"/>
  <c r="AQ896" i="1"/>
  <c r="AQ882" i="1"/>
  <c r="AQ1208" i="1"/>
  <c r="AQ941" i="1"/>
  <c r="AQ958" i="1"/>
  <c r="AQ1080" i="1"/>
  <c r="AQ902" i="1"/>
  <c r="AQ794" i="1"/>
  <c r="AQ911" i="1"/>
  <c r="AQ987" i="1"/>
  <c r="AQ1030" i="1"/>
  <c r="AQ1083" i="1"/>
  <c r="AQ1190" i="1"/>
  <c r="AQ1224" i="1"/>
  <c r="AQ788" i="1"/>
  <c r="AQ1102" i="1"/>
  <c r="AQ1172" i="1"/>
  <c r="AQ1296" i="1"/>
  <c r="AQ815" i="1"/>
  <c r="AQ985" i="1"/>
  <c r="AQ1247" i="1"/>
  <c r="AQ1299" i="1"/>
  <c r="AQ844" i="1"/>
  <c r="AQ1048" i="1"/>
  <c r="AQ1183" i="1"/>
  <c r="AQ1086" i="1"/>
  <c r="AQ973" i="1"/>
  <c r="AQ908" i="1"/>
  <c r="AQ1023" i="1"/>
  <c r="AQ1203" i="1"/>
  <c r="AQ1029" i="1"/>
  <c r="AQ1209" i="1"/>
  <c r="AQ907" i="1"/>
  <c r="AQ890" i="1"/>
  <c r="AQ920" i="1"/>
  <c r="AQ834" i="1"/>
  <c r="AQ1099" i="1"/>
  <c r="AQ1312" i="1"/>
  <c r="AQ1265" i="1"/>
  <c r="AQ1199" i="1"/>
  <c r="AQ940" i="1"/>
  <c r="AQ1113" i="1"/>
  <c r="AQ883" i="1"/>
  <c r="AQ802" i="1"/>
  <c r="AQ1222" i="1"/>
  <c r="AQ1261" i="1"/>
  <c r="AQ986" i="1"/>
  <c r="AQ929" i="1"/>
  <c r="AQ942" i="1"/>
  <c r="AR1323" i="1"/>
  <c r="AQ1323" i="1"/>
  <c r="AR1327" i="1"/>
  <c r="AQ1327" i="1"/>
  <c r="AR1331" i="1"/>
  <c r="AQ1331" i="1"/>
  <c r="AR1335" i="1"/>
  <c r="AQ1335" i="1"/>
  <c r="AR1340" i="1"/>
  <c r="AQ1340" i="1"/>
  <c r="AR1346" i="1"/>
  <c r="AQ1346" i="1"/>
  <c r="AR1350" i="1"/>
  <c r="AQ1350" i="1"/>
  <c r="AR1354" i="1"/>
  <c r="AQ1354" i="1"/>
  <c r="AR1358" i="1"/>
  <c r="AQ1358" i="1"/>
  <c r="AR1362" i="1"/>
  <c r="AQ1362" i="1"/>
  <c r="AR1367" i="1"/>
  <c r="AQ1367" i="1"/>
  <c r="AR1372" i="1"/>
  <c r="AQ1372" i="1"/>
  <c r="AR1376" i="1"/>
  <c r="AQ1376" i="1"/>
  <c r="AR1380" i="1"/>
  <c r="AQ1380" i="1"/>
  <c r="AR1385" i="1"/>
  <c r="AQ1385" i="1"/>
  <c r="AR1389" i="1"/>
  <c r="AQ1389" i="1"/>
  <c r="AR1393" i="1"/>
  <c r="AQ1393" i="1"/>
  <c r="AR1397" i="1"/>
  <c r="AQ1397" i="1"/>
  <c r="AR1401" i="1"/>
  <c r="AQ1401" i="1"/>
  <c r="AR1405" i="1"/>
  <c r="AQ1405" i="1"/>
  <c r="AR1410" i="1"/>
  <c r="AQ1410" i="1"/>
  <c r="AR1414" i="1"/>
  <c r="AQ1414" i="1"/>
  <c r="AR1419" i="1"/>
  <c r="AQ1419" i="1"/>
  <c r="AR1423" i="1"/>
  <c r="AQ1423" i="1"/>
  <c r="AR1427" i="1"/>
  <c r="AQ1427" i="1"/>
  <c r="AR1431" i="1"/>
  <c r="AQ1431" i="1"/>
  <c r="AR1435" i="1"/>
  <c r="AQ1435" i="1"/>
  <c r="AR1439" i="1"/>
  <c r="AQ1439" i="1"/>
  <c r="AR1443" i="1"/>
  <c r="AQ1443" i="1"/>
  <c r="AR1447" i="1"/>
  <c r="AQ1447" i="1"/>
  <c r="AR1451" i="1"/>
  <c r="AQ1451" i="1"/>
  <c r="AR1455" i="1"/>
  <c r="AQ1455" i="1"/>
  <c r="AR1459" i="1"/>
  <c r="AQ1459" i="1"/>
  <c r="AR1463" i="1"/>
  <c r="AQ1463" i="1"/>
  <c r="AR1467" i="1"/>
  <c r="AQ1467" i="1"/>
  <c r="AR1471" i="1"/>
  <c r="AQ1471" i="1"/>
  <c r="AR1475" i="1"/>
  <c r="AQ1475" i="1"/>
  <c r="AR1479" i="1"/>
  <c r="AQ1479" i="1"/>
  <c r="AR1483" i="1"/>
  <c r="AQ1483" i="1"/>
  <c r="AR1487" i="1"/>
  <c r="AQ1487" i="1"/>
  <c r="AR1491" i="1"/>
  <c r="AQ1491" i="1"/>
  <c r="AR1496" i="1"/>
  <c r="AQ1496" i="1"/>
  <c r="AR1500" i="1"/>
  <c r="AQ1500" i="1"/>
  <c r="AR1506" i="1"/>
  <c r="AQ1506" i="1"/>
  <c r="AR1510" i="1"/>
  <c r="AQ1510" i="1"/>
  <c r="AR1514" i="1"/>
  <c r="AQ1514" i="1"/>
  <c r="AR1518" i="1"/>
  <c r="AQ1518" i="1"/>
  <c r="AR1522" i="1"/>
  <c r="AQ1522" i="1"/>
  <c r="AR1527" i="1"/>
  <c r="AQ1527" i="1"/>
  <c r="AR1531" i="1"/>
  <c r="AQ1531" i="1"/>
  <c r="AR1537" i="1"/>
  <c r="AQ1537" i="1"/>
  <c r="AR1541" i="1"/>
  <c r="AQ1541" i="1"/>
  <c r="AR1546" i="1"/>
  <c r="AQ1546" i="1"/>
  <c r="AR1551" i="1"/>
  <c r="AQ1551" i="1"/>
  <c r="AR1555" i="1"/>
  <c r="AQ1555" i="1"/>
  <c r="AR1559" i="1"/>
  <c r="AQ1559" i="1"/>
  <c r="AR1563" i="1"/>
  <c r="AQ1563" i="1"/>
  <c r="AR1567" i="1"/>
  <c r="AQ1567" i="1"/>
  <c r="AR1571" i="1"/>
  <c r="AQ1571" i="1"/>
  <c r="AR1576" i="1"/>
  <c r="AQ1576" i="1"/>
  <c r="AR1580" i="1"/>
  <c r="AQ1580" i="1"/>
  <c r="AR1584" i="1"/>
  <c r="AQ1584" i="1"/>
  <c r="AR1588" i="1"/>
  <c r="AQ1588" i="1"/>
  <c r="AR1592" i="1"/>
  <c r="AQ1592" i="1"/>
  <c r="AR1596" i="1"/>
  <c r="AQ1596" i="1"/>
  <c r="AR1600" i="1"/>
  <c r="AQ1600" i="1"/>
  <c r="AR1604" i="1"/>
  <c r="AQ1604" i="1"/>
  <c r="AR1608" i="1"/>
  <c r="AQ1608" i="1"/>
  <c r="AR1612" i="1"/>
  <c r="AQ1612" i="1"/>
  <c r="AR1616" i="1"/>
  <c r="AQ1616" i="1"/>
  <c r="AR1620" i="1"/>
  <c r="AQ1620" i="1"/>
  <c r="AR1624" i="1"/>
  <c r="AQ1624" i="1"/>
  <c r="AR1628" i="1"/>
  <c r="AQ1628" i="1"/>
  <c r="AR1632" i="1"/>
  <c r="AQ1632" i="1"/>
  <c r="AR1636" i="1"/>
  <c r="AQ1636" i="1"/>
  <c r="AR1640" i="1"/>
  <c r="AQ1640" i="1"/>
  <c r="AR1644" i="1"/>
  <c r="AQ1644" i="1"/>
  <c r="AR1648" i="1"/>
  <c r="AQ1648" i="1"/>
  <c r="AR1652" i="1"/>
  <c r="AQ1652" i="1"/>
  <c r="AR1656" i="1"/>
  <c r="AQ1656" i="1"/>
  <c r="AR1660" i="1"/>
  <c r="AQ1660" i="1"/>
  <c r="AR1664" i="1"/>
  <c r="AQ1664" i="1"/>
  <c r="AR1668" i="1"/>
  <c r="AQ1668" i="1"/>
  <c r="AR1672" i="1"/>
  <c r="AQ1672" i="1"/>
  <c r="AR1676" i="1"/>
  <c r="AQ1676" i="1"/>
  <c r="AR1680" i="1"/>
  <c r="AQ1680" i="1"/>
  <c r="AR1684" i="1"/>
  <c r="AQ1684" i="1"/>
  <c r="AR1688" i="1"/>
  <c r="AQ1688" i="1"/>
  <c r="AR1692" i="1"/>
  <c r="AQ1692" i="1"/>
  <c r="AR1696" i="1"/>
  <c r="AQ1696" i="1"/>
  <c r="AR1700" i="1"/>
  <c r="AQ1700" i="1"/>
  <c r="AR1704" i="1"/>
  <c r="AQ1704" i="1"/>
  <c r="AR1710" i="1"/>
  <c r="AQ1710" i="1"/>
  <c r="AR1714" i="1"/>
  <c r="AQ1714" i="1"/>
  <c r="AR1718" i="1"/>
  <c r="AQ1718" i="1"/>
  <c r="AR1722" i="1"/>
  <c r="AQ1722" i="1"/>
  <c r="AR1726" i="1"/>
  <c r="AQ1726" i="1"/>
  <c r="AR1730" i="1"/>
  <c r="AQ1730" i="1"/>
  <c r="AR1737" i="1"/>
  <c r="AQ1737" i="1"/>
  <c r="AR1741" i="1"/>
  <c r="AQ1741" i="1"/>
  <c r="AR1745" i="1"/>
  <c r="AQ1745" i="1"/>
  <c r="AR1749" i="1"/>
  <c r="AQ1749" i="1"/>
  <c r="AR1753" i="1"/>
  <c r="AQ1753" i="1"/>
  <c r="AR1757" i="1"/>
  <c r="AQ1757" i="1"/>
  <c r="AR1761" i="1"/>
  <c r="AQ1761" i="1"/>
  <c r="AR1773" i="1"/>
  <c r="AQ1773" i="1"/>
  <c r="AR1777" i="1"/>
  <c r="AQ1777" i="1"/>
  <c r="AR1781" i="1"/>
  <c r="AQ1781" i="1"/>
  <c r="AR1785" i="1"/>
  <c r="AQ1785" i="1"/>
  <c r="AR1789" i="1"/>
  <c r="AQ1789" i="1"/>
  <c r="AR1794" i="1"/>
  <c r="AQ1794" i="1"/>
  <c r="AR1798" i="1"/>
  <c r="AQ1798" i="1"/>
  <c r="AR1802" i="1"/>
  <c r="AQ1802" i="1"/>
  <c r="AR1806" i="1"/>
  <c r="AQ1806" i="1"/>
  <c r="AR1810" i="1"/>
  <c r="AQ1810" i="1"/>
  <c r="AR1817" i="1"/>
  <c r="AQ1817" i="1"/>
  <c r="AR1821" i="1"/>
  <c r="AQ1821" i="1"/>
  <c r="AR1825" i="1"/>
  <c r="AQ1825" i="1"/>
  <c r="AR1830" i="1"/>
  <c r="AQ1830" i="1"/>
  <c r="AR1834" i="1"/>
  <c r="AQ1834" i="1"/>
  <c r="AR1838" i="1"/>
  <c r="AQ1838" i="1"/>
  <c r="AR1844" i="1"/>
  <c r="AQ1844" i="1"/>
  <c r="AR1848" i="1"/>
  <c r="AQ1848" i="1"/>
  <c r="AR1852" i="1"/>
  <c r="AQ1852" i="1"/>
  <c r="AR1856" i="1"/>
  <c r="AQ1856" i="1"/>
  <c r="AR1861" i="1"/>
  <c r="AQ1861" i="1"/>
  <c r="AR1865" i="1"/>
  <c r="AQ1865" i="1"/>
  <c r="AR1869" i="1"/>
  <c r="AQ1869" i="1"/>
  <c r="AR1880" i="1"/>
  <c r="AQ1880" i="1"/>
  <c r="AR1884" i="1"/>
  <c r="AQ1884" i="1"/>
  <c r="AR1888" i="1"/>
  <c r="AQ1888" i="1"/>
  <c r="AR1892" i="1"/>
  <c r="AQ1892" i="1"/>
  <c r="AR1897" i="1"/>
  <c r="AQ1897" i="1"/>
  <c r="AR1901" i="1"/>
  <c r="AQ1901" i="1"/>
  <c r="AR1905" i="1"/>
  <c r="AQ1905" i="1"/>
  <c r="AR1909" i="1"/>
  <c r="AQ1909" i="1"/>
  <c r="AR1913" i="1"/>
  <c r="AQ1913" i="1"/>
  <c r="AR1920" i="1"/>
  <c r="AQ1920" i="1"/>
  <c r="AR1924" i="1"/>
  <c r="AQ1924" i="1"/>
  <c r="AR1928" i="1"/>
  <c r="AQ1928" i="1"/>
  <c r="AR1932" i="1"/>
  <c r="AQ1932" i="1"/>
  <c r="AR1936" i="1"/>
  <c r="AQ1936" i="1"/>
  <c r="AR1940" i="1"/>
  <c r="AQ1940" i="1"/>
  <c r="AR1944" i="1"/>
  <c r="AQ1944" i="1"/>
  <c r="AR1950" i="1"/>
  <c r="AQ1950" i="1"/>
  <c r="AR1954" i="1"/>
  <c r="AQ1954" i="1"/>
  <c r="AR1960" i="1"/>
  <c r="AQ1960" i="1"/>
  <c r="AR1964" i="1"/>
  <c r="AQ1964" i="1"/>
  <c r="AR1973" i="1"/>
  <c r="AQ1973" i="1"/>
  <c r="AR1977" i="1"/>
  <c r="AQ1977" i="1"/>
  <c r="AR1981" i="1"/>
  <c r="AQ1981" i="1"/>
  <c r="AR1988" i="1"/>
  <c r="AQ1988" i="1"/>
  <c r="AR1993" i="1"/>
  <c r="AQ1993" i="1"/>
  <c r="AR1999" i="1"/>
  <c r="AQ1999" i="1"/>
  <c r="AR2007" i="1"/>
  <c r="AQ2007" i="1"/>
  <c r="AR2011" i="1"/>
  <c r="AQ2011" i="1"/>
  <c r="AR2017" i="1"/>
  <c r="AQ2017" i="1"/>
  <c r="AR2028" i="1"/>
  <c r="AQ2028" i="1"/>
  <c r="AR2032" i="1"/>
  <c r="AQ2032" i="1"/>
  <c r="AR2036" i="1"/>
  <c r="AQ2036" i="1"/>
  <c r="AR2040" i="1"/>
  <c r="AQ2040" i="1"/>
  <c r="AR2046" i="1"/>
  <c r="AQ2046" i="1"/>
  <c r="AR2050" i="1"/>
  <c r="AQ2050" i="1"/>
  <c r="AR2055" i="1"/>
  <c r="AQ2055" i="1"/>
  <c r="AR2059" i="1"/>
  <c r="AQ2059" i="1"/>
  <c r="AR2074" i="1"/>
  <c r="AQ2074" i="1"/>
  <c r="AR2078" i="1"/>
  <c r="AQ2078" i="1"/>
  <c r="AR2082" i="1"/>
  <c r="AQ2082" i="1"/>
  <c r="AR2086" i="1"/>
  <c r="AQ2086" i="1"/>
  <c r="AR2090" i="1"/>
  <c r="AQ2090" i="1"/>
  <c r="AR2094" i="1"/>
  <c r="AQ2094" i="1"/>
  <c r="AR2098" i="1"/>
  <c r="AQ2098" i="1"/>
  <c r="AR2102" i="1"/>
  <c r="AQ2102" i="1"/>
  <c r="AR2106" i="1"/>
  <c r="AQ2106" i="1"/>
  <c r="AR2110" i="1"/>
  <c r="AQ2110" i="1"/>
  <c r="AR2114" i="1"/>
  <c r="AQ2114" i="1"/>
  <c r="AR2118" i="1"/>
  <c r="AQ2118" i="1"/>
  <c r="AR2122" i="1"/>
  <c r="AQ2122" i="1"/>
  <c r="AR2126" i="1"/>
  <c r="AQ2126" i="1"/>
  <c r="AR2130" i="1"/>
  <c r="AQ2130" i="1"/>
  <c r="AR2134" i="1"/>
  <c r="AQ2134" i="1"/>
  <c r="AR2139" i="1"/>
  <c r="AQ2139" i="1"/>
  <c r="AR2143" i="1"/>
  <c r="AQ2143" i="1"/>
  <c r="AR2148" i="1"/>
  <c r="AQ2148" i="1"/>
  <c r="AR2152" i="1"/>
  <c r="AQ2152" i="1"/>
  <c r="AR2156" i="1"/>
  <c r="AQ2156" i="1"/>
  <c r="AR2160" i="1"/>
  <c r="AQ2160" i="1"/>
  <c r="AR2164" i="1"/>
  <c r="AQ2164" i="1"/>
  <c r="AR2168" i="1"/>
  <c r="AQ2168" i="1"/>
  <c r="AR2172" i="1"/>
  <c r="AQ2172" i="1"/>
  <c r="AR2177" i="1"/>
  <c r="AQ2177" i="1"/>
  <c r="AR2181" i="1"/>
  <c r="AQ2181" i="1"/>
  <c r="AR2185" i="1"/>
  <c r="AQ2185" i="1"/>
  <c r="AR2189" i="1"/>
  <c r="AQ2189" i="1"/>
  <c r="AR2194" i="1"/>
  <c r="AQ2194" i="1"/>
  <c r="AQ1215" i="1"/>
  <c r="AQ870" i="1"/>
  <c r="AQ1256" i="1"/>
  <c r="AQ1301" i="1"/>
  <c r="AQ965" i="1"/>
  <c r="AQ1024" i="1"/>
  <c r="AQ1076" i="1"/>
  <c r="AQ1196" i="1"/>
  <c r="AQ790" i="1"/>
  <c r="AQ1272" i="1"/>
  <c r="AQ990" i="1"/>
  <c r="AQ1294" i="1"/>
  <c r="AQ1054" i="1"/>
  <c r="AQ925" i="1"/>
  <c r="AQ1127" i="1"/>
  <c r="AQ962" i="1"/>
  <c r="AQ799" i="1"/>
  <c r="AQ895" i="1"/>
  <c r="AQ999" i="1"/>
  <c r="AQ1095" i="1"/>
  <c r="AQ971" i="1"/>
  <c r="AQ994" i="1"/>
  <c r="AQ1098" i="1"/>
  <c r="AQ871" i="1"/>
  <c r="AQ886" i="1"/>
  <c r="AQ982" i="1"/>
  <c r="AQ1034" i="1"/>
  <c r="AQ1121" i="1"/>
  <c r="AQ1210" i="1"/>
  <c r="AQ837" i="1"/>
  <c r="AQ1106" i="1"/>
  <c r="AQ1270" i="1"/>
  <c r="AQ1310" i="1"/>
  <c r="AQ921" i="1"/>
  <c r="AQ1240" i="1"/>
  <c r="AQ1321" i="1"/>
  <c r="AQ951" i="1"/>
  <c r="AQ1259" i="1"/>
  <c r="AQ1195" i="1"/>
  <c r="AQ976" i="1"/>
  <c r="AQ889" i="1"/>
  <c r="AQ1171" i="1"/>
  <c r="AQ960" i="1"/>
  <c r="AQ1155" i="1"/>
  <c r="AQ852" i="1"/>
  <c r="AQ796" i="1"/>
  <c r="AQ880" i="1"/>
  <c r="AQ944" i="1"/>
  <c r="AQ806" i="1"/>
  <c r="AQ1297" i="1"/>
  <c r="AQ1178" i="1"/>
  <c r="AQ1154" i="1"/>
  <c r="AQ1201" i="1"/>
  <c r="AQ1100" i="1"/>
  <c r="AQ805" i="1"/>
  <c r="AQ817" i="1"/>
  <c r="AQ959" i="1"/>
  <c r="AQ846" i="1"/>
  <c r="AQ1108" i="1"/>
  <c r="AQ1253" i="1"/>
  <c r="AQ1014" i="1"/>
  <c r="AQ1254" i="1"/>
  <c r="AQ874" i="1"/>
  <c r="AQ881" i="1"/>
  <c r="AQ813" i="1"/>
  <c r="AQ974" i="1"/>
  <c r="AQ1021" i="1"/>
  <c r="AQ1055" i="1"/>
  <c r="AQ1184" i="1"/>
  <c r="AQ1216" i="1"/>
  <c r="AQ1249" i="1"/>
  <c r="AQ1093" i="1"/>
  <c r="AQ1164" i="1"/>
  <c r="AQ1274" i="1"/>
  <c r="AQ808" i="1"/>
  <c r="AQ972" i="1"/>
  <c r="AQ1236" i="1"/>
  <c r="AQ1291" i="1"/>
  <c r="AQ835" i="1"/>
  <c r="AQ930" i="1"/>
  <c r="AQ1275" i="1"/>
  <c r="AQ1105" i="1"/>
  <c r="AQ996" i="1"/>
  <c r="AQ924" i="1"/>
  <c r="AQ803" i="1"/>
  <c r="AQ1153" i="1"/>
  <c r="AQ1000" i="1"/>
  <c r="AQ1191" i="1"/>
  <c r="AQ847" i="1"/>
  <c r="AQ968" i="1"/>
  <c r="AQ887" i="1"/>
  <c r="AQ912" i="1"/>
  <c r="AQ1091" i="1"/>
  <c r="AQ1284" i="1"/>
  <c r="AQ922" i="1"/>
  <c r="AQ1320" i="1"/>
  <c r="AQ1007" i="1"/>
  <c r="AQ1046" i="1"/>
  <c r="AQ939" i="1"/>
  <c r="AQ1319" i="1"/>
  <c r="AQ1192" i="1"/>
  <c r="AQ1197" i="1"/>
  <c r="AQ1050" i="1"/>
  <c r="AQ981" i="1"/>
  <c r="AQ934" i="1"/>
  <c r="AR1322" i="1"/>
  <c r="AQ1322" i="1"/>
  <c r="AR1326" i="1"/>
  <c r="AQ1326" i="1"/>
  <c r="AR1330" i="1"/>
  <c r="AQ1330" i="1"/>
  <c r="AR1334" i="1"/>
  <c r="AQ1334" i="1"/>
  <c r="AR1339" i="1"/>
  <c r="AQ1339" i="1"/>
  <c r="AR1345" i="1"/>
  <c r="AQ1345" i="1"/>
  <c r="AR1349" i="1"/>
  <c r="AQ1349" i="1"/>
  <c r="AR1353" i="1"/>
  <c r="AQ1353" i="1"/>
  <c r="AR1357" i="1"/>
  <c r="AQ1357" i="1"/>
  <c r="AR1361" i="1"/>
  <c r="AQ1361" i="1"/>
  <c r="AR1365" i="1"/>
  <c r="AQ1365" i="1"/>
  <c r="AR1370" i="1"/>
  <c r="AQ1370" i="1"/>
  <c r="AR1375" i="1"/>
  <c r="AQ1375" i="1"/>
  <c r="AR1379" i="1"/>
  <c r="AQ1379" i="1"/>
  <c r="AR1383" i="1"/>
  <c r="AQ1383" i="1"/>
  <c r="AR1388" i="1"/>
  <c r="AQ1388" i="1"/>
  <c r="AR1392" i="1"/>
  <c r="AQ1392" i="1"/>
  <c r="AR1396" i="1"/>
  <c r="AQ1396" i="1"/>
  <c r="AR1400" i="1"/>
  <c r="AQ1400" i="1"/>
  <c r="AR1404" i="1"/>
  <c r="AQ1404" i="1"/>
  <c r="AR1409" i="1"/>
  <c r="AQ1409" i="1"/>
  <c r="AR1413" i="1"/>
  <c r="AQ1413" i="1"/>
  <c r="AR1417" i="1"/>
  <c r="AQ1417" i="1"/>
  <c r="AR1422" i="1"/>
  <c r="AQ1422" i="1"/>
  <c r="AR1426" i="1"/>
  <c r="AQ1426" i="1"/>
  <c r="AR1430" i="1"/>
  <c r="AQ1430" i="1"/>
  <c r="AR1434" i="1"/>
  <c r="AQ1434" i="1"/>
  <c r="AR1438" i="1"/>
  <c r="AQ1438" i="1"/>
  <c r="AR1442" i="1"/>
  <c r="AQ1442" i="1"/>
  <c r="AR1446" i="1"/>
  <c r="AQ1446" i="1"/>
  <c r="AR1450" i="1"/>
  <c r="AQ1450" i="1"/>
  <c r="AR1454" i="1"/>
  <c r="AQ1454" i="1"/>
  <c r="AR1458" i="1"/>
  <c r="AQ1458" i="1"/>
  <c r="AR1462" i="1"/>
  <c r="AQ1462" i="1"/>
  <c r="AR1466" i="1"/>
  <c r="AQ1466" i="1"/>
  <c r="AR1470" i="1"/>
  <c r="AQ1470" i="1"/>
  <c r="AR1474" i="1"/>
  <c r="AQ1474" i="1"/>
  <c r="AR1478" i="1"/>
  <c r="AQ1478" i="1"/>
  <c r="AR1482" i="1"/>
  <c r="AQ1482" i="1"/>
  <c r="AR1486" i="1"/>
  <c r="AQ1486" i="1"/>
  <c r="AR1490" i="1"/>
  <c r="AQ1490" i="1"/>
  <c r="AR1495" i="1"/>
  <c r="AQ1495" i="1"/>
  <c r="AR1499" i="1"/>
  <c r="AQ1499" i="1"/>
  <c r="AR1505" i="1"/>
  <c r="AQ1505" i="1"/>
  <c r="AR1509" i="1"/>
  <c r="AQ1509" i="1"/>
  <c r="AR1513" i="1"/>
  <c r="AQ1513" i="1"/>
  <c r="AR1517" i="1"/>
  <c r="AQ1517" i="1"/>
  <c r="AR1521" i="1"/>
  <c r="AQ1521" i="1"/>
  <c r="AR1526" i="1"/>
  <c r="AQ1526" i="1"/>
  <c r="AR1530" i="1"/>
  <c r="AQ1530" i="1"/>
  <c r="AR1536" i="1"/>
  <c r="AQ1536" i="1"/>
  <c r="AR1540" i="1"/>
  <c r="AQ1540" i="1"/>
  <c r="AR1545" i="1"/>
  <c r="AQ1545" i="1"/>
  <c r="AR1550" i="1"/>
  <c r="AQ1550" i="1"/>
  <c r="AR1554" i="1"/>
  <c r="AQ1554" i="1"/>
  <c r="AR1558" i="1"/>
  <c r="AQ1558" i="1"/>
  <c r="AR1562" i="1"/>
  <c r="AQ1562" i="1"/>
  <c r="AR1566" i="1"/>
  <c r="AQ1566" i="1"/>
  <c r="AR1570" i="1"/>
  <c r="AQ1570" i="1"/>
  <c r="AR1575" i="1"/>
  <c r="AQ1575" i="1"/>
  <c r="AR1579" i="1"/>
  <c r="AQ1579" i="1"/>
  <c r="AR1583" i="1"/>
  <c r="AQ1583" i="1"/>
  <c r="AR1587" i="1"/>
  <c r="AQ1587" i="1"/>
  <c r="AR1591" i="1"/>
  <c r="AQ1591" i="1"/>
  <c r="AR1595" i="1"/>
  <c r="AQ1595" i="1"/>
  <c r="AR1599" i="1"/>
  <c r="AQ1599" i="1"/>
  <c r="AR1603" i="1"/>
  <c r="AQ1603" i="1"/>
  <c r="AR1607" i="1"/>
  <c r="AQ1607" i="1"/>
  <c r="AR1611" i="1"/>
  <c r="AQ1611" i="1"/>
  <c r="AR1615" i="1"/>
  <c r="AQ1615" i="1"/>
  <c r="AR1619" i="1"/>
  <c r="AQ1619" i="1"/>
  <c r="AR1623" i="1"/>
  <c r="AQ1623" i="1"/>
  <c r="AR1627" i="1"/>
  <c r="AQ1627" i="1"/>
  <c r="AR1631" i="1"/>
  <c r="AQ1631" i="1"/>
  <c r="AR1635" i="1"/>
  <c r="AQ1635" i="1"/>
  <c r="AR1639" i="1"/>
  <c r="AQ1639" i="1"/>
  <c r="AR1643" i="1"/>
  <c r="AQ1643" i="1"/>
  <c r="AR1647" i="1"/>
  <c r="AQ1647" i="1"/>
  <c r="AR1651" i="1"/>
  <c r="AQ1651" i="1"/>
  <c r="AR1655" i="1"/>
  <c r="AQ1655" i="1"/>
  <c r="AR1659" i="1"/>
  <c r="AQ1659" i="1"/>
  <c r="AR1663" i="1"/>
  <c r="AQ1663" i="1"/>
  <c r="AR1667" i="1"/>
  <c r="AQ1667" i="1"/>
  <c r="AR1671" i="1"/>
  <c r="AQ1671" i="1"/>
  <c r="AR1675" i="1"/>
  <c r="AQ1675" i="1"/>
  <c r="AR1679" i="1"/>
  <c r="AQ1679" i="1"/>
  <c r="AR1683" i="1"/>
  <c r="AQ1683" i="1"/>
  <c r="AR1687" i="1"/>
  <c r="AQ1687" i="1"/>
  <c r="AR1691" i="1"/>
  <c r="AQ1691" i="1"/>
  <c r="AR1695" i="1"/>
  <c r="AQ1695" i="1"/>
  <c r="AR1699" i="1"/>
  <c r="AQ1699" i="1"/>
  <c r="AR1703" i="1"/>
  <c r="AQ1703" i="1"/>
  <c r="AR1709" i="1"/>
  <c r="AQ1709" i="1"/>
  <c r="AR1713" i="1"/>
  <c r="AQ1713" i="1"/>
  <c r="AR1717" i="1"/>
  <c r="AQ1717" i="1"/>
  <c r="AR1721" i="1"/>
  <c r="AQ1721" i="1"/>
  <c r="AR1725" i="1"/>
  <c r="AQ1725" i="1"/>
  <c r="AR1729" i="1"/>
  <c r="AQ1729" i="1"/>
  <c r="AR1736" i="1"/>
  <c r="AQ1736" i="1"/>
  <c r="AR1740" i="1"/>
  <c r="AQ1740" i="1"/>
  <c r="AR1744" i="1"/>
  <c r="AQ1744" i="1"/>
  <c r="AR1748" i="1"/>
  <c r="AQ1748" i="1"/>
  <c r="AR1752" i="1"/>
  <c r="AQ1752" i="1"/>
  <c r="AR1756" i="1"/>
  <c r="AQ1756" i="1"/>
  <c r="AR1760" i="1"/>
  <c r="AQ1760" i="1"/>
  <c r="AR1765" i="1"/>
  <c r="AQ1765" i="1"/>
  <c r="AR1776" i="1"/>
  <c r="AQ1776" i="1"/>
  <c r="AR1780" i="1"/>
  <c r="AQ1780" i="1"/>
  <c r="AR1784" i="1"/>
  <c r="AQ1784" i="1"/>
  <c r="AR1788" i="1"/>
  <c r="AQ1788" i="1"/>
  <c r="AR1793" i="1"/>
  <c r="AQ1793" i="1"/>
  <c r="AR1797" i="1"/>
  <c r="AQ1797" i="1"/>
  <c r="AR1801" i="1"/>
  <c r="AQ1801" i="1"/>
  <c r="AR1805" i="1"/>
  <c r="AQ1805" i="1"/>
  <c r="AR1809" i="1"/>
  <c r="AQ1809" i="1"/>
  <c r="AR1816" i="1"/>
  <c r="AQ1816" i="1"/>
  <c r="AR1820" i="1"/>
  <c r="AQ1820" i="1"/>
  <c r="AR1824" i="1"/>
  <c r="AQ1824" i="1"/>
  <c r="AR1828" i="1"/>
  <c r="AQ1828" i="1"/>
  <c r="AR1833" i="1"/>
  <c r="AQ1833" i="1"/>
  <c r="AR1837" i="1"/>
  <c r="AQ1837" i="1"/>
  <c r="AR1841" i="1"/>
  <c r="AQ1841" i="1"/>
  <c r="AR1847" i="1"/>
  <c r="AQ1847" i="1"/>
  <c r="AR1851" i="1"/>
  <c r="AQ1851" i="1"/>
  <c r="AR1855" i="1"/>
  <c r="AQ1855" i="1"/>
  <c r="AR1860" i="1"/>
  <c r="AQ1860" i="1"/>
  <c r="AR1864" i="1"/>
  <c r="AQ1864" i="1"/>
  <c r="AR1868" i="1"/>
  <c r="AQ1868" i="1"/>
  <c r="AR1879" i="1"/>
  <c r="AQ1879" i="1"/>
  <c r="AR1883" i="1"/>
  <c r="AQ1883" i="1"/>
  <c r="AR1887" i="1"/>
  <c r="AQ1887" i="1"/>
  <c r="AR1891" i="1"/>
  <c r="AQ1891" i="1"/>
  <c r="AR1896" i="1"/>
  <c r="AQ1896" i="1"/>
  <c r="AR1900" i="1"/>
  <c r="AQ1900" i="1"/>
  <c r="AR1904" i="1"/>
  <c r="AQ1904" i="1"/>
  <c r="AR1908" i="1"/>
  <c r="AQ1908" i="1"/>
  <c r="AR1912" i="1"/>
  <c r="AQ1912" i="1"/>
  <c r="AR1919" i="1"/>
  <c r="AQ1919" i="1"/>
  <c r="AR1923" i="1"/>
  <c r="AQ1923" i="1"/>
  <c r="AR1927" i="1"/>
  <c r="AQ1927" i="1"/>
  <c r="AR1931" i="1"/>
  <c r="AQ1931" i="1"/>
  <c r="AR1935" i="1"/>
  <c r="AQ1935" i="1"/>
  <c r="AR1939" i="1"/>
  <c r="AQ1939" i="1"/>
  <c r="AR1943" i="1"/>
  <c r="AQ1943" i="1"/>
  <c r="AR1949" i="1"/>
  <c r="AQ1949" i="1"/>
  <c r="AR1953" i="1"/>
  <c r="AQ1953" i="1"/>
  <c r="AR1957" i="1"/>
  <c r="AQ1957" i="1"/>
  <c r="AR1963" i="1"/>
  <c r="AQ1963" i="1"/>
  <c r="AR1968" i="1"/>
  <c r="AQ1968" i="1"/>
  <c r="AR1976" i="1"/>
  <c r="AQ1976" i="1"/>
  <c r="AR1980" i="1"/>
  <c r="AQ1980" i="1"/>
  <c r="AR1984" i="1"/>
  <c r="AQ1984" i="1"/>
  <c r="AR1992" i="1"/>
  <c r="AQ1992" i="1"/>
  <c r="AR1997" i="1"/>
  <c r="AQ1997" i="1"/>
  <c r="AR2006" i="1"/>
  <c r="AQ2006" i="1"/>
  <c r="AR2010" i="1"/>
  <c r="AQ2010" i="1"/>
  <c r="AR2016" i="1"/>
  <c r="AQ2016" i="1"/>
  <c r="AR2027" i="1"/>
  <c r="AQ2027" i="1"/>
  <c r="AR2031" i="1"/>
  <c r="AQ2031" i="1"/>
  <c r="AR2035" i="1"/>
  <c r="AQ2035" i="1"/>
  <c r="AR2039" i="1"/>
  <c r="AQ2039" i="1"/>
  <c r="AR2045" i="1"/>
  <c r="AQ2045" i="1"/>
  <c r="AR2049" i="1"/>
  <c r="AQ2049" i="1"/>
  <c r="AR2054" i="1"/>
  <c r="AQ2054" i="1"/>
  <c r="AR2058" i="1"/>
  <c r="AQ2058" i="1"/>
  <c r="AR2073" i="1"/>
  <c r="AQ2073" i="1"/>
  <c r="AR2077" i="1"/>
  <c r="AQ2077" i="1"/>
  <c r="AR2081" i="1"/>
  <c r="AQ2081" i="1"/>
  <c r="AR2085" i="1"/>
  <c r="AQ2085" i="1"/>
  <c r="AR2089" i="1"/>
  <c r="AQ2089" i="1"/>
  <c r="AR2093" i="1"/>
  <c r="AQ2093" i="1"/>
  <c r="AR2097" i="1"/>
  <c r="AQ2097" i="1"/>
  <c r="AR2101" i="1"/>
  <c r="AQ2101" i="1"/>
  <c r="AR2105" i="1"/>
  <c r="AQ2105" i="1"/>
  <c r="AR2109" i="1"/>
  <c r="AQ2109" i="1"/>
  <c r="AR2113" i="1"/>
  <c r="AQ2113" i="1"/>
  <c r="AR2117" i="1"/>
  <c r="AQ2117" i="1"/>
  <c r="AR2121" i="1"/>
  <c r="AQ2121" i="1"/>
  <c r="AR2125" i="1"/>
  <c r="AQ2125" i="1"/>
  <c r="AR2129" i="1"/>
  <c r="AQ2129" i="1"/>
  <c r="AR2133" i="1"/>
  <c r="AQ2133" i="1"/>
  <c r="AR2138" i="1"/>
  <c r="AQ2138" i="1"/>
  <c r="AR2142" i="1"/>
  <c r="AQ2142" i="1"/>
  <c r="AR2147" i="1"/>
  <c r="AQ2147" i="1"/>
  <c r="AR2151" i="1"/>
  <c r="AQ2151" i="1"/>
  <c r="AR2155" i="1"/>
  <c r="AQ2155" i="1"/>
  <c r="AR2159" i="1"/>
  <c r="AQ2159" i="1"/>
  <c r="AR2163" i="1"/>
  <c r="AQ2163" i="1"/>
  <c r="AR2167" i="1"/>
  <c r="AQ2167" i="1"/>
  <c r="AR2171" i="1"/>
  <c r="AQ2171" i="1"/>
  <c r="AR2175" i="1"/>
  <c r="AQ2175" i="1"/>
  <c r="AR2180" i="1"/>
  <c r="AQ2180" i="1"/>
  <c r="AR2184" i="1"/>
  <c r="AQ2184" i="1"/>
  <c r="AR2188" i="1"/>
  <c r="AQ2188" i="1"/>
  <c r="AR2192" i="1"/>
  <c r="AQ2192" i="1"/>
  <c r="AR2197" i="1"/>
  <c r="AQ2197" i="1"/>
  <c r="AQ1117" i="1"/>
  <c r="AQ1287" i="1"/>
  <c r="AQ935" i="1"/>
  <c r="AQ1293" i="1"/>
  <c r="AQ957" i="1"/>
  <c r="AQ1008" i="1"/>
  <c r="AQ1049" i="1"/>
  <c r="AQ1182" i="1"/>
  <c r="AQ1218" i="1"/>
  <c r="AQ1214" i="1"/>
  <c r="AQ1167" i="1"/>
  <c r="AQ1273" i="1"/>
  <c r="AQ1103" i="1"/>
  <c r="AQ954" i="1"/>
  <c r="AQ1078" i="1"/>
  <c r="AQ1237" i="1"/>
  <c r="AQ1207" i="1"/>
  <c r="AQ928" i="1"/>
  <c r="AQ961" i="1"/>
  <c r="AQ1053" i="1"/>
  <c r="AQ795" i="1"/>
  <c r="AQ1161" i="1"/>
  <c r="AQ873" i="1"/>
  <c r="AQ789" i="1"/>
  <c r="AQ1185" i="1"/>
  <c r="AQ970" i="1"/>
  <c r="AQ1026" i="1"/>
  <c r="AQ1079" i="1"/>
  <c r="AQ1202" i="1"/>
  <c r="AQ1242" i="1"/>
  <c r="AQ1097" i="1"/>
  <c r="AQ1168" i="1"/>
  <c r="AQ1300" i="1"/>
  <c r="AQ888" i="1"/>
  <c r="AQ1232" i="1"/>
  <c r="AQ1303" i="1"/>
  <c r="AQ848" i="1"/>
  <c r="AQ1313" i="1"/>
  <c r="AQ1231" i="1"/>
  <c r="AQ992" i="1"/>
  <c r="AQ901" i="1"/>
  <c r="AQ1094" i="1"/>
  <c r="AQ906" i="1"/>
  <c r="AQ1082" i="1"/>
  <c r="AQ1241" i="1"/>
  <c r="AQ897" i="1"/>
  <c r="AQ950" i="1"/>
  <c r="AQ926" i="1"/>
  <c r="AQ849" i="1"/>
  <c r="AQ931" i="1"/>
  <c r="AQ1036" i="1"/>
  <c r="AQ1087" i="1"/>
  <c r="AQ1252" i="1"/>
  <c r="AQ1211" i="1"/>
  <c r="AQ917" i="1"/>
  <c r="AQ843" i="1"/>
  <c r="AQ869" i="1"/>
  <c r="AQ1307" i="1"/>
  <c r="AQ1045" i="1"/>
  <c r="AQ1104" i="1"/>
  <c r="AQ1119" i="1"/>
  <c r="AQ1187" i="1"/>
  <c r="AQ1239" i="1"/>
  <c r="AQ816" i="1"/>
  <c r="AQ1227" i="1"/>
  <c r="AQ947" i="1"/>
  <c r="AQ1006" i="1"/>
  <c r="AQ1047" i="1"/>
  <c r="AQ1176" i="1"/>
  <c r="AQ1206" i="1"/>
  <c r="AQ1238" i="1"/>
  <c r="AQ1085" i="1"/>
  <c r="AQ1152" i="1"/>
  <c r="AQ1267" i="1"/>
  <c r="AQ797" i="1"/>
  <c r="AQ937" i="1"/>
  <c r="AQ1228" i="1"/>
  <c r="AQ1266" i="1"/>
  <c r="AQ1316" i="1"/>
  <c r="AQ793" i="1"/>
  <c r="AQ1035" i="1"/>
  <c r="AQ1122" i="1"/>
  <c r="AQ1037" i="1"/>
  <c r="AQ933" i="1"/>
  <c r="AQ868" i="1"/>
  <c r="AQ1109" i="1"/>
  <c r="AQ791" i="1"/>
  <c r="AQ1115" i="1"/>
  <c r="AQ801" i="1"/>
  <c r="AQ800" i="1"/>
  <c r="AQ798" i="1"/>
  <c r="AQ894" i="1"/>
  <c r="AQ845" i="1"/>
  <c r="AQ1170" i="1"/>
  <c r="AQ1217" i="1"/>
  <c r="AQ1302" i="1"/>
  <c r="AQ1088" i="1"/>
  <c r="AQ938" i="1"/>
  <c r="AQ875" i="1"/>
  <c r="AQ1271" i="1"/>
  <c r="AQ1118" i="1"/>
  <c r="AQ1090" i="1"/>
  <c r="AQ1315" i="1"/>
  <c r="AQ1025" i="1"/>
  <c r="AQ913" i="1"/>
  <c r="O617" i="17"/>
  <c r="AR2200" i="1"/>
  <c r="AQ2200" i="1"/>
  <c r="AR2204" i="1"/>
  <c r="AQ2204" i="1"/>
  <c r="AR2208" i="1"/>
  <c r="AQ2208" i="1"/>
  <c r="AR2212" i="1"/>
  <c r="AQ2212" i="1"/>
  <c r="AR2216" i="1"/>
  <c r="AQ2216" i="1"/>
  <c r="AR2220" i="1"/>
  <c r="AQ2220" i="1"/>
  <c r="AR2224" i="1"/>
  <c r="AQ2224" i="1"/>
  <c r="AR2228" i="1"/>
  <c r="AQ2228" i="1"/>
  <c r="AR2232" i="1"/>
  <c r="AQ2232" i="1"/>
  <c r="AR2236" i="1"/>
  <c r="AQ2236" i="1"/>
  <c r="AR2240" i="1"/>
  <c r="AQ2240" i="1"/>
  <c r="AR2244" i="1"/>
  <c r="AQ2244" i="1"/>
  <c r="AR2248" i="1"/>
  <c r="AQ2248" i="1"/>
  <c r="AR2252" i="1"/>
  <c r="AQ2252" i="1"/>
  <c r="AR2256" i="1"/>
  <c r="AQ2256" i="1"/>
  <c r="AR2263" i="1"/>
  <c r="AQ2263" i="1"/>
  <c r="AR2267" i="1"/>
  <c r="AQ2267" i="1"/>
  <c r="AR2271" i="1"/>
  <c r="AQ2271" i="1"/>
  <c r="AR2275" i="1"/>
  <c r="AQ2275" i="1"/>
  <c r="AR2279" i="1"/>
  <c r="AQ2279" i="1"/>
  <c r="AR2283" i="1"/>
  <c r="AQ2283" i="1"/>
  <c r="AR2287" i="1"/>
  <c r="AQ2287" i="1"/>
  <c r="AR2291" i="1"/>
  <c r="AQ2291" i="1"/>
  <c r="AR2295" i="1"/>
  <c r="AQ2295" i="1"/>
  <c r="AR2300" i="1"/>
  <c r="AQ2300" i="1"/>
  <c r="AR2304" i="1"/>
  <c r="AQ2304" i="1"/>
  <c r="AR2308" i="1"/>
  <c r="AQ2308" i="1"/>
  <c r="AR2312" i="1"/>
  <c r="AQ2312" i="1"/>
  <c r="AR2316" i="1"/>
  <c r="AQ2316" i="1"/>
  <c r="AR2320" i="1"/>
  <c r="AQ2320" i="1"/>
  <c r="AR2325" i="1"/>
  <c r="AQ2325" i="1"/>
  <c r="AR2329" i="1"/>
  <c r="AQ2329" i="1"/>
  <c r="AR2333" i="1"/>
  <c r="AQ2333" i="1"/>
  <c r="AR2337" i="1"/>
  <c r="AQ2337" i="1"/>
  <c r="AR2341" i="1"/>
  <c r="AQ2341" i="1"/>
  <c r="AR2347" i="1"/>
  <c r="AQ2347" i="1"/>
  <c r="AR2351" i="1"/>
  <c r="AQ2351" i="1"/>
  <c r="AR2355" i="1"/>
  <c r="AQ2355" i="1"/>
  <c r="AR2359" i="1"/>
  <c r="AQ2359" i="1"/>
  <c r="AR2363" i="1"/>
  <c r="AQ2363" i="1"/>
  <c r="AR2367" i="1"/>
  <c r="AQ2367" i="1"/>
  <c r="AR2371" i="1"/>
  <c r="AQ2371" i="1"/>
  <c r="AR2375" i="1"/>
  <c r="AQ2375" i="1"/>
  <c r="AR2379" i="1"/>
  <c r="AQ2379" i="1"/>
  <c r="AR2386" i="1"/>
  <c r="AQ2386" i="1"/>
  <c r="AR2390" i="1"/>
  <c r="AQ2390" i="1"/>
  <c r="AR2394" i="1"/>
  <c r="AQ2394" i="1"/>
  <c r="AR2399" i="1"/>
  <c r="AQ2399" i="1"/>
  <c r="AR2403" i="1"/>
  <c r="AQ2403" i="1"/>
  <c r="AR2407" i="1"/>
  <c r="AQ2407" i="1"/>
  <c r="AR2411" i="1"/>
  <c r="AQ2411" i="1"/>
  <c r="AR2415" i="1"/>
  <c r="AQ2415" i="1"/>
  <c r="AR2419" i="1"/>
  <c r="AQ2419" i="1"/>
  <c r="AR2423" i="1"/>
  <c r="AQ2423" i="1"/>
  <c r="AR2427" i="1"/>
  <c r="AQ2427" i="1"/>
  <c r="AR2431" i="1"/>
  <c r="AQ2431" i="1"/>
  <c r="AR2437" i="1"/>
  <c r="AQ2437" i="1"/>
  <c r="AR2443" i="1"/>
  <c r="AQ2443" i="1"/>
  <c r="AR2449" i="1"/>
  <c r="AQ2449" i="1"/>
  <c r="AR2453" i="1"/>
  <c r="AQ2453" i="1"/>
  <c r="AR2457" i="1"/>
  <c r="AQ2457" i="1"/>
  <c r="AR2464" i="1"/>
  <c r="AQ2464" i="1"/>
  <c r="AR2468" i="1"/>
  <c r="AQ2468" i="1"/>
  <c r="AR2473" i="1"/>
  <c r="AQ2473" i="1"/>
  <c r="AR2477" i="1"/>
  <c r="AQ2477" i="1"/>
  <c r="AR2481" i="1"/>
  <c r="AQ2481" i="1"/>
  <c r="AR2485" i="1"/>
  <c r="AQ2485" i="1"/>
  <c r="AR2489" i="1"/>
  <c r="AQ2489" i="1"/>
  <c r="AR2493" i="1"/>
  <c r="AQ2493" i="1"/>
  <c r="AR2199" i="1"/>
  <c r="AQ2199" i="1"/>
  <c r="AR2203" i="1"/>
  <c r="AQ2203" i="1"/>
  <c r="AR2207" i="1"/>
  <c r="AQ2207" i="1"/>
  <c r="AR2211" i="1"/>
  <c r="AQ2211" i="1"/>
  <c r="AR2215" i="1"/>
  <c r="AQ2215" i="1"/>
  <c r="AR2219" i="1"/>
  <c r="AQ2219" i="1"/>
  <c r="AR2223" i="1"/>
  <c r="AQ2223" i="1"/>
  <c r="AR2227" i="1"/>
  <c r="AQ2227" i="1"/>
  <c r="AR2231" i="1"/>
  <c r="AQ2231" i="1"/>
  <c r="AR2235" i="1"/>
  <c r="AQ2235" i="1"/>
  <c r="AR2239" i="1"/>
  <c r="AQ2239" i="1"/>
  <c r="AR2243" i="1"/>
  <c r="AQ2243" i="1"/>
  <c r="AR2247" i="1"/>
  <c r="AQ2247" i="1"/>
  <c r="AR2251" i="1"/>
  <c r="AQ2251" i="1"/>
  <c r="AR2255" i="1"/>
  <c r="AQ2255" i="1"/>
  <c r="AR2262" i="1"/>
  <c r="AQ2262" i="1"/>
  <c r="AR2266" i="1"/>
  <c r="AQ2266" i="1"/>
  <c r="AR2270" i="1"/>
  <c r="AQ2270" i="1"/>
  <c r="AR2274" i="1"/>
  <c r="AQ2274" i="1"/>
  <c r="AR2278" i="1"/>
  <c r="AQ2278" i="1"/>
  <c r="AR2282" i="1"/>
  <c r="AQ2282" i="1"/>
  <c r="AR2286" i="1"/>
  <c r="AQ2286" i="1"/>
  <c r="AR2290" i="1"/>
  <c r="AQ2290" i="1"/>
  <c r="AR2294" i="1"/>
  <c r="AQ2294" i="1"/>
  <c r="AR2299" i="1"/>
  <c r="AQ2299" i="1"/>
  <c r="AR2303" i="1"/>
  <c r="AQ2303" i="1"/>
  <c r="AR2307" i="1"/>
  <c r="AQ2307" i="1"/>
  <c r="AR2311" i="1"/>
  <c r="AQ2311" i="1"/>
  <c r="AR2315" i="1"/>
  <c r="AQ2315" i="1"/>
  <c r="AR2319" i="1"/>
  <c r="AQ2319" i="1"/>
  <c r="AR2324" i="1"/>
  <c r="AQ2324" i="1"/>
  <c r="AR2328" i="1"/>
  <c r="AQ2328" i="1"/>
  <c r="AR2332" i="1"/>
  <c r="AQ2332" i="1"/>
  <c r="AR2336" i="1"/>
  <c r="AQ2336" i="1"/>
  <c r="AR2340" i="1"/>
  <c r="AQ2340" i="1"/>
  <c r="AR2344" i="1"/>
  <c r="AQ2344" i="1"/>
  <c r="AR2350" i="1"/>
  <c r="AQ2350" i="1"/>
  <c r="AR2354" i="1"/>
  <c r="AQ2354" i="1"/>
  <c r="AR2358" i="1"/>
  <c r="AQ2358" i="1"/>
  <c r="AR2362" i="1"/>
  <c r="AQ2362" i="1"/>
  <c r="AR2366" i="1"/>
  <c r="AQ2366" i="1"/>
  <c r="AR2370" i="1"/>
  <c r="AQ2370" i="1"/>
  <c r="AR2374" i="1"/>
  <c r="AQ2374" i="1"/>
  <c r="AR2378" i="1"/>
  <c r="AQ2378" i="1"/>
  <c r="AR2382" i="1"/>
  <c r="AQ2382" i="1"/>
  <c r="AR2389" i="1"/>
  <c r="AQ2389" i="1"/>
  <c r="AR2393" i="1"/>
  <c r="AQ2393" i="1"/>
  <c r="AR2398" i="1"/>
  <c r="AQ2398" i="1"/>
  <c r="AR2402" i="1"/>
  <c r="AQ2402" i="1"/>
  <c r="AR2406" i="1"/>
  <c r="AQ2406" i="1"/>
  <c r="AR2410" i="1"/>
  <c r="AQ2410" i="1"/>
  <c r="AR2414" i="1"/>
  <c r="AQ2414" i="1"/>
  <c r="AR2418" i="1"/>
  <c r="AQ2418" i="1"/>
  <c r="AR2422" i="1"/>
  <c r="AQ2422" i="1"/>
  <c r="AR2426" i="1"/>
  <c r="AQ2426" i="1"/>
  <c r="AR2430" i="1"/>
  <c r="AQ2430" i="1"/>
  <c r="AR2436" i="1"/>
  <c r="AQ2436" i="1"/>
  <c r="AR2442" i="1"/>
  <c r="AQ2442" i="1"/>
  <c r="AR2448" i="1"/>
  <c r="AQ2448" i="1"/>
  <c r="AR2452" i="1"/>
  <c r="AQ2452" i="1"/>
  <c r="AR2456" i="1"/>
  <c r="AQ2456" i="1"/>
  <c r="AR2463" i="1"/>
  <c r="AQ2463" i="1"/>
  <c r="AR2467" i="1"/>
  <c r="AQ2467" i="1"/>
  <c r="AR2471" i="1"/>
  <c r="AQ2471" i="1"/>
  <c r="AR2476" i="1"/>
  <c r="AQ2476" i="1"/>
  <c r="AR2480" i="1"/>
  <c r="AQ2480" i="1"/>
  <c r="AR2484" i="1"/>
  <c r="AQ2484" i="1"/>
  <c r="AR2488" i="1"/>
  <c r="AQ2488" i="1"/>
  <c r="AR2492" i="1"/>
  <c r="AQ2492" i="1"/>
  <c r="AR2198" i="1"/>
  <c r="AQ2198" i="1"/>
  <c r="AR2202" i="1"/>
  <c r="AQ2202" i="1"/>
  <c r="AR2206" i="1"/>
  <c r="AQ2206" i="1"/>
  <c r="AR2210" i="1"/>
  <c r="AQ2210" i="1"/>
  <c r="AR2214" i="1"/>
  <c r="AQ2214" i="1"/>
  <c r="AR2218" i="1"/>
  <c r="AQ2218" i="1"/>
  <c r="AR2222" i="1"/>
  <c r="AQ2222" i="1"/>
  <c r="AR2226" i="1"/>
  <c r="AQ2226" i="1"/>
  <c r="AR2230" i="1"/>
  <c r="AQ2230" i="1"/>
  <c r="AR2234" i="1"/>
  <c r="AQ2234" i="1"/>
  <c r="AR2238" i="1"/>
  <c r="AQ2238" i="1"/>
  <c r="AR2242" i="1"/>
  <c r="AQ2242" i="1"/>
  <c r="AR2246" i="1"/>
  <c r="AQ2246" i="1"/>
  <c r="AR2250" i="1"/>
  <c r="AQ2250" i="1"/>
  <c r="AR2254" i="1"/>
  <c r="AQ2254" i="1"/>
  <c r="AR2258" i="1"/>
  <c r="AQ2258" i="1"/>
  <c r="AR2265" i="1"/>
  <c r="AQ2265" i="1"/>
  <c r="AR2269" i="1"/>
  <c r="AQ2269" i="1"/>
  <c r="AR2273" i="1"/>
  <c r="AQ2273" i="1"/>
  <c r="AR2277" i="1"/>
  <c r="AQ2277" i="1"/>
  <c r="AR2281" i="1"/>
  <c r="AQ2281" i="1"/>
  <c r="AR2285" i="1"/>
  <c r="AQ2285" i="1"/>
  <c r="AR2289" i="1"/>
  <c r="AQ2289" i="1"/>
  <c r="AR2293" i="1"/>
  <c r="AQ2293" i="1"/>
  <c r="AR2298" i="1"/>
  <c r="AQ2298" i="1"/>
  <c r="AR2302" i="1"/>
  <c r="AQ2302" i="1"/>
  <c r="AR2306" i="1"/>
  <c r="AQ2306" i="1"/>
  <c r="AR2310" i="1"/>
  <c r="AQ2310" i="1"/>
  <c r="AR2314" i="1"/>
  <c r="AQ2314" i="1"/>
  <c r="AR2318" i="1"/>
  <c r="AQ2318" i="1"/>
  <c r="AR2323" i="1"/>
  <c r="AQ2323" i="1"/>
  <c r="AR2327" i="1"/>
  <c r="AQ2327" i="1"/>
  <c r="AR2331" i="1"/>
  <c r="AQ2331" i="1"/>
  <c r="AR2335" i="1"/>
  <c r="AQ2335" i="1"/>
  <c r="AR2339" i="1"/>
  <c r="AQ2339" i="1"/>
  <c r="AR2343" i="1"/>
  <c r="AQ2343" i="1"/>
  <c r="AR2349" i="1"/>
  <c r="AQ2349" i="1"/>
  <c r="AR2353" i="1"/>
  <c r="AQ2353" i="1"/>
  <c r="AR2357" i="1"/>
  <c r="AQ2357" i="1"/>
  <c r="AR2361" i="1"/>
  <c r="AQ2361" i="1"/>
  <c r="AR2365" i="1"/>
  <c r="AQ2365" i="1"/>
  <c r="AR2369" i="1"/>
  <c r="AQ2369" i="1"/>
  <c r="AR2373" i="1"/>
  <c r="AQ2373" i="1"/>
  <c r="AR2377" i="1"/>
  <c r="AQ2377" i="1"/>
  <c r="AR2381" i="1"/>
  <c r="AQ2381" i="1"/>
  <c r="AR2388" i="1"/>
  <c r="AQ2388" i="1"/>
  <c r="AR2392" i="1"/>
  <c r="AQ2392" i="1"/>
  <c r="AR2397" i="1"/>
  <c r="AQ2397" i="1"/>
  <c r="AR2401" i="1"/>
  <c r="AQ2401" i="1"/>
  <c r="AR2405" i="1"/>
  <c r="AQ2405" i="1"/>
  <c r="AR2409" i="1"/>
  <c r="AQ2409" i="1"/>
  <c r="AR2413" i="1"/>
  <c r="AQ2413" i="1"/>
  <c r="AR2417" i="1"/>
  <c r="AQ2417" i="1"/>
  <c r="AR2421" i="1"/>
  <c r="AQ2421" i="1"/>
  <c r="AR2425" i="1"/>
  <c r="AQ2425" i="1"/>
  <c r="AR2429" i="1"/>
  <c r="AQ2429" i="1"/>
  <c r="AR2435" i="1"/>
  <c r="AQ2435" i="1"/>
  <c r="AR2441" i="1"/>
  <c r="AQ2441" i="1"/>
  <c r="AR2445" i="1"/>
  <c r="AQ2445" i="1"/>
  <c r="AR2451" i="1"/>
  <c r="AQ2451" i="1"/>
  <c r="AR2455" i="1"/>
  <c r="AQ2455" i="1"/>
  <c r="AR2462" i="1"/>
  <c r="AQ2462" i="1"/>
  <c r="AR2466" i="1"/>
  <c r="AQ2466" i="1"/>
  <c r="AR2470" i="1"/>
  <c r="AQ2470" i="1"/>
  <c r="AR2475" i="1"/>
  <c r="AQ2475" i="1"/>
  <c r="AR2479" i="1"/>
  <c r="AQ2479" i="1"/>
  <c r="AR2483" i="1"/>
  <c r="AQ2483" i="1"/>
  <c r="AR2487" i="1"/>
  <c r="AQ2487" i="1"/>
  <c r="AR2491" i="1"/>
  <c r="AQ2491" i="1"/>
  <c r="AR2201" i="1"/>
  <c r="AQ2201" i="1"/>
  <c r="AR2205" i="1"/>
  <c r="AQ2205" i="1"/>
  <c r="AR2209" i="1"/>
  <c r="AQ2209" i="1"/>
  <c r="AR2213" i="1"/>
  <c r="AQ2213" i="1"/>
  <c r="AR2217" i="1"/>
  <c r="AQ2217" i="1"/>
  <c r="AR2221" i="1"/>
  <c r="AQ2221" i="1"/>
  <c r="AR2225" i="1"/>
  <c r="AQ2225" i="1"/>
  <c r="AR2229" i="1"/>
  <c r="AQ2229" i="1"/>
  <c r="AR2233" i="1"/>
  <c r="AQ2233" i="1"/>
  <c r="AR2237" i="1"/>
  <c r="AQ2237" i="1"/>
  <c r="AR2241" i="1"/>
  <c r="AQ2241" i="1"/>
  <c r="AR2245" i="1"/>
  <c r="AQ2245" i="1"/>
  <c r="AR2249" i="1"/>
  <c r="AQ2249" i="1"/>
  <c r="AR2253" i="1"/>
  <c r="AQ2253" i="1"/>
  <c r="AR2257" i="1"/>
  <c r="AQ2257" i="1"/>
  <c r="AR2264" i="1"/>
  <c r="AQ2264" i="1"/>
  <c r="AR2268" i="1"/>
  <c r="AQ2268" i="1"/>
  <c r="AR2272" i="1"/>
  <c r="AQ2272" i="1"/>
  <c r="AR2276" i="1"/>
  <c r="AQ2276" i="1"/>
  <c r="AR2280" i="1"/>
  <c r="AQ2280" i="1"/>
  <c r="AR2284" i="1"/>
  <c r="AQ2284" i="1"/>
  <c r="AR2288" i="1"/>
  <c r="AQ2288" i="1"/>
  <c r="AR2292" i="1"/>
  <c r="AQ2292" i="1"/>
  <c r="AR2296" i="1"/>
  <c r="AQ2296" i="1"/>
  <c r="AR2301" i="1"/>
  <c r="AQ2301" i="1"/>
  <c r="AR2305" i="1"/>
  <c r="AQ2305" i="1"/>
  <c r="AR2309" i="1"/>
  <c r="AQ2309" i="1"/>
  <c r="AR2313" i="1"/>
  <c r="AQ2313" i="1"/>
  <c r="AR2317" i="1"/>
  <c r="AQ2317" i="1"/>
  <c r="AR2322" i="1"/>
  <c r="AQ2322" i="1"/>
  <c r="AR2326" i="1"/>
  <c r="AQ2326" i="1"/>
  <c r="AR2330" i="1"/>
  <c r="AQ2330" i="1"/>
  <c r="AR2334" i="1"/>
  <c r="AQ2334" i="1"/>
  <c r="AR2338" i="1"/>
  <c r="AQ2338" i="1"/>
  <c r="AR2342" i="1"/>
  <c r="AQ2342" i="1"/>
  <c r="AR2348" i="1"/>
  <c r="AQ2348" i="1"/>
  <c r="AR2352" i="1"/>
  <c r="AQ2352" i="1"/>
  <c r="AR2356" i="1"/>
  <c r="AQ2356" i="1"/>
  <c r="AR2360" i="1"/>
  <c r="AQ2360" i="1"/>
  <c r="AR2364" i="1"/>
  <c r="AQ2364" i="1"/>
  <c r="AR2368" i="1"/>
  <c r="AQ2368" i="1"/>
  <c r="AR2372" i="1"/>
  <c r="AQ2372" i="1"/>
  <c r="AR2376" i="1"/>
  <c r="AQ2376" i="1"/>
  <c r="AR2380" i="1"/>
  <c r="AQ2380" i="1"/>
  <c r="AR2387" i="1"/>
  <c r="AQ2387" i="1"/>
  <c r="AR2391" i="1"/>
  <c r="AQ2391" i="1"/>
  <c r="AR2395" i="1"/>
  <c r="AQ2395" i="1"/>
  <c r="AR2400" i="1"/>
  <c r="AQ2400" i="1"/>
  <c r="AR2404" i="1"/>
  <c r="AQ2404" i="1"/>
  <c r="AR2408" i="1"/>
  <c r="AQ2408" i="1"/>
  <c r="AR2412" i="1"/>
  <c r="AQ2412" i="1"/>
  <c r="AR2416" i="1"/>
  <c r="AQ2416" i="1"/>
  <c r="AR2420" i="1"/>
  <c r="AQ2420" i="1"/>
  <c r="AR2424" i="1"/>
  <c r="AQ2424" i="1"/>
  <c r="AR2428" i="1"/>
  <c r="AQ2428" i="1"/>
  <c r="AR2434" i="1"/>
  <c r="AQ2434" i="1"/>
  <c r="AR2438" i="1"/>
  <c r="AQ2438" i="1"/>
  <c r="AR2444" i="1"/>
  <c r="AQ2444" i="1"/>
  <c r="AR2450" i="1"/>
  <c r="AQ2450" i="1"/>
  <c r="AR2454" i="1"/>
  <c r="AQ2454" i="1"/>
  <c r="AR2461" i="1"/>
  <c r="AQ2461" i="1"/>
  <c r="AR2465" i="1"/>
  <c r="AQ2465" i="1"/>
  <c r="AR2469" i="1"/>
  <c r="AQ2469" i="1"/>
  <c r="AR2474" i="1"/>
  <c r="AQ2474" i="1"/>
  <c r="AR2478" i="1"/>
  <c r="AQ2478" i="1"/>
  <c r="AR2482" i="1"/>
  <c r="AQ2482" i="1"/>
  <c r="AR2486" i="1"/>
  <c r="AQ2486" i="1"/>
  <c r="AR2490" i="1"/>
  <c r="AQ2490" i="1"/>
  <c r="X2916" i="1"/>
  <c r="AO2899" i="1"/>
  <c r="O26" i="17"/>
  <c r="AN2899" i="1"/>
  <c r="AM2899" i="1"/>
  <c r="O832" i="17"/>
  <c r="O198" i="17"/>
  <c r="O728" i="17"/>
  <c r="O520" i="17"/>
  <c r="O922" i="17"/>
  <c r="O759" i="17"/>
  <c r="O877" i="17"/>
  <c r="O653" i="17"/>
  <c r="O939" i="17"/>
  <c r="O774" i="17"/>
  <c r="O511" i="17"/>
  <c r="O213" i="17"/>
  <c r="O575" i="17"/>
  <c r="O277" i="17"/>
  <c r="O969" i="17"/>
  <c r="O806" i="17"/>
  <c r="O536" i="17"/>
  <c r="O897" i="17"/>
  <c r="O343" i="17"/>
  <c r="O171" i="17"/>
  <c r="O819" i="17"/>
  <c r="O569" i="17"/>
  <c r="O270" i="17"/>
  <c r="O333" i="17"/>
  <c r="O118" i="17"/>
  <c r="O580" i="17"/>
  <c r="O934" i="17"/>
  <c r="O766" i="17"/>
  <c r="O493" i="17"/>
  <c r="O886" i="17"/>
  <c r="O599" i="17"/>
  <c r="O325" i="17"/>
  <c r="O16" i="17"/>
  <c r="O954" i="17"/>
  <c r="O357" i="17"/>
  <c r="O184" i="17"/>
  <c r="O891" i="17"/>
  <c r="O339" i="17"/>
  <c r="O163" i="17"/>
  <c r="O814" i="17"/>
  <c r="O560" i="17"/>
  <c r="O259" i="17"/>
  <c r="O907" i="17"/>
  <c r="O697" i="17"/>
  <c r="O352" i="17"/>
  <c r="O178" i="17"/>
  <c r="O639" i="17"/>
  <c r="O779" i="17"/>
  <c r="O645" i="17"/>
  <c r="O660" i="17"/>
  <c r="O301" i="17"/>
  <c r="O293" i="17"/>
  <c r="O448" i="17"/>
  <c r="O870" i="17"/>
  <c r="O914" i="17"/>
  <c r="O744" i="17"/>
  <c r="O591" i="17"/>
  <c r="I219" i="18"/>
  <c r="I255" i="18" s="1"/>
  <c r="F67" i="10"/>
  <c r="F63" i="10"/>
  <c r="F55" i="10"/>
  <c r="F27" i="10"/>
  <c r="F64" i="10"/>
  <c r="F78" i="10"/>
  <c r="F61" i="10"/>
  <c r="F75" i="10"/>
  <c r="F62" i="10"/>
  <c r="F34" i="10"/>
  <c r="F13" i="10"/>
  <c r="R38" i="1"/>
  <c r="R41" i="1"/>
  <c r="R9" i="1"/>
  <c r="R44" i="1"/>
  <c r="R32" i="1"/>
  <c r="R29" i="1"/>
  <c r="R31" i="1"/>
  <c r="R17" i="1"/>
  <c r="R35" i="1"/>
  <c r="R14" i="1"/>
  <c r="R30" i="1"/>
  <c r="R23" i="1"/>
  <c r="AL2899" i="1"/>
  <c r="AK2899" i="1"/>
  <c r="L12" i="15"/>
  <c r="L33" i="15"/>
  <c r="AJ2899" i="1"/>
  <c r="AI2899" i="1"/>
  <c r="AH2899" i="1"/>
  <c r="AG2899" i="1"/>
  <c r="AF2899" i="1"/>
  <c r="AD2899" i="1"/>
  <c r="AC2899" i="1"/>
  <c r="AB2899" i="1"/>
  <c r="X2899" i="1"/>
  <c r="AA2899" i="1"/>
  <c r="W2899" i="1"/>
  <c r="U2899" i="1"/>
  <c r="Z2899" i="1"/>
  <c r="V2899" i="1"/>
  <c r="Y2899" i="1"/>
  <c r="U14" i="1" l="1"/>
  <c r="Y14" i="1"/>
  <c r="U29" i="1"/>
  <c r="Y29" i="1"/>
  <c r="U9" i="1"/>
  <c r="Y9" i="1"/>
  <c r="U17" i="1"/>
  <c r="Y17" i="1"/>
  <c r="U44" i="1"/>
  <c r="Y44" i="1"/>
  <c r="H13" i="10"/>
  <c r="H61" i="10"/>
  <c r="I61" i="10" s="1"/>
  <c r="H55" i="10"/>
  <c r="H75" i="10"/>
  <c r="H27" i="10"/>
  <c r="H62" i="10"/>
  <c r="I62" i="10" s="1"/>
  <c r="H64" i="10"/>
  <c r="I64" i="10" s="1"/>
  <c r="H67" i="10"/>
  <c r="I67" i="10" s="1"/>
  <c r="H34" i="10"/>
  <c r="H78" i="10"/>
  <c r="I78" i="10" s="1"/>
  <c r="H63" i="10"/>
  <c r="I63" i="10" s="1"/>
  <c r="L36" i="15"/>
  <c r="I421" i="10"/>
  <c r="I75" i="10" l="1"/>
  <c r="I80" i="10" s="1"/>
  <c r="H80" i="10"/>
  <c r="I55" i="10"/>
  <c r="I70" i="10" s="1"/>
  <c r="H70" i="10"/>
  <c r="I34" i="10"/>
  <c r="I36" i="10" s="1"/>
  <c r="H36" i="10"/>
  <c r="I13" i="10"/>
  <c r="I16" i="10" s="1"/>
  <c r="H16" i="10"/>
  <c r="I27" i="10"/>
  <c r="I29" i="10" s="1"/>
  <c r="H29" i="10"/>
  <c r="I82" i="10" l="1"/>
  <c r="H82" i="10"/>
  <c r="I420" i="10" l="1"/>
  <c r="H222" i="18" s="1"/>
  <c r="H420" i="10"/>
  <c r="G222" i="18" l="1"/>
  <c r="I222" i="18" s="1"/>
  <c r="I242" i="18" s="1"/>
  <c r="J420" i="10"/>
  <c r="P1028" i="17" s="1"/>
  <c r="D43" i="15" l="1"/>
  <c r="D44" i="15" l="1"/>
  <c r="E43" i="15"/>
  <c r="D45" i="15" l="1"/>
  <c r="E44" i="15"/>
  <c r="G43" i="15" l="1"/>
  <c r="H43" i="15"/>
  <c r="E45" i="15"/>
  <c r="G44" i="15" l="1"/>
  <c r="H44" i="15" l="1"/>
  <c r="I43" i="15"/>
  <c r="G45" i="15"/>
  <c r="J253" i="10"/>
  <c r="J251" i="10" s="1"/>
  <c r="P254" i="17"/>
  <c r="O254" i="17" s="1"/>
  <c r="H45" i="15" l="1"/>
  <c r="J43" i="15"/>
  <c r="I44" i="15"/>
  <c r="H251" i="10"/>
  <c r="J44" i="15" l="1"/>
  <c r="I45" i="15"/>
  <c r="K43" i="15"/>
  <c r="H249" i="10"/>
  <c r="H250" i="10"/>
  <c r="J45" i="15" l="1"/>
  <c r="K44" i="15"/>
  <c r="L43" i="15"/>
  <c r="M43" i="15" l="1"/>
  <c r="L44" i="15"/>
  <c r="K45" i="15"/>
  <c r="N43" i="15" l="1"/>
  <c r="M44" i="15"/>
  <c r="L45" i="15"/>
  <c r="P187" i="17"/>
  <c r="P190" i="17" s="1"/>
  <c r="O190" i="17" s="1"/>
  <c r="V2855" i="1"/>
  <c r="P43" i="15" l="1"/>
  <c r="O43" i="15"/>
  <c r="N44" i="15"/>
  <c r="M45" i="15"/>
  <c r="AB2855" i="1"/>
  <c r="V2858" i="1"/>
  <c r="X2861" i="1"/>
  <c r="X2864" i="1"/>
  <c r="V2866" i="1"/>
  <c r="W2858" i="1"/>
  <c r="X2859" i="1"/>
  <c r="AB2866" i="1"/>
  <c r="U2862" i="1"/>
  <c r="AA2865" i="1"/>
  <c r="U2856" i="1"/>
  <c r="G35" i="18" s="1"/>
  <c r="W2857" i="1"/>
  <c r="AB2882" i="1"/>
  <c r="AA2862" i="1"/>
  <c r="W2865" i="1"/>
  <c r="AA2856" i="1"/>
  <c r="X2858" i="1"/>
  <c r="AB2863" i="1"/>
  <c r="AB2865" i="1"/>
  <c r="X2879" i="1"/>
  <c r="J92" i="19" s="1"/>
  <c r="J91" i="19" s="1"/>
  <c r="AC2880" i="1"/>
  <c r="Y2858" i="1"/>
  <c r="AC2862" i="1"/>
  <c r="Y2866" i="1"/>
  <c r="AC2883" i="1"/>
  <c r="AB2915" i="1"/>
  <c r="V2901" i="1"/>
  <c r="AC3089" i="1"/>
  <c r="AC3091" i="1" s="1"/>
  <c r="AS3118" i="1"/>
  <c r="AS3116" i="1" s="1"/>
  <c r="BI3118" i="1"/>
  <c r="BI3116" i="1" s="1"/>
  <c r="BY3118" i="1"/>
  <c r="BY3116" i="1" s="1"/>
  <c r="BD3118" i="1"/>
  <c r="BD3116" i="1" s="1"/>
  <c r="BT3118" i="1"/>
  <c r="BT3116" i="1" s="1"/>
  <c r="U3126" i="1"/>
  <c r="AW3126" i="1"/>
  <c r="U3127" i="1"/>
  <c r="BD3127" i="1"/>
  <c r="AB3128" i="1"/>
  <c r="BK3128" i="1"/>
  <c r="BJ3129" i="1"/>
  <c r="BQ3130" i="1"/>
  <c r="AC3131" i="1"/>
  <c r="CB3131" i="1"/>
  <c r="AA3133" i="1"/>
  <c r="BZ3133" i="1"/>
  <c r="W3126" i="1"/>
  <c r="BF3126" i="1"/>
  <c r="BM3127" i="1"/>
  <c r="BT3128" i="1"/>
  <c r="AU3129" i="1"/>
  <c r="CA3129" i="1"/>
  <c r="AT3130" i="1"/>
  <c r="BZ3130" i="1"/>
  <c r="BA3131" i="1"/>
  <c r="AV3133" i="1"/>
  <c r="BC3134" i="1"/>
  <c r="AC3135" i="1"/>
  <c r="BX3135" i="1"/>
  <c r="BT3132" i="1"/>
  <c r="AU3133" i="1"/>
  <c r="CA3133" i="1"/>
  <c r="AT3134" i="1"/>
  <c r="BZ3134" i="1"/>
  <c r="BA3135" i="1"/>
  <c r="AS3174" i="1"/>
  <c r="AS3172" i="1" s="1"/>
  <c r="BI3174" i="1"/>
  <c r="BI3172" i="1" s="1"/>
  <c r="BY3174" i="1"/>
  <c r="BY3172" i="1" s="1"/>
  <c r="AD2878" i="1"/>
  <c r="AD2863" i="1"/>
  <c r="AD2866" i="1"/>
  <c r="AF2860" i="1"/>
  <c r="AG3089" i="1"/>
  <c r="AG3091" i="1" s="1"/>
  <c r="AG2883" i="1"/>
  <c r="AG2864" i="1"/>
  <c r="X2915" i="1"/>
  <c r="AA2906" i="1"/>
  <c r="AA2904" i="1" s="1"/>
  <c r="AB2901" i="1"/>
  <c r="BS3126" i="1"/>
  <c r="BB3127" i="1"/>
  <c r="Z3128" i="1"/>
  <c r="BI3128" i="1"/>
  <c r="BP3129" i="1"/>
  <c r="BW3130" i="1"/>
  <c r="BX3131" i="1"/>
  <c r="W3133" i="1"/>
  <c r="I235" i="18" s="1"/>
  <c r="BV3133" i="1"/>
  <c r="BD3126" i="1"/>
  <c r="AB3127" i="1"/>
  <c r="BK3127" i="1"/>
  <c r="BJ3128" i="1"/>
  <c r="BQ3129" i="1"/>
  <c r="AC3130" i="1"/>
  <c r="BX3130" i="1"/>
  <c r="AY3131" i="1"/>
  <c r="AC3133" i="1"/>
  <c r="AY3134" i="1"/>
  <c r="BN3135" i="1"/>
  <c r="BD3174" i="1"/>
  <c r="BD3172" i="1" s="1"/>
  <c r="BT3174" i="1"/>
  <c r="BT3172" i="1" s="1"/>
  <c r="CA3131" i="1"/>
  <c r="AT3132" i="1"/>
  <c r="BZ3132" i="1"/>
  <c r="BA3133" i="1"/>
  <c r="Y3134" i="1"/>
  <c r="BH3134" i="1"/>
  <c r="BO3135" i="1"/>
  <c r="BG3174" i="1"/>
  <c r="BG3172" i="1" s="1"/>
  <c r="BW3174" i="1"/>
  <c r="BW3172" i="1" s="1"/>
  <c r="AD3089" i="1"/>
  <c r="AD3091" i="1" s="1"/>
  <c r="AE2884" i="1"/>
  <c r="AF2856" i="1"/>
  <c r="AG3134" i="1"/>
  <c r="AF2863" i="1"/>
  <c r="AG2886" i="1"/>
  <c r="AC2887" i="1"/>
  <c r="Z2901" i="1"/>
  <c r="BA3126" i="1"/>
  <c r="Y3127" i="1"/>
  <c r="BH3127" i="1"/>
  <c r="BO3128" i="1"/>
  <c r="BN3129" i="1"/>
  <c r="BU3130" i="1"/>
  <c r="AV3131" i="1"/>
  <c r="AB3132" i="1"/>
  <c r="AS3134" i="1"/>
  <c r="BR3126" i="1"/>
  <c r="AS3127" i="1"/>
  <c r="BY3127" i="1"/>
  <c r="AZ3128" i="1"/>
  <c r="X3129" i="1"/>
  <c r="BG3129" i="1"/>
  <c r="BF3130" i="1"/>
  <c r="BM3131" i="1"/>
  <c r="BM3132" i="1"/>
  <c r="BT3133" i="1"/>
  <c r="CA3134" i="1"/>
  <c r="BD3135" i="1"/>
  <c r="AT3174" i="1"/>
  <c r="AT3172" i="1" s="1"/>
  <c r="BJ3174" i="1"/>
  <c r="BJ3172" i="1" s="1"/>
  <c r="BZ3174" i="1"/>
  <c r="BZ3172" i="1" s="1"/>
  <c r="BP3132" i="1"/>
  <c r="BW3133" i="1"/>
  <c r="BV3134" i="1"/>
  <c r="AW3135" i="1"/>
  <c r="AW3174" i="1"/>
  <c r="AW3172" i="1" s="1"/>
  <c r="BM3174" i="1"/>
  <c r="BM3172" i="1" s="1"/>
  <c r="AD2857" i="1"/>
  <c r="AE3131" i="1"/>
  <c r="AE2880" i="1"/>
  <c r="AD2881" i="1"/>
  <c r="AD2858" i="1"/>
  <c r="AG2867" i="1"/>
  <c r="AG2862" i="1"/>
  <c r="AG2865" i="1"/>
  <c r="AF2866" i="1"/>
  <c r="AG3128" i="1"/>
  <c r="X2901" i="1"/>
  <c r="AB3089" i="1"/>
  <c r="AB3091" i="1" s="1"/>
  <c r="AU3118" i="1"/>
  <c r="AU3116" i="1" s="1"/>
  <c r="BK3118" i="1"/>
  <c r="BK3116" i="1" s="1"/>
  <c r="CA3118" i="1"/>
  <c r="CA3116" i="1" s="1"/>
  <c r="BF3118" i="1"/>
  <c r="BF3116" i="1" s="1"/>
  <c r="BV3118" i="1"/>
  <c r="BV3116" i="1" s="1"/>
  <c r="BW3126" i="1"/>
  <c r="BF3127" i="1"/>
  <c r="BM3128" i="1"/>
  <c r="BT3129" i="1"/>
  <c r="AU3130" i="1"/>
  <c r="CA3130" i="1"/>
  <c r="AT3131" i="1"/>
  <c r="X3132" i="1"/>
  <c r="BP3126" i="1"/>
  <c r="BW3127" i="1"/>
  <c r="BV3128" i="1"/>
  <c r="AW3129" i="1"/>
  <c r="U3130" i="1"/>
  <c r="BD3130" i="1"/>
  <c r="AB3131" i="1"/>
  <c r="BK3131" i="1"/>
  <c r="BI3132" i="1"/>
  <c r="W2855" i="1"/>
  <c r="Z2859" i="1"/>
  <c r="Z2867" i="1"/>
  <c r="Y2859" i="1"/>
  <c r="W2862" i="1"/>
  <c r="W2856" i="1"/>
  <c r="AB2862" i="1"/>
  <c r="W2863" i="1"/>
  <c r="AC2867" i="1"/>
  <c r="X2857" i="1"/>
  <c r="Z2858" i="1"/>
  <c r="V2863" i="1"/>
  <c r="H17" i="18" s="1"/>
  <c r="Z2866" i="1"/>
  <c r="X2881" i="1"/>
  <c r="AC2882" i="1"/>
  <c r="U2859" i="1"/>
  <c r="H112" i="10" s="1"/>
  <c r="AA2860" i="1"/>
  <c r="AC2861" i="1"/>
  <c r="AA2866" i="1"/>
  <c r="AC2855" i="1"/>
  <c r="AB2859" i="1"/>
  <c r="AB2861" i="1"/>
  <c r="AB2880" i="1"/>
  <c r="AA2859" i="1"/>
  <c r="AC2860" i="1"/>
  <c r="W2864" i="1"/>
  <c r="AA2867" i="1"/>
  <c r="X2885" i="1"/>
  <c r="J117" i="19" s="1"/>
  <c r="AA2915" i="1"/>
  <c r="Y2901" i="1"/>
  <c r="BU3126" i="1"/>
  <c r="AV3127" i="1"/>
  <c r="CB3127" i="1"/>
  <c r="BC3128" i="1"/>
  <c r="AA3129" i="1"/>
  <c r="BB3129" i="1"/>
  <c r="Z3130" i="1"/>
  <c r="BI3130" i="1"/>
  <c r="BP3131" i="1"/>
  <c r="BS3132" i="1"/>
  <c r="BJ3133" i="1"/>
  <c r="BQ3134" i="1"/>
  <c r="AX3126" i="1"/>
  <c r="V3127" i="1"/>
  <c r="BE3127" i="1"/>
  <c r="BL3128" i="1"/>
  <c r="BS3129" i="1"/>
  <c r="BR3130" i="1"/>
  <c r="AS3131" i="1"/>
  <c r="V3132" i="1"/>
  <c r="BP3135" i="1"/>
  <c r="BF3174" i="1"/>
  <c r="BF3172" i="1" s="1"/>
  <c r="BV3174" i="1"/>
  <c r="BV3172" i="1" s="1"/>
  <c r="BL3132" i="1"/>
  <c r="BS3133" i="1"/>
  <c r="BR3134" i="1"/>
  <c r="AS3135" i="1"/>
  <c r="BY3135" i="1"/>
  <c r="AD2906" i="1"/>
  <c r="AD2904" i="1" s="1"/>
  <c r="AE2885" i="1"/>
  <c r="AE3129" i="1"/>
  <c r="AF2906" i="1"/>
  <c r="AF2904" i="1" s="1"/>
  <c r="AG2885" i="1"/>
  <c r="AG2880" i="1"/>
  <c r="AG2857" i="1"/>
  <c r="AF3135" i="1"/>
  <c r="AC2881" i="1"/>
  <c r="AC2884" i="1"/>
  <c r="BG3118" i="1"/>
  <c r="BG3116" i="1" s="1"/>
  <c r="BW3118" i="1"/>
  <c r="BW3116" i="1" s="1"/>
  <c r="BB3118" i="1"/>
  <c r="BB3116" i="1" s="1"/>
  <c r="BR3118" i="1"/>
  <c r="BR3116" i="1" s="1"/>
  <c r="AB3126" i="1"/>
  <c r="BK3126" i="1"/>
  <c r="AT3127" i="1"/>
  <c r="BZ3127" i="1"/>
  <c r="BA3128" i="1"/>
  <c r="Y3129" i="1"/>
  <c r="BH3129" i="1"/>
  <c r="BO3130" i="1"/>
  <c r="BN3131" i="1"/>
  <c r="BO3132" i="1"/>
  <c r="BF3133" i="1"/>
  <c r="BM3134" i="1"/>
  <c r="AV3126" i="1"/>
  <c r="CB3126" i="1"/>
  <c r="BC3127" i="1"/>
  <c r="AA3128" i="1"/>
  <c r="BB3128" i="1"/>
  <c r="Z3129" i="1"/>
  <c r="BI3129" i="1"/>
  <c r="BP3130" i="1"/>
  <c r="BZ3131" i="1"/>
  <c r="Y3133" i="1"/>
  <c r="BF3135" i="1"/>
  <c r="BR3132" i="1"/>
  <c r="AS3133" i="1"/>
  <c r="BY3133" i="1"/>
  <c r="AZ3134" i="1"/>
  <c r="X3135" i="1"/>
  <c r="BG3135" i="1"/>
  <c r="AD2887" i="1"/>
  <c r="AE2881" i="1"/>
  <c r="AD2885" i="1"/>
  <c r="AD2888" i="1"/>
  <c r="AF3089" i="1"/>
  <c r="AF3091" i="1" s="1"/>
  <c r="AG3135" i="1"/>
  <c r="AG2866" i="1"/>
  <c r="AG2915" i="1"/>
  <c r="AG2917" i="1" s="1"/>
  <c r="AG2860" i="1"/>
  <c r="AB2879" i="1"/>
  <c r="AC2906" i="1"/>
  <c r="AC2904" i="1" s="1"/>
  <c r="BE3118" i="1"/>
  <c r="BE3116" i="1" s="1"/>
  <c r="BU3118" i="1"/>
  <c r="BU3116" i="1" s="1"/>
  <c r="BH3118" i="1"/>
  <c r="BH3116" i="1" s="1"/>
  <c r="BX3118" i="1"/>
  <c r="BX3116" i="1" s="1"/>
  <c r="AS3126" i="1"/>
  <c r="BY3126" i="1"/>
  <c r="AZ3127" i="1"/>
  <c r="X3128" i="1"/>
  <c r="BG3128" i="1"/>
  <c r="BF3129" i="1"/>
  <c r="BM3130" i="1"/>
  <c r="BT3131" i="1"/>
  <c r="CA3132" i="1"/>
  <c r="Z3134" i="1"/>
  <c r="AA3126" i="1"/>
  <c r="BJ3126" i="1"/>
  <c r="BQ3127" i="1"/>
  <c r="AC3128" i="1"/>
  <c r="BX3128" i="1"/>
  <c r="AY3129" i="1"/>
  <c r="W3130" i="1"/>
  <c r="I232" i="18" s="1"/>
  <c r="AX3130" i="1"/>
  <c r="V3131" i="1"/>
  <c r="BE3131" i="1"/>
  <c r="AW3132" i="1"/>
  <c r="BD3133" i="1"/>
  <c r="BK3134" i="1"/>
  <c r="AV3135" i="1"/>
  <c r="CB3135" i="1"/>
  <c r="Y3132" i="1"/>
  <c r="BH3132" i="1"/>
  <c r="BO3133" i="1"/>
  <c r="BN3134" i="1"/>
  <c r="BU3135" i="1"/>
  <c r="AE2867" i="1"/>
  <c r="AD3133" i="1"/>
  <c r="AD2855" i="1"/>
  <c r="AF3134" i="1"/>
  <c r="AF2878" i="1"/>
  <c r="AF3128" i="1"/>
  <c r="AG3133" i="1"/>
  <c r="AG2882" i="1"/>
  <c r="AB2885" i="1"/>
  <c r="X2887" i="1"/>
  <c r="J143" i="19" s="1"/>
  <c r="AA2901" i="1"/>
  <c r="BO3126" i="1"/>
  <c r="AX3127" i="1"/>
  <c r="V3128" i="1"/>
  <c r="BE3128" i="1"/>
  <c r="BL3129" i="1"/>
  <c r="BS3130" i="1"/>
  <c r="BR3131" i="1"/>
  <c r="BW3132" i="1"/>
  <c r="V3134" i="1"/>
  <c r="Y3126" i="1"/>
  <c r="BH3126" i="1"/>
  <c r="BO3127" i="1"/>
  <c r="BN3128" i="1"/>
  <c r="BU3129" i="1"/>
  <c r="AV3130" i="1"/>
  <c r="CB3130" i="1"/>
  <c r="BC3131" i="1"/>
  <c r="AS3132" i="1"/>
  <c r="AZ3133" i="1"/>
  <c r="BG3134" i="1"/>
  <c r="X2856" i="1"/>
  <c r="Y2856" i="1"/>
  <c r="AA2857" i="1"/>
  <c r="X2860" i="1"/>
  <c r="V2862" i="1"/>
  <c r="X2865" i="1"/>
  <c r="AC2878" i="1"/>
  <c r="AC2859" i="1"/>
  <c r="Y2863" i="1"/>
  <c r="W2866" i="1"/>
  <c r="V2856" i="1"/>
  <c r="H35" i="18" s="1"/>
  <c r="Z2857" i="1"/>
  <c r="Y2857" i="1"/>
  <c r="AB2858" i="1"/>
  <c r="X2867" i="1"/>
  <c r="U2858" i="1"/>
  <c r="AA2861" i="1"/>
  <c r="U2866" i="1"/>
  <c r="H436" i="10" s="1"/>
  <c r="X2855" i="1"/>
  <c r="AA2855" i="1"/>
  <c r="U2863" i="1"/>
  <c r="G17" i="18" s="1"/>
  <c r="AA2864" i="1"/>
  <c r="AC2865" i="1"/>
  <c r="AB2864" i="1"/>
  <c r="X2866" i="1"/>
  <c r="AC2858" i="1"/>
  <c r="Y2862" i="1"/>
  <c r="AC2866" i="1"/>
  <c r="AB2906" i="1"/>
  <c r="AB2904" i="1" s="1"/>
  <c r="AC2886" i="1"/>
  <c r="BA3118" i="1"/>
  <c r="BA3116" i="1" s="1"/>
  <c r="BQ3118" i="1"/>
  <c r="BQ3116" i="1" s="1"/>
  <c r="AV3118" i="1"/>
  <c r="AV3116" i="1" s="1"/>
  <c r="BL3118" i="1"/>
  <c r="BL3116" i="1" s="1"/>
  <c r="CB3118" i="1"/>
  <c r="CB3116" i="1" s="1"/>
  <c r="BM3126" i="1"/>
  <c r="BT3127" i="1"/>
  <c r="AU3128" i="1"/>
  <c r="CA3128" i="1"/>
  <c r="AT3129" i="1"/>
  <c r="BZ3129" i="1"/>
  <c r="BA3130" i="1"/>
  <c r="Y3131" i="1"/>
  <c r="BH3131" i="1"/>
  <c r="BC3132" i="1"/>
  <c r="AT3133" i="1"/>
  <c r="BA3134" i="1"/>
  <c r="BV3126" i="1"/>
  <c r="AW3127" i="1"/>
  <c r="U3128" i="1"/>
  <c r="BD3128" i="1"/>
  <c r="AB3129" i="1"/>
  <c r="BK3129" i="1"/>
  <c r="BJ3130" i="1"/>
  <c r="BQ3131" i="1"/>
  <c r="BU3132" i="1"/>
  <c r="CB3133" i="1"/>
  <c r="BH3135" i="1"/>
  <c r="U3132" i="1"/>
  <c r="BD3132" i="1"/>
  <c r="AB3133" i="1"/>
  <c r="BK3133" i="1"/>
  <c r="BJ3134" i="1"/>
  <c r="BQ3135" i="1"/>
  <c r="BA3174" i="1"/>
  <c r="BA3172" i="1" s="1"/>
  <c r="BQ3174" i="1"/>
  <c r="BQ3172" i="1" s="1"/>
  <c r="AD2865" i="1"/>
  <c r="AF2865" i="1"/>
  <c r="AG2859" i="1"/>
  <c r="AF3133" i="1"/>
  <c r="AF3141" i="1" s="1"/>
  <c r="AF2867" i="1"/>
  <c r="AF2884" i="1"/>
  <c r="AB2881" i="1"/>
  <c r="X2906" i="1"/>
  <c r="X2904" i="1" s="1"/>
  <c r="W2915" i="1"/>
  <c r="W2901" i="1"/>
  <c r="BC3126" i="1"/>
  <c r="BR3127" i="1"/>
  <c r="AS3128" i="1"/>
  <c r="BY3128" i="1"/>
  <c r="AZ3129" i="1"/>
  <c r="X3130" i="1"/>
  <c r="BG3130" i="1"/>
  <c r="BF3131" i="1"/>
  <c r="AY3132" i="1"/>
  <c r="AW3134" i="1"/>
  <c r="BT3126" i="1"/>
  <c r="AU3127" i="1"/>
  <c r="CA3127" i="1"/>
  <c r="AT3128" i="1"/>
  <c r="BZ3128" i="1"/>
  <c r="BA3129" i="1"/>
  <c r="Y3130" i="1"/>
  <c r="BH3130" i="1"/>
  <c r="BO3131" i="1"/>
  <c r="BQ3132" i="1"/>
  <c r="BX3133" i="1"/>
  <c r="W3135" i="1"/>
  <c r="I237" i="18" s="1"/>
  <c r="AX3135" i="1"/>
  <c r="AV3174" i="1"/>
  <c r="AV3172" i="1" s="1"/>
  <c r="BL3174" i="1"/>
  <c r="BL3172" i="1" s="1"/>
  <c r="CB3174" i="1"/>
  <c r="CB3172" i="1" s="1"/>
  <c r="BJ3132" i="1"/>
  <c r="BQ3133" i="1"/>
  <c r="AC3134" i="1"/>
  <c r="BX3134" i="1"/>
  <c r="AY3135" i="1"/>
  <c r="AY3174" i="1"/>
  <c r="AY3172" i="1" s="1"/>
  <c r="BO3174" i="1"/>
  <c r="BO3172" i="1" s="1"/>
  <c r="AD2861" i="1"/>
  <c r="AD2901" i="1"/>
  <c r="AD2859" i="1"/>
  <c r="AD2862" i="1"/>
  <c r="AF2887" i="1"/>
  <c r="AG2881" i="1"/>
  <c r="AF3129" i="1"/>
  <c r="AG2879" i="1"/>
  <c r="AF3131" i="1"/>
  <c r="X2878" i="1"/>
  <c r="AC2879" i="1"/>
  <c r="AB2887" i="1"/>
  <c r="U2901" i="1"/>
  <c r="BQ3126" i="1"/>
  <c r="AC3127" i="1"/>
  <c r="BX3127" i="1"/>
  <c r="AY3128" i="1"/>
  <c r="W3129" i="1"/>
  <c r="I231" i="18" s="1"/>
  <c r="AX3129" i="1"/>
  <c r="V3130" i="1"/>
  <c r="BE3130" i="1"/>
  <c r="BL3131" i="1"/>
  <c r="BK3132" i="1"/>
  <c r="BR3133" i="1"/>
  <c r="BY3134" i="1"/>
  <c r="BB3126" i="1"/>
  <c r="Z3127" i="1"/>
  <c r="BI3127" i="1"/>
  <c r="BP3128" i="1"/>
  <c r="BW3129" i="1"/>
  <c r="BV3130" i="1"/>
  <c r="AW3131" i="1"/>
  <c r="AU3134" i="1"/>
  <c r="BT3135" i="1"/>
  <c r="BB3174" i="1"/>
  <c r="BB3172" i="1" s="1"/>
  <c r="BR3174" i="1"/>
  <c r="BR3172" i="1" s="1"/>
  <c r="BY3131" i="1"/>
  <c r="AZ3132" i="1"/>
  <c r="X3133" i="1"/>
  <c r="BG3133" i="1"/>
  <c r="BF3134" i="1"/>
  <c r="BM3135" i="1"/>
  <c r="BE3174" i="1"/>
  <c r="BE3172" i="1" s="1"/>
  <c r="BU3174" i="1"/>
  <c r="BU3172" i="1" s="1"/>
  <c r="AD3134" i="1"/>
  <c r="AD2886" i="1"/>
  <c r="AD3135" i="1"/>
  <c r="AF2883" i="1"/>
  <c r="AF2885" i="1"/>
  <c r="AG3130" i="1"/>
  <c r="AG2856" i="1"/>
  <c r="BC3118" i="1"/>
  <c r="BC3116" i="1" s="1"/>
  <c r="BS3118" i="1"/>
  <c r="BS3116" i="1" s="1"/>
  <c r="AX3118" i="1"/>
  <c r="AX3116" i="1" s="1"/>
  <c r="BN3118" i="1"/>
  <c r="BN3116" i="1" s="1"/>
  <c r="X3126" i="1"/>
  <c r="BG3126" i="1"/>
  <c r="BV3127" i="1"/>
  <c r="AW3128" i="1"/>
  <c r="U3129" i="1"/>
  <c r="BD3129" i="1"/>
  <c r="AB3130" i="1"/>
  <c r="BK3130" i="1"/>
  <c r="BJ3131" i="1"/>
  <c r="BG3132" i="1"/>
  <c r="BN3133" i="1"/>
  <c r="BU3134" i="1"/>
  <c r="AZ3126" i="1"/>
  <c r="X3127" i="1"/>
  <c r="BG3127" i="1"/>
  <c r="BF3128" i="1"/>
  <c r="BM3129" i="1"/>
  <c r="BT3130" i="1"/>
  <c r="AU3131" i="1"/>
  <c r="Z3132" i="1"/>
  <c r="AB2857" i="1"/>
  <c r="AC2856" i="1"/>
  <c r="Z2863" i="1"/>
  <c r="AB2878" i="1"/>
  <c r="AC2863" i="1"/>
  <c r="Y2867" i="1"/>
  <c r="X2882" i="1"/>
  <c r="J102" i="19" s="1"/>
  <c r="J101" i="19" s="1"/>
  <c r="AC2857" i="1"/>
  <c r="X2863" i="1"/>
  <c r="W2859" i="1"/>
  <c r="W2867" i="1"/>
  <c r="AB2856" i="1"/>
  <c r="V2859" i="1"/>
  <c r="I112" i="10" s="1"/>
  <c r="Z2862" i="1"/>
  <c r="V2867" i="1"/>
  <c r="AA2858" i="1"/>
  <c r="W2861" i="1"/>
  <c r="U2867" i="1"/>
  <c r="Z2856" i="1"/>
  <c r="AB2860" i="1"/>
  <c r="X2862" i="1"/>
  <c r="AB2867" i="1"/>
  <c r="W2860" i="1"/>
  <c r="AA2863" i="1"/>
  <c r="AC2864" i="1"/>
  <c r="AB2886" i="1"/>
  <c r="AC2901" i="1"/>
  <c r="V3126" i="1"/>
  <c r="BE3126" i="1"/>
  <c r="BL3127" i="1"/>
  <c r="BS3128" i="1"/>
  <c r="BR3129" i="1"/>
  <c r="AS3130" i="1"/>
  <c r="BY3130" i="1"/>
  <c r="AZ3131" i="1"/>
  <c r="BN3126" i="1"/>
  <c r="BU3127" i="1"/>
  <c r="AV3128" i="1"/>
  <c r="CB3128" i="1"/>
  <c r="BC3129" i="1"/>
  <c r="AA3130" i="1"/>
  <c r="BB3130" i="1"/>
  <c r="Z3131" i="1"/>
  <c r="BI3131" i="1"/>
  <c r="BE3132" i="1"/>
  <c r="BL3133" i="1"/>
  <c r="BS3134" i="1"/>
  <c r="AZ3135" i="1"/>
  <c r="AX3174" i="1"/>
  <c r="AX3172" i="1" s="1"/>
  <c r="BN3174" i="1"/>
  <c r="BN3172" i="1" s="1"/>
  <c r="BU3131" i="1"/>
  <c r="AV3132" i="1"/>
  <c r="CB3132" i="1"/>
  <c r="BC3133" i="1"/>
  <c r="AA3134" i="1"/>
  <c r="BB3134" i="1"/>
  <c r="BI3135" i="1"/>
  <c r="AD3126" i="1"/>
  <c r="AE2862" i="1"/>
  <c r="AD3127" i="1"/>
  <c r="AF2859" i="1"/>
  <c r="AF3126" i="1"/>
  <c r="AF2886" i="1"/>
  <c r="AF2858" i="1"/>
  <c r="AG2901" i="1"/>
  <c r="X2880" i="1"/>
  <c r="AB2884" i="1"/>
  <c r="AY3118" i="1"/>
  <c r="AY3116" i="1" s="1"/>
  <c r="BO3118" i="1"/>
  <c r="BO3116" i="1" s="1"/>
  <c r="AT3118" i="1"/>
  <c r="AT3116" i="1" s="1"/>
  <c r="BJ3118" i="1"/>
  <c r="BJ3116" i="1" s="1"/>
  <c r="BZ3118" i="1"/>
  <c r="BZ3116" i="1" s="1"/>
  <c r="AU3126" i="1"/>
  <c r="CA3126" i="1"/>
  <c r="BJ3127" i="1"/>
  <c r="BQ3128" i="1"/>
  <c r="AC3129" i="1"/>
  <c r="BX3129" i="1"/>
  <c r="AY3130" i="1"/>
  <c r="W3131" i="1"/>
  <c r="I233" i="18" s="1"/>
  <c r="AX3131" i="1"/>
  <c r="BL3126" i="1"/>
  <c r="BS3127" i="1"/>
  <c r="BR3128" i="1"/>
  <c r="AS3129" i="1"/>
  <c r="BY3129" i="1"/>
  <c r="AZ3130" i="1"/>
  <c r="X3131" i="1"/>
  <c r="BG3131" i="1"/>
  <c r="BA3132" i="1"/>
  <c r="BH3133" i="1"/>
  <c r="BO3134" i="1"/>
  <c r="BV3135" i="1"/>
  <c r="AA3132" i="1"/>
  <c r="BB3132" i="1"/>
  <c r="Z3133" i="1"/>
  <c r="BI3133" i="1"/>
  <c r="BP3134" i="1"/>
  <c r="BW3135" i="1"/>
  <c r="AD2864" i="1"/>
  <c r="AE3126" i="1"/>
  <c r="AF2861" i="1"/>
  <c r="AG2855" i="1"/>
  <c r="AF2882" i="1"/>
  <c r="AF3132" i="1"/>
  <c r="AF2880" i="1"/>
  <c r="AG3132" i="1"/>
  <c r="X2886" i="1"/>
  <c r="W2906" i="1"/>
  <c r="W2904" i="1" s="1"/>
  <c r="AW3118" i="1"/>
  <c r="AW3116" i="1" s="1"/>
  <c r="BM3118" i="1"/>
  <c r="BM3116" i="1" s="1"/>
  <c r="AZ3118" i="1"/>
  <c r="AZ3116" i="1" s="1"/>
  <c r="BP3118" i="1"/>
  <c r="BP3116" i="1" s="1"/>
  <c r="Z3126" i="1"/>
  <c r="BI3126" i="1"/>
  <c r="BP3127" i="1"/>
  <c r="BW3128" i="1"/>
  <c r="BV3129" i="1"/>
  <c r="AW3130" i="1"/>
  <c r="U3131" i="1"/>
  <c r="BD3131" i="1"/>
  <c r="AU3132" i="1"/>
  <c r="BB3133" i="1"/>
  <c r="BI3134" i="1"/>
  <c r="AT3126" i="1"/>
  <c r="BZ3126" i="1"/>
  <c r="BA3127" i="1"/>
  <c r="Y3128" i="1"/>
  <c r="BH3128" i="1"/>
  <c r="BO3129" i="1"/>
  <c r="BN3130" i="1"/>
  <c r="BV3131" i="1"/>
  <c r="U3133" i="1"/>
  <c r="AB3134" i="1"/>
  <c r="BL3135" i="1"/>
  <c r="AC3132" i="1"/>
  <c r="BX3132" i="1"/>
  <c r="AY3133" i="1"/>
  <c r="W3134" i="1"/>
  <c r="I236" i="18" s="1"/>
  <c r="AX3134" i="1"/>
  <c r="BE3135" i="1"/>
  <c r="AD2883" i="1"/>
  <c r="AD2860" i="1"/>
  <c r="AD3132" i="1"/>
  <c r="AD2884" i="1"/>
  <c r="AF2857" i="1"/>
  <c r="AG3131" i="1"/>
  <c r="AG2888" i="1"/>
  <c r="AG2906" i="1"/>
  <c r="AG2904" i="1" s="1"/>
  <c r="AF3127" i="1"/>
  <c r="X2884" i="1"/>
  <c r="J115" i="19" s="1"/>
  <c r="AC2885" i="1"/>
  <c r="AC2888" i="1"/>
  <c r="X3089" i="1"/>
  <c r="X3091" i="1" s="1"/>
  <c r="AY3126" i="1"/>
  <c r="BN3127" i="1"/>
  <c r="BU3128" i="1"/>
  <c r="AV3129" i="1"/>
  <c r="CB3129" i="1"/>
  <c r="BC3130" i="1"/>
  <c r="AA3131" i="1"/>
  <c r="BB3131" i="1"/>
  <c r="BE3134" i="1"/>
  <c r="W3128" i="1"/>
  <c r="I230" i="18" s="1"/>
  <c r="BY3132" i="1"/>
  <c r="AA3135" i="1"/>
  <c r="BB3135" i="1"/>
  <c r="AZ3174" i="1"/>
  <c r="AZ3172" i="1" s="1"/>
  <c r="BP3174" i="1"/>
  <c r="BP3172" i="1" s="1"/>
  <c r="BW3131" i="1"/>
  <c r="BV3132" i="1"/>
  <c r="AW3133" i="1"/>
  <c r="U3134" i="1"/>
  <c r="BD3134" i="1"/>
  <c r="AB3135" i="1"/>
  <c r="BK3135" i="1"/>
  <c r="AE2863" i="1"/>
  <c r="AD3129" i="1"/>
  <c r="AD3128" i="1"/>
  <c r="AE3133" i="1"/>
  <c r="AF2915" i="1"/>
  <c r="AF2917" i="1" s="1"/>
  <c r="AF2855" i="1"/>
  <c r="AG2884" i="1"/>
  <c r="AG3129" i="1"/>
  <c r="O2260" i="1"/>
  <c r="AX3133" i="1"/>
  <c r="AY3127" i="1"/>
  <c r="BE3129" i="1"/>
  <c r="BS3131" i="1"/>
  <c r="BW3134" i="1"/>
  <c r="AT3135" i="1"/>
  <c r="BZ3135" i="1"/>
  <c r="BN3132" i="1"/>
  <c r="BU3133" i="1"/>
  <c r="AV3134" i="1"/>
  <c r="CB3134" i="1"/>
  <c r="BC3135" i="1"/>
  <c r="AU3174" i="1"/>
  <c r="AU3172" i="1" s="1"/>
  <c r="BK3174" i="1"/>
  <c r="BK3172" i="1" s="1"/>
  <c r="CA3174" i="1"/>
  <c r="CA3172" i="1" s="1"/>
  <c r="AD3130" i="1"/>
  <c r="AD2882" i="1"/>
  <c r="AD2867" i="1"/>
  <c r="AF2879" i="1"/>
  <c r="AG3127" i="1"/>
  <c r="AG2858" i="1"/>
  <c r="AG2887" i="1"/>
  <c r="AG2878" i="1"/>
  <c r="K2260" i="1"/>
  <c r="BX3126" i="1"/>
  <c r="V3129" i="1"/>
  <c r="X3134" i="1"/>
  <c r="BR3135" i="1"/>
  <c r="BH3174" i="1"/>
  <c r="BH3172" i="1" s="1"/>
  <c r="BX3174" i="1"/>
  <c r="BX3172" i="1" s="1"/>
  <c r="BF3132" i="1"/>
  <c r="BM3133" i="1"/>
  <c r="BT3134" i="1"/>
  <c r="AU3135" i="1"/>
  <c r="CA3135" i="1"/>
  <c r="AD2915" i="1"/>
  <c r="AD2917" i="1" s="1"/>
  <c r="AD2856" i="1"/>
  <c r="AE3134" i="1"/>
  <c r="AD3131" i="1"/>
  <c r="AF2881" i="1"/>
  <c r="AG2863" i="1"/>
  <c r="AF2901" i="1"/>
  <c r="AG2861" i="1"/>
  <c r="AF2888" i="1"/>
  <c r="J2260" i="1"/>
  <c r="AR2260" i="1" s="1"/>
  <c r="AC3126" i="1"/>
  <c r="AX3128" i="1"/>
  <c r="BL3130" i="1"/>
  <c r="BP3133" i="1"/>
  <c r="BJ3135" i="1"/>
  <c r="W3132" i="1"/>
  <c r="I234" i="18" s="1"/>
  <c r="AX3132" i="1"/>
  <c r="V3133" i="1"/>
  <c r="BE3133" i="1"/>
  <c r="BL3134" i="1"/>
  <c r="BS3135" i="1"/>
  <c r="BC3174" i="1"/>
  <c r="BC3172" i="1" s="1"/>
  <c r="BS3174" i="1"/>
  <c r="BS3172" i="1" s="1"/>
  <c r="AD2879" i="1"/>
  <c r="AE2866" i="1"/>
  <c r="AE2865" i="1"/>
  <c r="AD2880" i="1"/>
  <c r="AE3132" i="1"/>
  <c r="AF3130" i="1"/>
  <c r="AF2864" i="1"/>
  <c r="AG3126" i="1"/>
  <c r="AF2862" i="1"/>
  <c r="N2260" i="1"/>
  <c r="AF3082" i="1"/>
  <c r="AD3174" i="1"/>
  <c r="X3118" i="1"/>
  <c r="AG3118" i="1"/>
  <c r="AE3082" i="1"/>
  <c r="AF3174" i="1"/>
  <c r="AB3174" i="1"/>
  <c r="U2855" i="1"/>
  <c r="AD3082" i="1"/>
  <c r="AG3082" i="1"/>
  <c r="AC2915" i="1"/>
  <c r="AC2917" i="1" s="1"/>
  <c r="W3127" i="1"/>
  <c r="I229" i="18" s="1"/>
  <c r="X2888" i="1"/>
  <c r="M2260" i="1"/>
  <c r="AP2260" i="1" s="1"/>
  <c r="AQ2260" i="1" s="1"/>
  <c r="U2857" i="1"/>
  <c r="G11" i="18" s="1"/>
  <c r="AA3127" i="1"/>
  <c r="AB2888" i="1"/>
  <c r="X3082" i="1"/>
  <c r="AG3174" i="1"/>
  <c r="AB2986" i="1"/>
  <c r="X3174" i="1"/>
  <c r="AC3118" i="1"/>
  <c r="AF2986" i="1"/>
  <c r="X2986" i="1"/>
  <c r="Y2855" i="1"/>
  <c r="Z2855" i="1"/>
  <c r="X2883" i="1"/>
  <c r="J113" i="19" s="1"/>
  <c r="W3174" i="1"/>
  <c r="AB3118" i="1"/>
  <c r="AA3174" i="1"/>
  <c r="AD2986" i="1"/>
  <c r="AC3174" i="1"/>
  <c r="H34" i="18"/>
  <c r="V2857" i="1"/>
  <c r="H11" i="18" s="1"/>
  <c r="D48" i="2" s="1"/>
  <c r="AB2883" i="1"/>
  <c r="W3082" i="1"/>
  <c r="AC3082" i="1"/>
  <c r="AB3082" i="1"/>
  <c r="AA3082" i="1"/>
  <c r="AD3118" i="1"/>
  <c r="AG2986" i="1"/>
  <c r="AC2986" i="1"/>
  <c r="W2986" i="1"/>
  <c r="AF3118" i="1"/>
  <c r="AA2986" i="1"/>
  <c r="AG3141" i="1" l="1"/>
  <c r="AC3141" i="1"/>
  <c r="AD3141" i="1"/>
  <c r="H54" i="18"/>
  <c r="H221" i="18" s="1"/>
  <c r="G54" i="18"/>
  <c r="I226" i="10"/>
  <c r="I228" i="10" s="1"/>
  <c r="I431" i="10" s="1"/>
  <c r="H226" i="10"/>
  <c r="Y2957" i="1"/>
  <c r="Z2954" i="1"/>
  <c r="U3044" i="1"/>
  <c r="V3044" i="1"/>
  <c r="G164" i="18"/>
  <c r="H77" i="18"/>
  <c r="G74" i="18"/>
  <c r="W3044" i="1"/>
  <c r="V3049" i="1"/>
  <c r="X2954" i="1"/>
  <c r="Y3049" i="1"/>
  <c r="U2954" i="1"/>
  <c r="Z3049" i="1"/>
  <c r="W2957" i="1"/>
  <c r="AB3044" i="1"/>
  <c r="H169" i="18"/>
  <c r="X3049" i="1"/>
  <c r="AB2957" i="1"/>
  <c r="G169" i="18"/>
  <c r="AB3049" i="1"/>
  <c r="X2957" i="1"/>
  <c r="AA2957" i="1"/>
  <c r="U3049" i="1"/>
  <c r="AA3049" i="1"/>
  <c r="Y2954" i="1"/>
  <c r="W3049" i="1"/>
  <c r="Z2957" i="1"/>
  <c r="X3044" i="1"/>
  <c r="Y3044" i="1"/>
  <c r="H74" i="18"/>
  <c r="H164" i="18"/>
  <c r="V2957" i="1"/>
  <c r="AA2954" i="1"/>
  <c r="Z3044" i="1"/>
  <c r="AB2954" i="1"/>
  <c r="G77" i="18"/>
  <c r="U2957" i="1"/>
  <c r="AA3044" i="1"/>
  <c r="V2954" i="1"/>
  <c r="W2954" i="1"/>
  <c r="AN3049" i="1"/>
  <c r="AK2956" i="1"/>
  <c r="AK2954" i="1"/>
  <c r="AN2957" i="1"/>
  <c r="AJ2954" i="1"/>
  <c r="AL3044" i="1"/>
  <c r="AL3049" i="1"/>
  <c r="AM2956" i="1"/>
  <c r="AI3049" i="1"/>
  <c r="AK2957" i="1"/>
  <c r="AM3049" i="1"/>
  <c r="AL2954" i="1"/>
  <c r="AO3044" i="1"/>
  <c r="AO3049" i="1"/>
  <c r="AM2957" i="1"/>
  <c r="AJ3049" i="1"/>
  <c r="AO2957" i="1"/>
  <c r="AI2956" i="1"/>
  <c r="AN3044" i="1"/>
  <c r="AK3044" i="1"/>
  <c r="AK3049" i="1"/>
  <c r="AL2956" i="1"/>
  <c r="AM3044" i="1"/>
  <c r="AJ2957" i="1"/>
  <c r="AI2957" i="1"/>
  <c r="AJ2956" i="1"/>
  <c r="AI2954" i="1"/>
  <c r="AL2957" i="1"/>
  <c r="AM2954" i="1"/>
  <c r="AI3044" i="1"/>
  <c r="AO2956" i="1"/>
  <c r="AO2954" i="1"/>
  <c r="AN2956" i="1"/>
  <c r="AN2954" i="1"/>
  <c r="AJ3044" i="1"/>
  <c r="AG2927" i="1"/>
  <c r="AB2927" i="1"/>
  <c r="G48" i="18"/>
  <c r="Y2927" i="1"/>
  <c r="AI2927" i="1"/>
  <c r="AF2927" i="1"/>
  <c r="AK2927" i="1"/>
  <c r="AE2927" i="1"/>
  <c r="X2927" i="1"/>
  <c r="AA2927" i="1"/>
  <c r="AO2927" i="1"/>
  <c r="AD2927" i="1"/>
  <c r="AM2927" i="1"/>
  <c r="AJ2927" i="1"/>
  <c r="AL2927" i="1"/>
  <c r="AC2927" i="1"/>
  <c r="AN2927" i="1"/>
  <c r="AH2927" i="1"/>
  <c r="H48" i="18"/>
  <c r="Z2927" i="1"/>
  <c r="AE3042" i="1"/>
  <c r="AJ3042" i="1"/>
  <c r="AD3042" i="1"/>
  <c r="AA3042" i="1"/>
  <c r="Z3042" i="1"/>
  <c r="W3042" i="1"/>
  <c r="AF3042" i="1"/>
  <c r="AN3042" i="1"/>
  <c r="U3042" i="1"/>
  <c r="AB3042" i="1"/>
  <c r="AK3042" i="1"/>
  <c r="AH3042" i="1"/>
  <c r="G162" i="18"/>
  <c r="X3042" i="1"/>
  <c r="V3042" i="1"/>
  <c r="AG3042" i="1"/>
  <c r="AO3042" i="1"/>
  <c r="AC3042" i="1"/>
  <c r="H162" i="18"/>
  <c r="AL3042" i="1"/>
  <c r="AI3042" i="1"/>
  <c r="AM3042" i="1"/>
  <c r="Y3042" i="1"/>
  <c r="AN3016" i="1"/>
  <c r="AO2993" i="1"/>
  <c r="AO2995" i="1" s="1"/>
  <c r="N45" i="15"/>
  <c r="P44" i="15"/>
  <c r="O44" i="15"/>
  <c r="AO3063" i="1"/>
  <c r="AO2977" i="1"/>
  <c r="AO3068" i="1"/>
  <c r="AO2928" i="1"/>
  <c r="AO3154" i="1"/>
  <c r="AO3038" i="1"/>
  <c r="AO2953" i="1"/>
  <c r="AO2950" i="1"/>
  <c r="AO3009" i="1"/>
  <c r="AO3109" i="1"/>
  <c r="AO3027" i="1"/>
  <c r="AO3102" i="1"/>
  <c r="AO3016" i="1"/>
  <c r="AO2931" i="1"/>
  <c r="AO2970" i="1"/>
  <c r="AO3099" i="1"/>
  <c r="AO3061" i="1"/>
  <c r="AO2975" i="1"/>
  <c r="AO2972" i="1"/>
  <c r="AO3052" i="1"/>
  <c r="AO3159" i="1"/>
  <c r="AO3050" i="1"/>
  <c r="AO3148" i="1"/>
  <c r="AO3036" i="1"/>
  <c r="AO2951" i="1"/>
  <c r="AO3021" i="1"/>
  <c r="AO3149" i="1"/>
  <c r="AO3100" i="1"/>
  <c r="AO3014" i="1"/>
  <c r="AO2929" i="1"/>
  <c r="AO2925" i="1"/>
  <c r="AO2940" i="1"/>
  <c r="AO3070" i="1"/>
  <c r="AO3003" i="1"/>
  <c r="AO3075" i="1"/>
  <c r="AO3008" i="1"/>
  <c r="AO2922" i="1"/>
  <c r="AO2952" i="1"/>
  <c r="AO3166" i="1"/>
  <c r="AO3053" i="1"/>
  <c r="AO2967" i="1"/>
  <c r="AO2964" i="1"/>
  <c r="AO3033" i="1"/>
  <c r="AO3151" i="1"/>
  <c r="AO3039" i="1"/>
  <c r="AO3098" i="1"/>
  <c r="AO3012" i="1"/>
  <c r="AO2926" i="1"/>
  <c r="AO2962" i="1"/>
  <c r="AO3170" i="1"/>
  <c r="AO3057" i="1"/>
  <c r="AO2971" i="1"/>
  <c r="AO2968" i="1"/>
  <c r="AO3041" i="1"/>
  <c r="AO3155" i="1"/>
  <c r="AO3045" i="1"/>
  <c r="AO3144" i="1"/>
  <c r="AO3032" i="1"/>
  <c r="AO2947" i="1"/>
  <c r="AO3013" i="1"/>
  <c r="AO3145" i="1"/>
  <c r="AO3077" i="1"/>
  <c r="AO3010" i="1"/>
  <c r="AO2924" i="1"/>
  <c r="AO2921" i="1"/>
  <c r="AO2932" i="1"/>
  <c r="AO3066" i="1"/>
  <c r="AO3164" i="1"/>
  <c r="AO3055" i="1"/>
  <c r="AO2969" i="1"/>
  <c r="AO3056" i="1"/>
  <c r="AO3165" i="1"/>
  <c r="AO3146" i="1"/>
  <c r="AO3030" i="1"/>
  <c r="AO2945" i="1"/>
  <c r="AO2942" i="1"/>
  <c r="AO2978" i="1"/>
  <c r="AO3101" i="1"/>
  <c r="AO3019" i="1"/>
  <c r="AO3110" i="1"/>
  <c r="AO3024" i="1"/>
  <c r="AO2939" i="1"/>
  <c r="AO2982" i="1"/>
  <c r="AO3107" i="1"/>
  <c r="AO3069" i="1"/>
  <c r="AO3002" i="1"/>
  <c r="AO2980" i="1"/>
  <c r="AO3072" i="1"/>
  <c r="AO3167" i="1"/>
  <c r="AO3058" i="1"/>
  <c r="AO3114" i="1"/>
  <c r="AO3028" i="1"/>
  <c r="AO2943" i="1"/>
  <c r="AO3005" i="1"/>
  <c r="AO3111" i="1"/>
  <c r="AO3073" i="1"/>
  <c r="AO3006" i="1"/>
  <c r="AO2909" i="1"/>
  <c r="AO2910" i="1"/>
  <c r="AO2923" i="1"/>
  <c r="AO3062" i="1"/>
  <c r="AO3160" i="1"/>
  <c r="AO3051" i="1"/>
  <c r="AO2965" i="1"/>
  <c r="AO3047" i="1"/>
  <c r="AO3161" i="1"/>
  <c r="AO3112" i="1"/>
  <c r="AO3026" i="1"/>
  <c r="AO2941" i="1"/>
  <c r="AO2938" i="1"/>
  <c r="AO2966" i="1"/>
  <c r="AO3097" i="1"/>
  <c r="AO3015" i="1"/>
  <c r="AO3071" i="1"/>
  <c r="AO3004" i="1"/>
  <c r="AO2911" i="1"/>
  <c r="AO2944" i="1"/>
  <c r="AO3162" i="1"/>
  <c r="AO3048" i="1"/>
  <c r="AO2963" i="1"/>
  <c r="AO2960" i="1"/>
  <c r="AO3025" i="1"/>
  <c r="AO3147" i="1"/>
  <c r="AO3035" i="1"/>
  <c r="AO3152" i="1"/>
  <c r="AO3040" i="1"/>
  <c r="AO3029" i="1"/>
  <c r="AO3153" i="1"/>
  <c r="AO3104" i="1"/>
  <c r="AO3018" i="1"/>
  <c r="AO2933" i="1"/>
  <c r="AO2930" i="1"/>
  <c r="AO2948" i="1"/>
  <c r="AO3074" i="1"/>
  <c r="AO3007" i="1"/>
  <c r="AO3156" i="1"/>
  <c r="AO3046" i="1"/>
  <c r="AO2961" i="1"/>
  <c r="AO3037" i="1"/>
  <c r="AO3157" i="1"/>
  <c r="AO3108" i="1"/>
  <c r="AO3022" i="1"/>
  <c r="AO2937" i="1"/>
  <c r="AO2934" i="1"/>
  <c r="AO2958" i="1"/>
  <c r="AO3078" i="1"/>
  <c r="AO3011" i="1"/>
  <c r="AO3067" i="1"/>
  <c r="AO2981" i="1"/>
  <c r="AO3076" i="1"/>
  <c r="AO2936" i="1"/>
  <c r="AO3158" i="1"/>
  <c r="AO3043" i="1"/>
  <c r="AO2959" i="1"/>
  <c r="AO2955" i="1"/>
  <c r="AO3017" i="1"/>
  <c r="AO3113" i="1"/>
  <c r="AO3031" i="1"/>
  <c r="AO3106" i="1"/>
  <c r="AO3020" i="1"/>
  <c r="AO2935" i="1"/>
  <c r="AO2974" i="1"/>
  <c r="AO3103" i="1"/>
  <c r="AO3065" i="1"/>
  <c r="AO2979" i="1"/>
  <c r="AO2976" i="1"/>
  <c r="AO3060" i="1"/>
  <c r="AO3163" i="1"/>
  <c r="AO3054" i="1"/>
  <c r="AO3168" i="1"/>
  <c r="AO3059" i="1"/>
  <c r="AO2973" i="1"/>
  <c r="AO3064" i="1"/>
  <c r="AO3169" i="1"/>
  <c r="AO3150" i="1"/>
  <c r="AO3034" i="1"/>
  <c r="AO2949" i="1"/>
  <c r="AO2946" i="1"/>
  <c r="AO3001" i="1"/>
  <c r="AO3105" i="1"/>
  <c r="AO3023" i="1"/>
  <c r="AN3066" i="1"/>
  <c r="AN3168" i="1"/>
  <c r="AN3059" i="1"/>
  <c r="AN2973" i="1"/>
  <c r="AN3068" i="1"/>
  <c r="AN3001" i="1"/>
  <c r="AN3149" i="1"/>
  <c r="AN3100" i="1"/>
  <c r="AN3014" i="1"/>
  <c r="AN2929" i="1"/>
  <c r="AN2925" i="1"/>
  <c r="AN3101" i="1"/>
  <c r="AN3019" i="1"/>
  <c r="AN3098" i="1"/>
  <c r="AN3012" i="1"/>
  <c r="AN2926" i="1"/>
  <c r="AN3021" i="1"/>
  <c r="AN3169" i="1"/>
  <c r="AN3150" i="1"/>
  <c r="AN3034" i="1"/>
  <c r="AN2949" i="1"/>
  <c r="AN2946" i="1"/>
  <c r="AN3167" i="1"/>
  <c r="AN3058" i="1"/>
  <c r="AN3160" i="1"/>
  <c r="AN3051" i="1"/>
  <c r="AN2965" i="1"/>
  <c r="AN3060" i="1"/>
  <c r="AN2978" i="1"/>
  <c r="AN3111" i="1"/>
  <c r="AN3073" i="1"/>
  <c r="AN3006" i="1"/>
  <c r="AN2909" i="1"/>
  <c r="AN2910" i="1"/>
  <c r="AN3078" i="1"/>
  <c r="AN3011" i="1"/>
  <c r="AN3071" i="1"/>
  <c r="AN3004" i="1"/>
  <c r="AN2911" i="1"/>
  <c r="AN3013" i="1"/>
  <c r="AN3161" i="1"/>
  <c r="AN3112" i="1"/>
  <c r="AN3026" i="1"/>
  <c r="AN2941" i="1"/>
  <c r="AN2938" i="1"/>
  <c r="AN2940" i="1"/>
  <c r="AN3097" i="1"/>
  <c r="AN3015" i="1"/>
  <c r="AN3075" i="1"/>
  <c r="AN3008" i="1"/>
  <c r="AN2922" i="1"/>
  <c r="AN3017" i="1"/>
  <c r="AN3165" i="1"/>
  <c r="AN3146" i="1"/>
  <c r="AN3030" i="1"/>
  <c r="AN2945" i="1"/>
  <c r="AN2942" i="1"/>
  <c r="AN3147" i="1"/>
  <c r="AN3035" i="1"/>
  <c r="AN3114" i="1"/>
  <c r="AN3028" i="1"/>
  <c r="AN2943" i="1"/>
  <c r="AN3037" i="1"/>
  <c r="AN2952" i="1"/>
  <c r="AN3166" i="1"/>
  <c r="AN3053" i="1"/>
  <c r="AN2967" i="1"/>
  <c r="AN2964" i="1"/>
  <c r="AN2923" i="1"/>
  <c r="AN3074" i="1"/>
  <c r="AN3007" i="1"/>
  <c r="AN3067" i="1"/>
  <c r="AN2981" i="1"/>
  <c r="AN3076" i="1"/>
  <c r="AN3009" i="1"/>
  <c r="AN3157" i="1"/>
  <c r="AN3108" i="1"/>
  <c r="AN3022" i="1"/>
  <c r="AN2937" i="1"/>
  <c r="AN2934" i="1"/>
  <c r="AN3109" i="1"/>
  <c r="AN3027" i="1"/>
  <c r="AN3106" i="1"/>
  <c r="AN3020" i="1"/>
  <c r="AN2935" i="1"/>
  <c r="AN3029" i="1"/>
  <c r="AN2936" i="1"/>
  <c r="AN3158" i="1"/>
  <c r="AN3043" i="1"/>
  <c r="AN2959" i="1"/>
  <c r="AN2955" i="1"/>
  <c r="AN3113" i="1"/>
  <c r="AN3031" i="1"/>
  <c r="AN3110" i="1"/>
  <c r="AN3024" i="1"/>
  <c r="AN2939" i="1"/>
  <c r="AN3033" i="1"/>
  <c r="AN2944" i="1"/>
  <c r="AN3162" i="1"/>
  <c r="AN3048" i="1"/>
  <c r="AN2963" i="1"/>
  <c r="AN2960" i="1"/>
  <c r="AN3163" i="1"/>
  <c r="AN3054" i="1"/>
  <c r="AN3156" i="1"/>
  <c r="AN3046" i="1"/>
  <c r="AN2961" i="1"/>
  <c r="AN3056" i="1"/>
  <c r="AN2974" i="1"/>
  <c r="AN3107" i="1"/>
  <c r="AN3069" i="1"/>
  <c r="AN3002" i="1"/>
  <c r="AN2980" i="1"/>
  <c r="AN2958" i="1"/>
  <c r="AN3105" i="1"/>
  <c r="AN3023" i="1"/>
  <c r="AN3102" i="1"/>
  <c r="AN2931" i="1"/>
  <c r="AN3025" i="1"/>
  <c r="AN2928" i="1"/>
  <c r="AN3154" i="1"/>
  <c r="AN3038" i="1"/>
  <c r="AN2953" i="1"/>
  <c r="AN2950" i="1"/>
  <c r="AN3155" i="1"/>
  <c r="AN3045" i="1"/>
  <c r="AN3148" i="1"/>
  <c r="AN3036" i="1"/>
  <c r="AN2951" i="1"/>
  <c r="AN3047" i="1"/>
  <c r="AN2966" i="1"/>
  <c r="AN3099" i="1"/>
  <c r="AN3061" i="1"/>
  <c r="AN2975" i="1"/>
  <c r="AN2972" i="1"/>
  <c r="AN3159" i="1"/>
  <c r="AN3050" i="1"/>
  <c r="AN3152" i="1"/>
  <c r="AN3040" i="1"/>
  <c r="AN3052" i="1"/>
  <c r="AN2970" i="1"/>
  <c r="AN3103" i="1"/>
  <c r="AN3065" i="1"/>
  <c r="AN2979" i="1"/>
  <c r="AN2976" i="1"/>
  <c r="AN2948" i="1"/>
  <c r="AN3070" i="1"/>
  <c r="AN3003" i="1"/>
  <c r="AN3063" i="1"/>
  <c r="AN2977" i="1"/>
  <c r="AN3072" i="1"/>
  <c r="AN3005" i="1"/>
  <c r="AN3153" i="1"/>
  <c r="AN3104" i="1"/>
  <c r="AN3018" i="1"/>
  <c r="AN2933" i="1"/>
  <c r="AN2930" i="1"/>
  <c r="AN3151" i="1"/>
  <c r="AN3039" i="1"/>
  <c r="AN3144" i="1"/>
  <c r="AN3032" i="1"/>
  <c r="AN2947" i="1"/>
  <c r="AN3041" i="1"/>
  <c r="AN2962" i="1"/>
  <c r="AN3170" i="1"/>
  <c r="AN3057" i="1"/>
  <c r="AN2971" i="1"/>
  <c r="AN2968" i="1"/>
  <c r="AN2932" i="1"/>
  <c r="AN3062" i="1"/>
  <c r="AN3164" i="1"/>
  <c r="AN3055" i="1"/>
  <c r="AN2969" i="1"/>
  <c r="AN3064" i="1"/>
  <c r="AN2982" i="1"/>
  <c r="AN3145" i="1"/>
  <c r="AN3077" i="1"/>
  <c r="AN3010" i="1"/>
  <c r="AN2924" i="1"/>
  <c r="AN2921" i="1"/>
  <c r="AM2993" i="1"/>
  <c r="AM2995" i="1" s="1"/>
  <c r="AN2993" i="1"/>
  <c r="AN2995" i="1" s="1"/>
  <c r="AM3074" i="1"/>
  <c r="AM3007" i="1"/>
  <c r="AM3067" i="1"/>
  <c r="AM2981" i="1"/>
  <c r="AM3076" i="1"/>
  <c r="AM3009" i="1"/>
  <c r="AM3153" i="1"/>
  <c r="AM3104" i="1"/>
  <c r="AM3018" i="1"/>
  <c r="AM2933" i="1"/>
  <c r="AM2930" i="1"/>
  <c r="AM3109" i="1"/>
  <c r="AM3027" i="1"/>
  <c r="AM3106" i="1"/>
  <c r="AM3020" i="1"/>
  <c r="AM2935" i="1"/>
  <c r="AM3029" i="1"/>
  <c r="AM2923" i="1"/>
  <c r="AM3154" i="1"/>
  <c r="AM3038" i="1"/>
  <c r="AM2953" i="1"/>
  <c r="AM2950" i="1"/>
  <c r="AM3159" i="1"/>
  <c r="AM3050" i="1"/>
  <c r="AM3152" i="1"/>
  <c r="AM3040" i="1"/>
  <c r="AM3052" i="1"/>
  <c r="AM2966" i="1"/>
  <c r="AM3099" i="1"/>
  <c r="AM3061" i="1"/>
  <c r="AM2975" i="1"/>
  <c r="AM2972" i="1"/>
  <c r="AM2948" i="1"/>
  <c r="AM3070" i="1"/>
  <c r="AM3003" i="1"/>
  <c r="AM3063" i="1"/>
  <c r="AM2977" i="1"/>
  <c r="AM3072" i="1"/>
  <c r="AM3005" i="1"/>
  <c r="AM3149" i="1"/>
  <c r="AM3100" i="1"/>
  <c r="AM3014" i="1"/>
  <c r="AM2929" i="1"/>
  <c r="AM2925" i="1"/>
  <c r="AM3105" i="1"/>
  <c r="AM3023" i="1"/>
  <c r="AM3102" i="1"/>
  <c r="AM3016" i="1"/>
  <c r="AM2931" i="1"/>
  <c r="AM3025" i="1"/>
  <c r="AM3169" i="1"/>
  <c r="AM3150" i="1"/>
  <c r="AM3034" i="1"/>
  <c r="AM2949" i="1"/>
  <c r="AM2946" i="1"/>
  <c r="AM3155" i="1"/>
  <c r="AM3045" i="1"/>
  <c r="AM3148" i="1"/>
  <c r="AM3036" i="1"/>
  <c r="AM2951" i="1"/>
  <c r="AM3047" i="1"/>
  <c r="AM2962" i="1"/>
  <c r="AM3170" i="1"/>
  <c r="AM3057" i="1"/>
  <c r="AM2971" i="1"/>
  <c r="AM2968" i="1"/>
  <c r="AM2940" i="1"/>
  <c r="AM3066" i="1"/>
  <c r="AM3168" i="1"/>
  <c r="AM3059" i="1"/>
  <c r="AM2973" i="1"/>
  <c r="AM3068" i="1"/>
  <c r="AM3001" i="1"/>
  <c r="AM3145" i="1"/>
  <c r="AM3077" i="1"/>
  <c r="AM3010" i="1"/>
  <c r="AM2924" i="1"/>
  <c r="AM2921" i="1"/>
  <c r="AM3101" i="1"/>
  <c r="AM3019" i="1"/>
  <c r="AM3098" i="1"/>
  <c r="AM3012" i="1"/>
  <c r="AM2926" i="1"/>
  <c r="AM3021" i="1"/>
  <c r="AM3165" i="1"/>
  <c r="AM3146" i="1"/>
  <c r="AM3030" i="1"/>
  <c r="AM2945" i="1"/>
  <c r="AM2942" i="1"/>
  <c r="AM3151" i="1"/>
  <c r="AM3039" i="1"/>
  <c r="AM3144" i="1"/>
  <c r="AM3032" i="1"/>
  <c r="AM2947" i="1"/>
  <c r="AM3041" i="1"/>
  <c r="AM2952" i="1"/>
  <c r="AM3166" i="1"/>
  <c r="AM3053" i="1"/>
  <c r="AM2967" i="1"/>
  <c r="AM2964" i="1"/>
  <c r="AM2932" i="1"/>
  <c r="AM3062" i="1"/>
  <c r="AM3164" i="1"/>
  <c r="AM3055" i="1"/>
  <c r="AM2969" i="1"/>
  <c r="AM3064" i="1"/>
  <c r="AM2982" i="1"/>
  <c r="AM3111" i="1"/>
  <c r="AM3073" i="1"/>
  <c r="AM3006" i="1"/>
  <c r="AM2909" i="1"/>
  <c r="AM2910" i="1"/>
  <c r="AM3097" i="1"/>
  <c r="AM3015" i="1"/>
  <c r="AM3075" i="1"/>
  <c r="AM3008" i="1"/>
  <c r="AM2922" i="1"/>
  <c r="AM3017" i="1"/>
  <c r="AM3161" i="1"/>
  <c r="AM3112" i="1"/>
  <c r="AM3026" i="1"/>
  <c r="AM2941" i="1"/>
  <c r="AM2938" i="1"/>
  <c r="AM3147" i="1"/>
  <c r="AM3035" i="1"/>
  <c r="AM3114" i="1"/>
  <c r="AM3028" i="1"/>
  <c r="AM2943" i="1"/>
  <c r="AM3037" i="1"/>
  <c r="AM2944" i="1"/>
  <c r="AM3162" i="1"/>
  <c r="AM3048" i="1"/>
  <c r="AM2963" i="1"/>
  <c r="AM2960" i="1"/>
  <c r="AM2928" i="1"/>
  <c r="AM3167" i="1"/>
  <c r="AM3058" i="1"/>
  <c r="AM3160" i="1"/>
  <c r="AM3051" i="1"/>
  <c r="AM2965" i="1"/>
  <c r="AM3060" i="1"/>
  <c r="AM2978" i="1"/>
  <c r="AM3107" i="1"/>
  <c r="AM3069" i="1"/>
  <c r="AM3002" i="1"/>
  <c r="AM2980" i="1"/>
  <c r="AM2970" i="1"/>
  <c r="AM3078" i="1"/>
  <c r="AM3011" i="1"/>
  <c r="AM3071" i="1"/>
  <c r="AM3004" i="1"/>
  <c r="AM2911" i="1"/>
  <c r="AM3013" i="1"/>
  <c r="AM3157" i="1"/>
  <c r="AM3108" i="1"/>
  <c r="AM3022" i="1"/>
  <c r="AM2937" i="1"/>
  <c r="AM2934" i="1"/>
  <c r="AM3113" i="1"/>
  <c r="AM3031" i="1"/>
  <c r="AM3110" i="1"/>
  <c r="AM3024" i="1"/>
  <c r="AM2939" i="1"/>
  <c r="AM3033" i="1"/>
  <c r="AM2936" i="1"/>
  <c r="AM3158" i="1"/>
  <c r="AM3043" i="1"/>
  <c r="AM2959" i="1"/>
  <c r="AM2955" i="1"/>
  <c r="AM3163" i="1"/>
  <c r="AM3054" i="1"/>
  <c r="AM3156" i="1"/>
  <c r="AM3046" i="1"/>
  <c r="AM2961" i="1"/>
  <c r="AM3056" i="1"/>
  <c r="AM2974" i="1"/>
  <c r="AM3103" i="1"/>
  <c r="AM3065" i="1"/>
  <c r="AM2979" i="1"/>
  <c r="AM2976" i="1"/>
  <c r="AM2958" i="1"/>
  <c r="I17" i="18"/>
  <c r="G191" i="18"/>
  <c r="H191" i="18"/>
  <c r="H123" i="18"/>
  <c r="G171" i="18"/>
  <c r="H171" i="18"/>
  <c r="AL3068" i="1"/>
  <c r="AL2971" i="1"/>
  <c r="AL3055" i="1"/>
  <c r="AL3102" i="1"/>
  <c r="AL3005" i="1"/>
  <c r="AL3159" i="1"/>
  <c r="AL3076" i="1"/>
  <c r="AL3040" i="1"/>
  <c r="AL2948" i="1"/>
  <c r="AL3074" i="1"/>
  <c r="AL3162" i="1"/>
  <c r="AL2943" i="1"/>
  <c r="AL3073" i="1"/>
  <c r="AL2976" i="1"/>
  <c r="AL3035" i="1"/>
  <c r="AL3107" i="1"/>
  <c r="AL3010" i="1"/>
  <c r="AL3164" i="1"/>
  <c r="AL3168" i="1"/>
  <c r="AL3047" i="1"/>
  <c r="AL2949" i="1"/>
  <c r="AL3004" i="1"/>
  <c r="AL3156" i="1"/>
  <c r="AL3033" i="1"/>
  <c r="AL2937" i="1"/>
  <c r="AL3157" i="1"/>
  <c r="AL3051" i="1"/>
  <c r="AL2958" i="1"/>
  <c r="AL3097" i="1"/>
  <c r="AL2944" i="1"/>
  <c r="AL3008" i="1"/>
  <c r="AL3166" i="1"/>
  <c r="AL3039" i="1"/>
  <c r="AL2979" i="1"/>
  <c r="AL3165" i="1"/>
  <c r="AL3038" i="1"/>
  <c r="AL2942" i="1"/>
  <c r="AL2910" i="1"/>
  <c r="AL3056" i="1"/>
  <c r="AL2959" i="1"/>
  <c r="AL3020" i="1"/>
  <c r="AL3110" i="1"/>
  <c r="AL3013" i="1"/>
  <c r="AL3167" i="1"/>
  <c r="AL3111" i="1"/>
  <c r="AL2926" i="1"/>
  <c r="AL3057" i="1"/>
  <c r="AL2960" i="1"/>
  <c r="AL2968" i="1"/>
  <c r="AL3072" i="1"/>
  <c r="AL2975" i="1"/>
  <c r="AL3071" i="1"/>
  <c r="AL3152" i="1"/>
  <c r="AL3029" i="1"/>
  <c r="AL2933" i="1"/>
  <c r="AL2935" i="1"/>
  <c r="AL3028" i="1"/>
  <c r="AL2936" i="1"/>
  <c r="AL3062" i="1"/>
  <c r="AL3100" i="1"/>
  <c r="AL2947" i="1"/>
  <c r="AL3077" i="1"/>
  <c r="AL2980" i="1"/>
  <c r="AL3101" i="1"/>
  <c r="AL3161" i="1"/>
  <c r="AL3034" i="1"/>
  <c r="AL2938" i="1"/>
  <c r="AL2934" i="1"/>
  <c r="AL3149" i="1"/>
  <c r="AL3022" i="1"/>
  <c r="AL2925" i="1"/>
  <c r="AL3160" i="1"/>
  <c r="AL3037" i="1"/>
  <c r="AL2941" i="1"/>
  <c r="AL2951" i="1"/>
  <c r="AL3075" i="1"/>
  <c r="AL2982" i="1"/>
  <c r="AL3151" i="1"/>
  <c r="AL3041" i="1"/>
  <c r="AL2977" i="1"/>
  <c r="AL3154" i="1"/>
  <c r="AL3027" i="1"/>
  <c r="AL2963" i="1"/>
  <c r="AL3169" i="1"/>
  <c r="AL3043" i="1"/>
  <c r="AL2946" i="1"/>
  <c r="AL3019" i="1"/>
  <c r="AL3099" i="1"/>
  <c r="AL3002" i="1"/>
  <c r="AL3106" i="1"/>
  <c r="AL3054" i="1"/>
  <c r="AL3012" i="1"/>
  <c r="AL3170" i="1"/>
  <c r="AL3045" i="1"/>
  <c r="AL3030" i="1"/>
  <c r="AL2931" i="1"/>
  <c r="AL3061" i="1"/>
  <c r="AL2964" i="1"/>
  <c r="AL3070" i="1"/>
  <c r="AL3145" i="1"/>
  <c r="AL3018" i="1"/>
  <c r="AL2921" i="1"/>
  <c r="AL3114" i="1"/>
  <c r="AL3017" i="1"/>
  <c r="AL2909" i="1"/>
  <c r="AL3060" i="1"/>
  <c r="AL3032" i="1"/>
  <c r="AL2940" i="1"/>
  <c r="AL3066" i="1"/>
  <c r="AL3146" i="1"/>
  <c r="AL2973" i="1"/>
  <c r="AL3150" i="1"/>
  <c r="AL3023" i="1"/>
  <c r="AL2945" i="1"/>
  <c r="AL2961" i="1"/>
  <c r="AL3108" i="1"/>
  <c r="AL3011" i="1"/>
  <c r="AL3163" i="1"/>
  <c r="AL3153" i="1"/>
  <c r="AL3026" i="1"/>
  <c r="AL2930" i="1"/>
  <c r="AL2950" i="1"/>
  <c r="AL3064" i="1"/>
  <c r="AL2967" i="1"/>
  <c r="AL3036" i="1"/>
  <c r="AL3063" i="1"/>
  <c r="AL2970" i="1"/>
  <c r="AL3109" i="1"/>
  <c r="AL2978" i="1"/>
  <c r="AL2981" i="1"/>
  <c r="AL3158" i="1"/>
  <c r="AL3031" i="1"/>
  <c r="AL3014" i="1"/>
  <c r="AL2939" i="1"/>
  <c r="AL3069" i="1"/>
  <c r="AL2972" i="1"/>
  <c r="AL3048" i="1"/>
  <c r="AL3098" i="1"/>
  <c r="AL3001" i="1"/>
  <c r="AL3155" i="1"/>
  <c r="AL3009" i="1"/>
  <c r="AL3016" i="1"/>
  <c r="AL2923" i="1"/>
  <c r="AL3050" i="1"/>
  <c r="AL3065" i="1"/>
  <c r="AL3104" i="1"/>
  <c r="AL3007" i="1"/>
  <c r="AL3147" i="1"/>
  <c r="AL3103" i="1"/>
  <c r="AL3006" i="1"/>
  <c r="AL3148" i="1"/>
  <c r="AL3144" i="1"/>
  <c r="AL3021" i="1"/>
  <c r="AL2924" i="1"/>
  <c r="AL2911" i="1"/>
  <c r="AL3059" i="1"/>
  <c r="AL2966" i="1"/>
  <c r="AL3105" i="1"/>
  <c r="AL2962" i="1"/>
  <c r="AL3046" i="1"/>
  <c r="AL2952" i="1"/>
  <c r="AL3078" i="1"/>
  <c r="AL2928" i="1"/>
  <c r="AL2965" i="1"/>
  <c r="AL3112" i="1"/>
  <c r="AL3015" i="1"/>
  <c r="AL2929" i="1"/>
  <c r="AL2922" i="1"/>
  <c r="AL3053" i="1"/>
  <c r="AL2955" i="1"/>
  <c r="AL3003" i="1"/>
  <c r="AL3052" i="1"/>
  <c r="AL2953" i="1"/>
  <c r="AL2969" i="1"/>
  <c r="AL3067" i="1"/>
  <c r="AL2974" i="1"/>
  <c r="AL3113" i="1"/>
  <c r="AL3025" i="1"/>
  <c r="AL3024" i="1"/>
  <c r="AL2932" i="1"/>
  <c r="AL3058" i="1"/>
  <c r="AK2993" i="1"/>
  <c r="AK2995" i="1" s="1"/>
  <c r="AL2993" i="1"/>
  <c r="AL2995" i="1" s="1"/>
  <c r="AJ2976" i="1"/>
  <c r="AK3063" i="1"/>
  <c r="AK2977" i="1"/>
  <c r="AK3147" i="1"/>
  <c r="AK3161" i="1"/>
  <c r="AK3047" i="1"/>
  <c r="AK2966" i="1"/>
  <c r="AK3050" i="1"/>
  <c r="AK3146" i="1"/>
  <c r="AK3030" i="1"/>
  <c r="AK2945" i="1"/>
  <c r="AK3019" i="1"/>
  <c r="AK3102" i="1"/>
  <c r="AK3016" i="1"/>
  <c r="AK2931" i="1"/>
  <c r="AK2946" i="1"/>
  <c r="AK3068" i="1"/>
  <c r="AK3001" i="1"/>
  <c r="AK3155" i="1"/>
  <c r="AK3166" i="1"/>
  <c r="AK3053" i="1"/>
  <c r="AK2967" i="1"/>
  <c r="AK3097" i="1"/>
  <c r="AK3148" i="1"/>
  <c r="AK3036" i="1"/>
  <c r="AK2951" i="1"/>
  <c r="AK3027" i="1"/>
  <c r="AK3107" i="1"/>
  <c r="AK3021" i="1"/>
  <c r="AK2940" i="1"/>
  <c r="AK2955" i="1"/>
  <c r="AK3073" i="1"/>
  <c r="AK3006" i="1"/>
  <c r="AK2909" i="1"/>
  <c r="AK2925" i="1"/>
  <c r="AK3075" i="1"/>
  <c r="AK3008" i="1"/>
  <c r="AK2922" i="1"/>
  <c r="AK2921" i="1"/>
  <c r="AK3060" i="1"/>
  <c r="AK2978" i="1"/>
  <c r="AK3101" i="1"/>
  <c r="AK3158" i="1"/>
  <c r="AK3043" i="1"/>
  <c r="AK2959" i="1"/>
  <c r="AK3058" i="1"/>
  <c r="AK3054" i="1"/>
  <c r="AK2948" i="1"/>
  <c r="AK3014" i="1"/>
  <c r="AK3159" i="1"/>
  <c r="AK3062" i="1"/>
  <c r="AK2949" i="1"/>
  <c r="AK3020" i="1"/>
  <c r="AK2923" i="1"/>
  <c r="AK2971" i="1"/>
  <c r="AK3105" i="1"/>
  <c r="AK2962" i="1"/>
  <c r="AK2941" i="1"/>
  <c r="AK3098" i="1"/>
  <c r="AK3012" i="1"/>
  <c r="AK2926" i="1"/>
  <c r="AK2934" i="1"/>
  <c r="AK3064" i="1"/>
  <c r="AK2982" i="1"/>
  <c r="AK3113" i="1"/>
  <c r="AK3162" i="1"/>
  <c r="AK3048" i="1"/>
  <c r="AK2963" i="1"/>
  <c r="AK3070" i="1"/>
  <c r="AK3144" i="1"/>
  <c r="AK3032" i="1"/>
  <c r="AK2947" i="1"/>
  <c r="AK3015" i="1"/>
  <c r="AK3103" i="1"/>
  <c r="AK3017" i="1"/>
  <c r="AK2936" i="1"/>
  <c r="AK2942" i="1"/>
  <c r="AK3069" i="1"/>
  <c r="AK3002" i="1"/>
  <c r="AK3167" i="1"/>
  <c r="AK3164" i="1"/>
  <c r="AK3055" i="1"/>
  <c r="AK2969" i="1"/>
  <c r="AK3078" i="1"/>
  <c r="AK3153" i="1"/>
  <c r="AK3037" i="1"/>
  <c r="AK2958" i="1"/>
  <c r="AK3023" i="1"/>
  <c r="AK3108" i="1"/>
  <c r="AK3022" i="1"/>
  <c r="AK2937" i="1"/>
  <c r="AK2976" i="1"/>
  <c r="AK3110" i="1"/>
  <c r="AK3024" i="1"/>
  <c r="AK2939" i="1"/>
  <c r="AK2972" i="1"/>
  <c r="AK3076" i="1"/>
  <c r="AK3009" i="1"/>
  <c r="AK2928" i="1"/>
  <c r="AK2910" i="1"/>
  <c r="AK3061" i="1"/>
  <c r="AK2975" i="1"/>
  <c r="AK3151" i="1"/>
  <c r="AK3010" i="1"/>
  <c r="AK2938" i="1"/>
  <c r="AK3046" i="1"/>
  <c r="AK3145" i="1"/>
  <c r="AK2980" i="1"/>
  <c r="AK2950" i="1"/>
  <c r="AK3165" i="1"/>
  <c r="AK3150" i="1"/>
  <c r="AK3106" i="1"/>
  <c r="AK3072" i="1"/>
  <c r="AK3057" i="1"/>
  <c r="AK3059" i="1"/>
  <c r="AK3041" i="1"/>
  <c r="AK3026" i="1"/>
  <c r="AK3114" i="1"/>
  <c r="AK3028" i="1"/>
  <c r="AK2943" i="1"/>
  <c r="AK3003" i="1"/>
  <c r="AK3099" i="1"/>
  <c r="AK3013" i="1"/>
  <c r="AK2932" i="1"/>
  <c r="AK2930" i="1"/>
  <c r="AK3065" i="1"/>
  <c r="AK2979" i="1"/>
  <c r="AK3163" i="1"/>
  <c r="AK3160" i="1"/>
  <c r="AK3051" i="1"/>
  <c r="AK2965" i="1"/>
  <c r="AK3066" i="1"/>
  <c r="AK3149" i="1"/>
  <c r="AK3033" i="1"/>
  <c r="AK2952" i="1"/>
  <c r="AK3011" i="1"/>
  <c r="AK3104" i="1"/>
  <c r="AK3018" i="1"/>
  <c r="AK2933" i="1"/>
  <c r="AK2964" i="1"/>
  <c r="AK3071" i="1"/>
  <c r="AK3004" i="1"/>
  <c r="AK2911" i="1"/>
  <c r="AK3169" i="1"/>
  <c r="AK3056" i="1"/>
  <c r="AK2974" i="1"/>
  <c r="AK3074" i="1"/>
  <c r="AK3154" i="1"/>
  <c r="AK3038" i="1"/>
  <c r="AK2953" i="1"/>
  <c r="AK3045" i="1"/>
  <c r="AK3152" i="1"/>
  <c r="AK3040" i="1"/>
  <c r="AK3039" i="1"/>
  <c r="AK3111" i="1"/>
  <c r="AK3025" i="1"/>
  <c r="AK2944" i="1"/>
  <c r="AK2968" i="1"/>
  <c r="AK3077" i="1"/>
  <c r="AK2924" i="1"/>
  <c r="AK3156" i="1"/>
  <c r="AK2961" i="1"/>
  <c r="AK3029" i="1"/>
  <c r="AK2929" i="1"/>
  <c r="AK2981" i="1"/>
  <c r="AK2970" i="1"/>
  <c r="AK3034" i="1"/>
  <c r="AK2935" i="1"/>
  <c r="AK3005" i="1"/>
  <c r="AK3109" i="1"/>
  <c r="AK2973" i="1"/>
  <c r="AK3035" i="1"/>
  <c r="AK3007" i="1"/>
  <c r="AK3100" i="1"/>
  <c r="AK3067" i="1"/>
  <c r="AK3052" i="1"/>
  <c r="AK3031" i="1"/>
  <c r="AK2960" i="1"/>
  <c r="AK3170" i="1"/>
  <c r="AK3168" i="1"/>
  <c r="AK3157" i="1"/>
  <c r="AK3112" i="1"/>
  <c r="AJ3162" i="1"/>
  <c r="AJ3048" i="1"/>
  <c r="AJ2963" i="1"/>
  <c r="AJ2960" i="1"/>
  <c r="AJ3147" i="1"/>
  <c r="AJ3035" i="1"/>
  <c r="AJ3114" i="1"/>
  <c r="AJ3028" i="1"/>
  <c r="AJ2943" i="1"/>
  <c r="AJ3037" i="1"/>
  <c r="AJ2958" i="1"/>
  <c r="AJ3153" i="1"/>
  <c r="AJ3104" i="1"/>
  <c r="AJ3018" i="1"/>
  <c r="AJ2933" i="1"/>
  <c r="AJ2930" i="1"/>
  <c r="AJ3074" i="1"/>
  <c r="AJ3007" i="1"/>
  <c r="AJ3067" i="1"/>
  <c r="AJ2981" i="1"/>
  <c r="AJ3076" i="1"/>
  <c r="AJ3009" i="1"/>
  <c r="AJ2928" i="1"/>
  <c r="AJ3154" i="1"/>
  <c r="AJ3038" i="1"/>
  <c r="AJ2953" i="1"/>
  <c r="AJ2950" i="1"/>
  <c r="AJ3109" i="1"/>
  <c r="AJ3027" i="1"/>
  <c r="AJ3106" i="1"/>
  <c r="AJ3020" i="1"/>
  <c r="AJ2935" i="1"/>
  <c r="AJ3029" i="1"/>
  <c r="AJ2948" i="1"/>
  <c r="AJ3099" i="1"/>
  <c r="AJ3061" i="1"/>
  <c r="AJ2975" i="1"/>
  <c r="AJ2972" i="1"/>
  <c r="AJ3159" i="1"/>
  <c r="AJ3050" i="1"/>
  <c r="AJ3152" i="1"/>
  <c r="AJ3040" i="1"/>
  <c r="AJ3052" i="1"/>
  <c r="AJ2970" i="1"/>
  <c r="AJ2936" i="1"/>
  <c r="AJ3103" i="1"/>
  <c r="AJ3065" i="1"/>
  <c r="AJ2979" i="1"/>
  <c r="AJ3163" i="1"/>
  <c r="AJ3054" i="1"/>
  <c r="AJ3156" i="1"/>
  <c r="AJ3046" i="1"/>
  <c r="AJ2961" i="1"/>
  <c r="AJ3056" i="1"/>
  <c r="AJ2974" i="1"/>
  <c r="AJ3169" i="1"/>
  <c r="AJ3150" i="1"/>
  <c r="AJ3034" i="1"/>
  <c r="AJ2949" i="1"/>
  <c r="AJ2946" i="1"/>
  <c r="AJ3105" i="1"/>
  <c r="AJ3023" i="1"/>
  <c r="AJ3102" i="1"/>
  <c r="AJ3016" i="1"/>
  <c r="AJ2931" i="1"/>
  <c r="AJ3025" i="1"/>
  <c r="AJ2944" i="1"/>
  <c r="AJ3170" i="1"/>
  <c r="AJ3057" i="1"/>
  <c r="AJ2971" i="1"/>
  <c r="AJ2968" i="1"/>
  <c r="AJ3155" i="1"/>
  <c r="AJ3045" i="1"/>
  <c r="AJ3148" i="1"/>
  <c r="AJ3036" i="1"/>
  <c r="AJ2951" i="1"/>
  <c r="AJ3047" i="1"/>
  <c r="AJ2966" i="1"/>
  <c r="AJ3145" i="1"/>
  <c r="AJ3077" i="1"/>
  <c r="AJ3010" i="1"/>
  <c r="AJ2924" i="1"/>
  <c r="AJ2921" i="1"/>
  <c r="AJ3066" i="1"/>
  <c r="AJ3168" i="1"/>
  <c r="AJ3059" i="1"/>
  <c r="AJ2973" i="1"/>
  <c r="AJ3068" i="1"/>
  <c r="AJ3001" i="1"/>
  <c r="AJ3149" i="1"/>
  <c r="AJ3100" i="1"/>
  <c r="AJ3014" i="1"/>
  <c r="AJ2929" i="1"/>
  <c r="AJ2925" i="1"/>
  <c r="AJ3070" i="1"/>
  <c r="AJ3003" i="1"/>
  <c r="AJ3063" i="1"/>
  <c r="AJ2977" i="1"/>
  <c r="AJ3072" i="1"/>
  <c r="AJ3005" i="1"/>
  <c r="AJ2923" i="1"/>
  <c r="AJ3166" i="1"/>
  <c r="AJ3053" i="1"/>
  <c r="AJ2967" i="1"/>
  <c r="AJ2964" i="1"/>
  <c r="AJ3151" i="1"/>
  <c r="AJ3039" i="1"/>
  <c r="AJ3144" i="1"/>
  <c r="AJ3032" i="1"/>
  <c r="AJ2947" i="1"/>
  <c r="AJ3041" i="1"/>
  <c r="AJ2962" i="1"/>
  <c r="AJ3111" i="1"/>
  <c r="AJ3073" i="1"/>
  <c r="AJ3006" i="1"/>
  <c r="AJ2909" i="1"/>
  <c r="AJ2910" i="1"/>
  <c r="AJ3062" i="1"/>
  <c r="AJ3164" i="1"/>
  <c r="AJ3055" i="1"/>
  <c r="AJ2969" i="1"/>
  <c r="AJ3064" i="1"/>
  <c r="AJ2982" i="1"/>
  <c r="AJ3161" i="1"/>
  <c r="AJ3112" i="1"/>
  <c r="AJ3026" i="1"/>
  <c r="AJ2941" i="1"/>
  <c r="AJ2938" i="1"/>
  <c r="AJ3097" i="1"/>
  <c r="AJ3015" i="1"/>
  <c r="AJ3075" i="1"/>
  <c r="AJ3008" i="1"/>
  <c r="AJ2922" i="1"/>
  <c r="AJ3017" i="1"/>
  <c r="AJ3165" i="1"/>
  <c r="AJ3146" i="1"/>
  <c r="AJ3030" i="1"/>
  <c r="AJ2945" i="1"/>
  <c r="AJ2942" i="1"/>
  <c r="AJ3101" i="1"/>
  <c r="AJ3019" i="1"/>
  <c r="AJ3098" i="1"/>
  <c r="AJ3012" i="1"/>
  <c r="AJ2926" i="1"/>
  <c r="AJ3021" i="1"/>
  <c r="AJ2940" i="1"/>
  <c r="AJ3107" i="1"/>
  <c r="AJ3069" i="1"/>
  <c r="AJ3002" i="1"/>
  <c r="AJ2980" i="1"/>
  <c r="AJ3167" i="1"/>
  <c r="AJ3058" i="1"/>
  <c r="AJ3160" i="1"/>
  <c r="AJ3051" i="1"/>
  <c r="AJ2965" i="1"/>
  <c r="AJ3060" i="1"/>
  <c r="AJ2978" i="1"/>
  <c r="AJ3157" i="1"/>
  <c r="AJ3108" i="1"/>
  <c r="AJ3022" i="1"/>
  <c r="AJ2937" i="1"/>
  <c r="AJ2934" i="1"/>
  <c r="AJ3078" i="1"/>
  <c r="AJ3011" i="1"/>
  <c r="AJ3071" i="1"/>
  <c r="AJ3004" i="1"/>
  <c r="AJ2911" i="1"/>
  <c r="AJ3013" i="1"/>
  <c r="AJ2932" i="1"/>
  <c r="AJ3158" i="1"/>
  <c r="AJ3043" i="1"/>
  <c r="AJ2959" i="1"/>
  <c r="AJ2955" i="1"/>
  <c r="AJ3113" i="1"/>
  <c r="AJ3031" i="1"/>
  <c r="AJ3110" i="1"/>
  <c r="AJ3024" i="1"/>
  <c r="AJ2939" i="1"/>
  <c r="AJ3033" i="1"/>
  <c r="AJ2952" i="1"/>
  <c r="AI2993" i="1"/>
  <c r="AI2995" i="1" s="1"/>
  <c r="AJ2993" i="1"/>
  <c r="AJ2995" i="1" s="1"/>
  <c r="AI3075" i="1"/>
  <c r="AI3008" i="1"/>
  <c r="AI2922" i="1"/>
  <c r="AI3064" i="1"/>
  <c r="AI2982" i="1"/>
  <c r="AI3166" i="1"/>
  <c r="AI3053" i="1"/>
  <c r="AI2967" i="1"/>
  <c r="AI3151" i="1"/>
  <c r="AI3039" i="1"/>
  <c r="AI2955" i="1"/>
  <c r="AI2934" i="1"/>
  <c r="AI3063" i="1"/>
  <c r="AI2977" i="1"/>
  <c r="AI3165" i="1"/>
  <c r="AI3052" i="1"/>
  <c r="AI2970" i="1"/>
  <c r="AI3154" i="1"/>
  <c r="AI3038" i="1"/>
  <c r="AI2953" i="1"/>
  <c r="AI3109" i="1"/>
  <c r="AI3027" i="1"/>
  <c r="AI2942" i="1"/>
  <c r="AI3102" i="1"/>
  <c r="AI3016" i="1"/>
  <c r="AI2931" i="1"/>
  <c r="AI3072" i="1"/>
  <c r="AI3005" i="1"/>
  <c r="AI2923" i="1"/>
  <c r="AI3061" i="1"/>
  <c r="AI2975" i="1"/>
  <c r="AI3159" i="1"/>
  <c r="AI3050" i="1"/>
  <c r="AI2964" i="1"/>
  <c r="AI3148" i="1"/>
  <c r="AI3036" i="1"/>
  <c r="AI2951" i="1"/>
  <c r="AI3111" i="1"/>
  <c r="AI3025" i="1"/>
  <c r="AI2944" i="1"/>
  <c r="AI3100" i="1"/>
  <c r="AI3014" i="1"/>
  <c r="AI2929" i="1"/>
  <c r="AI3070" i="1"/>
  <c r="AI3003" i="1"/>
  <c r="AI2968" i="1"/>
  <c r="AI3110" i="1"/>
  <c r="AI3024" i="1"/>
  <c r="AI2939" i="1"/>
  <c r="AI3099" i="1"/>
  <c r="AI3013" i="1"/>
  <c r="AI2932" i="1"/>
  <c r="AI3069" i="1"/>
  <c r="AI3002" i="1"/>
  <c r="AI3167" i="1"/>
  <c r="AI3058" i="1"/>
  <c r="AI2972" i="1"/>
  <c r="AI2925" i="1"/>
  <c r="AI3098" i="1"/>
  <c r="AI3012" i="1"/>
  <c r="AI2926" i="1"/>
  <c r="AI3068" i="1"/>
  <c r="AI3001" i="1"/>
  <c r="AI3170" i="1"/>
  <c r="AI3057" i="1"/>
  <c r="AI2971" i="1"/>
  <c r="AI3155" i="1"/>
  <c r="AI3045" i="1"/>
  <c r="AI2960" i="1"/>
  <c r="AI3144" i="1"/>
  <c r="AI3032" i="1"/>
  <c r="AI2947" i="1"/>
  <c r="AI3107" i="1"/>
  <c r="AI3021" i="1"/>
  <c r="AI2940" i="1"/>
  <c r="AI3077" i="1"/>
  <c r="AI3010" i="1"/>
  <c r="AI2924" i="1"/>
  <c r="AI3066" i="1"/>
  <c r="AI2980" i="1"/>
  <c r="AI3164" i="1"/>
  <c r="AI3055" i="1"/>
  <c r="AI2969" i="1"/>
  <c r="AI3157" i="1"/>
  <c r="AI3041" i="1"/>
  <c r="AI2962" i="1"/>
  <c r="AI3146" i="1"/>
  <c r="AI3030" i="1"/>
  <c r="AI2945" i="1"/>
  <c r="AI3101" i="1"/>
  <c r="AI3019" i="1"/>
  <c r="AI2950" i="1"/>
  <c r="AI3152" i="1"/>
  <c r="AI3040" i="1"/>
  <c r="AI3145" i="1"/>
  <c r="AI3029" i="1"/>
  <c r="AI2948" i="1"/>
  <c r="AI3104" i="1"/>
  <c r="AI3018" i="1"/>
  <c r="AI2933" i="1"/>
  <c r="AI3074" i="1"/>
  <c r="AI3007" i="1"/>
  <c r="AI2921" i="1"/>
  <c r="AI3114" i="1"/>
  <c r="AI3028" i="1"/>
  <c r="AI2943" i="1"/>
  <c r="AI3103" i="1"/>
  <c r="AI3017" i="1"/>
  <c r="AI2936" i="1"/>
  <c r="AI3073" i="1"/>
  <c r="AI3006" i="1"/>
  <c r="AI2909" i="1"/>
  <c r="AI3062" i="1"/>
  <c r="AI2976" i="1"/>
  <c r="AI3160" i="1"/>
  <c r="AI3051" i="1"/>
  <c r="AI2965" i="1"/>
  <c r="AI3153" i="1"/>
  <c r="AI3037" i="1"/>
  <c r="AI2958" i="1"/>
  <c r="AI3112" i="1"/>
  <c r="AI3026" i="1"/>
  <c r="AI2941" i="1"/>
  <c r="AI3097" i="1"/>
  <c r="AI3015" i="1"/>
  <c r="AI2930" i="1"/>
  <c r="AI3071" i="1"/>
  <c r="AI3004" i="1"/>
  <c r="AI2911" i="1"/>
  <c r="AI3060" i="1"/>
  <c r="AI2978" i="1"/>
  <c r="AI3162" i="1"/>
  <c r="AI3048" i="1"/>
  <c r="AI2963" i="1"/>
  <c r="AI3147" i="1"/>
  <c r="AI3035" i="1"/>
  <c r="AI3168" i="1"/>
  <c r="AI3059" i="1"/>
  <c r="AI2973" i="1"/>
  <c r="AI3161" i="1"/>
  <c r="AI3047" i="1"/>
  <c r="AI2966" i="1"/>
  <c r="AI3150" i="1"/>
  <c r="AI3034" i="1"/>
  <c r="AI2949" i="1"/>
  <c r="AI3105" i="1"/>
  <c r="AI3023" i="1"/>
  <c r="AI2938" i="1"/>
  <c r="AI3156" i="1"/>
  <c r="AI3046" i="1"/>
  <c r="AI2961" i="1"/>
  <c r="AI3149" i="1"/>
  <c r="AI3033" i="1"/>
  <c r="AI2952" i="1"/>
  <c r="AI3108" i="1"/>
  <c r="AI3022" i="1"/>
  <c r="AI2937" i="1"/>
  <c r="AI3078" i="1"/>
  <c r="AI3011" i="1"/>
  <c r="AI2910" i="1"/>
  <c r="AI3067" i="1"/>
  <c r="AI2981" i="1"/>
  <c r="AI3169" i="1"/>
  <c r="AI3056" i="1"/>
  <c r="AI2974" i="1"/>
  <c r="AI3158" i="1"/>
  <c r="AI3043" i="1"/>
  <c r="AI2959" i="1"/>
  <c r="AI3113" i="1"/>
  <c r="AI3031" i="1"/>
  <c r="AI2946" i="1"/>
  <c r="AI3106" i="1"/>
  <c r="AI3020" i="1"/>
  <c r="AI2935" i="1"/>
  <c r="AI3076" i="1"/>
  <c r="AI3009" i="1"/>
  <c r="AI2928" i="1"/>
  <c r="AI3065" i="1"/>
  <c r="AI2979" i="1"/>
  <c r="AI3163" i="1"/>
  <c r="AI3054" i="1"/>
  <c r="AH3061" i="1"/>
  <c r="AH2975" i="1"/>
  <c r="AH2972" i="1"/>
  <c r="AH2936" i="1"/>
  <c r="AH3066" i="1"/>
  <c r="AH3168" i="1"/>
  <c r="AH3059" i="1"/>
  <c r="AH2973" i="1"/>
  <c r="AH3068" i="1"/>
  <c r="AH3001" i="1"/>
  <c r="AH3153" i="1"/>
  <c r="AH3100" i="1"/>
  <c r="AH3014" i="1"/>
  <c r="AH2929" i="1"/>
  <c r="AH2925" i="1"/>
  <c r="AH3101" i="1"/>
  <c r="AH3019" i="1"/>
  <c r="AH3098" i="1"/>
  <c r="AH3012" i="1"/>
  <c r="AH2926" i="1"/>
  <c r="AH3021" i="1"/>
  <c r="AH2923" i="1"/>
  <c r="AH3150" i="1"/>
  <c r="AH3034" i="1"/>
  <c r="AH2949" i="1"/>
  <c r="AH2946" i="1"/>
  <c r="AH3151" i="1"/>
  <c r="AH3039" i="1"/>
  <c r="AH3144" i="1"/>
  <c r="AH3032" i="1"/>
  <c r="AH2947" i="1"/>
  <c r="AH3041" i="1"/>
  <c r="AH2962" i="1"/>
  <c r="AH3099" i="1"/>
  <c r="AH3073" i="1"/>
  <c r="AH3006" i="1"/>
  <c r="AH2909" i="1"/>
  <c r="AH2910" i="1"/>
  <c r="AH3078" i="1"/>
  <c r="AH3011" i="1"/>
  <c r="AH3071" i="1"/>
  <c r="AH3004" i="1"/>
  <c r="AH2911" i="1"/>
  <c r="AH3013" i="1"/>
  <c r="AH3165" i="1"/>
  <c r="AH3149" i="1"/>
  <c r="AH3077" i="1"/>
  <c r="AH3010" i="1"/>
  <c r="AH2924" i="1"/>
  <c r="AH2921" i="1"/>
  <c r="AH3097" i="1"/>
  <c r="AH3015" i="1"/>
  <c r="AH3075" i="1"/>
  <c r="AH3008" i="1"/>
  <c r="AH2922" i="1"/>
  <c r="AH3017" i="1"/>
  <c r="AH3169" i="1"/>
  <c r="AH3146" i="1"/>
  <c r="AH3030" i="1"/>
  <c r="AH2945" i="1"/>
  <c r="AH2942" i="1"/>
  <c r="AH3147" i="1"/>
  <c r="AH3035" i="1"/>
  <c r="AH3114" i="1"/>
  <c r="AH3028" i="1"/>
  <c r="AH2943" i="1"/>
  <c r="AH3037" i="1"/>
  <c r="AH2958" i="1"/>
  <c r="AH3166" i="1"/>
  <c r="AH3053" i="1"/>
  <c r="AH2967" i="1"/>
  <c r="AH2964" i="1"/>
  <c r="AH3167" i="1"/>
  <c r="AH3058" i="1"/>
  <c r="AH3160" i="1"/>
  <c r="AH3051" i="1"/>
  <c r="AH2965" i="1"/>
  <c r="AH3060" i="1"/>
  <c r="AH2978" i="1"/>
  <c r="AH3145" i="1"/>
  <c r="AH3108" i="1"/>
  <c r="AH3022" i="1"/>
  <c r="AH2937" i="1"/>
  <c r="AH2934" i="1"/>
  <c r="AH3109" i="1"/>
  <c r="AH3027" i="1"/>
  <c r="AH3106" i="1"/>
  <c r="AH3020" i="1"/>
  <c r="AH2935" i="1"/>
  <c r="AH3029" i="1"/>
  <c r="AH2940" i="1"/>
  <c r="AH3103" i="1"/>
  <c r="AH3112" i="1"/>
  <c r="AH3026" i="1"/>
  <c r="AH2941" i="1"/>
  <c r="AH2938" i="1"/>
  <c r="AH3113" i="1"/>
  <c r="AH3031" i="1"/>
  <c r="AH3110" i="1"/>
  <c r="AH3024" i="1"/>
  <c r="AH2939" i="1"/>
  <c r="AH3033" i="1"/>
  <c r="AH2948" i="1"/>
  <c r="AH3162" i="1"/>
  <c r="AH3048" i="1"/>
  <c r="AH2963" i="1"/>
  <c r="AH2960" i="1"/>
  <c r="AH3163" i="1"/>
  <c r="AH3054" i="1"/>
  <c r="AH3156" i="1"/>
  <c r="AH3046" i="1"/>
  <c r="AH2961" i="1"/>
  <c r="AH3056" i="1"/>
  <c r="AH2974" i="1"/>
  <c r="AH3111" i="1"/>
  <c r="AH3069" i="1"/>
  <c r="AH3002" i="1"/>
  <c r="AH2980" i="1"/>
  <c r="AH2952" i="1"/>
  <c r="AH3074" i="1"/>
  <c r="AH3007" i="1"/>
  <c r="AH3067" i="1"/>
  <c r="AH2981" i="1"/>
  <c r="AH3076" i="1"/>
  <c r="AH3009" i="1"/>
  <c r="AH3161" i="1"/>
  <c r="AH3154" i="1"/>
  <c r="AH3038" i="1"/>
  <c r="AH2953" i="1"/>
  <c r="AH2950" i="1"/>
  <c r="AH3155" i="1"/>
  <c r="AH3045" i="1"/>
  <c r="AH3148" i="1"/>
  <c r="AH3036" i="1"/>
  <c r="AH2951" i="1"/>
  <c r="AH3047" i="1"/>
  <c r="AH2966" i="1"/>
  <c r="AH3158" i="1"/>
  <c r="AH3043" i="1"/>
  <c r="AH2959" i="1"/>
  <c r="AH2955" i="1"/>
  <c r="AH3159" i="1"/>
  <c r="AH3050" i="1"/>
  <c r="AH3152" i="1"/>
  <c r="AH3040" i="1"/>
  <c r="AH2956" i="1"/>
  <c r="AH3052" i="1"/>
  <c r="AH2970" i="1"/>
  <c r="AH3107" i="1"/>
  <c r="AH3065" i="1"/>
  <c r="AH2979" i="1"/>
  <c r="AH2976" i="1"/>
  <c r="AH2944" i="1"/>
  <c r="AH3070" i="1"/>
  <c r="AH3003" i="1"/>
  <c r="AH3063" i="1"/>
  <c r="AH2977" i="1"/>
  <c r="AH3072" i="1"/>
  <c r="AH3005" i="1"/>
  <c r="AH3157" i="1"/>
  <c r="AH3104" i="1"/>
  <c r="AH3018" i="1"/>
  <c r="AH2933" i="1"/>
  <c r="AH2930" i="1"/>
  <c r="AH3105" i="1"/>
  <c r="AH3023" i="1"/>
  <c r="AH3102" i="1"/>
  <c r="AH3016" i="1"/>
  <c r="AH2931" i="1"/>
  <c r="AH3025" i="1"/>
  <c r="AH2932" i="1"/>
  <c r="AH3170" i="1"/>
  <c r="AH3057" i="1"/>
  <c r="AH2971" i="1"/>
  <c r="AH2968" i="1"/>
  <c r="AH2928" i="1"/>
  <c r="AH3062" i="1"/>
  <c r="AH3164" i="1"/>
  <c r="AH3055" i="1"/>
  <c r="AH2969" i="1"/>
  <c r="AH3064" i="1"/>
  <c r="AH2982" i="1"/>
  <c r="AG2993" i="1"/>
  <c r="AG2995" i="1" s="1"/>
  <c r="AH2993" i="1"/>
  <c r="AH2995" i="1" s="1"/>
  <c r="BX3138" i="1"/>
  <c r="AG2891" i="1"/>
  <c r="AC3138" i="1"/>
  <c r="AG3138" i="1"/>
  <c r="BZ3138" i="1"/>
  <c r="BL3138" i="1"/>
  <c r="CA3138" i="1"/>
  <c r="AD3138" i="1"/>
  <c r="BN3138" i="1"/>
  <c r="BQ3138" i="1"/>
  <c r="BT3138" i="1"/>
  <c r="BV3138" i="1"/>
  <c r="BO3138" i="1"/>
  <c r="AA3138" i="1"/>
  <c r="AS3138" i="1"/>
  <c r="AV3138" i="1"/>
  <c r="BP3138" i="1"/>
  <c r="BR3138" i="1"/>
  <c r="BD3138" i="1"/>
  <c r="W3138" i="1"/>
  <c r="AW3138" i="1"/>
  <c r="AY3138" i="1"/>
  <c r="BI3138" i="1"/>
  <c r="AF3138" i="1"/>
  <c r="BB3138" i="1"/>
  <c r="AA2870" i="1"/>
  <c r="BH3138" i="1"/>
  <c r="BJ3138" i="1"/>
  <c r="BY3138" i="1"/>
  <c r="CB3138" i="1"/>
  <c r="BU3138" i="1"/>
  <c r="AC2870" i="1"/>
  <c r="BF3138" i="1"/>
  <c r="AF2870" i="1"/>
  <c r="AT3138" i="1"/>
  <c r="X3138" i="1"/>
  <c r="BM3138" i="1"/>
  <c r="AC2891" i="1"/>
  <c r="AF2891" i="1"/>
  <c r="AD2870" i="1"/>
  <c r="AB3138" i="1"/>
  <c r="AX3138" i="1"/>
  <c r="W2870" i="1"/>
  <c r="BA3138" i="1"/>
  <c r="AD2891" i="1"/>
  <c r="I35" i="18"/>
  <c r="AB2870" i="1"/>
  <c r="AG2870" i="1"/>
  <c r="AU3138" i="1"/>
  <c r="BE3138" i="1"/>
  <c r="AZ3138" i="1"/>
  <c r="BG3138" i="1"/>
  <c r="BC3138" i="1"/>
  <c r="X2870" i="1"/>
  <c r="BK3138" i="1"/>
  <c r="BW3138" i="1"/>
  <c r="BS3138" i="1"/>
  <c r="J112" i="19"/>
  <c r="J119" i="19"/>
  <c r="J11" i="19" s="1"/>
  <c r="I11" i="18"/>
  <c r="C48" i="2"/>
  <c r="E48" i="2" s="1"/>
  <c r="AF2993" i="1"/>
  <c r="AF2995" i="1" s="1"/>
  <c r="X2993" i="1"/>
  <c r="X2995" i="1" s="1"/>
  <c r="AC2993" i="1"/>
  <c r="AC2995" i="1" s="1"/>
  <c r="AB2993" i="1"/>
  <c r="AB2995" i="1" s="1"/>
  <c r="AD2993" i="1"/>
  <c r="AD2995" i="1" s="1"/>
  <c r="H54" i="19"/>
  <c r="J74" i="19"/>
  <c r="J9" i="19" s="1"/>
  <c r="V2925" i="1"/>
  <c r="W2930" i="1"/>
  <c r="AC2943" i="1"/>
  <c r="U2947" i="1"/>
  <c r="X2973" i="1"/>
  <c r="AC2929" i="1"/>
  <c r="AC2973" i="1"/>
  <c r="AA2937" i="1"/>
  <c r="X2945" i="1"/>
  <c r="Y2948" i="1"/>
  <c r="X3002" i="1"/>
  <c r="Y3005" i="1"/>
  <c r="Z3009" i="1"/>
  <c r="AA3012" i="1"/>
  <c r="AB3015" i="1"/>
  <c r="U3003" i="1"/>
  <c r="V3006" i="1"/>
  <c r="W3010" i="1"/>
  <c r="X3013" i="1"/>
  <c r="Y3016" i="1"/>
  <c r="Z3020" i="1"/>
  <c r="AA3023" i="1"/>
  <c r="U3051" i="1"/>
  <c r="Y3036" i="1"/>
  <c r="AC2911" i="1"/>
  <c r="V2922" i="1"/>
  <c r="V2960" i="1"/>
  <c r="W2963" i="1"/>
  <c r="X2966" i="1"/>
  <c r="Y2969" i="1"/>
  <c r="X2961" i="1"/>
  <c r="Y2964" i="1"/>
  <c r="Z2973" i="1"/>
  <c r="W2961" i="1"/>
  <c r="X2964" i="1"/>
  <c r="Y2967" i="1"/>
  <c r="Z2970" i="1"/>
  <c r="AC2962" i="1"/>
  <c r="U2966" i="1"/>
  <c r="V2969" i="1"/>
  <c r="V2981" i="1"/>
  <c r="Z2924" i="1"/>
  <c r="AA2929" i="1"/>
  <c r="AB2932" i="1"/>
  <c r="AC2946" i="1"/>
  <c r="AC2923" i="1"/>
  <c r="U2929" i="1"/>
  <c r="V2932" i="1"/>
  <c r="AB2936" i="1"/>
  <c r="AC2945" i="1"/>
  <c r="Z2947" i="1"/>
  <c r="V2949" i="1"/>
  <c r="AC3001" i="1"/>
  <c r="U3005" i="1"/>
  <c r="V3009" i="1"/>
  <c r="W3012" i="1"/>
  <c r="X3015" i="1"/>
  <c r="Y3019" i="1"/>
  <c r="Z3022" i="1"/>
  <c r="AA3025" i="1"/>
  <c r="AC3012" i="1"/>
  <c r="U3016" i="1"/>
  <c r="V3020" i="1"/>
  <c r="W3023" i="1"/>
  <c r="AA3053" i="1"/>
  <c r="AC2909" i="1"/>
  <c r="Z2921" i="1"/>
  <c r="Y2922" i="1"/>
  <c r="AC2965" i="1"/>
  <c r="U2969" i="1"/>
  <c r="AC2955" i="1"/>
  <c r="Y2960" i="1"/>
  <c r="Z2963" i="1"/>
  <c r="AA2966" i="1"/>
  <c r="AB2969" i="1"/>
  <c r="V2971" i="1"/>
  <c r="AC2963" i="1"/>
  <c r="U2967" i="1"/>
  <c r="V2970" i="1"/>
  <c r="W2972" i="1"/>
  <c r="V2924" i="1"/>
  <c r="W2929" i="1"/>
  <c r="X2932" i="1"/>
  <c r="AB2977" i="1"/>
  <c r="AC2928" i="1"/>
  <c r="U2932" i="1"/>
  <c r="AA2935" i="1"/>
  <c r="AB2940" i="1"/>
  <c r="AB2944" i="1"/>
  <c r="Y2936" i="1"/>
  <c r="U2981" i="1"/>
  <c r="AA2924" i="1"/>
  <c r="AB2929" i="1"/>
  <c r="AC2937" i="1"/>
  <c r="Z2946" i="1"/>
  <c r="AA2950" i="1"/>
  <c r="W2940" i="1"/>
  <c r="W2944" i="1"/>
  <c r="X2947" i="1"/>
  <c r="AA2972" i="1"/>
  <c r="AC2980" i="1"/>
  <c r="X2924" i="1"/>
  <c r="Y2929" i="1"/>
  <c r="Z2932" i="1"/>
  <c r="AC2924" i="1"/>
  <c r="U2930" i="1"/>
  <c r="W2933" i="1"/>
  <c r="X2946" i="1"/>
  <c r="AC2934" i="1"/>
  <c r="U2940" i="1"/>
  <c r="U2949" i="1"/>
  <c r="Z3002" i="1"/>
  <c r="AA3005" i="1"/>
  <c r="AB3009" i="1"/>
  <c r="AC3041" i="1"/>
  <c r="AA3039" i="1"/>
  <c r="Y2921" i="1"/>
  <c r="U2921" i="1"/>
  <c r="Z2971" i="1"/>
  <c r="V2955" i="1"/>
  <c r="AA2959" i="1"/>
  <c r="AB2962" i="1"/>
  <c r="X2952" i="1"/>
  <c r="X2956" i="1"/>
  <c r="Y2971" i="1"/>
  <c r="W2956" i="1"/>
  <c r="AB2960" i="1"/>
  <c r="AC2953" i="1"/>
  <c r="X2959" i="1"/>
  <c r="Y2962" i="1"/>
  <c r="Z2965" i="1"/>
  <c r="AA2968" i="1"/>
  <c r="V2976" i="1"/>
  <c r="AA2980" i="1"/>
  <c r="W2924" i="1"/>
  <c r="X2929" i="1"/>
  <c r="Y2932" i="1"/>
  <c r="AC2933" i="1"/>
  <c r="U2937" i="1"/>
  <c r="U2943" i="1"/>
  <c r="V2946" i="1"/>
  <c r="W2950" i="1"/>
  <c r="U2980" i="1"/>
  <c r="Y2923" i="1"/>
  <c r="Z2928" i="1"/>
  <c r="AA2931" i="1"/>
  <c r="U2924" i="1"/>
  <c r="V2929" i="1"/>
  <c r="W2932" i="1"/>
  <c r="Y2945" i="1"/>
  <c r="Z2948" i="1"/>
  <c r="U2934" i="1"/>
  <c r="V2937" i="1"/>
  <c r="V2943" i="1"/>
  <c r="Y3001" i="1"/>
  <c r="Z3004" i="1"/>
  <c r="AA3008" i="1"/>
  <c r="AB3011" i="1"/>
  <c r="V3002" i="1"/>
  <c r="W3005" i="1"/>
  <c r="X3009" i="1"/>
  <c r="Y3012" i="1"/>
  <c r="Z3015" i="1"/>
  <c r="AA3019" i="1"/>
  <c r="AB3022" i="1"/>
  <c r="U3038" i="1"/>
  <c r="U2982" i="1"/>
  <c r="Z2968" i="1"/>
  <c r="AC2922" i="1"/>
  <c r="U2972" i="1"/>
  <c r="X2960" i="1"/>
  <c r="Y2963" i="1"/>
  <c r="Z2966" i="1"/>
  <c r="AA2969" i="1"/>
  <c r="AC2958" i="1"/>
  <c r="U2962" i="1"/>
  <c r="V2965" i="1"/>
  <c r="W2968" i="1"/>
  <c r="AB2971" i="1"/>
  <c r="W2980" i="1"/>
  <c r="AA2923" i="1"/>
  <c r="AB2928" i="1"/>
  <c r="Z2931" i="1"/>
  <c r="AC2942" i="1"/>
  <c r="U2946" i="1"/>
  <c r="U2923" i="1"/>
  <c r="Y2943" i="1"/>
  <c r="AB2937" i="1"/>
  <c r="AB2943" i="1"/>
  <c r="AC2974" i="1"/>
  <c r="Y2980" i="1"/>
  <c r="Y2924" i="1"/>
  <c r="Z2929" i="1"/>
  <c r="AA2932" i="1"/>
  <c r="Y2934" i="1"/>
  <c r="Z2937" i="1"/>
  <c r="Z2943" i="1"/>
  <c r="X3001" i="1"/>
  <c r="AC3023" i="1"/>
  <c r="W3046" i="1"/>
  <c r="AB3036" i="1"/>
  <c r="Z2972" i="1"/>
  <c r="AB2953" i="1"/>
  <c r="AC2969" i="1"/>
  <c r="AC2964" i="1"/>
  <c r="U2968" i="1"/>
  <c r="X2971" i="1"/>
  <c r="Y2977" i="1"/>
  <c r="AB2955" i="1"/>
  <c r="AC2971" i="1"/>
  <c r="Y2953" i="1"/>
  <c r="AA2974" i="1"/>
  <c r="V2980" i="1"/>
  <c r="AB2923" i="1"/>
  <c r="Z2936" i="1"/>
  <c r="Z2942" i="1"/>
  <c r="AA2945" i="1"/>
  <c r="AB2948" i="1"/>
  <c r="X2937" i="1"/>
  <c r="X2943" i="1"/>
  <c r="Y2946" i="1"/>
  <c r="Z2978" i="1"/>
  <c r="AC2978" i="1"/>
  <c r="Z2923" i="1"/>
  <c r="AA2928" i="1"/>
  <c r="AB2931" i="1"/>
  <c r="Z2933" i="1"/>
  <c r="AA2936" i="1"/>
  <c r="AA2942" i="1"/>
  <c r="AC2926" i="1"/>
  <c r="AA2949" i="1"/>
  <c r="AA3001" i="1"/>
  <c r="AB3004" i="1"/>
  <c r="X3046" i="1"/>
  <c r="AA2909" i="1"/>
  <c r="W2911" i="1"/>
  <c r="W2921" i="1"/>
  <c r="V2958" i="1"/>
  <c r="W2959" i="1"/>
  <c r="X2962" i="1"/>
  <c r="Y2965" i="1"/>
  <c r="W2922" i="1"/>
  <c r="Y2955" i="1"/>
  <c r="V2973" i="1"/>
  <c r="X2955" i="1"/>
  <c r="U2953" i="1"/>
  <c r="W2958" i="1"/>
  <c r="Z2961" i="1"/>
  <c r="AA2964" i="1"/>
  <c r="AB2967" i="1"/>
  <c r="AB2978" i="1"/>
  <c r="X2923" i="1"/>
  <c r="Y2928" i="1"/>
  <c r="AA2934" i="1"/>
  <c r="AC2936" i="1"/>
  <c r="Z2945" i="1"/>
  <c r="AA2948" i="1"/>
  <c r="X2934" i="1"/>
  <c r="Y2937" i="1"/>
  <c r="X2933" i="1"/>
  <c r="W2974" i="1"/>
  <c r="X2980" i="1"/>
  <c r="V2940" i="1"/>
  <c r="AC2948" i="1"/>
  <c r="AA2926" i="1"/>
  <c r="AC3005" i="1"/>
  <c r="U3010" i="1"/>
  <c r="V3013" i="1"/>
  <c r="W3016" i="1"/>
  <c r="X3020" i="1"/>
  <c r="Y3023" i="1"/>
  <c r="AC3016" i="1"/>
  <c r="U3021" i="1"/>
  <c r="V3024" i="1"/>
  <c r="U2977" i="1"/>
  <c r="Z2967" i="1"/>
  <c r="AA2970" i="1"/>
  <c r="Z2982" i="1"/>
  <c r="AC2967" i="1"/>
  <c r="W2971" i="1"/>
  <c r="AB2973" i="1"/>
  <c r="U2925" i="1"/>
  <c r="V2930" i="1"/>
  <c r="AA2978" i="1"/>
  <c r="Y2933" i="1"/>
  <c r="AC2932" i="1"/>
  <c r="Y2978" i="1"/>
  <c r="W2937" i="1"/>
  <c r="AA2943" i="1"/>
  <c r="AC2944" i="1"/>
  <c r="U2948" i="1"/>
  <c r="X2926" i="1"/>
  <c r="AC3019" i="1"/>
  <c r="U3023" i="1"/>
  <c r="AA3026" i="1"/>
  <c r="AA3048" i="1"/>
  <c r="U2974" i="1"/>
  <c r="X2953" i="1"/>
  <c r="AB2958" i="1"/>
  <c r="AC2960" i="1"/>
  <c r="U2964" i="1"/>
  <c r="V2967" i="1"/>
  <c r="W2970" i="1"/>
  <c r="U2922" i="1"/>
  <c r="Z2953" i="1"/>
  <c r="Z2952" i="1"/>
  <c r="Z2956" i="1"/>
  <c r="AC2972" i="1"/>
  <c r="W2978" i="1"/>
  <c r="AB2982" i="1"/>
  <c r="U2933" i="1"/>
  <c r="V2936" i="1"/>
  <c r="V2942" i="1"/>
  <c r="W2945" i="1"/>
  <c r="X2948" i="1"/>
  <c r="Y2942" i="1"/>
  <c r="AA2977" i="1"/>
  <c r="AB2981" i="1"/>
  <c r="AB2976" i="1"/>
  <c r="X2977" i="1"/>
  <c r="AA2981" i="1"/>
  <c r="X2936" i="1"/>
  <c r="AB2942" i="1"/>
  <c r="V2947" i="1"/>
  <c r="AB2949" i="1"/>
  <c r="AC3014" i="1"/>
  <c r="U3019" i="1"/>
  <c r="V3022" i="1"/>
  <c r="W3025" i="1"/>
  <c r="AA3036" i="1"/>
  <c r="W3027" i="1"/>
  <c r="W3043" i="1"/>
  <c r="Y3076" i="1"/>
  <c r="U3029" i="1"/>
  <c r="AC3078" i="1"/>
  <c r="V3029" i="1"/>
  <c r="V3073" i="1"/>
  <c r="Z3051" i="1"/>
  <c r="U3048" i="1"/>
  <c r="AA3028" i="1"/>
  <c r="Y3052" i="1"/>
  <c r="U3035" i="1"/>
  <c r="Z3028" i="1"/>
  <c r="V3034" i="1"/>
  <c r="X3113" i="1"/>
  <c r="W3155" i="1"/>
  <c r="V3146" i="1"/>
  <c r="X3162" i="1"/>
  <c r="U3157" i="1"/>
  <c r="W3165" i="1"/>
  <c r="V3144" i="1"/>
  <c r="X3152" i="1"/>
  <c r="AC3158" i="1"/>
  <c r="Z3158" i="1"/>
  <c r="Y3162" i="1"/>
  <c r="Y3167" i="1"/>
  <c r="AA3163" i="1"/>
  <c r="Y3156" i="1"/>
  <c r="Y3164" i="1"/>
  <c r="AC3144" i="1"/>
  <c r="W3170" i="1"/>
  <c r="X2939" i="1"/>
  <c r="H52" i="18"/>
  <c r="H92" i="18"/>
  <c r="H210" i="18" s="1"/>
  <c r="H110" i="18"/>
  <c r="AA3077" i="1"/>
  <c r="Z3045" i="1"/>
  <c r="AC3017" i="1"/>
  <c r="H124" i="18"/>
  <c r="H146" i="18"/>
  <c r="H168" i="18"/>
  <c r="H187" i="18"/>
  <c r="Y3037" i="1"/>
  <c r="AA3074" i="1"/>
  <c r="V3054" i="1"/>
  <c r="AB3028" i="1"/>
  <c r="X3072" i="1"/>
  <c r="W3048" i="1"/>
  <c r="Y3043" i="1"/>
  <c r="W3075" i="1"/>
  <c r="AC3075" i="1"/>
  <c r="AB3037" i="1"/>
  <c r="AB3034" i="1"/>
  <c r="W3072" i="1"/>
  <c r="X3027" i="1"/>
  <c r="X3109" i="1"/>
  <c r="AC3109" i="1"/>
  <c r="W3151" i="1"/>
  <c r="U3166" i="1"/>
  <c r="X3158" i="1"/>
  <c r="U3153" i="1"/>
  <c r="W3161" i="1"/>
  <c r="U3168" i="1"/>
  <c r="X3148" i="1"/>
  <c r="Z3167" i="1"/>
  <c r="AC3160" i="1"/>
  <c r="AB3165" i="1"/>
  <c r="Y3151" i="1"/>
  <c r="Y3154" i="1"/>
  <c r="Y3153" i="1"/>
  <c r="AC2975" i="1"/>
  <c r="H82" i="18"/>
  <c r="G89" i="18"/>
  <c r="H81" i="18"/>
  <c r="U3045" i="1"/>
  <c r="H133" i="18"/>
  <c r="H157" i="18"/>
  <c r="H177" i="18"/>
  <c r="W3035" i="1"/>
  <c r="AA3073" i="1"/>
  <c r="AA2982" i="1"/>
  <c r="V2928" i="1"/>
  <c r="W2931" i="1"/>
  <c r="AA2976" i="1"/>
  <c r="U2945" i="1"/>
  <c r="V2948" i="1"/>
  <c r="AA2946" i="1"/>
  <c r="AB2950" i="1"/>
  <c r="W3001" i="1"/>
  <c r="V3004" i="1"/>
  <c r="W3008" i="1"/>
  <c r="X3011" i="1"/>
  <c r="Y3014" i="1"/>
  <c r="Z3018" i="1"/>
  <c r="AA3021" i="1"/>
  <c r="AB3024" i="1"/>
  <c r="AC3008" i="1"/>
  <c r="U3012" i="1"/>
  <c r="V3015" i="1"/>
  <c r="W3019" i="1"/>
  <c r="X3022" i="1"/>
  <c r="Y3025" i="1"/>
  <c r="U3041" i="1"/>
  <c r="Y3050" i="1"/>
  <c r="AA3075" i="1"/>
  <c r="W3029" i="1"/>
  <c r="AC3074" i="1"/>
  <c r="X3074" i="1"/>
  <c r="AB3078" i="1"/>
  <c r="Y3051" i="1"/>
  <c r="AA3047" i="1"/>
  <c r="Y3032" i="1"/>
  <c r="X3041" i="1"/>
  <c r="U3073" i="1"/>
  <c r="Y3027" i="1"/>
  <c r="V3074" i="1"/>
  <c r="Z3078" i="1"/>
  <c r="X3114" i="1"/>
  <c r="AB3105" i="1"/>
  <c r="V3163" i="1"/>
  <c r="U3154" i="1"/>
  <c r="X3146" i="1"/>
  <c r="AC3112" i="1"/>
  <c r="W3149" i="1"/>
  <c r="U3156" i="1"/>
  <c r="W3164" i="1"/>
  <c r="AC3166" i="1"/>
  <c r="Y3157" i="1"/>
  <c r="AB3162" i="1"/>
  <c r="Z3154" i="1"/>
  <c r="Y3144" i="1"/>
  <c r="V3170" i="1"/>
  <c r="W2939" i="1"/>
  <c r="H84" i="18"/>
  <c r="H51" i="18"/>
  <c r="H91" i="18"/>
  <c r="H213" i="18" s="1"/>
  <c r="AA3007" i="1"/>
  <c r="Z3077" i="1"/>
  <c r="H120" i="18"/>
  <c r="H140" i="18"/>
  <c r="H163" i="18"/>
  <c r="H183" i="18"/>
  <c r="AC3043" i="1"/>
  <c r="AC3032" i="1"/>
  <c r="Y3031" i="1"/>
  <c r="X3035" i="1"/>
  <c r="AB3053" i="1"/>
  <c r="X3078" i="1"/>
  <c r="W3053" i="1"/>
  <c r="U3036" i="1"/>
  <c r="AC3050" i="1"/>
  <c r="W3078" i="1"/>
  <c r="X3032" i="1"/>
  <c r="AB3043" i="1"/>
  <c r="AB3046" i="1"/>
  <c r="Y3039" i="1"/>
  <c r="AB3054" i="1"/>
  <c r="Z3047" i="1"/>
  <c r="V3078" i="1"/>
  <c r="X3108" i="1"/>
  <c r="AB3097" i="1"/>
  <c r="V3159" i="1"/>
  <c r="U3150" i="1"/>
  <c r="W3166" i="1"/>
  <c r="AC3110" i="1"/>
  <c r="W3145" i="1"/>
  <c r="U3152" i="1"/>
  <c r="W3160" i="1"/>
  <c r="Y3160" i="1"/>
  <c r="AB3155" i="1"/>
  <c r="Z3150" i="1"/>
  <c r="Z3153" i="1"/>
  <c r="Z3152" i="1"/>
  <c r="Z3164" i="1"/>
  <c r="W2975" i="1"/>
  <c r="H72" i="18"/>
  <c r="G109" i="18"/>
  <c r="H109" i="18"/>
  <c r="W3040" i="1"/>
  <c r="V3040" i="1"/>
  <c r="H127" i="18"/>
  <c r="H149" i="18"/>
  <c r="AA2925" i="1"/>
  <c r="AB2930" i="1"/>
  <c r="V2923" i="1"/>
  <c r="W2928" i="1"/>
  <c r="X2931" i="1"/>
  <c r="Z2934" i="1"/>
  <c r="AA2947" i="1"/>
  <c r="V2933" i="1"/>
  <c r="W2936" i="1"/>
  <c r="W2942" i="1"/>
  <c r="W2926" i="1"/>
  <c r="AA3003" i="1"/>
  <c r="AB3006" i="1"/>
  <c r="Z3055" i="1"/>
  <c r="X3004" i="1"/>
  <c r="Y3008" i="1"/>
  <c r="Z3011" i="1"/>
  <c r="AA3014" i="1"/>
  <c r="AB3018" i="1"/>
  <c r="Y3046" i="1"/>
  <c r="AB3048" i="1"/>
  <c r="Y3035" i="1"/>
  <c r="AA3072" i="1"/>
  <c r="X3043" i="1"/>
  <c r="V3047" i="1"/>
  <c r="X3073" i="1"/>
  <c r="Z3039" i="1"/>
  <c r="AC3072" i="1"/>
  <c r="AC3034" i="1"/>
  <c r="AA3043" i="1"/>
  <c r="U3075" i="1"/>
  <c r="X3028" i="1"/>
  <c r="Z3038" i="1"/>
  <c r="AB3073" i="1"/>
  <c r="AB3108" i="1"/>
  <c r="V3147" i="1"/>
  <c r="X3163" i="1"/>
  <c r="W3154" i="1"/>
  <c r="AC3100" i="1"/>
  <c r="AB3103" i="1"/>
  <c r="V3161" i="1"/>
  <c r="X3169" i="1"/>
  <c r="W3148" i="1"/>
  <c r="AA3159" i="1"/>
  <c r="Y3161" i="1"/>
  <c r="Z3162" i="1"/>
  <c r="AA3153" i="1"/>
  <c r="AA3164" i="1"/>
  <c r="H75" i="18"/>
  <c r="H100" i="18"/>
  <c r="H83" i="18"/>
  <c r="AC3077" i="1"/>
  <c r="V3017" i="1"/>
  <c r="H136" i="18"/>
  <c r="H158" i="18"/>
  <c r="H178" i="18"/>
  <c r="W3047" i="1"/>
  <c r="W3031" i="1"/>
  <c r="U3052" i="1"/>
  <c r="X3047" i="1"/>
  <c r="V3043" i="1"/>
  <c r="AB3076" i="1"/>
  <c r="Z3053" i="1"/>
  <c r="Y3038" i="1"/>
  <c r="W3052" i="1"/>
  <c r="AA3035" i="1"/>
  <c r="Z3043" i="1"/>
  <c r="AB3050" i="1"/>
  <c r="AC3047" i="1"/>
  <c r="AC3073" i="1"/>
  <c r="Z3027" i="1"/>
  <c r="Z3036" i="1"/>
  <c r="Z3076" i="1"/>
  <c r="V3053" i="1"/>
  <c r="AB3114" i="1"/>
  <c r="AC3104" i="1"/>
  <c r="AB3100" i="1"/>
  <c r="U3167" i="1"/>
  <c r="X3159" i="1"/>
  <c r="W3150" i="1"/>
  <c r="AC3103" i="1"/>
  <c r="V3157" i="1"/>
  <c r="X3165" i="1"/>
  <c r="W3144" i="1"/>
  <c r="Z3156" i="1"/>
  <c r="Y3166" i="1"/>
  <c r="AA3158" i="1"/>
  <c r="AA3149" i="1"/>
  <c r="AA3152" i="1"/>
  <c r="AA3151" i="1"/>
  <c r="AA3154" i="1"/>
  <c r="H61" i="18"/>
  <c r="H97" i="18"/>
  <c r="H58" i="18"/>
  <c r="H99" i="18"/>
  <c r="AA3040" i="1"/>
  <c r="Z3040" i="1"/>
  <c r="AB3017" i="1"/>
  <c r="H144" i="18"/>
  <c r="H167" i="18"/>
  <c r="H186" i="18"/>
  <c r="V2978" i="1"/>
  <c r="U2978" i="1"/>
  <c r="X2982" i="1"/>
  <c r="AB2925" i="1"/>
  <c r="W2943" i="1"/>
  <c r="AC2950" i="1"/>
  <c r="AB2935" i="1"/>
  <c r="AC3051" i="1"/>
  <c r="AA3051" i="1"/>
  <c r="W3034" i="1"/>
  <c r="Y3072" i="1"/>
  <c r="AC3039" i="1"/>
  <c r="U3027" i="1"/>
  <c r="V3035" i="1"/>
  <c r="W3054" i="1"/>
  <c r="AA3041" i="1"/>
  <c r="AB3041" i="1"/>
  <c r="U3037" i="1"/>
  <c r="AC3028" i="1"/>
  <c r="U3078" i="1"/>
  <c r="AA3032" i="1"/>
  <c r="V3031" i="1"/>
  <c r="V3046" i="1"/>
  <c r="AC3105" i="1"/>
  <c r="U3155" i="1"/>
  <c r="X3147" i="1"/>
  <c r="V3162" i="1"/>
  <c r="V3145" i="1"/>
  <c r="X3153" i="1"/>
  <c r="V3160" i="1"/>
  <c r="X3168" i="1"/>
  <c r="AB3158" i="1"/>
  <c r="AB3168" i="1"/>
  <c r="AA3165" i="1"/>
  <c r="AC3162" i="1"/>
  <c r="AB3152" i="1"/>
  <c r="AC3164" i="1"/>
  <c r="AB3164" i="1"/>
  <c r="AB3154" i="1"/>
  <c r="Z2975" i="1"/>
  <c r="H64" i="18"/>
  <c r="H73" i="18"/>
  <c r="H101" i="18"/>
  <c r="V3045" i="1"/>
  <c r="AA3017" i="1"/>
  <c r="H128" i="18"/>
  <c r="H154" i="18"/>
  <c r="H174" i="18"/>
  <c r="AC3053" i="1"/>
  <c r="Y3075" i="1"/>
  <c r="X3054" i="1"/>
  <c r="Z3032" i="1"/>
  <c r="AB3029" i="1"/>
  <c r="X3053" i="1"/>
  <c r="AC3046" i="1"/>
  <c r="AA3046" i="1"/>
  <c r="W3073" i="1"/>
  <c r="AA3027" i="1"/>
  <c r="W3050" i="1"/>
  <c r="AC3031" i="1"/>
  <c r="V3032" i="1"/>
  <c r="V3041" i="1"/>
  <c r="U3151" i="1"/>
  <c r="W3167" i="1"/>
  <c r="V3158" i="1"/>
  <c r="AB3112" i="1"/>
  <c r="U3169" i="1"/>
  <c r="X3149" i="1"/>
  <c r="V3156" i="1"/>
  <c r="X3164" i="1"/>
  <c r="AC3156" i="1"/>
  <c r="AC3163" i="1"/>
  <c r="Z3160" i="1"/>
  <c r="AC3157" i="1"/>
  <c r="AB3148" i="1"/>
  <c r="AC3151" i="1"/>
  <c r="AB3151" i="1"/>
  <c r="AC3154" i="1"/>
  <c r="AB3150" i="1"/>
  <c r="AC3153" i="1"/>
  <c r="AB3153" i="1"/>
  <c r="AC3170" i="1"/>
  <c r="X3170" i="1"/>
  <c r="H50" i="18"/>
  <c r="H90" i="18"/>
  <c r="H49" i="18"/>
  <c r="H89" i="18"/>
  <c r="W3077" i="1"/>
  <c r="Y3017" i="1"/>
  <c r="H119" i="18"/>
  <c r="H139" i="18"/>
  <c r="H161" i="18"/>
  <c r="H182" i="18"/>
  <c r="AA3078" i="1"/>
  <c r="X3048" i="1"/>
  <c r="U3039" i="1"/>
  <c r="U3028" i="1"/>
  <c r="V3028" i="1"/>
  <c r="AB3075" i="1"/>
  <c r="AC3048" i="1"/>
  <c r="W3039" i="1"/>
  <c r="Z3054" i="1"/>
  <c r="AC3035" i="1"/>
  <c r="X3031" i="1"/>
  <c r="AA3054" i="1"/>
  <c r="Z3075" i="1"/>
  <c r="V3038" i="1"/>
  <c r="AC3108" i="1"/>
  <c r="U3147" i="1"/>
  <c r="W3163" i="1"/>
  <c r="V3154" i="1"/>
  <c r="AB3104" i="1"/>
  <c r="U3165" i="1"/>
  <c r="X3145" i="1"/>
  <c r="V3152" i="1"/>
  <c r="X3160" i="1"/>
  <c r="AA3162" i="1"/>
  <c r="AB3159" i="1"/>
  <c r="AB3156" i="1"/>
  <c r="Z3161" i="1"/>
  <c r="Y3165" i="1"/>
  <c r="Z3166" i="1"/>
  <c r="AB3144" i="1"/>
  <c r="AC3147" i="1"/>
  <c r="AB3147" i="1"/>
  <c r="AC3150" i="1"/>
  <c r="AB3146" i="1"/>
  <c r="AC3149" i="1"/>
  <c r="AB3149" i="1"/>
  <c r="AC3152" i="1"/>
  <c r="AB2975" i="1"/>
  <c r="H59" i="18"/>
  <c r="H95" i="18"/>
  <c r="H79" i="18"/>
  <c r="U3077" i="1"/>
  <c r="X3040" i="1"/>
  <c r="Z3007" i="1"/>
  <c r="H118" i="18"/>
  <c r="H138" i="18"/>
  <c r="H160" i="18"/>
  <c r="H180" i="18"/>
  <c r="AA3052" i="1"/>
  <c r="AC3054" i="1"/>
  <c r="AB3051" i="1"/>
  <c r="AB3031" i="1"/>
  <c r="AB3027" i="1"/>
  <c r="Z3052" i="1"/>
  <c r="X3075" i="1"/>
  <c r="U3046" i="1"/>
  <c r="X3051" i="1"/>
  <c r="W3074" i="1"/>
  <c r="AB3035" i="1"/>
  <c r="U3031" i="1"/>
  <c r="X3029" i="1"/>
  <c r="V3075" i="1"/>
  <c r="V3036" i="1"/>
  <c r="AC3102" i="1"/>
  <c r="AC3099" i="1"/>
  <c r="W3159" i="1"/>
  <c r="V3150" i="1"/>
  <c r="X3166" i="1"/>
  <c r="U3161" i="1"/>
  <c r="W3169" i="1"/>
  <c r="V3148" i="1"/>
  <c r="X3156" i="1"/>
  <c r="Z3155" i="1"/>
  <c r="AC3168" i="1"/>
  <c r="AC3146" i="1"/>
  <c r="AC3145" i="1"/>
  <c r="AB3145" i="1"/>
  <c r="AC3148" i="1"/>
  <c r="Z3170" i="1"/>
  <c r="AB2939" i="1"/>
  <c r="H67" i="18"/>
  <c r="H43" i="18"/>
  <c r="H76" i="18"/>
  <c r="X3045" i="1"/>
  <c r="Y3077" i="1"/>
  <c r="AB3077" i="1"/>
  <c r="Y3045" i="1"/>
  <c r="H121" i="18"/>
  <c r="H142" i="18"/>
  <c r="H165" i="18"/>
  <c r="H184" i="18"/>
  <c r="U2938" i="1"/>
  <c r="W3030" i="1"/>
  <c r="AC3030" i="1"/>
  <c r="H152" i="18"/>
  <c r="W3033" i="1"/>
  <c r="AB2951" i="1"/>
  <c r="V2951" i="1"/>
  <c r="AD3061" i="1"/>
  <c r="AD2928" i="1"/>
  <c r="AE3022" i="1"/>
  <c r="AD3144" i="1"/>
  <c r="AD2968" i="1"/>
  <c r="AE3063" i="1"/>
  <c r="AE2946" i="1"/>
  <c r="AD3037" i="1"/>
  <c r="AE3166" i="1"/>
  <c r="AE3005" i="1"/>
  <c r="AD3097" i="1"/>
  <c r="AD2949" i="1"/>
  <c r="AE3045" i="1"/>
  <c r="AD3165" i="1"/>
  <c r="AD3008" i="1"/>
  <c r="AE2951" i="1"/>
  <c r="AD3048" i="1"/>
  <c r="AE3167" i="1"/>
  <c r="AE3010" i="1"/>
  <c r="AD3106" i="1"/>
  <c r="AD2955" i="1"/>
  <c r="AE3051" i="1"/>
  <c r="AF3158" i="1"/>
  <c r="AF2978" i="1"/>
  <c r="AG3073" i="1"/>
  <c r="AG3005" i="1"/>
  <c r="AF3035" i="1"/>
  <c r="AG3156" i="1"/>
  <c r="AG3015" i="1"/>
  <c r="AF3107" i="1"/>
  <c r="AF3024" i="1"/>
  <c r="AG3149" i="1"/>
  <c r="AG2922" i="1"/>
  <c r="AF3018" i="1"/>
  <c r="AG3109" i="1"/>
  <c r="AG2963" i="1"/>
  <c r="AF3148" i="1"/>
  <c r="AF2925" i="1"/>
  <c r="AG3020" i="1"/>
  <c r="AF3146" i="1"/>
  <c r="AF2966" i="1"/>
  <c r="AG3061" i="1"/>
  <c r="AG2978" i="1"/>
  <c r="AF3023" i="1"/>
  <c r="AG3144" i="1"/>
  <c r="AB2941" i="1"/>
  <c r="X2941" i="1"/>
  <c r="Y2979" i="1"/>
  <c r="H98" i="18"/>
  <c r="AE2968" i="1"/>
  <c r="AD3060" i="1"/>
  <c r="AD2931" i="1"/>
  <c r="AE3025" i="1"/>
  <c r="AD3147" i="1"/>
  <c r="AD3006" i="1"/>
  <c r="AE3097" i="1"/>
  <c r="AD3046" i="1"/>
  <c r="AE3169" i="1"/>
  <c r="AE3008" i="1"/>
  <c r="AD3104" i="1"/>
  <c r="AD2952" i="1"/>
  <c r="AE3048" i="1"/>
  <c r="AD3168" i="1"/>
  <c r="AD3011" i="1"/>
  <c r="AE2955" i="1"/>
  <c r="AD3047" i="1"/>
  <c r="AD2910" i="1"/>
  <c r="AE3013" i="1"/>
  <c r="AD3105" i="1"/>
  <c r="AF2941" i="1"/>
  <c r="AG3035" i="1"/>
  <c r="AF3157" i="1"/>
  <c r="AF3046" i="1"/>
  <c r="AG3169" i="1"/>
  <c r="AG2943" i="1"/>
  <c r="AF3057" i="1"/>
  <c r="AF2923" i="1"/>
  <c r="AG3018" i="1"/>
  <c r="AG2936" i="1"/>
  <c r="AF2964" i="1"/>
  <c r="AG3059" i="1"/>
  <c r="AG2925" i="1"/>
  <c r="AF3017" i="1"/>
  <c r="AG3146" i="1"/>
  <c r="AG3029" i="1"/>
  <c r="AF3062" i="1"/>
  <c r="AF2929" i="1"/>
  <c r="AG3023" i="1"/>
  <c r="AF3145" i="1"/>
  <c r="AF3032" i="1"/>
  <c r="AG3157" i="1"/>
  <c r="AG2931" i="1"/>
  <c r="H193" i="18"/>
  <c r="AC2938" i="1"/>
  <c r="H62" i="18"/>
  <c r="Y3030" i="1"/>
  <c r="V3033" i="1"/>
  <c r="U2951" i="1"/>
  <c r="AD2941" i="1"/>
  <c r="AE3035" i="1"/>
  <c r="AD3157" i="1"/>
  <c r="AD2981" i="1"/>
  <c r="AE3076" i="1"/>
  <c r="AE2943" i="1"/>
  <c r="AD3057" i="1"/>
  <c r="AD2923" i="1"/>
  <c r="AE3018" i="1"/>
  <c r="AD3114" i="1"/>
  <c r="AD2964" i="1"/>
  <c r="AE3059" i="1"/>
  <c r="AE2925" i="1"/>
  <c r="AD3017" i="1"/>
  <c r="AE3146" i="1"/>
  <c r="AE2970" i="1"/>
  <c r="AD3062" i="1"/>
  <c r="AD2929" i="1"/>
  <c r="AE3023" i="1"/>
  <c r="AD3145" i="1"/>
  <c r="AD2969" i="1"/>
  <c r="AE3064" i="1"/>
  <c r="AE2931" i="1"/>
  <c r="AF3010" i="1"/>
  <c r="AG3101" i="1"/>
  <c r="AG2953" i="1"/>
  <c r="AF3114" i="1"/>
  <c r="AF2909" i="1"/>
  <c r="AG2926" i="1"/>
  <c r="AF3038" i="1"/>
  <c r="AG3159" i="1"/>
  <c r="AG3002" i="1"/>
  <c r="AF3168" i="1"/>
  <c r="AF2946" i="1"/>
  <c r="AG3040" i="1"/>
  <c r="AF3166" i="1"/>
  <c r="AF3001" i="1"/>
  <c r="AG3100" i="1"/>
  <c r="AG3013" i="1"/>
  <c r="AF3045" i="1"/>
  <c r="AG3164" i="1"/>
  <c r="AG3007" i="1"/>
  <c r="AF3099" i="1"/>
  <c r="AF3012" i="1"/>
  <c r="AG3111" i="1"/>
  <c r="AF3167" i="1"/>
  <c r="H202" i="18"/>
  <c r="U3033" i="1"/>
  <c r="AE2934" i="1"/>
  <c r="AD3025" i="1"/>
  <c r="AE3154" i="1"/>
  <c r="AE2978" i="1"/>
  <c r="AD3070" i="1"/>
  <c r="AD2953" i="1"/>
  <c r="AE3050" i="1"/>
  <c r="AD3169" i="1"/>
  <c r="AD3012" i="1"/>
  <c r="AE3107" i="1"/>
  <c r="AE2956" i="1"/>
  <c r="AD3053" i="1"/>
  <c r="AD2911" i="1"/>
  <c r="AE3014" i="1"/>
  <c r="AD3110" i="1"/>
  <c r="AD2960" i="1"/>
  <c r="AE3055" i="1"/>
  <c r="AE2921" i="1"/>
  <c r="AD3013" i="1"/>
  <c r="AE2966" i="1"/>
  <c r="AD3058" i="1"/>
  <c r="AF2975" i="1"/>
  <c r="AG3070" i="1"/>
  <c r="AG2937" i="1"/>
  <c r="AF3098" i="1"/>
  <c r="AF2973" i="1"/>
  <c r="AG2977" i="1"/>
  <c r="AF3108" i="1"/>
  <c r="AF2958" i="1"/>
  <c r="AG3053" i="1"/>
  <c r="AG2970" i="1"/>
  <c r="AF3015" i="1"/>
  <c r="AG3110" i="1"/>
  <c r="AG2960" i="1"/>
  <c r="AF3052" i="1"/>
  <c r="AF2935" i="1"/>
  <c r="AG3064" i="1"/>
  <c r="AF3109" i="1"/>
  <c r="AF2963" i="1"/>
  <c r="AG3058" i="1"/>
  <c r="AG2924" i="1"/>
  <c r="AF3067" i="1"/>
  <c r="AF2947" i="1"/>
  <c r="AG2965" i="1"/>
  <c r="H173" i="18"/>
  <c r="W3028" i="1"/>
  <c r="AB3032" i="1"/>
  <c r="W3032" i="1"/>
  <c r="V3027" i="1"/>
  <c r="Z3050" i="1"/>
  <c r="W3051" i="1"/>
  <c r="AA3034" i="1"/>
  <c r="W3037" i="1"/>
  <c r="Z3073" i="1"/>
  <c r="X3105" i="1"/>
  <c r="AB3107" i="1"/>
  <c r="W3147" i="1"/>
  <c r="U3162" i="1"/>
  <c r="X3154" i="1"/>
  <c r="U3149" i="1"/>
  <c r="W3157" i="1"/>
  <c r="U3164" i="1"/>
  <c r="X3144" i="1"/>
  <c r="Z3157" i="1"/>
  <c r="AC3161" i="1"/>
  <c r="Y3155" i="1"/>
  <c r="AA3160" i="1"/>
  <c r="Y3147" i="1"/>
  <c r="Y3150" i="1"/>
  <c r="Y3149" i="1"/>
  <c r="Y3152" i="1"/>
  <c r="V2975" i="1"/>
  <c r="H47" i="18"/>
  <c r="H88" i="18"/>
  <c r="H68" i="18"/>
  <c r="AC3045" i="1"/>
  <c r="AA3045" i="1"/>
  <c r="H132" i="18"/>
  <c r="H156" i="18"/>
  <c r="H176" i="18"/>
  <c r="Y3034" i="1"/>
  <c r="Y3047" i="1"/>
  <c r="Y3078" i="1"/>
  <c r="U3054" i="1"/>
  <c r="Z3048" i="1"/>
  <c r="AB3074" i="1"/>
  <c r="Y3053" i="1"/>
  <c r="AC3036" i="1"/>
  <c r="W3076" i="1"/>
  <c r="AA3029" i="1"/>
  <c r="AB3039" i="1"/>
  <c r="AB3072" i="1"/>
  <c r="Z3074" i="1"/>
  <c r="X3101" i="1"/>
  <c r="AB3113" i="1"/>
  <c r="AB3099" i="1"/>
  <c r="V3167" i="1"/>
  <c r="U3158" i="1"/>
  <c r="X3150" i="1"/>
  <c r="U3145" i="1"/>
  <c r="W3153" i="1"/>
  <c r="U3160" i="1"/>
  <c r="W3168" i="1"/>
  <c r="AA3161" i="1"/>
  <c r="AB3167" i="1"/>
  <c r="Z3159" i="1"/>
  <c r="AA3155" i="1"/>
  <c r="Y3163" i="1"/>
  <c r="AC3169" i="1"/>
  <c r="Z3169" i="1"/>
  <c r="Y3146" i="1"/>
  <c r="Y3145" i="1"/>
  <c r="Y3148" i="1"/>
  <c r="U3170" i="1"/>
  <c r="X2975" i="1"/>
  <c r="AA2939" i="1"/>
  <c r="H44" i="18"/>
  <c r="H94" i="18"/>
  <c r="H63" i="18"/>
  <c r="AB3007" i="1"/>
  <c r="W3007" i="1"/>
  <c r="AB3045" i="1"/>
  <c r="W3017" i="1"/>
  <c r="H137" i="18"/>
  <c r="H159" i="18"/>
  <c r="H179" i="18"/>
  <c r="H201" i="18"/>
  <c r="AA2941" i="1"/>
  <c r="Z2938" i="1"/>
  <c r="H60" i="18"/>
  <c r="AC3033" i="1"/>
  <c r="AD2975" i="1"/>
  <c r="AE3070" i="1"/>
  <c r="AE2937" i="1"/>
  <c r="AD3032" i="1"/>
  <c r="AE3157" i="1"/>
  <c r="AE2977" i="1"/>
  <c r="AD3108" i="1"/>
  <c r="AD2958" i="1"/>
  <c r="AE3053" i="1"/>
  <c r="AE2923" i="1"/>
  <c r="AD3015" i="1"/>
  <c r="AE2960" i="1"/>
  <c r="AD3052" i="1"/>
  <c r="AD2922" i="1"/>
  <c r="AE3017" i="1"/>
  <c r="AD3109" i="1"/>
  <c r="AD2963" i="1"/>
  <c r="AE3058" i="1"/>
  <c r="AE2924" i="1"/>
  <c r="AD3020" i="1"/>
  <c r="AE3145" i="1"/>
  <c r="AF3043" i="1"/>
  <c r="AG3163" i="1"/>
  <c r="AG3006" i="1"/>
  <c r="AG2923" i="1"/>
  <c r="AF2950" i="1"/>
  <c r="AG3046" i="1"/>
  <c r="AG2930" i="1"/>
  <c r="AF3021" i="1"/>
  <c r="AG3150" i="1"/>
  <c r="AG3033" i="1"/>
  <c r="AF3066" i="1"/>
  <c r="AF2933" i="1"/>
  <c r="AG3027" i="1"/>
  <c r="AF3149" i="1"/>
  <c r="AF3036" i="1"/>
  <c r="AG3161" i="1"/>
  <c r="AG2935" i="1"/>
  <c r="AF3030" i="1"/>
  <c r="AG3151" i="1"/>
  <c r="AG2975" i="1"/>
  <c r="AF3160" i="1"/>
  <c r="AF2938" i="1"/>
  <c r="AG3032" i="1"/>
  <c r="H200" i="18"/>
  <c r="AA3030" i="1"/>
  <c r="AD3158" i="1"/>
  <c r="AD2978" i="1"/>
  <c r="AE3073" i="1"/>
  <c r="AD3035" i="1"/>
  <c r="AE3156" i="1"/>
  <c r="AE3015" i="1"/>
  <c r="AD3107" i="1"/>
  <c r="AD2961" i="1"/>
  <c r="AE3056" i="1"/>
  <c r="AE2922" i="1"/>
  <c r="AD3018" i="1"/>
  <c r="AD3059" i="1"/>
  <c r="AD2925" i="1"/>
  <c r="AE3020" i="1"/>
  <c r="AD3146" i="1"/>
  <c r="AD2966" i="1"/>
  <c r="AE3061" i="1"/>
  <c r="AE2932" i="1"/>
  <c r="AD3023" i="1"/>
  <c r="AE3144" i="1"/>
  <c r="AG2950" i="1"/>
  <c r="AF3041" i="1"/>
  <c r="AG3170" i="1"/>
  <c r="AG3056" i="1"/>
  <c r="AF3101" i="1"/>
  <c r="AF2971" i="1"/>
  <c r="AG3066" i="1"/>
  <c r="AG2933" i="1"/>
  <c r="AF3075" i="1"/>
  <c r="AF2965" i="1"/>
  <c r="AG2973" i="1"/>
  <c r="AF3069" i="1"/>
  <c r="AF2936" i="1"/>
  <c r="AG3030" i="1"/>
  <c r="AG2948" i="1"/>
  <c r="AF2976" i="1"/>
  <c r="AG3071" i="1"/>
  <c r="AG2938" i="1"/>
  <c r="AF3029" i="1"/>
  <c r="AG3158" i="1"/>
  <c r="AG3041" i="1"/>
  <c r="AF3074" i="1"/>
  <c r="H188" i="18"/>
  <c r="Y2941" i="1"/>
  <c r="V2938" i="1"/>
  <c r="AC2951" i="1"/>
  <c r="X2979" i="1"/>
  <c r="AC2979" i="1"/>
  <c r="AD3041" i="1"/>
  <c r="AE3170" i="1"/>
  <c r="AE3009" i="1"/>
  <c r="AD3101" i="1"/>
  <c r="AD2971" i="1"/>
  <c r="AE3066" i="1"/>
  <c r="AE2933" i="1"/>
  <c r="AD3028" i="1"/>
  <c r="AE3153" i="1"/>
  <c r="AE2973" i="1"/>
  <c r="AD3069" i="1"/>
  <c r="AD2936" i="1"/>
  <c r="AE3030" i="1"/>
  <c r="AD3152" i="1"/>
  <c r="AD2976" i="1"/>
  <c r="AE3071" i="1"/>
  <c r="AE2938" i="1"/>
  <c r="AD3029" i="1"/>
  <c r="AE3158" i="1"/>
  <c r="AE2982" i="1"/>
  <c r="AD3074" i="1"/>
  <c r="AF2924" i="1"/>
  <c r="AG3019" i="1"/>
  <c r="AF3111" i="1"/>
  <c r="AF3028" i="1"/>
  <c r="AG3153" i="1"/>
  <c r="AF3070" i="1"/>
  <c r="AF2953" i="1"/>
  <c r="AG3050" i="1"/>
  <c r="AF3169" i="1"/>
  <c r="AF3059" i="1"/>
  <c r="AF2931" i="1"/>
  <c r="AG2956" i="1"/>
  <c r="AF3053" i="1"/>
  <c r="AF2911" i="1"/>
  <c r="AG3014" i="1"/>
  <c r="AG2932" i="1"/>
  <c r="AF2960" i="1"/>
  <c r="AG3055" i="1"/>
  <c r="AG2921" i="1"/>
  <c r="AF3013" i="1"/>
  <c r="AG3112" i="1"/>
  <c r="AG3025" i="1"/>
  <c r="AF3058" i="1"/>
  <c r="H198" i="18"/>
  <c r="W2941" i="1"/>
  <c r="AB3030" i="1"/>
  <c r="H153" i="18"/>
  <c r="AD3077" i="1"/>
  <c r="AD2944" i="1"/>
  <c r="AE3038" i="1"/>
  <c r="AD3160" i="1"/>
  <c r="AD3003" i="1"/>
  <c r="AE2964" i="1"/>
  <c r="AD3056" i="1"/>
  <c r="AD2926" i="1"/>
  <c r="AE3021" i="1"/>
  <c r="AD3113" i="1"/>
  <c r="AD2967" i="1"/>
  <c r="AE3062" i="1"/>
  <c r="AE2929" i="1"/>
  <c r="AD3024" i="1"/>
  <c r="AE3149" i="1"/>
  <c r="AD3065" i="1"/>
  <c r="AD2932" i="1"/>
  <c r="AE3026" i="1"/>
  <c r="AD3148" i="1"/>
  <c r="AD2972" i="1"/>
  <c r="AE3067" i="1"/>
  <c r="AG3003" i="1"/>
  <c r="AF3076" i="1"/>
  <c r="AF3008" i="1"/>
  <c r="AG3107" i="1"/>
  <c r="AF3163" i="1"/>
  <c r="AF3022" i="1"/>
  <c r="AG3113" i="1"/>
  <c r="AG2967" i="1"/>
  <c r="AF3152" i="1"/>
  <c r="AF2930" i="1"/>
  <c r="AG3024" i="1"/>
  <c r="AF3150" i="1"/>
  <c r="AF2970" i="1"/>
  <c r="AG3065" i="1"/>
  <c r="AG2982" i="1"/>
  <c r="AF3027" i="1"/>
  <c r="AG3148" i="1"/>
  <c r="AG2972" i="1"/>
  <c r="AF3064" i="1"/>
  <c r="AF2961" i="1"/>
  <c r="AG3076" i="1"/>
  <c r="AF3151" i="1"/>
  <c r="AC3027" i="1"/>
  <c r="AA3050" i="1"/>
  <c r="X3037" i="1"/>
  <c r="V3052" i="1"/>
  <c r="W3036" i="1"/>
  <c r="Z3035" i="1"/>
  <c r="U3074" i="1"/>
  <c r="Y3054" i="1"/>
  <c r="Z3046" i="1"/>
  <c r="X3104" i="1"/>
  <c r="AC3097" i="1"/>
  <c r="V3155" i="1"/>
  <c r="U3146" i="1"/>
  <c r="W3162" i="1"/>
  <c r="AB3109" i="1"/>
  <c r="AC3106" i="1"/>
  <c r="V3169" i="1"/>
  <c r="U3148" i="1"/>
  <c r="W3156" i="1"/>
  <c r="AA3156" i="1"/>
  <c r="Z3165" i="1"/>
  <c r="AA3166" i="1"/>
  <c r="AC3159" i="1"/>
  <c r="AB3163" i="1"/>
  <c r="AA3168" i="1"/>
  <c r="Z3146" i="1"/>
  <c r="Z3149" i="1"/>
  <c r="Z3148" i="1"/>
  <c r="Z3151" i="1"/>
  <c r="Z2939" i="1"/>
  <c r="AC2939" i="1"/>
  <c r="U2975" i="1"/>
  <c r="H80" i="18"/>
  <c r="H56" i="18"/>
  <c r="H96" i="18"/>
  <c r="U3040" i="1"/>
  <c r="U3017" i="1"/>
  <c r="H126" i="18"/>
  <c r="H148" i="18"/>
  <c r="H172" i="18"/>
  <c r="H192" i="18"/>
  <c r="U3043" i="1"/>
  <c r="AA3076" i="1"/>
  <c r="U3032" i="1"/>
  <c r="AC3029" i="1"/>
  <c r="AC3052" i="1"/>
  <c r="Y3073" i="1"/>
  <c r="X3039" i="1"/>
  <c r="V3050" i="1"/>
  <c r="W3038" i="1"/>
  <c r="U3050" i="1"/>
  <c r="Z3037" i="1"/>
  <c r="AA3031" i="1"/>
  <c r="AB3047" i="1"/>
  <c r="Y3028" i="1"/>
  <c r="Z3029" i="1"/>
  <c r="Z3041" i="1"/>
  <c r="X3100" i="1"/>
  <c r="AC3114" i="1"/>
  <c r="V3151" i="1"/>
  <c r="X3167" i="1"/>
  <c r="W3158" i="1"/>
  <c r="AB3101" i="1"/>
  <c r="AC3113" i="1"/>
  <c r="AB3111" i="1"/>
  <c r="V3165" i="1"/>
  <c r="U3144" i="1"/>
  <c r="W3152" i="1"/>
  <c r="AB3157" i="1"/>
  <c r="AB3160" i="1"/>
  <c r="Y3169" i="1"/>
  <c r="AA3169" i="1"/>
  <c r="Y3158" i="1"/>
  <c r="AB3166" i="1"/>
  <c r="Y3168" i="1"/>
  <c r="Z3145" i="1"/>
  <c r="Z3144" i="1"/>
  <c r="Z3147" i="1"/>
  <c r="AA3170" i="1"/>
  <c r="V2939" i="1"/>
  <c r="H86" i="18"/>
  <c r="H53" i="18"/>
  <c r="H93" i="18"/>
  <c r="AC3007" i="1"/>
  <c r="U3007" i="1"/>
  <c r="X3007" i="1"/>
  <c r="X3017" i="1"/>
  <c r="H129" i="18"/>
  <c r="H155" i="18"/>
  <c r="H175" i="18"/>
  <c r="H197" i="18"/>
  <c r="AB2938" i="1"/>
  <c r="X2938" i="1"/>
  <c r="Z3030" i="1"/>
  <c r="H150" i="18"/>
  <c r="AA3033" i="1"/>
  <c r="AB2979" i="1"/>
  <c r="AE3003" i="1"/>
  <c r="AD3076" i="1"/>
  <c r="AD2947" i="1"/>
  <c r="AE3041" i="1"/>
  <c r="AD3163" i="1"/>
  <c r="AD3022" i="1"/>
  <c r="AE2967" i="1"/>
  <c r="AD3063" i="1"/>
  <c r="AD2930" i="1"/>
  <c r="AE3024" i="1"/>
  <c r="AD3150" i="1"/>
  <c r="AD2970" i="1"/>
  <c r="AE3065" i="1"/>
  <c r="AE2936" i="1"/>
  <c r="AD3027" i="1"/>
  <c r="AE3148" i="1"/>
  <c r="AE2972" i="1"/>
  <c r="AD3064" i="1"/>
  <c r="AD2935" i="1"/>
  <c r="AE3029" i="1"/>
  <c r="AD3151" i="1"/>
  <c r="AF2959" i="1"/>
  <c r="AG3054" i="1"/>
  <c r="AG2909" i="1"/>
  <c r="AF3063" i="1"/>
  <c r="AF2939" i="1"/>
  <c r="AG2961" i="1"/>
  <c r="AF3073" i="1"/>
  <c r="AF2940" i="1"/>
  <c r="AG3034" i="1"/>
  <c r="AG2952" i="1"/>
  <c r="AF2980" i="1"/>
  <c r="AG3075" i="1"/>
  <c r="AG2942" i="1"/>
  <c r="AF3033" i="1"/>
  <c r="AG3162" i="1"/>
  <c r="AG3047" i="1"/>
  <c r="AF3078" i="1"/>
  <c r="AF2945" i="1"/>
  <c r="AG3039" i="1"/>
  <c r="AF3161" i="1"/>
  <c r="AF3051" i="1"/>
  <c r="AF2910" i="1"/>
  <c r="AG2947" i="1"/>
  <c r="H196" i="18"/>
  <c r="U2941" i="1"/>
  <c r="Y2938" i="1"/>
  <c r="AD3043" i="1"/>
  <c r="AE3163" i="1"/>
  <c r="AE3006" i="1"/>
  <c r="AD3102" i="1"/>
  <c r="AD2950" i="1"/>
  <c r="AE3046" i="1"/>
  <c r="AD3021" i="1"/>
  <c r="AE3150" i="1"/>
  <c r="AE2974" i="1"/>
  <c r="AD3066" i="1"/>
  <c r="AD2933" i="1"/>
  <c r="AE3027" i="1"/>
  <c r="AD3149" i="1"/>
  <c r="AD2973" i="1"/>
  <c r="AE3068" i="1"/>
  <c r="AD3030" i="1"/>
  <c r="AE3151" i="1"/>
  <c r="AE2975" i="1"/>
  <c r="AD3071" i="1"/>
  <c r="AD2938" i="1"/>
  <c r="AE3032" i="1"/>
  <c r="AF3112" i="1"/>
  <c r="AF2962" i="1"/>
  <c r="AG3057" i="1"/>
  <c r="AG2974" i="1"/>
  <c r="AF3019" i="1"/>
  <c r="AG3114" i="1"/>
  <c r="AG2980" i="1"/>
  <c r="AF3072" i="1"/>
  <c r="AF2977" i="1"/>
  <c r="AG3103" i="1"/>
  <c r="AF3159" i="1"/>
  <c r="AF3002" i="1"/>
  <c r="AG3078" i="1"/>
  <c r="AG2945" i="1"/>
  <c r="AF3106" i="1"/>
  <c r="AF3004" i="1"/>
  <c r="AG3004" i="1"/>
  <c r="AF3100" i="1"/>
  <c r="AF2948" i="1"/>
  <c r="AG3043" i="1"/>
  <c r="AG2962" i="1"/>
  <c r="AF3007" i="1"/>
  <c r="AG3102" i="1"/>
  <c r="V3030" i="1"/>
  <c r="H151" i="18"/>
  <c r="Z2979" i="1"/>
  <c r="AD3112" i="1"/>
  <c r="AD2962" i="1"/>
  <c r="AE3057" i="1"/>
  <c r="AE2928" i="1"/>
  <c r="AD3019" i="1"/>
  <c r="AE3114" i="1"/>
  <c r="AE2980" i="1"/>
  <c r="AD3072" i="1"/>
  <c r="AD2943" i="1"/>
  <c r="AE3037" i="1"/>
  <c r="AD3159" i="1"/>
  <c r="AD3002" i="1"/>
  <c r="AE3078" i="1"/>
  <c r="AE2945" i="1"/>
  <c r="AD3040" i="1"/>
  <c r="AE3165" i="1"/>
  <c r="AE3004" i="1"/>
  <c r="AD3100" i="1"/>
  <c r="AD2948" i="1"/>
  <c r="AE3043" i="1"/>
  <c r="AD3164" i="1"/>
  <c r="AD3007" i="1"/>
  <c r="AG2934" i="1"/>
  <c r="AF3025" i="1"/>
  <c r="AG3154" i="1"/>
  <c r="AG3037" i="1"/>
  <c r="AF3003" i="1"/>
  <c r="AG3098" i="1"/>
  <c r="AG2964" i="1"/>
  <c r="AF3056" i="1"/>
  <c r="AF2943" i="1"/>
  <c r="AG3068" i="1"/>
  <c r="AF3113" i="1"/>
  <c r="AF2967" i="1"/>
  <c r="AG3062" i="1"/>
  <c r="AG2929" i="1"/>
  <c r="AF3071" i="1"/>
  <c r="AF2956" i="1"/>
  <c r="AG2969" i="1"/>
  <c r="AF3065" i="1"/>
  <c r="AF2932" i="1"/>
  <c r="AG3026" i="1"/>
  <c r="AG2944" i="1"/>
  <c r="AF2972" i="1"/>
  <c r="AG3067" i="1"/>
  <c r="AC2941" i="1"/>
  <c r="X2951" i="1"/>
  <c r="V2979" i="1"/>
  <c r="AD3010" i="1"/>
  <c r="AE3101" i="1"/>
  <c r="AE2953" i="1"/>
  <c r="AD3051" i="1"/>
  <c r="AD2909" i="1"/>
  <c r="AE3012" i="1"/>
  <c r="AD3154" i="1"/>
  <c r="AD2974" i="1"/>
  <c r="AE3069" i="1"/>
  <c r="AE2940" i="1"/>
  <c r="AD3031" i="1"/>
  <c r="AE3152" i="1"/>
  <c r="AD3068" i="1"/>
  <c r="AD2939" i="1"/>
  <c r="AE3033" i="1"/>
  <c r="AD3155" i="1"/>
  <c r="AD2979" i="1"/>
  <c r="AE3074" i="1"/>
  <c r="AE2941" i="1"/>
  <c r="AD3036" i="1"/>
  <c r="AE2981" i="1"/>
  <c r="AG2910" i="1"/>
  <c r="AF3009" i="1"/>
  <c r="AG3108" i="1"/>
  <c r="AG3021" i="1"/>
  <c r="AF3054" i="1"/>
  <c r="AF2937" i="1"/>
  <c r="AG3031" i="1"/>
  <c r="AF3153" i="1"/>
  <c r="AF3040" i="1"/>
  <c r="AG3165" i="1"/>
  <c r="AG2939" i="1"/>
  <c r="AF3034" i="1"/>
  <c r="AG3155" i="1"/>
  <c r="AG2979" i="1"/>
  <c r="AF3164" i="1"/>
  <c r="AF2942" i="1"/>
  <c r="AG3036" i="1"/>
  <c r="AF3162" i="1"/>
  <c r="AF2982" i="1"/>
  <c r="AG3077" i="1"/>
  <c r="AG3009" i="1"/>
  <c r="AF3039" i="1"/>
  <c r="AG3160" i="1"/>
  <c r="X3036" i="1"/>
  <c r="Y3074" i="1"/>
  <c r="X3050" i="1"/>
  <c r="V3039" i="1"/>
  <c r="V3072" i="1"/>
  <c r="X3076" i="1"/>
  <c r="Y3041" i="1"/>
  <c r="AC3037" i="1"/>
  <c r="U3072" i="1"/>
  <c r="U3034" i="1"/>
  <c r="U3076" i="1"/>
  <c r="Y3029" i="1"/>
  <c r="Z3034" i="1"/>
  <c r="V3076" i="1"/>
  <c r="V3051" i="1"/>
  <c r="AB3106" i="1"/>
  <c r="AC3111" i="1"/>
  <c r="AC3098" i="1"/>
  <c r="U3163" i="1"/>
  <c r="X3155" i="1"/>
  <c r="W3146" i="1"/>
  <c r="AC3107" i="1"/>
  <c r="AB3110" i="1"/>
  <c r="V3153" i="1"/>
  <c r="X3161" i="1"/>
  <c r="V3168" i="1"/>
  <c r="AC3155" i="1"/>
  <c r="Z3163" i="1"/>
  <c r="AC3165" i="1"/>
  <c r="AB3169" i="1"/>
  <c r="AA3157" i="1"/>
  <c r="AC3167" i="1"/>
  <c r="AA3167" i="1"/>
  <c r="AA3145" i="1"/>
  <c r="AA3148" i="1"/>
  <c r="AA3147" i="1"/>
  <c r="AA3150" i="1"/>
  <c r="Y3170" i="1"/>
  <c r="Y2939" i="1"/>
  <c r="AA2975" i="1"/>
  <c r="H69" i="18"/>
  <c r="H46" i="18"/>
  <c r="H87" i="18"/>
  <c r="W3045" i="1"/>
  <c r="AB3040" i="1"/>
  <c r="V3007" i="1"/>
  <c r="Y3040" i="1"/>
  <c r="Z3017" i="1"/>
  <c r="H122" i="18"/>
  <c r="H143" i="18"/>
  <c r="H166" i="18"/>
  <c r="H185" i="18"/>
  <c r="AC3076" i="1"/>
  <c r="AB3038" i="1"/>
  <c r="AA3037" i="1"/>
  <c r="X3052" i="1"/>
  <c r="V3037" i="1"/>
  <c r="Z3031" i="1"/>
  <c r="X3038" i="1"/>
  <c r="AB3052" i="1"/>
  <c r="U3047" i="1"/>
  <c r="Z3072" i="1"/>
  <c r="V3048" i="1"/>
  <c r="AB3098" i="1"/>
  <c r="U3159" i="1"/>
  <c r="X3151" i="1"/>
  <c r="V3166" i="1"/>
  <c r="AC3101" i="1"/>
  <c r="AB3102" i="1"/>
  <c r="V3149" i="1"/>
  <c r="X3157" i="1"/>
  <c r="V3164" i="1"/>
  <c r="Y3159" i="1"/>
  <c r="Z3168" i="1"/>
  <c r="AB3161" i="1"/>
  <c r="AA3144" i="1"/>
  <c r="AA3146" i="1"/>
  <c r="AB3170" i="1"/>
  <c r="U2939" i="1"/>
  <c r="Y2975" i="1"/>
  <c r="H78" i="18"/>
  <c r="H85" i="18"/>
  <c r="AC3040" i="1"/>
  <c r="X3077" i="1"/>
  <c r="V3077" i="1"/>
  <c r="Y3007" i="1"/>
  <c r="H125" i="18"/>
  <c r="H147" i="18"/>
  <c r="H170" i="18"/>
  <c r="H190" i="18"/>
  <c r="Y3033" i="1"/>
  <c r="Z3033" i="1"/>
  <c r="H71" i="18"/>
  <c r="AA2979" i="1"/>
  <c r="AD3009" i="1"/>
  <c r="AE3108" i="1"/>
  <c r="AD3054" i="1"/>
  <c r="AD2937" i="1"/>
  <c r="AE3031" i="1"/>
  <c r="AD3153" i="1"/>
  <c r="AD2977" i="1"/>
  <c r="AE3072" i="1"/>
  <c r="AE2939" i="1"/>
  <c r="AD3034" i="1"/>
  <c r="AE2979" i="1"/>
  <c r="AD3075" i="1"/>
  <c r="AD2942" i="1"/>
  <c r="AE3036" i="1"/>
  <c r="AD3162" i="1"/>
  <c r="AD2982" i="1"/>
  <c r="AE3077" i="1"/>
  <c r="AE2948" i="1"/>
  <c r="AD3039" i="1"/>
  <c r="AE3160" i="1"/>
  <c r="AG2968" i="1"/>
  <c r="AF3060" i="1"/>
  <c r="AF2951" i="1"/>
  <c r="AG3072" i="1"/>
  <c r="AF3147" i="1"/>
  <c r="AF3006" i="1"/>
  <c r="AG3097" i="1"/>
  <c r="AG2949" i="1"/>
  <c r="AF3110" i="1"/>
  <c r="AF3016" i="1"/>
  <c r="AG3008" i="1"/>
  <c r="AF3104" i="1"/>
  <c r="AF2952" i="1"/>
  <c r="AG3048" i="1"/>
  <c r="AG2966" i="1"/>
  <c r="AF3011" i="1"/>
  <c r="AG3106" i="1"/>
  <c r="AG2955" i="1"/>
  <c r="AF3047" i="1"/>
  <c r="AF2926" i="1"/>
  <c r="AG3060" i="1"/>
  <c r="AF3105" i="1"/>
  <c r="H189" i="18"/>
  <c r="Z2941" i="1"/>
  <c r="U3030" i="1"/>
  <c r="X3033" i="1"/>
  <c r="Y2951" i="1"/>
  <c r="U2979" i="1"/>
  <c r="AD2959" i="1"/>
  <c r="AE3054" i="1"/>
  <c r="AD3016" i="1"/>
  <c r="AE3111" i="1"/>
  <c r="AE2961" i="1"/>
  <c r="AD3073" i="1"/>
  <c r="AD2940" i="1"/>
  <c r="AE3034" i="1"/>
  <c r="AD3156" i="1"/>
  <c r="AD2980" i="1"/>
  <c r="AE3075" i="1"/>
  <c r="AE2942" i="1"/>
  <c r="AD3033" i="1"/>
  <c r="AE3162" i="1"/>
  <c r="AE3001" i="1"/>
  <c r="AD3078" i="1"/>
  <c r="AD2945" i="1"/>
  <c r="AE3039" i="1"/>
  <c r="AD3161" i="1"/>
  <c r="AD3004" i="1"/>
  <c r="AE2947" i="1"/>
  <c r="AF3026" i="1"/>
  <c r="AG3147" i="1"/>
  <c r="AG2971" i="1"/>
  <c r="AF3156" i="1"/>
  <c r="AF2934" i="1"/>
  <c r="AG3028" i="1"/>
  <c r="AF3170" i="1"/>
  <c r="AF3005" i="1"/>
  <c r="AG3104" i="1"/>
  <c r="AG3017" i="1"/>
  <c r="AF3050" i="1"/>
  <c r="AG3168" i="1"/>
  <c r="AG3011" i="1"/>
  <c r="AF3103" i="1"/>
  <c r="AF3020" i="1"/>
  <c r="AG3145" i="1"/>
  <c r="AG2911" i="1"/>
  <c r="AF3014" i="1"/>
  <c r="AG3105" i="1"/>
  <c r="AG2959" i="1"/>
  <c r="AF3144" i="1"/>
  <c r="AF2921" i="1"/>
  <c r="AG3016" i="1"/>
  <c r="H199" i="18"/>
  <c r="W2938" i="1"/>
  <c r="X3030" i="1"/>
  <c r="AB3033" i="1"/>
  <c r="AA2951" i="1"/>
  <c r="W2979" i="1"/>
  <c r="AD3026" i="1"/>
  <c r="AE3147" i="1"/>
  <c r="AE2971" i="1"/>
  <c r="AD3067" i="1"/>
  <c r="AD2934" i="1"/>
  <c r="AE3028" i="1"/>
  <c r="AD3170" i="1"/>
  <c r="AD3005" i="1"/>
  <c r="AE2958" i="1"/>
  <c r="AD3050" i="1"/>
  <c r="AE3168" i="1"/>
  <c r="AE3011" i="1"/>
  <c r="AD3103" i="1"/>
  <c r="AD2956" i="1"/>
  <c r="AE3052" i="1"/>
  <c r="AD3014" i="1"/>
  <c r="AE3105" i="1"/>
  <c r="AD3055" i="1"/>
  <c r="AD2921" i="1"/>
  <c r="AE3016" i="1"/>
  <c r="AF3077" i="1"/>
  <c r="AF2944" i="1"/>
  <c r="AG3038" i="1"/>
  <c r="AG2958" i="1"/>
  <c r="AG3012" i="1"/>
  <c r="AF3154" i="1"/>
  <c r="AF2974" i="1"/>
  <c r="AG3069" i="1"/>
  <c r="AG3001" i="1"/>
  <c r="AF3031" i="1"/>
  <c r="AG3152" i="1"/>
  <c r="AG2976" i="1"/>
  <c r="AF3068" i="1"/>
  <c r="AF2969" i="1"/>
  <c r="AG3099" i="1"/>
  <c r="AF3155" i="1"/>
  <c r="AF2979" i="1"/>
  <c r="AG3074" i="1"/>
  <c r="AG2941" i="1"/>
  <c r="AF3102" i="1"/>
  <c r="AF2981" i="1"/>
  <c r="AG2981" i="1"/>
  <c r="V2941" i="1"/>
  <c r="AA2938" i="1"/>
  <c r="Z2951" i="1"/>
  <c r="W2951" i="1"/>
  <c r="AD2924" i="1"/>
  <c r="AE3019" i="1"/>
  <c r="AD3111" i="1"/>
  <c r="AD2965" i="1"/>
  <c r="AE3060" i="1"/>
  <c r="AD3038" i="1"/>
  <c r="AE3159" i="1"/>
  <c r="AE3002" i="1"/>
  <c r="AD3098" i="1"/>
  <c r="AD2946" i="1"/>
  <c r="AE3040" i="1"/>
  <c r="AD3166" i="1"/>
  <c r="AD3001" i="1"/>
  <c r="AE2952" i="1"/>
  <c r="AD3045" i="1"/>
  <c r="AE3164" i="1"/>
  <c r="AE3007" i="1"/>
  <c r="AD3099" i="1"/>
  <c r="AD2951" i="1"/>
  <c r="AE3047" i="1"/>
  <c r="AD3167" i="1"/>
  <c r="AF3061" i="1"/>
  <c r="AF2928" i="1"/>
  <c r="AG3022" i="1"/>
  <c r="AG2940" i="1"/>
  <c r="AF2968" i="1"/>
  <c r="AG3063" i="1"/>
  <c r="AG2946" i="1"/>
  <c r="AF3037" i="1"/>
  <c r="AG3166" i="1"/>
  <c r="AG3052" i="1"/>
  <c r="AF3097" i="1"/>
  <c r="AF2949" i="1"/>
  <c r="AG3045" i="1"/>
  <c r="AF3165" i="1"/>
  <c r="AF3055" i="1"/>
  <c r="AF2922" i="1"/>
  <c r="AG2951" i="1"/>
  <c r="AF3048" i="1"/>
  <c r="AG3167" i="1"/>
  <c r="AG3010" i="1"/>
  <c r="AG2928" i="1"/>
  <c r="AF2955" i="1"/>
  <c r="AG3051" i="1"/>
  <c r="Z2980" i="1"/>
  <c r="U2976" i="1"/>
  <c r="U2931" i="1"/>
  <c r="AC2925" i="1"/>
  <c r="AC2982" i="1"/>
  <c r="AB2972" i="1"/>
  <c r="AB2922" i="1"/>
  <c r="V2974" i="1"/>
  <c r="Y2968" i="1"/>
  <c r="X2965" i="1"/>
  <c r="W2962" i="1"/>
  <c r="V2959" i="1"/>
  <c r="AB2966" i="1"/>
  <c r="AA2963" i="1"/>
  <c r="U2956" i="1"/>
  <c r="G72" i="18"/>
  <c r="Y2982" i="1"/>
  <c r="AB2921" i="1"/>
  <c r="V2921" i="1"/>
  <c r="Y3048" i="1"/>
  <c r="Z3024" i="1"/>
  <c r="Y3021" i="1"/>
  <c r="X3018" i="1"/>
  <c r="W3014" i="1"/>
  <c r="V3011" i="1"/>
  <c r="U3008" i="1"/>
  <c r="AC3003" i="1"/>
  <c r="AB3020" i="1"/>
  <c r="AA3016" i="1"/>
  <c r="Z3013" i="1"/>
  <c r="Y3010" i="1"/>
  <c r="X3006" i="1"/>
  <c r="W3003" i="1"/>
  <c r="W2949" i="1"/>
  <c r="AB2926" i="1"/>
  <c r="X2942" i="1"/>
  <c r="AC2935" i="1"/>
  <c r="W2981" i="1"/>
  <c r="X2976" i="1"/>
  <c r="W2934" i="1"/>
  <c r="Y2947" i="1"/>
  <c r="X2944" i="1"/>
  <c r="X2940" i="1"/>
  <c r="W2935" i="1"/>
  <c r="Y2976" i="1"/>
  <c r="Y2931" i="1"/>
  <c r="X2928" i="1"/>
  <c r="W2923" i="1"/>
  <c r="AC2970" i="1"/>
  <c r="W2969" i="1"/>
  <c r="V2966" i="1"/>
  <c r="U2963" i="1"/>
  <c r="AC2959" i="1"/>
  <c r="V2977" i="1"/>
  <c r="AB2965" i="1"/>
  <c r="AA2962" i="1"/>
  <c r="Z2959" i="1"/>
  <c r="U2955" i="1"/>
  <c r="W2973" i="1"/>
  <c r="U2965" i="1"/>
  <c r="AC2961" i="1"/>
  <c r="Y2952" i="1"/>
  <c r="Z2977" i="1"/>
  <c r="X2911" i="1"/>
  <c r="X2910" i="1"/>
  <c r="Z2976" i="1"/>
  <c r="AB2959" i="1"/>
  <c r="W2955" i="1"/>
  <c r="AA2973" i="1"/>
  <c r="AA2956" i="1"/>
  <c r="W2952" i="1"/>
  <c r="Y2958" i="1"/>
  <c r="AC2968" i="1"/>
  <c r="X2970" i="1"/>
  <c r="W2967" i="1"/>
  <c r="V2964" i="1"/>
  <c r="G81" i="18"/>
  <c r="X2922" i="1"/>
  <c r="U2971" i="1"/>
  <c r="X2921" i="1"/>
  <c r="X3034" i="1"/>
  <c r="W3041" i="1"/>
  <c r="U3025" i="1"/>
  <c r="AC3021" i="1"/>
  <c r="X3024" i="1"/>
  <c r="W3021" i="1"/>
  <c r="V3018" i="1"/>
  <c r="U3014" i="1"/>
  <c r="AC3010" i="1"/>
  <c r="V3001" i="1"/>
  <c r="Z2949" i="1"/>
  <c r="Y2949" i="1"/>
  <c r="Y2940" i="1"/>
  <c r="X2935" i="1"/>
  <c r="AB2946" i="1"/>
  <c r="AA2933" i="1"/>
  <c r="Y2930" i="1"/>
  <c r="X2925" i="1"/>
  <c r="AB2924" i="1"/>
  <c r="X2981" i="1"/>
  <c r="AB2947" i="1"/>
  <c r="AA2944" i="1"/>
  <c r="AA2940" i="1"/>
  <c r="AC2931" i="1"/>
  <c r="AA2955" i="1"/>
  <c r="AA2922" i="1"/>
  <c r="AA2952" i="1"/>
  <c r="Y2974" i="1"/>
  <c r="X2969" i="1"/>
  <c r="W2966" i="1"/>
  <c r="V2963" i="1"/>
  <c r="U2960" i="1"/>
  <c r="AB2970" i="1"/>
  <c r="AA2967" i="1"/>
  <c r="Y2961" i="1"/>
  <c r="AC2956" i="1"/>
  <c r="V2972" i="1"/>
  <c r="AA2921" i="1"/>
  <c r="Y2911" i="1"/>
  <c r="V2911" i="1"/>
  <c r="AB2910" i="1"/>
  <c r="Z2981" i="1"/>
  <c r="W2977" i="1"/>
  <c r="Z2969" i="1"/>
  <c r="Y2966" i="1"/>
  <c r="X2963" i="1"/>
  <c r="W2960" i="1"/>
  <c r="AB2964" i="1"/>
  <c r="AA2961" i="1"/>
  <c r="X2958" i="1"/>
  <c r="V2982" i="1"/>
  <c r="AB2956" i="1"/>
  <c r="AB2952" i="1"/>
  <c r="Z2960" i="1"/>
  <c r="G76" i="18"/>
  <c r="U2952" i="1"/>
  <c r="Z2974" i="1"/>
  <c r="Y2910" i="1"/>
  <c r="AA3038" i="1"/>
  <c r="AC3038" i="1"/>
  <c r="AC2949" i="1"/>
  <c r="AB2945" i="1"/>
  <c r="AC2940" i="1"/>
  <c r="W2947" i="1"/>
  <c r="V2934" i="1"/>
  <c r="AC2930" i="1"/>
  <c r="AB2974" i="1"/>
  <c r="X2930" i="1"/>
  <c r="W2925" i="1"/>
  <c r="W2948" i="1"/>
  <c r="V2945" i="1"/>
  <c r="U2942" i="1"/>
  <c r="U2936" i="1"/>
  <c r="AA2930" i="1"/>
  <c r="Z2925" i="1"/>
  <c r="AC2981" i="1"/>
  <c r="AB2963" i="1"/>
  <c r="AA2960" i="1"/>
  <c r="V2956" i="1"/>
  <c r="V2952" i="1"/>
  <c r="V2953" i="1"/>
  <c r="U2973" i="1"/>
  <c r="AA2971" i="1"/>
  <c r="V2968" i="1"/>
  <c r="G85" i="18"/>
  <c r="Y2956" i="1"/>
  <c r="Z2922" i="1"/>
  <c r="AC2921" i="1"/>
  <c r="U2911" i="1"/>
  <c r="W2910" i="1"/>
  <c r="X2974" i="1"/>
  <c r="Z2930" i="1"/>
  <c r="Y2925" i="1"/>
  <c r="W2982" i="1"/>
  <c r="AC2977" i="1"/>
  <c r="U2970" i="1"/>
  <c r="AC2966" i="1"/>
  <c r="X2968" i="1"/>
  <c r="W2965" i="1"/>
  <c r="V2962" i="1"/>
  <c r="U2959" i="1"/>
  <c r="Y2973" i="1"/>
  <c r="AB2961" i="1"/>
  <c r="AA2958" i="1"/>
  <c r="W2953" i="1"/>
  <c r="U2961" i="1"/>
  <c r="Z2955" i="1"/>
  <c r="Z2958" i="1"/>
  <c r="U3053" i="1"/>
  <c r="AB3013" i="1"/>
  <c r="AA3010" i="1"/>
  <c r="Z3006" i="1"/>
  <c r="Y3003" i="1"/>
  <c r="AB3002" i="1"/>
  <c r="X2949" i="1"/>
  <c r="X2950" i="1"/>
  <c r="W2946" i="1"/>
  <c r="Z2940" i="1"/>
  <c r="AB2980" i="1"/>
  <c r="W2976" i="1"/>
  <c r="AB2933" i="1"/>
  <c r="AC2947" i="1"/>
  <c r="AB2934" i="1"/>
  <c r="V2931" i="1"/>
  <c r="U2928" i="1"/>
  <c r="Y2981" i="1"/>
  <c r="AC2976" i="1"/>
  <c r="X2978" i="1"/>
  <c r="Y2970" i="1"/>
  <c r="X2967" i="1"/>
  <c r="W2964" i="1"/>
  <c r="V2961" i="1"/>
  <c r="AB2968" i="1"/>
  <c r="AA2965" i="1"/>
  <c r="Z2962" i="1"/>
  <c r="Y2959" i="1"/>
  <c r="Y2972" i="1"/>
  <c r="AA2953" i="1"/>
  <c r="X2972" i="1"/>
  <c r="Z2964" i="1"/>
  <c r="AC2952" i="1"/>
  <c r="U2958" i="1"/>
  <c r="AC2910" i="1"/>
  <c r="V2910" i="1"/>
  <c r="X2909" i="1"/>
  <c r="W2909" i="1"/>
  <c r="U3065" i="1"/>
  <c r="W3055" i="1"/>
  <c r="V3021" i="1"/>
  <c r="AB3014" i="1"/>
  <c r="AA3061" i="1"/>
  <c r="W3057" i="1"/>
  <c r="G49" i="18"/>
  <c r="U3006" i="1"/>
  <c r="AA3071" i="1"/>
  <c r="V3061" i="1"/>
  <c r="AA3055" i="1"/>
  <c r="X3057" i="1"/>
  <c r="U3064" i="1"/>
  <c r="U3011" i="1"/>
  <c r="G56" i="18"/>
  <c r="X3098" i="1"/>
  <c r="Z3068" i="1"/>
  <c r="V3065" i="1"/>
  <c r="AB3059" i="1"/>
  <c r="Y3018" i="1"/>
  <c r="W3011" i="1"/>
  <c r="X3064" i="1"/>
  <c r="V3067" i="1"/>
  <c r="AB3061" i="1"/>
  <c r="Y3020" i="1"/>
  <c r="W3013" i="1"/>
  <c r="W3056" i="1"/>
  <c r="AC3070" i="1"/>
  <c r="Y3058" i="1"/>
  <c r="W3024" i="1"/>
  <c r="AA3011" i="1"/>
  <c r="AA3065" i="1"/>
  <c r="Z3067" i="1"/>
  <c r="Y3024" i="1"/>
  <c r="W3018" i="1"/>
  <c r="AA3004" i="1"/>
  <c r="AC3065" i="1"/>
  <c r="Y3062" i="1"/>
  <c r="V3056" i="1"/>
  <c r="G47" i="18"/>
  <c r="AC3004" i="1"/>
  <c r="U3059" i="1"/>
  <c r="U3024" i="1"/>
  <c r="X3003" i="1"/>
  <c r="U3062" i="1"/>
  <c r="X3014" i="1"/>
  <c r="X3068" i="1"/>
  <c r="AA3066" i="1"/>
  <c r="V3026" i="1"/>
  <c r="AA3013" i="1"/>
  <c r="AA3056" i="1"/>
  <c r="X3112" i="1"/>
  <c r="U3066" i="1"/>
  <c r="Z3025" i="1"/>
  <c r="V3012" i="1"/>
  <c r="AB3005" i="1"/>
  <c r="Y3071" i="1"/>
  <c r="W3065" i="1"/>
  <c r="U3068" i="1"/>
  <c r="Y3055" i="1"/>
  <c r="V3014" i="1"/>
  <c r="AB3008" i="1"/>
  <c r="V3057" i="1"/>
  <c r="AA3063" i="1"/>
  <c r="Z3065" i="1"/>
  <c r="Y3013" i="1"/>
  <c r="W3006" i="1"/>
  <c r="Y3067" i="1"/>
  <c r="W3061" i="1"/>
  <c r="X3069" i="1"/>
  <c r="Y3060" i="1"/>
  <c r="AC3020" i="1"/>
  <c r="Y3006" i="1"/>
  <c r="G86" i="18"/>
  <c r="G80" i="18"/>
  <c r="Z2911" i="1"/>
  <c r="U2910" i="1"/>
  <c r="AB2909" i="1"/>
  <c r="X3107" i="1"/>
  <c r="Z3060" i="1"/>
  <c r="Z3069" i="1"/>
  <c r="U3057" i="1"/>
  <c r="AC3022" i="1"/>
  <c r="Y3009" i="1"/>
  <c r="W3002" i="1"/>
  <c r="Z3071" i="1"/>
  <c r="V3059" i="1"/>
  <c r="AC3024" i="1"/>
  <c r="X3021" i="1"/>
  <c r="Z3001" i="1"/>
  <c r="Y3026" i="1"/>
  <c r="X3066" i="1"/>
  <c r="AC3062" i="1"/>
  <c r="Y3022" i="1"/>
  <c r="W3015" i="1"/>
  <c r="AA3002" i="1"/>
  <c r="W3069" i="1"/>
  <c r="Z3059" i="1"/>
  <c r="X3025" i="1"/>
  <c r="Z3005" i="1"/>
  <c r="X3106" i="1"/>
  <c r="AC3057" i="1"/>
  <c r="AC3066" i="1"/>
  <c r="U3013" i="1"/>
  <c r="V3066" i="1"/>
  <c r="AB3060" i="1"/>
  <c r="AC3068" i="1"/>
  <c r="U3015" i="1"/>
  <c r="AB3070" i="1"/>
  <c r="AB3026" i="1"/>
  <c r="X3005" i="1"/>
  <c r="Y3056" i="1"/>
  <c r="X3060" i="1"/>
  <c r="U3020" i="1"/>
  <c r="X3110" i="1"/>
  <c r="AA3067" i="1"/>
  <c r="U3058" i="1"/>
  <c r="W3020" i="1"/>
  <c r="AA3006" i="1"/>
  <c r="AB3069" i="1"/>
  <c r="X3056" i="1"/>
  <c r="Z3019" i="1"/>
  <c r="V3005" i="1"/>
  <c r="W3067" i="1"/>
  <c r="Y3057" i="1"/>
  <c r="V3016" i="1"/>
  <c r="AB3010" i="1"/>
  <c r="V3070" i="1"/>
  <c r="AB3064" i="1"/>
  <c r="Y3059" i="1"/>
  <c r="X3061" i="1"/>
  <c r="AC3055" i="1"/>
  <c r="X3008" i="1"/>
  <c r="X3070" i="1"/>
  <c r="Z3061" i="1"/>
  <c r="AC3013" i="1"/>
  <c r="U3056" i="1"/>
  <c r="U3067" i="1"/>
  <c r="Z3063" i="1"/>
  <c r="AC3015" i="1"/>
  <c r="Y3002" i="1"/>
  <c r="X3058" i="1"/>
  <c r="U3009" i="1"/>
  <c r="U3063" i="1"/>
  <c r="V3071" i="1"/>
  <c r="AB3065" i="1"/>
  <c r="AB3056" i="1"/>
  <c r="AA3022" i="1"/>
  <c r="U3002" i="1"/>
  <c r="G59" i="18"/>
  <c r="G126" i="18"/>
  <c r="G148" i="18"/>
  <c r="G172" i="18"/>
  <c r="G189" i="18"/>
  <c r="G119" i="18"/>
  <c r="G139" i="18"/>
  <c r="G161" i="18"/>
  <c r="G182" i="18"/>
  <c r="G201" i="18"/>
  <c r="AA2910" i="1"/>
  <c r="X3111" i="1"/>
  <c r="AC3058" i="1"/>
  <c r="AA3024" i="1"/>
  <c r="U3004" i="1"/>
  <c r="Z3070" i="1"/>
  <c r="V3058" i="1"/>
  <c r="AC3060" i="1"/>
  <c r="Z3026" i="1"/>
  <c r="V3023" i="1"/>
  <c r="AB3016" i="1"/>
  <c r="V3068" i="1"/>
  <c r="AB3062" i="1"/>
  <c r="AA3064" i="1"/>
  <c r="U3018" i="1"/>
  <c r="U3071" i="1"/>
  <c r="U3055" i="1"/>
  <c r="AB3021" i="1"/>
  <c r="U3026" i="1"/>
  <c r="W3071" i="1"/>
  <c r="AA3059" i="1"/>
  <c r="AA3068" i="1"/>
  <c r="Z3008" i="1"/>
  <c r="AC3056" i="1"/>
  <c r="AC3067" i="1"/>
  <c r="AA3070" i="1"/>
  <c r="Z3010" i="1"/>
  <c r="Y3065" i="1"/>
  <c r="W3059" i="1"/>
  <c r="X3067" i="1"/>
  <c r="Z3021" i="1"/>
  <c r="V3008" i="1"/>
  <c r="AB3001" i="1"/>
  <c r="V3062" i="1"/>
  <c r="W3070" i="1"/>
  <c r="AA3058" i="1"/>
  <c r="Z3014" i="1"/>
  <c r="Z3057" i="1"/>
  <c r="X3097" i="1"/>
  <c r="X3062" i="1"/>
  <c r="X3071" i="1"/>
  <c r="U3022" i="1"/>
  <c r="AB3057" i="1"/>
  <c r="AB3068" i="1"/>
  <c r="Y3064" i="1"/>
  <c r="W3058" i="1"/>
  <c r="G52" i="18"/>
  <c r="AC3006" i="1"/>
  <c r="U3069" i="1"/>
  <c r="AB3071" i="1"/>
  <c r="AC3018" i="1"/>
  <c r="Y3004" i="1"/>
  <c r="AC3071" i="1"/>
  <c r="V3063" i="1"/>
  <c r="AA3057" i="1"/>
  <c r="Z3023" i="1"/>
  <c r="V3010" i="1"/>
  <c r="AB3003" i="1"/>
  <c r="W3026" i="1"/>
  <c r="U3001" i="1"/>
  <c r="AB3066" i="1"/>
  <c r="AA3015" i="1"/>
  <c r="Z3062" i="1"/>
  <c r="AA3018" i="1"/>
  <c r="V3060" i="1"/>
  <c r="W3068" i="1"/>
  <c r="Z3056" i="1"/>
  <c r="X3023" i="1"/>
  <c r="Z3003" i="1"/>
  <c r="Z3058" i="1"/>
  <c r="X3016" i="1"/>
  <c r="V3055" i="1"/>
  <c r="G71" i="18"/>
  <c r="G53" i="18"/>
  <c r="G83" i="18"/>
  <c r="G63" i="18"/>
  <c r="I63" i="18" s="1"/>
  <c r="Z2910" i="1"/>
  <c r="AA2911" i="1"/>
  <c r="AB2911" i="1"/>
  <c r="Y3069" i="1"/>
  <c r="W3063" i="1"/>
  <c r="AA3060" i="1"/>
  <c r="X3019" i="1"/>
  <c r="AC3059" i="1"/>
  <c r="AA3062" i="1"/>
  <c r="Y3011" i="1"/>
  <c r="W3004" i="1"/>
  <c r="AC3069" i="1"/>
  <c r="X3059" i="1"/>
  <c r="Z3012" i="1"/>
  <c r="Z3066" i="1"/>
  <c r="Y3068" i="1"/>
  <c r="W3062" i="1"/>
  <c r="Y3015" i="1"/>
  <c r="W3009" i="1"/>
  <c r="X3103" i="1"/>
  <c r="X3063" i="1"/>
  <c r="AB3023" i="1"/>
  <c r="AA3069" i="1"/>
  <c r="X3065" i="1"/>
  <c r="AB3025" i="1"/>
  <c r="U3061" i="1"/>
  <c r="V3069" i="1"/>
  <c r="AB3063" i="1"/>
  <c r="AC3009" i="1"/>
  <c r="AC3063" i="1"/>
  <c r="AC3002" i="1"/>
  <c r="AC3025" i="1"/>
  <c r="V3064" i="1"/>
  <c r="AB3058" i="1"/>
  <c r="AB3067" i="1"/>
  <c r="X3026" i="1"/>
  <c r="Z3016" i="1"/>
  <c r="V3003" i="1"/>
  <c r="Y3063" i="1"/>
  <c r="U3060" i="1"/>
  <c r="W3022" i="1"/>
  <c r="AA3009" i="1"/>
  <c r="Z3064" i="1"/>
  <c r="Y3066" i="1"/>
  <c r="W3060" i="1"/>
  <c r="AA3020" i="1"/>
  <c r="AC3064" i="1"/>
  <c r="AC3011" i="1"/>
  <c r="AC3026" i="1"/>
  <c r="X3102" i="1"/>
  <c r="Y3061" i="1"/>
  <c r="Y3070" i="1"/>
  <c r="W3064" i="1"/>
  <c r="X3010" i="1"/>
  <c r="W3066" i="1"/>
  <c r="X3012" i="1"/>
  <c r="X3055" i="1"/>
  <c r="AC3061" i="1"/>
  <c r="U3070" i="1"/>
  <c r="V3025" i="1"/>
  <c r="AB3019" i="1"/>
  <c r="V3019" i="1"/>
  <c r="AB3012" i="1"/>
  <c r="AB3055" i="1"/>
  <c r="X3099" i="1"/>
  <c r="G118" i="18"/>
  <c r="G138" i="18"/>
  <c r="G160" i="18"/>
  <c r="G180" i="18"/>
  <c r="I180" i="18" s="1"/>
  <c r="G200" i="18"/>
  <c r="G127" i="18"/>
  <c r="I127" i="18" s="1"/>
  <c r="G149" i="18"/>
  <c r="G173" i="18"/>
  <c r="G190" i="18"/>
  <c r="G98" i="18"/>
  <c r="G62" i="18"/>
  <c r="G146" i="18"/>
  <c r="G198" i="18"/>
  <c r="G137" i="18"/>
  <c r="G188" i="18"/>
  <c r="G152" i="18"/>
  <c r="G60" i="18"/>
  <c r="G87" i="18"/>
  <c r="G46" i="18"/>
  <c r="G99" i="18"/>
  <c r="G44" i="18"/>
  <c r="G153" i="18"/>
  <c r="G136" i="18"/>
  <c r="G168" i="18"/>
  <c r="G125" i="18"/>
  <c r="G159" i="18"/>
  <c r="I159" i="18" s="1"/>
  <c r="G110" i="18"/>
  <c r="I110" i="18" s="1"/>
  <c r="G100" i="18"/>
  <c r="G64" i="18"/>
  <c r="G132" i="18"/>
  <c r="G156" i="18"/>
  <c r="I156" i="18" s="1"/>
  <c r="G176" i="18"/>
  <c r="G196" i="18"/>
  <c r="G133" i="18"/>
  <c r="G157" i="18"/>
  <c r="G177" i="18"/>
  <c r="G197" i="18"/>
  <c r="G78" i="18"/>
  <c r="G51" i="18"/>
  <c r="G73" i="18"/>
  <c r="G68" i="18"/>
  <c r="G128" i="18"/>
  <c r="G154" i="18"/>
  <c r="I154" i="18" s="1"/>
  <c r="G174" i="18"/>
  <c r="G192" i="18"/>
  <c r="G121" i="18"/>
  <c r="G142" i="18"/>
  <c r="G165" i="18"/>
  <c r="G184" i="18"/>
  <c r="G94" i="18"/>
  <c r="G91" i="18"/>
  <c r="G151" i="18"/>
  <c r="G158" i="18"/>
  <c r="G187" i="18"/>
  <c r="G147" i="18"/>
  <c r="G179" i="18"/>
  <c r="G82" i="18"/>
  <c r="G79" i="18"/>
  <c r="G55" i="18"/>
  <c r="G69" i="18"/>
  <c r="G90" i="18"/>
  <c r="G75" i="18"/>
  <c r="G88" i="18"/>
  <c r="G101" i="18"/>
  <c r="G93" i="18"/>
  <c r="G150" i="18"/>
  <c r="G124" i="18"/>
  <c r="I124" i="18" s="1"/>
  <c r="G178" i="18"/>
  <c r="G170" i="18"/>
  <c r="G199" i="18"/>
  <c r="G61" i="18"/>
  <c r="I61" i="18" s="1"/>
  <c r="G67" i="18"/>
  <c r="G122" i="18"/>
  <c r="G143" i="18"/>
  <c r="G166" i="18"/>
  <c r="G185" i="18"/>
  <c r="G123" i="18"/>
  <c r="I123" i="18" s="1"/>
  <c r="G144" i="18"/>
  <c r="G167" i="18"/>
  <c r="G186" i="18"/>
  <c r="G50" i="18"/>
  <c r="G84" i="18"/>
  <c r="G95" i="18"/>
  <c r="G58" i="18"/>
  <c r="G120" i="18"/>
  <c r="I120" i="18" s="1"/>
  <c r="G140" i="18"/>
  <c r="G163" i="18"/>
  <c r="G183" i="18"/>
  <c r="G202" i="18"/>
  <c r="I202" i="18" s="1"/>
  <c r="G129" i="18"/>
  <c r="G155" i="18"/>
  <c r="G175" i="18"/>
  <c r="G193" i="18"/>
  <c r="G43" i="18"/>
  <c r="G96" i="18"/>
  <c r="G97" i="18"/>
  <c r="G92" i="18"/>
  <c r="G34" i="18"/>
  <c r="I110" i="10"/>
  <c r="H12" i="18"/>
  <c r="AB2891" i="1"/>
  <c r="X2891" i="1"/>
  <c r="J85" i="19"/>
  <c r="W2917" i="1"/>
  <c r="G20" i="18"/>
  <c r="J15" i="19"/>
  <c r="I15" i="19" s="1"/>
  <c r="J142" i="19"/>
  <c r="AA2917" i="1"/>
  <c r="H110" i="10"/>
  <c r="G12" i="18"/>
  <c r="J112" i="10"/>
  <c r="X2917" i="1"/>
  <c r="AB2917" i="1"/>
  <c r="H20" i="18"/>
  <c r="I436" i="10"/>
  <c r="I119" i="18" l="1"/>
  <c r="I158" i="18"/>
  <c r="I184" i="18"/>
  <c r="P45" i="15"/>
  <c r="I198" i="18"/>
  <c r="AD2913" i="1"/>
  <c r="H228" i="10"/>
  <c r="H431" i="10" s="1"/>
  <c r="J226" i="10"/>
  <c r="J228" i="10" s="1"/>
  <c r="J431" i="10" s="1"/>
  <c r="P1033" i="17" s="1"/>
  <c r="I256" i="18" s="1"/>
  <c r="G221" i="18"/>
  <c r="I221" i="18" s="1"/>
  <c r="I54" i="18"/>
  <c r="I77" i="18"/>
  <c r="I169" i="18"/>
  <c r="I164" i="18"/>
  <c r="I74" i="18"/>
  <c r="I152" i="18"/>
  <c r="I126" i="18"/>
  <c r="I129" i="18"/>
  <c r="I122" i="18"/>
  <c r="I125" i="18"/>
  <c r="I53" i="18"/>
  <c r="I69" i="18"/>
  <c r="I48" i="18"/>
  <c r="AF2913" i="1"/>
  <c r="I162" i="18"/>
  <c r="I160" i="18"/>
  <c r="I155" i="18"/>
  <c r="I137" i="18"/>
  <c r="I147" i="18"/>
  <c r="I182" i="18"/>
  <c r="I165" i="18"/>
  <c r="I193" i="18"/>
  <c r="I144" i="18"/>
  <c r="I93" i="18"/>
  <c r="I151" i="18"/>
  <c r="I128" i="18"/>
  <c r="I118" i="18"/>
  <c r="I187" i="18"/>
  <c r="I139" i="18"/>
  <c r="I179" i="18"/>
  <c r="I121" i="18"/>
  <c r="I68" i="18"/>
  <c r="I199" i="18"/>
  <c r="I86" i="18"/>
  <c r="G210" i="18"/>
  <c r="AO3080" i="1"/>
  <c r="O45" i="15"/>
  <c r="AO2984" i="1"/>
  <c r="AO3172" i="1"/>
  <c r="AO2913" i="1"/>
  <c r="AO2844" i="1"/>
  <c r="AO2848" i="1"/>
  <c r="AO2843" i="1"/>
  <c r="AO2847" i="1"/>
  <c r="AO2846" i="1"/>
  <c r="AO2845" i="1"/>
  <c r="AO3116" i="1"/>
  <c r="AN2984" i="1"/>
  <c r="AN2913" i="1"/>
  <c r="AN3172" i="1"/>
  <c r="AN3080" i="1"/>
  <c r="AN3116" i="1"/>
  <c r="AN2844" i="1"/>
  <c r="AN2848" i="1"/>
  <c r="AN2847" i="1"/>
  <c r="AN2843" i="1"/>
  <c r="AN2846" i="1"/>
  <c r="AM3172" i="1"/>
  <c r="AM3116" i="1"/>
  <c r="AM3080" i="1"/>
  <c r="AM2984" i="1"/>
  <c r="AM2913" i="1"/>
  <c r="AM2844" i="1"/>
  <c r="AM2848" i="1"/>
  <c r="AM2843" i="1"/>
  <c r="AM2847" i="1"/>
  <c r="AM2846" i="1"/>
  <c r="AM2845" i="1"/>
  <c r="I191" i="18"/>
  <c r="I171" i="18"/>
  <c r="I167" i="18"/>
  <c r="I133" i="18"/>
  <c r="I176" i="18"/>
  <c r="I163" i="18"/>
  <c r="I97" i="18"/>
  <c r="I175" i="18"/>
  <c r="I183" i="18"/>
  <c r="I58" i="18"/>
  <c r="I50" i="18"/>
  <c r="I170" i="18"/>
  <c r="I178" i="18"/>
  <c r="I150" i="18"/>
  <c r="I88" i="18"/>
  <c r="I90" i="18"/>
  <c r="I192" i="18"/>
  <c r="I157" i="18"/>
  <c r="I136" i="18"/>
  <c r="I46" i="18"/>
  <c r="I60" i="18"/>
  <c r="I83" i="18"/>
  <c r="I59" i="18"/>
  <c r="I81" i="18"/>
  <c r="I185" i="18"/>
  <c r="I84" i="18"/>
  <c r="I143" i="18"/>
  <c r="I75" i="18"/>
  <c r="I51" i="18"/>
  <c r="I177" i="18"/>
  <c r="I168" i="18"/>
  <c r="I153" i="18"/>
  <c r="I98" i="18"/>
  <c r="I138" i="18"/>
  <c r="I85" i="18"/>
  <c r="I76" i="18"/>
  <c r="I186" i="18"/>
  <c r="I67" i="18"/>
  <c r="I101" i="18"/>
  <c r="I140" i="18"/>
  <c r="I95" i="18"/>
  <c r="I82" i="18"/>
  <c r="I94" i="18"/>
  <c r="I142" i="18"/>
  <c r="I73" i="18"/>
  <c r="I64" i="18"/>
  <c r="I146" i="18"/>
  <c r="I62" i="18"/>
  <c r="I149" i="18"/>
  <c r="I52" i="18"/>
  <c r="I148" i="18"/>
  <c r="I96" i="18"/>
  <c r="I79" i="18"/>
  <c r="I174" i="18"/>
  <c r="I78" i="18"/>
  <c r="I132" i="18"/>
  <c r="I100" i="18"/>
  <c r="I87" i="18"/>
  <c r="I188" i="18"/>
  <c r="I173" i="18"/>
  <c r="I161" i="18"/>
  <c r="I172" i="18"/>
  <c r="I56" i="18"/>
  <c r="I49" i="18"/>
  <c r="I44" i="18"/>
  <c r="H216" i="18"/>
  <c r="I99" i="18"/>
  <c r="I201" i="18"/>
  <c r="I197" i="18"/>
  <c r="I196" i="18"/>
  <c r="I71" i="18"/>
  <c r="I80" i="18"/>
  <c r="I47" i="18"/>
  <c r="I190" i="18"/>
  <c r="I200" i="18"/>
  <c r="I189" i="18"/>
  <c r="AL3172" i="1"/>
  <c r="X2913" i="1"/>
  <c r="AL2913" i="1"/>
  <c r="AL3116" i="1"/>
  <c r="AL2984" i="1"/>
  <c r="AL2844" i="1"/>
  <c r="AL2846" i="1"/>
  <c r="AL2845" i="1"/>
  <c r="AL2843" i="1"/>
  <c r="AL2847" i="1"/>
  <c r="AL2848" i="1"/>
  <c r="AL3080" i="1"/>
  <c r="AG2913" i="1"/>
  <c r="W2913" i="1"/>
  <c r="I72" i="18"/>
  <c r="AK2845" i="1"/>
  <c r="AK2843" i="1"/>
  <c r="AK2847" i="1"/>
  <c r="AK2844" i="1"/>
  <c r="AK2846" i="1"/>
  <c r="AK2848" i="1"/>
  <c r="AK3172" i="1"/>
  <c r="AK2913" i="1"/>
  <c r="AK3080" i="1"/>
  <c r="AK2984" i="1"/>
  <c r="AK3116" i="1"/>
  <c r="AJ2984" i="1"/>
  <c r="AJ2913" i="1"/>
  <c r="AJ3172" i="1"/>
  <c r="AJ3116" i="1"/>
  <c r="AJ3080" i="1"/>
  <c r="AJ2843" i="1"/>
  <c r="AJ2845" i="1"/>
  <c r="AJ2844" i="1"/>
  <c r="AJ2847" i="1"/>
  <c r="AJ2848" i="1"/>
  <c r="AJ2846" i="1"/>
  <c r="I166" i="18"/>
  <c r="AI3116" i="1"/>
  <c r="AI2913" i="1"/>
  <c r="AI3172" i="1"/>
  <c r="AI3080" i="1"/>
  <c r="AI2848" i="1"/>
  <c r="AI2847" i="1"/>
  <c r="AI2844" i="1"/>
  <c r="AI2845" i="1"/>
  <c r="AI2846" i="1"/>
  <c r="AI2843" i="1"/>
  <c r="AI2984" i="1"/>
  <c r="AH2913" i="1"/>
  <c r="AH3172" i="1"/>
  <c r="AH2984" i="1"/>
  <c r="AH3080" i="1"/>
  <c r="AH2847" i="1"/>
  <c r="AH2845" i="1"/>
  <c r="AH2844" i="1"/>
  <c r="AH2843" i="1"/>
  <c r="AH2848" i="1"/>
  <c r="AH2846" i="1"/>
  <c r="AH3116" i="1"/>
  <c r="AB2913" i="1"/>
  <c r="J110" i="10"/>
  <c r="AF3116" i="1"/>
  <c r="I12" i="18"/>
  <c r="AA2913" i="1"/>
  <c r="AD2984" i="1"/>
  <c r="AB3116" i="1"/>
  <c r="AC2913" i="1"/>
  <c r="AC3080" i="1"/>
  <c r="AB3080" i="1"/>
  <c r="AC2984" i="1"/>
  <c r="AG3116" i="1"/>
  <c r="AG3172" i="1"/>
  <c r="AB3172" i="1"/>
  <c r="AB2984" i="1"/>
  <c r="AG3080" i="1"/>
  <c r="AF3172" i="1"/>
  <c r="AE3080" i="1"/>
  <c r="AC3116" i="1"/>
  <c r="AF3080" i="1"/>
  <c r="AD3116" i="1"/>
  <c r="AC3172" i="1"/>
  <c r="I20" i="18"/>
  <c r="AD3080" i="1"/>
  <c r="AF2984" i="1"/>
  <c r="AG2984" i="1"/>
  <c r="AD3172" i="1"/>
  <c r="X3116" i="1"/>
  <c r="AA3172" i="1"/>
  <c r="X3172" i="1"/>
  <c r="W3172" i="1"/>
  <c r="AA3080" i="1"/>
  <c r="W3080" i="1"/>
  <c r="W2984" i="1"/>
  <c r="X3080" i="1"/>
  <c r="AA2984" i="1"/>
  <c r="X2984" i="1"/>
  <c r="J436" i="10"/>
  <c r="I109" i="18"/>
  <c r="I89" i="18"/>
  <c r="J104" i="19"/>
  <c r="J10" i="19" s="1"/>
  <c r="I10" i="19" s="1"/>
  <c r="J84" i="19"/>
  <c r="I34" i="18"/>
  <c r="I92" i="18"/>
  <c r="I43" i="18"/>
  <c r="G216" i="18"/>
  <c r="I55" i="18"/>
  <c r="G211" i="18"/>
  <c r="I211" i="18" s="1"/>
  <c r="I248" i="18" s="1"/>
  <c r="I91" i="18"/>
  <c r="G213" i="18"/>
  <c r="I213" i="18" s="1"/>
  <c r="I251" i="18" s="1"/>
  <c r="J73" i="19"/>
  <c r="H61" i="19"/>
  <c r="H63" i="19" s="1"/>
  <c r="X2847" i="1"/>
  <c r="AC2843" i="1"/>
  <c r="Y2847" i="1"/>
  <c r="AA2848" i="1"/>
  <c r="AB2848" i="1"/>
  <c r="U2848" i="1"/>
  <c r="V2847" i="1"/>
  <c r="AA2846" i="1"/>
  <c r="AA2847" i="1"/>
  <c r="AB2844" i="1"/>
  <c r="AB2845" i="1"/>
  <c r="W2847" i="1"/>
  <c r="AD2845" i="1"/>
  <c r="AF2844" i="1"/>
  <c r="AG2844" i="1"/>
  <c r="AF2846" i="1"/>
  <c r="AG2845" i="1"/>
  <c r="X2846" i="1"/>
  <c r="Z2848" i="1"/>
  <c r="W2844" i="1"/>
  <c r="AB2846" i="1"/>
  <c r="Y2848" i="1"/>
  <c r="Z2847" i="1"/>
  <c r="W2845" i="1"/>
  <c r="U2844" i="1"/>
  <c r="AG2848" i="1"/>
  <c r="AD2844" i="1"/>
  <c r="AC2847" i="1"/>
  <c r="AA2845" i="1"/>
  <c r="W2846" i="1"/>
  <c r="AC2844" i="1"/>
  <c r="V2848" i="1"/>
  <c r="AC2848" i="1"/>
  <c r="Z2844" i="1"/>
  <c r="AF2847" i="1"/>
  <c r="AD2846" i="1"/>
  <c r="AF2848" i="1"/>
  <c r="U2847" i="1"/>
  <c r="X2844" i="1"/>
  <c r="W2848" i="1"/>
  <c r="X2845" i="1"/>
  <c r="AC2846" i="1"/>
  <c r="AB2847" i="1"/>
  <c r="Y2844" i="1"/>
  <c r="AC2845" i="1"/>
  <c r="V2844" i="1"/>
  <c r="X2848" i="1"/>
  <c r="AA2844" i="1"/>
  <c r="AD2848" i="1"/>
  <c r="AD2847" i="1"/>
  <c r="AG2847" i="1"/>
  <c r="AG2846" i="1"/>
  <c r="AF2845" i="1"/>
  <c r="W2843" i="1"/>
  <c r="AD2843" i="1"/>
  <c r="AF2843" i="1"/>
  <c r="X2843" i="1"/>
  <c r="AG2843" i="1"/>
  <c r="AB2843" i="1"/>
  <c r="AA2843" i="1"/>
  <c r="I11" i="19"/>
  <c r="AO2850" i="1" l="1"/>
  <c r="AM2850" i="1"/>
  <c r="I210" i="18"/>
  <c r="I243" i="18" s="1"/>
  <c r="I216" i="18"/>
  <c r="I245" i="18" s="1"/>
  <c r="AL2850" i="1"/>
  <c r="AK2850" i="1"/>
  <c r="AJ2850" i="1"/>
  <c r="AI2850" i="1"/>
  <c r="AH2850" i="1"/>
  <c r="AB2850" i="1"/>
  <c r="AA2850" i="1"/>
  <c r="X2850" i="1"/>
  <c r="AD2850" i="1"/>
  <c r="AG2850" i="1"/>
  <c r="W2850" i="1"/>
  <c r="AF2850" i="1"/>
  <c r="AC2850" i="1"/>
  <c r="J13" i="19"/>
  <c r="J48" i="19" l="1"/>
  <c r="J17" i="19"/>
  <c r="J24" i="19" s="1"/>
  <c r="J22" i="19" l="1"/>
  <c r="J20" i="19"/>
  <c r="J25" i="19"/>
  <c r="J26" i="19" s="1"/>
  <c r="I29" i="18"/>
  <c r="J51" i="19"/>
  <c r="J21" i="19" l="1"/>
  <c r="B69" i="13" l="1"/>
  <c r="C69" i="13" l="1"/>
  <c r="I353" i="10"/>
  <c r="I398" i="10"/>
  <c r="I299" i="10"/>
  <c r="H299" i="10"/>
  <c r="I364" i="10"/>
  <c r="I365" i="10" s="1"/>
  <c r="I427" i="10" s="1"/>
  <c r="I335" i="10"/>
  <c r="I326" i="10"/>
  <c r="I394" i="10"/>
  <c r="I275" i="10"/>
  <c r="H385" i="10"/>
  <c r="H393" i="10"/>
  <c r="I329" i="10"/>
  <c r="I296" i="10"/>
  <c r="I350" i="10"/>
  <c r="I259" i="10"/>
  <c r="H282" i="10"/>
  <c r="H332" i="10"/>
  <c r="H306" i="10"/>
  <c r="H275" i="10"/>
  <c r="H379" i="10"/>
  <c r="H278" i="10"/>
  <c r="I215" i="10"/>
  <c r="I217" i="10" s="1"/>
  <c r="H215" i="10"/>
  <c r="H382" i="10"/>
  <c r="H356" i="10"/>
  <c r="H391" i="10"/>
  <c r="H293" i="10"/>
  <c r="I379" i="10"/>
  <c r="I376" i="10"/>
  <c r="I323" i="10"/>
  <c r="H394" i="10"/>
  <c r="J394" i="10" s="1"/>
  <c r="I385" i="10"/>
  <c r="I367" i="10"/>
  <c r="I290" i="10"/>
  <c r="I287" i="10"/>
  <c r="H329" i="10"/>
  <c r="H353" i="10"/>
  <c r="I347" i="10"/>
  <c r="I382" i="10"/>
  <c r="I278" i="10"/>
  <c r="H271" i="10"/>
  <c r="H395" i="10"/>
  <c r="H397" i="10"/>
  <c r="H296" i="10"/>
  <c r="H347" i="10"/>
  <c r="H323" i="10"/>
  <c r="J323" i="10" s="1"/>
  <c r="I391" i="10"/>
  <c r="I399" i="10"/>
  <c r="I306" i="10"/>
  <c r="I356" i="10"/>
  <c r="I422" i="10" s="1"/>
  <c r="H212" i="18" s="1"/>
  <c r="I271" i="10"/>
  <c r="I273" i="10" s="1"/>
  <c r="H370" i="10"/>
  <c r="I359" i="10"/>
  <c r="I428" i="10" s="1"/>
  <c r="I312" i="10"/>
  <c r="I315" i="10" s="1"/>
  <c r="H45" i="18" s="1"/>
  <c r="I392" i="10"/>
  <c r="H256" i="10"/>
  <c r="I338" i="10"/>
  <c r="I344" i="10"/>
  <c r="I232" i="10"/>
  <c r="I235" i="10" s="1"/>
  <c r="H66" i="18" s="1"/>
  <c r="H214" i="18" s="1"/>
  <c r="H320" i="10"/>
  <c r="H359" i="10"/>
  <c r="I370" i="10"/>
  <c r="I396" i="10"/>
  <c r="I293" i="10"/>
  <c r="H367" i="10"/>
  <c r="H373" i="10"/>
  <c r="H350" i="10"/>
  <c r="H392" i="10"/>
  <c r="H309" i="10"/>
  <c r="H290" i="10"/>
  <c r="H399" i="10"/>
  <c r="J399" i="10" s="1"/>
  <c r="H396" i="10"/>
  <c r="H376" i="10"/>
  <c r="I341" i="10"/>
  <c r="I320" i="10"/>
  <c r="I388" i="10"/>
  <c r="I282" i="10"/>
  <c r="I284" i="10" s="1"/>
  <c r="H338" i="10"/>
  <c r="I303" i="10"/>
  <c r="I332" i="10"/>
  <c r="I309" i="10"/>
  <c r="I425" i="10" s="1"/>
  <c r="H303" i="10"/>
  <c r="I395" i="10"/>
  <c r="I373" i="10"/>
  <c r="I256" i="10"/>
  <c r="H287" i="10"/>
  <c r="H398" i="10"/>
  <c r="I397" i="10"/>
  <c r="I317" i="10"/>
  <c r="H317" i="10"/>
  <c r="H341" i="10"/>
  <c r="H344" i="10"/>
  <c r="H259" i="10"/>
  <c r="H312" i="10"/>
  <c r="H326" i="10"/>
  <c r="H388" i="10"/>
  <c r="H232" i="10"/>
  <c r="H335" i="10"/>
  <c r="J335" i="10" s="1"/>
  <c r="H364" i="10"/>
  <c r="J341" i="10" l="1"/>
  <c r="J398" i="10"/>
  <c r="J392" i="10"/>
  <c r="J259" i="10"/>
  <c r="J326" i="10"/>
  <c r="J287" i="10"/>
  <c r="J329" i="10"/>
  <c r="D69" i="13"/>
  <c r="J376" i="10"/>
  <c r="J350" i="10"/>
  <c r="J338" i="10"/>
  <c r="J367" i="10"/>
  <c r="J344" i="10"/>
  <c r="J290" i="10"/>
  <c r="J353" i="10"/>
  <c r="J275" i="10"/>
  <c r="J388" i="10"/>
  <c r="J296" i="10"/>
  <c r="J396" i="10"/>
  <c r="J317" i="10"/>
  <c r="J347" i="10"/>
  <c r="J303" i="10"/>
  <c r="J299" i="10"/>
  <c r="J320" i="10"/>
  <c r="J312" i="10"/>
  <c r="J315" i="10" s="1"/>
  <c r="H315" i="10"/>
  <c r="G45" i="18" s="1"/>
  <c r="I45" i="18" s="1"/>
  <c r="I241" i="18" s="1"/>
  <c r="H425" i="10"/>
  <c r="J309" i="10"/>
  <c r="J425" i="10" s="1"/>
  <c r="P1018" i="17" s="1"/>
  <c r="H428" i="10"/>
  <c r="J359" i="10"/>
  <c r="J428" i="10" s="1"/>
  <c r="P1025" i="17" s="1"/>
  <c r="I426" i="10"/>
  <c r="H217" i="18" s="1"/>
  <c r="I401" i="10"/>
  <c r="H422" i="10"/>
  <c r="G212" i="18" s="1"/>
  <c r="J356" i="10"/>
  <c r="J422" i="10" s="1"/>
  <c r="J215" i="10"/>
  <c r="J217" i="10" s="1"/>
  <c r="H217" i="10"/>
  <c r="J395" i="10"/>
  <c r="J293" i="10"/>
  <c r="J379" i="10"/>
  <c r="J332" i="10"/>
  <c r="H365" i="10"/>
  <c r="H427" i="10" s="1"/>
  <c r="J364" i="10"/>
  <c r="J365" i="10" s="1"/>
  <c r="J427" i="10" s="1"/>
  <c r="P1014" i="17" s="1"/>
  <c r="J271" i="10"/>
  <c r="J273" i="10" s="1"/>
  <c r="H273" i="10"/>
  <c r="J391" i="10"/>
  <c r="H426" i="10"/>
  <c r="G217" i="18" s="1"/>
  <c r="H401" i="10"/>
  <c r="J373" i="10"/>
  <c r="J256" i="10"/>
  <c r="J382" i="10"/>
  <c r="J278" i="10"/>
  <c r="J385" i="10"/>
  <c r="J232" i="10"/>
  <c r="J235" i="10" s="1"/>
  <c r="H235" i="10"/>
  <c r="G66" i="18" s="1"/>
  <c r="H284" i="10"/>
  <c r="J282" i="10"/>
  <c r="J284" i="10" s="1"/>
  <c r="H421" i="10"/>
  <c r="J393" i="10"/>
  <c r="J421" i="10" s="1"/>
  <c r="P1021" i="17" s="1"/>
  <c r="J370" i="10"/>
  <c r="J397" i="10"/>
  <c r="J306" i="10"/>
  <c r="E69" i="13" l="1"/>
  <c r="J426" i="10"/>
  <c r="J401" i="10"/>
  <c r="I212" i="18"/>
  <c r="I250" i="18" s="1"/>
  <c r="P1031" i="17"/>
  <c r="I66" i="18"/>
  <c r="G214" i="18"/>
  <c r="I214" i="18" s="1"/>
  <c r="F69" i="13" l="1"/>
  <c r="P1032" i="17"/>
  <c r="I217" i="18"/>
  <c r="I252" i="18"/>
  <c r="G69" i="13" l="1"/>
  <c r="I246" i="18"/>
  <c r="H69" i="13" l="1"/>
  <c r="R612" i="1"/>
  <c r="S612" i="1"/>
  <c r="U612" i="1" l="1"/>
  <c r="U3174" i="1" s="1"/>
  <c r="U3172" i="1" s="1"/>
  <c r="Y612" i="1"/>
  <c r="Y2846" i="1" s="1"/>
  <c r="V612" i="1"/>
  <c r="V2846" i="1" s="1"/>
  <c r="Z612" i="1"/>
  <c r="I69" i="13"/>
  <c r="U2926" i="1"/>
  <c r="G107" i="18"/>
  <c r="V2926" i="1"/>
  <c r="H107" i="18"/>
  <c r="H108" i="18" s="1"/>
  <c r="V3174" i="1"/>
  <c r="V3172" i="1" s="1"/>
  <c r="Z2846" i="1"/>
  <c r="J69" i="13" l="1"/>
  <c r="U3135" i="1"/>
  <c r="U3138" i="1" s="1"/>
  <c r="V3135" i="1"/>
  <c r="V3138" i="1" s="1"/>
  <c r="U2846" i="1"/>
  <c r="Z2926" i="1"/>
  <c r="I107" i="18"/>
  <c r="G108" i="18"/>
  <c r="Y2926" i="1"/>
  <c r="Z3135" i="1"/>
  <c r="Z3138" i="1" s="1"/>
  <c r="Z3174" i="1"/>
  <c r="Z3172" i="1" s="1"/>
  <c r="Y3174" i="1"/>
  <c r="Y3172" i="1" s="1"/>
  <c r="Y3135" i="1"/>
  <c r="Y3138" i="1" s="1"/>
  <c r="K69" i="13" l="1"/>
  <c r="I108" i="18"/>
  <c r="L69" i="13" l="1"/>
  <c r="F10" i="15"/>
  <c r="F34" i="15" s="1"/>
  <c r="P1008" i="17" s="1"/>
  <c r="F11" i="15"/>
  <c r="F35" i="15" s="1"/>
  <c r="P1009" i="17" s="1"/>
  <c r="AE2910" i="1"/>
  <c r="AE2911" i="1"/>
  <c r="AE3103" i="1"/>
  <c r="AE2949" i="1"/>
  <c r="AE2969" i="1"/>
  <c r="AE2944" i="1"/>
  <c r="AE2962" i="1"/>
  <c r="AE2965" i="1"/>
  <c r="AE2935" i="1"/>
  <c r="AE2930" i="1"/>
  <c r="AE3155" i="1"/>
  <c r="AE3110" i="1"/>
  <c r="AE3109" i="1"/>
  <c r="AE3112" i="1"/>
  <c r="AE3113" i="1"/>
  <c r="M69" i="13" l="1"/>
  <c r="N69" i="13"/>
  <c r="F44" i="15"/>
  <c r="AE3174" i="1"/>
  <c r="AE3135" i="1"/>
  <c r="AE3141" i="1" s="1"/>
  <c r="AE3161" i="1"/>
  <c r="AE2915" i="1"/>
  <c r="AE2861" i="1"/>
  <c r="AE2909" i="1"/>
  <c r="AE3099" i="1"/>
  <c r="AE2959" i="1"/>
  <c r="AE2887" i="1"/>
  <c r="AE2858" i="1"/>
  <c r="AE2855" i="1"/>
  <c r="AE2845" i="1"/>
  <c r="AE2882" i="1"/>
  <c r="AE2844" i="1"/>
  <c r="AE2899" i="1"/>
  <c r="AE2901" i="1"/>
  <c r="AE2859" i="1"/>
  <c r="AE3127" i="1"/>
  <c r="AE2846" i="1"/>
  <c r="AE2886" i="1"/>
  <c r="AE3104" i="1"/>
  <c r="AE3102" i="1"/>
  <c r="AE3100" i="1"/>
  <c r="AE2963" i="1"/>
  <c r="AE2857" i="1"/>
  <c r="AE3118" i="1"/>
  <c r="AE3098" i="1"/>
  <c r="AE2986" i="1"/>
  <c r="AE2864" i="1"/>
  <c r="AE2976" i="1"/>
  <c r="F9" i="15"/>
  <c r="AE2856" i="1"/>
  <c r="AE3128" i="1"/>
  <c r="AE2888" i="1"/>
  <c r="AE2950" i="1"/>
  <c r="AE3130" i="1"/>
  <c r="AE2926" i="1"/>
  <c r="AE3106" i="1"/>
  <c r="AE3089" i="1"/>
  <c r="AE3091" i="1" s="1"/>
  <c r="AE2848" i="1"/>
  <c r="AE2993" i="1"/>
  <c r="AE2995" i="1" s="1"/>
  <c r="AE2847" i="1"/>
  <c r="AE2906" i="1"/>
  <c r="AE2904" i="1" s="1"/>
  <c r="AE2860" i="1"/>
  <c r="AE2883" i="1"/>
  <c r="AE2879" i="1"/>
  <c r="AE2878" i="1"/>
  <c r="AE2843" i="1"/>
  <c r="I38" i="10" l="1"/>
  <c r="AE3172" i="1"/>
  <c r="AE2891" i="1"/>
  <c r="AE3116" i="1"/>
  <c r="AE3138" i="1"/>
  <c r="F12" i="15"/>
  <c r="F33" i="15"/>
  <c r="P1007" i="17" s="1"/>
  <c r="AE2870" i="1"/>
  <c r="AE2917" i="1"/>
  <c r="AE2913" i="1"/>
  <c r="AE2850" i="1"/>
  <c r="AE2984" i="1"/>
  <c r="P1010" i="17" l="1"/>
  <c r="I40" i="10"/>
  <c r="H36" i="18"/>
  <c r="H38" i="18" s="1"/>
  <c r="H10" i="18" s="1"/>
  <c r="D47" i="2" s="1"/>
  <c r="F36" i="15"/>
  <c r="F43" i="15"/>
  <c r="D49" i="2" l="1"/>
  <c r="F45" i="15"/>
  <c r="H38" i="10" l="1"/>
  <c r="H40" i="10" l="1"/>
  <c r="G36" i="18"/>
  <c r="J38" i="10"/>
  <c r="J40" i="10" s="1"/>
  <c r="G38" i="18" l="1"/>
  <c r="G10" i="18" s="1"/>
  <c r="I36" i="18"/>
  <c r="C47" i="2" l="1"/>
  <c r="I10" i="18"/>
  <c r="I228" i="18"/>
  <c r="I239" i="18" s="1"/>
  <c r="I38" i="18"/>
  <c r="H55" i="19"/>
  <c r="H57" i="19" s="1"/>
  <c r="H9" i="19" l="1"/>
  <c r="H64" i="19"/>
  <c r="H66" i="19" s="1"/>
  <c r="H32" i="19" s="1"/>
  <c r="C49" i="2"/>
  <c r="E47" i="2"/>
  <c r="E49" i="2" s="1"/>
  <c r="C51" i="2" l="1"/>
  <c r="C13" i="2" s="1"/>
  <c r="R975" i="1" s="1"/>
  <c r="H13" i="19"/>
  <c r="H17" i="19" s="1"/>
  <c r="I9" i="19"/>
  <c r="H31" i="19"/>
  <c r="I32" i="19"/>
  <c r="E51" i="2"/>
  <c r="E13" i="2" s="1"/>
  <c r="D51" i="2"/>
  <c r="D13" i="2" s="1"/>
  <c r="S975" i="1" s="1"/>
  <c r="Y975" i="1" l="1"/>
  <c r="U975" i="1"/>
  <c r="Z975" i="1"/>
  <c r="V975" i="1"/>
  <c r="F128" i="10"/>
  <c r="F238" i="10"/>
  <c r="F142" i="10"/>
  <c r="R399" i="1"/>
  <c r="R170" i="1"/>
  <c r="F126" i="10"/>
  <c r="F242" i="10"/>
  <c r="H242" i="10" s="1"/>
  <c r="R189" i="1"/>
  <c r="R187" i="1"/>
  <c r="R1454" i="1"/>
  <c r="R439" i="1"/>
  <c r="F129" i="10"/>
  <c r="R973" i="1"/>
  <c r="R1309" i="1"/>
  <c r="U1309" i="1" s="1"/>
  <c r="R974" i="1"/>
  <c r="R1606" i="1"/>
  <c r="R1594" i="1"/>
  <c r="R970" i="1"/>
  <c r="F239" i="10"/>
  <c r="H239" i="10" s="1"/>
  <c r="I239" i="10" s="1"/>
  <c r="F125" i="10"/>
  <c r="H125" i="10" s="1"/>
  <c r="I125" i="10" s="1"/>
  <c r="F221" i="10"/>
  <c r="R168" i="1"/>
  <c r="U168" i="1" s="1"/>
  <c r="F146" i="10"/>
  <c r="H146" i="10" s="1"/>
  <c r="I146" i="10" s="1"/>
  <c r="R1467" i="1"/>
  <c r="R193" i="1"/>
  <c r="F243" i="10"/>
  <c r="H243" i="10" s="1"/>
  <c r="I243" i="10" s="1"/>
  <c r="R171" i="1"/>
  <c r="R971" i="1"/>
  <c r="R174" i="1"/>
  <c r="F124" i="10"/>
  <c r="H124" i="10" s="1"/>
  <c r="I124" i="10" s="1"/>
  <c r="F140" i="10"/>
  <c r="R167" i="1"/>
  <c r="R972" i="1"/>
  <c r="R169" i="1"/>
  <c r="U169" i="1" s="1"/>
  <c r="F244" i="10"/>
  <c r="R401" i="1"/>
  <c r="F127" i="10"/>
  <c r="H127" i="10" s="1"/>
  <c r="I127" i="10" s="1"/>
  <c r="R327" i="1"/>
  <c r="F220" i="10"/>
  <c r="H220" i="10" s="1"/>
  <c r="I13" i="19"/>
  <c r="H128" i="10"/>
  <c r="I128" i="10" s="1"/>
  <c r="I31" i="19"/>
  <c r="I45" i="19" s="1"/>
  <c r="H45" i="19"/>
  <c r="S973" i="1"/>
  <c r="S1594" i="1"/>
  <c r="S1309" i="1"/>
  <c r="V1309" i="1" s="1"/>
  <c r="S189" i="1"/>
  <c r="S187" i="1"/>
  <c r="S399" i="1"/>
  <c r="S167" i="1"/>
  <c r="S327" i="1"/>
  <c r="S972" i="1"/>
  <c r="S169" i="1"/>
  <c r="V169" i="1" s="1"/>
  <c r="S971" i="1"/>
  <c r="S401" i="1"/>
  <c r="S1606" i="1"/>
  <c r="S1467" i="1"/>
  <c r="S168" i="1"/>
  <c r="V168" i="1" s="1"/>
  <c r="S171" i="1"/>
  <c r="S174" i="1"/>
  <c r="S193" i="1"/>
  <c r="S439" i="1"/>
  <c r="S170" i="1"/>
  <c r="S1454" i="1"/>
  <c r="S970" i="1"/>
  <c r="S974" i="1"/>
  <c r="H238" i="10" l="1"/>
  <c r="I238" i="10" s="1"/>
  <c r="Z439" i="1"/>
  <c r="V439" i="1"/>
  <c r="V971" i="1"/>
  <c r="Z971" i="1"/>
  <c r="U439" i="1"/>
  <c r="Y439" i="1"/>
  <c r="Z401" i="1"/>
  <c r="V401" i="1"/>
  <c r="Z327" i="1"/>
  <c r="V327" i="1"/>
  <c r="V189" i="1"/>
  <c r="Z189" i="1"/>
  <c r="Y401" i="1"/>
  <c r="U401" i="1"/>
  <c r="U167" i="1"/>
  <c r="U2906" i="1" s="1"/>
  <c r="U2904" i="1" s="1"/>
  <c r="Y167" i="1"/>
  <c r="U971" i="1"/>
  <c r="Y971" i="1"/>
  <c r="U1467" i="1"/>
  <c r="Y1467" i="1"/>
  <c r="Y1606" i="1"/>
  <c r="U1606" i="1"/>
  <c r="U189" i="1"/>
  <c r="Y189" i="1"/>
  <c r="Y399" i="1"/>
  <c r="Y2950" i="1" s="1"/>
  <c r="U399" i="1"/>
  <c r="U2950" i="1" s="1"/>
  <c r="V167" i="1"/>
  <c r="Z167" i="1"/>
  <c r="Y974" i="1"/>
  <c r="U974" i="1"/>
  <c r="Z1454" i="1"/>
  <c r="V1454" i="1"/>
  <c r="Z1606" i="1"/>
  <c r="V1606" i="1"/>
  <c r="V972" i="1"/>
  <c r="Z972" i="1"/>
  <c r="V187" i="1"/>
  <c r="Z187" i="1"/>
  <c r="Y972" i="1"/>
  <c r="U972" i="1"/>
  <c r="Y1594" i="1"/>
  <c r="U1594" i="1"/>
  <c r="U187" i="1"/>
  <c r="U2909" i="1" s="1"/>
  <c r="Y187" i="1"/>
  <c r="Y2861" i="1" s="1"/>
  <c r="Z974" i="1"/>
  <c r="V974" i="1"/>
  <c r="V970" i="1"/>
  <c r="Z970" i="1"/>
  <c r="V1467" i="1"/>
  <c r="Z1467" i="1"/>
  <c r="Z399" i="1"/>
  <c r="V399" i="1"/>
  <c r="Z1594" i="1"/>
  <c r="V1594" i="1"/>
  <c r="Y327" i="1"/>
  <c r="U327" i="1"/>
  <c r="Y970" i="1"/>
  <c r="U970" i="1"/>
  <c r="Y1454" i="1"/>
  <c r="U1454" i="1"/>
  <c r="H126" i="10"/>
  <c r="I126" i="10" s="1"/>
  <c r="H142" i="10"/>
  <c r="I142" i="10" s="1"/>
  <c r="H244" i="10"/>
  <c r="I244" i="10" s="1"/>
  <c r="H140" i="10"/>
  <c r="I140" i="10" s="1"/>
  <c r="H129" i="10"/>
  <c r="I129" i="10" s="1"/>
  <c r="I48" i="19"/>
  <c r="I242" i="10"/>
  <c r="I220" i="10"/>
  <c r="U2944" i="1"/>
  <c r="I17" i="19"/>
  <c r="I51" i="19" s="1"/>
  <c r="U2860" i="1" l="1"/>
  <c r="H137" i="10" s="1"/>
  <c r="H135" i="10" s="1"/>
  <c r="G134" i="18"/>
  <c r="U2861" i="1"/>
  <c r="H151" i="10" s="1"/>
  <c r="G14" i="18" s="1"/>
  <c r="Y2915" i="1"/>
  <c r="U2935" i="1"/>
  <c r="Y2909" i="1"/>
  <c r="I246" i="10"/>
  <c r="H70" i="18" s="1"/>
  <c r="Y2906" i="1"/>
  <c r="Y2904" i="1" s="1"/>
  <c r="Y2935" i="1"/>
  <c r="U2915" i="1"/>
  <c r="U2917" i="1" s="1"/>
  <c r="H246" i="10"/>
  <c r="G70" i="18" s="1"/>
  <c r="Y2944" i="1"/>
  <c r="H221" i="10"/>
  <c r="H223" i="10" s="1"/>
  <c r="H423" i="10" s="1"/>
  <c r="V2950" i="1"/>
  <c r="G57" i="18"/>
  <c r="G218" i="18" s="1"/>
  <c r="Y2860" i="1"/>
  <c r="I24" i="19"/>
  <c r="Z2950" i="1"/>
  <c r="V2935" i="1"/>
  <c r="H57" i="18"/>
  <c r="H218" i="18" s="1"/>
  <c r="V2906" i="1"/>
  <c r="V2904" i="1" s="1"/>
  <c r="V2860" i="1"/>
  <c r="Z2861" i="1"/>
  <c r="Z2909" i="1"/>
  <c r="Z2915" i="1"/>
  <c r="Z2906" i="1"/>
  <c r="Z2904" i="1" s="1"/>
  <c r="Z2860" i="1"/>
  <c r="Z2944" i="1"/>
  <c r="V2909" i="1"/>
  <c r="V2915" i="1"/>
  <c r="V2861" i="1"/>
  <c r="I151" i="10" s="1"/>
  <c r="I22" i="19"/>
  <c r="H22" i="19" s="1"/>
  <c r="I25" i="19"/>
  <c r="H25" i="19" s="1"/>
  <c r="I20" i="19"/>
  <c r="H20" i="19" s="1"/>
  <c r="Z2935" i="1"/>
  <c r="V2944" i="1"/>
  <c r="I221" i="10"/>
  <c r="H134" i="18"/>
  <c r="G13" i="18" l="1"/>
  <c r="U2913" i="1"/>
  <c r="H148" i="10"/>
  <c r="Y2913" i="1"/>
  <c r="Y2917" i="1"/>
  <c r="I70" i="18"/>
  <c r="I57" i="18"/>
  <c r="I134" i="18"/>
  <c r="V2913" i="1"/>
  <c r="V2917" i="1"/>
  <c r="I26" i="19"/>
  <c r="H26" i="19" s="1"/>
  <c r="I223" i="10"/>
  <c r="I423" i="10" s="1"/>
  <c r="J221" i="10"/>
  <c r="J223" i="10" s="1"/>
  <c r="J423" i="10" s="1"/>
  <c r="P1022" i="17" s="1"/>
  <c r="J151" i="10"/>
  <c r="I148" i="10"/>
  <c r="H14" i="18"/>
  <c r="I14" i="18" s="1"/>
  <c r="I137" i="10"/>
  <c r="I21" i="19"/>
  <c r="H21" i="19" s="1"/>
  <c r="H24" i="19" s="1"/>
  <c r="I218" i="18"/>
  <c r="I249" i="18" s="1"/>
  <c r="I259" i="18" s="1"/>
  <c r="Z2913" i="1"/>
  <c r="Z2917" i="1"/>
  <c r="J148" i="10" l="1"/>
  <c r="H28" i="19"/>
  <c r="I135" i="10"/>
  <c r="J135" i="10" s="1"/>
  <c r="H13" i="18"/>
  <c r="J137" i="10"/>
  <c r="P1040" i="17"/>
  <c r="I27" i="18"/>
  <c r="I26" i="18" s="1"/>
  <c r="P1035" i="17"/>
  <c r="I13" i="18" l="1"/>
  <c r="R1767" i="1"/>
  <c r="S1767" i="1"/>
  <c r="R1872" i="1"/>
  <c r="S1872" i="1"/>
  <c r="Y1872" i="1" l="1"/>
  <c r="U1872" i="1"/>
  <c r="Z1872" i="1"/>
  <c r="V1872" i="1"/>
  <c r="U1767" i="1"/>
  <c r="Y1767" i="1"/>
  <c r="V1767" i="1"/>
  <c r="Z1767" i="1"/>
  <c r="R2396" i="1"/>
  <c r="S2396" i="1"/>
  <c r="Z2396" i="1" l="1"/>
  <c r="V2396" i="1"/>
  <c r="U2396" i="1"/>
  <c r="Y2396" i="1"/>
  <c r="R2472" i="1"/>
  <c r="S2472" i="1"/>
  <c r="Y2472" i="1" l="1"/>
  <c r="U2472" i="1"/>
  <c r="V2472" i="1"/>
  <c r="Z2472" i="1"/>
  <c r="G141" i="18"/>
  <c r="H141" i="18"/>
  <c r="I141" i="18" l="1"/>
  <c r="R1770" i="1" l="1"/>
  <c r="R1875" i="1"/>
  <c r="R1068" i="1"/>
  <c r="R1069" i="1"/>
  <c r="U1770" i="1" l="1"/>
  <c r="Y1770" i="1"/>
  <c r="U1068" i="1"/>
  <c r="Y1068" i="1"/>
  <c r="U1875" i="1"/>
  <c r="Y1875" i="1"/>
  <c r="U1069" i="1"/>
  <c r="Y1069" i="1"/>
  <c r="U2865" i="1"/>
  <c r="S1069" i="1"/>
  <c r="S1770" i="1"/>
  <c r="S1068" i="1"/>
  <c r="U3082" i="1" l="1"/>
  <c r="U3080" i="1" s="1"/>
  <c r="V1770" i="1"/>
  <c r="Z1770" i="1"/>
  <c r="Y3082" i="1"/>
  <c r="Y2865" i="1"/>
  <c r="V1068" i="1"/>
  <c r="Z1068" i="1"/>
  <c r="V1069" i="1"/>
  <c r="Z1069" i="1"/>
  <c r="G206" i="18" l="1"/>
  <c r="G204" i="18" s="1"/>
  <c r="H418" i="10"/>
  <c r="H434" i="10" s="1"/>
  <c r="Y3080" i="1"/>
  <c r="G208" i="18" l="1"/>
  <c r="G224" i="18" s="1"/>
  <c r="G19" i="18" s="1"/>
  <c r="S1875" i="1" l="1"/>
  <c r="Z459" i="1"/>
  <c r="Z490" i="1"/>
  <c r="Z491" i="1"/>
  <c r="Z493" i="1"/>
  <c r="Z522" i="1"/>
  <c r="Z594" i="1"/>
  <c r="Y459" i="1"/>
  <c r="Y490" i="1"/>
  <c r="Y491" i="1"/>
  <c r="Y493" i="1"/>
  <c r="Y522" i="1"/>
  <c r="Y594" i="1"/>
  <c r="Z1875" i="1" l="1"/>
  <c r="V1875" i="1"/>
  <c r="Z2865" i="1" l="1"/>
  <c r="Z3082" i="1"/>
  <c r="V3082" i="1"/>
  <c r="V2865" i="1"/>
  <c r="H206" i="18" l="1"/>
  <c r="I418" i="10"/>
  <c r="V3080" i="1"/>
  <c r="Z3080" i="1"/>
  <c r="H204" i="18" l="1"/>
  <c r="I204" i="18" s="1"/>
  <c r="H208" i="18"/>
  <c r="H224" i="18" s="1"/>
  <c r="H19" i="18" s="1"/>
  <c r="I206" i="18"/>
  <c r="I208" i="18" s="1"/>
  <c r="I224" i="18" s="1"/>
  <c r="J418" i="10"/>
  <c r="J434" i="10" s="1"/>
  <c r="I434" i="10"/>
  <c r="I19" i="18" l="1"/>
  <c r="Z634" i="1" l="1"/>
  <c r="Z587" i="1"/>
  <c r="Z588" i="1"/>
  <c r="Z116" i="1"/>
  <c r="Z545" i="1"/>
  <c r="Z509" i="1"/>
  <c r="Z620" i="1"/>
  <c r="Z311" i="1"/>
  <c r="Z313" i="1"/>
  <c r="Z302" i="1"/>
  <c r="Z609" i="1"/>
  <c r="Z559" i="1"/>
  <c r="Z549" i="1"/>
  <c r="Z310" i="1"/>
  <c r="Z570" i="1"/>
  <c r="Z565" i="1"/>
  <c r="Z541" i="1"/>
  <c r="Z458" i="1"/>
  <c r="Z562" i="1"/>
  <c r="Z564" i="1"/>
  <c r="Z632" i="1"/>
  <c r="Z563" i="1"/>
  <c r="Z312" i="1"/>
  <c r="Z202" i="1"/>
  <c r="Z96" i="1"/>
  <c r="Z487" i="1"/>
  <c r="Z622" i="1"/>
  <c r="Z303" i="1"/>
  <c r="Y587" i="1" l="1"/>
  <c r="Y588" i="1"/>
  <c r="Y634" i="1"/>
  <c r="Y116" i="1"/>
  <c r="Y312" i="1"/>
  <c r="Y96" i="1"/>
  <c r="Y541" i="1"/>
  <c r="Y622" i="1"/>
  <c r="Y545" i="1"/>
  <c r="Y303" i="1"/>
  <c r="Y302" i="1"/>
  <c r="Y620" i="1"/>
  <c r="Y609" i="1"/>
  <c r="Y311" i="1"/>
  <c r="Y563" i="1"/>
  <c r="Y565" i="1"/>
  <c r="Y310" i="1"/>
  <c r="Y549" i="1"/>
  <c r="Y202" i="1"/>
  <c r="Y570" i="1"/>
  <c r="Y562" i="1"/>
  <c r="Y487" i="1"/>
  <c r="Y313" i="1"/>
  <c r="Y632" i="1"/>
  <c r="Y509" i="1"/>
  <c r="Y559" i="1"/>
  <c r="Y564" i="1"/>
  <c r="Y458" i="1"/>
  <c r="P222" i="17" l="1"/>
  <c r="P225" i="17" s="1"/>
  <c r="O225" i="17" s="1"/>
  <c r="P1038" i="17" l="1"/>
  <c r="P1039" i="17" s="1"/>
  <c r="AN2855" i="1" l="1"/>
  <c r="AN2870" i="1" s="1"/>
  <c r="AN2845" i="1"/>
  <c r="AN2850" i="1" s="1"/>
  <c r="U476" i="1"/>
  <c r="V476" i="1"/>
  <c r="R730" i="1"/>
  <c r="S730" i="1"/>
  <c r="V730" i="1" l="1"/>
  <c r="H65" i="18" s="1"/>
  <c r="Z730" i="1"/>
  <c r="U730" i="1"/>
  <c r="G65" i="18" s="1"/>
  <c r="Y730" i="1"/>
  <c r="U2864" i="1"/>
  <c r="U2870" i="1" s="1"/>
  <c r="U2845" i="1"/>
  <c r="U2986" i="1"/>
  <c r="I65" i="18" l="1"/>
  <c r="V2864" i="1"/>
  <c r="V2870" i="1" s="1"/>
  <c r="V2845" i="1"/>
  <c r="V2986" i="1"/>
  <c r="Z2845" i="1"/>
  <c r="Z2986" i="1"/>
  <c r="Z2864" i="1"/>
  <c r="Z2870" i="1" s="1"/>
  <c r="Y2845" i="1"/>
  <c r="Y2986" i="1"/>
  <c r="Y2864" i="1"/>
  <c r="Y2870" i="1" s="1"/>
  <c r="H105" i="18"/>
  <c r="V2984" i="1"/>
  <c r="I404" i="10" s="1"/>
  <c r="I407" i="10" s="1"/>
  <c r="I415" i="10" s="1"/>
  <c r="U2984" i="1"/>
  <c r="H404" i="10" s="1"/>
  <c r="G105" i="18"/>
  <c r="Y2984" i="1" l="1"/>
  <c r="Z2984" i="1"/>
  <c r="H103" i="18"/>
  <c r="H112" i="18"/>
  <c r="H18" i="18" s="1"/>
  <c r="H22" i="18" s="1"/>
  <c r="H407" i="10"/>
  <c r="H415" i="10" s="1"/>
  <c r="J404" i="10"/>
  <c r="J407" i="10" s="1"/>
  <c r="J415" i="10" s="1"/>
  <c r="G103" i="18"/>
  <c r="I105" i="18"/>
  <c r="I103" i="18" s="1"/>
  <c r="G112" i="18"/>
  <c r="I112" i="18" l="1"/>
  <c r="G18" i="18"/>
  <c r="D99" i="2"/>
  <c r="G22" i="18" l="1"/>
  <c r="I18" i="18"/>
  <c r="I22" i="18" s="1"/>
  <c r="I23" i="18" s="1"/>
  <c r="C99" i="2" l="1"/>
  <c r="G23" i="18"/>
  <c r="H23" i="18" l="1"/>
  <c r="H26" i="18" s="1"/>
  <c r="G26" i="18"/>
  <c r="E99" i="2"/>
  <c r="E101" i="2" l="1"/>
  <c r="E19" i="2" s="1"/>
  <c r="D101" i="2"/>
  <c r="D19" i="2" s="1"/>
  <c r="C101" i="2"/>
  <c r="C19" i="2" s="1"/>
  <c r="R110" i="1" l="1"/>
  <c r="R63" i="1"/>
  <c r="R475" i="1"/>
  <c r="R131" i="1"/>
  <c r="R111" i="1"/>
  <c r="R507" i="1"/>
  <c r="R557" i="1"/>
  <c r="R635" i="1"/>
  <c r="R472" i="1"/>
  <c r="R483" i="1"/>
  <c r="R79" i="1"/>
  <c r="R47" i="1"/>
  <c r="R505" i="1"/>
  <c r="R89" i="1"/>
  <c r="R1301" i="1"/>
  <c r="R610" i="1"/>
  <c r="R95" i="1"/>
  <c r="R605" i="1"/>
  <c r="R514" i="1"/>
  <c r="R479" i="1"/>
  <c r="R98" i="1"/>
  <c r="R607" i="1"/>
  <c r="R145" i="1"/>
  <c r="R473" i="1"/>
  <c r="R511" i="1"/>
  <c r="R546" i="1"/>
  <c r="R78" i="1"/>
  <c r="R1304" i="1"/>
  <c r="R589" i="1"/>
  <c r="R539" i="1"/>
  <c r="R309" i="1"/>
  <c r="R627" i="1"/>
  <c r="R480" i="1"/>
  <c r="R592" i="1"/>
  <c r="R136" i="1"/>
  <c r="R199" i="1"/>
  <c r="R457" i="1"/>
  <c r="R585" i="1"/>
  <c r="R636" i="1"/>
  <c r="R550" i="1"/>
  <c r="R152" i="1"/>
  <c r="R123" i="1"/>
  <c r="R576" i="1"/>
  <c r="R822" i="1"/>
  <c r="R510" i="1"/>
  <c r="U510" i="1" s="1"/>
  <c r="R642" i="1"/>
  <c r="U642" i="1" s="1"/>
  <c r="R570" i="1"/>
  <c r="U570" i="1" s="1"/>
  <c r="R491" i="1"/>
  <c r="U491" i="1" s="1"/>
  <c r="R563" i="1"/>
  <c r="U563" i="1" s="1"/>
  <c r="R580" i="1"/>
  <c r="R492" i="1"/>
  <c r="R65" i="1"/>
  <c r="R509" i="1"/>
  <c r="U509" i="1" s="1"/>
  <c r="R566" i="1"/>
  <c r="R606" i="1"/>
  <c r="R547" i="1"/>
  <c r="R125" i="1"/>
  <c r="R143" i="1"/>
  <c r="R551" i="1"/>
  <c r="R521" i="1"/>
  <c r="R578" i="1"/>
  <c r="R458" i="1"/>
  <c r="U458" i="1" s="1"/>
  <c r="R1288" i="1"/>
  <c r="R541" i="1"/>
  <c r="U541" i="1" s="1"/>
  <c r="R549" i="1"/>
  <c r="U549" i="1" s="1"/>
  <c r="R616" i="1"/>
  <c r="R304" i="1"/>
  <c r="R481" i="1"/>
  <c r="R496" i="1"/>
  <c r="R83" i="1"/>
  <c r="R501" i="1"/>
  <c r="R601" i="1"/>
  <c r="R137" i="1"/>
  <c r="R1307" i="1"/>
  <c r="R69" i="1"/>
  <c r="R611" i="1"/>
  <c r="R586" i="1"/>
  <c r="R485" i="1"/>
  <c r="R109" i="1"/>
  <c r="R1303" i="1"/>
  <c r="R308" i="1"/>
  <c r="R142" i="1"/>
  <c r="R1290" i="1"/>
  <c r="R504" i="1"/>
  <c r="R641" i="1"/>
  <c r="R45" i="1"/>
  <c r="R86" i="1"/>
  <c r="R602" i="1"/>
  <c r="R1308" i="1"/>
  <c r="R197" i="1"/>
  <c r="R477" i="1"/>
  <c r="R597" i="1"/>
  <c r="R114" i="1"/>
  <c r="R1306" i="1"/>
  <c r="R306" i="1"/>
  <c r="R517" i="1"/>
  <c r="R91" i="1"/>
  <c r="R1286" i="1"/>
  <c r="R486" i="1"/>
  <c r="R498" i="1"/>
  <c r="R203" i="1"/>
  <c r="R552" i="1"/>
  <c r="R638" i="1"/>
  <c r="R305" i="1"/>
  <c r="U305" i="1" s="1"/>
  <c r="R633" i="1"/>
  <c r="R81" i="1"/>
  <c r="R558" i="1"/>
  <c r="R67" i="1"/>
  <c r="R568" i="1"/>
  <c r="R614" i="1"/>
  <c r="R1502" i="1"/>
  <c r="R68" i="1"/>
  <c r="U68" i="1" s="1"/>
  <c r="R88" i="1"/>
  <c r="R584" i="1"/>
  <c r="R573" i="1"/>
  <c r="R640" i="1"/>
  <c r="R615" i="1"/>
  <c r="R195" i="1"/>
  <c r="U195" i="1" s="1"/>
  <c r="R545" i="1"/>
  <c r="U545" i="1" s="1"/>
  <c r="R141" i="1"/>
  <c r="R87" i="1"/>
  <c r="R92" i="1"/>
  <c r="R518" i="1"/>
  <c r="R84" i="1"/>
  <c r="R572" i="1"/>
  <c r="R487" i="1"/>
  <c r="U487" i="1" s="1"/>
  <c r="R588" i="1"/>
  <c r="U588" i="1" s="1"/>
  <c r="R553" i="1"/>
  <c r="R598" i="1"/>
  <c r="R579" i="1"/>
  <c r="R459" i="1"/>
  <c r="U459" i="1" s="1"/>
  <c r="R310" i="1"/>
  <c r="U310" i="1" s="1"/>
  <c r="R311" i="1"/>
  <c r="U311" i="1" s="1"/>
  <c r="R172" i="1"/>
  <c r="U172" i="1" s="1"/>
  <c r="R108" i="1"/>
  <c r="R569" i="1"/>
  <c r="R556" i="1"/>
  <c r="R129" i="1"/>
  <c r="R97" i="1"/>
  <c r="R471" i="1"/>
  <c r="R542" i="1"/>
  <c r="R200" i="1"/>
  <c r="R581" i="1"/>
  <c r="R112" i="1"/>
  <c r="R462" i="1"/>
  <c r="R146" i="1"/>
  <c r="R488" i="1"/>
  <c r="R449" i="1"/>
  <c r="R130" i="1"/>
  <c r="R497" i="1"/>
  <c r="R72" i="1"/>
  <c r="R544" i="1"/>
  <c r="R543" i="1"/>
  <c r="R516" i="1"/>
  <c r="R106" i="1"/>
  <c r="R94" i="1"/>
  <c r="R75" i="1"/>
  <c r="R506" i="1"/>
  <c r="R582" i="1"/>
  <c r="R1302" i="1"/>
  <c r="R73" i="1"/>
  <c r="R465" i="1"/>
  <c r="R476" i="1"/>
  <c r="R301" i="1"/>
  <c r="R80" i="1"/>
  <c r="R298" i="1"/>
  <c r="R499" i="1"/>
  <c r="R127" i="1"/>
  <c r="R105" i="1"/>
  <c r="R452" i="1"/>
  <c r="R623" i="1"/>
  <c r="R595" i="1"/>
  <c r="R116" i="1"/>
  <c r="U116" i="1" s="1"/>
  <c r="R571" i="1"/>
  <c r="R590" i="1"/>
  <c r="R466" i="1"/>
  <c r="R535" i="1"/>
  <c r="R463" i="1"/>
  <c r="R632" i="1"/>
  <c r="U632" i="1" s="1"/>
  <c r="R856" i="1"/>
  <c r="R624" i="1"/>
  <c r="U624" i="1" s="1"/>
  <c r="R144" i="1"/>
  <c r="U144" i="1" s="1"/>
  <c r="R140" i="1"/>
  <c r="R548" i="1"/>
  <c r="R74" i="1"/>
  <c r="R474" i="1"/>
  <c r="U474" i="1" s="1"/>
  <c r="R562" i="1"/>
  <c r="U562" i="1" s="1"/>
  <c r="R104" i="1"/>
  <c r="R70" i="1"/>
  <c r="R464" i="1"/>
  <c r="R90" i="1"/>
  <c r="R99" i="1"/>
  <c r="R575" i="1"/>
  <c r="R120" i="1"/>
  <c r="R117" i="1"/>
  <c r="R596" i="1"/>
  <c r="R1284" i="1"/>
  <c r="R196" i="1"/>
  <c r="U196" i="1" s="1"/>
  <c r="R1542" i="1"/>
  <c r="R564" i="1"/>
  <c r="U564" i="1" s="1"/>
  <c r="R493" i="1"/>
  <c r="U493" i="1" s="1"/>
  <c r="R307" i="1"/>
  <c r="R468" i="1"/>
  <c r="R135" i="1"/>
  <c r="R138" i="1"/>
  <c r="R484" i="1"/>
  <c r="R478" i="1"/>
  <c r="R482" i="1"/>
  <c r="R300" i="1"/>
  <c r="R495" i="1"/>
  <c r="R512" i="1"/>
  <c r="R71" i="1"/>
  <c r="R603" i="1"/>
  <c r="R128" i="1"/>
  <c r="R513" i="1"/>
  <c r="R134" i="1"/>
  <c r="R520" i="1"/>
  <c r="R639" i="1"/>
  <c r="R489" i="1"/>
  <c r="R583" i="1"/>
  <c r="R82" i="1"/>
  <c r="R494" i="1"/>
  <c r="R126" i="1"/>
  <c r="R608" i="1"/>
  <c r="R515" i="1"/>
  <c r="R77" i="1"/>
  <c r="R560" i="1"/>
  <c r="R85" i="1"/>
  <c r="R502" i="1"/>
  <c r="R46" i="1"/>
  <c r="R460" i="1"/>
  <c r="R561" i="1"/>
  <c r="R107" i="1"/>
  <c r="R503" i="1"/>
  <c r="R500" i="1"/>
  <c r="R461" i="1"/>
  <c r="R574" i="1"/>
  <c r="R637" i="1"/>
  <c r="R559" i="1"/>
  <c r="U559" i="1" s="1"/>
  <c r="R124" i="1"/>
  <c r="U124" i="1" s="1"/>
  <c r="R534" i="1"/>
  <c r="R93" i="1"/>
  <c r="R139" i="1"/>
  <c r="R76" i="1"/>
  <c r="U76" i="1" s="1"/>
  <c r="R313" i="1"/>
  <c r="U313" i="1" s="1"/>
  <c r="R490" i="1"/>
  <c r="U490" i="1" s="1"/>
  <c r="R133" i="1"/>
  <c r="R122" i="1"/>
  <c r="R554" i="1"/>
  <c r="R118" i="1"/>
  <c r="R565" i="1"/>
  <c r="U565" i="1" s="1"/>
  <c r="R594" i="1"/>
  <c r="U594" i="1" s="1"/>
  <c r="R113" i="1"/>
  <c r="R555" i="1"/>
  <c r="R132" i="1"/>
  <c r="R198" i="1"/>
  <c r="R567" i="1"/>
  <c r="R630" i="1"/>
  <c r="R577" i="1"/>
  <c r="R634" i="1"/>
  <c r="U634" i="1" s="1"/>
  <c r="R613" i="1"/>
  <c r="R467" i="1"/>
  <c r="R121" i="1"/>
  <c r="R604" i="1"/>
  <c r="R1342" i="1"/>
  <c r="R202" i="1"/>
  <c r="U202" i="1" s="1"/>
  <c r="R620" i="1"/>
  <c r="U620" i="1" s="1"/>
  <c r="R1406" i="1"/>
  <c r="R299" i="1"/>
  <c r="U299" i="1" s="1"/>
  <c r="R591" i="1"/>
  <c r="R66" i="1"/>
  <c r="R119" i="1"/>
  <c r="R593" i="1"/>
  <c r="R303" i="1"/>
  <c r="U303" i="1" s="1"/>
  <c r="R540" i="1"/>
  <c r="U540" i="1" s="1"/>
  <c r="R622" i="1"/>
  <c r="U622" i="1" s="1"/>
  <c r="R1287" i="1"/>
  <c r="R302" i="1"/>
  <c r="U302" i="1" s="1"/>
  <c r="R64" i="1"/>
  <c r="R609" i="1"/>
  <c r="U609" i="1" s="1"/>
  <c r="R96" i="1"/>
  <c r="U96" i="1" s="1"/>
  <c r="R522" i="1"/>
  <c r="U522" i="1" s="1"/>
  <c r="R587" i="1"/>
  <c r="U587" i="1" s="1"/>
  <c r="R470" i="1"/>
  <c r="U470" i="1" s="1"/>
  <c r="R312" i="1"/>
  <c r="U312" i="1" s="1"/>
  <c r="R115" i="1"/>
  <c r="U115" i="1" s="1"/>
  <c r="S71" i="1"/>
  <c r="S1286" i="1"/>
  <c r="S98" i="1"/>
  <c r="S1308" i="1"/>
  <c r="S197" i="1"/>
  <c r="S1290" i="1"/>
  <c r="S635" i="1"/>
  <c r="S504" i="1"/>
  <c r="S110" i="1"/>
  <c r="S488" i="1"/>
  <c r="S112" i="1"/>
  <c r="S465" i="1"/>
  <c r="S477" i="1"/>
  <c r="S561" i="1"/>
  <c r="S300" i="1"/>
  <c r="S546" i="1"/>
  <c r="S502" i="1"/>
  <c r="S130" i="1"/>
  <c r="S602" i="1"/>
  <c r="S627" i="1"/>
  <c r="S63" i="1"/>
  <c r="S452" i="1"/>
  <c r="S517" i="1"/>
  <c r="S489" i="1"/>
  <c r="S556" i="1"/>
  <c r="S581" i="1"/>
  <c r="S484" i="1"/>
  <c r="S480" i="1"/>
  <c r="S601" i="1"/>
  <c r="S512" i="1"/>
  <c r="S107" i="1"/>
  <c r="S482" i="1"/>
  <c r="S91" i="1"/>
  <c r="S308" i="1"/>
  <c r="S615" i="1"/>
  <c r="S534" i="1"/>
  <c r="S125" i="1"/>
  <c r="S123" i="1"/>
  <c r="S457" i="1"/>
  <c r="S466" i="1"/>
  <c r="S96" i="1"/>
  <c r="V96" i="1" s="1"/>
  <c r="S310" i="1"/>
  <c r="V310" i="1" s="1"/>
  <c r="S203" i="1"/>
  <c r="S595" i="1"/>
  <c r="S87" i="1"/>
  <c r="S568" i="1"/>
  <c r="S637" i="1"/>
  <c r="S562" i="1"/>
  <c r="V562" i="1" s="1"/>
  <c r="S122" i="1"/>
  <c r="S636" i="1"/>
  <c r="S117" i="1"/>
  <c r="S613" i="1"/>
  <c r="S638" i="1"/>
  <c r="S124" i="1"/>
  <c r="V124" i="1" s="1"/>
  <c r="S74" i="1"/>
  <c r="S598" i="1"/>
  <c r="S623" i="1"/>
  <c r="S299" i="1"/>
  <c r="V299" i="1" s="1"/>
  <c r="S70" i="1"/>
  <c r="S88" i="1"/>
  <c r="S136" i="1"/>
  <c r="S139" i="1"/>
  <c r="S588" i="1"/>
  <c r="V588" i="1" s="1"/>
  <c r="S305" i="1"/>
  <c r="V305" i="1" s="1"/>
  <c r="S522" i="1"/>
  <c r="V522" i="1" s="1"/>
  <c r="S93" i="1"/>
  <c r="S593" i="1"/>
  <c r="S115" i="1"/>
  <c r="V115" i="1" s="1"/>
  <c r="S1287" i="1"/>
  <c r="S474" i="1"/>
  <c r="V474" i="1" s="1"/>
  <c r="S498" i="1"/>
  <c r="S607" i="1"/>
  <c r="S94" i="1"/>
  <c r="S85" i="1"/>
  <c r="S309" i="1"/>
  <c r="S72" i="1"/>
  <c r="S468" i="1"/>
  <c r="S481" i="1"/>
  <c r="S586" i="1"/>
  <c r="S109" i="1"/>
  <c r="S499" i="1"/>
  <c r="S1301" i="1"/>
  <c r="S503" i="1"/>
  <c r="S478" i="1"/>
  <c r="S471" i="1"/>
  <c r="S146" i="1"/>
  <c r="S589" i="1"/>
  <c r="S501" i="1"/>
  <c r="S106" i="1"/>
  <c r="S475" i="1"/>
  <c r="S138" i="1"/>
  <c r="S516" i="1"/>
  <c r="S515" i="1"/>
  <c r="S82" i="1"/>
  <c r="S111" i="1"/>
  <c r="S479" i="1"/>
  <c r="S89" i="1"/>
  <c r="S610" i="1"/>
  <c r="S134" i="1"/>
  <c r="S78" i="1"/>
  <c r="S496" i="1"/>
  <c r="S1307" i="1"/>
  <c r="S460" i="1"/>
  <c r="S548" i="1"/>
  <c r="S81" i="1"/>
  <c r="S491" i="1"/>
  <c r="V491" i="1" s="1"/>
  <c r="S566" i="1"/>
  <c r="S620" i="1"/>
  <c r="V620" i="1" s="1"/>
  <c r="S118" i="1"/>
  <c r="S614" i="1"/>
  <c r="S569" i="1"/>
  <c r="S559" i="1"/>
  <c r="V559" i="1" s="1"/>
  <c r="S567" i="1"/>
  <c r="S580" i="1"/>
  <c r="S572" i="1"/>
  <c r="S313" i="1"/>
  <c r="V313" i="1" s="1"/>
  <c r="S458" i="1"/>
  <c r="V458" i="1" s="1"/>
  <c r="S592" i="1"/>
  <c r="S65" i="1"/>
  <c r="S573" i="1"/>
  <c r="S630" i="1"/>
  <c r="S84" i="1"/>
  <c r="S492" i="1"/>
  <c r="S68" i="1"/>
  <c r="V68" i="1" s="1"/>
  <c r="S108" i="1"/>
  <c r="S141" i="1"/>
  <c r="S143" i="1"/>
  <c r="S555" i="1"/>
  <c r="S822" i="1"/>
  <c r="S312" i="1"/>
  <c r="V312" i="1" s="1"/>
  <c r="S624" i="1"/>
  <c r="V624" i="1" s="1"/>
  <c r="S535" i="1"/>
  <c r="S575" i="1"/>
  <c r="S459" i="1"/>
  <c r="V459" i="1" s="1"/>
  <c r="S470" i="1"/>
  <c r="V470" i="1" s="1"/>
  <c r="S1284" i="1"/>
  <c r="S79" i="1"/>
  <c r="S127" i="1"/>
  <c r="S306" i="1"/>
  <c r="S462" i="1"/>
  <c r="S520" i="1"/>
  <c r="S142" i="1"/>
  <c r="S80" i="1"/>
  <c r="S307" i="1"/>
  <c r="S137" i="1"/>
  <c r="S126" i="1"/>
  <c r="S514" i="1"/>
  <c r="S1306" i="1"/>
  <c r="S485" i="1"/>
  <c r="S597" i="1"/>
  <c r="S542" i="1"/>
  <c r="S449" i="1"/>
  <c r="S128" i="1"/>
  <c r="S135" i="1"/>
  <c r="S298" i="1"/>
  <c r="S105" i="1"/>
  <c r="S77" i="1"/>
  <c r="S511" i="1"/>
  <c r="S129" i="1"/>
  <c r="S304" i="1"/>
  <c r="S505" i="1"/>
  <c r="S603" i="1"/>
  <c r="S583" i="1"/>
  <c r="S131" i="1"/>
  <c r="S95" i="1"/>
  <c r="S582" i="1"/>
  <c r="S86" i="1"/>
  <c r="S557" i="1"/>
  <c r="S46" i="1"/>
  <c r="S145" i="1"/>
  <c r="S140" i="1"/>
  <c r="S120" i="1"/>
  <c r="S554" i="1"/>
  <c r="S99" i="1"/>
  <c r="S551" i="1"/>
  <c r="S585" i="1"/>
  <c r="S545" i="1"/>
  <c r="V545" i="1" s="1"/>
  <c r="S199" i="1"/>
  <c r="S119" i="1"/>
  <c r="S490" i="1"/>
  <c r="V490" i="1" s="1"/>
  <c r="S604" i="1"/>
  <c r="S616" i="1"/>
  <c r="S521" i="1"/>
  <c r="S558" i="1"/>
  <c r="S633" i="1"/>
  <c r="S570" i="1"/>
  <c r="V570" i="1" s="1"/>
  <c r="S196" i="1"/>
  <c r="V196" i="1" s="1"/>
  <c r="S67" i="1"/>
  <c r="S518" i="1"/>
  <c r="S144" i="1"/>
  <c r="V144" i="1" s="1"/>
  <c r="S642" i="1"/>
  <c r="V642" i="1" s="1"/>
  <c r="S579" i="1"/>
  <c r="S574" i="1"/>
  <c r="S550" i="1"/>
  <c r="S133" i="1"/>
  <c r="S590" i="1"/>
  <c r="S303" i="1"/>
  <c r="V303" i="1" s="1"/>
  <c r="S1288" i="1"/>
  <c r="S606" i="1"/>
  <c r="S76" i="1"/>
  <c r="V76" i="1" s="1"/>
  <c r="S553" i="1"/>
  <c r="S539" i="1"/>
  <c r="S200" i="1"/>
  <c r="S73" i="1"/>
  <c r="S494" i="1"/>
  <c r="S560" i="1"/>
  <c r="S301" i="1"/>
  <c r="S476" i="1"/>
  <c r="S608" i="1"/>
  <c r="S497" i="1"/>
  <c r="S605" i="1"/>
  <c r="S513" i="1"/>
  <c r="S506" i="1"/>
  <c r="S472" i="1"/>
  <c r="S47" i="1"/>
  <c r="S69" i="1"/>
  <c r="S83" i="1"/>
  <c r="S45" i="1"/>
  <c r="S97" i="1"/>
  <c r="S114" i="1"/>
  <c r="S483" i="1"/>
  <c r="S1304" i="1"/>
  <c r="S500" i="1"/>
  <c r="S75" i="1"/>
  <c r="S639" i="1"/>
  <c r="S495" i="1"/>
  <c r="S611" i="1"/>
  <c r="S507" i="1"/>
  <c r="S1303" i="1"/>
  <c r="S1302" i="1"/>
  <c r="S543" i="1"/>
  <c r="S641" i="1"/>
  <c r="S544" i="1"/>
  <c r="S486" i="1"/>
  <c r="S473" i="1"/>
  <c r="S121" i="1"/>
  <c r="S571" i="1"/>
  <c r="S856" i="1"/>
  <c r="S104" i="1"/>
  <c r="S634" i="1"/>
  <c r="V634" i="1" s="1"/>
  <c r="S464" i="1"/>
  <c r="S92" i="1"/>
  <c r="S552" i="1"/>
  <c r="S152" i="1"/>
  <c r="S467" i="1"/>
  <c r="S596" i="1"/>
  <c r="S461" i="1"/>
  <c r="S132" i="1"/>
  <c r="S463" i="1"/>
  <c r="S493" i="1"/>
  <c r="V493" i="1" s="1"/>
  <c r="S198" i="1"/>
  <c r="S90" i="1"/>
  <c r="S577" i="1"/>
  <c r="S66" i="1"/>
  <c r="S640" i="1"/>
  <c r="S578" i="1"/>
  <c r="S302" i="1"/>
  <c r="V302" i="1" s="1"/>
  <c r="S591" i="1"/>
  <c r="S565" i="1"/>
  <c r="V565" i="1" s="1"/>
  <c r="S587" i="1"/>
  <c r="V587" i="1" s="1"/>
  <c r="S116" i="1"/>
  <c r="V116" i="1" s="1"/>
  <c r="S1502" i="1"/>
  <c r="S113" i="1"/>
  <c r="S622" i="1"/>
  <c r="V622" i="1" s="1"/>
  <c r="S509" i="1"/>
  <c r="V509" i="1" s="1"/>
  <c r="S576" i="1"/>
  <c r="S549" i="1"/>
  <c r="V549" i="1" s="1"/>
  <c r="S1406" i="1"/>
  <c r="S594" i="1"/>
  <c r="V594" i="1" s="1"/>
  <c r="S540" i="1"/>
  <c r="V540" i="1" s="1"/>
  <c r="S487" i="1"/>
  <c r="V487" i="1" s="1"/>
  <c r="S172" i="1"/>
  <c r="V172" i="1" s="1"/>
  <c r="S1542" i="1"/>
  <c r="S1342" i="1"/>
  <c r="S64" i="1"/>
  <c r="S584" i="1"/>
  <c r="S547" i="1"/>
  <c r="S563" i="1"/>
  <c r="V563" i="1" s="1"/>
  <c r="S632" i="1"/>
  <c r="V632" i="1" s="1"/>
  <c r="S195" i="1"/>
  <c r="V195" i="1" s="1"/>
  <c r="S541" i="1"/>
  <c r="V541" i="1" s="1"/>
  <c r="S609" i="1"/>
  <c r="V609" i="1" s="1"/>
  <c r="S510" i="1"/>
  <c r="V510" i="1" s="1"/>
  <c r="S202" i="1"/>
  <c r="V202" i="1" s="1"/>
  <c r="S311" i="1"/>
  <c r="V311" i="1" s="1"/>
  <c r="S564" i="1"/>
  <c r="V564" i="1" s="1"/>
  <c r="V1542" i="1" l="1"/>
  <c r="Z1542" i="1"/>
  <c r="U1542" i="1"/>
  <c r="Y1542" i="1"/>
  <c r="V1502" i="1"/>
  <c r="Z1502" i="1"/>
  <c r="U1502" i="1"/>
  <c r="Y1502" i="1"/>
  <c r="V1406" i="1"/>
  <c r="Z1406" i="1"/>
  <c r="U1406" i="1"/>
  <c r="Y1406" i="1"/>
  <c r="U1342" i="1"/>
  <c r="Y1342" i="1"/>
  <c r="Y3088" i="1" s="1"/>
  <c r="V1342" i="1"/>
  <c r="Z1342" i="1"/>
  <c r="U1288" i="1"/>
  <c r="Y1288" i="1"/>
  <c r="V1288" i="1"/>
  <c r="Z1288" i="1"/>
  <c r="U1287" i="1"/>
  <c r="Y1287" i="1"/>
  <c r="V1287" i="1"/>
  <c r="Z1287" i="1"/>
  <c r="U1284" i="1"/>
  <c r="Y1284" i="1"/>
  <c r="V1284" i="1"/>
  <c r="Z1284" i="1"/>
  <c r="V822" i="1"/>
  <c r="Z822" i="1"/>
  <c r="V856" i="1"/>
  <c r="Z856" i="1"/>
  <c r="U856" i="1"/>
  <c r="Y856" i="1"/>
  <c r="U822" i="1"/>
  <c r="Y822" i="1"/>
  <c r="V576" i="1"/>
  <c r="Z576" i="1"/>
  <c r="Z92" i="1"/>
  <c r="V92" i="1"/>
  <c r="Z113" i="1"/>
  <c r="V113" i="1"/>
  <c r="V640" i="1"/>
  <c r="Z640" i="1"/>
  <c r="V461" i="1"/>
  <c r="Z461" i="1"/>
  <c r="Z104" i="1"/>
  <c r="V104" i="1"/>
  <c r="Z606" i="1"/>
  <c r="V606" i="1"/>
  <c r="Z521" i="1"/>
  <c r="V521" i="1"/>
  <c r="V551" i="1"/>
  <c r="Z551" i="1"/>
  <c r="Z143" i="1"/>
  <c r="V143" i="1"/>
  <c r="Z65" i="1"/>
  <c r="V65" i="1"/>
  <c r="V569" i="1"/>
  <c r="Z569" i="1"/>
  <c r="V593" i="1"/>
  <c r="Z593" i="1"/>
  <c r="V70" i="1"/>
  <c r="Z70" i="1"/>
  <c r="Z74" i="1"/>
  <c r="V74" i="1"/>
  <c r="Z117" i="1"/>
  <c r="V117" i="1"/>
  <c r="V637" i="1"/>
  <c r="Z637" i="1"/>
  <c r="Z203" i="1"/>
  <c r="V203" i="1"/>
  <c r="Z457" i="1"/>
  <c r="V457" i="1"/>
  <c r="Z615" i="1"/>
  <c r="V615" i="1"/>
  <c r="U593" i="1"/>
  <c r="Y593" i="1"/>
  <c r="U613" i="1"/>
  <c r="Y613" i="1"/>
  <c r="U567" i="1"/>
  <c r="Y567" i="1"/>
  <c r="Y113" i="1"/>
  <c r="U113" i="1"/>
  <c r="U554" i="1"/>
  <c r="Y554" i="1"/>
  <c r="U534" i="1"/>
  <c r="Y534" i="1"/>
  <c r="U574" i="1"/>
  <c r="Y574" i="1"/>
  <c r="U575" i="1"/>
  <c r="Y575" i="1"/>
  <c r="U70" i="1"/>
  <c r="Y70" i="1"/>
  <c r="U74" i="1"/>
  <c r="Y74" i="1"/>
  <c r="Y535" i="1"/>
  <c r="U535" i="1"/>
  <c r="Y598" i="1"/>
  <c r="U598" i="1"/>
  <c r="U572" i="1"/>
  <c r="Y572" i="1"/>
  <c r="U87" i="1"/>
  <c r="Y87" i="1"/>
  <c r="U615" i="1"/>
  <c r="Y615" i="1"/>
  <c r="Y88" i="1"/>
  <c r="U88" i="1"/>
  <c r="U568" i="1"/>
  <c r="Y568" i="1"/>
  <c r="Y633" i="1"/>
  <c r="U633" i="1"/>
  <c r="Y203" i="1"/>
  <c r="U203" i="1"/>
  <c r="Y578" i="1"/>
  <c r="U578" i="1"/>
  <c r="U125" i="1"/>
  <c r="Y125" i="1"/>
  <c r="U152" i="1"/>
  <c r="Y152" i="1"/>
  <c r="U457" i="1"/>
  <c r="Y457" i="1"/>
  <c r="Z463" i="1"/>
  <c r="V463" i="1"/>
  <c r="Z66" i="1"/>
  <c r="V66" i="1"/>
  <c r="V64" i="1"/>
  <c r="Z64" i="1"/>
  <c r="V198" i="1"/>
  <c r="Z198" i="1"/>
  <c r="Z552" i="1"/>
  <c r="V552" i="1"/>
  <c r="V133" i="1"/>
  <c r="Z133" i="1"/>
  <c r="Z119" i="1"/>
  <c r="V119" i="1"/>
  <c r="Z140" i="1"/>
  <c r="V140" i="1"/>
  <c r="Z492" i="1"/>
  <c r="V492" i="1"/>
  <c r="V572" i="1"/>
  <c r="Z572" i="1"/>
  <c r="V566" i="1"/>
  <c r="Z566" i="1"/>
  <c r="Z584" i="1"/>
  <c r="V584" i="1"/>
  <c r="Z578" i="1"/>
  <c r="V578" i="1"/>
  <c r="V90" i="1"/>
  <c r="Z90" i="1"/>
  <c r="V132" i="1"/>
  <c r="Z132" i="1"/>
  <c r="Z152" i="1"/>
  <c r="V152" i="1"/>
  <c r="V121" i="1"/>
  <c r="Z121" i="1"/>
  <c r="Z590" i="1"/>
  <c r="V590" i="1"/>
  <c r="Z579" i="1"/>
  <c r="V579" i="1"/>
  <c r="V67" i="1"/>
  <c r="Z67" i="1"/>
  <c r="Z558" i="1"/>
  <c r="V558" i="1"/>
  <c r="Z585" i="1"/>
  <c r="V585" i="1"/>
  <c r="V120" i="1"/>
  <c r="Z120" i="1"/>
  <c r="V535" i="1"/>
  <c r="Z535" i="1"/>
  <c r="Z555" i="1"/>
  <c r="V555" i="1"/>
  <c r="V573" i="1"/>
  <c r="Z573" i="1"/>
  <c r="Z548" i="1"/>
  <c r="V548" i="1"/>
  <c r="V88" i="1"/>
  <c r="Z88" i="1"/>
  <c r="Z598" i="1"/>
  <c r="V598" i="1"/>
  <c r="V613" i="1"/>
  <c r="Z613" i="1"/>
  <c r="V595" i="1"/>
  <c r="Z595" i="1"/>
  <c r="Z466" i="1"/>
  <c r="V466" i="1"/>
  <c r="Z534" i="1"/>
  <c r="V534" i="1"/>
  <c r="U591" i="1"/>
  <c r="Y591" i="1"/>
  <c r="U467" i="1"/>
  <c r="Y467" i="1"/>
  <c r="U630" i="1"/>
  <c r="Y630" i="1"/>
  <c r="Y555" i="1"/>
  <c r="U555" i="1"/>
  <c r="U118" i="1"/>
  <c r="Y118" i="1"/>
  <c r="U93" i="1"/>
  <c r="Y93" i="1"/>
  <c r="Y637" i="1"/>
  <c r="U637" i="1"/>
  <c r="U120" i="1"/>
  <c r="Y120" i="1"/>
  <c r="Y464" i="1"/>
  <c r="U464" i="1"/>
  <c r="U463" i="1"/>
  <c r="Y463" i="1"/>
  <c r="Y571" i="1"/>
  <c r="U571" i="1"/>
  <c r="U579" i="1"/>
  <c r="Y579" i="1"/>
  <c r="U92" i="1"/>
  <c r="Y92" i="1"/>
  <c r="Y584" i="1"/>
  <c r="U584" i="1"/>
  <c r="U614" i="1"/>
  <c r="Y614" i="1"/>
  <c r="Y81" i="1"/>
  <c r="U81" i="1"/>
  <c r="U552" i="1"/>
  <c r="Y552" i="1"/>
  <c r="Y616" i="1"/>
  <c r="U616" i="1"/>
  <c r="Y143" i="1"/>
  <c r="U143" i="1"/>
  <c r="Y566" i="1"/>
  <c r="U566" i="1"/>
  <c r="U580" i="1"/>
  <c r="Y580" i="1"/>
  <c r="U123" i="1"/>
  <c r="Y123" i="1"/>
  <c r="Y585" i="1"/>
  <c r="U585" i="1"/>
  <c r="U592" i="1"/>
  <c r="Y592" i="1"/>
  <c r="Z467" i="1"/>
  <c r="V467" i="1"/>
  <c r="Z571" i="1"/>
  <c r="V571" i="1"/>
  <c r="Z553" i="1"/>
  <c r="V553" i="1"/>
  <c r="V574" i="1"/>
  <c r="Z574" i="1"/>
  <c r="V518" i="1"/>
  <c r="Z518" i="1"/>
  <c r="V633" i="1"/>
  <c r="Z633" i="1"/>
  <c r="V604" i="1"/>
  <c r="Z604" i="1"/>
  <c r="Z554" i="1"/>
  <c r="V554" i="1"/>
  <c r="V575" i="1"/>
  <c r="Z575" i="1"/>
  <c r="V108" i="1"/>
  <c r="Z108" i="1"/>
  <c r="V630" i="1"/>
  <c r="Z630" i="1"/>
  <c r="V567" i="1"/>
  <c r="Z567" i="1"/>
  <c r="Z118" i="1"/>
  <c r="V118" i="1"/>
  <c r="Z81" i="1"/>
  <c r="V81" i="1"/>
  <c r="V136" i="1"/>
  <c r="Z136" i="1"/>
  <c r="Z623" i="1"/>
  <c r="V623" i="1"/>
  <c r="V638" i="1"/>
  <c r="Z638" i="1"/>
  <c r="Z122" i="1"/>
  <c r="V122" i="1"/>
  <c r="Z87" i="1"/>
  <c r="V87" i="1"/>
  <c r="Z125" i="1"/>
  <c r="V125" i="1"/>
  <c r="Y64" i="1"/>
  <c r="U64" i="1"/>
  <c r="Y66" i="1"/>
  <c r="U66" i="1"/>
  <c r="U121" i="1"/>
  <c r="Y121" i="1"/>
  <c r="Y577" i="1"/>
  <c r="U577" i="1"/>
  <c r="Y132" i="1"/>
  <c r="U132" i="1"/>
  <c r="Y133" i="1"/>
  <c r="U133" i="1"/>
  <c r="Y139" i="1"/>
  <c r="U139" i="1"/>
  <c r="U117" i="1"/>
  <c r="Y117" i="1"/>
  <c r="U90" i="1"/>
  <c r="Y90" i="1"/>
  <c r="U140" i="1"/>
  <c r="Y140" i="1"/>
  <c r="Y590" i="1"/>
  <c r="U590" i="1"/>
  <c r="Y623" i="1"/>
  <c r="U623" i="1"/>
  <c r="Y108" i="1"/>
  <c r="U108" i="1"/>
  <c r="U518" i="1"/>
  <c r="Y518" i="1"/>
  <c r="U573" i="1"/>
  <c r="Y573" i="1"/>
  <c r="U558" i="1"/>
  <c r="Y558" i="1"/>
  <c r="Y638" i="1"/>
  <c r="U638" i="1"/>
  <c r="Y551" i="1"/>
  <c r="U551" i="1"/>
  <c r="Y606" i="1"/>
  <c r="U606" i="1"/>
  <c r="U492" i="1"/>
  <c r="Y492" i="1"/>
  <c r="U576" i="1"/>
  <c r="Y576" i="1"/>
  <c r="U636" i="1"/>
  <c r="Y636" i="1"/>
  <c r="U136" i="1"/>
  <c r="Y136" i="1"/>
  <c r="Z547" i="1"/>
  <c r="V547" i="1"/>
  <c r="Z577" i="1"/>
  <c r="V577" i="1"/>
  <c r="V464" i="1"/>
  <c r="Z464" i="1"/>
  <c r="V591" i="1"/>
  <c r="Z591" i="1"/>
  <c r="V596" i="1"/>
  <c r="Z596" i="1"/>
  <c r="V550" i="1"/>
  <c r="Z550" i="1"/>
  <c r="Z616" i="1"/>
  <c r="V616" i="1"/>
  <c r="V199" i="1"/>
  <c r="Z199" i="1"/>
  <c r="Z99" i="1"/>
  <c r="V99" i="1"/>
  <c r="V141" i="1"/>
  <c r="Z141" i="1"/>
  <c r="Z84" i="1"/>
  <c r="V84" i="1"/>
  <c r="V592" i="1"/>
  <c r="Z592" i="1"/>
  <c r="V580" i="1"/>
  <c r="Z580" i="1"/>
  <c r="Z614" i="1"/>
  <c r="V614" i="1"/>
  <c r="Z93" i="1"/>
  <c r="V93" i="1"/>
  <c r="Z139" i="1"/>
  <c r="V139" i="1"/>
  <c r="V636" i="1"/>
  <c r="Z636" i="1"/>
  <c r="Z568" i="1"/>
  <c r="V568" i="1"/>
  <c r="Z123" i="1"/>
  <c r="V123" i="1"/>
  <c r="U119" i="1"/>
  <c r="Y119" i="1"/>
  <c r="U604" i="1"/>
  <c r="Y604" i="1"/>
  <c r="Y198" i="1"/>
  <c r="U198" i="1"/>
  <c r="Y122" i="1"/>
  <c r="U122" i="1"/>
  <c r="U461" i="1"/>
  <c r="Y461" i="1"/>
  <c r="Y596" i="1"/>
  <c r="U596" i="1"/>
  <c r="U99" i="1"/>
  <c r="Y99" i="1"/>
  <c r="U104" i="1"/>
  <c r="Y104" i="1"/>
  <c r="U548" i="1"/>
  <c r="Y548" i="1"/>
  <c r="U466" i="1"/>
  <c r="Y466" i="1"/>
  <c r="Y595" i="1"/>
  <c r="U595" i="1"/>
  <c r="U569" i="1"/>
  <c r="Y569" i="1"/>
  <c r="Y553" i="1"/>
  <c r="U553" i="1"/>
  <c r="Y84" i="1"/>
  <c r="U84" i="1"/>
  <c r="U141" i="1"/>
  <c r="Y141" i="1"/>
  <c r="Y640" i="1"/>
  <c r="U640" i="1"/>
  <c r="Y67" i="1"/>
  <c r="U67" i="1"/>
  <c r="Y521" i="1"/>
  <c r="U521" i="1"/>
  <c r="U547" i="1"/>
  <c r="Y547" i="1"/>
  <c r="Y65" i="1"/>
  <c r="U65" i="1"/>
  <c r="Y550" i="1"/>
  <c r="U550" i="1"/>
  <c r="U199" i="1"/>
  <c r="Y199" i="1"/>
  <c r="V3088" i="1" l="1"/>
  <c r="Y2992" i="1"/>
  <c r="U3088" i="1"/>
  <c r="Z3088" i="1"/>
  <c r="V2992" i="1"/>
  <c r="U2992" i="1"/>
  <c r="Z2992" i="1"/>
  <c r="V2843" i="1"/>
  <c r="V2850" i="1" s="1"/>
  <c r="Z2843" i="1"/>
  <c r="Z2850" i="1" s="1"/>
  <c r="Y2843" i="1"/>
  <c r="Y2850" i="1" s="1"/>
  <c r="U2843" i="1"/>
  <c r="U2850" i="1" s="1"/>
</calcChain>
</file>

<file path=xl/sharedStrings.xml><?xml version="1.0" encoding="utf-8"?>
<sst xmlns="http://schemas.openxmlformats.org/spreadsheetml/2006/main" count="21896" uniqueCount="4611">
  <si>
    <t>Source</t>
  </si>
  <si>
    <t>Acct</t>
  </si>
  <si>
    <t>Profit Center</t>
  </si>
  <si>
    <t>Acct Name</t>
  </si>
  <si>
    <t>Sub-Acct Description</t>
  </si>
  <si>
    <t>This Study Short Name</t>
  </si>
  <si>
    <t>Category 1 &amp; 2</t>
  </si>
  <si>
    <t>NCR</t>
  </si>
  <si>
    <t>SFAS 109</t>
  </si>
  <si>
    <t>This Study Category</t>
  </si>
  <si>
    <t>Major Cat</t>
  </si>
  <si>
    <t>Sub Cat</t>
  </si>
  <si>
    <t>This Study Allocation</t>
  </si>
  <si>
    <t>Allocation Name</t>
  </si>
  <si>
    <t>Elec %</t>
  </si>
  <si>
    <t>Gas %</t>
  </si>
  <si>
    <t>Non %</t>
  </si>
  <si>
    <t>GL</t>
  </si>
  <si>
    <t>PLANT IN SERVICE - ELECTRIC</t>
  </si>
  <si>
    <t>PLANT IN SERVICE - GAS</t>
  </si>
  <si>
    <t>PLANT IN SERVICE - COMMON</t>
  </si>
  <si>
    <t>PLANT PURCHASED OR SOLD-ELECTRIC</t>
  </si>
  <si>
    <t>PLANT HELD-FUTURE USE-ELECTRIC</t>
  </si>
  <si>
    <t>COMPLETED CONSTRUCTION NOT CLASSIFIED - ELECTRIC</t>
  </si>
  <si>
    <t>COMPLETED CONSTRUCTION NOT CLASSIFIED - GAS</t>
  </si>
  <si>
    <t>COMPLETED CONSTRUCTION NOT CLASSIFIED - COMMON</t>
  </si>
  <si>
    <t>CONSTRUCTION WORK IN PROGRESS - ELECTRIC</t>
  </si>
  <si>
    <t>CONSTRUCTION WORK IN PROGRESS - GAS</t>
  </si>
  <si>
    <t>CONSTRUCTION WORK IN PROGRESS - COMMON</t>
  </si>
  <si>
    <t>NUCLEAR DECOMMISSIONING RESERVE</t>
  </si>
  <si>
    <t>RUSSELL DECOMMISSION RESERVE - ELECTRIC</t>
  </si>
  <si>
    <t>ACCUMULATED DEPRECIATION RESERVE - ELECTRIC</t>
  </si>
  <si>
    <t>ACCUMULATED DEPRECIATION SALVAGE - ELECTRIC</t>
  </si>
  <si>
    <t>UNDEPRECIATED RETIREMENT - ELECTRIC</t>
  </si>
  <si>
    <t>ACCUM PROV-DEPR-ELEC-NON-POOL INCLUDING LAND</t>
  </si>
  <si>
    <t>ACCUM DEPRECIATION ELECTRIC-MANUAL ADJUSTMENT</t>
  </si>
  <si>
    <t>ACCUMULATED DEPRECIATION RESERVE - GAS</t>
  </si>
  <si>
    <t>ACCUMULATED DEPRECIATION SALVAGE - GAS</t>
  </si>
  <si>
    <t>UNDEPRECIATED RETIREMENT - GAS</t>
  </si>
  <si>
    <t>ACCUMULATED DEPRECIATION-GAS MANUAL ADJUSTMENT</t>
  </si>
  <si>
    <t>ACCUMULATED DEPRECIATION RESERVE - COMMON</t>
  </si>
  <si>
    <t>ACCUMULATED DEPRECIATION SALVAGE - COMMON</t>
  </si>
  <si>
    <t>UNDEPRECIATED RETIREMENT - COMMON</t>
  </si>
  <si>
    <t>ACCUM DEPREC-COMMON-GAIN/LOSS CLEAR</t>
  </si>
  <si>
    <t>RETIRE WIP - COST OF REMOVAL - ELECTRIC</t>
  </si>
  <si>
    <t>RETIRE WIP - COST OF REMOVAL - GAS</t>
  </si>
  <si>
    <t>RETIRE WIP - COST OF REMOVAL - COMMON</t>
  </si>
  <si>
    <t>RETIRE WIP - SALVAGE - ELECTRIC</t>
  </si>
  <si>
    <t>RETIRE WIP - SALVAGE - GAS</t>
  </si>
  <si>
    <t>RETIRE WIP - SALVAGE - COMMON</t>
  </si>
  <si>
    <t>ACCUM PROV-AMORT OF ELEC PLANT</t>
  </si>
  <si>
    <t>ACCUM PROV-AMORT OF GAS PLANT</t>
  </si>
  <si>
    <t>ACCUM PROV-AMORT OF COMMON PLANT</t>
  </si>
  <si>
    <t>PLANT ACQUISITION ADJUSTMENTS-ELEC-WATER RIGHTS</t>
  </si>
  <si>
    <t>PLANT ACQUIS ADJ B.BAL-ELECTRIC</t>
  </si>
  <si>
    <t>PLANT ACQUIS ADJ-ELEC-WATER RIGHTS-AMORTIZATION</t>
  </si>
  <si>
    <t>PLANT - ASSET RETIREMENT OBLIGATION - ELECTRIC</t>
  </si>
  <si>
    <t>PLANT - ASSET RETIREMENT OBLIGATION - GAS</t>
  </si>
  <si>
    <t>ACCUMULATED PROVISION FOR DEPRECIATION-ARO-ELEC</t>
  </si>
  <si>
    <t>ACCUMULATED PROVISION FOR DEPRECIATION-ARO-GAS</t>
  </si>
  <si>
    <t>NONUTILITY PROPERTY</t>
  </si>
  <si>
    <t>ACCUM PROV-DEPREC-NONUTILITY PROP</t>
  </si>
  <si>
    <t>OTHER INVESTMENTS</t>
  </si>
  <si>
    <t>OTHER INVESTMENTS - THE MONROE FUND LLC</t>
  </si>
  <si>
    <t>OTHER INVESTMENTS-NY BUSINESS DEVELOPMENT CORP</t>
  </si>
  <si>
    <t>OTH SPEC FUNDS</t>
  </si>
  <si>
    <t>OTH SPEC FUNDS - GINNA DECOM-QUAL ASSETS</t>
  </si>
  <si>
    <t>OTH SPEC FUNDS - GINNA DECOM-NON QUAL ASSETS</t>
  </si>
  <si>
    <t>OTH SPEC FUNDS - RABBI TRUST</t>
  </si>
  <si>
    <t>SPECIAL DEPOSITS - PENSION PLANS</t>
  </si>
  <si>
    <t>JPMC - AP Main</t>
  </si>
  <si>
    <t>JPMC - AP Check Clearing</t>
  </si>
  <si>
    <t>JPMC - Concentration Mai</t>
  </si>
  <si>
    <t>JPMC - Concentration Deposit Cle</t>
  </si>
  <si>
    <t>JPMC - Concen.Wire/ACH C</t>
  </si>
  <si>
    <t>JPMC - EFT Receipts Account</t>
  </si>
  <si>
    <t>JPMC - NYC Revolver Checking</t>
  </si>
  <si>
    <t>JPMC -Refund Checking Account</t>
  </si>
  <si>
    <t>JPMC -P.Cash Transportation Checkin</t>
  </si>
  <si>
    <t>JPMC - P.Cash Real Estate Ac</t>
  </si>
  <si>
    <t>JPMC -GINNA REFUND CHECKING ACCOUNT</t>
  </si>
  <si>
    <t>JPMC -Auto Bill Payment</t>
  </si>
  <si>
    <t>JPMC -Damage Claim Acc</t>
  </si>
  <si>
    <t>Fleet - Remittance Account</t>
  </si>
  <si>
    <t>Fleet - Petty Cash Ginna Chec</t>
  </si>
  <si>
    <t>Fleet - Comon Stock Dividend Checki</t>
  </si>
  <si>
    <t>BoNY- Disbursement Acco</t>
  </si>
  <si>
    <t>Deutsche Bk - Trustee Disb</t>
  </si>
  <si>
    <t>Key Bk - Depository Acc</t>
  </si>
  <si>
    <t>CENTURY - DEPOSITORY ACCOUNT</t>
  </si>
  <si>
    <t>NB of Savannah - Depository Ac</t>
  </si>
  <si>
    <t>Wyoming County Bank - Depository Account</t>
  </si>
  <si>
    <t>Community Bk -Depository A</t>
  </si>
  <si>
    <t>HSBC - Depository Acco</t>
  </si>
  <si>
    <t>CONTRA CASH TO 134481 SPECIAL DEPOSITS</t>
  </si>
  <si>
    <t>JPMC - CCS REFUND CHECKING ACCOUNT-CLEARING</t>
  </si>
  <si>
    <t>RECLASS - CASH (WITH ACCOUNT 131991)</t>
  </si>
  <si>
    <t>RECLASS - CASH (WITH ACCOUNT 131990)</t>
  </si>
  <si>
    <t>OTHER SPECIAL DEPOSITS - BANKERS TRUST</t>
  </si>
  <si>
    <t>OTH SPEC DEP -HESS COLLATERAL</t>
  </si>
  <si>
    <t>WORKING FUNDS - REGULAR</t>
  </si>
  <si>
    <t>WORKING FUNDS - BEGINNING BALANCE</t>
  </si>
  <si>
    <t>WORKING FUNDS - NINE MILE # 2</t>
  </si>
  <si>
    <t>WORKING FUNDS - NY ISO</t>
  </si>
  <si>
    <t>TEMPORARY CASH INVESTMENTS-UNDER 90 DAYS</t>
  </si>
  <si>
    <t>AUCTION RATE SECURITIES RECLASS</t>
  </si>
  <si>
    <t>AUCTION RATE SECURITIES RECLASS (DEBIT)</t>
  </si>
  <si>
    <t>RECLASS TCI TO MARKETABLE SECURITIES (WITH 224992</t>
  </si>
  <si>
    <t>A/R - CUSTOMER (CCS)</t>
  </si>
  <si>
    <t>CUSTOMER A/R - REGULAR</t>
  </si>
  <si>
    <t>CUSTOMER A/R - BUDGET PAY'T ACCTING ADJS</t>
  </si>
  <si>
    <t>CUSTOMER A/R - CUSTOMER DEPOSITS BILLED</t>
  </si>
  <si>
    <t>CUSTOMER A/R -UNAPPLIED CASH RECEIPTS</t>
  </si>
  <si>
    <t>CUSTOMER A/R - MISCELLANEOUS</t>
  </si>
  <si>
    <t>CUSTOMER A/R -GAS OFF SYSTEM</t>
  </si>
  <si>
    <t>CUSTOMER A/R -OTH</t>
  </si>
  <si>
    <t>CUSTOMER A/R -3RD PARTY PROVIDERS</t>
  </si>
  <si>
    <t>CUSTOMER A/R - WHOLESALE TO OTH ELEC UTILITIES</t>
  </si>
  <si>
    <t>CUSTOMER A/R - PURCHASED GAS</t>
  </si>
  <si>
    <t>CUSTOMER A/R-REMITTANCE CONTROL</t>
  </si>
  <si>
    <t>WMS/SD CASH CLEARING</t>
  </si>
  <si>
    <t>DSS/HEAP PAYMENT CLEARING</t>
  </si>
  <si>
    <t>CCS CHANGE DRAWER CLEARING CONTROL</t>
  </si>
  <si>
    <t>OTHER ACCTS/RECEIVABLE</t>
  </si>
  <si>
    <t>ACCOUNTS RECEIVABLE ACCRUALS - MISCELLANEOUS</t>
  </si>
  <si>
    <t>A/R ACCRUALS - MISCELLANEOUS ENERGY &amp; DERIVATIVE</t>
  </si>
  <si>
    <t>OTH A/R -MISCELLANEOUS A/R</t>
  </si>
  <si>
    <t>OTHER A/R -GREEN POWER</t>
  </si>
  <si>
    <t>OTHER A/R - PAYROLL CLAIMS</t>
  </si>
  <si>
    <t>OTHER A/R -PAYROLL ADVANCES</t>
  </si>
  <si>
    <t>OTH A/R -PROPERTY TAX REFUND-COUNTY</t>
  </si>
  <si>
    <t>OTH A/R -DAMAGE CLAIMS</t>
  </si>
  <si>
    <t>OTH A/R -BROKER-OTC</t>
  </si>
  <si>
    <t>OTH A/R -BROKER-ADVEST/REFCO</t>
  </si>
  <si>
    <t>OTH A/R -BROKER-ABN-AMRO INC.</t>
  </si>
  <si>
    <t>OTH A/R - SINGLE BILL-ESCO-ON SYSTEM</t>
  </si>
  <si>
    <t>A/R-CUSTOMERS (WMS)</t>
  </si>
  <si>
    <t>A/R-MISCELLANEOUS (FROM SD TO CCS)</t>
  </si>
  <si>
    <t>OTH A/R - CORAL ENERGY ALLIANCE</t>
  </si>
  <si>
    <t>OTH A/R -BP ENERGY ALLIANCE</t>
  </si>
  <si>
    <t>ACCUM PROV FOR UNCOLL ACCTS - CR-ELEC</t>
  </si>
  <si>
    <t>ACCUM PROV-UNCOLL ACCTS-CREDIT -TAX EXEMPT SUNDRY</t>
  </si>
  <si>
    <t>ACCUM PROV-UNCOLLECTIBLE ACCTS-SUNDRY</t>
  </si>
  <si>
    <t>ACCUM PROV FOR UNCOLL ACCTS - CR-GAS</t>
  </si>
  <si>
    <t>ACCUM PROV-UNCOLLECTIBLE ACCTS-SUNDRY-ELECTRIC</t>
  </si>
  <si>
    <t>ACCUM PROV FOR UNCOLL ACCTS - CR-DISPUTES</t>
  </si>
  <si>
    <t>ACCUM PROV FOR UNCOLL ACCTS-CREDIT ELECTRIC</t>
  </si>
  <si>
    <t>ACCTS RECEIVEABLE RESERVE-SALES OF BAD DEBT</t>
  </si>
  <si>
    <t>ACCUM PROV FOR UNCOLL ACCTS - DR-UNCOLL PROV</t>
  </si>
  <si>
    <t>ACCUM PROV FOR UNCOLL ACCTS - CR-UNCOLL PROV</t>
  </si>
  <si>
    <t>NOTES RECEIVABLE FR ASSOC COS (W/ TRADING PARTNER</t>
  </si>
  <si>
    <t>I/C DUE FROM ENERGETIX - FIT</t>
  </si>
  <si>
    <t>I/C DUE FROM GRIFFITH - FIT</t>
  </si>
  <si>
    <t>I/C DUE FROM GRIFFITH - SIT</t>
  </si>
  <si>
    <t>I/C DUE FROM ENERGETIX - SIT</t>
  </si>
  <si>
    <t>A/R FR AFFILIATE-AUTOMATIC CLEARING</t>
  </si>
  <si>
    <t>I/C DUE FROM ENERGETIX - SERVICES</t>
  </si>
  <si>
    <t>I/C DUE FROM RGS ENERGY GROUP</t>
  </si>
  <si>
    <t>I/C DUE FROM EEMC - Pension and FAS 106</t>
  </si>
  <si>
    <t>I/C DUE FROM EEMC - SERVICES</t>
  </si>
  <si>
    <t>I/C DUE FROM NYSEG - SALES AND RENTS</t>
  </si>
  <si>
    <t>I/C DUE FROM NYSEG - SERVICES</t>
  </si>
  <si>
    <t>I/C DUE FROM BERKSHIRE</t>
  </si>
  <si>
    <t>I/C DUE FROM ENERGETIX - DISTRIBUTION</t>
  </si>
  <si>
    <t>I/C DUE FROM ENERGETIX - INFIELD GAS TRANSFER</t>
  </si>
  <si>
    <t>M&amp;S - COAL IN TRANSIT</t>
  </si>
  <si>
    <t>M&amp;S - COAL - STATION 7</t>
  </si>
  <si>
    <t>M&amp;S - #2 FUEL OIL - STATION 7</t>
  </si>
  <si>
    <t>M&amp;S - #2 FUEL OIL - STATION 3</t>
  </si>
  <si>
    <t>M&amp;S - #2 FUEL OIL - ALL DISTRICTS</t>
  </si>
  <si>
    <t>M&amp;S - RECON - STOCK MATERIALS</t>
  </si>
  <si>
    <t>M&amp;S - INVENTORY FUEL</t>
  </si>
  <si>
    <t>M&amp;S - RECON - ALLEGANY</t>
  </si>
  <si>
    <t>M&amp;S - GASOLINE</t>
  </si>
  <si>
    <t>M&amp;S - RESERVE FOR OBSOLESCENCE</t>
  </si>
  <si>
    <t>M&amp;S - RECON- MATERIALS RECEIVED CLEARING</t>
  </si>
  <si>
    <t>TRANSFER GOODS RECEIPT LIABILITY</t>
  </si>
  <si>
    <t>M&amp;S - RECON - CONVERSION ACCT FOR SAP START</t>
  </si>
  <si>
    <t>M&amp;S - NITROUS OXIDE ALLOWANCES - FEDERAL</t>
  </si>
  <si>
    <t>M&amp;S - NITROUS OXIDE ALLOWANCES - NY STATE</t>
  </si>
  <si>
    <t>M&amp;S - SO2 ALLOWANCES - FEDERAL</t>
  </si>
  <si>
    <t>M&amp;S - SO2 ALLOWANCES - NY STATE</t>
  </si>
  <si>
    <t>M&amp;S - CO2 ALLOWANCES - RGGI</t>
  </si>
  <si>
    <t>GAS STORED UNDERGROUND - INVENTORY</t>
  </si>
  <si>
    <t>GAS STORED UNDERGROUND - DOMINION TRANSMISSION IN</t>
  </si>
  <si>
    <t>GAS STORED UNDERGROUND - ALLEGANY IMBALANCE</t>
  </si>
  <si>
    <t>GAS STORED UNDERGROUND - UNION STORAGE BASE</t>
  </si>
  <si>
    <t>GAS STORED UNDERGROUND - UNION STORAGE PEAKING</t>
  </si>
  <si>
    <t>GAS STORED UNDERGROUND - FAS 133</t>
  </si>
  <si>
    <t>GAS STORED-DOMINION TRANSMISSION</t>
  </si>
  <si>
    <t>PREPAYMENTS - INSURANCE</t>
  </si>
  <si>
    <t>PREPAYMENTS - POSTAGE</t>
  </si>
  <si>
    <t>PREPAYMENTS - MISCELLANEOUS</t>
  </si>
  <si>
    <t>PREPAYMENTS - NYS LOW LEV RAD WASTE DISP-GINNA</t>
  </si>
  <si>
    <t>PREPAYMENTS - REAL PROPERTY</t>
  </si>
  <si>
    <t>PREPAYMENTS - SPECIAL FRANCHISE</t>
  </si>
  <si>
    <t>PREPAYMENTS - FEDERAL EXCISE</t>
  </si>
  <si>
    <t>PREPAYMENTS -PSC GEN ASSESSMENT INCL ERDA</t>
  </si>
  <si>
    <t>INTEREST &amp; DIVIDENDS RECEIVABLE</t>
  </si>
  <si>
    <t>INTERCOMPANY INTEREST RECEIVABLE ELIMINATION</t>
  </si>
  <si>
    <t>RENTS RECEIVABLE</t>
  </si>
  <si>
    <t>ACCRUED UTILITY REVENUES - ELECTRIC</t>
  </si>
  <si>
    <t>ACCRUED UTILITY REVENUES - GAS</t>
  </si>
  <si>
    <t>DEFERRED PURCHASED POWER COSTS</t>
  </si>
  <si>
    <t>MISC CUR&amp;ACCRD ASSETS -MISC</t>
  </si>
  <si>
    <t>MISC CUR&amp;ACCRD ASSETS -ASSOC CO BILLING</t>
  </si>
  <si>
    <t>MISC CUR&amp;ACCRD ASSETS -OTH BILLING CHARGES</t>
  </si>
  <si>
    <t>MISC CUR &amp; ACCRD ASSETS - UBS / ABN AMRO</t>
  </si>
  <si>
    <t>MISC CUR &amp; ACCRD ASSETS-ROSENTHAL COLLINS</t>
  </si>
  <si>
    <t>HEDGED ASSETS-ELECTRIC-SHORT TERM</t>
  </si>
  <si>
    <t>HEDGED ASSETS-ELECTRIC-ENRON</t>
  </si>
  <si>
    <t>HEDGED ASSETS-GAS-SHORT TERM</t>
  </si>
  <si>
    <t>HEDGED ASSETS - GAS - LONG TERM</t>
  </si>
  <si>
    <t>HEDGED ASSET-COMMON</t>
  </si>
  <si>
    <t>HEDGED ASSET - COMMON - SWAP</t>
  </si>
  <si>
    <t>RECLASS -DERIVATIVE ASSET-SHORT TERM</t>
  </si>
  <si>
    <t>RECLASS -DERIVATIVE ASSET-LONG TERM</t>
  </si>
  <si>
    <t>UNAMORTIZED DEBT EXPENSE</t>
  </si>
  <si>
    <t>UNAMORT DEBT EXP - POLLUTION CONTROL SECURITIES</t>
  </si>
  <si>
    <t>UNAMORT DEBT EXP - SHELF REGISTN OMNIBUS FIN</t>
  </si>
  <si>
    <t>UNAMORT DEBT EXP - $195M M/T NOTES SERIES B</t>
  </si>
  <si>
    <t>UNAMORTIZED DEBT EXPENSE-LONG TERM DEBT</t>
  </si>
  <si>
    <t>UNAMORTIZED DEBT EXPENSE-MEDIUM TERM BONDS</t>
  </si>
  <si>
    <t>UNAMORTIZED DEBT EXPENSE-OMNIBUS</t>
  </si>
  <si>
    <t>UNAMORTIZED DEBT EXPENSE-POLLUTION CONTROL BONDS</t>
  </si>
  <si>
    <t>UNAMORT DEBT EXP - MDT - 7.64% - SERIES D</t>
  </si>
  <si>
    <t>UNAMORT DEBT EXP - MDT - 7.66% - SERIES E</t>
  </si>
  <si>
    <t>UNAMORT DEBT EXP - MDT - 7.67% - SERIES F</t>
  </si>
  <si>
    <t>UNAMORT DEBT EXP - MDT - 7.45% - SERIES H</t>
  </si>
  <si>
    <t>UNAMORT DEBT EXP - MDT - 5.84 % - SERIES I</t>
  </si>
  <si>
    <t>UNAMORT DEBT EXP - MDT - 7.60% - SERIES J</t>
  </si>
  <si>
    <t>OTH REGULATORY ASSETS-ENVIRONMENTAL</t>
  </si>
  <si>
    <t>OTH REGULATORY ASSETS-DEF GAS COSTS</t>
  </si>
  <si>
    <t>OTH REGULATORY ASSETS-DEF GAS COSTS-PRIOR YEAR</t>
  </si>
  <si>
    <t>OTH REGULATORY ASSETS-ELEC. SUPPLY RECONCILIATION</t>
  </si>
  <si>
    <t>OTH REGULATORY ASSETS-REGULATORY TAX ASSET</t>
  </si>
  <si>
    <t>OTH REGULATORY ASSETS-STATE FAS 109 5.5%</t>
  </si>
  <si>
    <t>OTH REGULATORY ASSETS-CONTRACT TERMINATIONS</t>
  </si>
  <si>
    <t>OTH REGULATORY ASSETS-GAS HEDGES (LOSSES)</t>
  </si>
  <si>
    <t>OTH REGULATORY ASSETS-OTH</t>
  </si>
  <si>
    <t>OTHER REGULATORY ASSETS - 2004 JOINT PROPOSAL</t>
  </si>
  <si>
    <t>OTH REG ASSETS</t>
  </si>
  <si>
    <t>OTHER REGULATORY ASSETS - ELECTRIC</t>
  </si>
  <si>
    <t>OTHER REGULATORY ASSETS - GAS</t>
  </si>
  <si>
    <t>OTH REG ASSETS-UNCONTROLLABLE/EXONGENOUS COSTS-EL</t>
  </si>
  <si>
    <t>OTH REG ASSETS-UNCONTROLLABLE/EXONGENOUS COSTS-GA</t>
  </si>
  <si>
    <t>OTHER ASSETS - BEGINNING BALANCE</t>
  </si>
  <si>
    <t>OTH REG ASSETS - SITE REMEDIATION</t>
  </si>
  <si>
    <t>OTH REGULATORY ASSETS-OPEB SFAS 158</t>
  </si>
  <si>
    <t>OTH REGULATORY ASSETS-PENSION</t>
  </si>
  <si>
    <t>OTH REG ASSET-UNFUNDED FEDERAL INCOME TAX</t>
  </si>
  <si>
    <t>OTH REG ASSETS - FERC 636 TRANSITION COSTS</t>
  </si>
  <si>
    <t>OTH REGULATORY ASSETS-ASSET RETIREMENT-ELEC</t>
  </si>
  <si>
    <t>OTH REG ASSET-ASSET RETIREMENT OBLIG (ARO)-GAS</t>
  </si>
  <si>
    <t>OTH REG ASSETS - OSWEGO PLANT SALE</t>
  </si>
  <si>
    <t>OTH REGULATORY ASSETS-CONTRACT TERMINATIONS-ELEC</t>
  </si>
  <si>
    <t>OTH REGULATORY ASSETS-DSO ELEC HEDGES (LOSSES)</t>
  </si>
  <si>
    <t>OTH REG ASSETS - NON-BYPASSABLE CHARGE-NBC</t>
  </si>
  <si>
    <t>OTH REG ASSETS - GCA - CURRENT PERIOD</t>
  </si>
  <si>
    <t>OTH REG ASSETS - GCA - PRIOR PERIOD</t>
  </si>
  <si>
    <t>OTH REG ASSETS - GAS CAPACITY RELEASE S/HOLDER</t>
  </si>
  <si>
    <t>OTH REG ASSETS - NM2 DEFERRED PLANT</t>
  </si>
  <si>
    <t>OTH REG ASSETS - NM2 SALE OF PLANT ASSETS</t>
  </si>
  <si>
    <t>OTH REG ASSETS - NM2 NYS INCOME TAX</t>
  </si>
  <si>
    <t>OTH REG ASSETS - ICE STORM</t>
  </si>
  <si>
    <t>OTH REG ASSETS-DEFERRED INCOME TAXES-FEDERAL</t>
  </si>
  <si>
    <t>OTH REG ASSETS-DEFERRED INCOME TAXES-STATE</t>
  </si>
  <si>
    <t>OTH REG ASSETS - URANIUM ENRICHMENT FUND-DOE</t>
  </si>
  <si>
    <t>OTH REG ASSETS - KAMINE - FACILITY</t>
  </si>
  <si>
    <t>OTH REG ASSETS - KAMINE - DEPRECIATION RESERVE</t>
  </si>
  <si>
    <t>OTH REG ASSETS - REGULATORY TAX ASSET</t>
  </si>
  <si>
    <t>OTH REG ASSETS - ACCUMULATED DEFERRED INCOME TAXE</t>
  </si>
  <si>
    <t>OTH REG ASSETS - NYS FAS 109 5.5%</t>
  </si>
  <si>
    <t>OTH REG ASSETS - LOW INC ARREARS FORGIVENESS-ELE</t>
  </si>
  <si>
    <t>OTH REG ASSETS - LOW INC ARREARS FORGIVENESS-GAS</t>
  </si>
  <si>
    <t>OTH REG ASSETS - LOW INCOME BUDGET REDUCTIONS-ELE</t>
  </si>
  <si>
    <t>OTH REG ASSETS - LOW INCOME BUDGET REDUCTIONS-GAS</t>
  </si>
  <si>
    <t>OTH REG ASSETS - LOW INCOME ADMINISTRATION COSTS</t>
  </si>
  <si>
    <t>OTH REG ASSETS - LOW INCOME BUDGET COUNSELING</t>
  </si>
  <si>
    <t>OTH REG ASSETS - CHANGE IN CONTROL</t>
  </si>
  <si>
    <t>OTH REG ASSETS - CHG IN CONTROL ENHANCE RABBI TRU</t>
  </si>
  <si>
    <t>OTH REG ASSETS - CTA/INCREMENTAL INTEGRATION PROJ</t>
  </si>
  <si>
    <t>OTH REG ASSETS - ALLEGANY BUYOUT</t>
  </si>
  <si>
    <t>OTH REG ASSETS-ASSET RETIREMENT OBLIGATION-ELEC</t>
  </si>
  <si>
    <t>OTH REG ASSETS - CTA - VERP</t>
  </si>
  <si>
    <t>OTH REG ASSETS - CTA-EMPL SEVERANCE PROGRAM</t>
  </si>
  <si>
    <t>OTH REG ASSETS - CTA-FAS112-COBRA</t>
  </si>
  <si>
    <t>OTH REG ASSETS - CTA - OUTPLACEMENT</t>
  </si>
  <si>
    <t>RECLASS OTH REG ASSET-UNFUND FUT FIT-EL(W/ 182991</t>
  </si>
  <si>
    <t>RECLASS OTH REG ASSET-UNFUND FUT FIT-EL(W/ 182990</t>
  </si>
  <si>
    <t>PRELIMINARY ENGINEERING - ELECTRIC</t>
  </si>
  <si>
    <t>PRELIMINARY ENGINEERING - GAS</t>
  </si>
  <si>
    <t>MISCELLANEOUS CLEARING</t>
  </si>
  <si>
    <t>INVOICE CLEARING</t>
  </si>
  <si>
    <t>PURCHASED POWER CLEARING</t>
  </si>
  <si>
    <t>PURCHASED GAS CLEARING</t>
  </si>
  <si>
    <t>PAYROLL OVERHEAD</t>
  </si>
  <si>
    <t>FLEET / VEHICLE CLEARING</t>
  </si>
  <si>
    <t>STORES LOADER CLEARING</t>
  </si>
  <si>
    <t>UNDISTRIBUTED BILLING</t>
  </si>
  <si>
    <t>PURCHASED POWER CLEARING-ALLEGRO A/R</t>
  </si>
  <si>
    <t>PURCHASED GAS CLEARING - ALLEGRO A/R</t>
  </si>
  <si>
    <t>SAP CCS CONVERSION A/R OFFSET</t>
  </si>
  <si>
    <t>PRE ENGINEERING ELECT OH</t>
  </si>
  <si>
    <t>PRE ENGINEERING GAS OH</t>
  </si>
  <si>
    <t>GEN CONSTRUCTION ELECT OH</t>
  </si>
  <si>
    <t>GEN CONSTRUCTION GAS OH</t>
  </si>
  <si>
    <t>OTH WIP - BILLING</t>
  </si>
  <si>
    <t>OTHER REGULATORY ASSETS - B.BAL - OTH CUR LIAB</t>
  </si>
  <si>
    <t>OTH WIP - MANU MATL &amp; SUPP (NO STORES EXP)</t>
  </si>
  <si>
    <t>OTH WIP - NON-CAP EXP-METER INSTAL (STORES EXP)</t>
  </si>
  <si>
    <t>OTH DEFERRED DEBITS - MISCELLANEOUS</t>
  </si>
  <si>
    <t>MISC DEF DEBITS-PREPAID PENSION PLANS</t>
  </si>
  <si>
    <t>MISC DEF DEBITS-PREPAID FAS 106</t>
  </si>
  <si>
    <t>MISC DEF DEBITS-OTHER</t>
  </si>
  <si>
    <t>OTH DEFERRED DEBITS - PROPERTY TAX</t>
  </si>
  <si>
    <t>OTH DEFERRED DEBITS - PENSION ASSET</t>
  </si>
  <si>
    <t>OTH DEFERRED DEBITS-IEE DATA CENTER BUILDOUT</t>
  </si>
  <si>
    <t>INTANGIBLE ASSETS</t>
  </si>
  <si>
    <t>RESEARCH&amp;DEVELOPMENT EXPENDITURES</t>
  </si>
  <si>
    <t>UNAMORTIZED LOSS OF REACQ DEBT-MEDIUM TERM BONDS</t>
  </si>
  <si>
    <t>ACCUM DEFERRED INC TAXES - FEDERAL</t>
  </si>
  <si>
    <t>ACCUM DEFERRED INC TAXES - FEDERAL - ELECTRIC</t>
  </si>
  <si>
    <t>ACCUM DEFERRED INC TAXES - FEDERAL - GAS</t>
  </si>
  <si>
    <t>ACCUM DEFERRED INC TAXES-FEDERAL-ELECTRIC-NONOP</t>
  </si>
  <si>
    <t>ACCUM DEFERRED INC TAXES-FEDERAL-GAS-NONOP</t>
  </si>
  <si>
    <t>ACCUM DEFERRED INC TAXES-FEDERAL-CURRENT-ELECTRIC</t>
  </si>
  <si>
    <t>ACCUM DEFERRED INC TAXES-FEDERAL-CURRENT-GAS</t>
  </si>
  <si>
    <t>RECLASS-INCOME TAXES-FEDERAL-CURRENT-ELECTRIC</t>
  </si>
  <si>
    <t>ACCUM DEFERRED INC TAXES - STATE</t>
  </si>
  <si>
    <t>ACCUM DEFERRED INC TAXES - STATE - ELECTRIC</t>
  </si>
  <si>
    <t>ACCUM DEFERRED INC TAXES - STATE - GAS</t>
  </si>
  <si>
    <t>ACCUM DEFERRED INC TAXES-STATE-ELECTRIC-NONOP</t>
  </si>
  <si>
    <t>ACCUM DEFERRED INC TAXES-STATE-GAS-NONOP</t>
  </si>
  <si>
    <t>RECLASS-INCOME TAXES-FEDERAL-CURRENT-GAS</t>
  </si>
  <si>
    <t>ACCUM DEFERRED INC TAXES-STATE-CURRENT-ELECTRIC</t>
  </si>
  <si>
    <t>ACCUM DEFERRED INC TAXES-STATE-CURRENT-GAS</t>
  </si>
  <si>
    <t>RECLASS-INCOME TAXES-STATE-CURRENT-ELECTRIC</t>
  </si>
  <si>
    <t>RECLASS-INCOME TAXES-STATE-CURRENT-GAS</t>
  </si>
  <si>
    <t>ADIT - EEBEN - FEDERAL - OCI</t>
  </si>
  <si>
    <t>ADIT - EEBEN - FEDERAL - ELECTRIC</t>
  </si>
  <si>
    <t>ADIT - EEBEN - FEDERAL - GAS</t>
  </si>
  <si>
    <t>ADIT - EEBEN - FEDERAL - CURRENT - ELECTRIC</t>
  </si>
  <si>
    <t>ADIT - EEBEN - FEDERAL - CURRENT - GAS</t>
  </si>
  <si>
    <t>ADIT - EEBEN - STATE - OCI</t>
  </si>
  <si>
    <t>ADIT - EEBEN - STATE - ELECTRIC</t>
  </si>
  <si>
    <t>ADIT - EEBEN - STATE - GAS</t>
  </si>
  <si>
    <t>ADIT - EEBEN - STATE - CURRENT - ELECTRIC</t>
  </si>
  <si>
    <t>ADIT - EEBEN - STATE - CURRENT - GAS</t>
  </si>
  <si>
    <t>ACCUM DEFERRED INC TAXES - NUCL DECOMM</t>
  </si>
  <si>
    <t>ACCUM DEFERRED INC TAXES - PAID VS ACCRUED</t>
  </si>
  <si>
    <t>ACCUM DEFERRED INC TAXES - FAS 109-STATE</t>
  </si>
  <si>
    <t>ADIT-REG-FEDERAL-ELECTRIC</t>
  </si>
  <si>
    <t>ADIT-REG-FEDERAL-GAS</t>
  </si>
  <si>
    <t>ADIT-REG-STATE-ELECTRIC</t>
  </si>
  <si>
    <t>ADIT-REG-STATE-GAS</t>
  </si>
  <si>
    <t>ADIT - EEBEN - REG - FEDERAL - ELECTRIC</t>
  </si>
  <si>
    <t>ADIT - EEBEN - REG - FEDERAL - GAS</t>
  </si>
  <si>
    <t>ADIT - EEBEN - REG - STATE - ELECTRIC</t>
  </si>
  <si>
    <t>ADIT - EEBEN - REG - STATE - GAS</t>
  </si>
  <si>
    <t>RECLASS-ACCUM DEFER INC TX-FED-CURRENT-ELECTRIC</t>
  </si>
  <si>
    <t>RECLASS-ACCUM DEFER INC TX-STATE-CURRENT-ELECTRIC</t>
  </si>
  <si>
    <t>RECLASS-ACCUM DEFER INC TX-FED-CURRENT-GAS</t>
  </si>
  <si>
    <t>RECLASS-ACCUM DEFER INC TX-STATE-CURRENT-GAS</t>
  </si>
  <si>
    <t>COMMON STOCK ISSUED - $5 PAR RGE &amp; $0.01 RGS</t>
  </si>
  <si>
    <t>PREFERRED STOCK ISSUED</t>
  </si>
  <si>
    <t>PREF STOCK ISSUED - 4.1%  - SERIES H (PAR $100)</t>
  </si>
  <si>
    <t>PREF STOCK ISSUED - 4 3/4% - SERIES I (PAR $100)</t>
  </si>
  <si>
    <t>PREF STOCK ISSUED - 4.1%  - SERIES J (PAR $100)</t>
  </si>
  <si>
    <t>PREF STOCK ISSUED - 4.95% - SERIES K ( PAR $100)</t>
  </si>
  <si>
    <t>PREF STOCK ISSUED - 4.55% - SERIES M (PAR $100)</t>
  </si>
  <si>
    <t>PREF STOCK ISSUED - 6.60% - SERIES V (PAR $100)</t>
  </si>
  <si>
    <t>PREF STOCK CURRENT PORTION RECLASS - SERIES V</t>
  </si>
  <si>
    <t>PREMIUM ON PREFERRED STOCK</t>
  </si>
  <si>
    <t>PREMIUM ON COMMON STOCK</t>
  </si>
  <si>
    <t>GAIN-RESALE OF REACQ CAP STK-PREF</t>
  </si>
  <si>
    <t>GAIN ON REACQUIRED PREFERRED STOCK - SERIES Q</t>
  </si>
  <si>
    <t>MISCELLANEOUS PAID IN CAPITAL</t>
  </si>
  <si>
    <t>MISC PAID IN CAP-LIQUIDATED DIV</t>
  </si>
  <si>
    <t>MISC PAID IN CAP-RESTRICTED STOCK</t>
  </si>
  <si>
    <t>CAPITAL STOCK EXPENSE</t>
  </si>
  <si>
    <t>APPROPRIATED RETAINED EARNINGS - AMORT RESERVE-FE</t>
  </si>
  <si>
    <t>UNAPPROPRIATED RETAINED EARNINGS</t>
  </si>
  <si>
    <t>UNAPPR RETAINED EARNINGS-EQUITY EARNINGS</t>
  </si>
  <si>
    <t>REACQUIRED CAPITAL STOCK</t>
  </si>
  <si>
    <t>OTH COMPRE INC-FAS 87 NON QUAL PENSION</t>
  </si>
  <si>
    <t>OTH COMPRE INC-FAS 87 NON QUAL PENSION-FIT</t>
  </si>
  <si>
    <t>OTH COMPRE INC-FAS 133 MARK TO MARKET</t>
  </si>
  <si>
    <t>OTH COMPRE INC-FAS 133 TREASURY MARK TO MARKET</t>
  </si>
  <si>
    <t>OCI-FAS 133 TREASURY CF SETT</t>
  </si>
  <si>
    <t>OTH COMPRE INC-FAS 133 RECLASSIFICATIONS</t>
  </si>
  <si>
    <t>OTH COMPRE INC-FAS 133 TREASURY RECLASSIFICATIONS</t>
  </si>
  <si>
    <t>OTH COMPRE INC-FAS 133 MARK TO MARKET-FIT</t>
  </si>
  <si>
    <t>OTH COMPRE INC-FAS 133 TREASURY MARK TO MARKET-FI</t>
  </si>
  <si>
    <t>OCI-FAS 133 TREASURY CF SETT - FIT</t>
  </si>
  <si>
    <t>OTH COMPRE INC-FAS 133 RECLASSIFICATIONS-FIT</t>
  </si>
  <si>
    <t>OTH COMPRE INC-FAS 133 TREASURY RECLASSIFICATN-FI</t>
  </si>
  <si>
    <t>OCI-FAS 87 NON QUAL PENSION-SIT</t>
  </si>
  <si>
    <t>OCI-FAS 133 TREASURY CF SETT - SIT</t>
  </si>
  <si>
    <t>OTHER COMPREHENSIVE INC-FAS 133 MARK TO MARKET-SI</t>
  </si>
  <si>
    <t>OTH COMPRE INC-FAS 133 TREASURY MARK TO MARKET-SI</t>
  </si>
  <si>
    <t>OTHER COMPREHENSIVE INC-FAS 133 RECLASS-SIT</t>
  </si>
  <si>
    <t>OTHER COMPRE INC-FAS 133 TREASURY RECLASS-SIT</t>
  </si>
  <si>
    <t>OTHER COMPREHENSIVE INC-MISCELLANEOUS-COMMON</t>
  </si>
  <si>
    <t>OTHER COMPRE INC-FIT-MISCELLANEOUS-COMMON</t>
  </si>
  <si>
    <t>OTHER COMPRE INC-SIT-MISCELLANEOUS-COMMON</t>
  </si>
  <si>
    <t>FIRST MORTG BONDS - 6.35%-SERIES RR (DUE 5/2032)</t>
  </si>
  <si>
    <t>FIRST MORTG BONDS - 6.50%-SERIES SS (DUE 5//2032)</t>
  </si>
  <si>
    <t>FIRST MORTG BONDS - 6.95%-SERIES TT (DUE 4/2011)</t>
  </si>
  <si>
    <t>FIRST MORTG BONDS - 6.95%-SERIES TT (DUE 5/2012)</t>
  </si>
  <si>
    <t>RECLASS-BONDS-OTHER (WITH ACCT 221991)</t>
  </si>
  <si>
    <t>RECLASS-BONDS-OTHER (WITH ACCT 221990)</t>
  </si>
  <si>
    <t>LONG TERM DEBT</t>
  </si>
  <si>
    <t>MEDIUM TERM DEBT - 7.64% - SERIES D</t>
  </si>
  <si>
    <t>MEDIUM TERM DEBT - 7.66% - SERIES E</t>
  </si>
  <si>
    <t>MEDIUM TERM DEBT - 7.67% - SERIES F</t>
  </si>
  <si>
    <t>MEDIUM TERM DEBT - 7.45% - SERIES H</t>
  </si>
  <si>
    <t>MEDIUM TERM DEBT - 5.84 % - SERIES I</t>
  </si>
  <si>
    <t>MEDIUM TERM DEBT - 7.60% - SERIES J</t>
  </si>
  <si>
    <t>RECLASS-PROM NOTE  DUE IN 1 YR (LTD) (WITH 224991</t>
  </si>
  <si>
    <t>RECLASS-PROM NOTE  DUE IN 1 YR (LTD) (WITH 224990</t>
  </si>
  <si>
    <t>RECL-FROM LTD TO MARKETABLE SECURITIES (W/136992)</t>
  </si>
  <si>
    <t>UNAMORTIZED PREMIUM ON DEBT</t>
  </si>
  <si>
    <t>UNAMORTIZED DISCOUNT ON DEBT</t>
  </si>
  <si>
    <t>OTH NON-CUR LIAB - ACCUM PROV FOR INJUR &amp; DAM</t>
  </si>
  <si>
    <t>OTH NON-CUR LIAB - WORKERS COMP RESERVE</t>
  </si>
  <si>
    <t>OTH NON-CUR LIAB - OPEB RESERVE</t>
  </si>
  <si>
    <t>OTH NON-CUR LIAB - URANIUM ENRICHMENT RESERVE</t>
  </si>
  <si>
    <t>OTH NON-CUR LIAB - ENVIRONMENTAL RESERVES</t>
  </si>
  <si>
    <t>OTH NON-CUR LIAB - SPEND NUCLEAR-DOE</t>
  </si>
  <si>
    <t>OTH NON-CUR LIAB - NM2 D &amp; D</t>
  </si>
  <si>
    <t>OTH NONCURENT LIAB-ARO - ELEC</t>
  </si>
  <si>
    <t>OTH NONCURENT LIAB-ARO - GAS</t>
  </si>
  <si>
    <t>OTH NONCUR LIAB-ACC MISC OPER PROV-OTH</t>
  </si>
  <si>
    <t>OTH NONCUR LIAB-MAJOR STORM RESERVE</t>
  </si>
  <si>
    <t>OTH NON-CUR LIAB - HEDGE-GAS</t>
  </si>
  <si>
    <t>OTH NONCURENT LIAB-OTHER SPECIAL FUNDS</t>
  </si>
  <si>
    <t>OTH NONCURENT LIAB-ACCUM MISC OPER PROV-OTHER</t>
  </si>
  <si>
    <t>OTH NONCURENT LIAB NUCLEAR PLANT OBLIGATION COSTS</t>
  </si>
  <si>
    <t>ENVIRONMENTAL RESERVE RECLASS CURRENT</t>
  </si>
  <si>
    <t>ENVIRONMENTAL RESERVE RECLASS TO OFFSET 228992</t>
  </si>
  <si>
    <t>OTH NON-CUR LIAB-ACCUM PROV FOR RATE REFUND-ELEC</t>
  </si>
  <si>
    <t>NOTES PAYABLE</t>
  </si>
  <si>
    <t>NOTES PAYABLE-INTERCOMPANY (W/TRADING PARTNER)</t>
  </si>
  <si>
    <t>ACCOUNTS PAYABLE - REGULAR</t>
  </si>
  <si>
    <t>ACCOUNT PAYABLE - MISCELLANEOUS</t>
  </si>
  <si>
    <t>A/P CONSIGNMENT PAYABLES</t>
  </si>
  <si>
    <t>ACCOUNT PAYABLE - BEGINNING BALANCE</t>
  </si>
  <si>
    <t>ACCOUNTS PAYABLE - ELECTRONIC ACCOUNTING RECLASS</t>
  </si>
  <si>
    <t>ACCOUNTS PAYABLE - SUNDRIES</t>
  </si>
  <si>
    <t>ACCOUNTS PAYABLE - SUNDRIES-PURCHASED POWER</t>
  </si>
  <si>
    <t>ACCOUNTS PAYABLE - SUNDRIES-PURCHASED GAS</t>
  </si>
  <si>
    <t>ACCOUNTS PAYABLE - SUNDRIES-SEPARATION ACCRUALS</t>
  </si>
  <si>
    <t>ACCOUNTS PAYABLE - ACCRUALS</t>
  </si>
  <si>
    <t>ACCOUNTS PAYABLE - PAYROLL ACCRUALS</t>
  </si>
  <si>
    <t>ACCOUNTS PAYABLE - EPAYABLES</t>
  </si>
  <si>
    <t>TRANSFER GOODS RECEIPT CLEARING</t>
  </si>
  <si>
    <t>ACCOUNTS PAYABLE - PAYROLL</t>
  </si>
  <si>
    <t>ACCOUNTS PAYABLE- OUTSTANDING CHECKS</t>
  </si>
  <si>
    <t>PAYROLL DEDUCTIONS - YMCA</t>
  </si>
  <si>
    <t>PAYROLL DEDUCTIONS - UNITED WAY</t>
  </si>
  <si>
    <t>PAYROLL ADJUSTMENTS</t>
  </si>
  <si>
    <t>PAYROLL DEDUCTIONS - DEFAULT</t>
  </si>
  <si>
    <t>PAYROLL DEDUCTIONS - BANKRUPTCY</t>
  </si>
  <si>
    <t>PAYROLL DEDUCTIONS - CREDITOR</t>
  </si>
  <si>
    <t>PAYROLL DEDUCTIONS - GAS AND ELECTRIC</t>
  </si>
  <si>
    <t>PAYROLL DEDUCTIONS - CHILD SUPPORT</t>
  </si>
  <si>
    <t>PAYROLL DEDUCTIONS - STATE LEVY</t>
  </si>
  <si>
    <t>PAYROLL DEDUCT-NON-UNION LONG TERM DISABILITY</t>
  </si>
  <si>
    <t>PAYROLL DEDUCT-UNION DUES &amp; FEES</t>
  </si>
  <si>
    <t>PAYROLL DEDUCTIONS - FINANCIAL PLANNING</t>
  </si>
  <si>
    <t>PAYROLL DEDUCTIONS - PARKING</t>
  </si>
  <si>
    <t>PAYROLL DEDUCTIONS - UNIFORM - GENERAL MAINTENANC</t>
  </si>
  <si>
    <t>PAYROLL DEDUCTIONS - UNIFORM - TRANSPORTATION</t>
  </si>
  <si>
    <t>PAYROLL DEDUCTIONS - TUITION PAYBACK</t>
  </si>
  <si>
    <t>PAYROLL DEDUCTIONS - PENSION HEALTHCARE</t>
  </si>
  <si>
    <t>PAYROLL DEDUCTIONS-401K/PSOP EMPLOYER CONTRIBUTIO</t>
  </si>
  <si>
    <t>PAYROLL DEDUCTIONS - SAVINGS PLUS PLAN (401K)</t>
  </si>
  <si>
    <t>PAYROLL DEDUCTIONS - FLEXCARE PLAN</t>
  </si>
  <si>
    <t>PAYROLL DEDUCTIONS -SAVINGS PLUS PLAN LOANS (401K</t>
  </si>
  <si>
    <t>PAYROLL DEDUCTIONS - FLEX DENTAL</t>
  </si>
  <si>
    <t>PAYROLL DEDUCTIONS - FLEX VISION</t>
  </si>
  <si>
    <t>PAYROLL DEDUCTIONS - FLEX HEALTH</t>
  </si>
  <si>
    <t>PAYROLL DEDUCTIONS - ORDINARY LIFE INSURANCE</t>
  </si>
  <si>
    <t>PAYROLL DEDUCTIONS - OPTIONAL  LIFE INSURANCE</t>
  </si>
  <si>
    <t>PAYROLL DEDUCTIONS - DEPENDEND LIFE INS - SPOUSE</t>
  </si>
  <si>
    <t>PAYROLL DEDUCTIONS - DEPENDEND LIFE INS - CHILD</t>
  </si>
  <si>
    <t>PAYROLL DEDUCT-EMPLOYEE STK PURCHASE PLAN</t>
  </si>
  <si>
    <t>PAYROLL DEDUCT-VACATION BUY</t>
  </si>
  <si>
    <t>DIV  &amp; FRACT INT - TRUSTEE-NON NYS RESIDENTS</t>
  </si>
  <si>
    <t>PAYROLL DEDUCTIONS - OTHER HEALTH (DP)</t>
  </si>
  <si>
    <t>PAYROLL DEDUCTIONS - LONG TERM CARE</t>
  </si>
  <si>
    <t>PAYROLL DEDUCTIONS-DEFERRED COMPENSATION-PUTNAM</t>
  </si>
  <si>
    <t>RED CROSS/COMMUNITY HEATING FUND</t>
  </si>
  <si>
    <t>SERP RESTORATION PLAN</t>
  </si>
  <si>
    <t>ACCOUNTS PAYABLE - PAYROLL CLEARING</t>
  </si>
  <si>
    <t>A/P-PAYMENT REQUEST CLEARING</t>
  </si>
  <si>
    <t>COAL/ FREIGHT/ DEMURRAGE</t>
  </si>
  <si>
    <t>COAL IN TRANSIT</t>
  </si>
  <si>
    <t>NUCLEAR WASTE DISPOSAL - DOE</t>
  </si>
  <si>
    <t>A/P-PAC FEDERAL</t>
  </si>
  <si>
    <t>A/P-SUPPLIER ISO REIMBURSEMENT LIABILITIES</t>
  </si>
  <si>
    <t>A/P-RETENTIONS-CONTRACTS</t>
  </si>
  <si>
    <t>A/P-WHOLESALE PURCHASED GAS</t>
  </si>
  <si>
    <t>A/P-GR/IR-GGOODS RECEIPTS / INVOICE RECEIPTS</t>
  </si>
  <si>
    <t>I/C DUE TO NYSEG</t>
  </si>
  <si>
    <t>A/P FR AFFILIATE-MANUAL PURCHASE GAS / POWER</t>
  </si>
  <si>
    <t>A/P TO AFFILIATE-AUTOMATIC CLEARING</t>
  </si>
  <si>
    <t>A/P TO AFFILIATE-VENDOR RECONCILIATION</t>
  </si>
  <si>
    <t>I/C DUE TO ENERGETIX - FIT</t>
  </si>
  <si>
    <t>I/C DUE TO ENERGETIX - SIT</t>
  </si>
  <si>
    <t>I/C DUE TO GRIFFITH - FIT</t>
  </si>
  <si>
    <t>I/C DUE TO GRIFFITH - MISCELLENEOUS</t>
  </si>
  <si>
    <t>I/C DUE TO BURNWELL - FIT</t>
  </si>
  <si>
    <t>I/C DUE TO BURNWELL - SIT</t>
  </si>
  <si>
    <t>I/C DUE TO EEMC - SERVICES</t>
  </si>
  <si>
    <t>I/C DUE TO NYSEG - SERVICES</t>
  </si>
  <si>
    <t>I/C DUE TO ENERGETIX - SC5 IMBALANCE</t>
  </si>
  <si>
    <t>CUSTOMER DEPOSITS</t>
  </si>
  <si>
    <t>CUSTOMER DEPOSITS (CCS)</t>
  </si>
  <si>
    <t>TAXES ACCRUED</t>
  </si>
  <si>
    <t>TAXES ACCRUED - RECLASS OLO</t>
  </si>
  <si>
    <t>TAXES ACCRUED-ELEC-FERC FIN 48 - INTEREST</t>
  </si>
  <si>
    <t>TAXES ACCRUED-GAS-FERC FIN 48 - INTEREST</t>
  </si>
  <si>
    <t>TAXES ACCRUED-ELEC-FERC FIN 48 - DEFERRED</t>
  </si>
  <si>
    <t>TAXES ACCRUED - FEDERAL/NYS UNEMPLOYMENT INS</t>
  </si>
  <si>
    <t>TAXES ACCRUED - EMPLOYER SOCIAL SECURITY</t>
  </si>
  <si>
    <t>TAXES ACCRUED - FEDERAL HIGHWAY USE</t>
  </si>
  <si>
    <t>TAXES ACCRD-STATE UNEMPLOYMENT-ME</t>
  </si>
  <si>
    <t>TAXES ACCRUED - STATE HIGHWAY USE</t>
  </si>
  <si>
    <t>TAXES ACCRUED - EMPLOYER MEDICARE</t>
  </si>
  <si>
    <t>TAXES ACCRUED - REAL PROPERTY</t>
  </si>
  <si>
    <t>TAXES ACCRUED - SPECIAL FRANCHISE</t>
  </si>
  <si>
    <t>TAXES ACCRUED - GROSS INCOME - CALEDONIA</t>
  </si>
  <si>
    <t>TAXES ACCRUED - GROSS INCOME - PERRY</t>
  </si>
  <si>
    <t>TAXES ACCRUED - GROSS INCOME - MERIDIAN</t>
  </si>
  <si>
    <t>TAXES ACCRUED - GROSS INCOME - LEROY</t>
  </si>
  <si>
    <t>TAXES ACCRUED - GROSS INCOME - WARSAW</t>
  </si>
  <si>
    <t>TAXES ACCRUED - UNBILLED REVENUE TAX</t>
  </si>
  <si>
    <t>TAXES ACCRUED - FEDERAL INCOME TAXES</t>
  </si>
  <si>
    <t>TAXES ACCRUED - GROSS INCOME STATE - OPERATING</t>
  </si>
  <si>
    <t>TAXES ACCRUED - GROSS INCOME STATE - OTHER</t>
  </si>
  <si>
    <t>TAXES ACCRUED - PA CAPITAL STOCKS TAX</t>
  </si>
  <si>
    <t>TAXES ACCRUED - PA NET INCOME TAX</t>
  </si>
  <si>
    <t>TAXES ACCRUED - NYS INCOME TAXES</t>
  </si>
  <si>
    <t>TAXES ACCRUED - GROSS INCOME-ROCH OPERATING</t>
  </si>
  <si>
    <t>TAXES ACCRUED - STATE INSURANCE TAX</t>
  </si>
  <si>
    <t>TAXES ACCRUED - MICHIGAN SINGLE BUSINESS TAX</t>
  </si>
  <si>
    <t>TAXES ACCRUED - GROSS INCOME-CANANDAIGUA</t>
  </si>
  <si>
    <t>TAXES ACCRUED - GROSS INCOME-EAST ROCHESTER</t>
  </si>
  <si>
    <t>TAXES ACCRUED - GROSS INCOME-FAIRPORT</t>
  </si>
  <si>
    <t>TAXES ACCRUED - GROSS INCOME-BROCKPORT</t>
  </si>
  <si>
    <t>TAXES ACCRUED - GROSS INCOME-PITTSFORD</t>
  </si>
  <si>
    <t>TAXES ACCRUED - GROSS INCOME-HILTON</t>
  </si>
  <si>
    <t>TAXES ACCRUED - GROSS INCOME-MT. MORRIS</t>
  </si>
  <si>
    <t>TAXES ACCRUED - GROSS INCOME-NUNDA</t>
  </si>
  <si>
    <t>TAXES ACCRUED - GROSS INCOME-SCOTTSVILLE</t>
  </si>
  <si>
    <t>TAXES ACCRUED - GROSS INCOME-WOLCOTT</t>
  </si>
  <si>
    <t>TAXES ACCRUED - GROSS INCOME-SODUS POINT</t>
  </si>
  <si>
    <t>TAXES ACCRUED - GROSS INCOME-SHORTSVILLE</t>
  </si>
  <si>
    <t>TAXES ACCRUED - GROSS INCOME-MANCHESTER</t>
  </si>
  <si>
    <t>TAXES ACCRUED - GROSS INCOME-GENESEO</t>
  </si>
  <si>
    <t>TAXES ACCRUED - GROSS INCOME-LIVONIA</t>
  </si>
  <si>
    <t>TAXES ACCRUED - GROSS INCOME-AVON</t>
  </si>
  <si>
    <t>TAXES ACCRUED - GROSS INCOME-SODUS VILLAGE</t>
  </si>
  <si>
    <t>TAXES ACCRUED - GROSS INCOME-WEBSTER</t>
  </si>
  <si>
    <t>TAXES ACCRUED - GROSS INCOME-LEICESTER</t>
  </si>
  <si>
    <t>TAXES ACCRUED - STATE EXCISE</t>
  </si>
  <si>
    <t>TAXES ACCRUED - STATE HAZARDOUS WASTE</t>
  </si>
  <si>
    <t>TAXES ACCRUED - WATER POLLUTION</t>
  </si>
  <si>
    <t>ACCOUNTS PAYABLE - PROPERTY TAX - RECONCILIATION</t>
  </si>
  <si>
    <t>TAXES ACCRUED - USE</t>
  </si>
  <si>
    <t>TAXES ACCRD-STATE CORPORATION TAX</t>
  </si>
  <si>
    <t>RECLASS ACCRUED TAXES TO PREPAID (CURRENT LIAB)</t>
  </si>
  <si>
    <t>ACCRUED TAXES BEGINNING BALANCE</t>
  </si>
  <si>
    <t>TAXES ACCRD-HISTORY</t>
  </si>
  <si>
    <t>INTERCOMPANY - INTEREST ACCRUED</t>
  </si>
  <si>
    <t>INTEREST ACCRUED - LONG TERM DEBT</t>
  </si>
  <si>
    <t>INTEREST ACCRUED - NOTES PAYABLE</t>
  </si>
  <si>
    <t>INTEREST ACCRUED - CUSTOMER DEPOSITS</t>
  </si>
  <si>
    <t>INTEREST ACCRUED - MISCELLANEOUS</t>
  </si>
  <si>
    <t>INTEREST ACCRUED - HESS</t>
  </si>
  <si>
    <t>INTEREST ACCRD-SUPPLIER DEPOSIT-GAS</t>
  </si>
  <si>
    <t>INTERCOMPANY - DIVIDENDS PAYABLE</t>
  </si>
  <si>
    <t>DIVIDENDS PAYABLE - PREFERRED STOCK</t>
  </si>
  <si>
    <t>TAX COLLECTIONS PAYABLE - WITHHOLDING TAX</t>
  </si>
  <si>
    <t>TAX COLLECTIONS PAYABLE - FICA</t>
  </si>
  <si>
    <t>TAX COLLECTIONS PAYABLE - WITHHOLDING TAX-NYS</t>
  </si>
  <si>
    <t>TAX COLLECTIONS PAYABLE - STATE LOCAL SALES TAX</t>
  </si>
  <si>
    <t>TAX COLLECTIONS PAYABLE-BEGINNING BALANCE RECLASS</t>
  </si>
  <si>
    <t>TAX COLLECTIONS PAYABLE-STATE LOCAL SALES TAX-CCS</t>
  </si>
  <si>
    <t>TAX COLLECTIONS PAYABLE - STATE GAS IMPORT TAX</t>
  </si>
  <si>
    <t>TAX COLLECT PAYABLE-STATE PETROLEUM BUSINESS TAX</t>
  </si>
  <si>
    <t>MISC CUR &amp; ACCR LIAB - PAYROLL ACCRUED</t>
  </si>
  <si>
    <t>WORKERS COMP BEGINNING BALANCE</t>
  </si>
  <si>
    <t>MISC CUR &amp; ACCR LIAB - SYSTEMS BENEFIT CHARGE</t>
  </si>
  <si>
    <t>MISC CUR &amp; ACCR LIAB-RENEWABLE PORTFOLIO STANDARD</t>
  </si>
  <si>
    <t>CURRENT LIABILITY - EEPS</t>
  </si>
  <si>
    <t>CURR &amp; ACCR LIABILITY-EEPS GAS</t>
  </si>
  <si>
    <t>MISC CUR &amp; ACCR LIAB - PERFORMANCE PLUS PLAN</t>
  </si>
  <si>
    <t>MISC CUR&amp;ACCRD LIAB-STK OPTION AWARD PLAN</t>
  </si>
  <si>
    <t>MISC CUR &amp; ACCR LIAB - EQUAL PAYMENT PLAN</t>
  </si>
  <si>
    <t>MISC CUR &amp; ACCR LIAB - EXECUTIVE INCENTIVE PLAN</t>
  </si>
  <si>
    <t>MISC CUR &amp; ACCR LIAB - GAS TRANSP CUSTOMERS</t>
  </si>
  <si>
    <t>MISC CUR &amp; ACCR LIAB - MISCELLANEOUS</t>
  </si>
  <si>
    <t>MISC CUR &amp; ACCR LIAB-EDRP CURTAILMENT PAYMENTS</t>
  </si>
  <si>
    <t>MISC CUR &amp; ACCR LIAB - URANIUM ENRICHMENT FUND</t>
  </si>
  <si>
    <t>MISC CUR&amp;ACCRD LIAB-COMPREHENSIVE INCENTIVES</t>
  </si>
  <si>
    <t>MISC CUR &amp; ACCR LIAB - SEVERANCE-MERGER</t>
  </si>
  <si>
    <t>MISC CUR &amp; ACCR LIAB - NM2 D&amp;D</t>
  </si>
  <si>
    <t>MISC CUR &amp; ACCR LIAB - DEMOBILIZATION</t>
  </si>
  <si>
    <t>MISC CUR&amp;ACCRD LIAB-ESCHEATABLE PROP</t>
  </si>
  <si>
    <t>MISC CUR &amp; ACCRD LIAB-ENERGY PROVIDER</t>
  </si>
  <si>
    <t>MISC CUR&amp;ACCRD LIAB-GINNA SALE REFUNDS</t>
  </si>
  <si>
    <t>MISC CUR&amp;ACCRD LIAB-REFUNDS</t>
  </si>
  <si>
    <t>MISC CUR&amp;ACCRD LIAB-PAY IN LIEU OF VACATION</t>
  </si>
  <si>
    <t>MISC CUR&amp;ACCRD LIAB-PROJECT SHARE</t>
  </si>
  <si>
    <t>MISC CUR&amp;ACCRD LIAB-GIFT CERTIFICATE-UTIL SERVICE</t>
  </si>
  <si>
    <t>MISC CUR &amp; ACCR LIAB - HEDGED ACTIVITY-ELECTRIC</t>
  </si>
  <si>
    <t>MISC CUR &amp; ACCR LIAB - TCC AUCTION</t>
  </si>
  <si>
    <t>MISC CUR &amp; ACCR LIAB - HEDGED ACTIVITY-GAS</t>
  </si>
  <si>
    <t>MISC CUR &amp; ACCRD LIAB-CTA-EMPL SEVERANCE PROGRAM</t>
  </si>
  <si>
    <t>OTH NONCUR LIAB-OTHER DERIVATIVES</t>
  </si>
  <si>
    <t>OTH NONCUR LIAB-DERIVATIVE LIAB-ELECTRIC HEDGE</t>
  </si>
  <si>
    <t>OTH NONCUR LIAB-DERIVATIVE LIAB-GAS HEDGE</t>
  </si>
  <si>
    <t>OTH NONCUR LIAB-HEDGE-SWAP</t>
  </si>
  <si>
    <t>RECLASS - DERIVATIVE LIABILITY - SHORT TERM</t>
  </si>
  <si>
    <t>RECLASS - DERIVATIVE LIABILITY - LONG TERM</t>
  </si>
  <si>
    <t>DERIVATIVE LIABILITY - LONG TERM</t>
  </si>
  <si>
    <t>OTHER LIABILITIES-CUSTOMERS DOWNPAYMENTS (WMS)</t>
  </si>
  <si>
    <t>ADVANCE PAYMENTS FROM SD</t>
  </si>
  <si>
    <t>DEF CREDITS - OSWEGO CARRYING CHARGE</t>
  </si>
  <si>
    <t>DEF CREDITS - UNCLAIMED WAGES &amp; REFUNDS</t>
  </si>
  <si>
    <t>DEF CREDITS - MISCELLANEOUS - OTHER</t>
  </si>
  <si>
    <t>DEF CREDITS-DARS INSURANCE PREMIUMS &amp; WARRANTIES</t>
  </si>
  <si>
    <t>DEF CREDITS-LINE EXT REALLOCATION/DIP (WMS)</t>
  </si>
  <si>
    <t>DEF CREDITS - PURCH GAS ADJS-SUPP REFUND</t>
  </si>
  <si>
    <t>OTH DEF CREDITS-DERIVATIVE LIABILITES</t>
  </si>
  <si>
    <t>DEF CREDITS - UNIDENTIFIED CASH RECEIPTS</t>
  </si>
  <si>
    <t>DEF CREDITS - MISC CASHIERS REFUNDS</t>
  </si>
  <si>
    <t>DEF CREDITS-PROV-STEAM SERVICE TERMINATION</t>
  </si>
  <si>
    <t>OTHER DEFERRED CREDITS - PENSION LIABILITY</t>
  </si>
  <si>
    <t>DEF CREDITS - GINNA OUTAGE ACCRUAL</t>
  </si>
  <si>
    <t>DEF CREDITS - MONROE CTY CONDUIT OCCUPANCY LIC</t>
  </si>
  <si>
    <t>OTHER DEFERRED CREDITS - SERP/SRBP</t>
  </si>
  <si>
    <t>OTH DEF CREDITS-DEFERRED COMPENSATION</t>
  </si>
  <si>
    <t>OTH DEF CREDITS-RATE CASE ISSUES</t>
  </si>
  <si>
    <t>DEF CREDITS - FERC 636 TRANSITION COSTS</t>
  </si>
  <si>
    <t>DEF CREDITS - FAS 112 POSTEMPL BEN LIAB</t>
  </si>
  <si>
    <t>DEF CREDITS - NM2 TRANSMISSION CONGESTION CONTRAC</t>
  </si>
  <si>
    <t>DEF CREDITS - SERP/SRBP - RABBI TRUST</t>
  </si>
  <si>
    <t>OTHER DEFERRED CREDITS - IEE STOCK OPTION</t>
  </si>
  <si>
    <t>OTHER DEF CREDITS-PRE CAP ASSET INSTALLATION-ELEC</t>
  </si>
  <si>
    <t>OTHER DEF CREDITS-PRE CAP ASSET INSTALLATION-GAS</t>
  </si>
  <si>
    <t>OTH REG LIAB - OTHER</t>
  </si>
  <si>
    <t>OTH REG LIAB - EXCESS EARNINGS (ESM)</t>
  </si>
  <si>
    <t>OTH REG LIAB -OTHER POST EMPLOYMENT BENEFIT (OPEB</t>
  </si>
  <si>
    <t>OTH REG LIAB - PGA ITEMS - OTHER - GAS</t>
  </si>
  <si>
    <t>OTH REG LIAB - MISC - ELECTRIC</t>
  </si>
  <si>
    <t>OTH REG LIAB - MISC - GAS</t>
  </si>
  <si>
    <t>OTH REG LIAB - REG TAX LIAB-OTHER</t>
  </si>
  <si>
    <t>OTH REG LIAB - ECONOMIC DEVELOPMENT - ELECTRIC</t>
  </si>
  <si>
    <t>OTH REG LIAB - ECONOMIC DEVELOPMENT-GAS</t>
  </si>
  <si>
    <t>OTH REG LIAB - REG TAX LIABILITIES - DEPRECIATION</t>
  </si>
  <si>
    <t>OTH REG LIAB - ACCUM DEFERRED INC TAX - FIXED ASS</t>
  </si>
  <si>
    <t>OTH REG LIAB - ACCUM DEFERRED INC TAX-FEDERAL</t>
  </si>
  <si>
    <t>OTH REG LIAB- NYS INCOME TAX/GRT DIFFERENCES</t>
  </si>
  <si>
    <t>OTH REG LIAB - COB2 EARNINGS REQUIREMENT</t>
  </si>
  <si>
    <t>OTH REG LIAB - GAS HEDGES (GAINS)</t>
  </si>
  <si>
    <t>OTH REG LIAB - FAS 109 NYS TRANS ADJUSTMENT</t>
  </si>
  <si>
    <t>OTH REG LIAB - SYSTEMS BENEFITS CHARGES</t>
  </si>
  <si>
    <t>OTH REG LIAB - PURCHASE OF RECEIVABLES-ELECTRIC</t>
  </si>
  <si>
    <t>OTH REG LIAB - PURCHASE OF RECEIVABLES-GAS</t>
  </si>
  <si>
    <t>OTH REG LIAB - COST TO ACHIEVE/COST SAVINGS</t>
  </si>
  <si>
    <t>OTHER REGULATORY LIAB-STORM COSTS RESERVE</t>
  </si>
  <si>
    <t>OTH REG LIAB - PENSION - FAS158</t>
  </si>
  <si>
    <t>OTH REGULATORY LIAB-DEF UNBILLED REVENUE</t>
  </si>
  <si>
    <t>OTH REGULATORY LIAB-UNFUNDED FUTURE INC TAXES</t>
  </si>
  <si>
    <t>OTH REGULATORY LIAB-EXCESS DEF INC TAXES</t>
  </si>
  <si>
    <t>OTH REGULATORY LIAB-DSO ELECTRIC HEDGES (GAINS)</t>
  </si>
  <si>
    <t>OTH REGULATORY LIAB-SALE OF GENERATION ASSETS GAI</t>
  </si>
  <si>
    <t>PBA-IBERDROLA MERGER ELECTRIC</t>
  </si>
  <si>
    <t>PBA-IBERDROLA MERGER GAS</t>
  </si>
  <si>
    <t>OTH REGULATORY LIAB-GAS CONTRACTOR LITIGATION</t>
  </si>
  <si>
    <t>OTHER REGULATORY LIABILITIES - GINNA OUTAGE COSTS</t>
  </si>
  <si>
    <t>OTHER REG LIAB-ASSET RETIREMENT OBLIGATION GAS</t>
  </si>
  <si>
    <t>OTH REGULATORY LIAB-PASGA2</t>
  </si>
  <si>
    <t>OTH REGULATORY LIAB-BEE BEE DECOMMISSIONING</t>
  </si>
  <si>
    <t>EXCESS FEDERAL DIT NCR ITEMS-ELECTRIC</t>
  </si>
  <si>
    <t>EXCESS FEDERAL DIT NON NCR ITEMS-ELECTRIC</t>
  </si>
  <si>
    <t>EXCESS FEDERAL DIT NON NCR ITEMS-GAS</t>
  </si>
  <si>
    <t>EXCESS STATE DIT NCR ITEMS-ELECTRIC</t>
  </si>
  <si>
    <t>EXCESS STATE DIT NON NCR ITEMS-ELECTRIC</t>
  </si>
  <si>
    <t>EXCESS STATE DIT NON NCR ITEMS-GAS</t>
  </si>
  <si>
    <t>RECLASS OTH REG LIAB-ASGA-ELEC (WITH ACCT 254995)</t>
  </si>
  <si>
    <t>RECLASS OTH REG LIAB-ASGA-ELEC (WITH ACCT 254994)</t>
  </si>
  <si>
    <t>OTH REG LIAB-UNFUNDED FUTURE FED IT-ELEC</t>
  </si>
  <si>
    <t>ACCUM DEFERRED INVESTMENT TAX CREDIT</t>
  </si>
  <si>
    <t>ACCUMULATED DEF INVEST TAX CREDITS-ELECTRIC</t>
  </si>
  <si>
    <t>ACCUMULATED DEF INVEST TAX CREDITS-GAS</t>
  </si>
  <si>
    <t>ACCUM DEF INC TAXES - LIBERALIZED DEPRECIATION</t>
  </si>
  <si>
    <t>ACCUM DEF INC TAXES - STATE</t>
  </si>
  <si>
    <t>ACCUM DEF INC TAXES - FIT-DEPRECIATION &amp; OTHER</t>
  </si>
  <si>
    <t>ACCUM DEF INC TAXES - FIXED ASSETS</t>
  </si>
  <si>
    <t>ACCUM DEF INC TAX-FAS 109 FEDERAL -OTH PROP - ELE</t>
  </si>
  <si>
    <t>ACCUM DEF INC TAX-FAS 109 FEDERAL - OTH PROP - GA</t>
  </si>
  <si>
    <t>ACCUM DEF INC TAXES - NYS FAS 109 LIBERAL DEPR</t>
  </si>
  <si>
    <t>ACCUM DEF INC TAX-FAS 109 STATE -OTH PROP - ELEC</t>
  </si>
  <si>
    <t>ACCUM DEF INC TAX - FAS 109 STATE - OTH PROP - GA</t>
  </si>
  <si>
    <t>ACCUM DEF INC TAX-OTH PROP-FEDERAL-ELECTRIC</t>
  </si>
  <si>
    <t>ACCUM DEF INC TAX-OTH PROP-FEDERAL-GAS</t>
  </si>
  <si>
    <t>ACCUM DEF INC TAX-OTH PROP-STATE-ELECTRIC</t>
  </si>
  <si>
    <t>ACCUM DEF INC TAX-OTH PROP-STATE-GAS</t>
  </si>
  <si>
    <t>ACCUM DEF INC TAXES - OTHER</t>
  </si>
  <si>
    <t>ACCUM DEF INC TAXES - WATER</t>
  </si>
  <si>
    <t>ACCUM DEF INC TAXES - PROPERTY TAX-FEDERAL</t>
  </si>
  <si>
    <t>ACCUM DEF INC TAXES - NINE MILE DEFERRAL</t>
  </si>
  <si>
    <t>ACCUM DEF INC TAXES -FAS 109-OTHER-FEDERAL-ELEC</t>
  </si>
  <si>
    <t>ACCUM DEF INC TAXES -FAS 109-OTHER-FEDERAL-GAS</t>
  </si>
  <si>
    <t>ACCUM DEF INC TAXES - NYS FAS 109-OTHER</t>
  </si>
  <si>
    <t>ACCUM DEF INC TAXES -FAS 109-OTHER-STATE-ELECTRIC</t>
  </si>
  <si>
    <t>ACCUM DEF INC TAXES -FAS 109-OTHER-STATE-GAS</t>
  </si>
  <si>
    <t>ACCUM DEF INC TAX-OTH-FEDERAL-ELECTRIC</t>
  </si>
  <si>
    <t>ACCUM DEF INC TAX-OTH-FEDERAL-GAS</t>
  </si>
  <si>
    <t>ACCUM DEF INC TAX-OTH-FEDERAL-ELECTRIC-NONOP</t>
  </si>
  <si>
    <t>ACCUM DEF INC TAX-OTH-FEDERAL-GAS-NONOP</t>
  </si>
  <si>
    <t>ACCUM DEF INC TAX-OTH-STATE-ELECTRIC</t>
  </si>
  <si>
    <t>ACCUM DEF INC TAX-OTH-STATE-GAS</t>
  </si>
  <si>
    <t>ACCUM DEF INC TAX-OTH-STATE-ELECTRIC-NONOP</t>
  </si>
  <si>
    <t>ACCUM DEF INC TAX-OTH-STATE-GAS-NONOP</t>
  </si>
  <si>
    <t>ADIT-OTH-REG-FEDERAL-ELECTRIC</t>
  </si>
  <si>
    <t>ADIT-FAS 109 GROSSUP-FEDERAL ELECTRIC</t>
  </si>
  <si>
    <t>ADIT-FAS 109 GROSSUP-FEDERAL GAS</t>
  </si>
  <si>
    <t>ADIT-OTH-REG-FEDERAL-GAS</t>
  </si>
  <si>
    <t>ADIT-FAS 109 GROSSUP-STATE ELECTRIC</t>
  </si>
  <si>
    <t>ADIT-FAS 109 GROSSUP-STATE GAS</t>
  </si>
  <si>
    <t>ADIT-OTH-REG-STATE-ELECTRIC</t>
  </si>
  <si>
    <t>ADIT-OTH-REG-STATE-GAS</t>
  </si>
  <si>
    <t>TAXES ACCRUED-GAS-GAAP FIN 48 - DEFERRED</t>
  </si>
  <si>
    <t>TAXES ACCRUED-GAS-FERC FIN 48 - DEFERRED</t>
  </si>
  <si>
    <t>RECLASS-OTHER REG LIAB-ADIT-ELEC (WITH ACCT 28399</t>
  </si>
  <si>
    <t>RECLASS-OTH REG LIAB-ADIT-ELEC (W/ ACCT 283990)</t>
  </si>
  <si>
    <t>RECLASS-OTH REG LIAB-ADIT-GAS (W/ ACCT 283993)</t>
  </si>
  <si>
    <t>RECLASS-OTH REG LIAB-ADIT-GAS (W/ ACCT 283992)</t>
  </si>
  <si>
    <t>INTERFACE-CLEARING</t>
  </si>
  <si>
    <t>CURRENT YEAR NET INCOME</t>
  </si>
  <si>
    <t>Reg Asset</t>
  </si>
  <si>
    <t>BC030235</t>
  </si>
  <si>
    <t>BC030236</t>
  </si>
  <si>
    <t>BC030242</t>
  </si>
  <si>
    <t>12A10023</t>
  </si>
  <si>
    <t>12A10024</t>
  </si>
  <si>
    <t>Low-Income Program-Administrative Costs</t>
  </si>
  <si>
    <t>Low-Income Program-Budget Counseling</t>
  </si>
  <si>
    <t>Y/E RGS Serp to OCI</t>
  </si>
  <si>
    <t>BE030237</t>
  </si>
  <si>
    <t>BE030239</t>
  </si>
  <si>
    <t>BE030245</t>
  </si>
  <si>
    <t>BE030246</t>
  </si>
  <si>
    <t>BE030416</t>
  </si>
  <si>
    <t>BE030249</t>
  </si>
  <si>
    <t>BE030257</t>
  </si>
  <si>
    <t>BE030403</t>
  </si>
  <si>
    <t>BE030581</t>
  </si>
  <si>
    <t>BE030578/BE030587</t>
  </si>
  <si>
    <t>BE030579</t>
  </si>
  <si>
    <t>BE030903</t>
  </si>
  <si>
    <t>BE030594</t>
  </si>
  <si>
    <t>BE030598</t>
  </si>
  <si>
    <t>BE030904</t>
  </si>
  <si>
    <t>BE030597</t>
  </si>
  <si>
    <t>12A10021</t>
  </si>
  <si>
    <t>12A10019</t>
  </si>
  <si>
    <t>OPEB Ele</t>
  </si>
  <si>
    <t>601076-Offset</t>
  </si>
  <si>
    <t>601007-A</t>
  </si>
  <si>
    <t>601007-L</t>
  </si>
  <si>
    <t>601031-A</t>
  </si>
  <si>
    <t>601133/CC/O-U Coll</t>
  </si>
  <si>
    <t>601125-09</t>
  </si>
  <si>
    <t>601133-Gen</t>
  </si>
  <si>
    <t>601227-A</t>
  </si>
  <si>
    <t>601227-L</t>
  </si>
  <si>
    <t>601227-N</t>
  </si>
  <si>
    <t>OPEB ELECTRIC</t>
  </si>
  <si>
    <t>601237-11</t>
  </si>
  <si>
    <t>601237-12</t>
  </si>
  <si>
    <t>Low-Income Program-Budget Reduction-Electric</t>
  </si>
  <si>
    <t>Low-Income Program-Forgiveness-Electric</t>
  </si>
  <si>
    <t>Retail Acess Surcharge-Electric</t>
  </si>
  <si>
    <t>OPEB-Electric</t>
  </si>
  <si>
    <t xml:space="preserve">1998-2001 IRS Audit Adj.-Electric </t>
  </si>
  <si>
    <t>O&amp;E(Outreach &amp; Education) Deferral-Electric</t>
  </si>
  <si>
    <t>2002-SIT/GRT Deferral-Electric</t>
  </si>
  <si>
    <t>Supplemental DPS Assessment</t>
  </si>
  <si>
    <t>NBC Uncollectables &amp; MHP Meter Cost Deferral-Electric</t>
  </si>
  <si>
    <t>Capital Expenditures NCR-Electric</t>
  </si>
  <si>
    <t>General DPS Assessment-Electric</t>
  </si>
  <si>
    <t>CTA Efficiency Initiatives-Electric</t>
  </si>
  <si>
    <t>LIP Reconnect Fee Waiver Elec</t>
  </si>
  <si>
    <t>OPEB Electric</t>
  </si>
  <si>
    <t>LIP Bill Reduction-Electric</t>
  </si>
  <si>
    <t>LIP Arrears Forgiveness-Electric</t>
  </si>
  <si>
    <t>Variable Rate Debt Expense-Electric</t>
  </si>
  <si>
    <t>LIP Admin Expense-Electric</t>
  </si>
  <si>
    <t>RDM Deferral Over/Under</t>
  </si>
  <si>
    <t>CAIDI/SAIFI Audit Deferral</t>
  </si>
  <si>
    <t>RDM Deferral Over/Under RY1</t>
  </si>
  <si>
    <t>RDM Deferral Over/Under RY2</t>
  </si>
  <si>
    <t xml:space="preserve">Low Income </t>
  </si>
  <si>
    <t>SERP</t>
  </si>
  <si>
    <t>Retail Access Surcharge</t>
  </si>
  <si>
    <t>OPEB True-up</t>
  </si>
  <si>
    <t>ESM</t>
  </si>
  <si>
    <t>IRS Audit - 1998-2001</t>
  </si>
  <si>
    <t>Outreach &amp; Education</t>
  </si>
  <si>
    <t>NYSIT - '02 Combined Filing Adj</t>
  </si>
  <si>
    <t>PSC Assessment</t>
  </si>
  <si>
    <t>MHP Meter Deferral</t>
  </si>
  <si>
    <t>Cap Ex Deferral</t>
  </si>
  <si>
    <t>CTA Efficiency</t>
  </si>
  <si>
    <t>Low Income</t>
  </si>
  <si>
    <t>Variable Rate Debt</t>
  </si>
  <si>
    <t>RDM</t>
  </si>
  <si>
    <t>CAIDI/SAIFI Study</t>
  </si>
  <si>
    <t>12A10022</t>
  </si>
  <si>
    <t>12A10020</t>
  </si>
  <si>
    <t>601126-09</t>
  </si>
  <si>
    <t>601134/CC/U-O Coll</t>
  </si>
  <si>
    <t>601134-Gen</t>
  </si>
  <si>
    <t>601128-A</t>
  </si>
  <si>
    <t>601228-A</t>
  </si>
  <si>
    <t>601228-L</t>
  </si>
  <si>
    <t>601228-N</t>
  </si>
  <si>
    <t>OPEB GAS</t>
  </si>
  <si>
    <t>601238-11</t>
  </si>
  <si>
    <t>601238-12</t>
  </si>
  <si>
    <t>601238-i</t>
  </si>
  <si>
    <t>601016E-09</t>
  </si>
  <si>
    <t>601016E-10</t>
  </si>
  <si>
    <t>601016E-A</t>
  </si>
  <si>
    <t>601016E-L</t>
  </si>
  <si>
    <t>601035-07</t>
  </si>
  <si>
    <t>601035-04</t>
  </si>
  <si>
    <t>601035-08</t>
  </si>
  <si>
    <t>601035-09</t>
  </si>
  <si>
    <t>601035-10</t>
  </si>
  <si>
    <t>601035-A</t>
  </si>
  <si>
    <t>601035-L</t>
  </si>
  <si>
    <t>601062-08</t>
  </si>
  <si>
    <t>601062-09</t>
  </si>
  <si>
    <t>601062-10</t>
  </si>
  <si>
    <t>601062-A</t>
  </si>
  <si>
    <t>601062-L</t>
  </si>
  <si>
    <t>601019-07</t>
  </si>
  <si>
    <t>601019-04</t>
  </si>
  <si>
    <t>601019-08</t>
  </si>
  <si>
    <t>601019-09</t>
  </si>
  <si>
    <t>601019-10</t>
  </si>
  <si>
    <t>601019-A</t>
  </si>
  <si>
    <t>601086-08</t>
  </si>
  <si>
    <t>601086-09</t>
  </si>
  <si>
    <t>601086-10</t>
  </si>
  <si>
    <t>601086-A</t>
  </si>
  <si>
    <t>601086-L</t>
  </si>
  <si>
    <t>601088-08</t>
  </si>
  <si>
    <t>601088-09</t>
  </si>
  <si>
    <t>601088-10</t>
  </si>
  <si>
    <t>SNF-INT-08</t>
  </si>
  <si>
    <t>SNF-INT-09</t>
  </si>
  <si>
    <t>SNF-INT-10</t>
  </si>
  <si>
    <t>SNF-INT-N</t>
  </si>
  <si>
    <t>SNF-INT-A</t>
  </si>
  <si>
    <t>SNF-INT-L</t>
  </si>
  <si>
    <t>601090-Offset</t>
  </si>
  <si>
    <t>601090-Limit</t>
  </si>
  <si>
    <t>601063E</t>
  </si>
  <si>
    <t>601092-L</t>
  </si>
  <si>
    <t>601092-A</t>
  </si>
  <si>
    <t>601099-08</t>
  </si>
  <si>
    <t>601099-09</t>
  </si>
  <si>
    <t>601099-10</t>
  </si>
  <si>
    <t>601099-A</t>
  </si>
  <si>
    <t>601099-L</t>
  </si>
  <si>
    <t>601109-A</t>
  </si>
  <si>
    <t>601109-L</t>
  </si>
  <si>
    <t>601059-A</t>
  </si>
  <si>
    <t>601059-L</t>
  </si>
  <si>
    <t>601231-A</t>
  </si>
  <si>
    <t>601030E-A</t>
  </si>
  <si>
    <t>601030E-L</t>
  </si>
  <si>
    <t>601016G-07</t>
  </si>
  <si>
    <t>601016G-05</t>
  </si>
  <si>
    <t>601016G-06</t>
  </si>
  <si>
    <t>601016G-08</t>
  </si>
  <si>
    <t>601016G-09</t>
  </si>
  <si>
    <t>601016G-10</t>
  </si>
  <si>
    <t>601016G-A</t>
  </si>
  <si>
    <t>601016G-L</t>
  </si>
  <si>
    <t>601036-06</t>
  </si>
  <si>
    <t>601036-07</t>
  </si>
  <si>
    <t>601036-08</t>
  </si>
  <si>
    <t>601036-09</t>
  </si>
  <si>
    <t>601036-10</t>
  </si>
  <si>
    <t>601036-A</t>
  </si>
  <si>
    <t>601036-L</t>
  </si>
  <si>
    <t>601020-07</t>
  </si>
  <si>
    <t>601020-04</t>
  </si>
  <si>
    <t>601020-05</t>
  </si>
  <si>
    <t>601020-06</t>
  </si>
  <si>
    <t>601020-08</t>
  </si>
  <si>
    <t>601020-09</t>
  </si>
  <si>
    <t>601020-10</t>
  </si>
  <si>
    <t>601020-A</t>
  </si>
  <si>
    <t>601105-A</t>
  </si>
  <si>
    <t>601105-L</t>
  </si>
  <si>
    <t>601127-A</t>
  </si>
  <si>
    <t>601127-L</t>
  </si>
  <si>
    <t>601232-A</t>
  </si>
  <si>
    <t>601084-A</t>
  </si>
  <si>
    <t>601084-L</t>
  </si>
  <si>
    <t>601030G-A</t>
  </si>
  <si>
    <t>601030G-L</t>
  </si>
  <si>
    <t>601256/601257</t>
  </si>
  <si>
    <t>12A10016</t>
  </si>
  <si>
    <t>12A10011</t>
  </si>
  <si>
    <t>OPEB Gas</t>
  </si>
  <si>
    <t>OPEB</t>
  </si>
  <si>
    <t>PLTADJ</t>
  </si>
  <si>
    <t>601074E</t>
  </si>
  <si>
    <t>601074G</t>
  </si>
  <si>
    <t>A</t>
  </si>
  <si>
    <t>DSO</t>
  </si>
  <si>
    <t>Nat Gas</t>
  </si>
  <si>
    <t>BG030238</t>
  </si>
  <si>
    <t>BG030240</t>
  </si>
  <si>
    <t>BG030404</t>
  </si>
  <si>
    <t>BG030580</t>
  </si>
  <si>
    <t>BG030582</t>
  </si>
  <si>
    <t>BG030906</t>
  </si>
  <si>
    <t>BG030903</t>
  </si>
  <si>
    <t>BG030248</t>
  </si>
  <si>
    <t>BG030594</t>
  </si>
  <si>
    <t>BG030598</t>
  </si>
  <si>
    <t>BG030904</t>
  </si>
  <si>
    <t>BE030251</t>
  </si>
  <si>
    <t>BE030253</t>
  </si>
  <si>
    <t>BE030255</t>
  </si>
  <si>
    <t>BE030256</t>
  </si>
  <si>
    <t>BE030259</t>
  </si>
  <si>
    <t>BE030267</t>
  </si>
  <si>
    <t>BE030268</t>
  </si>
  <si>
    <t>BE030395</t>
  </si>
  <si>
    <t>BE030412</t>
  </si>
  <si>
    <t>BE030265</t>
  </si>
  <si>
    <t>BE030411</t>
  </si>
  <si>
    <t>BE030271</t>
  </si>
  <si>
    <t>BE030389</t>
  </si>
  <si>
    <t>BE030565</t>
  </si>
  <si>
    <t>BE030156</t>
  </si>
  <si>
    <t>BE030263</t>
  </si>
  <si>
    <t>BE030925</t>
  </si>
  <si>
    <t>BG030252</t>
  </si>
  <si>
    <t>BG030254</t>
  </si>
  <si>
    <t>BG030260</t>
  </si>
  <si>
    <t>BG030390</t>
  </si>
  <si>
    <t>BG030560</t>
  </si>
  <si>
    <t>BG030177</t>
  </si>
  <si>
    <t>BG030590</t>
  </si>
  <si>
    <t>BG030266</t>
  </si>
  <si>
    <t>BG030264</t>
  </si>
  <si>
    <t>BG030265</t>
  </si>
  <si>
    <t>BG030925</t>
  </si>
  <si>
    <t>BC030568</t>
  </si>
  <si>
    <t>BE030215</t>
  </si>
  <si>
    <t>BG030360</t>
  </si>
  <si>
    <t>BC030214</t>
  </si>
  <si>
    <t>BE030566</t>
  </si>
  <si>
    <t>BG030567</t>
  </si>
  <si>
    <t>BC030562</t>
  </si>
  <si>
    <t>BC030561</t>
  </si>
  <si>
    <t>BC030422</t>
  </si>
  <si>
    <t>BE030232</t>
  </si>
  <si>
    <t>BE030099</t>
  </si>
  <si>
    <t>BG030179</t>
  </si>
  <si>
    <t>BE030270</t>
  </si>
  <si>
    <t>BE030223</t>
  </si>
  <si>
    <t>BE030149</t>
  </si>
  <si>
    <t>BG030089</t>
  </si>
  <si>
    <t>BG030158</t>
  </si>
  <si>
    <t>BG030216</t>
  </si>
  <si>
    <t>BG030162</t>
  </si>
  <si>
    <t>BE030272</t>
  </si>
  <si>
    <t>BE030276</t>
  </si>
  <si>
    <t>Low-Income Program-Budget Reduction-Gas</t>
  </si>
  <si>
    <t xml:space="preserve">Low-Income Program-Forgiveness-Gas </t>
  </si>
  <si>
    <t>2002-SIT/GRT Deferral-Gas</t>
  </si>
  <si>
    <t>Capital Expenditures NCR-Gas</t>
  </si>
  <si>
    <t>General DPS Assessment-Gas</t>
  </si>
  <si>
    <t>Mendon Heater</t>
  </si>
  <si>
    <t>CTA Efficiency Initiatives-Gas</t>
  </si>
  <si>
    <t>LIP Bill Reduction-Gas</t>
  </si>
  <si>
    <t>LIP Arrears Forgiveness-Gas</t>
  </si>
  <si>
    <t>Variable Rate Debt Expense-Gas</t>
  </si>
  <si>
    <t>RDM Deferral Over/Under-Gas</t>
  </si>
  <si>
    <t>LIP Admin Expense-Gas</t>
  </si>
  <si>
    <t>LIP Reconnect Fee Waiver-Gas</t>
  </si>
  <si>
    <t>RDM  Deferral Over/Under-Gas</t>
  </si>
  <si>
    <t>Property Tax Expense Deferral-Electric-2009</t>
  </si>
  <si>
    <t>Property Tax Expense Deferral-Electric-2010</t>
  </si>
  <si>
    <t>Property Tax Expense Deferral-Electric</t>
  </si>
  <si>
    <t>Exogenous SOX Cost-Electric-2007</t>
  </si>
  <si>
    <t>Exogenous SOX Cost-Electric-2004</t>
  </si>
  <si>
    <t>Exogenous SOX Cost-Electric-2008</t>
  </si>
  <si>
    <t>Exogenous SOX Cost-Electric-2009</t>
  </si>
  <si>
    <t>Exogenous SOX Cost-Electric-2010</t>
  </si>
  <si>
    <t>Exogenous SOX Cost-Electric</t>
  </si>
  <si>
    <t>Exogenous Stray Voltage Cost-Electric</t>
  </si>
  <si>
    <t>Exogenous Stray Voltage Cost-Electric-2009</t>
  </si>
  <si>
    <t>Exogenous Stray Voltage Cost-Electric-2010</t>
  </si>
  <si>
    <t>Exogenous-NYISO May 8-9, 2000 Uncontollable Cost-Electric</t>
  </si>
  <si>
    <t>Security Expense-Electric-2007</t>
  </si>
  <si>
    <t>Security Expense-Electric-2004</t>
  </si>
  <si>
    <t>Security Expense-Electric-2008</t>
  </si>
  <si>
    <t>Security Expense-Electric-2009</t>
  </si>
  <si>
    <t>Security Expense-Electric-2010</t>
  </si>
  <si>
    <t>Security Expense-Electric</t>
  </si>
  <si>
    <t>FAS 106 Medicare Part D Gross Up-Electric-2008</t>
  </si>
  <si>
    <t>FAS 106 Medicare Part D Gross Up-Electric-2009</t>
  </si>
  <si>
    <t>FAS 106 Medicare Part D Gross Up-Electric-2010</t>
  </si>
  <si>
    <t>FAS 106 Medicare Part D Gross Up-Electric</t>
  </si>
  <si>
    <t>Row - Tree Trimming - Orphans</t>
  </si>
  <si>
    <t>Row - Tree Trimming</t>
  </si>
  <si>
    <t>Row - Tree Trimming-2009</t>
  </si>
  <si>
    <t>Row - Tree Trimming-2010</t>
  </si>
  <si>
    <t>DOE Asset (PSC) Nuclear Fuel Deposit-2008</t>
  </si>
  <si>
    <t>DOE Asset (PSC) Nuclear Fuel Deposit-2009</t>
  </si>
  <si>
    <t>DOE Asset (PSC) Nuclear Fuel Deposit-2010</t>
  </si>
  <si>
    <t>DOE Asset (PSC) Nuclear Fuel Deposit=2011</t>
  </si>
  <si>
    <t>DOE Asset (PSC) Nuclear Fuel Deposit</t>
  </si>
  <si>
    <t>ESM Deferral Offset</t>
  </si>
  <si>
    <t>ESM Deferral Limit</t>
  </si>
  <si>
    <t>SQPP-Electric</t>
  </si>
  <si>
    <t>ISTR 05-07-ERJP-Sect-X</t>
  </si>
  <si>
    <t>Exog R&amp;D Credit for 2008 in 2009</t>
  </si>
  <si>
    <t>Exog-R&amp;D Electric Tax Ben &amp; Gross Up</t>
  </si>
  <si>
    <t xml:space="preserve">Exog-08 NYS Tax Ben-Rate Chg </t>
  </si>
  <si>
    <t xml:space="preserve">Exog-09 NYS Tax Ben-Rate Chg </t>
  </si>
  <si>
    <t xml:space="preserve">Exog-10 NYS Tax Ben-Rate Chg </t>
  </si>
  <si>
    <t>Exog-07 NYS 2002-2003 Tax Audit-Electric</t>
  </si>
  <si>
    <t>Exog-NYS Tax Ben-Rate Chg</t>
  </si>
  <si>
    <t>Eoxg Costs ERO/NERC-Electric</t>
  </si>
  <si>
    <t>Defer NYS 2002/2003 Tax Audit Adj in 2008</t>
  </si>
  <si>
    <t>Defer NYS 2002/2003 Tax Audit Adj-2008</t>
  </si>
  <si>
    <t>Defer Property Tax CTA-Electric</t>
  </si>
  <si>
    <t>Variable Rate Debt - Amortization</t>
  </si>
  <si>
    <t>Variable Rate Debt - Leftovers</t>
  </si>
  <si>
    <t>CTA Unit of Property Capitalized Repairs Def</t>
  </si>
  <si>
    <t xml:space="preserve">Property Tax Expense Deferral-Gas </t>
  </si>
  <si>
    <t>Property Tax Expense Deferral-Gas-2005</t>
  </si>
  <si>
    <t>Property Tax Expense Deferral-Gas-2006</t>
  </si>
  <si>
    <t>Property Tax Expense Deferral-Gas-2008</t>
  </si>
  <si>
    <t>Property Tax Expense Deferral-Gas-2009</t>
  </si>
  <si>
    <t>Property Tax Expense Deferral-Gas-2010</t>
  </si>
  <si>
    <t>Property Tax Expense Deferral-Gas</t>
  </si>
  <si>
    <t>Exogeneous SOX Cost-Gas</t>
  </si>
  <si>
    <t>Exogeneous SOX Cost-Gas-2006</t>
  </si>
  <si>
    <t>Exogeneous SOX Cost-Gas-2007</t>
  </si>
  <si>
    <t>Exogeneous SOX Cost-Gas-2008</t>
  </si>
  <si>
    <t>Exogeneous SOX Cost-Gas-2009</t>
  </si>
  <si>
    <t>Exogeneous SOX Cost-Gas-2010</t>
  </si>
  <si>
    <t xml:space="preserve">Security Expense-Gas </t>
  </si>
  <si>
    <t>Security Expense-Gas-2004</t>
  </si>
  <si>
    <t xml:space="preserve">Security Expense-Gas-2005 </t>
  </si>
  <si>
    <t>Security Expense-Gas-2006</t>
  </si>
  <si>
    <t>Security Expense-Gas-2008</t>
  </si>
  <si>
    <t>Security Expense-Gas-2009</t>
  </si>
  <si>
    <t>Security Expense-Gas-2010</t>
  </si>
  <si>
    <t>Security Expense-Gas</t>
  </si>
  <si>
    <t>Exog-07 NYS 2002-2003 Gas Tax Audit-Gas</t>
  </si>
  <si>
    <t>Reclass 08 Tax Audit Gas to 182306 from 182303</t>
  </si>
  <si>
    <t>Exog Cost-AMI-Gas</t>
  </si>
  <si>
    <t>Defer 2007 Tax Filing Adj-R&amp;D-Gas</t>
  </si>
  <si>
    <t>Defer 2007 Tax Filing Adj-R&amp;D Credit-Gas</t>
  </si>
  <si>
    <t>Defer EEPS Gas Lost Revenue to Reg Asset</t>
  </si>
  <si>
    <t>Defer Property Tax CTA</t>
  </si>
  <si>
    <t>Defer Gas Pipeline Integrity Management Inspect Pgm</t>
  </si>
  <si>
    <t>Gas Pipeline - Amortization</t>
  </si>
  <si>
    <t>Gas Pipeline - Leftovers</t>
  </si>
  <si>
    <t xml:space="preserve">Other Assets-Beg.Bal(Derivative-PP Cost/FAS133-Electric) </t>
  </si>
  <si>
    <t>Site Remediation-Environmental</t>
  </si>
  <si>
    <t xml:space="preserve">Site Remediation-Environmental-Electric  </t>
  </si>
  <si>
    <t>Site Remediation-Environmental-Gas</t>
  </si>
  <si>
    <t>ORD 12A10011</t>
  </si>
  <si>
    <t>First Energy Corp</t>
  </si>
  <si>
    <t>Site Remediation Revenue-Electric</t>
  </si>
  <si>
    <t>Site Remediation Revenue-Gas</t>
  </si>
  <si>
    <t>OPEB  FAS 158-Electric</t>
  </si>
  <si>
    <t>OPEB FAS 158-Gas</t>
  </si>
  <si>
    <t>Reclass OPEB SFAS158</t>
  </si>
  <si>
    <t>OTH REG ASSETS - Pension</t>
  </si>
  <si>
    <t>OTH REG ASSETS - UNFUNDED FEDERAL INCOME TAX</t>
  </si>
  <si>
    <t>FERC 636 Transition Costs</t>
  </si>
  <si>
    <t>Plant Adjustment</t>
  </si>
  <si>
    <t>ARC-Electric</t>
  </si>
  <si>
    <t>Russell - Layer 2</t>
  </si>
  <si>
    <t>OTH REG ASSET - ASSET RETIREMENT OBLIG (ARO) - GAS</t>
  </si>
  <si>
    <t>Oswego Plant Sale</t>
  </si>
  <si>
    <t>OTH REGULATORY ASSETS - CONTRACT TERMINATIONS - ELEC</t>
  </si>
  <si>
    <t>OTH REGULATORY ASSETS - NON-BY PASSABLE CHARGE-NBC</t>
  </si>
  <si>
    <t>GCA-Current Period</t>
  </si>
  <si>
    <t>OTH REGULATORY ASSETS - GAS HEDGES (LOSSES)</t>
  </si>
  <si>
    <t xml:space="preserve">NMII Deferred Plant </t>
  </si>
  <si>
    <t>Property Tax Deferral</t>
  </si>
  <si>
    <t>Sarbanes-Oxley</t>
  </si>
  <si>
    <t>Stray Voltage</t>
  </si>
  <si>
    <t>NYISO May 8-9 2000</t>
  </si>
  <si>
    <t>Security Costs</t>
  </si>
  <si>
    <t>Medicare Part D</t>
  </si>
  <si>
    <t>Vegetation Management</t>
  </si>
  <si>
    <t>DOE Liability - True-up-2004</t>
  </si>
  <si>
    <t>DOE Liability - True-up-2011</t>
  </si>
  <si>
    <t>Service Quality Performance</t>
  </si>
  <si>
    <t>NCR - Electric</t>
  </si>
  <si>
    <t>R&amp;D Tax Credit Deferral</t>
  </si>
  <si>
    <t>NYS Tax Rate to 7.1%</t>
  </si>
  <si>
    <t>NYS Tax Audit</t>
  </si>
  <si>
    <t>Electric Reliability Organization</t>
  </si>
  <si>
    <t>CTA Property Tax</t>
  </si>
  <si>
    <t>Unit of Property CTA</t>
  </si>
  <si>
    <t>AMI</t>
  </si>
  <si>
    <t>Energy Efficiency Portfolio Standard</t>
  </si>
  <si>
    <t>Gas Pipeline Integrity</t>
  </si>
  <si>
    <t>FAS 133</t>
  </si>
  <si>
    <t>Environmental</t>
  </si>
  <si>
    <t>OPEB Reserve</t>
  </si>
  <si>
    <t>Pension Asset</t>
  </si>
  <si>
    <t>FERC 636</t>
  </si>
  <si>
    <t>Asset Retirement Obligation</t>
  </si>
  <si>
    <t>Oswego</t>
  </si>
  <si>
    <t>Allegany</t>
  </si>
  <si>
    <t>NBC True-up</t>
  </si>
  <si>
    <t>Gas Costs Deferred</t>
  </si>
  <si>
    <t>GCIM - Shareholder</t>
  </si>
  <si>
    <t>Nine Mile Mirror CWIP</t>
  </si>
  <si>
    <t>NM2 Sale</t>
  </si>
  <si>
    <t>Electric ESM</t>
  </si>
  <si>
    <t>Other Reg Liab - Other Post Employment Benfit (OPEB)</t>
  </si>
  <si>
    <t>BG039999</t>
  </si>
  <si>
    <t>Other Regulatory Liability - PGA - Gas</t>
  </si>
  <si>
    <t>BG030586</t>
  </si>
  <si>
    <t>TGP Refund</t>
  </si>
  <si>
    <t>BE030391</t>
  </si>
  <si>
    <t>SO2</t>
  </si>
  <si>
    <t>M &amp; S - SO2 A</t>
  </si>
  <si>
    <t>SO2 Allowance</t>
  </si>
  <si>
    <t>BE030409</t>
  </si>
  <si>
    <t>Pension Electric</t>
  </si>
  <si>
    <t>PNSN - Electric</t>
  </si>
  <si>
    <t>Pension True-up</t>
  </si>
  <si>
    <t>SQPP Revenue Adjustment Per ERJP Appendix O</t>
  </si>
  <si>
    <t>BE039999</t>
  </si>
  <si>
    <t>Recalss Reg. Asset @ Quarter-End-Electric</t>
  </si>
  <si>
    <t>OPEB Ele-A</t>
  </si>
  <si>
    <t>OPEB Ele-L</t>
  </si>
  <si>
    <t>BE030392</t>
  </si>
  <si>
    <t>601030E-03-A</t>
  </si>
  <si>
    <t>Variable Rate Interest Expense True-up-Electric 2003</t>
  </si>
  <si>
    <t>Variable Rate Debt - Pre-2004</t>
  </si>
  <si>
    <t>Spent Nuclear Fuel (SNF) Liability Interest Costs</t>
  </si>
  <si>
    <t>601030E-04</t>
  </si>
  <si>
    <t>Variable Rate Interest Expense True-up-Electric 2004</t>
  </si>
  <si>
    <t>SNF/INT Pre-2004</t>
  </si>
  <si>
    <t>DOE Liability True-up (PSC)(Nuclear Fuel Disposal)-Pre-2004</t>
  </si>
  <si>
    <t>DOE Liability - True-up</t>
  </si>
  <si>
    <t>SNF/INT-2004</t>
  </si>
  <si>
    <t>DOE Liability True-up (PSC)(Nuclear Fuel Disposal)-2004</t>
  </si>
  <si>
    <t>Exog-NYS Tax Adj Due to Change in Rate 7.5% to 7.1%</t>
  </si>
  <si>
    <t>BE030477</t>
  </si>
  <si>
    <t>601097-A</t>
  </si>
  <si>
    <t>Property Tax 481(a)-Adj Due to Change in Lien Date</t>
  </si>
  <si>
    <t>Property Tax 481(a)</t>
  </si>
  <si>
    <t>601097-L</t>
  </si>
  <si>
    <t>BE030192</t>
  </si>
  <si>
    <t>601139/601248</t>
  </si>
  <si>
    <t>Exogenous - NCR - Bonus Depreciation</t>
  </si>
  <si>
    <t>Bonus Depreciation Deferral</t>
  </si>
  <si>
    <t>SERP Electric</t>
  </si>
  <si>
    <t>SERP - Electric</t>
  </si>
  <si>
    <t>Property Tax Deferral-Electric</t>
  </si>
  <si>
    <t>BE030596</t>
  </si>
  <si>
    <t>Management Audti Expense-Electric</t>
  </si>
  <si>
    <t>Management Audit Deferral</t>
  </si>
  <si>
    <t>BE030599</t>
  </si>
  <si>
    <t>Incremental Maintenance/CRO-Elecrtric</t>
  </si>
  <si>
    <t>Incremental Maintenance</t>
  </si>
  <si>
    <t>BE030182</t>
  </si>
  <si>
    <t>601229-A</t>
  </si>
  <si>
    <t>Pre-Cap Installation Costs-Electric</t>
  </si>
  <si>
    <t>Pre-Capitalized Installation Costs</t>
  </si>
  <si>
    <t>BE030155</t>
  </si>
  <si>
    <t>601239-11</t>
  </si>
  <si>
    <t>MFC Revenues O/U Collection-Electric</t>
  </si>
  <si>
    <t>Merchant Function Charge - Elec</t>
  </si>
  <si>
    <t>BE03999</t>
  </si>
  <si>
    <t>601049r</t>
  </si>
  <si>
    <t>NBC reclass from account 182367</t>
  </si>
  <si>
    <t>BE030915</t>
  </si>
  <si>
    <t>601080-CC</t>
  </si>
  <si>
    <t>SBC NYSERDA Liability NCR</t>
  </si>
  <si>
    <t>SBC</t>
  </si>
  <si>
    <t>BE030595</t>
  </si>
  <si>
    <t>Vegetation Management Deferral-Electric</t>
  </si>
  <si>
    <t>601239-12</t>
  </si>
  <si>
    <t>MFC RY2 Revenues O/U Collection-Electric</t>
  </si>
  <si>
    <t>BE030309</t>
  </si>
  <si>
    <t>SQPP Revenue Adjustment</t>
  </si>
  <si>
    <t>Spent Nuclear Fuel (SNF) Liability Interest Costs-2011</t>
  </si>
  <si>
    <t>CapEx Customer Credit</t>
  </si>
  <si>
    <t>LIP Bill Reduction - Electric</t>
  </si>
  <si>
    <t>LIP Arrearage Forgiveness - Electric</t>
  </si>
  <si>
    <t>LIP Reconnect Fee Waiver - Electric</t>
  </si>
  <si>
    <t>LIP Administrative Expense - Electric</t>
  </si>
  <si>
    <t>BG030410</t>
  </si>
  <si>
    <t>Pension Gas</t>
  </si>
  <si>
    <t>PNSN - Gas</t>
  </si>
  <si>
    <t>BG030116</t>
  </si>
  <si>
    <t>601063G-07</t>
  </si>
  <si>
    <t>SQPP Revenue Adjustment Per GRJP Appendix H-2007</t>
  </si>
  <si>
    <t>601063G-06</t>
  </si>
  <si>
    <t>SQPP Revenue Adjustment Per GRJP Appendix H-2006</t>
  </si>
  <si>
    <t>BG030247</t>
  </si>
  <si>
    <t>601009/601246</t>
  </si>
  <si>
    <t>Merchant Function Charge</t>
  </si>
  <si>
    <t>Merchant Function Charge-Gas</t>
  </si>
  <si>
    <t>Reclass Reg. Asset @ Quarter-End-OPEB-Gas</t>
  </si>
  <si>
    <t>BG030250</t>
  </si>
  <si>
    <t>IRS Audit Adj.-Gas-2004</t>
  </si>
  <si>
    <t>601008-A</t>
  </si>
  <si>
    <t>601008-L</t>
  </si>
  <si>
    <t>BG030588</t>
  </si>
  <si>
    <t>601140/601249</t>
  </si>
  <si>
    <t>Recalss Reg. Asset @ Quarter-Gas Cost</t>
  </si>
  <si>
    <t>601040-G</t>
  </si>
  <si>
    <t>Recalss 05 POR Incremental Costs to Reg Liability</t>
  </si>
  <si>
    <t>Purchase of Receivables</t>
  </si>
  <si>
    <t>BG030413</t>
  </si>
  <si>
    <t>601087-07</t>
  </si>
  <si>
    <t>FAS 106 Medicare Part D Gross Up-Gas</t>
  </si>
  <si>
    <t>601087-06</t>
  </si>
  <si>
    <t>601087-08</t>
  </si>
  <si>
    <t>FAS 106 Medicare Part D Gross Up-Gas-2008</t>
  </si>
  <si>
    <t>601087-09</t>
  </si>
  <si>
    <t>FAS 106 Medicare Part D Gross Up-Gas-2009</t>
  </si>
  <si>
    <t>601087-10</t>
  </si>
  <si>
    <t>FAS 106 Medicare Part D Gross Up-Gas-2010</t>
  </si>
  <si>
    <t>601087-A</t>
  </si>
  <si>
    <t>FAS 106 Medicare Part D Gross UP-Gas</t>
  </si>
  <si>
    <t>601087-L</t>
  </si>
  <si>
    <t>BG030414</t>
  </si>
  <si>
    <t>601091-06</t>
  </si>
  <si>
    <t xml:space="preserve">Exog-R&amp;D Gas Tax Ben &amp; Gross Up </t>
  </si>
  <si>
    <t>OPEB Gas-A</t>
  </si>
  <si>
    <t>OPEB Gas_L</t>
  </si>
  <si>
    <t>BG030393</t>
  </si>
  <si>
    <t>601030G-03-A</t>
  </si>
  <si>
    <t>Variable Rate Interest Expense True-up-Gas 2003</t>
  </si>
  <si>
    <t>601030G-04</t>
  </si>
  <si>
    <t>Variable Rate Interest Expense True-up-Gas 2004</t>
  </si>
  <si>
    <t>BG030154</t>
  </si>
  <si>
    <t>NYS SIT Adj due to change in rate 7.5% to 7.1%</t>
  </si>
  <si>
    <t>601095-09</t>
  </si>
  <si>
    <t>601095-10</t>
  </si>
  <si>
    <t>601095-A</t>
  </si>
  <si>
    <t>601095-L</t>
  </si>
  <si>
    <t>601092-07</t>
  </si>
  <si>
    <t>Adj Exog R&amp;D Tax Bene &amp; Gross Up Def-G for NCR</t>
  </si>
  <si>
    <t>BG030478</t>
  </si>
  <si>
    <t>Property Tax 481(a) Adj Due to Change in Lien Date</t>
  </si>
  <si>
    <t>601098-A</t>
  </si>
  <si>
    <t>601098-L</t>
  </si>
  <si>
    <t>SERP Gas</t>
  </si>
  <si>
    <t>SERP - Gas</t>
  </si>
  <si>
    <t>Property Tax-Gas</t>
  </si>
  <si>
    <t>BG030595</t>
  </si>
  <si>
    <t>Vegetation Management-Gas</t>
  </si>
  <si>
    <t>BG030596</t>
  </si>
  <si>
    <t>Management Audit Expenses-Gas</t>
  </si>
  <si>
    <t>BG030599</t>
  </si>
  <si>
    <t>Incremental Maintenance/CRO-Gas</t>
  </si>
  <si>
    <t>BG030182</t>
  </si>
  <si>
    <t>601230-A</t>
  </si>
  <si>
    <t>Pre-Cap Installation Costs-Gas</t>
  </si>
  <si>
    <t>BG030911</t>
  </si>
  <si>
    <t>Research &amp; Development-Gas</t>
  </si>
  <si>
    <t>R&amp;D Deferral - Gas</t>
  </si>
  <si>
    <t>601246-11</t>
  </si>
  <si>
    <t>MFC Revenues O/U Collection-Gas</t>
  </si>
  <si>
    <t>601246-12</t>
  </si>
  <si>
    <t>MFC RY2 Revenues O/U Collection-Gas</t>
  </si>
  <si>
    <t>Gas Pipeline</t>
  </si>
  <si>
    <t>Gas R&amp;D Tax Credit Deferral</t>
  </si>
  <si>
    <t>LIP Bill Reduction - Gas</t>
  </si>
  <si>
    <t>LIP Arrearage Foregiveness - Gas</t>
  </si>
  <si>
    <t>LIP Reconnect Fee Waiver - Gas</t>
  </si>
  <si>
    <t>LIP Administrative Expense - Gas</t>
  </si>
  <si>
    <t>BE030196</t>
  </si>
  <si>
    <t>601027-A</t>
  </si>
  <si>
    <t>EDF-Amortization</t>
  </si>
  <si>
    <t>Economic Development</t>
  </si>
  <si>
    <t>602027-L</t>
  </si>
  <si>
    <t>EDF-Leftovers</t>
  </si>
  <si>
    <t>601043-IMLR</t>
  </si>
  <si>
    <t>IMLR</t>
  </si>
  <si>
    <t>Defer EDF Liability</t>
  </si>
  <si>
    <t>EDF(Economic Development Fund)-Gas</t>
  </si>
  <si>
    <t>BE030423</t>
  </si>
  <si>
    <t>Por Disc-Electric</t>
  </si>
  <si>
    <t>BG030424</t>
  </si>
  <si>
    <t>Por Disc-Gas</t>
  </si>
  <si>
    <t>601083-A</t>
  </si>
  <si>
    <t>OTHER REGULATORY LIABILITIES-PURCHASE OF RECEIVABLES-GAS</t>
  </si>
  <si>
    <t>601083-L</t>
  </si>
  <si>
    <t>BG030188</t>
  </si>
  <si>
    <t>OTHER REGULATORY LIABILITIES-STORM COSTS RESERVE</t>
  </si>
  <si>
    <t>Major Storm Reserve</t>
  </si>
  <si>
    <t>BG030131</t>
  </si>
  <si>
    <t>Asset Retirement Obligation-Gas</t>
  </si>
  <si>
    <t>BE030426</t>
  </si>
  <si>
    <t>Other Regulatory Liability-PASGA2</t>
  </si>
  <si>
    <t>ASGA</t>
  </si>
  <si>
    <t>BE030427</t>
  </si>
  <si>
    <t>Beebee Decommissioning</t>
  </si>
  <si>
    <t>Asset Sale Gain Account -Ginna Sale</t>
  </si>
  <si>
    <t>Ginna Sale - Reserved - Assign# 600017.</t>
  </si>
  <si>
    <t>BE030432</t>
  </si>
  <si>
    <t>Ginna Sale Gain to ASGA-Assign# 600180</t>
  </si>
  <si>
    <t>BE030433</t>
  </si>
  <si>
    <t>600190-Tax</t>
  </si>
  <si>
    <t>Ginna SaleTax Gross up-Assign# 600190</t>
  </si>
  <si>
    <t>BE030434</t>
  </si>
  <si>
    <t>600191-Tax</t>
  </si>
  <si>
    <t>ASGA Gross-up on ADIT Book-Tax Depr Corr Assign# 600191</t>
  </si>
  <si>
    <t>BE030435</t>
  </si>
  <si>
    <t>600204-A</t>
  </si>
  <si>
    <t>Refund Checks and Bill Credits to Customers-Assgn# 600204</t>
  </si>
  <si>
    <t>600204-TAX</t>
  </si>
  <si>
    <t>2004 Refund to Customers-Tax-Assign#600204-TAX</t>
  </si>
  <si>
    <t>600205-A</t>
  </si>
  <si>
    <t>Current Refund Payable-01/05-Assgn# 600205-A</t>
  </si>
  <si>
    <t>600205-A-TAX</t>
  </si>
  <si>
    <t>2005 Refund to Customers-Tax-Assign#600205-A-TAX</t>
  </si>
  <si>
    <t>600206-A</t>
  </si>
  <si>
    <t>Current Refund Payable-01/06-Assgn# 600206-A</t>
  </si>
  <si>
    <t>600206-A-TAX</t>
  </si>
  <si>
    <t>2006 Refund to Customers-Tax-Assign#600206-A-TAX</t>
  </si>
  <si>
    <t>600207-A</t>
  </si>
  <si>
    <t>Current Refund Payable-01/07-Assgn# 600207-A</t>
  </si>
  <si>
    <t>600207-A-TAX</t>
  </si>
  <si>
    <t>2007 Refund to Customers-Tax-Assign#600207-A-TAX</t>
  </si>
  <si>
    <t>BE030438</t>
  </si>
  <si>
    <t>Pension -Ginna</t>
  </si>
  <si>
    <t>BE030439</t>
  </si>
  <si>
    <t>Fas106-Ginna</t>
  </si>
  <si>
    <t>BE030428</t>
  </si>
  <si>
    <t xml:space="preserve">Ginna Accrued Benefits(Days Off)(Def St &amp; Fed-Electric) </t>
  </si>
  <si>
    <t>BE030429</t>
  </si>
  <si>
    <t>Post Retirement Benefit - FAS107 assign# 600006</t>
  </si>
  <si>
    <t>BE030440</t>
  </si>
  <si>
    <t>600212-Tax</t>
  </si>
  <si>
    <t>Deferred inc Tax Pension &amp; Fas 106</t>
  </si>
  <si>
    <t>BE030441</t>
  </si>
  <si>
    <t>Towers restated Ginna-Pension/OPEB - assgn# 600213</t>
  </si>
  <si>
    <t>BE030442</t>
  </si>
  <si>
    <t>600213-TAX</t>
  </si>
  <si>
    <t>Tax-SERP Transfer to ASGA - assgn# 600213-TAX</t>
  </si>
  <si>
    <t>BE030452</t>
  </si>
  <si>
    <t>ASGA Carrying Cost-Assgn# 601026</t>
  </si>
  <si>
    <t>601026-Tax</t>
  </si>
  <si>
    <t>ASGA- Carrying Charges-Assign#601026-Tax</t>
  </si>
  <si>
    <t>ESR overcollection to ASGA-JPV2-Assgn# 601014</t>
  </si>
  <si>
    <t>BE030449</t>
  </si>
  <si>
    <t>601014-ASGA</t>
  </si>
  <si>
    <t>OUT-of-Period Retroactive ISO Billing ADJ.- 601014-ASGA</t>
  </si>
  <si>
    <t>BE030450</t>
  </si>
  <si>
    <t>601014-ASGA-Tax</t>
  </si>
  <si>
    <t>ESR Joint Proposal-TAX-Assign#601014-ASGA-TAX</t>
  </si>
  <si>
    <t>BE030451</t>
  </si>
  <si>
    <t>601025-Tax</t>
  </si>
  <si>
    <t xml:space="preserve">ASGA Offset for May &amp; Ginna PPA-Assgn# 601025 </t>
  </si>
  <si>
    <t>Ginna PPA - Joint Proposal Tax assgn# 601025</t>
  </si>
  <si>
    <t>601029-Tax</t>
  </si>
  <si>
    <t>PPA - Taxes-Assign# 601029</t>
  </si>
  <si>
    <t>BE030556</t>
  </si>
  <si>
    <t>601046-076-CC/Offset</t>
  </si>
  <si>
    <t>ESM Transfer to ASGA</t>
  </si>
  <si>
    <t>BE030444</t>
  </si>
  <si>
    <t>600217/601217-TAX</t>
  </si>
  <si>
    <t xml:space="preserve">Adj ASGA Gross-up-Assgn# 600217 </t>
  </si>
  <si>
    <t>BE030430</t>
  </si>
  <si>
    <t>Transaction Cost trnsf from PASGA to ASGA</t>
  </si>
  <si>
    <t>BE030431</t>
  </si>
  <si>
    <t>600109-TAX</t>
  </si>
  <si>
    <t>TAX-Pension, ORPB and PASGA Transfers</t>
  </si>
  <si>
    <t>ASGA Offset Ginna PPA for 2005 assign# 601050</t>
  </si>
  <si>
    <t>601050-TAX</t>
  </si>
  <si>
    <t>PPA-Taxes-2005 assign# 601050-TAX</t>
  </si>
  <si>
    <t>ASGA offset Ginna PPA For 2006-Assign#601077</t>
  </si>
  <si>
    <t>601077-TAX</t>
  </si>
  <si>
    <t>PPA-Taxes-2006-Assign#601077-TAX</t>
  </si>
  <si>
    <t>BE030261</t>
  </si>
  <si>
    <t>601040-E</t>
  </si>
  <si>
    <t>Reclassed 05 POR Incremental Costs to ASGA-Electric</t>
  </si>
  <si>
    <t>BE030398</t>
  </si>
  <si>
    <t>601082-05</t>
  </si>
  <si>
    <t>True-up to Actual POR-Elec Discounts in Excess of Write-off</t>
  </si>
  <si>
    <t>ESR Moved to ASGA</t>
  </si>
  <si>
    <t>BE030445</t>
  </si>
  <si>
    <t>Ginna '05 Outage Accrual Cost to ASGA</t>
  </si>
  <si>
    <t>601001-Tax</t>
  </si>
  <si>
    <t>Ginna '05 Outage Accrual Cost to ASGA-Tax</t>
  </si>
  <si>
    <t>BE030446</t>
  </si>
  <si>
    <t>Ginna '05 Lvl Refuel Replacement PP Cost to ASGA</t>
  </si>
  <si>
    <t>601002-Tax</t>
  </si>
  <si>
    <t>Ginna '05 Lvl Refuel Replacement PP Cost to ASGA-Tax</t>
  </si>
  <si>
    <t>BE030436</t>
  </si>
  <si>
    <t xml:space="preserve">Ginna Sale Incentive </t>
  </si>
  <si>
    <t>BE030437</t>
  </si>
  <si>
    <t>600208-TAX</t>
  </si>
  <si>
    <t>Ginna Sale Incentive-TAX-Assign#600208-TAX</t>
  </si>
  <si>
    <t>BE030447</t>
  </si>
  <si>
    <t>Offset Base Rate Inc For ASGA</t>
  </si>
  <si>
    <t>601003-TAX</t>
  </si>
  <si>
    <t>Offset Base Rate Inc For ASGA-TAX-Assign#601003-TAX</t>
  </si>
  <si>
    <t>BE030448</t>
  </si>
  <si>
    <t>Def'd '03 Ginna Reful Replacement PP Cost</t>
  </si>
  <si>
    <t>601005-Tax</t>
  </si>
  <si>
    <t>Amort Defr 03 Ginna refuel repl PP cost-ASGA-Assign#601005-Tax</t>
  </si>
  <si>
    <t>Prepaid NYS LLRWD Ginna Credit on Original Transfer</t>
  </si>
  <si>
    <t>BE030443</t>
  </si>
  <si>
    <t>600215-SERP</t>
  </si>
  <si>
    <t>SERP-Ginna  Assgn#600215</t>
  </si>
  <si>
    <t>600215-SERP-Tax</t>
  </si>
  <si>
    <t xml:space="preserve">SERP-Ginna </t>
  </si>
  <si>
    <t>Amort Ginna PPA Offset</t>
  </si>
  <si>
    <t>601089-TAX</t>
  </si>
  <si>
    <t>PPA - Taxes-2007</t>
  </si>
  <si>
    <t>ESM Transfer to ASGA - 2006</t>
  </si>
  <si>
    <t>601082-06/07/08/09</t>
  </si>
  <si>
    <t>Amort Ginna PPA Offset-2008</t>
  </si>
  <si>
    <t>601104-TAX</t>
  </si>
  <si>
    <t>PPA - Taxes-2008</t>
  </si>
  <si>
    <t>601113/ZZ.GIN02/03</t>
  </si>
  <si>
    <t>PASGA Transfer</t>
  </si>
  <si>
    <t>601113-Tax</t>
  </si>
  <si>
    <t>PASGA Transfer-Taxes-2008</t>
  </si>
  <si>
    <t>Amort Ginna PPA Offset-2009</t>
  </si>
  <si>
    <t>601133-Tax</t>
  </si>
  <si>
    <t>PPA - Taxes-2009</t>
  </si>
  <si>
    <t>BE030369</t>
  </si>
  <si>
    <t>June 09 NC Mitigation Thru ASGA</t>
  </si>
  <si>
    <t>601135-Tax</t>
  </si>
  <si>
    <t>2009 NBC Mitigation Thru ASGA-Tax</t>
  </si>
  <si>
    <t>BT010157</t>
  </si>
  <si>
    <t>601082-09-TAX</t>
  </si>
  <si>
    <t>2010 Tax on POR-2009</t>
  </si>
  <si>
    <t>BE030905</t>
  </si>
  <si>
    <t>ASGA Contribution per JP App-G 56.3</t>
  </si>
  <si>
    <t>ACF</t>
  </si>
  <si>
    <t>601026-Adj</t>
  </si>
  <si>
    <t>Xfer ASGA CC On Ginna 2004,05,06,07 Add'l Refund</t>
  </si>
  <si>
    <t>601082-10</t>
  </si>
  <si>
    <t>600207- B</t>
  </si>
  <si>
    <t>Remain Bal-GINNA Sale Refund uncashed checks</t>
  </si>
  <si>
    <t>Amort $6.5M ASGA Contribution-ends 12/31/2013</t>
  </si>
  <si>
    <t>BE030926</t>
  </si>
  <si>
    <t>$10M Constellation Settlement</t>
  </si>
  <si>
    <t>BT010009</t>
  </si>
  <si>
    <t xml:space="preserve">ASGA Gross-up </t>
  </si>
  <si>
    <t>BE030573</t>
  </si>
  <si>
    <t>PBA - E RELATED TO THE MERGER ORDER 07-M-0906</t>
  </si>
  <si>
    <t>Positive Benefit Adjustment</t>
  </si>
  <si>
    <t>BG030574</t>
  </si>
  <si>
    <t>PBA - G RELATED TO THE MERGER ORDER 07-M-0906</t>
  </si>
  <si>
    <t>BT010080</t>
  </si>
  <si>
    <t>Excess DIT</t>
  </si>
  <si>
    <t xml:space="preserve">NYS Excess DIT - Electric </t>
  </si>
  <si>
    <t>Excess NYS DIT (to 7.1%)</t>
  </si>
  <si>
    <t>BG030472</t>
  </si>
  <si>
    <t>NONNCR Gas Excess DIT Payable to Customer-Gross</t>
  </si>
  <si>
    <t>BG030476</t>
  </si>
  <si>
    <t>NONNCR Gas Excess DIT Payable to Customer-Gross-up</t>
  </si>
  <si>
    <t>BDFAULT</t>
  </si>
  <si>
    <t>NONNCR Gas Excess DIT Payable to Customer Combined Gross &amp; Gross-up</t>
  </si>
  <si>
    <t>NYS Excess DIT - Gas</t>
  </si>
  <si>
    <t>BE030557</t>
  </si>
  <si>
    <t>Reclass Other Regulatory Liability-ASGA-Electric</t>
  </si>
  <si>
    <t>BE030558</t>
  </si>
  <si>
    <t>BE030185</t>
  </si>
  <si>
    <t>Other Reg Liab-Unfunded Future FI -Electric</t>
  </si>
  <si>
    <t>OTHER REGULATORY LIABILITIES-DSO Elec Hedges(Gains)</t>
  </si>
  <si>
    <t>Commodity Hedge Margin</t>
  </si>
  <si>
    <t xml:space="preserve">WIP - Billing </t>
  </si>
  <si>
    <t>Various</t>
  </si>
  <si>
    <t>WIP - Munu Matl &amp; Supp (No Stores E)</t>
  </si>
  <si>
    <t>Deferred Debits-Misc-Other Taxes</t>
  </si>
  <si>
    <t>Deferred Debits-Pension Asset</t>
  </si>
  <si>
    <t>Misc Def Debits-Prepaid FAS 106</t>
  </si>
  <si>
    <t xml:space="preserve">WIP - Non-Cap Exp-Meter Instal </t>
  </si>
  <si>
    <t>Tennessee Gas Pipeline Refund</t>
  </si>
  <si>
    <t>Ginna Expense of Sale</t>
  </si>
  <si>
    <t>601028/601053</t>
  </si>
  <si>
    <t>5 Yr Credit Facility Fee</t>
  </si>
  <si>
    <t>RG&amp;E DOE LOC-Commitment Letter-Fee</t>
  </si>
  <si>
    <t>Adj NYSDPSAssessment 2006-07-Refund</t>
  </si>
  <si>
    <t>PSGA</t>
  </si>
  <si>
    <t>60104A</t>
  </si>
  <si>
    <t>Health Benefit Accrual - Health&amp;Drug-Retiree Assign# 60104A</t>
  </si>
  <si>
    <t>Reclass Wachovia Fees from 181000</t>
  </si>
  <si>
    <t>12A12002</t>
  </si>
  <si>
    <t>Russell Station Auction Assign# 12A12002</t>
  </si>
  <si>
    <t>12A12003</t>
  </si>
  <si>
    <t>RGE Fossil Auction</t>
  </si>
  <si>
    <t>YE Clearing Of Account 184008 to 186255</t>
  </si>
  <si>
    <t>Mendon Station</t>
  </si>
  <si>
    <t>Muncipial GRT Accruals</t>
  </si>
  <si>
    <t>RG&amp;E Sales &amp; Use Tax Payment</t>
  </si>
  <si>
    <t>2011 revolver</t>
  </si>
  <si>
    <t>Revolver Closing Fees</t>
  </si>
  <si>
    <t>090111-093011</t>
  </si>
  <si>
    <t>Amerex Brokers LLC</t>
  </si>
  <si>
    <t>NYSERDA Reclass</t>
  </si>
  <si>
    <t>Capitalized Benefit Reclass</t>
  </si>
  <si>
    <t>Other Deferred Debits-Property Tax</t>
  </si>
  <si>
    <t>SERP - OCI - FAS87</t>
  </si>
  <si>
    <t>Non-Cap Meter Installation</t>
  </si>
  <si>
    <t>Ginna Sale Expenses</t>
  </si>
  <si>
    <t>Revolver Facility</t>
  </si>
  <si>
    <t>PSC Assessment Refund</t>
  </si>
  <si>
    <t>Purchase Gas Clearing-National Fuel</t>
  </si>
  <si>
    <t>Health Benefit Accrual</t>
  </si>
  <si>
    <t>Russell</t>
  </si>
  <si>
    <t>GRT Refund Requests</t>
  </si>
  <si>
    <t>Sales &amp; Use Tax</t>
  </si>
  <si>
    <t>Other Liabilities-Customers Downpayments (WMS)</t>
  </si>
  <si>
    <t>EB-Cap</t>
  </si>
  <si>
    <t>Advance payments from SD</t>
  </si>
  <si>
    <t>Customer Deposits</t>
  </si>
  <si>
    <t>Deferred Cr.-Unclaimed Wages &amp; Refunds</t>
  </si>
  <si>
    <t>Unclaimed Funds</t>
  </si>
  <si>
    <t>Deferred Cr.-Misc Cashiers Refunds</t>
  </si>
  <si>
    <t>Deferred Compensation - OPCO Mkt to Mkt</t>
  </si>
  <si>
    <t>Deferred Compensation</t>
  </si>
  <si>
    <t>Deferred Compensation - HR</t>
  </si>
  <si>
    <t>Def. Cr.-Prov for Steam Serv Termination</t>
  </si>
  <si>
    <t>Steam Abandonment</t>
  </si>
  <si>
    <t xml:space="preserve">Def. Cr-Monroe City Conduit Occup. Lic. </t>
  </si>
  <si>
    <t>Monroe County Conduit</t>
  </si>
  <si>
    <t>GSC Deferral - Interest</t>
  </si>
  <si>
    <t>601138-11</t>
  </si>
  <si>
    <t>Esco Collateral</t>
  </si>
  <si>
    <t>Metromedia Energy</t>
  </si>
  <si>
    <t>ESCO Collateral</t>
  </si>
  <si>
    <t>IPP (Stations)</t>
  </si>
  <si>
    <t>Long Pond GR#15555</t>
  </si>
  <si>
    <t>CIAC Accrual</t>
  </si>
  <si>
    <t xml:space="preserve">Green Power </t>
  </si>
  <si>
    <t>626 NYPA PFJ</t>
  </si>
  <si>
    <t>Byron Bergen CSD New Gate Station-GCEDC WBS-1W.25337</t>
  </si>
  <si>
    <t>Def Comp NQ Plan - Iberdrola</t>
  </si>
  <si>
    <t>Canandagua VA Medic</t>
  </si>
  <si>
    <t>Energy Companies</t>
  </si>
  <si>
    <t>Def Cr.-DARS Insurance Prem &amp; Warrant</t>
  </si>
  <si>
    <t>DARS Insurance</t>
  </si>
  <si>
    <t>AML-SERP</t>
  </si>
  <si>
    <t>AML-SERP-OCI</t>
  </si>
  <si>
    <t>Fas 133</t>
  </si>
  <si>
    <t>JL-EEMC Accrual</t>
  </si>
  <si>
    <t>Oth. Def. Cr.-Pension Liabilities</t>
  </si>
  <si>
    <t>DEFERRED REVENUE-ON BILL PAYMENT PLAN</t>
  </si>
  <si>
    <t>Deferred Cr.-SERP/SRBP</t>
  </si>
  <si>
    <t>OTHER DEFERRED CREDITS-DEFERRED COMP</t>
  </si>
  <si>
    <t>OTHER DEFERRED CREDITS-RATE CASE ISSUES</t>
  </si>
  <si>
    <t>Regulatory Reserve</t>
  </si>
  <si>
    <t>Def. Cr.-FERC 636 Transition Costs</t>
  </si>
  <si>
    <t>Def. Cr.- FAS 112 Post Empl Ben Liab.</t>
  </si>
  <si>
    <t>FAS 112</t>
  </si>
  <si>
    <t>Deferred Cr.-Stock Option</t>
  </si>
  <si>
    <t>Pre Cap Asset Installation-Electric</t>
  </si>
  <si>
    <t>Pre Cap Asset Installation-Gas</t>
  </si>
  <si>
    <t>Def Tax</t>
  </si>
  <si>
    <t>OCI 219500</t>
  </si>
  <si>
    <t>BT010141</t>
  </si>
  <si>
    <t>NON QUALIFIED PENSION</t>
  </si>
  <si>
    <t>FAS 133 Related</t>
  </si>
  <si>
    <t>OCI 219530</t>
  </si>
  <si>
    <t>BT010136/
BT010151</t>
  </si>
  <si>
    <t>FAS 133 COMMODITY MARK TO MARKET</t>
  </si>
  <si>
    <t>OCI 219532</t>
  </si>
  <si>
    <t>BT010139</t>
  </si>
  <si>
    <t>FAS 133 TREASURY MARK TO MARKET</t>
  </si>
  <si>
    <t>OCI 219533</t>
  </si>
  <si>
    <t>BT010138</t>
  </si>
  <si>
    <t>FAS 133 TREASURY CF SETT</t>
  </si>
  <si>
    <t>OCI 219535</t>
  </si>
  <si>
    <t>BT010137</t>
  </si>
  <si>
    <t>FAS 133 COMMODITY RECLASSIFICATIONS</t>
  </si>
  <si>
    <t>OCI 219537</t>
  </si>
  <si>
    <t>BT010140</t>
  </si>
  <si>
    <t>TREASURY RECLASS</t>
  </si>
  <si>
    <t>OCI 219575</t>
  </si>
  <si>
    <t>BT010143</t>
  </si>
  <si>
    <t>OCI MISCELLANEOUS</t>
  </si>
  <si>
    <t>ARO</t>
  </si>
  <si>
    <t>BT010303</t>
  </si>
  <si>
    <t>ARO - Other Liability</t>
  </si>
  <si>
    <t>ASGA - LOC</t>
  </si>
  <si>
    <t>BT010006/
BT010009</t>
  </si>
  <si>
    <t>ASGA - LETTER OF CREDIT</t>
  </si>
  <si>
    <t>Cap Ex</t>
  </si>
  <si>
    <t>BDEFAULT</t>
  </si>
  <si>
    <t>Capital Expenditures Excess - Reserve</t>
  </si>
  <si>
    <t>Cap Ex Reserve</t>
  </si>
  <si>
    <t>190-064</t>
  </si>
  <si>
    <t>BTHUNGDT</t>
  </si>
  <si>
    <t>CAS CONTRACTORS</t>
  </si>
  <si>
    <t>190-092</t>
  </si>
  <si>
    <t>BT010036</t>
  </si>
  <si>
    <t>CHANGE OF CONTROL</t>
  </si>
  <si>
    <t>Merger Related</t>
  </si>
  <si>
    <t>190-017</t>
  </si>
  <si>
    <t>BT010043</t>
  </si>
  <si>
    <t>CIAC</t>
  </si>
  <si>
    <t>190-049</t>
  </si>
  <si>
    <t>BT010105</t>
  </si>
  <si>
    <t>CLAIMS RESERVE</t>
  </si>
  <si>
    <t>Claims Reserve</t>
  </si>
  <si>
    <t>190-075</t>
  </si>
  <si>
    <t>BT010042</t>
  </si>
  <si>
    <t>CONTRACTOR SETTLEMENT AGREEMENT</t>
  </si>
  <si>
    <t xml:space="preserve">Contractor Settlement </t>
  </si>
  <si>
    <t>190-014</t>
  </si>
  <si>
    <t>BT010050</t>
  </si>
  <si>
    <t>DECOMMISSIONING INCOME</t>
  </si>
  <si>
    <t>Decommissioning Income</t>
  </si>
  <si>
    <t>190-044</t>
  </si>
  <si>
    <t>DEFERRED COMP.</t>
  </si>
  <si>
    <t>Deferred Comp</t>
  </si>
  <si>
    <t>190-089</t>
  </si>
  <si>
    <t>DEMOBILIZATION LIABILITY - MERGER</t>
  </si>
  <si>
    <t>283-032</t>
  </si>
  <si>
    <t>BT010088</t>
  </si>
  <si>
    <t>FAS 112 Post Employment Benefits</t>
  </si>
  <si>
    <t>190-053</t>
  </si>
  <si>
    <t>GENCO ACCRUALS</t>
  </si>
  <si>
    <t>190-106</t>
  </si>
  <si>
    <t>BT010112</t>
  </si>
  <si>
    <t>LITIGATION</t>
  </si>
  <si>
    <t>Litigation</t>
  </si>
  <si>
    <t>LTI</t>
  </si>
  <si>
    <t>BT010356</t>
  </si>
  <si>
    <t>Long Term Executive Incentive Plan</t>
  </si>
  <si>
    <t>190-043</t>
  </si>
  <si>
    <t>M &amp; S OBSOLESCENCE</t>
  </si>
  <si>
    <t>M&amp;S Obsolescence</t>
  </si>
  <si>
    <t>BT010381</t>
  </si>
  <si>
    <t>Medicare Part D Subsidy Pmt</t>
  </si>
  <si>
    <t>Medicare</t>
  </si>
  <si>
    <t>BT010125</t>
  </si>
  <si>
    <t>Medicare Subsidy Flowthrough</t>
  </si>
  <si>
    <t>190-031</t>
  </si>
  <si>
    <t>BT010167</t>
  </si>
  <si>
    <t>PENSION</t>
  </si>
  <si>
    <t>Pension</t>
  </si>
  <si>
    <t>190-088</t>
  </si>
  <si>
    <t>BT010070</t>
  </si>
  <si>
    <t>PERSONAL TIME</t>
  </si>
  <si>
    <t>Personal Time</t>
  </si>
  <si>
    <t>190-015</t>
  </si>
  <si>
    <t>BT010089</t>
  </si>
  <si>
    <t>POSTRETIREMENT BENEFITS - FAS 106</t>
  </si>
  <si>
    <t>190-060</t>
  </si>
  <si>
    <t>PSC FUEL AUDIT</t>
  </si>
  <si>
    <t>R&amp;D Deferral</t>
  </si>
  <si>
    <t>BT010177</t>
  </si>
  <si>
    <t>PTR Adjustments:  R&amp;D Deferral</t>
  </si>
  <si>
    <t>190-052</t>
  </si>
  <si>
    <t>RCS ACCRUALS</t>
  </si>
  <si>
    <t>RestrStk</t>
  </si>
  <si>
    <t>BT010183</t>
  </si>
  <si>
    <t>Restricted Stock - Accrual vs Vesting</t>
  </si>
  <si>
    <t>Restricted Stock</t>
  </si>
  <si>
    <t>190-101</t>
  </si>
  <si>
    <t>BT010194</t>
  </si>
  <si>
    <t>REVOLVER FACILITY</t>
  </si>
  <si>
    <t>190-019</t>
  </si>
  <si>
    <t>BT010208</t>
  </si>
  <si>
    <t>SEPARATION ACCRUAL</t>
  </si>
  <si>
    <t>Separation Accrual</t>
  </si>
  <si>
    <t>190-105</t>
  </si>
  <si>
    <t>BT010195</t>
  </si>
  <si>
    <t>SERP/SRBP</t>
  </si>
  <si>
    <t>Severance-State</t>
  </si>
  <si>
    <t>BT010211</t>
  </si>
  <si>
    <t>Severence - Merger - State</t>
  </si>
  <si>
    <t>Iberdrola Merger Severance</t>
  </si>
  <si>
    <t>283-026</t>
  </si>
  <si>
    <t>BT010071</t>
  </si>
  <si>
    <t>SITE REMEDIATION -non reg</t>
  </si>
  <si>
    <t>190-090</t>
  </si>
  <si>
    <t>BT010220</t>
  </si>
  <si>
    <t>STOCK OPTIONS</t>
  </si>
  <si>
    <t>Stock Options</t>
  </si>
  <si>
    <t>190-103</t>
  </si>
  <si>
    <t>BT010239</t>
  </si>
  <si>
    <t>USE TAX AUDIT REFUND (11/2000 - 12/2002)</t>
  </si>
  <si>
    <t>Use Tax Audit</t>
  </si>
  <si>
    <t>190-056</t>
  </si>
  <si>
    <t>BT010242</t>
  </si>
  <si>
    <t>WATER SURPLUS LIABILITY</t>
  </si>
  <si>
    <t>Water Surplus Liability</t>
  </si>
  <si>
    <t>190-041</t>
  </si>
  <si>
    <t>BT010244</t>
  </si>
  <si>
    <t>WORKERS COMP RESERVE</t>
  </si>
  <si>
    <t>Workers Comp Reserve</t>
  </si>
  <si>
    <t>190-074</t>
  </si>
  <si>
    <t>Y2K COSTS</t>
  </si>
  <si>
    <t>190-015-C/L</t>
  </si>
  <si>
    <t>BT010090</t>
  </si>
  <si>
    <t>POSTRETIREMENT BENEFITS - FAS 106 - RESERVE CURRENT LIABILITY</t>
  </si>
  <si>
    <t>190-015-JP</t>
  </si>
  <si>
    <t>POSTRETIREMENT BENEFITS - FAS 106 - JOINT PROPOSAL</t>
  </si>
  <si>
    <t>190-017-S</t>
  </si>
  <si>
    <t>190-023</t>
  </si>
  <si>
    <t>BT010099</t>
  </si>
  <si>
    <t>GAS DEMAND CHARGES</t>
  </si>
  <si>
    <t>Gas Demand Charges</t>
  </si>
  <si>
    <t>190-024</t>
  </si>
  <si>
    <t>BT010205</t>
  </si>
  <si>
    <t>GAS INVENTORY - 263A</t>
  </si>
  <si>
    <t>Gas Inventory - 263A</t>
  </si>
  <si>
    <t>190-031-S</t>
  </si>
  <si>
    <t>190-031-JP</t>
  </si>
  <si>
    <t>PENSION - JOINT PROPOSAL</t>
  </si>
  <si>
    <t>190-046</t>
  </si>
  <si>
    <t>190-045</t>
  </si>
  <si>
    <t>GREAT LAKES REFUND</t>
  </si>
  <si>
    <t>190-075-S</t>
  </si>
  <si>
    <t>190-082</t>
  </si>
  <si>
    <t>GRRP DEFERRAL</t>
  </si>
  <si>
    <t>190-091</t>
  </si>
  <si>
    <t>BC030225/
BT010225</t>
  </si>
  <si>
    <t>COST TO ACHIEVE</t>
  </si>
  <si>
    <t>190-094-JP</t>
  </si>
  <si>
    <t>PREPAID PROPERTY TAX - JP</t>
  </si>
  <si>
    <t>Prepaid Property Tax</t>
  </si>
  <si>
    <t>190-095-JP</t>
  </si>
  <si>
    <t>OUTREACH &amp; EDUCATION - JP</t>
  </si>
  <si>
    <t>190-098-JP</t>
  </si>
  <si>
    <t>EXOGENOUS COST - JOINT PROPOSAL</t>
  </si>
  <si>
    <t>Exogenous Costs</t>
  </si>
  <si>
    <t>190-102</t>
  </si>
  <si>
    <t>EXOGENOUS COST - SOX</t>
  </si>
  <si>
    <t>190-104</t>
  </si>
  <si>
    <t>EARNINGS SHARING</t>
  </si>
  <si>
    <t>Earnings Sharing</t>
  </si>
  <si>
    <t>190-90A</t>
  </si>
  <si>
    <t>STOCK OPTIONS - OTHER</t>
  </si>
  <si>
    <t>190-107</t>
  </si>
  <si>
    <t>MEDICARE DEFERRAL</t>
  </si>
  <si>
    <t>190-108</t>
  </si>
  <si>
    <t>R &amp; D CREDIT DEFERRAL</t>
  </si>
  <si>
    <t>190-026</t>
  </si>
  <si>
    <t>Debt Adj</t>
  </si>
  <si>
    <t>Debt Adjustment</t>
  </si>
  <si>
    <t>Gain/Loss on Reacquired Debt</t>
  </si>
  <si>
    <t>BT010328</t>
  </si>
  <si>
    <t>Gas Hedges ( Losses)</t>
  </si>
  <si>
    <t>190-011</t>
  </si>
  <si>
    <t>BT010218</t>
  </si>
  <si>
    <t>STEAM ABANDONMENT</t>
  </si>
  <si>
    <t>190-016</t>
  </si>
  <si>
    <t>BT010037</t>
  </si>
  <si>
    <t>CLEAN AIR ACT ALLOWANCES</t>
  </si>
  <si>
    <t>Clean Air Act Allowance</t>
  </si>
  <si>
    <t>190-033</t>
  </si>
  <si>
    <t>BT010202</t>
  </si>
  <si>
    <t>NEIL 1 INSURANCE</t>
  </si>
  <si>
    <t>NEIL</t>
  </si>
  <si>
    <t>190-035</t>
  </si>
  <si>
    <t>CATEX</t>
  </si>
  <si>
    <t>190-054</t>
  </si>
  <si>
    <t>HOLDCO ACCRUALS</t>
  </si>
  <si>
    <t>190-057</t>
  </si>
  <si>
    <t>BT010083</t>
  </si>
  <si>
    <t>EXECUTIVE INCENTIVE PLAN</t>
  </si>
  <si>
    <t>Executive Incentive Plan</t>
  </si>
  <si>
    <t>190-066</t>
  </si>
  <si>
    <t>INTEREST INCOME - CLASS ACTION SUIT - AMES</t>
  </si>
  <si>
    <t>190-068</t>
  </si>
  <si>
    <t>PENDLETON SUPERFUND SITE - INTEREST INCOME</t>
  </si>
  <si>
    <t>Y2K COST</t>
  </si>
  <si>
    <t>190-076</t>
  </si>
  <si>
    <t>SEC. 248 ORGANIZATIONAL COSTS</t>
  </si>
  <si>
    <t>190-077</t>
  </si>
  <si>
    <t>HOMEPLACE K-1</t>
  </si>
  <si>
    <t>190-084</t>
  </si>
  <si>
    <t>BT010126</t>
  </si>
  <si>
    <t>MERGER ACCRUAL - JE106</t>
  </si>
  <si>
    <t>190-087</t>
  </si>
  <si>
    <t>BT010196</t>
  </si>
  <si>
    <t>RABBI TRUST - MERGER EXPENSE</t>
  </si>
  <si>
    <t>190-008</t>
  </si>
  <si>
    <t>BT010241</t>
  </si>
  <si>
    <t>VACATION PAY</t>
  </si>
  <si>
    <t>Vacation pay</t>
  </si>
  <si>
    <t>190-047</t>
  </si>
  <si>
    <t>BT010104</t>
  </si>
  <si>
    <t>PERFORMANCE PLUS PLAN (PPP)</t>
  </si>
  <si>
    <t>Performance Plus Plan</t>
  </si>
  <si>
    <t>190-047-S</t>
  </si>
  <si>
    <t>190-109</t>
  </si>
  <si>
    <t>BT010011</t>
  </si>
  <si>
    <t>A&amp;S RESERVE (ACCIDENT &amp; SICKNESS)</t>
  </si>
  <si>
    <t>Accident &amp; Sickness Reserve</t>
  </si>
  <si>
    <t>ENVIRONMENTAL REMEDIATION</t>
  </si>
  <si>
    <t>283-020</t>
  </si>
  <si>
    <t>BT010016</t>
  </si>
  <si>
    <t>BAD DEBTS</t>
  </si>
  <si>
    <t>Bad Debts</t>
  </si>
  <si>
    <t>Ginna Sale</t>
  </si>
  <si>
    <t>BT010005</t>
  </si>
  <si>
    <t>05 REFUND TO CUSTOMERS - GINNA SALE</t>
  </si>
  <si>
    <t>Derivative</t>
  </si>
  <si>
    <t>BT010057</t>
  </si>
  <si>
    <t>DERIVATIVE</t>
  </si>
  <si>
    <t>FAS158OPEB</t>
  </si>
  <si>
    <t>FAS 106 OPEB Current</t>
  </si>
  <si>
    <t>FAS158FAS106F</t>
  </si>
  <si>
    <t>BT030562</t>
  </si>
  <si>
    <t>FAS 106 OPEB FAS 158 Current</t>
  </si>
  <si>
    <t>OCI</t>
  </si>
  <si>
    <t>OCI RECLASS</t>
  </si>
  <si>
    <t>Other Curr</t>
  </si>
  <si>
    <t>BC999998/
BDEFAULT</t>
  </si>
  <si>
    <t>DERIVATIVE CURRENT TAX RECLASS</t>
  </si>
  <si>
    <t>RECLASS CURRENT ADIT - GAS</t>
  </si>
  <si>
    <t>Reclass</t>
  </si>
  <si>
    <t>RECLASS DEFERRED TAX ASSET TO CURRENT - ELEC</t>
  </si>
  <si>
    <t>OTHER CURRENT AMOUNTS</t>
  </si>
  <si>
    <t>RECLASS</t>
  </si>
  <si>
    <t>RECLASS CURRENT ADIT - ELEC</t>
  </si>
  <si>
    <t>Reg Reserve</t>
  </si>
  <si>
    <t>Compliance Filing Reserve</t>
  </si>
  <si>
    <t>BT010225</t>
  </si>
  <si>
    <t>190-001</t>
  </si>
  <si>
    <t>NUCLEAR DECOMMISSIONING</t>
  </si>
  <si>
    <t>Nuclear Decommissioning</t>
  </si>
  <si>
    <t>POST RETIREMENT BENEFITS - FAS 106</t>
  </si>
  <si>
    <t>BT010091</t>
  </si>
  <si>
    <t>190-090/
190-090A</t>
  </si>
  <si>
    <t>GAS INVENTORY</t>
  </si>
  <si>
    <t>MERGER ACCRUAL</t>
  </si>
  <si>
    <t>PERFORMANCE PLUS PLAN</t>
  </si>
  <si>
    <t>A&amp;S RESERVE</t>
  </si>
  <si>
    <t>6 REFUND TO CUSTOMERS - GINNA SALE</t>
  </si>
  <si>
    <t>Other Curr/
RECLASS</t>
  </si>
  <si>
    <t>Other Current Reclass</t>
  </si>
  <si>
    <t>Other Current Amounts</t>
  </si>
  <si>
    <t>OTHER CURRENT TAX RECLASS</t>
  </si>
  <si>
    <t>RECLASS ACCOUNTS</t>
  </si>
  <si>
    <t>OCI - FAS 87 Non Qualified Pension</t>
  </si>
  <si>
    <t>Employee Personal Time</t>
  </si>
  <si>
    <t>FAS 106 OPEB  (Post Retirement Benefits)</t>
  </si>
  <si>
    <t>Medicare Subsidy - Flowthrough</t>
  </si>
  <si>
    <t>Pension Funding vs Expense</t>
  </si>
  <si>
    <t>Pension Funding vs Expense - State</t>
  </si>
  <si>
    <t>Seperation Accruals</t>
  </si>
  <si>
    <t>Stock Options - Accrual vs Vesting</t>
  </si>
  <si>
    <t>Medicare Part D Subsidy Pmts Recd - Fed</t>
  </si>
  <si>
    <t>Deferred Compensation - Fed</t>
  </si>
  <si>
    <t>Pension CR</t>
  </si>
  <si>
    <t>Directors and Officers Liability</t>
  </si>
  <si>
    <t>D &amp; O Insurance</t>
  </si>
  <si>
    <t>FAS106 OPEB Current</t>
  </si>
  <si>
    <t>Incentive Plans Paid vs Accrued - State</t>
  </si>
  <si>
    <t>Incentive Plans Paid vs Accrued</t>
  </si>
  <si>
    <t>Vacation Accrual</t>
  </si>
  <si>
    <t>283-049</t>
  </si>
  <si>
    <t>BEEBEE CLOSURE</t>
  </si>
  <si>
    <t>Beebee</t>
  </si>
  <si>
    <t>283-071</t>
  </si>
  <si>
    <t xml:space="preserve">BLACKOUT </t>
  </si>
  <si>
    <t>2003 Blackout</t>
  </si>
  <si>
    <t>283-071/
283-071-JP</t>
  </si>
  <si>
    <t>BLACKOUT 2003 - JP</t>
  </si>
  <si>
    <t>Cap Ex Customer Credit</t>
  </si>
  <si>
    <t>Clean Air</t>
  </si>
  <si>
    <t>Clean Air Act Allowances</t>
  </si>
  <si>
    <t>190-080</t>
  </si>
  <si>
    <t>COB II DEFERRAL</t>
  </si>
  <si>
    <t>COB II Deferral</t>
  </si>
  <si>
    <t>Econ Develop</t>
  </si>
  <si>
    <t>BT010069</t>
  </si>
  <si>
    <t>Economic Development Deferral</t>
  </si>
  <si>
    <t>190-096-JP</t>
  </si>
  <si>
    <t>BT010074</t>
  </si>
  <si>
    <t>ENVIRONMENTAL RESERVE - JP</t>
  </si>
  <si>
    <t>ExcessDIT-Offset</t>
  </si>
  <si>
    <t>BT010079</t>
  </si>
  <si>
    <t>Excess Deferred - Offset</t>
  </si>
  <si>
    <t>EXCESS DIT</t>
  </si>
  <si>
    <t>BT010078</t>
  </si>
  <si>
    <t>EXCESS DEFERRED INCOME TAX</t>
  </si>
  <si>
    <t>ExcessDIT-Curr</t>
  </si>
  <si>
    <t>Excess Deferred Taxes New York Current</t>
  </si>
  <si>
    <t>Bonus Dep</t>
  </si>
  <si>
    <t>BT010085</t>
  </si>
  <si>
    <t>Exogenous Costs - Bonus Depreciation</t>
  </si>
  <si>
    <t>FAS 158 SFAS 106</t>
  </si>
  <si>
    <t>FAS 106 OPEB Reg Liab FAS 158</t>
  </si>
  <si>
    <t>190-111</t>
  </si>
  <si>
    <t>FUEL CREDIT DEFERRAL</t>
  </si>
  <si>
    <t>Fuel Credit Deferral</t>
  </si>
  <si>
    <t>190-079</t>
  </si>
  <si>
    <t>GINNA OUTAGE</t>
  </si>
  <si>
    <t>Ginna Related</t>
  </si>
  <si>
    <t>190-079/
190-079-JP</t>
  </si>
  <si>
    <t>GINNA OUTAGE - JP</t>
  </si>
  <si>
    <t>GROSS UP OF ASGA - GINNA SALE</t>
  </si>
  <si>
    <t>ASGA/
GINNA SALE</t>
  </si>
  <si>
    <t>CRO</t>
  </si>
  <si>
    <t>Incr Maint/CRO</t>
  </si>
  <si>
    <t>ITC</t>
  </si>
  <si>
    <t>BT010109</t>
  </si>
  <si>
    <t>Investment Tax Credit</t>
  </si>
  <si>
    <t>LIP</t>
  </si>
  <si>
    <t>Low Income Program</t>
  </si>
  <si>
    <t>BT010124</t>
  </si>
  <si>
    <t>Mgt Audit</t>
  </si>
  <si>
    <t>Mgmt Audit</t>
  </si>
  <si>
    <t>190-113</t>
  </si>
  <si>
    <t>MISC DEFERRAL PLACEHOLDER</t>
  </si>
  <si>
    <t>NCR on SBC NYSERDA</t>
  </si>
  <si>
    <t>190-042</t>
  </si>
  <si>
    <t>NM2 LLRW DISPOSAL RESERVE</t>
  </si>
  <si>
    <t>NM2 Related</t>
  </si>
  <si>
    <t>TCC</t>
  </si>
  <si>
    <t>NM2 TCC</t>
  </si>
  <si>
    <t>190-005</t>
  </si>
  <si>
    <t>NUCLEAR FUEL STORAGE</t>
  </si>
  <si>
    <t>190-112</t>
  </si>
  <si>
    <t>BT010217</t>
  </si>
  <si>
    <t>NYS RATE ADJUSTMENT DEFERRAL</t>
  </si>
  <si>
    <t>PBA</t>
  </si>
  <si>
    <t>PBA Merger Adjustment</t>
  </si>
  <si>
    <t xml:space="preserve">PENSION </t>
  </si>
  <si>
    <t>BT010166</t>
  </si>
  <si>
    <t>PENSION - JP</t>
  </si>
  <si>
    <t>190-031-FAS 158 F</t>
  </si>
  <si>
    <t>PENSION - REGULATORY LIABILITY FAS 158</t>
  </si>
  <si>
    <t>FAS 158 SFAS</t>
  </si>
  <si>
    <t>Pension - Regulatory Liability FAS 158</t>
  </si>
  <si>
    <t>POSTRETIREMENT BENEFITS - FAS 106 - JP</t>
  </si>
  <si>
    <t>Pre-cap Install</t>
  </si>
  <si>
    <t>Pre-Cap Amortization</t>
  </si>
  <si>
    <t>190-110</t>
  </si>
  <si>
    <t>BT010268</t>
  </si>
  <si>
    <t>PROPERTY TAX 481(a) DEFERRAL</t>
  </si>
  <si>
    <t>Property Tax 481(a) Deferral</t>
  </si>
  <si>
    <t>190-081/
283-067</t>
  </si>
  <si>
    <t>BTMISCDT</t>
  </si>
  <si>
    <t>Property Tax Audit - Fed</t>
  </si>
  <si>
    <t>Property Tax Audit</t>
  </si>
  <si>
    <t>190-081/
283-067-a</t>
  </si>
  <si>
    <t>Property Tax Audit - Fed (profit center need to be changed)</t>
  </si>
  <si>
    <t>POR</t>
  </si>
  <si>
    <t>BT010176</t>
  </si>
  <si>
    <t>R &amp; D Deferral</t>
  </si>
  <si>
    <t>RDM - Electric</t>
  </si>
  <si>
    <t>283-074-JP</t>
  </si>
  <si>
    <t>BT010096/
BT010242</t>
  </si>
  <si>
    <t>REACQUIRED DEBT - JP</t>
  </si>
  <si>
    <t>Reaquired Debt</t>
  </si>
  <si>
    <t>RussDecomm</t>
  </si>
  <si>
    <t>BE030278</t>
  </si>
  <si>
    <t>Russell Decommissioning</t>
  </si>
  <si>
    <t>SERP RegLia F/
SERP RegLiaS</t>
  </si>
  <si>
    <t>BT030561/
BT130561</t>
  </si>
  <si>
    <t>SERP FAS 158</t>
  </si>
  <si>
    <t>BT010209</t>
  </si>
  <si>
    <t>Service Quality Performance Mechanism</t>
  </si>
  <si>
    <t>283-069</t>
  </si>
  <si>
    <t>BT010199</t>
  </si>
  <si>
    <t>SIT VS GRT OVERCOLLECTION</t>
  </si>
  <si>
    <t>NYS Income Tax / GRT Deferral</t>
  </si>
  <si>
    <t>190-097-JP</t>
  </si>
  <si>
    <t>BT010222</t>
  </si>
  <si>
    <t>STORM RESERVE - JP</t>
  </si>
  <si>
    <t>190-083</t>
  </si>
  <si>
    <t>SYSTEM BENEFIT CHARGE</t>
  </si>
  <si>
    <t>283-033</t>
  </si>
  <si>
    <t>BE030241</t>
  </si>
  <si>
    <t>URANIUM ENRICHMENT D &amp; D</t>
  </si>
  <si>
    <t>Uranium Enrichment D&amp;D</t>
  </si>
  <si>
    <t>283-033-S</t>
  </si>
  <si>
    <t>Veg Mgmt</t>
  </si>
  <si>
    <t>283-044</t>
  </si>
  <si>
    <t>WIND STORM COSTS</t>
  </si>
  <si>
    <t>1998 Wind Storm</t>
  </si>
  <si>
    <t>283-044-S</t>
  </si>
  <si>
    <t>SERP RegLiaS</t>
  </si>
  <si>
    <t>ADIT - SERP Regulaotry Liability Federal Gas</t>
  </si>
  <si>
    <t>EXOGENOUS COST - JP</t>
  </si>
  <si>
    <t>FAS 106 OPEB</t>
  </si>
  <si>
    <t>Gas R&amp;D JP Deferral</t>
  </si>
  <si>
    <t>283-075</t>
  </si>
  <si>
    <t>BT010086</t>
  </si>
  <si>
    <t>IRS AUDIT ADJUSTMENT 98-01</t>
  </si>
  <si>
    <t>98 - '01 IRS Audit</t>
  </si>
  <si>
    <t>190-073-JP</t>
  </si>
  <si>
    <t>MFC REVENUE - JP</t>
  </si>
  <si>
    <t>NY Rate Change</t>
  </si>
  <si>
    <t>BT010338</t>
  </si>
  <si>
    <t>NY Rate Change Deferral</t>
  </si>
  <si>
    <t>BT010054/
BT010087/
BT010246</t>
  </si>
  <si>
    <t>283-081-JP</t>
  </si>
  <si>
    <t>PURCHASE OF RECEIVABLES - JP</t>
  </si>
  <si>
    <t>RDM - Gas</t>
  </si>
  <si>
    <t>FAS 158-106 RA</t>
  </si>
  <si>
    <t>Reg Asset Gas</t>
  </si>
  <si>
    <t>FAS158 Reg Asset</t>
  </si>
  <si>
    <t>SQPP</t>
  </si>
  <si>
    <t>GSC Refund</t>
  </si>
  <si>
    <t>Tree Trimming</t>
  </si>
  <si>
    <t>ADIT - SERP Regulatory State - Electric</t>
  </si>
  <si>
    <t>283-071-JP</t>
  </si>
  <si>
    <t>190-079-JP</t>
  </si>
  <si>
    <t>GINNA SALE</t>
  </si>
  <si>
    <t>283-057</t>
  </si>
  <si>
    <t>BT010189/
BE030276/
BTHUNGDT</t>
  </si>
  <si>
    <t>NM2 REVENUE DEFERRED</t>
  </si>
  <si>
    <t>BT030395</t>
  </si>
  <si>
    <t>190-031-FAS 158 S</t>
  </si>
  <si>
    <t>190-081</t>
  </si>
  <si>
    <t>283-067</t>
  </si>
  <si>
    <t>PROPERTY TAX AUDIT</t>
  </si>
  <si>
    <t>FAS 158 Reg A</t>
  </si>
  <si>
    <t>Reg Asset Electric</t>
  </si>
  <si>
    <t>ADIT - SERP Regulaotry Liability State Gas</t>
  </si>
  <si>
    <t>283-073-JP</t>
  </si>
  <si>
    <t>Pension - Regulatory Liability Fas 158</t>
  </si>
  <si>
    <t>FAS 106 OPEB Joint Proposal</t>
  </si>
  <si>
    <t>Medicare Deferral</t>
  </si>
  <si>
    <t>Pension Expense - Joint Proposal</t>
  </si>
  <si>
    <t>RECLASS ADIT - FED - CURRENT - ELEC</t>
  </si>
  <si>
    <t>RECLASS ADIT - STATE - CURRENT - ELEC</t>
  </si>
  <si>
    <t>RECLASS ADIT - FED - CURRENT - GAS</t>
  </si>
  <si>
    <t>RECLASS ADIT - STATE - CURRENT - GAS</t>
  </si>
  <si>
    <t>FAS 109 (Offset in account 182344)</t>
  </si>
  <si>
    <t>282-001</t>
  </si>
  <si>
    <t>OSWEGO SALE</t>
  </si>
  <si>
    <t>282-001/282-002/282-003/282-011/
282-013/
282-014/
282-015</t>
  </si>
  <si>
    <t>BT010229</t>
  </si>
  <si>
    <t>ACCELERATED DEPRECIATION</t>
  </si>
  <si>
    <t>Accelerated Depreciation</t>
  </si>
  <si>
    <t>282-002-S/
282-013-S/
282-014-S/
282-015-S</t>
  </si>
  <si>
    <t>Tax Depreciation - State Adjustment</t>
  </si>
  <si>
    <t>282-002-S</t>
  </si>
  <si>
    <t>BT010020</t>
  </si>
  <si>
    <t>Book Depreciation - State</t>
  </si>
  <si>
    <t>282-003</t>
  </si>
  <si>
    <t>NUCLEAR FUEL DEPRECIATION</t>
  </si>
  <si>
    <t>Nuclear Fuel Depreciation</t>
  </si>
  <si>
    <t>282-004</t>
  </si>
  <si>
    <t>BT010044</t>
  </si>
  <si>
    <t>COST OF REMOVAL</t>
  </si>
  <si>
    <t>282-004-DEF</t>
  </si>
  <si>
    <t>BT010253</t>
  </si>
  <si>
    <t>Cost of Removal</t>
  </si>
  <si>
    <t>282-006</t>
  </si>
  <si>
    <t>BT010029</t>
  </si>
  <si>
    <t>INTEREST CAPITALIZED</t>
  </si>
  <si>
    <t>Capitalized Interest</t>
  </si>
  <si>
    <t>282-007</t>
  </si>
  <si>
    <t>EXCESS SALVAGE</t>
  </si>
  <si>
    <t>Excess Salvage</t>
  </si>
  <si>
    <t>282-007-S</t>
  </si>
  <si>
    <t>Salvage Proceeds - State</t>
  </si>
  <si>
    <t>282-008</t>
  </si>
  <si>
    <t>BT010098</t>
  </si>
  <si>
    <t>LOSS ON EARLY DISPOSAL OF PROPERTY</t>
  </si>
  <si>
    <t>Tax Gain / Loss on Retirement</t>
  </si>
  <si>
    <t>282-008-BOOK</t>
  </si>
  <si>
    <t>BT010097</t>
  </si>
  <si>
    <t>Gain/Loss on Sale of Assets - Book</t>
  </si>
  <si>
    <t>282-009</t>
  </si>
  <si>
    <t>BT010190</t>
  </si>
  <si>
    <t>Retired Non-Mass Asset Property - Fed Only</t>
  </si>
  <si>
    <t>282-009-S</t>
  </si>
  <si>
    <t>Retired Non-Mass Asset Property - State Only</t>
  </si>
  <si>
    <t>282-010</t>
  </si>
  <si>
    <t>Russell Retirement - Tax Federal</t>
  </si>
  <si>
    <t>Russell Retirement</t>
  </si>
  <si>
    <t>282-010-S</t>
  </si>
  <si>
    <t>Russell Retirement - Tax State</t>
  </si>
  <si>
    <t>282-011</t>
  </si>
  <si>
    <t>GINNA INVENTORY</t>
  </si>
  <si>
    <t>Ginna Inventory</t>
  </si>
  <si>
    <t>282-012</t>
  </si>
  <si>
    <t>BT010092</t>
  </si>
  <si>
    <t>FOSSIL INVENTORY</t>
  </si>
  <si>
    <t>Fossil Inventory</t>
  </si>
  <si>
    <t>282-013</t>
  </si>
  <si>
    <t>INTERNAL SOFTWARE- IBO</t>
  </si>
  <si>
    <t>Internal Software - IBO</t>
  </si>
  <si>
    <t>282-014</t>
  </si>
  <si>
    <t>INTERNAL SOFTWARE- WMS</t>
  </si>
  <si>
    <t>Internal Software - WMS</t>
  </si>
  <si>
    <t>282-015</t>
  </si>
  <si>
    <t>INTERNAL SOFTWARE- NIRP</t>
  </si>
  <si>
    <t>Internal Software - NIRP</t>
  </si>
  <si>
    <t>Severance</t>
  </si>
  <si>
    <t>Severence - Merger</t>
  </si>
  <si>
    <t>283-058</t>
  </si>
  <si>
    <t>Mixed Use 263(a)</t>
  </si>
  <si>
    <t>BT010390</t>
  </si>
  <si>
    <t>PTR Adjustments: Mixed Service Costs</t>
  </si>
  <si>
    <t>BT010379</t>
  </si>
  <si>
    <t>Street Lighting Sale</t>
  </si>
  <si>
    <t>Street Light Sale - CoR</t>
  </si>
  <si>
    <t>282-002/
282-013/
282-014/
282-015</t>
  </si>
  <si>
    <t>282-001-S/282-002-S/282-003-S/282-011-S/
282-013-S/
282-014-S/
282-015-S</t>
  </si>
  <si>
    <t>283-048/
283-034/
283-043</t>
  </si>
  <si>
    <t>Amounts included with Accelerated Depreciation (CIS Plus, DG Migration, BEIR)</t>
  </si>
  <si>
    <t>283-048</t>
  </si>
  <si>
    <t>BEIR</t>
  </si>
  <si>
    <t>BLACKOUT 2003 - JOINT PROPOSAL</t>
  </si>
  <si>
    <t>283-087</t>
  </si>
  <si>
    <t>BT010264</t>
  </si>
  <si>
    <t>CASUALTY LOSS</t>
  </si>
  <si>
    <t>Casualty Loss</t>
  </si>
  <si>
    <t>283-087-S</t>
  </si>
  <si>
    <t>Casualty Loss - State</t>
  </si>
  <si>
    <t>283-070</t>
  </si>
  <si>
    <t>BT010225/
BT010036</t>
  </si>
  <si>
    <t>BT010225/BT010036</t>
  </si>
  <si>
    <t>Change of Control</t>
  </si>
  <si>
    <t>283-034</t>
  </si>
  <si>
    <t>CIS PLUS</t>
  </si>
  <si>
    <t>283-035</t>
  </si>
  <si>
    <t>CORH ASSOCIATES</t>
  </si>
  <si>
    <t>283-068</t>
  </si>
  <si>
    <t>283-053</t>
  </si>
  <si>
    <t>DEFERRED COMPETITION IMPLEMENTATION</t>
  </si>
  <si>
    <t>Deferred Competition Implementation</t>
  </si>
  <si>
    <t>283-080-JP</t>
  </si>
  <si>
    <t>DEFERRED PROPERTY TAX - JOINT PROPOSAL</t>
  </si>
  <si>
    <t>283-061</t>
  </si>
  <si>
    <t>DEP IN WRONG ACCT</t>
  </si>
  <si>
    <t>283-043</t>
  </si>
  <si>
    <t>DG MIGRATION</t>
  </si>
  <si>
    <t>283-078</t>
  </si>
  <si>
    <t>ECONOMIC DEVELOPMENT</t>
  </si>
  <si>
    <t>283-055</t>
  </si>
  <si>
    <t>GECHO</t>
  </si>
  <si>
    <t>GRT Refund</t>
  </si>
  <si>
    <t>BT010355</t>
  </si>
  <si>
    <t>GRT Refund Receivable</t>
  </si>
  <si>
    <t xml:space="preserve">HIST BK </t>
  </si>
  <si>
    <t>Historical Book Rate Change Deferral</t>
  </si>
  <si>
    <t>283-013</t>
  </si>
  <si>
    <t>ICE STORM 1991+2003</t>
  </si>
  <si>
    <t>Ice Storm</t>
  </si>
  <si>
    <t>283-086</t>
  </si>
  <si>
    <t>BT010102</t>
  </si>
  <si>
    <t>IMLR-REGULATORY ASSET</t>
  </si>
  <si>
    <t>283-077</t>
  </si>
  <si>
    <t>INTERNAL SOFTWARE OVERCOLLECTION</t>
  </si>
  <si>
    <t>Internal Software</t>
  </si>
  <si>
    <t>283-054</t>
  </si>
  <si>
    <t>KAMINE</t>
  </si>
  <si>
    <t>283-083</t>
  </si>
  <si>
    <t>BT010111</t>
  </si>
  <si>
    <t>KATZ LICENSE</t>
  </si>
  <si>
    <t>283-083-AMORT</t>
  </si>
  <si>
    <t>BT010110</t>
  </si>
  <si>
    <t>Katz License - Tax Amortization</t>
  </si>
  <si>
    <t>283-038</t>
  </si>
  <si>
    <t>LASER LIGHT SHOW</t>
  </si>
  <si>
    <t>Laser Light Show</t>
  </si>
  <si>
    <t>283-085</t>
  </si>
  <si>
    <t>MANUFACTURING CREDIT</t>
  </si>
  <si>
    <t>Manufacturing Credit</t>
  </si>
  <si>
    <t>283-039</t>
  </si>
  <si>
    <t>MAXEY FLATS TRUST</t>
  </si>
  <si>
    <t>283-051</t>
  </si>
  <si>
    <t>MONROE FUND K-1</t>
  </si>
  <si>
    <t>283-002</t>
  </si>
  <si>
    <t>BT010127</t>
  </si>
  <si>
    <t xml:space="preserve">MORTGAGE RECORDING TAX </t>
  </si>
  <si>
    <t>Mortgage Recording Tax</t>
  </si>
  <si>
    <t>283-002-S</t>
  </si>
  <si>
    <t>Mortgage Recording Tax - State Adj</t>
  </si>
  <si>
    <t>NINE MILE 2 SALE</t>
  </si>
  <si>
    <t>NM2-NYS</t>
  </si>
  <si>
    <t>BE030272/
BE030277</t>
  </si>
  <si>
    <t>NM2 NYS VALUATION</t>
  </si>
  <si>
    <t>NM2 NYS Valuation</t>
  </si>
  <si>
    <t>283-045</t>
  </si>
  <si>
    <t>NYNOC K-1</t>
  </si>
  <si>
    <t>283-062</t>
  </si>
  <si>
    <t>OTHER (2003 FIT BENEFIT ADJ TO ACTUAL)</t>
  </si>
  <si>
    <t>FIT Benefit - 2003</t>
  </si>
  <si>
    <t>PASGA2</t>
  </si>
  <si>
    <t xml:space="preserve">PASGA 2 </t>
  </si>
  <si>
    <t>POSTEMPLOYMENT BENEFITS - FAS 112</t>
  </si>
  <si>
    <t>POWERTAX:  Mixed Service Costs 263A</t>
  </si>
  <si>
    <t>283-089</t>
  </si>
  <si>
    <t>BT010172</t>
  </si>
  <si>
    <t>PREPAID INSURANCE</t>
  </si>
  <si>
    <t>Prepaid Insurance</t>
  </si>
  <si>
    <t>283-056</t>
  </si>
  <si>
    <t>BT010173</t>
  </si>
  <si>
    <t>PRIDE</t>
  </si>
  <si>
    <t>PURCHASE OF RECEIVABLES - JOINT PROPOSAL</t>
  </si>
  <si>
    <t>283-072-JP</t>
  </si>
  <si>
    <t>RAS REVENUES - JOINT PROPOSAL</t>
  </si>
  <si>
    <t>RAS</t>
  </si>
  <si>
    <t>REACQUIRED DEBT - JOINT PROPOSAL</t>
  </si>
  <si>
    <t>283-088</t>
  </si>
  <si>
    <t>BT010181</t>
  </si>
  <si>
    <t>REPAIR ALLOWANCE</t>
  </si>
  <si>
    <t>Repair Allowance</t>
  </si>
  <si>
    <t>283-088-S</t>
  </si>
  <si>
    <t>Repair Allowance - State</t>
  </si>
  <si>
    <t>Russell Decom</t>
  </si>
  <si>
    <t>283-019</t>
  </si>
  <si>
    <t>BT010201</t>
  </si>
  <si>
    <t>SALES AND USE TAX AUDIT</t>
  </si>
  <si>
    <t>Sales &amp; Use Tax Audit</t>
  </si>
  <si>
    <t>283-082-JP</t>
  </si>
  <si>
    <t>SECURITY COST - JOINT PROPOSAL</t>
  </si>
  <si>
    <t>SITE REMEDIATION</t>
  </si>
  <si>
    <t>283-063</t>
  </si>
  <si>
    <t>STAR PROJECT</t>
  </si>
  <si>
    <t>STAR</t>
  </si>
  <si>
    <t>Unit of Prop</t>
  </si>
  <si>
    <t>BT010354</t>
  </si>
  <si>
    <t>Unit of Property - 481Adj</t>
  </si>
  <si>
    <t>283-084</t>
  </si>
  <si>
    <t>WORK MANAGEMENT</t>
  </si>
  <si>
    <t>283-008</t>
  </si>
  <si>
    <t>D &amp; O LIABILITY</t>
  </si>
  <si>
    <t>283-003-S</t>
  </si>
  <si>
    <t>Deferred Gas Costs - State</t>
  </si>
  <si>
    <t>DEPRECIATION IN WRONG ACCOUNT</t>
  </si>
  <si>
    <t>283-003</t>
  </si>
  <si>
    <t>GAS CLAUSE ADJUSTMENT (GCA)</t>
  </si>
  <si>
    <t>BT010110/
BT010111</t>
  </si>
  <si>
    <t>MFC REVENUE - JOINT PROPOSAL</t>
  </si>
  <si>
    <t>MORTGAGE RECORDING TAX</t>
  </si>
  <si>
    <t>Mortgage Recording Tax - State</t>
  </si>
  <si>
    <t>OTHER ('03 ADJ TO ACT &amp; '98-'01 AUDIT FIT BENEFITS)</t>
  </si>
  <si>
    <t xml:space="preserve">Repair Allowance </t>
  </si>
  <si>
    <t xml:space="preserve">STAR PROJECT </t>
  </si>
  <si>
    <t>283-059</t>
  </si>
  <si>
    <t>283-004</t>
  </si>
  <si>
    <t>DSM</t>
  </si>
  <si>
    <t>283-046</t>
  </si>
  <si>
    <t>EDISON BROTHERS STORES K-1</t>
  </si>
  <si>
    <t>283-076</t>
  </si>
  <si>
    <t>HECHINGER LIQUIDATION TRUST K-1</t>
  </si>
  <si>
    <t>283-064</t>
  </si>
  <si>
    <t>PENSION - MERGER EXPENSE</t>
  </si>
  <si>
    <t>283-014</t>
  </si>
  <si>
    <t>PENSION CR.</t>
  </si>
  <si>
    <t>283-050</t>
  </si>
  <si>
    <t>RABBI TRUST</t>
  </si>
  <si>
    <t>283-066</t>
  </si>
  <si>
    <t>283-047</t>
  </si>
  <si>
    <t>SCMITT CREDITOR TRUST K-1</t>
  </si>
  <si>
    <t>283-065</t>
  </si>
  <si>
    <t>SERP - MERGER EXPENSE</t>
  </si>
  <si>
    <t>283-066/
283-065</t>
  </si>
  <si>
    <t>SERP - Rabbi Trust/Merger Expense</t>
  </si>
  <si>
    <t>283-048/
283-043</t>
  </si>
  <si>
    <t>Amounts included with Accelerated Depreciation (DG Migration, BEIR)</t>
  </si>
  <si>
    <t>AMT CREDIT</t>
  </si>
  <si>
    <t>283-079-JP</t>
  </si>
  <si>
    <t>GINNA OUTAGE - JOINT PROPOSAL</t>
  </si>
  <si>
    <t>BE030368/ BDEFAULT</t>
  </si>
  <si>
    <t>ICE STORM 1991 + 2003</t>
  </si>
  <si>
    <t>ILMR</t>
  </si>
  <si>
    <t>NM2</t>
  </si>
  <si>
    <t>OSWEGO</t>
  </si>
  <si>
    <t>GAS CLAUSE ADJUSTMENT</t>
  </si>
  <si>
    <t>KATZ LICENSE-Tax Amort</t>
  </si>
  <si>
    <t>Mixed Service Cost 263A</t>
  </si>
  <si>
    <t>283-062/
283-063</t>
  </si>
  <si>
    <t xml:space="preserve">RABBI TRUST </t>
  </si>
  <si>
    <t>283-065/
283-066</t>
  </si>
  <si>
    <t>BT010310</t>
  </si>
  <si>
    <t>Accrued Capital Expense</t>
  </si>
  <si>
    <t>BT010323</t>
  </si>
  <si>
    <t>ARO - Reg Assets</t>
  </si>
  <si>
    <t>ASGA Gross-up Reg Liab</t>
  </si>
  <si>
    <t>BT010054</t>
  </si>
  <si>
    <t>DEFERRED PROPERTY TAX - JP</t>
  </si>
  <si>
    <t>283-026-RA</t>
  </si>
  <si>
    <t>BT010072</t>
  </si>
  <si>
    <t>Environmental - Reg Asset</t>
  </si>
  <si>
    <t>ESR</t>
  </si>
  <si>
    <t>190-099-JP</t>
  </si>
  <si>
    <t>ESR-JP/Purchase Power</t>
  </si>
  <si>
    <t>NERC</t>
  </si>
  <si>
    <t>BT010319</t>
  </si>
  <si>
    <t>Exogenous Cost - NERC</t>
  </si>
  <si>
    <t>NYS Audit</t>
  </si>
  <si>
    <t>BT010313</t>
  </si>
  <si>
    <t>Exogenous Cost - NYS Audit</t>
  </si>
  <si>
    <t>BT010087</t>
  </si>
  <si>
    <t>Stray Volt</t>
  </si>
  <si>
    <t>BT010314</t>
  </si>
  <si>
    <t>Exogenous Cost - Stray Voltage</t>
  </si>
  <si>
    <t>BT010317</t>
  </si>
  <si>
    <t>Exogenous Cost - Tree Trimming</t>
  </si>
  <si>
    <t>BT010221</t>
  </si>
  <si>
    <t>283-054/
190-073</t>
  </si>
  <si>
    <t>BC030223</t>
  </si>
  <si>
    <t>283-054-S/
190-073-S</t>
  </si>
  <si>
    <t>190-073</t>
  </si>
  <si>
    <t>KAMINE SETTLEMENT</t>
  </si>
  <si>
    <t>Medicare Amortization of Reg Asset</t>
  </si>
  <si>
    <t>MFC</t>
  </si>
  <si>
    <t>MFC Undercollection</t>
  </si>
  <si>
    <t>MHP Deferral</t>
  </si>
  <si>
    <t>Miscellaneous Deferral - Meter Costs</t>
  </si>
  <si>
    <t>NBC Uncollectibles</t>
  </si>
  <si>
    <t>BE030272/
BE030276</t>
  </si>
  <si>
    <t>283-057-NYS ADJ</t>
  </si>
  <si>
    <t>BE030277</t>
  </si>
  <si>
    <t>283-057-S</t>
  </si>
  <si>
    <t>NM2 - Transmission Congestion Contracts</t>
  </si>
  <si>
    <t>190-018</t>
  </si>
  <si>
    <t>283-090</t>
  </si>
  <si>
    <t>BT010273</t>
  </si>
  <si>
    <t>NYS 2003 AMENDED RETURN</t>
  </si>
  <si>
    <t>283-058-S</t>
  </si>
  <si>
    <t>BT010156</t>
  </si>
  <si>
    <t>190-015-FAS 158 F</t>
  </si>
  <si>
    <t>POSTRETIREMENT BENEFITS - FAS 106 - REGULATORY LIABILITY FAS 158</t>
  </si>
  <si>
    <t>190-100</t>
  </si>
  <si>
    <t>PREFERRED STOCK REG ASSET</t>
  </si>
  <si>
    <t>Preferred Stock</t>
  </si>
  <si>
    <t>PSC Assess</t>
  </si>
  <si>
    <t>BT010353</t>
  </si>
  <si>
    <t>PSC Fee Assessment Deferral</t>
  </si>
  <si>
    <t>BT010189</t>
  </si>
  <si>
    <t>RAS REVENUES - JP</t>
  </si>
  <si>
    <t>BT010168</t>
  </si>
  <si>
    <t>SECURITY COST - JP</t>
  </si>
  <si>
    <t>283-013-S</t>
  </si>
  <si>
    <t>Storm Costs - State</t>
  </si>
  <si>
    <t>VERP CTA</t>
  </si>
  <si>
    <t>VERP COA</t>
  </si>
  <si>
    <t>EEPS</t>
  </si>
  <si>
    <t>EEPS - Lost Gas Revenue</t>
  </si>
  <si>
    <t>Pipeline Integrity</t>
  </si>
  <si>
    <t>BT010320</t>
  </si>
  <si>
    <t>Exogenous Cost - Pipeline Integrity</t>
  </si>
  <si>
    <t>Exogenous Cost -NYS Audit</t>
  </si>
  <si>
    <t>Mendon Heater Fuel Costs</t>
  </si>
  <si>
    <t>BT010071/
BT010072</t>
  </si>
  <si>
    <t>VRD</t>
  </si>
  <si>
    <t>190-015-FAS 158 S</t>
  </si>
  <si>
    <t>ASGA-CARRYCOST</t>
  </si>
  <si>
    <t>BC030225</t>
  </si>
  <si>
    <t>BC030562/
BT030562</t>
  </si>
  <si>
    <t>BC999998</t>
  </si>
  <si>
    <t>TAXES ACCR - ELEC - FERC FIN 48 - DEFERRED (OFFSET ACCT 236009)</t>
  </si>
  <si>
    <t>BTFIN48F</t>
  </si>
  <si>
    <t>BTFIN48S</t>
  </si>
  <si>
    <t>TAXES ACCR - GAS - FERC FIN 48 - DEFERRED (OFFSET ACCT 236008)</t>
  </si>
  <si>
    <t>RECLASS ACCOUNT</t>
  </si>
  <si>
    <t>RECLASS ACCOUNT - ENVIRONMENTAL</t>
  </si>
  <si>
    <t>RECLASS DEFERRED TAX ASSET TO CURRENT - GAS</t>
  </si>
  <si>
    <t>Type/Cat</t>
  </si>
  <si>
    <t>Type Name</t>
  </si>
  <si>
    <t>Category Name</t>
  </si>
  <si>
    <t>A1</t>
  </si>
  <si>
    <t>All Other</t>
  </si>
  <si>
    <t>Unused Accounts</t>
  </si>
  <si>
    <t>A2</t>
  </si>
  <si>
    <t>C1</t>
  </si>
  <si>
    <t>Capitalization</t>
  </si>
  <si>
    <t>Long Term Debt</t>
  </si>
  <si>
    <t>C11</t>
  </si>
  <si>
    <t>Customer Deposits &amp; Advances</t>
  </si>
  <si>
    <t>C12</t>
  </si>
  <si>
    <t>C13</t>
  </si>
  <si>
    <t>Closed Cycle GAC &amp; Refunds</t>
  </si>
  <si>
    <t>C14</t>
  </si>
  <si>
    <t>C15</t>
  </si>
  <si>
    <t>Common Equity</t>
  </si>
  <si>
    <t>C16</t>
  </si>
  <si>
    <t>Short Term Notes</t>
  </si>
  <si>
    <t>C17</t>
  </si>
  <si>
    <t>SFAS-106 - OPEBs</t>
  </si>
  <si>
    <t>C18</t>
  </si>
  <si>
    <t>NM2 - ASGA</t>
  </si>
  <si>
    <t>C3</t>
  </si>
  <si>
    <t>Unamortized Premium &amp; Discount</t>
  </si>
  <si>
    <t>C7</t>
  </si>
  <si>
    <t>Current Mortgage Bonds</t>
  </si>
  <si>
    <t>C8</t>
  </si>
  <si>
    <t>Current Sinking Fund</t>
  </si>
  <si>
    <t>C9</t>
  </si>
  <si>
    <t>Unamortized Debt Expense</t>
  </si>
  <si>
    <t>N1</t>
  </si>
  <si>
    <t>Interest-Bearing CWIP</t>
  </si>
  <si>
    <t>N2</t>
  </si>
  <si>
    <t>Direct Assign Items Not in RB</t>
  </si>
  <si>
    <t>N3</t>
  </si>
  <si>
    <t>SFAS-109   (offsetting)</t>
  </si>
  <si>
    <t>N4</t>
  </si>
  <si>
    <t>Capital Leases   (offsetting)</t>
  </si>
  <si>
    <t>N5</t>
  </si>
  <si>
    <t>Hedges &amp; OCI</t>
  </si>
  <si>
    <t>N6</t>
  </si>
  <si>
    <t>N7</t>
  </si>
  <si>
    <t>SFAS-106   (net of tax)</t>
  </si>
  <si>
    <t>N8</t>
  </si>
  <si>
    <t>NM-2 ASGA</t>
  </si>
  <si>
    <t>N9</t>
  </si>
  <si>
    <t>Nine Mile Costs</t>
  </si>
  <si>
    <t>N10</t>
  </si>
  <si>
    <t>Deferrals Accruing Non-Cash Return   (other than ASGA)</t>
  </si>
  <si>
    <t>R1</t>
  </si>
  <si>
    <t>Rate Base</t>
  </si>
  <si>
    <t>Utility Plant</t>
  </si>
  <si>
    <t>R10</t>
  </si>
  <si>
    <t>Deferred Debits &amp; Credits</t>
  </si>
  <si>
    <t>R11</t>
  </si>
  <si>
    <t>Deferred Income Taxes</t>
  </si>
  <si>
    <t>R12</t>
  </si>
  <si>
    <t>Deferred Investment Tax Credit</t>
  </si>
  <si>
    <t>R13</t>
  </si>
  <si>
    <t>Earnings Base Cap Differential</t>
  </si>
  <si>
    <t>R2</t>
  </si>
  <si>
    <t>Uncompleted CWIP</t>
  </si>
  <si>
    <t>R3</t>
  </si>
  <si>
    <t>Depreciation Reserve</t>
  </si>
  <si>
    <t>R4</t>
  </si>
  <si>
    <t>Retirement Work in Progress</t>
  </si>
  <si>
    <t>R5</t>
  </si>
  <si>
    <t>R6</t>
  </si>
  <si>
    <t>Working Capital - M &amp; S</t>
  </si>
  <si>
    <t>R7</t>
  </si>
  <si>
    <t>Working Capital - Prepayment</t>
  </si>
  <si>
    <t>R8</t>
  </si>
  <si>
    <t>Working Capital - O&amp;M</t>
  </si>
  <si>
    <t>R9</t>
  </si>
  <si>
    <t>Non-Int Bearing Cust Advances</t>
  </si>
  <si>
    <t>S</t>
  </si>
  <si>
    <t>Reg Asset &amp; Liabilities</t>
  </si>
  <si>
    <t>T</t>
  </si>
  <si>
    <t>Def Taxes</t>
  </si>
  <si>
    <t>N</t>
  </si>
  <si>
    <t>Underground Storage Gas</t>
  </si>
  <si>
    <t>NRBASE</t>
  </si>
  <si>
    <t>A&amp;S Sch</t>
  </si>
  <si>
    <t>ADIT Sch</t>
  </si>
  <si>
    <t>Electric</t>
  </si>
  <si>
    <t>Gas</t>
  </si>
  <si>
    <t>Total</t>
  </si>
  <si>
    <t>Common</t>
  </si>
  <si>
    <t>CTA</t>
  </si>
  <si>
    <t>Customers</t>
  </si>
  <si>
    <t>Net Plant</t>
  </si>
  <si>
    <t>Payroll</t>
  </si>
  <si>
    <t>Property Tax</t>
  </si>
  <si>
    <t>E</t>
  </si>
  <si>
    <t>G</t>
  </si>
  <si>
    <t>C</t>
  </si>
  <si>
    <t>Cust</t>
  </si>
  <si>
    <t>NP</t>
  </si>
  <si>
    <t>Pay</t>
  </si>
  <si>
    <t>Prop</t>
  </si>
  <si>
    <t>PSC</t>
  </si>
  <si>
    <t>RB</t>
  </si>
  <si>
    <t>Less: Production plant</t>
  </si>
  <si>
    <t xml:space="preserve">Electric (Plant accounts 310-346) </t>
  </si>
  <si>
    <t>Gas (Plant Accounts 304-347)</t>
  </si>
  <si>
    <t>Rochester Gas and Electric Corporation</t>
  </si>
  <si>
    <t>Allocation Ratios</t>
  </si>
  <si>
    <t>Cost to Achieve Merger Savings</t>
  </si>
  <si>
    <t>Costs to Achieve per Attachment A to the Merger Joint Proposal</t>
  </si>
  <si>
    <t>% of Total</t>
  </si>
  <si>
    <t>Plant in Service (101)</t>
  </si>
  <si>
    <t>CCNC (106)</t>
  </si>
  <si>
    <t>Plant and Non Interest-Bearing CWIP</t>
  </si>
  <si>
    <t xml:space="preserve">    XS0240  LABOR-STRAIGHT TIME</t>
  </si>
  <si>
    <t xml:space="preserve">    XS0245  LABOR-OTHER</t>
  </si>
  <si>
    <t xml:space="preserve">    XS0249  LABOR-LOST TIME</t>
  </si>
  <si>
    <t xml:space="preserve">    ZS0240  LABOR-STRAIGHT TIME</t>
  </si>
  <si>
    <t xml:space="preserve">    ZS0245  LABOR-OTHER</t>
  </si>
  <si>
    <t xml:space="preserve">    ZS0249  LABOR-LOST TIME</t>
  </si>
  <si>
    <t>*   Regular Time</t>
  </si>
  <si>
    <t xml:space="preserve">    XS0250  LABOR-OVERTIME</t>
  </si>
  <si>
    <t xml:space="preserve">    XS0260  LABOR-DOUBLE OVERTIME</t>
  </si>
  <si>
    <t xml:space="preserve">    ZS0250  LABOR-OVERTIME</t>
  </si>
  <si>
    <t xml:space="preserve">    ZS0255  LABOR Reclass - Overtime</t>
  </si>
  <si>
    <t xml:space="preserve">    ZS0260  LABOR-DOUBLE OVERTIME</t>
  </si>
  <si>
    <t>*   Overtime</t>
  </si>
  <si>
    <t>**  Net Payroll to P&amp;L</t>
  </si>
  <si>
    <t>Backup to Allocation Ratio Calculations</t>
  </si>
  <si>
    <t>Source: S_ALR_87013340: PC Group: P12GAAP; P&amp;L Acct Group: total_Cost.OMSA; B/S Acct Group: ZP_26</t>
  </si>
  <si>
    <t>Source: a/c 591040 (E) and a/c 591050 (G) - per Tax Dept</t>
  </si>
  <si>
    <t>Not in Rate Base</t>
  </si>
  <si>
    <t>Legacy Account</t>
  </si>
  <si>
    <t>Concatinate</t>
  </si>
  <si>
    <t>General Ledge Account</t>
  </si>
  <si>
    <t>Formulas</t>
  </si>
  <si>
    <t>Summary of General Ledger Accounts</t>
  </si>
  <si>
    <t>Earnings Base-Cap Differential</t>
  </si>
  <si>
    <t>R</t>
  </si>
  <si>
    <t>Refer to Reg Asset &amp; Liability Side Schedules for Rate Base Classification</t>
  </si>
  <si>
    <t>Refer to Deferred Tax Side Schedules for Rate Base Classification</t>
  </si>
  <si>
    <r>
      <t xml:space="preserve">General Ledger Balances from SAP - </t>
    </r>
    <r>
      <rPr>
        <b/>
        <u/>
        <sz val="20"/>
        <rFont val="Times New Roman"/>
        <family val="1"/>
      </rPr>
      <t>RG&amp;E</t>
    </r>
  </si>
  <si>
    <t>Nuclear Fuel (Not in Process)</t>
  </si>
  <si>
    <t>Materials &amp; Supplies</t>
  </si>
  <si>
    <t>Storage Gas</t>
  </si>
  <si>
    <t>Other</t>
  </si>
  <si>
    <t>Prepayments</t>
  </si>
  <si>
    <t>Prepaid Property Taxes</t>
  </si>
  <si>
    <t>Less: PSC Temporary Assessment</t>
  </si>
  <si>
    <t>Net amount of Prepayments in Rate Base</t>
  </si>
  <si>
    <t>Regulatory Assets &amp; Liabilities</t>
  </si>
  <si>
    <t>Accrued Pension</t>
  </si>
  <si>
    <t>Capitalized Installation Costs</t>
  </si>
  <si>
    <t>Net (Gains) &amp; Losses on Hedges</t>
  </si>
  <si>
    <t>Reconciliation of Regulatory Asset &amp; Liability Rollforward to GL</t>
  </si>
  <si>
    <t>Difference</t>
  </si>
  <si>
    <t>Non-Utility Property</t>
  </si>
  <si>
    <t>Other Investments</t>
  </si>
  <si>
    <t>Accounts Receivable</t>
  </si>
  <si>
    <t>Special Deposits</t>
  </si>
  <si>
    <t>Temporary Cash Investments</t>
  </si>
  <si>
    <t>Transfer Goods Receipt</t>
  </si>
  <si>
    <t>OTH A/R - TENASKA OPTIMIZATION</t>
  </si>
  <si>
    <t>DERIVATIVE ASSET-LONG TERM</t>
  </si>
  <si>
    <t>ACCUM DEFERRED INC TAXES-FAS 109-FEDERAL-ELECTRIC</t>
  </si>
  <si>
    <t>ACCUM DEFERRED INC TAXES-FAS 109-FEDERAL-GAS</t>
  </si>
  <si>
    <t>OTH NONCUR LIAB-ACCUM PROV-LT PENSION OBLIG-FAS15</t>
  </si>
  <si>
    <t>MISC CUR &amp; ACCRD LIAB-OPEB FAS 158 - CURRENT</t>
  </si>
  <si>
    <t>Accounts Payable</t>
  </si>
  <si>
    <t>Clearing Accounts</t>
  </si>
  <si>
    <t>Deferred Comp - Putnam</t>
  </si>
  <si>
    <t>Fin 48 Reclass</t>
  </si>
  <si>
    <t>Working Funds</t>
  </si>
  <si>
    <t>Nine Mile 2 Costs</t>
  </si>
  <si>
    <t>Workman's Comp Reserve</t>
  </si>
  <si>
    <t>Unbilled Revenue</t>
  </si>
  <si>
    <t>SAP Account</t>
  </si>
  <si>
    <t>Research &amp; Develoment</t>
  </si>
  <si>
    <t>SFAS 112</t>
  </si>
  <si>
    <t>Deferred Taxes</t>
  </si>
  <si>
    <t>Reconciliation of Deferred Tax Rollforward to GL</t>
  </si>
  <si>
    <t>Earnings Base-Capitalization</t>
  </si>
  <si>
    <t>Items Not in Rate Base</t>
  </si>
  <si>
    <t>Reclass Derivatives   (offsetting</t>
  </si>
  <si>
    <t>Reclass Deferred Taxes   (offsetting)</t>
  </si>
  <si>
    <t>Items Accruing Non-Cash Return</t>
  </si>
  <si>
    <t>( $ 000 )</t>
  </si>
  <si>
    <t>Commodity Working Capital</t>
  </si>
  <si>
    <t>Net Lag per Unbundling Collaborative</t>
  </si>
  <si>
    <t>Days per Year</t>
  </si>
  <si>
    <t>Percent of Year</t>
  </si>
  <si>
    <t>O&amp;M</t>
  </si>
  <si>
    <t>Total O&amp;M Expense</t>
  </si>
  <si>
    <t>Balance</t>
  </si>
  <si>
    <t>Working Capital Allowance Factor   (1/8)</t>
  </si>
  <si>
    <t>Working Capital Allowance - O&amp;M</t>
  </si>
  <si>
    <t>Research &amp; Development</t>
  </si>
  <si>
    <t>Subtotal</t>
  </si>
  <si>
    <t>R&amp;D Tax Credit</t>
  </si>
  <si>
    <t>Commodity Hedge Margin Account, Net of Collateral Accounts</t>
  </si>
  <si>
    <t>Net</t>
  </si>
  <si>
    <t>Average</t>
  </si>
  <si>
    <t>Rochester Gas &amp; Electric</t>
  </si>
  <si>
    <t>WC on Purchased Power</t>
  </si>
  <si>
    <t>TME</t>
  </si>
  <si>
    <t>Purchase Power Expense (FERC 555)</t>
  </si>
  <si>
    <t>Working Capital on Purchased Power</t>
  </si>
  <si>
    <t>Pre-Tax Rate of Return</t>
  </si>
  <si>
    <t>Cash Working Capital on Purchased Power to MFC</t>
  </si>
  <si>
    <t>Monthly</t>
  </si>
  <si>
    <t>Depreciation Reserve - Including RWIP</t>
  </si>
  <si>
    <t>Plant Held for Future Use</t>
  </si>
  <si>
    <t>Fossil Fuels</t>
  </si>
  <si>
    <t>Materials and Supplies</t>
  </si>
  <si>
    <t>O&amp;M Working Capital</t>
  </si>
  <si>
    <t>Allegany Regulatory Asset</t>
  </si>
  <si>
    <t>Capital Expenditure Deferral (2004 - 2008)</t>
  </si>
  <si>
    <t>Costs to Achieve - Austerity/Productivity</t>
  </si>
  <si>
    <t>Costs to Achieve - Property Tax Savings</t>
  </si>
  <si>
    <t>DOE Liability</t>
  </si>
  <si>
    <t>Environmental Site Remediation</t>
  </si>
  <si>
    <t>Excess NYS DIT &gt; 7.1%</t>
  </si>
  <si>
    <t>FAS-112 Post Employment Benefit Liability</t>
  </si>
  <si>
    <t>IRS Audit - 1998 - 2001</t>
  </si>
  <si>
    <t>Merchant Function Charge-Gas - True-up</t>
  </si>
  <si>
    <t>Nine Mile 2 Regulatory Asset</t>
  </si>
  <si>
    <t xml:space="preserve">NYS Tax Rate </t>
  </si>
  <si>
    <t>Oswego Regulatory Asset</t>
  </si>
  <si>
    <t>Outreach &amp; Education - True-up</t>
  </si>
  <si>
    <t>Preliminary Survey and Investigation</t>
  </si>
  <si>
    <t>PSC Assessment - General</t>
  </si>
  <si>
    <t>Purchase of Receivables - Gas</t>
  </si>
  <si>
    <t>Variable Rate Debt - Post-2003</t>
  </si>
  <si>
    <t>Commodity Hedge Margin Account - to Commodity</t>
  </si>
  <si>
    <t>NBC TRUE-UP</t>
  </si>
  <si>
    <t>Rate Base - Detail</t>
  </si>
  <si>
    <t>Plant and Non Interest-Bearing Construction Work in Progress</t>
  </si>
  <si>
    <t>Account</t>
  </si>
  <si>
    <t>Alloc Method</t>
  </si>
  <si>
    <t>Elec%</t>
  </si>
  <si>
    <t>Gross Utility Plant</t>
  </si>
  <si>
    <t>Completed Construction</t>
  </si>
  <si>
    <t>Construction Work in Progress</t>
  </si>
  <si>
    <t xml:space="preserve">Exclude Average Interest-Bearing CWIP </t>
  </si>
  <si>
    <t xml:space="preserve">Depreciation Reserve - Including RWIP </t>
  </si>
  <si>
    <t>RWIP NOT Embedded in 108010, 108030 &amp; 108070</t>
  </si>
  <si>
    <t>Underground Gas Stored - to Commodity</t>
  </si>
  <si>
    <t>M&amp;S and Prepayments and Cash Working Capital</t>
  </si>
  <si>
    <t>Less: Prepayments Accruing NCR - PSC Temp Assessment to Items Not in RTBS</t>
  </si>
  <si>
    <t>Percent of Year  (a)</t>
  </si>
  <si>
    <t>Purchased Power &amp; Gas Expense - Full Year</t>
  </si>
  <si>
    <t>Percent of Year ISO on Weekly Billing</t>
  </si>
  <si>
    <t>Purchased Power &amp; Gas Expense  (b)</t>
  </si>
  <si>
    <t>Cash Working Capital on Purchased Power &amp; Gas  (a)*(b)</t>
  </si>
  <si>
    <t>Gas Withdrawn from Storage - to Commodity</t>
  </si>
  <si>
    <t>Number of Days from Rendering Service Until Meter is Read</t>
  </si>
  <si>
    <t>Number of Days from Meter Reading Until Bill is Mailed</t>
  </si>
  <si>
    <t>Number of Days from Billing Until Payment is Received</t>
  </si>
  <si>
    <t>Total Lag</t>
  </si>
  <si>
    <t>Gas Withdrawn from Storage</t>
  </si>
  <si>
    <t>PG128081</t>
  </si>
  <si>
    <t>Cash Working Capital - to Commodity</t>
  </si>
  <si>
    <t>Exclude Transmission</t>
  </si>
  <si>
    <t>PE125650</t>
  </si>
  <si>
    <t>xxxPE125660</t>
  </si>
  <si>
    <t>Exclude PSC Temporary Assessment</t>
  </si>
  <si>
    <t>Excl Uncollectibles</t>
  </si>
  <si>
    <t>PE129040</t>
  </si>
  <si>
    <t>PG129040</t>
  </si>
  <si>
    <t>Deferred Assets and Liabilities</t>
  </si>
  <si>
    <t>Prelim Survey</t>
  </si>
  <si>
    <t>From Regulatory Asset &amp; Liability Rollforward Sch.</t>
  </si>
  <si>
    <t>Storm</t>
  </si>
  <si>
    <t>Loss on Reacquired Debt</t>
  </si>
  <si>
    <t>Net (Gains) &amp; Losses on Interest Rate Hedges</t>
  </si>
  <si>
    <t>Adjustment for Hedge Loss - transfer to Items Not in Rate Base</t>
  </si>
  <si>
    <t>Other Collateral in Accounts 232021, 237430 and 242090</t>
  </si>
  <si>
    <t>NBC TRUE-UP - to Commodity</t>
  </si>
  <si>
    <t>NBC</t>
  </si>
  <si>
    <t>Deferred Gas Costs - to Commodity</t>
  </si>
  <si>
    <t>Regulatory True-ups</t>
  </si>
  <si>
    <t>IMLR - True-up</t>
  </si>
  <si>
    <t>Reg True-up</t>
  </si>
  <si>
    <t>All Other From the Regulatory Asset &amp; Liability Rollforward Sch.</t>
  </si>
  <si>
    <t>Subtotal - Regulatory Assets and Liabilities</t>
  </si>
  <si>
    <t>Manual Adjustment</t>
  </si>
  <si>
    <t>Total Regulatory Assets and Liabilities</t>
  </si>
  <si>
    <t>Deferred ITC</t>
  </si>
  <si>
    <t>Back-up to Rate Base Amounts from 7/14/10 Joint Proposal</t>
  </si>
  <si>
    <t>Net of Tax ASGA in Rate Base</t>
  </si>
  <si>
    <t>Not in RTBS</t>
  </si>
  <si>
    <t>nanana</t>
  </si>
  <si>
    <t>(Includes IB-CWIP)</t>
  </si>
  <si>
    <t>Storage Gas Inventory</t>
  </si>
  <si>
    <t>RG&amp;E</t>
  </si>
  <si>
    <t xml:space="preserve">PSC Temporary Assessment - Accrued Payable </t>
  </si>
  <si>
    <t>Adjustment to Prepayments (R7):</t>
  </si>
  <si>
    <t>Adjustment to Working Capital - O&amp;M:</t>
  </si>
  <si>
    <t>Balance Beginning</t>
  </si>
  <si>
    <t>Amort Expense</t>
  </si>
  <si>
    <t>Assessment</t>
  </si>
  <si>
    <t>Total Activity</t>
  </si>
  <si>
    <t>Balance Ending</t>
  </si>
  <si>
    <t>check from above</t>
  </si>
  <si>
    <t>Rolling 12 Month Average</t>
  </si>
  <si>
    <t>Adjustment to Prepayments and WC - O&amp;M</t>
  </si>
  <si>
    <t>Russell Decommissioning Reserve</t>
  </si>
  <si>
    <t>Injury &amp; Damages Reserve</t>
  </si>
  <si>
    <t>Storm Reserve</t>
  </si>
  <si>
    <t>Non Qualified Pension</t>
  </si>
  <si>
    <t>A&amp;S CHIP</t>
  </si>
  <si>
    <t>Renewable Portfolio Standard</t>
  </si>
  <si>
    <t>System Benefits Charge</t>
  </si>
  <si>
    <t>Preliminary Engineering</t>
  </si>
  <si>
    <t>Interest Payable</t>
  </si>
  <si>
    <t>Equal Payment Plan</t>
  </si>
  <si>
    <t>Group Incentive Plan</t>
  </si>
  <si>
    <t>A2Special Deposits</t>
  </si>
  <si>
    <t>[(2,796) fixed amount of ASGA per JP exhibit is transferred to Rate Base on Summary sheet.  DIT is 1,108; (1,688) net of tax transfer to rate base]</t>
  </si>
  <si>
    <t>RGE</t>
  </si>
  <si>
    <t>The Calculation of Tax Depreciation for the property record</t>
  </si>
  <si>
    <t>year 2010</t>
  </si>
  <si>
    <t>The calculation is a comparison of the Tax Depreciation with and</t>
  </si>
  <si>
    <t>without the special Bonus Depreciation</t>
  </si>
  <si>
    <t>Addition</t>
  </si>
  <si>
    <t xml:space="preserve">Tax </t>
  </si>
  <si>
    <t>Deferred Tax</t>
  </si>
  <si>
    <t>Vintage</t>
  </si>
  <si>
    <t>Year</t>
  </si>
  <si>
    <t>NOL Adjustment</t>
  </si>
  <si>
    <t>Def Tax with</t>
  </si>
  <si>
    <t>2011 Vintage</t>
  </si>
  <si>
    <t>NOL adj</t>
  </si>
  <si>
    <t>Balance at</t>
  </si>
  <si>
    <t>2010 WITH</t>
  </si>
  <si>
    <t>2010 W/O</t>
  </si>
  <si>
    <t>12mtdAvg</t>
  </si>
  <si>
    <t>2011 WITH</t>
  </si>
  <si>
    <t>2011 W/O</t>
  </si>
  <si>
    <t>2012 WITH</t>
  </si>
  <si>
    <t>2012 W/O</t>
  </si>
  <si>
    <t xml:space="preserve">TOTAL WITH </t>
  </si>
  <si>
    <t>TOTAL W/O</t>
  </si>
  <si>
    <t>DIFFERENCE</t>
  </si>
  <si>
    <t>@ 35%</t>
  </si>
  <si>
    <t>ADFIT @12/31</t>
  </si>
  <si>
    <t>Average Balance</t>
  </si>
  <si>
    <t>WITH = Total Depreciation when Bonus Depreciation is Claimed</t>
  </si>
  <si>
    <t>W/O = Total Depreciation when no Bonus Depreciation is Claimed</t>
  </si>
  <si>
    <t>EEPS J/E Calculation NYS ST4405E</t>
  </si>
  <si>
    <t>Case Number 07-M-0548 Effective 6/23/08</t>
  </si>
  <si>
    <t>Energy Efficiency Porfolio Standard (starting October 2008)</t>
  </si>
  <si>
    <t>ELECTRIC</t>
  </si>
  <si>
    <t>EEPS Billed Revenues (A)</t>
  </si>
  <si>
    <t>Unbilled:</t>
  </si>
  <si>
    <t>Total Unbilled EEPS Revenues</t>
  </si>
  <si>
    <t>Total EEPS Collection (JE)</t>
  </si>
  <si>
    <t xml:space="preserve">Other Adjustments </t>
  </si>
  <si>
    <t>Nyseda Progams (#601119)</t>
  </si>
  <si>
    <t>Utility Programs (# 608120)</t>
  </si>
  <si>
    <t>Total Target</t>
  </si>
  <si>
    <t>Net (over)/under collection</t>
  </si>
  <si>
    <t>Accum (over)/under collection</t>
  </si>
  <si>
    <t>GL balance</t>
  </si>
  <si>
    <t xml:space="preserve">EEPS NYSERDA Liab </t>
  </si>
  <si>
    <t>Adjustments [explain]</t>
  </si>
  <si>
    <t>EEPS Payment (Quarterly to NYSERDA) 242022-KR</t>
  </si>
  <si>
    <t>Accum Balance 601119</t>
  </si>
  <si>
    <t>Monthly over/(under) spent vs Target</t>
  </si>
  <si>
    <t xml:space="preserve">601120 - NCR </t>
  </si>
  <si>
    <t>Over/Under Collections</t>
  </si>
  <si>
    <t>Total Accumulated NCR</t>
  </si>
  <si>
    <t>Monthly Balance</t>
  </si>
  <si>
    <t>Average (over)/under Collection</t>
  </si>
  <si>
    <t>Monthy rate for 5.5% annual "Othr Cust</t>
  </si>
  <si>
    <t>Capital" to be adj'd annually - 6.6% beg 1/09</t>
  </si>
  <si>
    <t>NCR Current Month</t>
  </si>
  <si>
    <t>Accum Balance NCR 601120</t>
  </si>
  <si>
    <t>EEPS Acct summary</t>
  </si>
  <si>
    <t>Electric Balance</t>
  </si>
  <si>
    <t>Gas Balance</t>
  </si>
  <si>
    <t>Total Gaap E&amp;G balance</t>
  </si>
  <si>
    <t xml:space="preserve"> </t>
  </si>
  <si>
    <t>EEPS J/E Calculation Rge ST4405G</t>
  </si>
  <si>
    <t>GAS</t>
  </si>
  <si>
    <t>Unbilled Thm Current Month - Account 173200</t>
  </si>
  <si>
    <t>Other Adjustments</t>
  </si>
  <si>
    <t xml:space="preserve">NYSERDA Progams </t>
  </si>
  <si>
    <t xml:space="preserve">Utility Programs </t>
  </si>
  <si>
    <t>Monthly Net (over)/under collection</t>
  </si>
  <si>
    <t>601121 - NYSERDA</t>
  </si>
  <si>
    <t>EEPS Liab (3)</t>
  </si>
  <si>
    <t>EEPS Payment (Qtrly to NYSERDA)</t>
  </si>
  <si>
    <t xml:space="preserve">Accum Balance </t>
  </si>
  <si>
    <t xml:space="preserve">GL balance </t>
  </si>
  <si>
    <t>EEPS Targeted Expenditures</t>
  </si>
  <si>
    <t>Expenditures</t>
  </si>
  <si>
    <t>Accum over/(under) balance</t>
  </si>
  <si>
    <t>601123 - NCR (Underspent Fast Track Programs)</t>
  </si>
  <si>
    <t>Accum over/(under) expenditures</t>
  </si>
  <si>
    <t xml:space="preserve">   Adjustment</t>
  </si>
  <si>
    <t>Accum Balance 601123</t>
  </si>
  <si>
    <t>EEPS Uncollectible recble</t>
  </si>
  <si>
    <t>to be reveived</t>
  </si>
  <si>
    <t>recovery</t>
  </si>
  <si>
    <t>Gas Accum Balance</t>
  </si>
  <si>
    <t>Margin A/C 174175</t>
  </si>
  <si>
    <t>Collateral Accounts</t>
  </si>
  <si>
    <t>End Balance</t>
  </si>
  <si>
    <t xml:space="preserve">Average Non-Interest Bearing Construction Work in Progress </t>
  </si>
  <si>
    <t>(Excludes Suspended CWIP that is Not Accruing AFDC)</t>
  </si>
  <si>
    <t>Total CWIP</t>
  </si>
  <si>
    <t>Non IB CWIP</t>
  </si>
  <si>
    <t>Less Suspended Projects (included in Non IB CWIP)</t>
  </si>
  <si>
    <t>Non IB CWIP, less suspended projects</t>
  </si>
  <si>
    <t>IB CWIP (total CWIP minus non IBCWIP less suspended projects)</t>
  </si>
  <si>
    <t>Common Allocator</t>
  </si>
  <si>
    <t>IB CWIP to Remove from Rate Base</t>
  </si>
  <si>
    <t>Average IB CWIP to Remove from Rate Base</t>
  </si>
  <si>
    <t>Rochester Gas &amp; Electric Corporation</t>
  </si>
  <si>
    <t/>
  </si>
  <si>
    <t>601237-13</t>
  </si>
  <si>
    <t>RDM Deferral Over/Under RY3</t>
  </si>
  <si>
    <t>601238-13</t>
  </si>
  <si>
    <t>BE030908</t>
  </si>
  <si>
    <t>601239-13</t>
  </si>
  <si>
    <t>MFC Revenues O/U Collection RY3 -Electric</t>
  </si>
  <si>
    <t>Theoretical Reserve Flow-Thru</t>
  </si>
  <si>
    <t>Theoretical Reserve</t>
  </si>
  <si>
    <t>601246-13</t>
  </si>
  <si>
    <t>MFC Revenues O/U Collection RY2 -Gas</t>
  </si>
  <si>
    <t>1X.70004</t>
  </si>
  <si>
    <t>PLTEXP</t>
  </si>
  <si>
    <t>OTHER REGULATORY LIABILITY-RUSSELL DECOMMISSIONING</t>
  </si>
  <si>
    <t>Constellation Energy</t>
  </si>
  <si>
    <t>Other Working Capital</t>
  </si>
  <si>
    <t>Advance Payment</t>
  </si>
  <si>
    <t>Items Not in Rate Base - Detail</t>
  </si>
  <si>
    <t>Assign #</t>
  </si>
  <si>
    <t>Short name</t>
  </si>
  <si>
    <t>Description</t>
  </si>
  <si>
    <t>Category</t>
  </si>
  <si>
    <t>Subtotal - ASGA</t>
  </si>
  <si>
    <t>Subtotal - Asset Retirement Obligation</t>
  </si>
  <si>
    <t>Bonus Depreciation</t>
  </si>
  <si>
    <t>Subtotal - Bonus Depreciaiton Deferral</t>
  </si>
  <si>
    <t>CAIDI/SAIFI Deferral</t>
  </si>
  <si>
    <t>Subtotal - CAIDI/SAIFI</t>
  </si>
  <si>
    <t>Subtotal - CapEx Customer Credit</t>
  </si>
  <si>
    <t>Subtotal - Economic Development</t>
  </si>
  <si>
    <t>Subtotal - EEPS</t>
  </si>
  <si>
    <t>Subtotal - Environmental</t>
  </si>
  <si>
    <t>Subtotal - ESM</t>
  </si>
  <si>
    <t>FIN 48 Reclass</t>
  </si>
  <si>
    <t>GL236007</t>
  </si>
  <si>
    <t>GL236008</t>
  </si>
  <si>
    <t>GL236009</t>
  </si>
  <si>
    <t>Subtotal - FIN 48 Reclass</t>
  </si>
  <si>
    <t>Subtotal - Gas Costs Deferred</t>
  </si>
  <si>
    <t>Subtotal - Gas Pipeline Integrity</t>
  </si>
  <si>
    <t>Reg Asset254015601136BG030586</t>
  </si>
  <si>
    <t>Def Tax190502GSC RefundBG030586</t>
  </si>
  <si>
    <t>Def Tax190512GSC RefundBG030586</t>
  </si>
  <si>
    <t>Def Tax283210GSC RefundBG030586</t>
  </si>
  <si>
    <t>Def Tax283410GSC RefundBG030586</t>
  </si>
  <si>
    <t>Subtotal - GCIM - Shareholder</t>
  </si>
  <si>
    <t>GL176401</t>
  </si>
  <si>
    <t>GL176990</t>
  </si>
  <si>
    <t>GL176991</t>
  </si>
  <si>
    <t>GL176992</t>
  </si>
  <si>
    <t>GL219500</t>
  </si>
  <si>
    <t>GL219510</t>
  </si>
  <si>
    <t>GL219530</t>
  </si>
  <si>
    <t>GL219532</t>
  </si>
  <si>
    <t>GL219535</t>
  </si>
  <si>
    <t>GL219540</t>
  </si>
  <si>
    <t>GL219542</t>
  </si>
  <si>
    <t>GL219543</t>
  </si>
  <si>
    <t>GL219545</t>
  </si>
  <si>
    <t>GL219547</t>
  </si>
  <si>
    <t>GL219550</t>
  </si>
  <si>
    <t>GL219553</t>
  </si>
  <si>
    <t>GL219565</t>
  </si>
  <si>
    <t>GL219567</t>
  </si>
  <si>
    <t>GL219570</t>
  </si>
  <si>
    <t>GL219572</t>
  </si>
  <si>
    <t>GL245401</t>
  </si>
  <si>
    <t>GL245420</t>
  </si>
  <si>
    <t>GL245451</t>
  </si>
  <si>
    <t>GL245992</t>
  </si>
  <si>
    <t>Reg Asset182366DSOBE030149</t>
  </si>
  <si>
    <t>Subtotal - Hedges &amp; OCI</t>
  </si>
  <si>
    <t>Hung Deferred Taxes</t>
  </si>
  <si>
    <t>Subtotal - Hung Deferred Taxes</t>
  </si>
  <si>
    <t>Subtotal - Incremental Maintenace</t>
  </si>
  <si>
    <t>Subtotal - IRS Audit</t>
  </si>
  <si>
    <t>Subtotal - Low Income</t>
  </si>
  <si>
    <t>Management Audit</t>
  </si>
  <si>
    <t>Def Tax190501Mgt AuditBE030596</t>
  </si>
  <si>
    <t>Def Tax190502Mgt AuditBG030596</t>
  </si>
  <si>
    <t>Def Tax190511Mgt AuditBE030596</t>
  </si>
  <si>
    <t>Def Tax190512Mgt AuditBG030596</t>
  </si>
  <si>
    <t>Subtotal - Management Audit Deferral</t>
  </si>
  <si>
    <t>Merchant Function Charge - Electric</t>
  </si>
  <si>
    <t>Def Tax283500MFCBE030155</t>
  </si>
  <si>
    <t>Def Tax283550MFCBE030155</t>
  </si>
  <si>
    <t>Subtotal - Merchant Function Charge - Electric</t>
  </si>
  <si>
    <t>Subtotal - MHP Meter Deferral</t>
  </si>
  <si>
    <t>Non-Qualified Retiree Trust (net of related liability)</t>
  </si>
  <si>
    <t>Subtotal - Non-Qualified Retiree Trust (net of related liability)</t>
  </si>
  <si>
    <t>GL121000</t>
  </si>
  <si>
    <t>GL122000</t>
  </si>
  <si>
    <t>Subtotal - Nonutility Property</t>
  </si>
  <si>
    <t>GL124000</t>
  </si>
  <si>
    <t>Subtotal - Other Investments</t>
  </si>
  <si>
    <t>Payroll-Related Costs</t>
  </si>
  <si>
    <t>182.18.01/183.39.00</t>
  </si>
  <si>
    <t>DEFERRED COMP DIRECTORS PENSION-ELEC</t>
  </si>
  <si>
    <t>182.18.02/183.40.00</t>
  </si>
  <si>
    <t>DEFERRED COMP DIRECTORS PENSION-GAS</t>
  </si>
  <si>
    <t>DEFERRED COMPENSATION-ELEC</t>
  </si>
  <si>
    <t>DEFERRED COMPENSATION-GAS</t>
  </si>
  <si>
    <t>BT010049</t>
  </si>
  <si>
    <t>186.01.21/186.01.05</t>
  </si>
  <si>
    <t>186.01.22/186.01.06</t>
  </si>
  <si>
    <t>Deferred Compensation - Funding vs Expense</t>
  </si>
  <si>
    <t>Subtotal - Payroll-Related Costs</t>
  </si>
  <si>
    <t>Subtotal - Property Tax Deferral</t>
  </si>
  <si>
    <t>Subtotal - PSC Assessment</t>
  </si>
  <si>
    <t>Def Tax283500BE030904</t>
  </si>
  <si>
    <t>Def Tax283510BG030904</t>
  </si>
  <si>
    <t>Def Tax283550BE030904</t>
  </si>
  <si>
    <t>Def Tax283560BG030904</t>
  </si>
  <si>
    <t>Subtotal - RDM</t>
  </si>
  <si>
    <t>Subtotal - Service Quality Performance</t>
  </si>
  <si>
    <t>SFAS-109</t>
  </si>
  <si>
    <t>GL283990</t>
  </si>
  <si>
    <t>GL283991</t>
  </si>
  <si>
    <t>Def Tax190006DerivativeBT010057</t>
  </si>
  <si>
    <t>Def Tax190007DerivativeBT010057</t>
  </si>
  <si>
    <t>Def Tax190008DerivativeBT010057</t>
  </si>
  <si>
    <t>Def Tax190016DerivativeBT010057</t>
  </si>
  <si>
    <t>Def Tax190017DerivativeBT010057</t>
  </si>
  <si>
    <t>Def Tax190018DerivativeBT010057</t>
  </si>
  <si>
    <t>Subtotal - SFAS-109</t>
  </si>
  <si>
    <t>Storm Costs</t>
  </si>
  <si>
    <t>Subtotal - Storm Costs</t>
  </si>
  <si>
    <t>Subtotal - System Benefits Charge</t>
  </si>
  <si>
    <t>GL136000</t>
  </si>
  <si>
    <t>GL136990</t>
  </si>
  <si>
    <t>GL136991</t>
  </si>
  <si>
    <t>GL136992</t>
  </si>
  <si>
    <t>Subtotal - Temporary Cash Investments</t>
  </si>
  <si>
    <t>Subtotal - Theoretical Reserve</t>
  </si>
  <si>
    <t>GL154975</t>
  </si>
  <si>
    <t>GL232029</t>
  </si>
  <si>
    <t>Subtotal - Transfer Goods Receipt</t>
  </si>
  <si>
    <t>Subtotal - Unit of Property CTA</t>
  </si>
  <si>
    <t>Subtotal - Variable Rate Debt</t>
  </si>
  <si>
    <t>Subtotal - Vegetation Management</t>
  </si>
  <si>
    <t>Other Miscellaneous Items</t>
  </si>
  <si>
    <t>GL245990</t>
  </si>
  <si>
    <t>GL245991</t>
  </si>
  <si>
    <t>Subtotal - Other Miscellaneous Items</t>
  </si>
  <si>
    <t>Interest Bearing CWIP</t>
  </si>
  <si>
    <t>GL107010</t>
  </si>
  <si>
    <t>GL107030</t>
  </si>
  <si>
    <t>GL107070</t>
  </si>
  <si>
    <t>Subtotal - Interest Bearing CWIP</t>
  </si>
  <si>
    <t>Manual Adjustments</t>
  </si>
  <si>
    <t>PSC Temporary Assessment - transfer from Prepayments to Items Not in Rate Base</t>
  </si>
  <si>
    <t>PSC General Assessment Deferred Taxes - transfer from  Items Not in Rate Base to Deferred Taxes</t>
  </si>
  <si>
    <t>ASGA - Transfer from Items Not in Rate Base to Deferred Debits &amp; Credits (JP Amount)</t>
  </si>
  <si>
    <t>ASGA Deferred Taxes - Transfer from Items Not in Rate Base to Deferred Debits &amp; Credits (JP Amount)</t>
  </si>
  <si>
    <t>ACF Deferred Taxes transferred to Rate Base</t>
  </si>
  <si>
    <t>Environmental Deferred Taxes transferred to Rate Base</t>
  </si>
  <si>
    <t>Bonus Depreciation - Transfer from Deferred Taxes to Items Not in Rate Base</t>
  </si>
  <si>
    <t>SFAS-109 - Balancing Adjustment</t>
  </si>
  <si>
    <t>EEPS accruing NCR - Transfer from EBCAP to Items Not in Rate Base</t>
  </si>
  <si>
    <t>Subtotal - Manual Adjustments</t>
  </si>
  <si>
    <t>Total - Items Not in Rate Base</t>
  </si>
  <si>
    <t>Check Total</t>
  </si>
  <si>
    <t>Def Tax190006190-109BT010011</t>
  </si>
  <si>
    <t>Def Tax190007190-109BT010011</t>
  </si>
  <si>
    <t>Def Tax190016190-109BT010011</t>
  </si>
  <si>
    <t>Def Tax190017190-109BT010011</t>
  </si>
  <si>
    <t>Subtotal - Accident &amp; Sickness Reserve</t>
  </si>
  <si>
    <t>Reg Asset254680BE030426</t>
  </si>
  <si>
    <t>Reg Asset254270</t>
  </si>
  <si>
    <t>Reg Asset254270600180BE030432</t>
  </si>
  <si>
    <t>Reg Asset254270600190-TaxBE030433</t>
  </si>
  <si>
    <t>Reg Asset254270600191-TaxBE030434</t>
  </si>
  <si>
    <t>Reg Asset254270600204-ABE030435</t>
  </si>
  <si>
    <t>Reg Asset254270600204-TAXBE030435</t>
  </si>
  <si>
    <t>Reg Asset254270600205-ABE030435</t>
  </si>
  <si>
    <t>Reg Asset254270600205-A-TAXBE030435</t>
  </si>
  <si>
    <t>Reg Asset254270600206-ABE030435</t>
  </si>
  <si>
    <t>Reg Asset254270600206-A-TAXBE030435</t>
  </si>
  <si>
    <t>Reg Asset254270600207-ABE030435</t>
  </si>
  <si>
    <t>Reg Asset254270600207-A-TAXBE030435</t>
  </si>
  <si>
    <t>Reg Asset254270600212BE030438</t>
  </si>
  <si>
    <t>Reg Asset254270600212BE030439</t>
  </si>
  <si>
    <t>Reg Asset254270600006BE030428</t>
  </si>
  <si>
    <t>Reg Asset254270600006BE030429</t>
  </si>
  <si>
    <t>Reg Asset254270600212-TaxBE030440</t>
  </si>
  <si>
    <t>Reg Asset254270600213BE030441</t>
  </si>
  <si>
    <t>Reg Asset254270600213-TAXBE030442</t>
  </si>
  <si>
    <t>Reg Asset254270601026BE030452</t>
  </si>
  <si>
    <t>Reg Asset254270601026-TaxBE030452</t>
  </si>
  <si>
    <t>Reg Asset254270601014-ASGABE030449</t>
  </si>
  <si>
    <t>Reg Asset254270601014-ASGA-TaxBE030450</t>
  </si>
  <si>
    <t>Reg Asset254270601025-TaxBE030451</t>
  </si>
  <si>
    <t>Reg Asset254270601025BE030451</t>
  </si>
  <si>
    <t>Reg Asset254270601029-TaxBE030451</t>
  </si>
  <si>
    <t>Reg Asset254270601046-076-CC/OffsetBE030556</t>
  </si>
  <si>
    <t>Reg Asset254270600217/601217-TAXBE030444</t>
  </si>
  <si>
    <t>Reg Asset254270600109BE030430</t>
  </si>
  <si>
    <t>Reg Asset254270600109-TAXBE030431</t>
  </si>
  <si>
    <t>Reg Asset254270601050BE030451</t>
  </si>
  <si>
    <t>Reg Asset254270601050-TAXBE030451</t>
  </si>
  <si>
    <t>Reg Asset254270601077BE030451</t>
  </si>
  <si>
    <t>Reg Asset254270601077-TAXBE030451</t>
  </si>
  <si>
    <t>Reg Asset254270601040-EBE030261</t>
  </si>
  <si>
    <t>Reg Asset254270601082-05BE030398</t>
  </si>
  <si>
    <t>Reg Asset254270601001BE030445</t>
  </si>
  <si>
    <t>Reg Asset254270601001-TaxBE030445</t>
  </si>
  <si>
    <t>Reg Asset254270601002BE030446</t>
  </si>
  <si>
    <t>Reg Asset254270601002-TaxBE030446</t>
  </si>
  <si>
    <t>Reg Asset254270600208BE030436</t>
  </si>
  <si>
    <t>Reg Asset254270600208-TAXBE030437</t>
  </si>
  <si>
    <t>Reg Asset254270601003BE030447</t>
  </si>
  <si>
    <t>Reg Asset254270601003-TAXBE030447</t>
  </si>
  <si>
    <t>Reg Asset254270601005BE030448</t>
  </si>
  <si>
    <t>Reg Asset254270601005-TaxBE030448</t>
  </si>
  <si>
    <t>Reg Asset254270600215-SERPBE030443</t>
  </si>
  <si>
    <t>Reg Asset254270600215-SERP-TaxBE030443</t>
  </si>
  <si>
    <t>Reg Asset254270601089BE030451</t>
  </si>
  <si>
    <t>Reg Asset254270601089-TAXBE030451</t>
  </si>
  <si>
    <t>Reg Asset254270601076BE030556</t>
  </si>
  <si>
    <t>Reg Asset254270601082-06/07/08/09BE030398</t>
  </si>
  <si>
    <t>Reg Asset254270601104BE030451</t>
  </si>
  <si>
    <t>Reg Asset254270601104-TAXBE030451</t>
  </si>
  <si>
    <t>Reg Asset254270601113/ZZ.GIN02/03BE030426</t>
  </si>
  <si>
    <t>Reg Asset254270601113-TaxBE030426</t>
  </si>
  <si>
    <t>Reg Asset254270601133BE030451</t>
  </si>
  <si>
    <t>Reg Asset254270601133-TaxBE030451</t>
  </si>
  <si>
    <t>Reg Asset254270601135BE030369</t>
  </si>
  <si>
    <t>Reg Asset254270601135-TaxBE030369</t>
  </si>
  <si>
    <t>Reg Asset254270601082-09-TAXBT010157</t>
  </si>
  <si>
    <t>Reg Asset254270601026-AdjBE030452</t>
  </si>
  <si>
    <t>Reg Asset254270601082-10BE030398</t>
  </si>
  <si>
    <t>Reg Asset254270600207- BBE030435</t>
  </si>
  <si>
    <t>Reg Asset2542706012000BE030905</t>
  </si>
  <si>
    <t>Reg Asset254270601254BE030926</t>
  </si>
  <si>
    <t>Reg Asset254270BT010009</t>
  </si>
  <si>
    <t>Def Tax190001ASGA - LOCBT010006/
BT010009</t>
  </si>
  <si>
    <t>Def Tax190006Ginna SaleBT010005</t>
  </si>
  <si>
    <t>Def Tax190011ASGA - LOCBT010006/
BT010009</t>
  </si>
  <si>
    <t>Def Tax190016Ginna SaleBT010005</t>
  </si>
  <si>
    <t>Def Tax190501Ginna Sale</t>
  </si>
  <si>
    <t>Def Tax190501ASGA/
GINNA SALEBT010009</t>
  </si>
  <si>
    <t>Def Tax190511Ginna SaleBT010009</t>
  </si>
  <si>
    <t>Def Tax190511GINNA SALE</t>
  </si>
  <si>
    <t>Def Tax283200PASGA2</t>
  </si>
  <si>
    <t>Def Tax283400PASGA2</t>
  </si>
  <si>
    <t>Def Tax283500BT010009</t>
  </si>
  <si>
    <t>Def Tax283500PASGA2BT010157</t>
  </si>
  <si>
    <t>Def Tax283550Ginna Sale</t>
  </si>
  <si>
    <t>Def Tax283550PASGA2BT010157</t>
  </si>
  <si>
    <t>Def Tax283550BT010009</t>
  </si>
  <si>
    <t>GL118010</t>
  </si>
  <si>
    <t>GL118030</t>
  </si>
  <si>
    <t>GL119010</t>
  </si>
  <si>
    <t>GL119030</t>
  </si>
  <si>
    <t>GL228450</t>
  </si>
  <si>
    <t>GL228460</t>
  </si>
  <si>
    <t>GL230010</t>
  </si>
  <si>
    <t>GL230030</t>
  </si>
  <si>
    <t>Reg Asset182355BE030099</t>
  </si>
  <si>
    <t>Reg Asset182355PLTADJBE030099</t>
  </si>
  <si>
    <t>Reg Asset182355601074EBE030099</t>
  </si>
  <si>
    <t>Reg Asset182356601074GBG030179</t>
  </si>
  <si>
    <t>Reg Asset254670601074GBG030131</t>
  </si>
  <si>
    <t>Def Tax190001AROBT010303</t>
  </si>
  <si>
    <t>Def Tax190002AROBT010303</t>
  </si>
  <si>
    <t>Def Tax190011AROBT010303</t>
  </si>
  <si>
    <t>Def Tax190012AROBT010303</t>
  </si>
  <si>
    <t>Def Tax190502AROBT010303</t>
  </si>
  <si>
    <t>Def Tax190512AROBT010303</t>
  </si>
  <si>
    <t>Def Tax282200AROBT010303</t>
  </si>
  <si>
    <t>Def Tax282210AROBT010303</t>
  </si>
  <si>
    <t>Def Tax282240AROBT010303</t>
  </si>
  <si>
    <t>Def Tax283500AROBT010323</t>
  </si>
  <si>
    <t>Def Tax283510AROBT010323</t>
  </si>
  <si>
    <t>Def Tax283550AROBT010323</t>
  </si>
  <si>
    <t>Def Tax283560AROBT010323</t>
  </si>
  <si>
    <t>Reg Asset254016601139/601248BE030192</t>
  </si>
  <si>
    <t>Reg Asset254017601140/601249BG030588</t>
  </si>
  <si>
    <t>Def Tax190501Bonus DepBT010085</t>
  </si>
  <si>
    <t>Def Tax190502Bonus DepBT010085</t>
  </si>
  <si>
    <t>Def Tax190511Bonus DepBT010085</t>
  </si>
  <si>
    <t>Def Tax190512Bonus DepBT010085</t>
  </si>
  <si>
    <t>Reg Asset182301601218BE030597</t>
  </si>
  <si>
    <t>Reg Asset254016601254BE030579</t>
  </si>
  <si>
    <t>Def Tax190501BE030579</t>
  </si>
  <si>
    <t>Def Tax190511BE030579</t>
  </si>
  <si>
    <t>Def Tax190501Clean AirBT010037</t>
  </si>
  <si>
    <t>Def Tax190511Clean AirBT010037</t>
  </si>
  <si>
    <t>Subtotal - Clean Air Act Allowance</t>
  </si>
  <si>
    <t>Reg Asset253040</t>
  </si>
  <si>
    <t>Reg Asset253341</t>
  </si>
  <si>
    <t>Subtotal - Deferred Compensation</t>
  </si>
  <si>
    <t>Reg Asset182305SNF-INT-NBE030416</t>
  </si>
  <si>
    <t>Subtotal - DOE Liability - True-up-2011</t>
  </si>
  <si>
    <t>Reg Asset254025602027-LBE030196</t>
  </si>
  <si>
    <t>Reg Asset254025601233BE030196</t>
  </si>
  <si>
    <t>Reg Asset254026601234BE030196</t>
  </si>
  <si>
    <t>Def Tax190501Econ DevelopBT010069</t>
  </si>
  <si>
    <t>Def Tax190502Econ DevelopBT010069</t>
  </si>
  <si>
    <t>Def Tax190511Econ DevelopBT010069</t>
  </si>
  <si>
    <t>Def Tax190512Econ DevelopBT010069</t>
  </si>
  <si>
    <t>Def Tax283200283-078</t>
  </si>
  <si>
    <t>Def Tax283210283-078</t>
  </si>
  <si>
    <t>Def Tax283400283-078</t>
  </si>
  <si>
    <t>Def Tax283410283-078</t>
  </si>
  <si>
    <t>Reg Asset182306601146BG030590</t>
  </si>
  <si>
    <t>Reg Asset182320601223BE030566</t>
  </si>
  <si>
    <t>Reg Asset182320601224BG030567</t>
  </si>
  <si>
    <t>Reg Asset253040Esco Collateral</t>
  </si>
  <si>
    <t>Subtotal - ESCO Collateral</t>
  </si>
  <si>
    <t>Reg Asset182301601076-OffsetBE030416</t>
  </si>
  <si>
    <t>Reg Asset182305601090-OffsetBE030416</t>
  </si>
  <si>
    <t>Reg Asset182305601090-LimitBE030416</t>
  </si>
  <si>
    <t>Reg Asset254012601207BE030416</t>
  </si>
  <si>
    <t>Def Tax283500ESRBE030451</t>
  </si>
  <si>
    <t>Def Tax283550ESR</t>
  </si>
  <si>
    <t>Def Tax190042BT010083</t>
  </si>
  <si>
    <t>Reg Asset182375Nat GasBG030162</t>
  </si>
  <si>
    <t>Reg Asset254266DSOBE030149</t>
  </si>
  <si>
    <t>Reg Asset186850</t>
  </si>
  <si>
    <t>Reg Asset253230AML-SERP</t>
  </si>
  <si>
    <t>Def Tax190000OCI 219500BT010141</t>
  </si>
  <si>
    <t>Def Tax190000OCI 219530BT010136/
BT010151</t>
  </si>
  <si>
    <t>Def Tax190000OCI 219532BT010139</t>
  </si>
  <si>
    <t>Def Tax190000OCI 219533BT010138</t>
  </si>
  <si>
    <t>Def Tax190000OCI 219535BT010137</t>
  </si>
  <si>
    <t>Def Tax190000OCI 219537BT010140</t>
  </si>
  <si>
    <t>Def Tax190000OCI 219575BT010143</t>
  </si>
  <si>
    <t>Def Tax190002FAS 133 RelatedBT010328</t>
  </si>
  <si>
    <t>Def Tax190006OCI</t>
  </si>
  <si>
    <t>Def Tax190006Other CurrBC999998/
BDEFAULT</t>
  </si>
  <si>
    <t>Def Tax190007OCI</t>
  </si>
  <si>
    <t>Def Tax190008Other CurrBC999998/
BDEFAULT</t>
  </si>
  <si>
    <t>Def Tax190010OCI 219500BT010141</t>
  </si>
  <si>
    <t>Def Tax190010OCI 219530BT010136/
BT010151</t>
  </si>
  <si>
    <t>Def Tax190010OCI 219532BT010139</t>
  </si>
  <si>
    <t>Def Tax190010OCI 219533BT010138</t>
  </si>
  <si>
    <t>Def Tax190010OCI 219535BT010137</t>
  </si>
  <si>
    <t>Def Tax190010OCI 219537BT010140</t>
  </si>
  <si>
    <t>Def Tax190010OCI 219575BT010143</t>
  </si>
  <si>
    <t>Def Tax190012FAS 133 RelatedBT010328</t>
  </si>
  <si>
    <t>Def Tax190016OCI</t>
  </si>
  <si>
    <t>Def Tax190017Other CurrBDEFAULT</t>
  </si>
  <si>
    <t>Def Tax190017OCI</t>
  </si>
  <si>
    <t>Def Tax190018Other CurrBC999998/
BDEFAULT</t>
  </si>
  <si>
    <t>Def Tax1900190BDEFAULT</t>
  </si>
  <si>
    <t>Def Tax190030BT010141</t>
  </si>
  <si>
    <t>Def Tax190040BT010141</t>
  </si>
  <si>
    <t>Def Tax190990DerivativeBT010057</t>
  </si>
  <si>
    <t>Def Tax190991DerivativeBT010057</t>
  </si>
  <si>
    <t>Def Tax190992DerivativeBT010057</t>
  </si>
  <si>
    <t>Def Tax190993DerivativeBT010057</t>
  </si>
  <si>
    <t>Def Tax283510FAS 133 RelatedBT010328</t>
  </si>
  <si>
    <t>Def Tax283560FAS 133 RelatedBT010328</t>
  </si>
  <si>
    <t>Def Tax2839870</t>
  </si>
  <si>
    <t>Def Tax283987DerivativeBT010057</t>
  </si>
  <si>
    <t>Def Tax2839890</t>
  </si>
  <si>
    <t>Def Tax283989DerivativeBT010057</t>
  </si>
  <si>
    <t>GL176100</t>
  </si>
  <si>
    <t>GL176200</t>
  </si>
  <si>
    <t>GL176300</t>
  </si>
  <si>
    <t>GL176301</t>
  </si>
  <si>
    <t>GL176350</t>
  </si>
  <si>
    <t>GL176351</t>
  </si>
  <si>
    <t>GL176500</t>
  </si>
  <si>
    <t>GL219575</t>
  </si>
  <si>
    <t>GL219580</t>
  </si>
  <si>
    <t>GL219582</t>
  </si>
  <si>
    <t>GL245410</t>
  </si>
  <si>
    <t>GL245411</t>
  </si>
  <si>
    <t>Reg Asset182371182371BG030158</t>
  </si>
  <si>
    <t>Reg Asset254015BG039999</t>
  </si>
  <si>
    <t>Reg Asset186255601136</t>
  </si>
  <si>
    <t>Reg Asset253040601138</t>
  </si>
  <si>
    <t>Reg Asset253040601138-11</t>
  </si>
  <si>
    <t>Def Tax283210283-003-SBT010099</t>
  </si>
  <si>
    <t>Def Tax283210283-003BT010099</t>
  </si>
  <si>
    <t>Def Tax283410283-003BT010099</t>
  </si>
  <si>
    <t>Reg Asset182306601248BG030266</t>
  </si>
  <si>
    <t>Reg Asset182306601084-LBG030265</t>
  </si>
  <si>
    <t>Reg Asset254017601084BG030266</t>
  </si>
  <si>
    <t>Reg Asset182372182372BG030216</t>
  </si>
  <si>
    <t>Reg Asset186255601094</t>
  </si>
  <si>
    <t>Subtotal - Ginna Sale Expenses</t>
  </si>
  <si>
    <t>Def Tax283200GRT RefundBT010355</t>
  </si>
  <si>
    <t>Def Tax283210GRT RefundBT010355</t>
  </si>
  <si>
    <t>Def Tax283400GRT RefundBT010355</t>
  </si>
  <si>
    <t>Def Tax283410GRT RefundBT010355</t>
  </si>
  <si>
    <t>Subtotal - GRT Refund Requests</t>
  </si>
  <si>
    <t>Reg Asset186255GRT Refund</t>
  </si>
  <si>
    <t>Reg Asset18625560104A</t>
  </si>
  <si>
    <t>Subtotal - Health Benefit Accrual</t>
  </si>
  <si>
    <t>Def Tax190001Severance-StateBT010211</t>
  </si>
  <si>
    <t>Def Tax190002Severance-StateBT010211</t>
  </si>
  <si>
    <t>Def Tax190011Severance-StateBT010211</t>
  </si>
  <si>
    <t>Def Tax190012Severance-StateBT010211</t>
  </si>
  <si>
    <t>Def Tax190031BT010211</t>
  </si>
  <si>
    <t>Def Tax190032BT010211</t>
  </si>
  <si>
    <t>Def Tax190041BT010211</t>
  </si>
  <si>
    <t>Def Tax190042BT010211</t>
  </si>
  <si>
    <t>Def Tax282200SeveranceBT010211</t>
  </si>
  <si>
    <t>Def Tax282200Severance-StateBT010211</t>
  </si>
  <si>
    <t>Def Tax282210SeveranceBT010211</t>
  </si>
  <si>
    <t>Def Tax282210Severance-StateBT010211</t>
  </si>
  <si>
    <t>Def Tax282240Severance-StateBT010211</t>
  </si>
  <si>
    <t>Def Tax282250Severance-StateBT010211</t>
  </si>
  <si>
    <t>Subtotal - Iberdrola Merger Severance</t>
  </si>
  <si>
    <t>Reg Asset254016601221BE030599</t>
  </si>
  <si>
    <t>Reg Asset254017601222BG030599</t>
  </si>
  <si>
    <t>Def Tax190501CROBE030599</t>
  </si>
  <si>
    <t>Def Tax190502CROBG030599</t>
  </si>
  <si>
    <t>Def Tax190511CROBE030599</t>
  </si>
  <si>
    <t>Def Tax190512CROBG030599</t>
  </si>
  <si>
    <t>Def Tax190001LTIBT010356</t>
  </si>
  <si>
    <t>Def Tax190002LTIBT010356</t>
  </si>
  <si>
    <t>Def Tax190011LTIBT010356</t>
  </si>
  <si>
    <t>Def Tax190012LTIBT010356</t>
  </si>
  <si>
    <t>Def Tax190031BT010356</t>
  </si>
  <si>
    <t>Def Tax190032BT010356</t>
  </si>
  <si>
    <t>Def Tax190036BT010356</t>
  </si>
  <si>
    <t>Def Tax190037BT010356</t>
  </si>
  <si>
    <t>Def Tax190041BT010356</t>
  </si>
  <si>
    <t>Def Tax190042BT010356</t>
  </si>
  <si>
    <t>Def Tax190046BT010356</t>
  </si>
  <si>
    <t>Def Tax190047BT010356</t>
  </si>
  <si>
    <t>Reg Asset182301601205BE030594</t>
  </si>
  <si>
    <t>Reg Asset182301601201BE030594</t>
  </si>
  <si>
    <t>Reg Asset182301601203BE030594</t>
  </si>
  <si>
    <t>Reg Asset182301601240BE030594</t>
  </si>
  <si>
    <t>Reg Asset182303601202BG030594</t>
  </si>
  <si>
    <t>Reg Asset182303601204BG030594</t>
  </si>
  <si>
    <t>Reg Asset182303601241BG030594</t>
  </si>
  <si>
    <t>Reg Asset182303601206BG030594</t>
  </si>
  <si>
    <t>Reg Asset254016601201BE030594</t>
  </si>
  <si>
    <t>Reg Asset254016601203BE030594</t>
  </si>
  <si>
    <t>Reg Asset254016601205BE030594</t>
  </si>
  <si>
    <t>Reg Asset254016601240BE030594</t>
  </si>
  <si>
    <t>Reg Asset254017601202BG030594</t>
  </si>
  <si>
    <t>Reg Asset254017601204BG030594</t>
  </si>
  <si>
    <t>Reg Asset254017601206BG030594</t>
  </si>
  <si>
    <t>Reg Asset254017601241BG030594</t>
  </si>
  <si>
    <t>Def Tax190501LIPBE030594</t>
  </si>
  <si>
    <t>Def Tax190502LIPBG030594</t>
  </si>
  <si>
    <t>Def Tax190511LIPBE030594</t>
  </si>
  <si>
    <t>Def Tax190512LIPBG030594</t>
  </si>
  <si>
    <t>GL228490</t>
  </si>
  <si>
    <t>Reg Asset254171BG030188</t>
  </si>
  <si>
    <t>Def Tax190501190-097-JPBT010222</t>
  </si>
  <si>
    <t>Def Tax190511190-097-JPBT010222</t>
  </si>
  <si>
    <t>Def Tax283500283-013-SBT010221</t>
  </si>
  <si>
    <t>Reg Asset254016601216BE030596</t>
  </si>
  <si>
    <t>Reg Asset254017601215BG030595</t>
  </si>
  <si>
    <t>Def Tax283200283-085BT010102</t>
  </si>
  <si>
    <t>Def Tax283400283-085</t>
  </si>
  <si>
    <t>Subtotal - Manufacturing Credit</t>
  </si>
  <si>
    <t>Subtotal - Medicare Part D</t>
  </si>
  <si>
    <t>Reg Asset182305601086-LBE030267</t>
  </si>
  <si>
    <t>Reg Asset254017601087-LBG030413</t>
  </si>
  <si>
    <t>Reg Asset254016601239-11BE030155</t>
  </si>
  <si>
    <t>Reg Asset254016601239-12BE030155</t>
  </si>
  <si>
    <t>Reg Asset254016601239-13BE030155</t>
  </si>
  <si>
    <t>Def Tax283500MHP DeferralBDEFAULT</t>
  </si>
  <si>
    <t>Def Tax283550MHP DeferralBDEFAULT</t>
  </si>
  <si>
    <t>Reg Asset182301OPEB ELECTRICBE030246</t>
  </si>
  <si>
    <t>Reg Asset182303OPEB GASBG030248</t>
  </si>
  <si>
    <t>Reg Asset254016OPEB Ele-LBE030246</t>
  </si>
  <si>
    <t>Reg Asset254017OPEB Gas_LBG030248</t>
  </si>
  <si>
    <t>Subtotal - OPEB True-up</t>
  </si>
  <si>
    <t>GL124200</t>
  </si>
  <si>
    <t>GL124202</t>
  </si>
  <si>
    <t>GL124220</t>
  </si>
  <si>
    <t>Reg Asset182305601016E-09BE030251</t>
  </si>
  <si>
    <t>Reg Asset182305601016E-10BE030251</t>
  </si>
  <si>
    <t>Reg Asset182305601016E-LBE030251</t>
  </si>
  <si>
    <t>Reg Asset182306601016G-07BG030252</t>
  </si>
  <si>
    <t>Reg Asset182306601016G-05BG030252</t>
  </si>
  <si>
    <t>Reg Asset182306601016G-06BG030252</t>
  </si>
  <si>
    <t>Reg Asset182306601016G-08BG030252</t>
  </si>
  <si>
    <t>Reg Asset182306601016G-09BG030252</t>
  </si>
  <si>
    <t>Reg Asset182306601016G-10BG030252</t>
  </si>
  <si>
    <t>Reg Asset182306601016G-LBG030252</t>
  </si>
  <si>
    <t>Reg Asset254016601212BE030251</t>
  </si>
  <si>
    <t>Reg Asset254017601213BG030252</t>
  </si>
  <si>
    <t>Def Tax283200283-080-JP</t>
  </si>
  <si>
    <t>Def Tax283210283-080-JP</t>
  </si>
  <si>
    <t>Def Tax283400283-080-JP</t>
  </si>
  <si>
    <t>Def Tax283410283-080-JP</t>
  </si>
  <si>
    <t>Def Tax283500283-080-JPBT010054</t>
  </si>
  <si>
    <t>Def Tax283510283-080-JPBT010054</t>
  </si>
  <si>
    <t>Def Tax283550283-080-JPBT010054</t>
  </si>
  <si>
    <t>Def Tax283560283-080-JPBT010054</t>
  </si>
  <si>
    <t>Reg Asset182301601133/CC/O-U CollBE030581</t>
  </si>
  <si>
    <t>Reg Asset182303601134/CC/U-O CollBG030582</t>
  </si>
  <si>
    <t>Def Tax283500PSC AssessBT010353</t>
  </si>
  <si>
    <t>Def Tax283510PSC AssessBT010353</t>
  </si>
  <si>
    <t>Def Tax283550PSC AssessBT010353</t>
  </si>
  <si>
    <t>Def Tax283560PSC AssessBT010353</t>
  </si>
  <si>
    <t>Reg Asset254017601040-GBG039999</t>
  </si>
  <si>
    <t>Reg Asset254115601247BE030423</t>
  </si>
  <si>
    <t>Def Tax190501PORBT010176</t>
  </si>
  <si>
    <t>Def Tax190511PORBT010176</t>
  </si>
  <si>
    <t>Def Tax283200283-081-JPBT010176</t>
  </si>
  <si>
    <t>Def Tax283210283-081-JPBT010176</t>
  </si>
  <si>
    <t>Def Tax283400283-081-JPBT010176</t>
  </si>
  <si>
    <t>Def Tax283500283-081-JPBT010176</t>
  </si>
  <si>
    <t>Def Tax283560283-081-JPBT010176</t>
  </si>
  <si>
    <t>Subtotal - Purchase of Receivables</t>
  </si>
  <si>
    <t>Reg Asset254017601235BG030911</t>
  </si>
  <si>
    <t>Def Tax190502BG030911</t>
  </si>
  <si>
    <t>Def Tax190512BG030911</t>
  </si>
  <si>
    <t>Subtotal - R&amp;D Deferral - Gas</t>
  </si>
  <si>
    <t>Reg Asset254017601258BG030911</t>
  </si>
  <si>
    <t>Subtotal - R&amp;D Tax Credit Deferral</t>
  </si>
  <si>
    <t>Reg Asset182301601237BE030904</t>
  </si>
  <si>
    <t>Reg Asset182301601237-11BE030904</t>
  </si>
  <si>
    <t>Reg Asset182301601237-12BE030904</t>
  </si>
  <si>
    <t>Reg Asset182301601237-13BE030904</t>
  </si>
  <si>
    <t>Reg Asset182303601238BG030904</t>
  </si>
  <si>
    <t>Reg Asset182303601238-11BG030904</t>
  </si>
  <si>
    <t>Reg Asset182303601238-12BG030904</t>
  </si>
  <si>
    <t>Reg Asset182303601238-iBG030904</t>
  </si>
  <si>
    <t>Reg Asset182303601238-13BG030904</t>
  </si>
  <si>
    <t>Def Tax190501BE030904</t>
  </si>
  <si>
    <t>Def Tax190502BG030904</t>
  </si>
  <si>
    <t>Def Tax190511BE030904</t>
  </si>
  <si>
    <t>Def Tax190512BG030904</t>
  </si>
  <si>
    <t>Reg Asset186255601028/601053</t>
  </si>
  <si>
    <t>Reg Asset1862552011 revolver</t>
  </si>
  <si>
    <t>Subtotal - Revolver Facility</t>
  </si>
  <si>
    <t>Reg Asset18625512A12002</t>
  </si>
  <si>
    <t>Reg Asset18625512A12003</t>
  </si>
  <si>
    <t>Subtotal - Russell</t>
  </si>
  <si>
    <t>Reg Asset254016601080-CCBE030915</t>
  </si>
  <si>
    <t>Def Tax190501BE030915</t>
  </si>
  <si>
    <t>Def Tax190511BE030915</t>
  </si>
  <si>
    <t>Reg Asset182300BC030242</t>
  </si>
  <si>
    <t>Reg Asset254016SERP ElectricBE030409</t>
  </si>
  <si>
    <t>Reg Asset254017SERP GasBG030410</t>
  </si>
  <si>
    <t>Reg Asset253230JL-EEMC Accrual</t>
  </si>
  <si>
    <t>Reg Asset253340SERP</t>
  </si>
  <si>
    <t>Def Tax190001190-105BT010195</t>
  </si>
  <si>
    <t>Def Tax190002190-105BT010195</t>
  </si>
  <si>
    <t>Def Tax190011190-105BT010195</t>
  </si>
  <si>
    <t>Def Tax190012190-105BT010195</t>
  </si>
  <si>
    <t>Def Tax190031BT010195</t>
  </si>
  <si>
    <t>Def Tax190032BT010195</t>
  </si>
  <si>
    <t>Def Tax190041BT010195</t>
  </si>
  <si>
    <t>Def Tax190042BT010195</t>
  </si>
  <si>
    <t>Def Tax190501SERP RegLia F/
SERP RegLiaSBT030561/
BT130561</t>
  </si>
  <si>
    <t>Def Tax190502SERP RegLiaSBT030561/
BT130561</t>
  </si>
  <si>
    <t>Def Tax190511SERP RegLiaSBT030561/
BT130561</t>
  </si>
  <si>
    <t>Def Tax190512SERP RegLiaSBT030561/
BT130561</t>
  </si>
  <si>
    <t>Reg Asset182305601063EBE030412</t>
  </si>
  <si>
    <t>Reg Asset254016601063EBE030412</t>
  </si>
  <si>
    <t>Reg Asset254016BE030309</t>
  </si>
  <si>
    <t>Reg Asset254017601063G-07BG030116</t>
  </si>
  <si>
    <t>Reg Asset254017601063G-06BG030116</t>
  </si>
  <si>
    <t>Def Tax190501BT010209</t>
  </si>
  <si>
    <t>Def Tax190502SQPPBT010209</t>
  </si>
  <si>
    <t>Def Tax190511BT010209</t>
  </si>
  <si>
    <t>Def Tax190512SQPPBT010209</t>
  </si>
  <si>
    <t>GL190161</t>
  </si>
  <si>
    <t>GL190162</t>
  </si>
  <si>
    <t>GL283161</t>
  </si>
  <si>
    <t>GL283162</t>
  </si>
  <si>
    <t>GL283171</t>
  </si>
  <si>
    <t>GL283172</t>
  </si>
  <si>
    <t>GL283992</t>
  </si>
  <si>
    <t>GL283993</t>
  </si>
  <si>
    <t>Reg Asset182344BC030422</t>
  </si>
  <si>
    <t>Reg Asset254994BE030557</t>
  </si>
  <si>
    <t>Reg Asset254995BE030558</t>
  </si>
  <si>
    <t>Reg Asset254996BE030185</t>
  </si>
  <si>
    <t>Def Tax190501ITCBT010109</t>
  </si>
  <si>
    <t>Def Tax2821610</t>
  </si>
  <si>
    <t>Def Tax2821620</t>
  </si>
  <si>
    <t>Def Tax2821710</t>
  </si>
  <si>
    <t>Def Tax2821720</t>
  </si>
  <si>
    <t>Def Tax282200282-004BT010044</t>
  </si>
  <si>
    <t>Def Tax2835050</t>
  </si>
  <si>
    <t>Def Tax2835060</t>
  </si>
  <si>
    <t>Def Tax2835150</t>
  </si>
  <si>
    <t>Def Tax2835160</t>
  </si>
  <si>
    <t>Def Tax2838830BC999998</t>
  </si>
  <si>
    <t>Def Tax2838830BTFIN48F</t>
  </si>
  <si>
    <t>Def Tax2838830BTFIN48S</t>
  </si>
  <si>
    <t>Def Tax2838840BTFIN48F</t>
  </si>
  <si>
    <t>Def Tax2838840BTFIN48S</t>
  </si>
  <si>
    <t>Def Tax2839830BC999998</t>
  </si>
  <si>
    <t>Def Tax2839830BTFIN48F</t>
  </si>
  <si>
    <t>Def Tax2839830BTFIN48S</t>
  </si>
  <si>
    <t>Def Tax2839840BTFIN48F</t>
  </si>
  <si>
    <t>Def Tax2839840BTFIN48S</t>
  </si>
  <si>
    <t>Reg Asset253040253160</t>
  </si>
  <si>
    <t>Def Tax190003190-011BT010218</t>
  </si>
  <si>
    <t>Def Tax190004190-011BT010218</t>
  </si>
  <si>
    <t>Subtotal - Steam Abandonment</t>
  </si>
  <si>
    <t>Def Tax282200BT010379</t>
  </si>
  <si>
    <t>Def Tax282240BT010379</t>
  </si>
  <si>
    <t>Subtotal - Street Light Sale - CoR</t>
  </si>
  <si>
    <t>Reg Asset254016601242BE030908</t>
  </si>
  <si>
    <t>Reg Asset182305601256BE030925</t>
  </si>
  <si>
    <t>Reg Asset182306601256/601257BG030925</t>
  </si>
  <si>
    <t>Reg Asset182305601030E-LBE030263</t>
  </si>
  <si>
    <t>Reg Asset182306601030G-LBG030266</t>
  </si>
  <si>
    <t>Def Tax283510VRDBG030598</t>
  </si>
  <si>
    <t>Def Tax283560VRDBG030598</t>
  </si>
  <si>
    <t>Reg Asset182305601088BE030268</t>
  </si>
  <si>
    <t>Reg Asset182305601088-08BE030268</t>
  </si>
  <si>
    <t>Reg Asset182305601088-09BE030268</t>
  </si>
  <si>
    <t>Reg Asset182305601088-10BE030268</t>
  </si>
  <si>
    <t>Reg Asset254016601214BE030595</t>
  </si>
  <si>
    <t>Reg Asset254017601217BG030596</t>
  </si>
  <si>
    <t>Def Tax190501Veg MgmtBE030595</t>
  </si>
  <si>
    <t>Def Tax190502Tree TrimmingBG030595</t>
  </si>
  <si>
    <t>Def Tax190511Veg MgmtBE030595</t>
  </si>
  <si>
    <t>Def Tax190512Tree TrimmingBG030595</t>
  </si>
  <si>
    <t>Def Tax283500Tree TrimmingBT010317</t>
  </si>
  <si>
    <t>Def Tax283550Tree TrimmingBT010317</t>
  </si>
  <si>
    <t>GL128400</t>
  </si>
  <si>
    <t>GL145026</t>
  </si>
  <si>
    <t>GL228992</t>
  </si>
  <si>
    <t>GL228993</t>
  </si>
  <si>
    <t>Executive Compensation</t>
  </si>
  <si>
    <t>GL242035</t>
  </si>
  <si>
    <t>GL242070</t>
  </si>
  <si>
    <t>Subtotal - Executive Compensation</t>
  </si>
  <si>
    <t>Reg Asset254016SNF-INT-NBE030395</t>
  </si>
  <si>
    <t>Reg Asset186020Various</t>
  </si>
  <si>
    <t>Reg Asset186110Various</t>
  </si>
  <si>
    <t>Reg Asset186255</t>
  </si>
  <si>
    <t>Reg Asset186255090111-093011</t>
  </si>
  <si>
    <t>Def Tax190003190-066BTHUNGDT</t>
  </si>
  <si>
    <t>Def Tax190003190-068BTHUNGDT</t>
  </si>
  <si>
    <t>Def Tax190003190-074BTHUNGDT</t>
  </si>
  <si>
    <t>Def Tax190003190-076BTHUNGDT</t>
  </si>
  <si>
    <t>Def Tax190003190-077BTHUNGDT</t>
  </si>
  <si>
    <t>Def Tax190004190-066BTHUNGDT</t>
  </si>
  <si>
    <t>Def Tax190004190-068BTHUNGDT</t>
  </si>
  <si>
    <t>Def Tax190004190-074BTHUNGDT</t>
  </si>
  <si>
    <t>Def Tax190004190-076BTHUNGDT</t>
  </si>
  <si>
    <t>Def Tax190004190-077BTHUNGDT</t>
  </si>
  <si>
    <t>Def Tax190013190-074BTHUNGDT</t>
  </si>
  <si>
    <t>Def Tax190013190-076BTHUNGDT</t>
  </si>
  <si>
    <t>Def Tax190014190-074BTHUNGDT</t>
  </si>
  <si>
    <t>Def Tax190014190-076BTHUNGDT</t>
  </si>
  <si>
    <t>Def Tax283200283-051BTHUNGDT</t>
  </si>
  <si>
    <t>Def Tax283300283-035BTHUNGDT</t>
  </si>
  <si>
    <t>Def Tax283300283-004BTHUNGDT</t>
  </si>
  <si>
    <t>Def Tax283300283-046BTHUNGDT</t>
  </si>
  <si>
    <t>Def Tax283300283-076BTHUNGDT</t>
  </si>
  <si>
    <t>Def Tax283300283-039BTHUNGDT</t>
  </si>
  <si>
    <t>Def Tax283300283-051BTHUNGDT</t>
  </si>
  <si>
    <t>Def Tax283300283-045BTHUNGDT</t>
  </si>
  <si>
    <t>Def Tax283300283-047BTHUNGDT</t>
  </si>
  <si>
    <t>Def Tax283310283-035BTHUNGDT</t>
  </si>
  <si>
    <t>Def Tax283310283-004BTHUNGDT</t>
  </si>
  <si>
    <t>Def Tax283310283-046BTHUNGDT</t>
  </si>
  <si>
    <t>Def Tax283310283-076BTHUNGDT</t>
  </si>
  <si>
    <t>Def Tax283310283-039BTHUNGDT</t>
  </si>
  <si>
    <t>Def Tax283310283-051BTHUNGDT</t>
  </si>
  <si>
    <t>Def Tax283310283-045BTHUNGDT</t>
  </si>
  <si>
    <t>Def Tax283310283-047BTHUNGDT</t>
  </si>
  <si>
    <t>Def Tax283420283-035BTHUNGDT</t>
  </si>
  <si>
    <t>Def Tax283420283-039BTHUNGDT</t>
  </si>
  <si>
    <t>Def Tax283420283-045BTHUNGDT</t>
  </si>
  <si>
    <t>Def Tax283420283-051BTHUNGDT</t>
  </si>
  <si>
    <t>Def Tax283420283-076BTHUNGDT</t>
  </si>
  <si>
    <t>Def Tax283430283-035BTHUNGDT</t>
  </si>
  <si>
    <t>Def Tax283430283-039BTHUNGDT</t>
  </si>
  <si>
    <t>Def Tax283430283-045BTHUNGDT</t>
  </si>
  <si>
    <t>Def Tax283430283-051BTHUNGDT</t>
  </si>
  <si>
    <t>Def Tax283430283-076BTHUNGDT</t>
  </si>
  <si>
    <t>Def Tax190502R&amp;D DeferralBT010177</t>
  </si>
  <si>
    <t>Def Tax190511ExcessDIT-OffsetBT010079</t>
  </si>
  <si>
    <t>Def Tax190511ExcessDIT-CurrBDEFAULT</t>
  </si>
  <si>
    <t>Def Tax190511190-113BE030416</t>
  </si>
  <si>
    <t>Def Tax190512ExcessDIT-CurrBDEFAULT</t>
  </si>
  <si>
    <t>Def Tax283200HIST BK 0</t>
  </si>
  <si>
    <t>Def Tax283200283-083BT010111</t>
  </si>
  <si>
    <t>Def Tax283200283-083-AMORTBT010110</t>
  </si>
  <si>
    <t>Def Tax283200283-084</t>
  </si>
  <si>
    <t>Def Tax283210283-083BT010110/
BT010111</t>
  </si>
  <si>
    <t>Def Tax283210283-084</t>
  </si>
  <si>
    <t>Def Tax283400HIST BK BE030368/ BDEFAULT</t>
  </si>
  <si>
    <t>Def Tax283400283-083-AMORTBT010111</t>
  </si>
  <si>
    <t>Def Tax283400283-084</t>
  </si>
  <si>
    <t>Def Tax283410283-083BT010110</t>
  </si>
  <si>
    <t>Def Tax283410BT010111</t>
  </si>
  <si>
    <t>Def Tax283410283-084</t>
  </si>
  <si>
    <t>Def Tax283510EEPSBG030590</t>
  </si>
  <si>
    <t>Def Tax283560EEPSBG030590</t>
  </si>
  <si>
    <t>Def Tax2839860</t>
  </si>
  <si>
    <t>Def Tax2839880</t>
  </si>
  <si>
    <t>Hedge Loss - 7/14/10 JP App. G, 56.4 - transfer from RTBS</t>
  </si>
  <si>
    <t>Economic Development Deferred Taxes - transfer to RTBS</t>
  </si>
  <si>
    <t>Property Tax Deferral Deferred Taxes - Transfer to RTBS</t>
  </si>
  <si>
    <t>Unit of Prop CTA Deferred Taxes - Transfer from DIT to Items Not in RTBS</t>
  </si>
  <si>
    <t>OPEB True-Up Deferred Taxes - Transfer from DIT to Items Not in RTBS</t>
  </si>
  <si>
    <t>Interest Rate Hedge Loss Back-up Calc:</t>
  </si>
  <si>
    <t>Total Amount to be Absorbed by RG&amp;E per App. G, 56.4</t>
  </si>
  <si>
    <t>Annual Amortization per JP Capital Structure - RRP-5</t>
  </si>
  <si>
    <t>Amount Transferred from RTBS to Items Not in RTBS:</t>
  </si>
  <si>
    <t>Balance at:</t>
  </si>
  <si>
    <t>(Use as Proxy for Avg 12/31/10 Balance</t>
  </si>
  <si>
    <t>Average Rate Base</t>
  </si>
  <si>
    <t>Total Rate Base:</t>
  </si>
  <si>
    <t>Subtotal Before Adjustments</t>
  </si>
  <si>
    <t>Capitalization Supporting Total Rate Base</t>
  </si>
  <si>
    <t>Total Capitalization</t>
  </si>
  <si>
    <t>Plant Plus Non Interest-Bearing CWIP</t>
  </si>
  <si>
    <t>CWIP</t>
  </si>
  <si>
    <t>Exclude Interest-Bearing CWIP</t>
  </si>
  <si>
    <t>(a)</t>
  </si>
  <si>
    <t>Delivery</t>
  </si>
  <si>
    <t>R10ACF</t>
  </si>
  <si>
    <t>R10CTA Efficiency</t>
  </si>
  <si>
    <t>R10Environmental</t>
  </si>
  <si>
    <t>(In Standard Rate Base)</t>
  </si>
  <si>
    <t>R10Positive Benefit Adjustment</t>
  </si>
  <si>
    <t>R10Property Tax Deferral</t>
  </si>
  <si>
    <t>R10PSC Assessment</t>
  </si>
  <si>
    <t>R10Purchase of Receivables</t>
  </si>
  <si>
    <t>R10Sarbanes-Oxley</t>
  </si>
  <si>
    <t>Commodity</t>
  </si>
  <si>
    <t xml:space="preserve">Commodity Hedge Margin </t>
  </si>
  <si>
    <t xml:space="preserve">Adjustment: Commodity Hedge Margin Account Elec &amp; Gas Reallocation </t>
  </si>
  <si>
    <t>(d)</t>
  </si>
  <si>
    <t>Total Deferred Debits &amp; Credits</t>
  </si>
  <si>
    <t>Plant Related:</t>
  </si>
  <si>
    <t>R11Accelerated Depreciation</t>
  </si>
  <si>
    <t>R11Capitalized Interest</t>
  </si>
  <si>
    <t>R11Casualty Loss</t>
  </si>
  <si>
    <t>R11Mixed Use 263(a)</t>
  </si>
  <si>
    <t>R11Repair Allowance</t>
  </si>
  <si>
    <t>Deferred Debit / Credit Related:</t>
  </si>
  <si>
    <t>R11CTA Efficiency</t>
  </si>
  <si>
    <t>R11Environmental</t>
  </si>
  <si>
    <t>R11Positive Benefit Adjustment</t>
  </si>
  <si>
    <t>R11Property Tax Deferral</t>
  </si>
  <si>
    <t>R11Sarbanes-Oxley</t>
  </si>
  <si>
    <t>R11Stray Voltage</t>
  </si>
  <si>
    <t>Miscellaneous:</t>
  </si>
  <si>
    <t>(e)</t>
  </si>
  <si>
    <t>Total Deferred taxes</t>
  </si>
  <si>
    <t>PSC Assessment transfer Temp from Prepayments (R7) and General to DIT</t>
  </si>
  <si>
    <t>Capital Structure and Cost of Debt &amp; Preferred</t>
  </si>
  <si>
    <t>Short Term Debt Supporting IB-CWIP</t>
  </si>
  <si>
    <t>Balance w/o STD Supporting CWIP</t>
  </si>
  <si>
    <t>Total Per Books</t>
  </si>
  <si>
    <t>Capital Structure - $</t>
  </si>
  <si>
    <t>Short Term Debt</t>
  </si>
  <si>
    <t>Customer Deposits &amp; Deferred Compensation &amp; Closed Cycle GAC</t>
  </si>
  <si>
    <t>Total Debt</t>
  </si>
  <si>
    <t>Capital Structure - %</t>
  </si>
  <si>
    <t>Cost of Debt - $</t>
  </si>
  <si>
    <t>INTEREST EXPENSE - SHORT TERM DEBT</t>
  </si>
  <si>
    <t>580310</t>
  </si>
  <si>
    <t>INT EXP- REVOLVER - FEES</t>
  </si>
  <si>
    <t>580336</t>
  </si>
  <si>
    <t>INTEREST EXPENSE - CUSTOMER DEPOSITS</t>
  </si>
  <si>
    <t>580320</t>
  </si>
  <si>
    <t>INT EXP-WEEKLY AUCTION PERCENT FEES</t>
  </si>
  <si>
    <t>580338</t>
  </si>
  <si>
    <t>INTEREST EXPENSE - LONG TERM DEBT</t>
  </si>
  <si>
    <t>580300</t>
  </si>
  <si>
    <t>AMORTIZATION DEBT EXPENSES</t>
  </si>
  <si>
    <t>580400</t>
  </si>
  <si>
    <t>AMORTIZATION DEBT DISCOUNT</t>
  </si>
  <si>
    <t>580420</t>
  </si>
  <si>
    <t>AMORT LOSS REACQ DEBT</t>
  </si>
  <si>
    <t>580430</t>
  </si>
  <si>
    <t>Debt</t>
  </si>
  <si>
    <t>Short Term Debt Supporting CWIP</t>
  </si>
  <si>
    <t>Average Balance of Short Term Debt</t>
  </si>
  <si>
    <t>Average Balance of Interest-Bearing CWIP</t>
  </si>
  <si>
    <t>Short Term Interest Supporting CWIP</t>
  </si>
  <si>
    <t>Short Term Interest</t>
  </si>
  <si>
    <t>Average Short Term Interest Rate</t>
  </si>
  <si>
    <t>Interest on Short Term Debt Supporting CWIP</t>
  </si>
  <si>
    <t>231010</t>
  </si>
  <si>
    <t>First Mortgage Bonds</t>
  </si>
  <si>
    <t>BONDS-OTHER</t>
  </si>
  <si>
    <t>221100</t>
  </si>
  <si>
    <t>224000</t>
  </si>
  <si>
    <t>226000</t>
  </si>
  <si>
    <t>UNAMORTIZED DISCOUNT ON DEBT - MTD-SERIES A</t>
  </si>
  <si>
    <t>226500</t>
  </si>
  <si>
    <t>PREPAYMENTS -CP INTEREST</t>
  </si>
  <si>
    <t>165300</t>
  </si>
  <si>
    <t>181000</t>
  </si>
  <si>
    <t>181200</t>
  </si>
  <si>
    <t>181400</t>
  </si>
  <si>
    <t>Customer Deposits &amp; Deferred Compensation</t>
  </si>
  <si>
    <t>235000</t>
  </si>
  <si>
    <t>235010</t>
  </si>
  <si>
    <t>CUSTOMER DEPOSITS - INTERCO - E CHOICE &amp; T-GAS</t>
  </si>
  <si>
    <t>235100</t>
  </si>
  <si>
    <t>204010</t>
  </si>
  <si>
    <t>207200</t>
  </si>
  <si>
    <t>REDUCTION IN PAR ON CAP STK-COMMON</t>
  </si>
  <si>
    <t>209000</t>
  </si>
  <si>
    <t>211320</t>
  </si>
  <si>
    <t>214000</t>
  </si>
  <si>
    <t>215100</t>
  </si>
  <si>
    <t>216000</t>
  </si>
  <si>
    <t>216050</t>
  </si>
  <si>
    <t>UNAPPR RETAINED EARNINGS-DIVIDENDS</t>
  </si>
  <si>
    <t>Current year net income</t>
  </si>
  <si>
    <t>Client:     800                                                                                                                                                                                    Report Group: ZF02</t>
  </si>
  <si>
    <t xml:space="preserve">                                                                                                                                                                                                         Report: ZGROLL12</t>
  </si>
  <si>
    <t xml:space="preserve">    Period:        12</t>
  </si>
  <si>
    <t>.</t>
  </si>
  <si>
    <t>YTD Total</t>
  </si>
  <si>
    <t>PE1208     Miscellaneous Revenue</t>
  </si>
  <si>
    <t>PE1211     Non Retail Access</t>
  </si>
  <si>
    <t>PE1270     FS - NY State Assessment</t>
  </si>
  <si>
    <t>PE1271     FS-Interim Rev Decou</t>
  </si>
  <si>
    <t>PE1272     FS-Annual Rev Decoup</t>
  </si>
  <si>
    <t>PE1276     RA-Interim Rev Decou</t>
  </si>
  <si>
    <t>PE1277     RA-Annual Rev Decoup</t>
  </si>
  <si>
    <t>PE1225     Retail Access Services</t>
  </si>
  <si>
    <t>PE1228     Late Payment Penalties</t>
  </si>
  <si>
    <t>PE1244     Consol Bill Rev Elec</t>
  </si>
  <si>
    <t>PE1275     RA - NY State Assessment</t>
  </si>
  <si>
    <t>PE1201     Revenue Electric</t>
  </si>
  <si>
    <t>PE1210     Unbilled Elect Rev</t>
  </si>
  <si>
    <t>PE124561   Damaged Billing Process</t>
  </si>
  <si>
    <t>PE124180   Nonop Rental Income</t>
  </si>
  <si>
    <t>PE125470   Fuel</t>
  </si>
  <si>
    <t>PE125550   Purchase Power</t>
  </si>
  <si>
    <t>PRE125550  IC Purch Power E</t>
  </si>
  <si>
    <t>Purch Pwr</t>
  </si>
  <si>
    <t>PE125000   Oper Superv &amp; Eng</t>
  </si>
  <si>
    <t>O&amp;M - E</t>
  </si>
  <si>
    <t>PE125020   Steam Expenses</t>
  </si>
  <si>
    <t>PE125350   Oper Superv &amp; Eng</t>
  </si>
  <si>
    <t>PE125370   Hydraulic Expenses</t>
  </si>
  <si>
    <t>PE125380   Electric Expenses</t>
  </si>
  <si>
    <t>PE125390   Misc. Hydraulic Pwr</t>
  </si>
  <si>
    <t>PE125460   Oper Superv &amp; Eng</t>
  </si>
  <si>
    <t>PE125480   Generation Expense</t>
  </si>
  <si>
    <t>PE125490   Misc. Oth Pwr Gen</t>
  </si>
  <si>
    <t>PE125560   Syst Cont and Load</t>
  </si>
  <si>
    <t>PE125570   Other Expenses</t>
  </si>
  <si>
    <t>PE125600   Oper Superv &amp; Eng</t>
  </si>
  <si>
    <t>PE125611   Load Disp-Reliabilit</t>
  </si>
  <si>
    <t>PE125612   LdDisp-Mon&amp;OpTranSys</t>
  </si>
  <si>
    <t>PE125615   Rel Plan&amp;Stds Devel</t>
  </si>
  <si>
    <t>PE125617   Gen Intercon Studies</t>
  </si>
  <si>
    <t>PE125620   Station Expenses</t>
  </si>
  <si>
    <t>PE125630   Overhead Line Expense</t>
  </si>
  <si>
    <t>PE125640   Underground Line Exp</t>
  </si>
  <si>
    <t>PE125650   Transmission of Elec</t>
  </si>
  <si>
    <t>PE125660   Misc. Transm Exp</t>
  </si>
  <si>
    <t>PE125670   Rents</t>
  </si>
  <si>
    <t>PE125800   Oper Superv &amp; Eng</t>
  </si>
  <si>
    <t>PE125801   Dist Substa-Sup&amp;Eng</t>
  </si>
  <si>
    <t>PE125810   Load Dispatching</t>
  </si>
  <si>
    <t>PE125820   Station Expenses</t>
  </si>
  <si>
    <t>PE125830   Overhead Line Expense</t>
  </si>
  <si>
    <t>PE125840   Underground Line Exp</t>
  </si>
  <si>
    <t>PE125850   Street Light &amp; Sign</t>
  </si>
  <si>
    <t>PE125860   Meter Expense</t>
  </si>
  <si>
    <t>PE125870   Customer Install Exp</t>
  </si>
  <si>
    <t>PE125880   Misc. Distrib Exp</t>
  </si>
  <si>
    <t>PE125890   Rents</t>
  </si>
  <si>
    <t>PE129010   Supervision</t>
  </si>
  <si>
    <t>PE129020   Meter Reading Expense</t>
  </si>
  <si>
    <t>PE129030   Customer Records</t>
  </si>
  <si>
    <t>PE129040   Uncollectible Accounts</t>
  </si>
  <si>
    <t>PE129050   Misc. Customer Acct</t>
  </si>
  <si>
    <t>PE129080   Customer Assistance</t>
  </si>
  <si>
    <t>PE129090   Inform and Instruct</t>
  </si>
  <si>
    <t>PE129100   Misc Cust Svc &amp; Info</t>
  </si>
  <si>
    <t>PE129120   Demo and Selling</t>
  </si>
  <si>
    <t>PE129130   Advertising</t>
  </si>
  <si>
    <t>PE129160   Misc. Sales</t>
  </si>
  <si>
    <t>PE129200   Admin &amp; Gen Salaries</t>
  </si>
  <si>
    <t>PE129210   Offfice Supp &amp; Exp</t>
  </si>
  <si>
    <t>PE129220   Admin Exp Transf -Cr</t>
  </si>
  <si>
    <t>PE129230   Outside Services Emp</t>
  </si>
  <si>
    <t>PE129240   Property Insurance</t>
  </si>
  <si>
    <t>PE129250   Injuries and Damages</t>
  </si>
  <si>
    <t>PE129260   Empl Pension &amp; Ben</t>
  </si>
  <si>
    <t>PE129280   Regulatory Commiss</t>
  </si>
  <si>
    <t>PE129290   Duplicative Chge -Cr</t>
  </si>
  <si>
    <t>PE129301   General Advertising</t>
  </si>
  <si>
    <t>PE129302   Misc. General Expenses</t>
  </si>
  <si>
    <t>PE129310   Rents</t>
  </si>
  <si>
    <t>PE125410   Maint Superv &amp; Eng</t>
  </si>
  <si>
    <t>PE125420   Maint of Structure</t>
  </si>
  <si>
    <t>PE125430   Maint of Reservoirs</t>
  </si>
  <si>
    <t>PE125440   Maint of Elect Plt</t>
  </si>
  <si>
    <t>PE125450   Maint of Misc Hyd Pl</t>
  </si>
  <si>
    <t>PE125510   Maint Superv &amp; Eng</t>
  </si>
  <si>
    <t>PE125530   Maint of Gen &amp; Elec</t>
  </si>
  <si>
    <t>PE125540   Maint of Misc Oth Ge</t>
  </si>
  <si>
    <t>PE125680   Maint Superv &amp; Eng</t>
  </si>
  <si>
    <t>PE125690   Maint of Structure</t>
  </si>
  <si>
    <t>PE125691   Maint-Comp Hardware</t>
  </si>
  <si>
    <t>PE125692   Maint-Comp Software</t>
  </si>
  <si>
    <t>PE125693   Maint-Commun Equipmn</t>
  </si>
  <si>
    <t>PE125700   Maint Station Exp</t>
  </si>
  <si>
    <t>PE125710   Maint Overhead Line</t>
  </si>
  <si>
    <t>PE125720   Maint Underground</t>
  </si>
  <si>
    <t>PE125730   Maint of Misc Transm</t>
  </si>
  <si>
    <t>PE125900   Maint Superv &amp; Eng</t>
  </si>
  <si>
    <t>PE125910   Maint of Structure</t>
  </si>
  <si>
    <t>PE125920   Maint Station Equip</t>
  </si>
  <si>
    <t>PE125930   Maint Overhead line</t>
  </si>
  <si>
    <t>PE125940   Maint of Underground</t>
  </si>
  <si>
    <t>PE125950   Maint of Line Transf</t>
  </si>
  <si>
    <t>PE125960   Maint Street Light</t>
  </si>
  <si>
    <t>PE125980   Maint of Misc Distr</t>
  </si>
  <si>
    <t>PE129350   Maint of Gen Plt</t>
  </si>
  <si>
    <t>PE124030   Depreciation Expense</t>
  </si>
  <si>
    <t>PE124040   Amortizations</t>
  </si>
  <si>
    <t>PE124081   Taxes-Other Than Income</t>
  </si>
  <si>
    <t>PE124210   Nonop Misc Income</t>
  </si>
  <si>
    <t>PE124191   AFUDC</t>
  </si>
  <si>
    <t>PE124190   Int/Div Income</t>
  </si>
  <si>
    <t>PE124082   Tax oth Inc Tax OID</t>
  </si>
  <si>
    <t>PE124261   Donations</t>
  </si>
  <si>
    <t>PE124264   OID-Civic&amp;Political</t>
  </si>
  <si>
    <t>PE124265   OID-Other Deductions</t>
  </si>
  <si>
    <t>PE124270   Interest LTD</t>
  </si>
  <si>
    <t>PE124280   Amort Debt Discount</t>
  </si>
  <si>
    <t>PE124281   Amort-Loss ReacqDebt</t>
  </si>
  <si>
    <t>PE124310   Other Interest Expense</t>
  </si>
  <si>
    <t>PRE124310  IC Oth Interst Exp E</t>
  </si>
  <si>
    <t>PE124320   Allow Funds Constr</t>
  </si>
  <si>
    <t>PE124091   Income Taxes</t>
  </si>
  <si>
    <t>PE124092   Inc Tax Oth Inc&amp;DedE</t>
  </si>
  <si>
    <t>PE124101   Prov DIT Utly Op Inc</t>
  </si>
  <si>
    <t>PE124111   Prov DITCrdUtlOpInc</t>
  </si>
  <si>
    <t>PE124200   Invest Tax Cred-OID</t>
  </si>
  <si>
    <t>PG1208     Miscellaneous Revenue</t>
  </si>
  <si>
    <t>PG1211     Sales Non Firm/Non I</t>
  </si>
  <si>
    <t>PG1215     Firm Sales</t>
  </si>
  <si>
    <t>PG1270     Firm Rev NY St Ast</t>
  </si>
  <si>
    <t>PG1271     Firm-Interim Rev Dec</t>
  </si>
  <si>
    <t>PG1272     Firm-Annual Rev Deco</t>
  </si>
  <si>
    <t>PG1299     Regulatory Rev Activ</t>
  </si>
  <si>
    <t>PG1228     Late Payment Penalties</t>
  </si>
  <si>
    <t>PG1244     Consol Bill Rev Gas</t>
  </si>
  <si>
    <t>PG1201     Revenue Gas</t>
  </si>
  <si>
    <t>PG1210     Unbilled Gas Revenue</t>
  </si>
  <si>
    <t>PG124950   Damaged Billing Process</t>
  </si>
  <si>
    <t>PG128040   Natl Gas City Gate</t>
  </si>
  <si>
    <t>Purch Gas</t>
  </si>
  <si>
    <t>PG128051   Purch Gas Cost Adj</t>
  </si>
  <si>
    <t>Misc Revenue - Deferral - non-cash</t>
  </si>
  <si>
    <t>PG128081   Gas Withdrawn fr Sto</t>
  </si>
  <si>
    <t>PG128082   Gas Deliv to Stor-Cr</t>
  </si>
  <si>
    <t>PG128120   Gas Used for Oth Utl</t>
  </si>
  <si>
    <t>PG128130   Other Gas Supply Exp</t>
  </si>
  <si>
    <t>O&amp;M - G</t>
  </si>
  <si>
    <t>PG128500   Oper Superv &amp; Eng</t>
  </si>
  <si>
    <t>PG128560   Mains Expenses</t>
  </si>
  <si>
    <t>PG128590   Other Expenses</t>
  </si>
  <si>
    <t>PG128700   Oper Superv &amp; Eng</t>
  </si>
  <si>
    <t>PG128710   Distribut Load Disp</t>
  </si>
  <si>
    <t>PG128740   Mains &amp; Service Exp</t>
  </si>
  <si>
    <t>PG128750   Meas &amp; Reg Sta-Gen</t>
  </si>
  <si>
    <t>PG128770   Meas &amp; Reg Sta-City</t>
  </si>
  <si>
    <t>PG128780   Meters &amp; House Reg</t>
  </si>
  <si>
    <t>PG128790   Customer Install Exp</t>
  </si>
  <si>
    <t>PG128800   Other Expenses</t>
  </si>
  <si>
    <t>PG129010   Supervision</t>
  </si>
  <si>
    <t>PG129020   Meter Reading Expense</t>
  </si>
  <si>
    <t>PG129030   Customer Records</t>
  </si>
  <si>
    <t>PG129040   Uncollectible Accounts</t>
  </si>
  <si>
    <t>PG129050   Misc. Customer Acct</t>
  </si>
  <si>
    <t>PG129080   Customer Assistance</t>
  </si>
  <si>
    <t>PG129090   Inform and Instruct</t>
  </si>
  <si>
    <t>PG129100   Misc Cust Svc &amp; Info</t>
  </si>
  <si>
    <t>PG129120   Demo and Selling</t>
  </si>
  <si>
    <t>PG129130   Advertising</t>
  </si>
  <si>
    <t>PG129160   Misc. Sales</t>
  </si>
  <si>
    <t>PG129200   Admin &amp; Gen Salaries</t>
  </si>
  <si>
    <t>PG129210   Offfice Supp &amp; Exp</t>
  </si>
  <si>
    <t>PG129220   Admin Exp Transf-Cr</t>
  </si>
  <si>
    <t>PG129230   Outside Services Emp</t>
  </si>
  <si>
    <t>PG129240   Property Insurance</t>
  </si>
  <si>
    <t>PG129250   Injuries and Damages</t>
  </si>
  <si>
    <t>PG129260   Empl Pension &amp; Ben</t>
  </si>
  <si>
    <t>PG129280   Regulatory Commiss</t>
  </si>
  <si>
    <t>PG129301   General Advertising</t>
  </si>
  <si>
    <t>PG129302   Misc. General Expenses</t>
  </si>
  <si>
    <t>PG129310   Rents</t>
  </si>
  <si>
    <t>PG128630   Maintenance of Mains</t>
  </si>
  <si>
    <t>PG128850   Maint Superv &amp; Eng</t>
  </si>
  <si>
    <t>PG128860   Maint of Structure</t>
  </si>
  <si>
    <t>PG128870   Maintenance of Mains</t>
  </si>
  <si>
    <t>PG128890   Maint Meas &amp; Reg-Gen</t>
  </si>
  <si>
    <t>PG128910   Maint Meas &amp; Reg-Cty</t>
  </si>
  <si>
    <t>PG128920   Maintenance of Services</t>
  </si>
  <si>
    <t>PG128930   Maint of Meter &amp; Reg</t>
  </si>
  <si>
    <t>PG129320   Maint of Gen Plt</t>
  </si>
  <si>
    <t>PG124030   Depreciation Expense</t>
  </si>
  <si>
    <t>PG124040   Amortizations</t>
  </si>
  <si>
    <t>PG124081   Taxes-Other Than Income</t>
  </si>
  <si>
    <t>PG124210   Nonop Misc Income</t>
  </si>
  <si>
    <t>PG124191   AFUDC</t>
  </si>
  <si>
    <t>PG124190   Int/Div Income</t>
  </si>
  <si>
    <t>PG124082   Tax oth Inc Tax OID</t>
  </si>
  <si>
    <t>PG124261   Donations</t>
  </si>
  <si>
    <t>PG124264   OID-Civic&amp;Political</t>
  </si>
  <si>
    <t>PG124265   OID-Other Deductions</t>
  </si>
  <si>
    <t>PG124270   Interest LTD</t>
  </si>
  <si>
    <t>PG124280   Amort Debt Discount</t>
  </si>
  <si>
    <t>PG124281   Amort-Loss ReacqDebt</t>
  </si>
  <si>
    <t>PG124310   Other Interest Expense</t>
  </si>
  <si>
    <t>PRG124310  IC Oth Interst Exp G</t>
  </si>
  <si>
    <t>PG124320   Allow Funds Constr</t>
  </si>
  <si>
    <t>PG124091   Income Taxes</t>
  </si>
  <si>
    <t>PG124092   Inc Tax Oth Inc&amp;DedG</t>
  </si>
  <si>
    <t>PG124101   Prov DIT Utly Op Inc</t>
  </si>
  <si>
    <t>PG124111   Prov DIT CrdUtlOpInc</t>
  </si>
  <si>
    <t>PG124200   Invest Tax Cred-OID</t>
  </si>
  <si>
    <t>Reg AssetRR10Pension Asset</t>
  </si>
  <si>
    <t>Reg AssetRR10Environmental</t>
  </si>
  <si>
    <t>Reg AssetRR10Major Storm Reserve</t>
  </si>
  <si>
    <t>Transfer JP Amount of Storm Reserve from Items Not in Rate Base</t>
  </si>
  <si>
    <t>Reg AssetRR10CTA Efficiency</t>
  </si>
  <si>
    <t>Reg AssetRR10CTA Property Tax</t>
  </si>
  <si>
    <t>Reg AssetRR10OPEB Reserve</t>
  </si>
  <si>
    <t>Reg AssetRR10FAS 112</t>
  </si>
  <si>
    <t>Reg AssetRR10Pre-Capitalized Installation Costs</t>
  </si>
  <si>
    <t>Reg AssetRR10NBC True-up</t>
  </si>
  <si>
    <t>Reg AssetRR10Allegany</t>
  </si>
  <si>
    <t>Reg AssetRR10Oswego</t>
  </si>
  <si>
    <t>Reg AssetRR10NM2 Sale</t>
  </si>
  <si>
    <t>Reg AssetRR10Nine Mile Mirror CWIP</t>
  </si>
  <si>
    <t>Reg AssetRR10Beebee Decommissioning</t>
  </si>
  <si>
    <t>Reg AssetRR10Gas Costs Deferred</t>
  </si>
  <si>
    <t>Reg AssetRR10ACF</t>
  </si>
  <si>
    <t>Reg AssetRR10ASGA</t>
  </si>
  <si>
    <t>Reg AssetRR10Cap Ex Deferral</t>
  </si>
  <si>
    <t>Reg AssetRR10Electric Reliability Organization</t>
  </si>
  <si>
    <t>Reg AssetRR10NYS Tax Rate to 7.1%</t>
  </si>
  <si>
    <t>Reg AssetRR10IRS Audit - 1998-2001</t>
  </si>
  <si>
    <t>Reg AssetRR10Medicare Part D</t>
  </si>
  <si>
    <t>Reg AssetRR10Mendon Heater</t>
  </si>
  <si>
    <t>Reg AssetRR10NYS Tax Audit</t>
  </si>
  <si>
    <t>Reg AssetRR10NYSIT - '02 Combined Filing Adj</t>
  </si>
  <si>
    <t>Reg AssetRR10Positive Benefit Adjustment</t>
  </si>
  <si>
    <t>Reg AssetRR10Property Tax 481(a)</t>
  </si>
  <si>
    <t>Reg AssetRR10PSC Assessment</t>
  </si>
  <si>
    <t>Reg AssetRR10Purchase of Receivables</t>
  </si>
  <si>
    <t>Reg AssetRR10Sarbanes-Oxley</t>
  </si>
  <si>
    <t>Reg AssetRR10Security Costs</t>
  </si>
  <si>
    <t>Reg AssetRR10Stray Voltage</t>
  </si>
  <si>
    <t>Reg AssetRR10Variable Rate Debt - Pre-2004</t>
  </si>
  <si>
    <t>Reg AssetRR10Variable Rate Debt</t>
  </si>
  <si>
    <t>Reg AssetRR10DOE Liability - True-up-2004</t>
  </si>
  <si>
    <t>Reg AssetRR10DOE Liability - True-up</t>
  </si>
  <si>
    <t>Reg AssetRR10Economic Development</t>
  </si>
  <si>
    <t>Reg AssetRR10IMLR</t>
  </si>
  <si>
    <t>Reg AssetRR10Merchant Function Charge-Gas</t>
  </si>
  <si>
    <t>Reg AssetRR10OPEB True-up</t>
  </si>
  <si>
    <t>Reg AssetRR10Outreach &amp; Education</t>
  </si>
  <si>
    <t>Reg AssetRR10Pension True-up</t>
  </si>
  <si>
    <t>Reg AssetRR10Gas Pipeline Integrity</t>
  </si>
  <si>
    <t>Reg AssetRR10Excess NYS DIT (to 7.1%)</t>
  </si>
  <si>
    <t>Reg AssetRR10Property Tax Deferral</t>
  </si>
  <si>
    <t>Reg AssetRR10R&amp;D Tax Credit Deferral</t>
  </si>
  <si>
    <t>From Deferred Tax Rollforward Schedule</t>
  </si>
  <si>
    <t>Bonus Depreciation - Transfer to Items Not in RTBS</t>
  </si>
  <si>
    <t>Environmental - Transfer from Items Not in RTBS</t>
  </si>
  <si>
    <t>Def Tax190001283-026BT010071</t>
  </si>
  <si>
    <t>Def Tax190002190-026BT010071</t>
  </si>
  <si>
    <t>Def Tax190006283-026BT010071</t>
  </si>
  <si>
    <t>Def Tax190007283-026BT010071</t>
  </si>
  <si>
    <t>Def Tax190011283-026BT010071</t>
  </si>
  <si>
    <t>Def Tax190012283-026BT010071</t>
  </si>
  <si>
    <t>Def Tax190016283-026BT010071</t>
  </si>
  <si>
    <t>Def Tax190017283-026BT010071</t>
  </si>
  <si>
    <t>Def Tax190501190-096-JPBT010074</t>
  </si>
  <si>
    <t>Def Tax190511190-096-JPBT010074</t>
  </si>
  <si>
    <t>Def Tax283200283-026</t>
  </si>
  <si>
    <t>Def Tax283210283-026</t>
  </si>
  <si>
    <t>Def Tax283400283-026</t>
  </si>
  <si>
    <t>Def Tax283410283-026</t>
  </si>
  <si>
    <t>Def Tax283500283-026-RABT010072</t>
  </si>
  <si>
    <t>Def Tax283500283-026BT010071</t>
  </si>
  <si>
    <t>Def Tax283510283-026BT010071/
BT010072</t>
  </si>
  <si>
    <t>Def Tax283550283-026BT010071/
BT010072</t>
  </si>
  <si>
    <t>Def Tax283560283-026BT010071/
BT010072</t>
  </si>
  <si>
    <t>Def Tax283986283-026BT010071</t>
  </si>
  <si>
    <t>Def Tax283987283-026BT010071</t>
  </si>
  <si>
    <t>Def Tax283988283-026BT010071</t>
  </si>
  <si>
    <t>Def Tax283989283-026BT010071</t>
  </si>
  <si>
    <t>ACF - Transfer from Items Not in RTBS</t>
  </si>
  <si>
    <t>ASGA - Transfer from Items Not in RTBS (JP Amount)</t>
  </si>
  <si>
    <t>PSC Assessment - Transfer from Items Not in RTBS</t>
  </si>
  <si>
    <t>Major Storm - Transfer from Items Not in RTBS</t>
  </si>
  <si>
    <t>Manual Adjs - Transfer to / from Items Not in RTBS:</t>
  </si>
  <si>
    <t>Environmental - Transfer to RTBS</t>
  </si>
  <si>
    <t>Major Storm Deferred Taxes - Transfer to RTBS</t>
  </si>
  <si>
    <t>Subtotal Deferred Taxes</t>
  </si>
  <si>
    <t>Economic Development - Transfer from Items Not in RTBS</t>
  </si>
  <si>
    <t>Property Tax Deferral - Transfer from Items Not in RTBS</t>
  </si>
  <si>
    <r>
      <t xml:space="preserve">Fixed Amount </t>
    </r>
    <r>
      <rPr>
        <b/>
        <u/>
        <sz val="10"/>
        <rFont val="Times New Roman"/>
        <family val="1"/>
      </rPr>
      <t xml:space="preserve">of </t>
    </r>
    <r>
      <rPr>
        <sz val="10"/>
        <rFont val="Times New Roman"/>
        <family val="1"/>
      </rPr>
      <t>ASGA in Rate Base per 7/14/10 Joint Proposal - transfer from Items Not in Rate Base</t>
    </r>
  </si>
  <si>
    <t>Fuel Inventory and Underground Gas Stored</t>
  </si>
  <si>
    <t>R10Allegany</t>
  </si>
  <si>
    <t>R10Beebee Decommissioning</t>
  </si>
  <si>
    <t>R10Cap Ex Deferral</t>
  </si>
  <si>
    <t>R10CTA Property Tax</t>
  </si>
  <si>
    <t>R10DOE Liability</t>
  </si>
  <si>
    <t>R10DOE Liability - True-up</t>
  </si>
  <si>
    <t>R10DOE Liability - True-up-2004</t>
  </si>
  <si>
    <t>R10Economic Development</t>
  </si>
  <si>
    <t>R10Electric Reliability Organization</t>
  </si>
  <si>
    <t>R10Excess NYS DIT (to 7.1%)</t>
  </si>
  <si>
    <t>R10FAS 112</t>
  </si>
  <si>
    <t>R10Gas Costs Deferred</t>
  </si>
  <si>
    <t>R10Gas Pipeline Integrity</t>
  </si>
  <si>
    <t>R10IMLR</t>
  </si>
  <si>
    <t>R10IRS Audit - 1998-2001</t>
  </si>
  <si>
    <t>R10Medicare Part D</t>
  </si>
  <si>
    <t>R10Mendon Heater</t>
  </si>
  <si>
    <t>R10Merchant Function Charge-Gas</t>
  </si>
  <si>
    <t>R10NBC True-up</t>
  </si>
  <si>
    <t>R10Nine Mile Mirror CWIP</t>
  </si>
  <si>
    <t>R10NM2 Sale</t>
  </si>
  <si>
    <t>R10NYS Tax Audit</t>
  </si>
  <si>
    <t>R10NYS Tax Rate to 7.1%</t>
  </si>
  <si>
    <t>R10NYSIT - '02 Combined Filing Adj</t>
  </si>
  <si>
    <t>R10OPEB Reserve</t>
  </si>
  <si>
    <t>R10OPEB True-up</t>
  </si>
  <si>
    <t>R10Oswego</t>
  </si>
  <si>
    <t>R10Injury &amp; Damages Reserve</t>
  </si>
  <si>
    <t>R10Outreach &amp; Education</t>
  </si>
  <si>
    <t>R10Pension Asset</t>
  </si>
  <si>
    <t>R10Pension True-up</t>
  </si>
  <si>
    <t>R10Pre-Capitalized Installation Costs</t>
  </si>
  <si>
    <t>R10Preliminary Survey and Investigation</t>
  </si>
  <si>
    <t>R10Property Tax 481(a)</t>
  </si>
  <si>
    <t>R10R&amp;D Tax Credit Deferral</t>
  </si>
  <si>
    <t>R10Russell Decommissioning Reserve</t>
  </si>
  <si>
    <t>R10Security Costs</t>
  </si>
  <si>
    <t>R10Stray Voltage</t>
  </si>
  <si>
    <t>R10Variable Rate Debt - Pre-2004</t>
  </si>
  <si>
    <t>R10Variable Rate Debt</t>
  </si>
  <si>
    <t>R10Commodity Hedge Margin</t>
  </si>
  <si>
    <t>R11Merchant Function Charge-Gas</t>
  </si>
  <si>
    <t>R11CIAC</t>
  </si>
  <si>
    <t>R11Cost of Removal</t>
  </si>
  <si>
    <t>R11Excess Salvage</t>
  </si>
  <si>
    <t>R11Fossil Inventory</t>
  </si>
  <si>
    <t>R11Russell Retirement</t>
  </si>
  <si>
    <t>R11Tax Gain / Loss on Retirement</t>
  </si>
  <si>
    <t>R11Unit of Property - 481Adj</t>
  </si>
  <si>
    <t>R111998 Wind Storm</t>
  </si>
  <si>
    <t>R11Allegany</t>
  </si>
  <si>
    <t>R11ASGA</t>
  </si>
  <si>
    <t>R11Beebee</t>
  </si>
  <si>
    <t>R11Bonus Depreciaiton Deferral</t>
  </si>
  <si>
    <t>R11Cap Ex Deferral</t>
  </si>
  <si>
    <t>R11DOE Liability - True-up</t>
  </si>
  <si>
    <t>R11Economic Development</t>
  </si>
  <si>
    <t>R11Electric Reliability Organization</t>
  </si>
  <si>
    <t>R11Excess NYS DIT (to 7.1%)</t>
  </si>
  <si>
    <t>R11FAS 112</t>
  </si>
  <si>
    <t>R11Gas Costs Deferred</t>
  </si>
  <si>
    <t>R11Gas Pipeline Integrity</t>
  </si>
  <si>
    <t>R11Ice Storm</t>
  </si>
  <si>
    <t>R11IMLR</t>
  </si>
  <si>
    <t>R11Major Storm Reserve</t>
  </si>
  <si>
    <t>R11Medicare Part D</t>
  </si>
  <si>
    <t>R11Mendon Heater</t>
  </si>
  <si>
    <t>R11Mortgage Recording Tax</t>
  </si>
  <si>
    <t>R11NBC True-up</t>
  </si>
  <si>
    <t>R11NM2 Sale</t>
  </si>
  <si>
    <t>R11Nuclear Decommissioning</t>
  </si>
  <si>
    <t>R11NYS Income Tax / GRT Deferral</t>
  </si>
  <si>
    <t>R11NYS Tax Audit</t>
  </si>
  <si>
    <t>R11NYS Tax Rate to 7.1%</t>
  </si>
  <si>
    <t>R11OPEB</t>
  </si>
  <si>
    <t>R11Oswego</t>
  </si>
  <si>
    <t>R11Outreach &amp; Education</t>
  </si>
  <si>
    <t>R11Pension</t>
  </si>
  <si>
    <t>R11Pre-Capitalized Installation Costs</t>
  </si>
  <si>
    <t>R11Property Tax Audit</t>
  </si>
  <si>
    <t>R11Property Tax 481(a)</t>
  </si>
  <si>
    <t>R11PSC Assessment</t>
  </si>
  <si>
    <t>R11Purchase of Receivables</t>
  </si>
  <si>
    <t>R11R&amp;D Tax Credit Deferral</t>
  </si>
  <si>
    <t>R11Russell Decommissioning Reserve</t>
  </si>
  <si>
    <t>R11SERP</t>
  </si>
  <si>
    <t>R11Security Costs</t>
  </si>
  <si>
    <t>R11Service Quality Performance</t>
  </si>
  <si>
    <t>R11Variable Rate Debt</t>
  </si>
  <si>
    <t>R11Vegetation Management</t>
  </si>
  <si>
    <t>R11Deferred Comp</t>
  </si>
  <si>
    <t>R11Merger Related</t>
  </si>
  <si>
    <t>R11Bad Debts</t>
  </si>
  <si>
    <t>R11Gas Demand Charges</t>
  </si>
  <si>
    <t>R11Personal Time</t>
  </si>
  <si>
    <t>R11Workers Comp Reserve</t>
  </si>
  <si>
    <t>R11Vacation Pay</t>
  </si>
  <si>
    <t>PSC General Assessment - Transfer from Not in Rate Base</t>
  </si>
  <si>
    <t>Economic Development - Transfer from Not in Rate base</t>
  </si>
  <si>
    <t>Property Tax Deferral - Transfer from Not in Rate Base</t>
  </si>
  <si>
    <t>Major Storm - Transfer from Not in Rate Base (JP Amount)</t>
  </si>
  <si>
    <t>Property Tax Deferral DITs - Transferred to Rate Base</t>
  </si>
  <si>
    <t>EEPS accruing NCR transfer from EBCAP to Not in Rate Base</t>
  </si>
  <si>
    <t>Major Storm Reserve - Transfer to RTBS</t>
  </si>
  <si>
    <t>Major Storm Reserve and DITs - Transferred to Rate Base (JP Amount)</t>
  </si>
  <si>
    <t>Beginning Balance per JP, App. O</t>
  </si>
  <si>
    <t>Deferred Taxes Tracking at:</t>
  </si>
  <si>
    <t>Beginning Balance, net of Tax</t>
  </si>
  <si>
    <t>(Use as Proxy for Dec 2010 Average Balance)</t>
  </si>
  <si>
    <t>Amortization rate per month</t>
  </si>
  <si>
    <t>Monthly Amortization, net of tax</t>
  </si>
  <si>
    <t>Number of Months Elapsed Since 9/1/10</t>
  </si>
  <si>
    <t>Total Amortization</t>
  </si>
  <si>
    <t xml:space="preserve">Ending Balance, net of Tax </t>
  </si>
  <si>
    <t>Economic Development Deferral - transfer to RTBS (JP Amount)</t>
  </si>
  <si>
    <t>Economic Development DITs transferred to Rate base</t>
  </si>
  <si>
    <t>Economic Development Deferral transferred to Rate base (JP Amount)</t>
  </si>
  <si>
    <t>R11Accident &amp; Sickness Reserve</t>
  </si>
  <si>
    <t>Research and Development</t>
  </si>
  <si>
    <t>GL188000</t>
  </si>
  <si>
    <t>Subtotal - Research and Development</t>
  </si>
  <si>
    <t>Def Tax283210R&amp;D DeferralBT010177</t>
  </si>
  <si>
    <t>Def Tax283410R&amp;D DeferralBT010177</t>
  </si>
  <si>
    <t>OPEBs - Transfer to Items Not in Rate Base to track OPEB True-up item</t>
  </si>
  <si>
    <t>OPEB True-up DITs - Transfer from Rate Base</t>
  </si>
  <si>
    <t>Unit of Property CTA DIT's - Transfer to Items Not in Rate Base</t>
  </si>
  <si>
    <t>Unit of Property CTA DIT's - Transfer from Rate Base</t>
  </si>
  <si>
    <t>MISC CUR &amp; ACCR LIAB - SPECIAL CUSTOMER PLANS PAY</t>
  </si>
  <si>
    <t>OTH REGULATORY LIAB-RUSSELL DECOMMISSIONING</t>
  </si>
  <si>
    <t>RETIREMENT WORK IN PROGRESS-ELECTRIC</t>
  </si>
  <si>
    <t>RETIREMENT WORK IN PROGRESS-COMMON</t>
  </si>
  <si>
    <t>BT010335</t>
  </si>
  <si>
    <t>ISTR-VRD 04</t>
  </si>
  <si>
    <t>CAIDI/SAIFI</t>
  </si>
  <si>
    <t>BT010378</t>
  </si>
  <si>
    <t>Theoretical Dep Reserve Amort - State</t>
  </si>
  <si>
    <t>Theoretical Dep Reserve Amort - Fed</t>
  </si>
  <si>
    <t>Funded DIT True Up Elec</t>
  </si>
  <si>
    <t>BE030932</t>
  </si>
  <si>
    <t>Theoretical Reserve Tax Gross Up</t>
  </si>
  <si>
    <t>Funded DIT True Up Gas</t>
  </si>
  <si>
    <t>Hung Defd Reg Asset Gross Up Gas - State</t>
  </si>
  <si>
    <t>BG030932</t>
  </si>
  <si>
    <t>BGHUNGDT</t>
  </si>
  <si>
    <t>Hung Defd Reg Asset Gross Up Elec-State</t>
  </si>
  <si>
    <t>BEHUNGDT</t>
  </si>
  <si>
    <t>Hung Defd Reg Asset Gross Up Gas - Fed</t>
  </si>
  <si>
    <t>Hung Defd Reg Asset Gross Up Elec - Fed</t>
  </si>
  <si>
    <t>Hung Deferred Regulatory Asset 190 Electric</t>
  </si>
  <si>
    <t>Hung Deferred Regulatory Asset 190 Gas</t>
  </si>
  <si>
    <t>Deferral on Funded DIT Tax True Up 2011 TR Gas</t>
  </si>
  <si>
    <t>Funded DIT Tax True-Up 2011 TR Elec</t>
  </si>
  <si>
    <t>Pension Gas Leftover</t>
  </si>
  <si>
    <t>Pension Gas L</t>
  </si>
  <si>
    <t>Other Regulatory Liabilities - Purchase of Receivables - Gas</t>
  </si>
  <si>
    <t>801083(old vintages), blanks</t>
  </si>
  <si>
    <t>DEFERRED CREDITS-FAS 112 POSTEMPLOYMENT BENEFIT LIABILITY</t>
  </si>
  <si>
    <t>Pension Leftover - Electric</t>
  </si>
  <si>
    <t>Pension Electric L</t>
  </si>
  <si>
    <t>2012 Vintage</t>
  </si>
  <si>
    <t>Reg Asset254016Pension ElectricBE030409</t>
  </si>
  <si>
    <t>Reg Asset254016Pension Electric LBE030409</t>
  </si>
  <si>
    <t>Reg Asset254017Pension GasBG030410</t>
  </si>
  <si>
    <t>Def Tax190501190-031-JPBT010166</t>
  </si>
  <si>
    <t>Def Tax190502190-031-JPBT010166</t>
  </si>
  <si>
    <t>Def Tax190511190-031-JPBT010166</t>
  </si>
  <si>
    <t>Def Tax190512190-031-JPBT010166</t>
  </si>
  <si>
    <t>Def Tax190531BT010166</t>
  </si>
  <si>
    <t>Def Tax190532BT010166</t>
  </si>
  <si>
    <t>Def Tax190541BT010166</t>
  </si>
  <si>
    <t>Def Tax190542BT010166</t>
  </si>
  <si>
    <t>Reg Asset254017Pension Gas LBG030410</t>
  </si>
  <si>
    <t>Subtotal - Pension True-up</t>
  </si>
  <si>
    <t>ACF DITs- Transfer from Items Not in RTBS</t>
  </si>
  <si>
    <t>N8 Included in Electric Rate Base (ASGA), net of tax</t>
  </si>
  <si>
    <t>Def Tax190501BE030908</t>
  </si>
  <si>
    <t>Def Tax282200BT010378</t>
  </si>
  <si>
    <t>Def Tax282240BT010378</t>
  </si>
  <si>
    <t>Reg AssetRR10Russell Decommissioning Reserve</t>
  </si>
  <si>
    <t>R10Hung Deferred Taxes</t>
  </si>
  <si>
    <t>R11Hung Deferred Taxes</t>
  </si>
  <si>
    <t>601238-UB</t>
  </si>
  <si>
    <t>RDM Gas Unbilled Deferral - 2011/2012</t>
  </si>
  <si>
    <t>601237-UB</t>
  </si>
  <si>
    <t>RDM Electric Unbilled Deferral - 2011/2012</t>
  </si>
  <si>
    <t>601258-FIN48</t>
  </si>
  <si>
    <t>Unit of Prop Cap Repairs FIN48 Interest-Gas-Def</t>
  </si>
  <si>
    <t>Gas ESM</t>
  </si>
  <si>
    <t>BG030416</t>
  </si>
  <si>
    <t>Net Plant Reconciliation</t>
  </si>
  <si>
    <t>BE030924</t>
  </si>
  <si>
    <t>BG030924</t>
  </si>
  <si>
    <t>Consulting Contract Reserve</t>
  </si>
  <si>
    <t>BT010041</t>
  </si>
  <si>
    <t>GRT Audit Reserve</t>
  </si>
  <si>
    <t>BT010271</t>
  </si>
  <si>
    <t>RDM Unbilled</t>
  </si>
  <si>
    <t>Unit of Property FIN48</t>
  </si>
  <si>
    <t>Reg Asset182306601258-FIN48BG030925</t>
  </si>
  <si>
    <t>BE030589</t>
  </si>
  <si>
    <t>Reg Asset254016601248BE030192</t>
  </si>
  <si>
    <t>DEF REV - ON-BILL PAYMENT PLAN - GREEN POWER</t>
  </si>
  <si>
    <t>BT010371</t>
  </si>
  <si>
    <t>BT010154</t>
  </si>
  <si>
    <t>BT030561/BT130561</t>
  </si>
  <si>
    <t xml:space="preserve">Contributions in Aid of Constructions (CIAC) </t>
  </si>
  <si>
    <t>Katz License - Reverse of Books</t>
  </si>
  <si>
    <t>BT010188</t>
  </si>
  <si>
    <t>Salvage Proceeds</t>
  </si>
  <si>
    <t xml:space="preserve">Unit of Property </t>
  </si>
  <si>
    <t>Deferred Gas Costs</t>
  </si>
  <si>
    <t>BG030089/BT010099</t>
  </si>
  <si>
    <t>Def Tax283500BE030597</t>
  </si>
  <si>
    <t>Def Tax283550BE030597</t>
  </si>
  <si>
    <t>BGE030416</t>
  </si>
  <si>
    <t>Reg Asset254012601257BG030416</t>
  </si>
  <si>
    <t>Def Tax283210283-003BG030089/BT010099</t>
  </si>
  <si>
    <t>Def Tax190511SERP RegLiaSBT030561/BT130561</t>
  </si>
  <si>
    <t xml:space="preserve">    XS0241  CREW ST-LABOR-PLAN</t>
  </si>
  <si>
    <t xml:space="preserve">    ZS0244  GENERAL-VAC PAY ACCR</t>
  </si>
  <si>
    <t xml:space="preserve">    XS0298  LABOR-STRAIGHT TIME - OT @ 1.0</t>
  </si>
  <si>
    <t xml:space="preserve">    XS0398  LABOR-OVERTIME REGULAR - 1.5</t>
  </si>
  <si>
    <t xml:space="preserve">    XS0498  LABOR-OVERTIME REGULAR - 2.0</t>
  </si>
  <si>
    <t xml:space="preserve">    ZS0298  LABOR-STRAIGHT TIME - OT @ 1.0</t>
  </si>
  <si>
    <t xml:space="preserve">    ZS0398  LABOR-OVERTIME REGULAR - 1.5</t>
  </si>
  <si>
    <t xml:space="preserve">    ZS0498  LABOR-OVERTIME REGULAR - 2.0</t>
  </si>
  <si>
    <t xml:space="preserve">    ZS0598  LABOR-OVERTIME REGULAR - 2.5</t>
  </si>
  <si>
    <t>Automatically Updates</t>
  </si>
  <si>
    <t>PE1299004  EEPS-Elec</t>
  </si>
  <si>
    <t>PE1299155  MFC-Elec</t>
  </si>
  <si>
    <t>PE1299196  EDF-Elec</t>
  </si>
  <si>
    <t>PE1299251  PropTax-Elec</t>
  </si>
  <si>
    <t>PE1299416  ESM-Elec</t>
  </si>
  <si>
    <t>PE1299423  POR-Elec</t>
  </si>
  <si>
    <t>PE1299581  PSC Assmt-Elec</t>
  </si>
  <si>
    <t>PE1299589  ESR-Elec</t>
  </si>
  <si>
    <t>PE1299594  LowIncPgm-Elec</t>
  </si>
  <si>
    <t>PE1299595  VegMgmt-Elec</t>
  </si>
  <si>
    <t>PE1299596  Mgmt Audit-Elec</t>
  </si>
  <si>
    <t>PE1299599  IncMaint-Elec</t>
  </si>
  <si>
    <t>PE1299900  SBC-Elec</t>
  </si>
  <si>
    <t>PE1299903  RPS-Elec</t>
  </si>
  <si>
    <t>PE1299904  RDM-Elec</t>
  </si>
  <si>
    <t>PE1299908  THEOR RESV-Elec</t>
  </si>
  <si>
    <t xml:space="preserve"> Regulatory Revenue Activity- Elect</t>
  </si>
  <si>
    <t xml:space="preserve">  Electric Revenue</t>
  </si>
  <si>
    <t xml:space="preserve">  Electric Other Revenue</t>
  </si>
  <si>
    <t>PE1210001  UnB-Base Delivery</t>
  </si>
  <si>
    <t>PE1210004  UnB-EEPS-Elec</t>
  </si>
  <si>
    <t>PE1210155  UnB-MFC-Elec</t>
  </si>
  <si>
    <t>PE1210581  UnB-PSC Assmt-Elec</t>
  </si>
  <si>
    <t>PE1210900  UnB-SBC-Elec</t>
  </si>
  <si>
    <t>PE1210903  UnB-RPS-Elec</t>
  </si>
  <si>
    <t>PE1210904  UnB-RDM Ann-Elec</t>
  </si>
  <si>
    <t xml:space="preserve">  Unbilled Electric Revenue</t>
  </si>
  <si>
    <t xml:space="preserve">   Revenue</t>
  </si>
  <si>
    <t xml:space="preserve">   Other Revenue-Electric</t>
  </si>
  <si>
    <t xml:space="preserve">    Total Revenue-Electric</t>
  </si>
  <si>
    <t xml:space="preserve">   Electricity &amp; Fuel Purchased</t>
  </si>
  <si>
    <t>PE125601   Transm Subst - Sup&amp;E</t>
  </si>
  <si>
    <t xml:space="preserve">  FERC-Operations</t>
  </si>
  <si>
    <t xml:space="preserve">  FERC-Maintenance</t>
  </si>
  <si>
    <t xml:space="preserve">   Total Operations &amp; Maintenance -</t>
  </si>
  <si>
    <t xml:space="preserve">   Depreciation &amp; Amortization</t>
  </si>
  <si>
    <t xml:space="preserve">   Other Taxes</t>
  </si>
  <si>
    <t xml:space="preserve">  Other Income-Misc.</t>
  </si>
  <si>
    <t xml:space="preserve">  Allowance for Funds Used During C</t>
  </si>
  <si>
    <t>PRE124190  IC Int/Div Income E</t>
  </si>
  <si>
    <t xml:space="preserve">  Other Income-Non-cash Return</t>
  </si>
  <si>
    <t>PE124263   OID-Penalties</t>
  </si>
  <si>
    <t xml:space="preserve">  Other Deductions-Miscellaneous</t>
  </si>
  <si>
    <t xml:space="preserve">   Total Other Income &amp; Deductions</t>
  </si>
  <si>
    <t xml:space="preserve">  Interest on Long Term Debt</t>
  </si>
  <si>
    <t xml:space="preserve">  Other Interest Expense</t>
  </si>
  <si>
    <t xml:space="preserve">  AFC Borrowed Funds</t>
  </si>
  <si>
    <t xml:space="preserve">   Total Interest Charges</t>
  </si>
  <si>
    <t xml:space="preserve">   Income Taxes</t>
  </si>
  <si>
    <t xml:space="preserve">    Total Operating Expenses-Electr</t>
  </si>
  <si>
    <t xml:space="preserve">     RGE GAAP Income Statement-Elec</t>
  </si>
  <si>
    <t>PG1299004  EEPS-Gas</t>
  </si>
  <si>
    <t>PG1299247  MFC-Gas</t>
  </si>
  <si>
    <t>PG1299252  PropTax-Gs</t>
  </si>
  <si>
    <t>PG1299266  Pipeline Integ-Gas</t>
  </si>
  <si>
    <t>PG1299312  EDF-Gas</t>
  </si>
  <si>
    <t>PG1299414  R&amp;D Tax Cr-Gas</t>
  </si>
  <si>
    <t>PG1299424  POR-Gas</t>
  </si>
  <si>
    <t>PG1299582  PSC Assmt-Gas</t>
  </si>
  <si>
    <t>PG1299594  Low Income Program - Gas</t>
  </si>
  <si>
    <t>PG1299595  VegMgmt-Gas</t>
  </si>
  <si>
    <t>PG1299596  Management Audit Exp-Gas</t>
  </si>
  <si>
    <t>PG1299599  Incr Maint/CRO - Gas</t>
  </si>
  <si>
    <t>PG1299904  RDM-Gas</t>
  </si>
  <si>
    <t>PG1299911  R&amp;D-Gas</t>
  </si>
  <si>
    <t xml:space="preserve"> Regulatory Revenue Activity - Gas</t>
  </si>
  <si>
    <t xml:space="preserve">  Gas Revenue</t>
  </si>
  <si>
    <t xml:space="preserve">  Gas Other Revenue</t>
  </si>
  <si>
    <t>PG1210001  UnB-Base Delivery</t>
  </si>
  <si>
    <t>PG1210004  UnB-EEPS-Gas</t>
  </si>
  <si>
    <t>PG1210247  UnB-MFC-Gas</t>
  </si>
  <si>
    <t>PG1210582  UnB-PSC Assmt-Gas</t>
  </si>
  <si>
    <t>PG1210904  UnB-RDM-Gas</t>
  </si>
  <si>
    <t xml:space="preserve">  UnBilled Rev-Gas</t>
  </si>
  <si>
    <t>PG124180   Nonop Rental Income</t>
  </si>
  <si>
    <t xml:space="preserve">   Other Revenue-Gas</t>
  </si>
  <si>
    <t xml:space="preserve">    Total Revenue-Gas</t>
  </si>
  <si>
    <t xml:space="preserve">  Natural Gas Purchased</t>
  </si>
  <si>
    <t xml:space="preserve">   Total Purchase Gas</t>
  </si>
  <si>
    <t>PRG124190  IC Int/Div Income G</t>
  </si>
  <si>
    <t xml:space="preserve">   Total Interest Charges - Gas</t>
  </si>
  <si>
    <t xml:space="preserve">    Total Operating Expenses-Gas</t>
  </si>
  <si>
    <t xml:space="preserve">     RGE GAAP Income Statement-Gas</t>
  </si>
  <si>
    <t xml:space="preserve">      Net Income Available for Common</t>
  </si>
  <si>
    <t>AMORTIZATION OF DEBT PREMIUM</t>
  </si>
  <si>
    <t>INT EXP-POLLUTION CONTROL</t>
  </si>
  <si>
    <t>Cost of Debt - %</t>
  </si>
  <si>
    <t>Weighted Cost of Debt - %</t>
  </si>
  <si>
    <t>R10Workers Comp Reserve</t>
  </si>
  <si>
    <t>Reg AssetRR10Hung Deferred Taxes</t>
  </si>
  <si>
    <t>R10Net Plant Reconciliation</t>
  </si>
  <si>
    <t>Reg AssetRR10Net Plant Reconciliation</t>
  </si>
  <si>
    <t>R10SO2 Allowance</t>
  </si>
  <si>
    <t>Reg AssetRR10SO2 Allowance</t>
  </si>
  <si>
    <t>Adjust to Remove Disallowed Int Rate Hedge Loss per JP</t>
  </si>
  <si>
    <t>Deferred Taxes - Manual Adjustments:</t>
  </si>
  <si>
    <t>Items Not in Rate Base - Manual Adjustments:</t>
  </si>
  <si>
    <t>2013 WITH</t>
  </si>
  <si>
    <t>2013 W/O</t>
  </si>
  <si>
    <t>0000108930 RETIREMENT WORK IN PROGRESS-GAS</t>
  </si>
  <si>
    <t>0000184009 PP SETTLEMENT CAPITAL CLEARING ACCOUNT</t>
  </si>
  <si>
    <t>CAIDI/SAIF Audit JP App M - Electric</t>
  </si>
  <si>
    <t>Pipeline Integrity JP App M - Gas</t>
  </si>
  <si>
    <t>Reg Asset254016601218BE030594</t>
  </si>
  <si>
    <t>Reg Asset254017601248BG030266</t>
  </si>
  <si>
    <t>Unbilled Current Month - Account 173100</t>
  </si>
  <si>
    <t>EEPS Rate - C</t>
  </si>
  <si>
    <t>Unbilled $</t>
  </si>
  <si>
    <t>Plus:reverse prior month unbilled $</t>
  </si>
  <si>
    <t>Expenditures (G)</t>
  </si>
  <si>
    <t>Unbilled: (B)</t>
  </si>
  <si>
    <t xml:space="preserve">  $ at Current rate</t>
  </si>
  <si>
    <t xml:space="preserve">  less prior mo UB$</t>
  </si>
  <si>
    <t>DEF CREDITS - ELECTRIC INTERCONNECTION COLLATERAL</t>
  </si>
  <si>
    <t>601207-11</t>
  </si>
  <si>
    <t>601207-12</t>
  </si>
  <si>
    <t>ELECTERIC INTERCONNECTION COLLATERAL</t>
  </si>
  <si>
    <t>POTH1210</t>
  </si>
  <si>
    <t>Reg Asset254012601207-11BE030416</t>
  </si>
  <si>
    <t>Reg Asset254012601207-12BE030416</t>
  </si>
  <si>
    <t>Capital" to be adj'd annually - 3.4% beg 1/12, 2.10% beg 1/13</t>
  </si>
  <si>
    <t>Miscellaneous</t>
  </si>
  <si>
    <t>RDM Reclass</t>
  </si>
  <si>
    <t>601238-Reclass</t>
  </si>
  <si>
    <t xml:space="preserve">RDM Reclass </t>
  </si>
  <si>
    <t>601235-Reclass</t>
  </si>
  <si>
    <t>BG030421</t>
  </si>
  <si>
    <t>Reg Asset254085BG030421</t>
  </si>
  <si>
    <t>Reg Asset182303601238-ReclassBG039999</t>
  </si>
  <si>
    <t>Reg Asset254017601235-ReclassBE039999</t>
  </si>
  <si>
    <t>NM2 LLRW Disposal</t>
  </si>
  <si>
    <t>BHP Meter Costs</t>
  </si>
  <si>
    <t>BE030587</t>
  </si>
  <si>
    <t>Reg Asset182301601137BE030578/BE030587</t>
  </si>
  <si>
    <t>Def Tax190501BE030587</t>
  </si>
  <si>
    <t>Reg Asset254017601262BG030911</t>
  </si>
  <si>
    <t>Def Tax282250AROBT010390</t>
  </si>
  <si>
    <t>Def Tax190511BE030587</t>
  </si>
  <si>
    <t>Def Tax190003190-057BT010083</t>
  </si>
  <si>
    <t>Def Tax190004190-057BT010083</t>
  </si>
  <si>
    <t>Def Tax190013190-057BT010083</t>
  </si>
  <si>
    <t>Def Tax190014190-057BT010083</t>
  </si>
  <si>
    <t>Def Tax190031BT010083</t>
  </si>
  <si>
    <t>Def Tax190032BT010083</t>
  </si>
  <si>
    <t>Def Tax190041BT010083</t>
  </si>
  <si>
    <t>Reg Asset253355</t>
  </si>
  <si>
    <t>Def Tax190011Reg ReserveBDEFAULT</t>
  </si>
  <si>
    <t>Def Tax190501ExcessDIT-OffsetBT010079</t>
  </si>
  <si>
    <t>OTH REG LIAB - NBC/STRANDED COST-ELECTRIC</t>
  </si>
  <si>
    <t>Fin 48 Interest Expense</t>
  </si>
  <si>
    <t>BT010119</t>
  </si>
  <si>
    <t>Reg Asset182301601145BE030589</t>
  </si>
  <si>
    <t xml:space="preserve">Stray Voltage Savings </t>
  </si>
  <si>
    <t>Pension Deferral - Electric</t>
  </si>
  <si>
    <t>Pension Deferral - Gas</t>
  </si>
  <si>
    <t>Reg Asset182301Pension ElectricBE030409</t>
  </si>
  <si>
    <t>Reg Asset182301Pension Electric LBE030409</t>
  </si>
  <si>
    <t>Reg Asset182303BG030410Pension Gas</t>
  </si>
  <si>
    <t>Reg Asset182303BG030410Pension Gas L</t>
  </si>
  <si>
    <t>Reg Asset182305601263BE030255</t>
  </si>
  <si>
    <t>NY TEMPORARY &amp; GENERAL ASSESSMENT-ELECTRIC</t>
  </si>
  <si>
    <t>NY TEMPORARY &amp; GENERAL ASSESSMENT-GAS</t>
  </si>
  <si>
    <t>2013 Revolver</t>
  </si>
  <si>
    <t>2013 revolver</t>
  </si>
  <si>
    <t>Reg Asset1862552013 revolver</t>
  </si>
  <si>
    <t>2014 WITH</t>
  </si>
  <si>
    <t>2014 W/O</t>
  </si>
  <si>
    <t>Note:</t>
  </si>
  <si>
    <t>Adj to Deferred Debits &amp; Credits from Not in RTBS (beg. Aug 2013)</t>
  </si>
  <si>
    <t>GL Account</t>
  </si>
  <si>
    <t>TOTAL</t>
  </si>
  <si>
    <t xml:space="preserve">Adj: </t>
  </si>
  <si>
    <t>Reclass 809008-GEN to RTBS</t>
  </si>
  <si>
    <t>Reclass 809009-GEN to RTBS</t>
  </si>
  <si>
    <t>601133-CC</t>
  </si>
  <si>
    <t>601133-GEN</t>
  </si>
  <si>
    <t>601134-CC</t>
  </si>
  <si>
    <t>601134-GEN</t>
  </si>
  <si>
    <t>GL174210</t>
  </si>
  <si>
    <t>GL174220</t>
  </si>
  <si>
    <t>PSC Assessment transfer General to Deferred Debits &amp; Credits</t>
  </si>
  <si>
    <t>PSC General Reg Deferral - transfer from Items Not in Rate Base to Deferred Debits / Credits</t>
  </si>
  <si>
    <t>PAYROLL DEDUCTIONS - VOLUNTARY GARNISHMENT</t>
  </si>
  <si>
    <t>RDM Deferral Over/Under RY4</t>
  </si>
  <si>
    <t>601238-14</t>
  </si>
  <si>
    <t>601237-14</t>
  </si>
  <si>
    <t>182370-14</t>
  </si>
  <si>
    <t>GCA</t>
  </si>
  <si>
    <t>182370-13</t>
  </si>
  <si>
    <t>601239-14</t>
  </si>
  <si>
    <t>MFC Revenues O/U Collection RY4 -Electric</t>
  </si>
  <si>
    <t>MFC Revenues O/U Collection RY3 -Gas</t>
  </si>
  <si>
    <t>601246-14</t>
  </si>
  <si>
    <t>Reg Asset182301601237-14BE030904</t>
  </si>
  <si>
    <t>Reg Asset182303601238-14BG030904</t>
  </si>
  <si>
    <t>Reg Asset254016601239-14BE030155</t>
  </si>
  <si>
    <t>PE1299255  Stray Voltage Savings</t>
  </si>
  <si>
    <t>PE1299932  Funded DIT- Elec</t>
  </si>
  <si>
    <t>PG1299925  CTA Unit of Property Gas</t>
  </si>
  <si>
    <t>PG1299932  Funded DIT- Gas</t>
  </si>
  <si>
    <t>Continuation of Current Amorts (Until New Rates are Set)</t>
  </si>
  <si>
    <t>R11OPEB True-up</t>
  </si>
  <si>
    <t>Def Tax190501190-110BT010268</t>
  </si>
  <si>
    <t>Def Tax190502190-110BT010268</t>
  </si>
  <si>
    <t>Def Tax190511190-110BT010268</t>
  </si>
  <si>
    <t>Def Tax190512190-110BT010268</t>
  </si>
  <si>
    <t>R11IRS Audit - 1998-2001</t>
  </si>
  <si>
    <t>Property Tax 481(a) - Transfer from Not in Rate Base</t>
  </si>
  <si>
    <t>Property Tax 481(a) - Transferred to Rate Base</t>
  </si>
  <si>
    <t>R11Variable Rate Debt - Pre-2004</t>
  </si>
  <si>
    <t>DOE Liability - Transfer to Items Not in RTBS</t>
  </si>
  <si>
    <t>Def Tax190501190-005BE030395</t>
  </si>
  <si>
    <t>Def Tax190511190-005BT030395</t>
  </si>
  <si>
    <t>DOE Liability - Transfer from Items Not in RTBS</t>
  </si>
  <si>
    <t>DOE Liability True - Up Transfer to RTBS</t>
  </si>
  <si>
    <t>Propert Tax 481(a) Transfer to RTBS</t>
  </si>
  <si>
    <t>POR Reclass</t>
  </si>
  <si>
    <t>POR-Reclass</t>
  </si>
  <si>
    <t>Reclass POR to 182303 for presentation</t>
  </si>
  <si>
    <t>Reg Asset254116POR-ReclassBG039999</t>
  </si>
  <si>
    <t>Reg Asset182303POR-ReclassBG039999</t>
  </si>
  <si>
    <t>FUNDED / POWER TAX DEFERRED INCOME TAXES</t>
  </si>
  <si>
    <t>Allegan Book Gain/Loss</t>
  </si>
  <si>
    <t>Allegany Book Gain/Loss</t>
  </si>
  <si>
    <t>Allegany Loss on Sale</t>
  </si>
  <si>
    <t>Allegany Sale Costs</t>
  </si>
  <si>
    <t>20.PF041</t>
  </si>
  <si>
    <t>Sage/Power Tax Funded DIT Electric</t>
  </si>
  <si>
    <t>Sage/Power Tax Funded DIT Gas</t>
  </si>
  <si>
    <t>Allegany Sale Gain/Loss</t>
  </si>
  <si>
    <t>Reg Asset182301BE030223</t>
  </si>
  <si>
    <t>Reg Asset18625520.PF041</t>
  </si>
  <si>
    <t>Def Tax190501BE030223</t>
  </si>
  <si>
    <t>Def Tax190511BE030223</t>
  </si>
  <si>
    <t>Def Tax282200BE030223</t>
  </si>
  <si>
    <t>Funded DIT Tax True-up Deferral</t>
  </si>
  <si>
    <t>R10Funded DIT Tax True-up Deferral</t>
  </si>
  <si>
    <t>R11Funded DIT Tax True-up Deferral</t>
  </si>
  <si>
    <t>Reg AssetRR10Funded DIT Tax True-up Deferral</t>
  </si>
  <si>
    <t>Def Tax190511BE030908</t>
  </si>
  <si>
    <t>General - Transfer from Not in RTBS</t>
  </si>
  <si>
    <t>NCR on Allegany Savings</t>
  </si>
  <si>
    <t>NMII Reclass</t>
  </si>
  <si>
    <t>NMII-Reclass</t>
  </si>
  <si>
    <t>GSC Interest for 2014</t>
  </si>
  <si>
    <t>182371-13</t>
  </si>
  <si>
    <t>Reg Asset182301601266BE030223</t>
  </si>
  <si>
    <t>Def Tax282240</t>
  </si>
  <si>
    <t>Reg Asset186255182371-13</t>
  </si>
  <si>
    <t>PE1299223  Allegany O&amp;M Svgs</t>
  </si>
  <si>
    <t>PE125060   Misc. Steam Powr Exp</t>
  </si>
  <si>
    <t>PG128940   Maint of Oth Equip</t>
  </si>
  <si>
    <t>Property Tax Allocator - Electric</t>
  </si>
  <si>
    <t>Property Tax Allocator - Gas</t>
  </si>
  <si>
    <t xml:space="preserve">    XS0255  LABOR Reckass - Overtime</t>
  </si>
  <si>
    <t>Plant Balances a/o</t>
  </si>
  <si>
    <t>INTEREST EXPENSE - REVOLVING CR FACILITY FEES-INTERUNIT</t>
  </si>
  <si>
    <t>INTER COMPANY INTEREST EXPENSE - SHORT TERM DEBT</t>
  </si>
  <si>
    <t>Reg Asset182370182370-13BG030089</t>
  </si>
  <si>
    <t>Reg Asset182370182370-14BG030089</t>
  </si>
  <si>
    <t>R11Net Plant Reconciliation</t>
  </si>
  <si>
    <t>Systems Benefit Charge</t>
  </si>
  <si>
    <t>GL242020</t>
  </si>
  <si>
    <t>Defer Post Term Amort of JP - Gas</t>
  </si>
  <si>
    <t>BG030936</t>
  </si>
  <si>
    <t>X fer BB Env Underspend</t>
  </si>
  <si>
    <t>$4M Reserve 03-E-0765 x13e(IV)</t>
  </si>
  <si>
    <t>GSC Reclass</t>
  </si>
  <si>
    <t>Deferrral of Post-Term Elec JP Amortizations</t>
  </si>
  <si>
    <t>BE030936</t>
  </si>
  <si>
    <t>Reg Asset254015182370-14BG039999</t>
  </si>
  <si>
    <t>R10Continuation of Current Amorts (Until New Rates are Set)</t>
  </si>
  <si>
    <t>UNION BANK-DEP ACCT</t>
  </si>
  <si>
    <t>Post-Term Amortizations of JP</t>
  </si>
  <si>
    <t>BT010391</t>
  </si>
  <si>
    <t>R11Continuation of Current Amorts (Until New Rates are Set)</t>
  </si>
  <si>
    <t>OTH REG LIAB - MISC - PROPERTY TAX</t>
  </si>
  <si>
    <t>Property Tax-Electric</t>
  </si>
  <si>
    <t>Reg Asset254018601212BE030251</t>
  </si>
  <si>
    <t>Reg Asset254018601213BG030252</t>
  </si>
  <si>
    <t xml:space="preserve">    Fiscal Year: 2014</t>
  </si>
  <si>
    <t>2014 3</t>
  </si>
  <si>
    <t>2014 2</t>
  </si>
  <si>
    <t>2014 1</t>
  </si>
  <si>
    <t>PE1299936  Post-Term Rev Def-E</t>
  </si>
  <si>
    <t>PG1299936  Post-Term Rev Def-G</t>
  </si>
  <si>
    <t>OTH REG LIAB - VARIABLE RATE DEBT DEFERRAL</t>
  </si>
  <si>
    <t>Property Tax Expense Leftover - Electric</t>
  </si>
  <si>
    <t>Property Tax Expense Leftover - Gas</t>
  </si>
  <si>
    <t>Variable Rate Debt Electric Left Over</t>
  </si>
  <si>
    <t>Variable Rate Debt Gas Left Over</t>
  </si>
  <si>
    <t>Variable Rate Debt JP App M Electric</t>
  </si>
  <si>
    <t>Variable Rate Debt JP App M Gas</t>
  </si>
  <si>
    <t>Reg Asset182301610219BE030598</t>
  </si>
  <si>
    <t>Reg Asset182303601220BG030598</t>
  </si>
  <si>
    <t>Reg Asset254021601030E-LBE030263</t>
  </si>
  <si>
    <t>Reg Asset254021601030G-LBG030264</t>
  </si>
  <si>
    <t>Reg Asset254021601219BE030598</t>
  </si>
  <si>
    <t>Reg Asset254021601220BG030598</t>
  </si>
  <si>
    <t>TDBANKNORTH - DEPOSITORY ACCT</t>
  </si>
  <si>
    <t>HYPOTHETICAL TAX WITHHOLDING</t>
  </si>
  <si>
    <t>NYS Tax Rate Change</t>
  </si>
  <si>
    <t>NM2 Deferred TCCs</t>
  </si>
  <si>
    <t>NM2 Neil refunds</t>
  </si>
  <si>
    <t>BE030937</t>
  </si>
  <si>
    <t>BG030937</t>
  </si>
  <si>
    <t>SNF DOE Liability Interest Leftover</t>
  </si>
  <si>
    <t>SNF DOE Liability Interest New JP</t>
  </si>
  <si>
    <t>BT010392</t>
  </si>
  <si>
    <t>BTS Tax Rate Change 7.1% - 6.5%</t>
  </si>
  <si>
    <t>BT 010392</t>
  </si>
  <si>
    <t>NYS Rate Change 7.1% - 6.5%</t>
  </si>
  <si>
    <t>NYS Rate Change</t>
  </si>
  <si>
    <t>Excess DIT - New York State Tax Rate change</t>
  </si>
  <si>
    <t>NM II - Related</t>
  </si>
  <si>
    <t>R10NM II - Related</t>
  </si>
  <si>
    <t>R11Excess DIT - New York State Tax Rate change</t>
  </si>
  <si>
    <t>R10Excess DIT - New York State Tax Rate change</t>
  </si>
  <si>
    <t>Reg Asset254021SNF-INT-NBE030395</t>
  </si>
  <si>
    <t>2014 6</t>
  </si>
  <si>
    <t>2014 5</t>
  </si>
  <si>
    <t>2014 4</t>
  </si>
  <si>
    <t>PE1299937  NYS Tax Rate Chg - E</t>
  </si>
  <si>
    <t>PG1299937  NYS Tax Rate Chg - G</t>
  </si>
  <si>
    <t>BONUS DEPRECIATION NCR</t>
  </si>
  <si>
    <t>Supplemental DPS Assessment - CC</t>
  </si>
  <si>
    <t>BE030139</t>
  </si>
  <si>
    <t>BE030588</t>
  </si>
  <si>
    <t>NCR Bonus Depreciation Orphan Elec</t>
  </si>
  <si>
    <t>NCR Bonus Depreciation Orphan Gas</t>
  </si>
  <si>
    <t>Bonus Depreciation Exog NCR electric</t>
  </si>
  <si>
    <t>Bonus Depreciation Exog NCR gas</t>
  </si>
  <si>
    <t>Reg Asset254022601139BE030139</t>
  </si>
  <si>
    <t>Reg Asset254022601140BG030588</t>
  </si>
  <si>
    <t>Reg Asset254022601248BE030192</t>
  </si>
  <si>
    <t>Reg Asset254022601249BE030588</t>
  </si>
  <si>
    <t>Reg Asset182303601134BG030582</t>
  </si>
  <si>
    <t>Reg Asset182303601134-CCBG030582</t>
  </si>
  <si>
    <t>Reg Asset182301601133BE030581</t>
  </si>
  <si>
    <t>Reg Asset182301601133-CCBE030581</t>
  </si>
  <si>
    <t>Reg Asset182301601133-GenBE030581</t>
  </si>
  <si>
    <t>ESR Reclass for presentation</t>
  </si>
  <si>
    <t>2014 9</t>
  </si>
  <si>
    <t>2014 8</t>
  </si>
  <si>
    <t>2014 7</t>
  </si>
  <si>
    <t>PE1282     FS - RAD</t>
  </si>
  <si>
    <t>PE1283     RA - RAD</t>
  </si>
  <si>
    <t>DSM/SBC Under/Over Collection</t>
  </si>
  <si>
    <t>EEPS Current Liability</t>
  </si>
  <si>
    <t>BT010299</t>
  </si>
  <si>
    <t>BE030939</t>
  </si>
  <si>
    <t>BE030583</t>
  </si>
  <si>
    <t>601237-15</t>
  </si>
  <si>
    <t>RDM Deferral Over/Under RY5</t>
  </si>
  <si>
    <t>601238-15</t>
  </si>
  <si>
    <t>182370-15</t>
  </si>
  <si>
    <t>2014 Revolver</t>
  </si>
  <si>
    <t>RPS Over Collection</t>
  </si>
  <si>
    <t>RPS Revenue Match W/Os</t>
  </si>
  <si>
    <t>SBC NCR</t>
  </si>
  <si>
    <t>EEPS Electric Revenue collected</t>
  </si>
  <si>
    <t>EEPS Electric NCR</t>
  </si>
  <si>
    <t>BE030938</t>
  </si>
  <si>
    <t>MFC Revenues O/U Collection RY5 -Electric</t>
  </si>
  <si>
    <t>601239-15</t>
  </si>
  <si>
    <t>EEPS Gas O/U Collection</t>
  </si>
  <si>
    <t>EEPS Gas NCR</t>
  </si>
  <si>
    <t>MFC Revenues O/U Collectiom RY4 -Gas</t>
  </si>
  <si>
    <t>601246-15</t>
  </si>
  <si>
    <t>BG030938</t>
  </si>
  <si>
    <t>Reg Asset182301601237-15BE030904</t>
  </si>
  <si>
    <t>Reg Asset182303601238-15BG030904</t>
  </si>
  <si>
    <t>Reg Asset254016601239-15BE030155</t>
  </si>
  <si>
    <t>Reg Asset254016601075BE030583</t>
  </si>
  <si>
    <t>Reg Asset254016601120BE030938</t>
  </si>
  <si>
    <t>Reg Asset254017601123BG030938</t>
  </si>
  <si>
    <t>Reg Asset1862552014 Revolver</t>
  </si>
  <si>
    <t>Def Tax190501BE030583</t>
  </si>
  <si>
    <t>Def Tax190501BT010299</t>
  </si>
  <si>
    <t>Def Tax190502BT010299</t>
  </si>
  <si>
    <t>Def Tax190511BE030583</t>
  </si>
  <si>
    <t>Def Tax190511BT010299</t>
  </si>
  <si>
    <t>Def Tax190512BT010299</t>
  </si>
  <si>
    <t>Reg Asset254018601016E-LBE030251</t>
  </si>
  <si>
    <t>Reg Asset254018601016G-LBG030252</t>
  </si>
  <si>
    <t>1) 2010 - 2013 depreciation is based on Tax Return Actuals</t>
  </si>
  <si>
    <t>2) 2014 - 2015 depreciation is based on forecast from planning</t>
  </si>
  <si>
    <t>2015 WITH</t>
  </si>
  <si>
    <t>2015 W/O</t>
  </si>
  <si>
    <t>No bonus assumed for 2014</t>
  </si>
  <si>
    <t>No bonus assumed for 2015</t>
  </si>
  <si>
    <t>R10Energy Efficiency Portfolio Standard</t>
  </si>
  <si>
    <t>Adjustment to Include:  Deferred taxes tracking EEPS item</t>
  </si>
  <si>
    <t>EEPS DIT's transferred to Rate Base</t>
  </si>
  <si>
    <t>Reg AssetRR10Energy Efficiency Portfolio Standard</t>
  </si>
  <si>
    <t>EEPS Deferred Taxes - Transfer from Items Not in Rate Base</t>
  </si>
  <si>
    <t>Mixed Use</t>
  </si>
  <si>
    <t>Def Tax282200Mixed Use 263(a)BT010390</t>
  </si>
  <si>
    <t>Def Tax282240Mixed Use 263(a)BT010390</t>
  </si>
  <si>
    <t>Subtotal - Mixed Use</t>
  </si>
  <si>
    <t>STRATEGIC BONUS PLAN 2011-2013 PLAN</t>
  </si>
  <si>
    <t>STRATEGIC BONUS PLAN 2014-2016 PLAN</t>
  </si>
  <si>
    <t>UNAMORTIZED GAIN ON REACQUIRED DEBT</t>
  </si>
  <si>
    <t>BE030922</t>
  </si>
  <si>
    <t>NCR 263A Electric Costs</t>
  </si>
  <si>
    <t>MFC Orphan</t>
  </si>
  <si>
    <t>601239-14 Orphan</t>
  </si>
  <si>
    <t>MFC Orphan 8/14 filing</t>
  </si>
  <si>
    <t>601246-14 Orphan</t>
  </si>
  <si>
    <t>Reg Asset254016601251BE030922</t>
  </si>
  <si>
    <t>Reg Asset254016601239-14 OrphanBE030155</t>
  </si>
  <si>
    <t>GL242036</t>
  </si>
  <si>
    <t>GL242037</t>
  </si>
  <si>
    <t>Source: 10/20/14 NYDPS Statement of Final Assessment</t>
  </si>
  <si>
    <t>BE010390</t>
  </si>
  <si>
    <t>Mixed Service Costs 263A</t>
  </si>
  <si>
    <t>Def Tax190501BE010390</t>
  </si>
  <si>
    <t>CORP SAP TR MIGRATION CLEARING</t>
  </si>
  <si>
    <t>Parameters:                                                                                         Twelve Month Rolling Backwards                                                                         Date: 01/12/2015</t>
  </si>
  <si>
    <t xml:space="preserve">                                                                                                       P12GAAP       RGE GAAP Income Stat                                                                  Time: 09:08:05</t>
  </si>
  <si>
    <t>2014 12</t>
  </si>
  <si>
    <t>2014 11</t>
  </si>
  <si>
    <t>2014 10</t>
  </si>
  <si>
    <t>PE124291   Amort Gain Recq -CR</t>
  </si>
  <si>
    <t>PG124291   Amort Gain Recq -CR</t>
  </si>
  <si>
    <t>12 Months Ended December 31, 2014</t>
  </si>
  <si>
    <t>Monthly Average - Year Ended December 2014</t>
  </si>
  <si>
    <t>Balance at  December 31, 2014</t>
  </si>
  <si>
    <t>Gain/Loss on Reaquired Debt</t>
  </si>
  <si>
    <t>R10Gain/Loss on Reacquired Debt</t>
  </si>
  <si>
    <t>R11Gain/Loss on Reacquired Debt</t>
  </si>
  <si>
    <t xml:space="preserve">OTH REG ASSETS - OPEB UNRECOGNIZED </t>
  </si>
  <si>
    <t>GCIM</t>
  </si>
  <si>
    <t>182371-15</t>
  </si>
  <si>
    <t>Dominion Gas Pipeline Refund Deferral</t>
  </si>
  <si>
    <t>BG030922</t>
  </si>
  <si>
    <t>NCR 263A Gas Costs</t>
  </si>
  <si>
    <t>Reg Asset182370182371-15BG030216</t>
  </si>
  <si>
    <t>Reg Asset254015182370-15BG039999</t>
  </si>
  <si>
    <t>Reg Asset254015601137BG030586</t>
  </si>
  <si>
    <t>Reg Asset254017601252BG030922</t>
  </si>
  <si>
    <t>Def Tax190502BT010390</t>
  </si>
  <si>
    <t>Def Tax190512BT010085</t>
  </si>
  <si>
    <t>Reg Asset254017601238-ReclassBG039999</t>
  </si>
  <si>
    <t>Def Tax190001Reg ReserveBT010371</t>
  </si>
  <si>
    <t>ACCUM PROV - NUCL FUEL SHIP/DISPOSAL - GINNA</t>
  </si>
  <si>
    <t>SPEND NUCL FUEL - DEPARTMENT OF ENERGY (DOE)</t>
  </si>
  <si>
    <t>0000228305 OTH NONCUR LIAB-ACCUM PROV-LT PENSION OBLIG-FAS15</t>
  </si>
  <si>
    <t>0000242245 MISC CUR &amp; ACCRD LIAB-OPEB FAS 158 - CURRENT</t>
  </si>
  <si>
    <t>REVISED 9/2014</t>
  </si>
  <si>
    <t>2010 through 2015 vintage year property</t>
  </si>
  <si>
    <t>2) 2014 depreciation is based on year end estimate</t>
  </si>
  <si>
    <t>3) No bonus depreciation is projected for 2015</t>
  </si>
  <si>
    <t>S:\Regulatory Earnings\2014 Earnings\Monthly Update\RGE\Monster\[2014 Rate Base and Capitalization - RGE (NEW Working Model).xlsx]Bonus Depr ADIT</t>
  </si>
  <si>
    <t>REVISED 12/2014</t>
  </si>
  <si>
    <t>Def Tax282210Mixed Use 263(a)BT010390</t>
  </si>
  <si>
    <t>Def Tax282250BT010390</t>
  </si>
  <si>
    <t>Def Tax283200Mixed Use 263(a)BT010390</t>
  </si>
  <si>
    <t>Def Tax283210Mixed Use 263(a)BT010390</t>
  </si>
  <si>
    <t>Def Tax283400Mixed Use 263(a)BT010390</t>
  </si>
  <si>
    <t>Def Tax283410BT010390</t>
  </si>
  <si>
    <t>RG&amp;E Rate Base - TME 12/31/2014</t>
  </si>
  <si>
    <t>RG&amp;E Rate Base - TME 12/31/14</t>
  </si>
  <si>
    <t>TME 12/31/14</t>
  </si>
  <si>
    <t>Property Tax (updated 12/31/2014)</t>
  </si>
  <si>
    <t>Updated 12/31/2014</t>
  </si>
  <si>
    <t xml:space="preserve">    XS0598  LABOR-OVERTIME REGULAR - 2.5</t>
  </si>
  <si>
    <t>TME Dec 31, 2014</t>
  </si>
  <si>
    <t>Updated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</si>
</sst>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7" formatCode="&quot;$&quot;#,##0.00_);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0000_);_(* \(#,##0.00000\);_(* &quot;-&quot;??_);_(@_)"/>
    <numFmt numFmtId="166" formatCode="_(* #,##0.0000_);_(* \(#,##0.0000\);_(* &quot;-&quot;??_);_(@_)"/>
    <numFmt numFmtId="167" formatCode="_(&quot;$&quot;* #,##0_);_(&quot;$&quot;* \(#,##0\);_(&quot;$&quot;* &quot;-&quot;??_);_(@_)"/>
    <numFmt numFmtId="168" formatCode="0.000%"/>
    <numFmt numFmtId="169" formatCode="[$-409]mmm\-yy;@"/>
    <numFmt numFmtId="170" formatCode="General_)"/>
    <numFmt numFmtId="171" formatCode="_(* #,##0.000000_);_(* \(#,##0.000000\);_(* &quot;-&quot;??_);_(@_)"/>
    <numFmt numFmtId="172" formatCode="_(* #,##0.000_);_(* \(#,##0.000\);_(* &quot;-&quot;??_);_(@_)"/>
    <numFmt numFmtId="173" formatCode="0.0%"/>
    <numFmt numFmtId="174" formatCode="_(* #,##0.0_);_(* \(#,##0.0\);_(* &quot;-&quot;??_);_(@_)"/>
    <numFmt numFmtId="175" formatCode="0.000000%"/>
    <numFmt numFmtId="176" formatCode="dd\-mmm\-yy"/>
    <numFmt numFmtId="177" formatCode="dd\-mmm\-yy_)"/>
    <numFmt numFmtId="178" formatCode="0_);\(0\)"/>
    <numFmt numFmtId="179" formatCode="#,##0.00_-;#,##0.00\-;&quot; &quot;"/>
  </numFmts>
  <fonts count="114">
    <font>
      <sz val="12"/>
      <color theme="1"/>
      <name val="Times New Roman"/>
      <family val="2"/>
    </font>
    <font>
      <sz val="10"/>
      <color theme="1"/>
      <name val="Times New Roman"/>
      <family val="2"/>
    </font>
    <font>
      <sz val="12"/>
      <color theme="1"/>
      <name val="Times New Roman"/>
      <family val="2"/>
    </font>
    <font>
      <sz val="10"/>
      <name val="Times New Roman"/>
      <family val="1"/>
    </font>
    <font>
      <sz val="10"/>
      <name val="Arial"/>
      <family val="2"/>
    </font>
    <font>
      <sz val="12"/>
      <name val="Times New Roman"/>
      <family val="1"/>
    </font>
    <font>
      <sz val="8"/>
      <name val="SWISS"/>
    </font>
    <font>
      <sz val="10"/>
      <color theme="1"/>
      <name val="Times New Roman"/>
      <family val="1"/>
    </font>
    <font>
      <u/>
      <sz val="10"/>
      <color theme="1"/>
      <name val="Times New Roman"/>
      <family val="1"/>
    </font>
    <font>
      <sz val="10"/>
      <name val="Arial"/>
      <family val="2"/>
    </font>
    <font>
      <b/>
      <sz val="1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19"/>
      <color indexed="48"/>
      <name val="Arial"/>
      <family val="2"/>
    </font>
    <font>
      <b/>
      <sz val="10"/>
      <name val="MS Sans Serif"/>
      <family val="2"/>
    </font>
    <font>
      <sz val="10"/>
      <color theme="1"/>
      <name val="Times New Roman"/>
      <family val="2"/>
    </font>
    <font>
      <b/>
      <sz val="10"/>
      <color theme="1"/>
      <name val="Times New Roman"/>
      <family val="1"/>
    </font>
    <font>
      <b/>
      <u/>
      <sz val="10"/>
      <color theme="1"/>
      <name val="Times New Roman"/>
      <family val="1"/>
    </font>
    <font>
      <b/>
      <u/>
      <sz val="10"/>
      <name val="Times New Roman"/>
      <family val="1"/>
    </font>
    <font>
      <sz val="10"/>
      <color indexed="12"/>
      <name val="Times New Roman"/>
      <family val="1"/>
    </font>
    <font>
      <b/>
      <u val="double"/>
      <sz val="10"/>
      <color theme="1"/>
      <name val="Times New Roman"/>
      <family val="1"/>
    </font>
    <font>
      <u val="singleAccounting"/>
      <sz val="10"/>
      <name val="Times New Roman"/>
      <family val="1"/>
    </font>
    <font>
      <b/>
      <sz val="10"/>
      <name val="Times New Roman"/>
      <family val="1"/>
    </font>
    <font>
      <u val="doubleAccounting"/>
      <sz val="10"/>
      <name val="Times New Roman"/>
      <family val="1"/>
    </font>
    <font>
      <u val="singleAccounting"/>
      <sz val="10"/>
      <color theme="1"/>
      <name val="Times New Roman"/>
      <family val="1"/>
    </font>
    <font>
      <u val="doubleAccounting"/>
      <sz val="10"/>
      <color theme="1"/>
      <name val="Times New Roman"/>
      <family val="1"/>
    </font>
    <font>
      <i/>
      <sz val="9"/>
      <color theme="1"/>
      <name val="Times New Roman"/>
      <family val="1"/>
    </font>
    <font>
      <sz val="7"/>
      <name val="Arial"/>
      <family val="2"/>
    </font>
    <font>
      <b/>
      <sz val="12"/>
      <color theme="1"/>
      <name val="Times New Roman"/>
      <family val="1"/>
    </font>
    <font>
      <b/>
      <u/>
      <sz val="7"/>
      <name val="Arial"/>
      <family val="2"/>
    </font>
    <font>
      <b/>
      <sz val="8.5"/>
      <name val="Times New Roman"/>
      <family val="1"/>
    </font>
    <font>
      <b/>
      <sz val="20"/>
      <name val="Times New Roman"/>
      <family val="1"/>
    </font>
    <font>
      <b/>
      <u/>
      <sz val="20"/>
      <name val="Times New Roman"/>
      <family val="1"/>
    </font>
    <font>
      <sz val="7"/>
      <name val="Times New Roman"/>
      <family val="1"/>
    </font>
    <font>
      <b/>
      <u/>
      <sz val="7"/>
      <name val="Times New Roman"/>
      <family val="1"/>
    </font>
    <font>
      <u val="double"/>
      <sz val="7"/>
      <name val="Arial"/>
      <family val="2"/>
    </font>
    <font>
      <sz val="7"/>
      <color indexed="12"/>
      <name val="Arial"/>
      <family val="2"/>
    </font>
    <font>
      <u/>
      <sz val="7"/>
      <name val="Arial"/>
      <family val="2"/>
    </font>
    <font>
      <b/>
      <sz val="10"/>
      <color indexed="10"/>
      <name val="Times New Roman"/>
      <family val="1"/>
    </font>
    <font>
      <u/>
      <sz val="10"/>
      <name val="Times New Roman"/>
      <family val="1"/>
    </font>
    <font>
      <sz val="10"/>
      <color indexed="17"/>
      <name val="Times New Roman"/>
      <family val="1"/>
    </font>
    <font>
      <u/>
      <sz val="10"/>
      <color indexed="17"/>
      <name val="Times New Roman"/>
      <family val="1"/>
    </font>
    <font>
      <u val="double"/>
      <sz val="10"/>
      <name val="Times New Roman"/>
      <family val="1"/>
    </font>
    <font>
      <sz val="10"/>
      <color indexed="9"/>
      <name val="Times New Roman"/>
      <family val="1"/>
    </font>
    <font>
      <u val="singleAccounting"/>
      <sz val="10"/>
      <color indexed="17"/>
      <name val="Times New Roman"/>
      <family val="1"/>
    </font>
    <font>
      <sz val="10"/>
      <color indexed="8"/>
      <name val="Times New Roman"/>
      <family val="1"/>
    </font>
    <font>
      <u/>
      <sz val="10"/>
      <color indexed="12"/>
      <name val="Times New Roman"/>
      <family val="1"/>
    </font>
    <font>
      <u val="singleAccounting"/>
      <sz val="10"/>
      <color indexed="8"/>
      <name val="Times New Roman"/>
      <family val="1"/>
    </font>
    <font>
      <u val="double"/>
      <sz val="10"/>
      <color indexed="8"/>
      <name val="Times New Roman"/>
      <family val="1"/>
    </font>
    <font>
      <b/>
      <u val="double"/>
      <sz val="10"/>
      <name val="Times New Roman"/>
      <family val="1"/>
    </font>
    <font>
      <u val="double"/>
      <sz val="10"/>
      <color indexed="17"/>
      <name val="Times New Roman"/>
      <family val="1"/>
    </font>
    <font>
      <b/>
      <u/>
      <sz val="10"/>
      <color indexed="9"/>
      <name val="Times New Roman"/>
      <family val="1"/>
    </font>
    <font>
      <u val="singleAccounting"/>
      <sz val="10"/>
      <name val="Arial"/>
      <family val="2"/>
    </font>
    <font>
      <b/>
      <sz val="10"/>
      <color indexed="12"/>
      <name val="Times New Roman"/>
      <family val="1"/>
    </font>
    <font>
      <i/>
      <sz val="10"/>
      <name val="Times New Roman"/>
      <family val="1"/>
    </font>
    <font>
      <b/>
      <u/>
      <sz val="10"/>
      <color rgb="FFFF0000"/>
      <name val="Times New Roman"/>
      <family val="1"/>
    </font>
    <font>
      <b/>
      <sz val="10"/>
      <color rgb="FFFF0000"/>
      <name val="Times New Roman"/>
      <family val="1"/>
    </font>
    <font>
      <b/>
      <sz val="10"/>
      <color indexed="9"/>
      <name val="Times New Roman"/>
      <family val="1"/>
    </font>
    <font>
      <b/>
      <sz val="8.5"/>
      <name val="MS Sans Serif"/>
      <family val="2"/>
    </font>
    <font>
      <b/>
      <sz val="7"/>
      <color indexed="12"/>
      <name val="Arial"/>
      <family val="2"/>
    </font>
    <font>
      <b/>
      <sz val="7"/>
      <name val="Arial"/>
      <family val="2"/>
    </font>
    <font>
      <b/>
      <u/>
      <sz val="10"/>
      <color indexed="12"/>
      <name val="Times New Roman"/>
      <family val="1"/>
    </font>
    <font>
      <b/>
      <u val="double"/>
      <sz val="10"/>
      <color indexed="12"/>
      <name val="Times New Roman"/>
      <family val="1"/>
    </font>
    <font>
      <sz val="10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b/>
      <u val="double"/>
      <sz val="7"/>
      <color indexed="12"/>
      <name val="Arial"/>
      <family val="2"/>
    </font>
    <font>
      <b/>
      <u val="double"/>
      <sz val="7"/>
      <name val="Arial"/>
      <family val="2"/>
    </font>
    <font>
      <u val="singleAccounting"/>
      <sz val="7"/>
      <name val="Arial"/>
      <family val="2"/>
    </font>
    <font>
      <sz val="16"/>
      <color indexed="10"/>
      <name val="Arial"/>
      <family val="2"/>
    </font>
    <font>
      <sz val="16"/>
      <name val="Times New Roman"/>
      <family val="1"/>
    </font>
    <font>
      <sz val="10"/>
      <color indexed="10"/>
      <name val="Times New Roman"/>
      <family val="1"/>
    </font>
    <font>
      <b/>
      <sz val="18"/>
      <name val="Times New Roman"/>
      <family val="1"/>
    </font>
    <font>
      <sz val="10"/>
      <color indexed="12"/>
      <name val="Arial"/>
      <family val="2"/>
    </font>
    <font>
      <b/>
      <sz val="14"/>
      <name val="Arial"/>
      <family val="2"/>
    </font>
    <font>
      <b/>
      <sz val="10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rgb="FF3333FF"/>
      <name val="Arial"/>
      <family val="2"/>
    </font>
    <font>
      <b/>
      <u val="singleAccounting"/>
      <sz val="10"/>
      <name val="Arial"/>
      <family val="2"/>
    </font>
    <font>
      <u/>
      <sz val="10"/>
      <color indexed="12"/>
      <name val="Arial"/>
      <family val="2"/>
    </font>
    <font>
      <sz val="10"/>
      <color rgb="FF00B050"/>
      <name val="Times New Roman"/>
      <family val="1"/>
    </font>
    <font>
      <u val="singleAccounting"/>
      <sz val="10"/>
      <color rgb="FF00B050"/>
      <name val="Times New Roman"/>
      <family val="1"/>
    </font>
    <font>
      <b/>
      <u val="singleAccounting"/>
      <sz val="10"/>
      <name val="Times New Roman"/>
      <family val="1"/>
    </font>
    <font>
      <sz val="11"/>
      <color theme="1"/>
      <name val="Calibri"/>
      <family val="2"/>
      <scheme val="minor"/>
    </font>
    <font>
      <b/>
      <sz val="10"/>
      <color theme="4" tint="-0.499984740745262"/>
      <name val="Times New Roman"/>
      <family val="1"/>
    </font>
    <font>
      <sz val="10"/>
      <name val="Arial"/>
      <family val="2"/>
    </font>
    <font>
      <b/>
      <sz val="12"/>
      <name val="Times New Roman"/>
      <family val="1"/>
    </font>
    <font>
      <b/>
      <u/>
      <sz val="12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b/>
      <u/>
      <sz val="11"/>
      <color theme="1"/>
      <name val="Times New Roman"/>
      <family val="1"/>
    </font>
    <font>
      <b/>
      <sz val="11"/>
      <name val="Times New Roman"/>
      <family val="1"/>
    </font>
    <font>
      <b/>
      <sz val="12"/>
      <color indexed="10"/>
      <name val="Times New Roman"/>
      <family val="1"/>
    </font>
    <font>
      <sz val="12"/>
      <color indexed="12"/>
      <name val="Times New Roman"/>
      <family val="1"/>
    </font>
    <font>
      <u val="singleAccounting"/>
      <sz val="10"/>
      <color indexed="12"/>
      <name val="Times New Roman"/>
      <family val="1"/>
    </font>
    <font>
      <b/>
      <u val="double"/>
      <sz val="10"/>
      <color indexed="17"/>
      <name val="Times New Roman"/>
      <family val="1"/>
    </font>
    <font>
      <sz val="12"/>
      <name val="Helv"/>
    </font>
    <font>
      <u val="singleAccounting"/>
      <sz val="10"/>
      <color indexed="10"/>
      <name val="Times New Roman"/>
      <family val="1"/>
    </font>
    <font>
      <b/>
      <u val="doubleAccounting"/>
      <sz val="10"/>
      <name val="Times New Roman"/>
      <family val="1"/>
    </font>
    <font>
      <u/>
      <sz val="10"/>
      <color rgb="FF00B050"/>
      <name val="Times New Roman"/>
      <family val="1"/>
    </font>
    <font>
      <u val="double"/>
      <sz val="10"/>
      <color rgb="FF00B050"/>
      <name val="Times New Roman"/>
      <family val="1"/>
    </font>
    <font>
      <sz val="10"/>
      <name val="Courier"/>
      <family val="3"/>
    </font>
    <font>
      <b/>
      <sz val="11"/>
      <name val="Arial"/>
      <family val="2"/>
    </font>
    <font>
      <sz val="10"/>
      <color rgb="FFFF0000"/>
      <name val="Times New Roman"/>
      <family val="1"/>
    </font>
    <font>
      <sz val="11"/>
      <color rgb="FFFF0000"/>
      <name val="Times New Roman"/>
      <family val="1"/>
    </font>
    <font>
      <sz val="10"/>
      <color rgb="FF008000"/>
      <name val="Times New Roman"/>
      <family val="1"/>
    </font>
    <font>
      <sz val="10"/>
      <name val="Times New Roman"/>
      <family val="2"/>
    </font>
    <font>
      <b/>
      <i/>
      <sz val="9"/>
      <color theme="1"/>
      <name val="Times New Roman"/>
      <family val="1"/>
    </font>
    <font>
      <b/>
      <sz val="16"/>
      <name val="Times New Roman"/>
      <family val="1"/>
    </font>
  </fonts>
  <fills count="4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0"/>
      </patternFill>
    </fill>
    <fill>
      <patternFill patternType="solid">
        <fgColor indexed="15"/>
      </patternFill>
    </fill>
    <fill>
      <patternFill patternType="solid">
        <fgColor indexed="1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86">
    <xf numFmtId="169" fontId="0" fillId="0" borderId="0"/>
    <xf numFmtId="43" fontId="2" fillId="0" borderId="0" applyFont="0" applyFill="0" applyBorder="0" applyAlignment="0" applyProtection="0"/>
    <xf numFmtId="169" fontId="4" fillId="0" borderId="0"/>
    <xf numFmtId="169" fontId="4" fillId="0" borderId="0"/>
    <xf numFmtId="43" fontId="5" fillId="0" borderId="0" applyFont="0" applyFill="0" applyBorder="0" applyAlignment="0" applyProtection="0"/>
    <xf numFmtId="7" fontId="6" fillId="0" borderId="0"/>
    <xf numFmtId="169" fontId="9" fillId="0" borderId="0"/>
    <xf numFmtId="169" fontId="11" fillId="0" borderId="0" applyNumberFormat="0" applyFont="0" applyFill="0" applyBorder="0" applyAlignment="0" applyProtection="0">
      <alignment horizontal="left"/>
    </xf>
    <xf numFmtId="15" fontId="11" fillId="0" borderId="0" applyFont="0" applyFill="0" applyBorder="0" applyAlignment="0" applyProtection="0"/>
    <xf numFmtId="4" fontId="11" fillId="0" borderId="0" applyFont="0" applyFill="0" applyBorder="0" applyAlignment="0" applyProtection="0"/>
    <xf numFmtId="169" fontId="18" fillId="0" borderId="2">
      <alignment horizontal="center"/>
    </xf>
    <xf numFmtId="3" fontId="11" fillId="0" borderId="0" applyFont="0" applyFill="0" applyBorder="0" applyAlignment="0" applyProtection="0"/>
    <xf numFmtId="169" fontId="11" fillId="4" borderId="0" applyNumberFormat="0" applyFont="0" applyBorder="0" applyAlignment="0" applyProtection="0"/>
    <xf numFmtId="4" fontId="13" fillId="5" borderId="1" applyNumberFormat="0" applyProtection="0">
      <alignment vertical="center"/>
    </xf>
    <xf numFmtId="4" fontId="14" fillId="5" borderId="1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3" fillId="7" borderId="1" applyNumberFormat="0" applyProtection="0">
      <alignment horizontal="right" vertical="center"/>
    </xf>
    <xf numFmtId="4" fontId="13" fillId="8" borderId="1" applyNumberFormat="0" applyProtection="0">
      <alignment horizontal="right" vertical="center"/>
    </xf>
    <xf numFmtId="4" fontId="13" fillId="9" borderId="1" applyNumberFormat="0" applyProtection="0">
      <alignment horizontal="right" vertical="center"/>
    </xf>
    <xf numFmtId="4" fontId="13" fillId="10" borderId="1" applyNumberFormat="0" applyProtection="0">
      <alignment horizontal="right" vertical="center"/>
    </xf>
    <xf numFmtId="4" fontId="13" fillId="11" borderId="1" applyNumberFormat="0" applyProtection="0">
      <alignment horizontal="right" vertical="center"/>
    </xf>
    <xf numFmtId="4" fontId="13" fillId="12" borderId="1" applyNumberFormat="0" applyProtection="0">
      <alignment horizontal="right" vertical="center"/>
    </xf>
    <xf numFmtId="4" fontId="13" fillId="13" borderId="1" applyNumberFormat="0" applyProtection="0">
      <alignment horizontal="right" vertical="center"/>
    </xf>
    <xf numFmtId="4" fontId="13" fillId="14" borderId="1" applyNumberFormat="0" applyProtection="0">
      <alignment horizontal="right" vertical="center"/>
    </xf>
    <xf numFmtId="4" fontId="13" fillId="15" borderId="1" applyNumberFormat="0" applyProtection="0">
      <alignment horizontal="right" vertical="center"/>
    </xf>
    <xf numFmtId="4" fontId="15" fillId="16" borderId="3" applyNumberFormat="0" applyProtection="0">
      <alignment horizontal="left" vertical="center" indent="1"/>
    </xf>
    <xf numFmtId="4" fontId="13" fillId="17" borderId="0" applyNumberFormat="0" applyProtection="0">
      <alignment horizontal="left" vertical="center" indent="1"/>
    </xf>
    <xf numFmtId="4" fontId="16" fillId="18" borderId="0" applyNumberFormat="0" applyProtection="0">
      <alignment horizontal="left" vertical="center" indent="1"/>
    </xf>
    <xf numFmtId="169" fontId="10" fillId="19" borderId="1" applyNumberFormat="0" applyProtection="0">
      <alignment horizontal="left" vertical="center" indent="1"/>
    </xf>
    <xf numFmtId="4" fontId="13" fillId="17" borderId="0" applyNumberFormat="0" applyProtection="0">
      <alignment horizontal="left" vertical="center" indent="1"/>
    </xf>
    <xf numFmtId="4" fontId="13" fillId="6" borderId="0" applyNumberFormat="0" applyProtection="0">
      <alignment horizontal="left" vertical="center" indent="1"/>
    </xf>
    <xf numFmtId="169" fontId="9" fillId="18" borderId="4" applyNumberFormat="0" applyProtection="0">
      <alignment horizontal="left" vertical="center" indent="1"/>
    </xf>
    <xf numFmtId="169" fontId="9" fillId="20" borderId="1" applyNumberFormat="0" applyProtection="0">
      <alignment horizontal="left" vertical="center" indent="1"/>
    </xf>
    <xf numFmtId="169" fontId="9" fillId="6" borderId="4" applyNumberFormat="0" applyProtection="0">
      <alignment horizontal="left" vertical="center" indent="1"/>
    </xf>
    <xf numFmtId="169" fontId="9" fillId="21" borderId="1" applyNumberFormat="0" applyProtection="0">
      <alignment horizontal="left" vertical="center" indent="1"/>
    </xf>
    <xf numFmtId="169" fontId="9" fillId="22" borderId="4" applyNumberFormat="0" applyProtection="0">
      <alignment horizontal="left" vertical="center" indent="1"/>
    </xf>
    <xf numFmtId="169" fontId="9" fillId="23" borderId="1" applyNumberFormat="0" applyProtection="0">
      <alignment horizontal="left" vertical="center" indent="1"/>
    </xf>
    <xf numFmtId="169" fontId="9" fillId="24" borderId="4" applyNumberFormat="0" applyProtection="0">
      <alignment horizontal="left" vertical="center" indent="1"/>
    </xf>
    <xf numFmtId="169" fontId="9" fillId="19" borderId="1" applyNumberFormat="0" applyProtection="0">
      <alignment horizontal="left" vertical="center" indent="1"/>
    </xf>
    <xf numFmtId="4" fontId="13" fillId="25" borderId="1" applyNumberFormat="0" applyProtection="0">
      <alignment vertical="center"/>
    </xf>
    <xf numFmtId="4" fontId="14" fillId="25" borderId="1" applyNumberFormat="0" applyProtection="0">
      <alignment vertical="center"/>
    </xf>
    <xf numFmtId="4" fontId="13" fillId="25" borderId="1" applyNumberFormat="0" applyProtection="0">
      <alignment horizontal="left" vertical="center" indent="1"/>
    </xf>
    <xf numFmtId="4" fontId="13" fillId="25" borderId="1" applyNumberFormat="0" applyProtection="0">
      <alignment horizontal="left" vertical="center" indent="1"/>
    </xf>
    <xf numFmtId="4" fontId="13" fillId="17" borderId="4" applyNumberFormat="0" applyProtection="0">
      <alignment horizontal="right" vertical="center"/>
    </xf>
    <xf numFmtId="4" fontId="14" fillId="26" borderId="1" applyNumberFormat="0" applyProtection="0">
      <alignment horizontal="right" vertical="center"/>
    </xf>
    <xf numFmtId="4" fontId="13" fillId="27" borderId="4" applyNumberFormat="0" applyProtection="0">
      <alignment horizontal="left" vertical="center" indent="1"/>
    </xf>
    <xf numFmtId="169" fontId="13" fillId="6" borderId="4" applyNumberFormat="0" applyProtection="0">
      <alignment horizontal="left" vertical="top" indent="1"/>
    </xf>
    <xf numFmtId="4" fontId="17" fillId="28" borderId="0" applyNumberFormat="0" applyProtection="0">
      <alignment horizontal="left" vertical="center" indent="1"/>
    </xf>
    <xf numFmtId="4" fontId="12" fillId="26" borderId="1" applyNumberFormat="0" applyProtection="0">
      <alignment horizontal="right" vertical="center"/>
    </xf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4" fillId="0" borderId="0"/>
    <xf numFmtId="169" fontId="19" fillId="0" borderId="0"/>
    <xf numFmtId="169" fontId="4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9" fontId="1" fillId="0" borderId="0"/>
    <xf numFmtId="43" fontId="1" fillId="0" borderId="0" applyFont="0" applyFill="0" applyBorder="0" applyAlignment="0" applyProtection="0"/>
    <xf numFmtId="169" fontId="67" fillId="0" borderId="0"/>
    <xf numFmtId="169" fontId="3" fillId="0" borderId="0"/>
    <xf numFmtId="43" fontId="87" fillId="0" borderId="0" applyFont="0" applyFill="0" applyBorder="0" applyAlignment="0" applyProtection="0"/>
    <xf numFmtId="44" fontId="87" fillId="0" borderId="0" applyFont="0" applyFill="0" applyBorder="0" applyAlignment="0" applyProtection="0"/>
    <xf numFmtId="169" fontId="4" fillId="0" borderId="0"/>
    <xf numFmtId="169" fontId="89" fillId="0" borderId="0"/>
    <xf numFmtId="9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4" fontId="89" fillId="0" borderId="0" applyFont="0" applyFill="0" applyBorder="0" applyAlignment="0" applyProtection="0"/>
    <xf numFmtId="169" fontId="87" fillId="0" borderId="0"/>
    <xf numFmtId="169" fontId="89" fillId="0" borderId="0"/>
    <xf numFmtId="169" fontId="4" fillId="0" borderId="0"/>
    <xf numFmtId="170" fontId="101" fillId="0" borderId="0"/>
    <xf numFmtId="16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</cellStyleXfs>
  <cellXfs count="1050">
    <xf numFmtId="169" fontId="0" fillId="0" borderId="0" xfId="0"/>
    <xf numFmtId="169" fontId="3" fillId="0" borderId="0" xfId="0" applyFont="1" applyFill="1" applyAlignment="1">
      <alignment horizontal="left"/>
    </xf>
    <xf numFmtId="164" fontId="3" fillId="0" borderId="0" xfId="1" applyNumberFormat="1" applyFont="1" applyFill="1"/>
    <xf numFmtId="164" fontId="3" fillId="0" borderId="0" xfId="1" applyNumberFormat="1" applyFont="1"/>
    <xf numFmtId="169" fontId="7" fillId="0" borderId="0" xfId="0" applyFont="1" applyAlignment="1">
      <alignment horizontal="center"/>
    </xf>
    <xf numFmtId="169" fontId="7" fillId="0" borderId="0" xfId="0" applyFont="1"/>
    <xf numFmtId="169" fontId="7" fillId="0" borderId="0" xfId="0" applyFont="1" applyAlignment="1">
      <alignment horizontal="center" wrapText="1"/>
    </xf>
    <xf numFmtId="169" fontId="7" fillId="0" borderId="0" xfId="0" applyFont="1" applyAlignment="1">
      <alignment wrapText="1"/>
    </xf>
    <xf numFmtId="164" fontId="7" fillId="0" borderId="0" xfId="1" applyNumberFormat="1" applyFont="1"/>
    <xf numFmtId="169" fontId="10" fillId="0" borderId="0" xfId="6" applyFont="1" applyAlignment="1">
      <alignment horizontal="center" wrapText="1"/>
    </xf>
    <xf numFmtId="169" fontId="10" fillId="0" borderId="0" xfId="6" applyFont="1" applyAlignment="1">
      <alignment horizontal="left" wrapText="1"/>
    </xf>
    <xf numFmtId="169" fontId="9" fillId="7" borderId="0" xfId="6" applyFill="1"/>
    <xf numFmtId="169" fontId="9" fillId="7" borderId="0" xfId="6" applyFill="1" applyAlignment="1">
      <alignment horizontal="center"/>
    </xf>
    <xf numFmtId="169" fontId="9" fillId="29" borderId="0" xfId="6" applyFill="1"/>
    <xf numFmtId="169" fontId="9" fillId="29" borderId="0" xfId="6" applyFill="1" applyAlignment="1">
      <alignment horizontal="center"/>
    </xf>
    <xf numFmtId="169" fontId="9" fillId="30" borderId="0" xfId="6" applyFill="1"/>
    <xf numFmtId="169" fontId="9" fillId="30" borderId="0" xfId="6" applyFill="1" applyAlignment="1">
      <alignment horizontal="center"/>
    </xf>
    <xf numFmtId="169" fontId="9" fillId="31" borderId="0" xfId="6" applyFill="1"/>
    <xf numFmtId="169" fontId="9" fillId="31" borderId="0" xfId="6" applyFill="1" applyAlignment="1">
      <alignment horizontal="center"/>
    </xf>
    <xf numFmtId="169" fontId="9" fillId="32" borderId="0" xfId="6" applyFill="1"/>
    <xf numFmtId="169" fontId="9" fillId="32" borderId="0" xfId="6" applyFill="1" applyAlignment="1">
      <alignment horizontal="center"/>
    </xf>
    <xf numFmtId="169" fontId="9" fillId="5" borderId="0" xfId="6" applyFill="1"/>
    <xf numFmtId="169" fontId="9" fillId="5" borderId="0" xfId="6" applyFill="1" applyAlignment="1">
      <alignment horizontal="center"/>
    </xf>
    <xf numFmtId="169" fontId="9" fillId="23" borderId="0" xfId="6" applyFill="1"/>
    <xf numFmtId="169" fontId="9" fillId="23" borderId="0" xfId="6" applyFill="1" applyAlignment="1">
      <alignment horizontal="center"/>
    </xf>
    <xf numFmtId="169" fontId="7" fillId="0" borderId="0" xfId="0" applyFont="1" applyFill="1" applyAlignment="1">
      <alignment horizontal="center"/>
    </xf>
    <xf numFmtId="169" fontId="3" fillId="0" borderId="0" xfId="0" applyFont="1" applyFill="1"/>
    <xf numFmtId="169" fontId="21" fillId="0" borderId="0" xfId="0" applyFont="1" applyFill="1" applyAlignment="1">
      <alignment horizontal="center"/>
    </xf>
    <xf numFmtId="10" fontId="24" fillId="0" borderId="0" xfId="0" applyNumberFormat="1" applyFont="1" applyFill="1"/>
    <xf numFmtId="169" fontId="26" fillId="0" borderId="0" xfId="59" applyFont="1" applyFill="1" applyAlignment="1">
      <alignment horizontal="left"/>
    </xf>
    <xf numFmtId="169" fontId="3" fillId="0" borderId="0" xfId="59" applyFont="1" applyFill="1" applyAlignment="1">
      <alignment horizontal="center"/>
    </xf>
    <xf numFmtId="10" fontId="3" fillId="0" borderId="0" xfId="55" applyNumberFormat="1" applyFont="1" applyFill="1" applyAlignment="1">
      <alignment horizontal="center"/>
    </xf>
    <xf numFmtId="9" fontId="26" fillId="0" borderId="0" xfId="59" applyNumberFormat="1" applyFont="1" applyFill="1" applyAlignment="1">
      <alignment horizontal="left"/>
    </xf>
    <xf numFmtId="9" fontId="3" fillId="0" borderId="0" xfId="59" applyNumberFormat="1" applyFont="1" applyFill="1" applyAlignment="1">
      <alignment horizontal="center"/>
    </xf>
    <xf numFmtId="10" fontId="23" fillId="0" borderId="0" xfId="55" applyNumberFormat="1" applyFont="1" applyFill="1" applyAlignment="1">
      <alignment horizontal="center"/>
    </xf>
    <xf numFmtId="169" fontId="7" fillId="0" borderId="0" xfId="0" applyFont="1" applyFill="1" applyAlignment="1">
      <alignment horizontal="left" indent="1"/>
    </xf>
    <xf numFmtId="164" fontId="3" fillId="0" borderId="0" xfId="54" applyNumberFormat="1" applyFont="1" applyFill="1" applyAlignment="1"/>
    <xf numFmtId="169" fontId="7" fillId="0" borderId="0" xfId="0" applyFont="1" applyFill="1" applyAlignment="1">
      <alignment horizontal="left" indent="2"/>
    </xf>
    <xf numFmtId="164" fontId="7" fillId="0" borderId="0" xfId="0" applyNumberFormat="1" applyFont="1" applyFill="1"/>
    <xf numFmtId="164" fontId="25" fillId="0" borderId="0" xfId="54" applyNumberFormat="1" applyFont="1" applyFill="1" applyAlignment="1"/>
    <xf numFmtId="164" fontId="27" fillId="0" borderId="0" xfId="54" applyNumberFormat="1" applyFont="1" applyFill="1" applyAlignment="1"/>
    <xf numFmtId="169" fontId="7" fillId="0" borderId="0" xfId="0" applyFont="1" applyFill="1"/>
    <xf numFmtId="164" fontId="7" fillId="0" borderId="0" xfId="0" applyNumberFormat="1" applyFont="1"/>
    <xf numFmtId="164" fontId="28" fillId="0" borderId="0" xfId="1" applyNumberFormat="1" applyFont="1"/>
    <xf numFmtId="164" fontId="28" fillId="0" borderId="0" xfId="0" applyNumberFormat="1" applyFont="1"/>
    <xf numFmtId="169" fontId="7" fillId="0" borderId="0" xfId="0" applyFont="1" applyBorder="1" applyAlignment="1">
      <alignment horizontal="center" wrapText="1"/>
    </xf>
    <xf numFmtId="17" fontId="20" fillId="0" borderId="0" xfId="0" applyNumberFormat="1" applyFont="1" applyBorder="1" applyAlignment="1">
      <alignment horizontal="center" wrapText="1"/>
    </xf>
    <xf numFmtId="169" fontId="7" fillId="2" borderId="8" xfId="0" applyFont="1" applyFill="1" applyBorder="1"/>
    <xf numFmtId="17" fontId="20" fillId="2" borderId="5" xfId="0" applyNumberFormat="1" applyFont="1" applyFill="1" applyBorder="1" applyAlignment="1">
      <alignment horizontal="center" wrapText="1"/>
    </xf>
    <xf numFmtId="17" fontId="20" fillId="2" borderId="0" xfId="0" applyNumberFormat="1" applyFont="1" applyFill="1" applyBorder="1" applyAlignment="1">
      <alignment horizontal="center" wrapText="1"/>
    </xf>
    <xf numFmtId="17" fontId="20" fillId="36" borderId="0" xfId="0" applyNumberFormat="1" applyFont="1" applyFill="1" applyBorder="1" applyAlignment="1">
      <alignment horizontal="center" wrapText="1"/>
    </xf>
    <xf numFmtId="169" fontId="7" fillId="37" borderId="0" xfId="0" applyFont="1" applyFill="1" applyAlignment="1">
      <alignment horizontal="center"/>
    </xf>
    <xf numFmtId="169" fontId="7" fillId="37" borderId="0" xfId="0" applyFont="1" applyFill="1"/>
    <xf numFmtId="164" fontId="7" fillId="37" borderId="0" xfId="1" applyNumberFormat="1" applyFont="1" applyFill="1"/>
    <xf numFmtId="164" fontId="7" fillId="37" borderId="0" xfId="0" applyNumberFormat="1" applyFont="1" applyFill="1"/>
    <xf numFmtId="169" fontId="33" fillId="0" borderId="0" xfId="0" applyFont="1" applyProtection="1"/>
    <xf numFmtId="169" fontId="31" fillId="0" borderId="0" xfId="0" applyFont="1" applyAlignment="1" applyProtection="1">
      <alignment horizontal="center"/>
    </xf>
    <xf numFmtId="169" fontId="31" fillId="0" borderId="0" xfId="0" applyFont="1" applyProtection="1"/>
    <xf numFmtId="169" fontId="31" fillId="0" borderId="0" xfId="0" applyFont="1" applyAlignment="1" applyProtection="1">
      <alignment horizontal="left"/>
    </xf>
    <xf numFmtId="169" fontId="38" fillId="0" borderId="0" xfId="0" applyFont="1" applyProtection="1"/>
    <xf numFmtId="169" fontId="37" fillId="0" borderId="0" xfId="0" applyFont="1" applyAlignment="1" applyProtection="1">
      <alignment horizontal="center"/>
    </xf>
    <xf numFmtId="169" fontId="37" fillId="0" borderId="0" xfId="0" applyFont="1" applyProtection="1"/>
    <xf numFmtId="169" fontId="37" fillId="0" borderId="0" xfId="0" applyFont="1" applyAlignment="1" applyProtection="1">
      <alignment horizontal="left"/>
    </xf>
    <xf numFmtId="169" fontId="31" fillId="0" borderId="0" xfId="0" applyFont="1" applyFill="1" applyAlignment="1" applyProtection="1">
      <alignment horizontal="left"/>
    </xf>
    <xf numFmtId="164" fontId="28" fillId="0" borderId="0" xfId="0" applyNumberFormat="1" applyFont="1" applyBorder="1"/>
    <xf numFmtId="169" fontId="39" fillId="0" borderId="0" xfId="0" applyFont="1" applyAlignment="1" applyProtection="1">
      <alignment horizontal="center"/>
    </xf>
    <xf numFmtId="169" fontId="39" fillId="0" borderId="0" xfId="0" applyFont="1" applyAlignment="1" applyProtection="1">
      <alignment horizontal="left"/>
    </xf>
    <xf numFmtId="49" fontId="31" fillId="0" borderId="0" xfId="0" applyNumberFormat="1" applyFont="1" applyProtection="1"/>
    <xf numFmtId="49" fontId="31" fillId="0" borderId="0" xfId="0" applyNumberFormat="1" applyFont="1" applyAlignment="1" applyProtection="1">
      <alignment horizontal="left"/>
    </xf>
    <xf numFmtId="49" fontId="40" fillId="0" borderId="0" xfId="0" applyNumberFormat="1" applyFont="1" applyAlignment="1" applyProtection="1">
      <alignment horizontal="right"/>
    </xf>
    <xf numFmtId="169" fontId="41" fillId="0" borderId="0" xfId="0" applyFont="1" applyAlignment="1" applyProtection="1">
      <alignment horizontal="left"/>
    </xf>
    <xf numFmtId="164" fontId="8" fillId="0" borderId="0" xfId="1" applyNumberFormat="1" applyFont="1"/>
    <xf numFmtId="169" fontId="8" fillId="0" borderId="0" xfId="0" applyFont="1"/>
    <xf numFmtId="169" fontId="39" fillId="0" borderId="0" xfId="0" applyFont="1" applyProtection="1"/>
    <xf numFmtId="169" fontId="39" fillId="3" borderId="0" xfId="0" applyFont="1" applyFill="1" applyAlignment="1" applyProtection="1">
      <alignment horizontal="center"/>
    </xf>
    <xf numFmtId="169" fontId="39" fillId="3" borderId="0" xfId="0" applyFont="1" applyFill="1" applyProtection="1"/>
    <xf numFmtId="169" fontId="3" fillId="0" borderId="0" xfId="0" applyFont="1" applyFill="1" applyProtection="1"/>
    <xf numFmtId="169" fontId="3" fillId="0" borderId="0" xfId="59" applyFont="1" applyFill="1" applyAlignment="1"/>
    <xf numFmtId="169" fontId="4" fillId="0" borderId="0" xfId="57"/>
    <xf numFmtId="164" fontId="3" fillId="0" borderId="0" xfId="63" applyNumberFormat="1" applyFont="1"/>
    <xf numFmtId="169" fontId="26" fillId="0" borderId="0" xfId="57" applyFont="1" applyFill="1"/>
    <xf numFmtId="169" fontId="3" fillId="0" borderId="0" xfId="57" applyFont="1" applyFill="1"/>
    <xf numFmtId="169" fontId="4" fillId="0" borderId="0" xfId="57" applyFill="1"/>
    <xf numFmtId="169" fontId="57" fillId="0" borderId="0" xfId="57" applyFont="1" applyFill="1"/>
    <xf numFmtId="169" fontId="3" fillId="0" borderId="0" xfId="57" applyFont="1" applyFill="1" applyAlignment="1">
      <alignment horizontal="center"/>
    </xf>
    <xf numFmtId="14" fontId="3" fillId="0" borderId="8" xfId="57" applyNumberFormat="1" applyFont="1" applyFill="1" applyBorder="1" applyAlignment="1">
      <alignment horizontal="center"/>
    </xf>
    <xf numFmtId="14" fontId="3" fillId="0" borderId="0" xfId="57" applyNumberFormat="1" applyFont="1" applyFill="1" applyBorder="1" applyAlignment="1">
      <alignment horizontal="center"/>
    </xf>
    <xf numFmtId="167" fontId="3" fillId="0" borderId="0" xfId="62" applyNumberFormat="1" applyFont="1" applyFill="1"/>
    <xf numFmtId="169" fontId="3" fillId="0" borderId="0" xfId="57" applyFont="1" applyFill="1" applyBorder="1" applyProtection="1"/>
    <xf numFmtId="10" fontId="3" fillId="0" borderId="8" xfId="64" applyNumberFormat="1" applyFont="1" applyFill="1" applyBorder="1"/>
    <xf numFmtId="167" fontId="3" fillId="0" borderId="0" xfId="57" applyNumberFormat="1" applyFont="1" applyFill="1"/>
    <xf numFmtId="167" fontId="26" fillId="0" borderId="0" xfId="57" applyNumberFormat="1" applyFont="1" applyFill="1"/>
    <xf numFmtId="164" fontId="3" fillId="0" borderId="0" xfId="63" applyNumberFormat="1" applyFont="1" applyFill="1"/>
    <xf numFmtId="169" fontId="10" fillId="0" borderId="0" xfId="57" applyFont="1" applyFill="1"/>
    <xf numFmtId="169" fontId="4" fillId="0" borderId="0" xfId="57" applyFont="1" applyFill="1"/>
    <xf numFmtId="44" fontId="3" fillId="0" borderId="0" xfId="62" applyFont="1" applyFill="1"/>
    <xf numFmtId="44" fontId="3" fillId="0" borderId="0" xfId="57" applyNumberFormat="1" applyFont="1" applyFill="1"/>
    <xf numFmtId="44" fontId="26" fillId="0" borderId="0" xfId="57" applyNumberFormat="1" applyFont="1" applyFill="1"/>
    <xf numFmtId="169" fontId="22" fillId="0" borderId="0" xfId="59" applyFont="1" applyFill="1" applyAlignment="1"/>
    <xf numFmtId="169" fontId="26" fillId="0" borderId="0" xfId="59" applyFont="1" applyFill="1" applyAlignment="1"/>
    <xf numFmtId="167" fontId="3" fillId="0" borderId="0" xfId="62" applyNumberFormat="1" applyFont="1" applyFill="1" applyAlignment="1"/>
    <xf numFmtId="164" fontId="3" fillId="0" borderId="0" xfId="63" applyNumberFormat="1" applyFont="1" applyFill="1" applyAlignment="1"/>
    <xf numFmtId="164" fontId="43" fillId="0" borderId="0" xfId="63" applyNumberFormat="1" applyFont="1" applyFill="1" applyAlignment="1"/>
    <xf numFmtId="169" fontId="43" fillId="0" borderId="0" xfId="59" applyFont="1" applyFill="1" applyAlignment="1"/>
    <xf numFmtId="164" fontId="3" fillId="0" borderId="0" xfId="63" applyNumberFormat="1" applyFont="1" applyFill="1" applyAlignment="1">
      <alignment horizontal="center"/>
    </xf>
    <xf numFmtId="169" fontId="3" fillId="0" borderId="0" xfId="57" applyNumberFormat="1" applyFont="1" applyFill="1"/>
    <xf numFmtId="169" fontId="3" fillId="0" borderId="2" xfId="57" applyFont="1" applyFill="1" applyBorder="1"/>
    <xf numFmtId="164" fontId="25" fillId="0" borderId="0" xfId="63" applyNumberFormat="1" applyFont="1" applyFill="1" applyAlignment="1"/>
    <xf numFmtId="169" fontId="3" fillId="0" borderId="0" xfId="59" applyFont="1" applyFill="1" applyAlignment="1">
      <alignment horizontal="left"/>
    </xf>
    <xf numFmtId="169" fontId="59" fillId="0" borderId="0" xfId="59" applyFont="1" applyFill="1" applyAlignment="1"/>
    <xf numFmtId="164" fontId="3" fillId="0" borderId="0" xfId="63" applyNumberFormat="1" applyFont="1" applyFill="1" applyBorder="1" applyAlignment="1"/>
    <xf numFmtId="169" fontId="22" fillId="0" borderId="0" xfId="57" applyFont="1" applyFill="1" applyBorder="1" applyAlignment="1"/>
    <xf numFmtId="2" fontId="3" fillId="0" borderId="0" xfId="57" applyNumberFormat="1" applyFont="1" applyFill="1" applyBorder="1" applyAlignment="1"/>
    <xf numFmtId="2" fontId="3" fillId="0" borderId="0" xfId="57" applyNumberFormat="1" applyFont="1" applyFill="1" applyBorder="1" applyAlignment="1">
      <alignment horizontal="center"/>
    </xf>
    <xf numFmtId="169" fontId="23" fillId="0" borderId="0" xfId="59" applyFont="1" applyFill="1" applyAlignment="1">
      <alignment horizontal="center"/>
    </xf>
    <xf numFmtId="9" fontId="3" fillId="0" borderId="0" xfId="64" applyNumberFormat="1" applyFont="1" applyFill="1" applyBorder="1" applyAlignment="1">
      <alignment horizontal="center"/>
    </xf>
    <xf numFmtId="164" fontId="26" fillId="0" borderId="0" xfId="63" applyNumberFormat="1" applyFont="1" applyFill="1" applyBorder="1" applyAlignment="1">
      <alignment horizontal="left"/>
    </xf>
    <xf numFmtId="170" fontId="26" fillId="0" borderId="0" xfId="57" applyNumberFormat="1" applyFont="1" applyFill="1" applyAlignment="1" applyProtection="1">
      <alignment horizontal="centerContinuous"/>
    </xf>
    <xf numFmtId="170" fontId="26" fillId="0" borderId="0" xfId="57" quotePrefix="1" applyNumberFormat="1" applyFont="1" applyFill="1" applyAlignment="1" applyProtection="1">
      <alignment horizontal="centerContinuous"/>
    </xf>
    <xf numFmtId="169" fontId="3" fillId="0" borderId="0" xfId="63" quotePrefix="1" applyNumberFormat="1" applyFont="1" applyFill="1" applyAlignment="1">
      <alignment horizontal="center"/>
    </xf>
    <xf numFmtId="169" fontId="22" fillId="0" borderId="0" xfId="57" applyFont="1" applyFill="1" applyBorder="1" applyAlignment="1">
      <alignment horizontal="center"/>
    </xf>
    <xf numFmtId="9" fontId="43" fillId="0" borderId="0" xfId="64" applyNumberFormat="1" applyFont="1" applyFill="1" applyAlignment="1">
      <alignment horizontal="center"/>
    </xf>
    <xf numFmtId="9" fontId="3" fillId="0" borderId="0" xfId="64" applyFont="1" applyFill="1" applyAlignment="1">
      <alignment horizontal="center"/>
    </xf>
    <xf numFmtId="164" fontId="46" fillId="0" borderId="0" xfId="63" applyNumberFormat="1" applyFont="1" applyFill="1" applyAlignment="1">
      <alignment horizontal="center"/>
    </xf>
    <xf numFmtId="1" fontId="23" fillId="0" borderId="0" xfId="63" applyNumberFormat="1" applyFont="1" applyFill="1" applyAlignment="1">
      <alignment horizontal="center"/>
    </xf>
    <xf numFmtId="9" fontId="3" fillId="0" borderId="0" xfId="64" applyNumberFormat="1" applyFont="1" applyFill="1" applyAlignment="1">
      <alignment horizontal="center"/>
    </xf>
    <xf numFmtId="9" fontId="50" fillId="0" borderId="0" xfId="64" applyNumberFormat="1" applyFont="1" applyFill="1" applyAlignment="1">
      <alignment horizontal="center"/>
    </xf>
    <xf numFmtId="167" fontId="53" fillId="0" borderId="0" xfId="62" applyNumberFormat="1" applyFont="1" applyFill="1" applyAlignment="1">
      <alignment horizontal="center"/>
    </xf>
    <xf numFmtId="167" fontId="46" fillId="0" borderId="0" xfId="62" applyNumberFormat="1" applyFont="1" applyFill="1" applyAlignment="1">
      <alignment horizontal="center"/>
    </xf>
    <xf numFmtId="164" fontId="25" fillId="0" borderId="0" xfId="63" applyNumberFormat="1" applyFont="1" applyFill="1"/>
    <xf numFmtId="1" fontId="3" fillId="0" borderId="0" xfId="63" applyNumberFormat="1" applyFont="1" applyFill="1" applyAlignment="1">
      <alignment horizontal="center"/>
    </xf>
    <xf numFmtId="164" fontId="43" fillId="0" borderId="0" xfId="63" applyNumberFormat="1" applyFont="1" applyFill="1"/>
    <xf numFmtId="9" fontId="22" fillId="0" borderId="0" xfId="64" applyNumberFormat="1" applyFont="1" applyFill="1" applyAlignment="1">
      <alignment horizontal="center"/>
    </xf>
    <xf numFmtId="169" fontId="57" fillId="0" borderId="0" xfId="59" applyFont="1" applyFill="1" applyAlignment="1">
      <alignment horizontal="center"/>
    </xf>
    <xf numFmtId="9" fontId="26" fillId="0" borderId="0" xfId="64" applyFont="1" applyFill="1" applyAlignment="1">
      <alignment horizontal="center"/>
    </xf>
    <xf numFmtId="164" fontId="53" fillId="0" borderId="0" xfId="63" applyNumberFormat="1" applyFont="1" applyFill="1" applyAlignment="1">
      <alignment horizontal="center"/>
    </xf>
    <xf numFmtId="169" fontId="22" fillId="0" borderId="0" xfId="57" applyFont="1" applyFill="1" applyAlignment="1"/>
    <xf numFmtId="9" fontId="23" fillId="0" borderId="0" xfId="64" applyNumberFormat="1" applyFont="1" applyFill="1" applyAlignment="1">
      <alignment horizontal="center"/>
    </xf>
    <xf numFmtId="171" fontId="3" fillId="0" borderId="0" xfId="63" applyNumberFormat="1" applyFont="1" applyFill="1" applyAlignment="1">
      <alignment horizontal="center"/>
    </xf>
    <xf numFmtId="171" fontId="46" fillId="0" borderId="0" xfId="63" applyNumberFormat="1" applyFont="1" applyFill="1" applyAlignment="1">
      <alignment horizontal="center"/>
    </xf>
    <xf numFmtId="171" fontId="3" fillId="0" borderId="0" xfId="63" applyNumberFormat="1" applyFont="1" applyFill="1" applyAlignment="1"/>
    <xf numFmtId="171" fontId="25" fillId="0" borderId="0" xfId="63" applyNumberFormat="1" applyFont="1" applyFill="1" applyAlignment="1"/>
    <xf numFmtId="164" fontId="25" fillId="0" borderId="0" xfId="63" applyNumberFormat="1" applyFont="1" applyFill="1" applyAlignment="1">
      <alignment horizontal="center"/>
    </xf>
    <xf numFmtId="169" fontId="26" fillId="0" borderId="0" xfId="57" applyNumberFormat="1" applyFont="1" applyFill="1" applyAlignment="1"/>
    <xf numFmtId="169" fontId="3" fillId="0" borderId="0" xfId="57" applyFont="1" applyFill="1" applyBorder="1" applyAlignment="1" applyProtection="1">
      <alignment horizontal="left" indent="2"/>
    </xf>
    <xf numFmtId="164" fontId="23" fillId="0" borderId="0" xfId="63" applyNumberFormat="1" applyFont="1" applyFill="1" applyBorder="1" applyProtection="1"/>
    <xf numFmtId="164" fontId="50" fillId="0" borderId="0" xfId="63" applyNumberFormat="1" applyFont="1" applyFill="1" applyBorder="1" applyProtection="1"/>
    <xf numFmtId="10" fontId="49" fillId="0" borderId="0" xfId="57" applyNumberFormat="1" applyFont="1" applyFill="1" applyBorder="1" applyProtection="1"/>
    <xf numFmtId="10" fontId="3" fillId="0" borderId="0" xfId="59" applyNumberFormat="1" applyFont="1" applyFill="1" applyAlignment="1"/>
    <xf numFmtId="167" fontId="3" fillId="0" borderId="0" xfId="59" applyNumberFormat="1" applyFont="1" applyFill="1" applyAlignment="1"/>
    <xf numFmtId="10" fontId="49" fillId="0" borderId="8" xfId="57" applyNumberFormat="1" applyFont="1" applyFill="1" applyBorder="1" applyProtection="1"/>
    <xf numFmtId="164" fontId="3" fillId="0" borderId="0" xfId="63" applyNumberFormat="1" applyFont="1" applyFill="1" applyBorder="1"/>
    <xf numFmtId="169" fontId="26" fillId="0" borderId="0" xfId="57" applyFont="1" applyFill="1" applyBorder="1" applyProtection="1"/>
    <xf numFmtId="169" fontId="3" fillId="0" borderId="0" xfId="57" applyFont="1" applyFill="1" applyBorder="1"/>
    <xf numFmtId="164" fontId="3" fillId="0" borderId="0" xfId="63" applyNumberFormat="1" applyFont="1" applyFill="1" applyBorder="1" applyProtection="1"/>
    <xf numFmtId="169" fontId="3" fillId="0" borderId="0" xfId="57" quotePrefix="1" applyFont="1" applyFill="1" applyBorder="1" applyAlignment="1" applyProtection="1">
      <alignment horizontal="left"/>
    </xf>
    <xf numFmtId="164" fontId="49" fillId="0" borderId="0" xfId="63" applyNumberFormat="1" applyFont="1" applyFill="1" applyBorder="1" applyProtection="1"/>
    <xf numFmtId="169" fontId="3" fillId="0" borderId="0" xfId="57" applyFont="1" applyFill="1" applyBorder="1" applyAlignment="1" applyProtection="1">
      <alignment horizontal="left"/>
    </xf>
    <xf numFmtId="169" fontId="22" fillId="0" borderId="0" xfId="57" applyNumberFormat="1" applyFont="1" applyFill="1"/>
    <xf numFmtId="169" fontId="26" fillId="0" borderId="0" xfId="57" applyNumberFormat="1" applyFont="1" applyFill="1"/>
    <xf numFmtId="169" fontId="3" fillId="0" borderId="0" xfId="57" applyFont="1" applyFill="1" applyAlignment="1" applyProtection="1">
      <alignment horizontal="left"/>
    </xf>
    <xf numFmtId="164" fontId="25" fillId="0" borderId="0" xfId="63" applyNumberFormat="1" applyFont="1" applyFill="1" applyProtection="1"/>
    <xf numFmtId="169" fontId="3" fillId="0" borderId="0" xfId="57" applyFont="1" applyFill="1" applyProtection="1"/>
    <xf numFmtId="164" fontId="44" fillId="0" borderId="0" xfId="63" applyNumberFormat="1" applyFont="1" applyFill="1"/>
    <xf numFmtId="43" fontId="3" fillId="0" borderId="0" xfId="63" applyFont="1" applyFill="1"/>
    <xf numFmtId="164" fontId="3" fillId="0" borderId="0" xfId="63" applyNumberFormat="1" applyFont="1" applyFill="1" applyProtection="1"/>
    <xf numFmtId="10" fontId="50" fillId="0" borderId="0" xfId="57" applyNumberFormat="1" applyFont="1" applyFill="1" applyBorder="1" applyProtection="1"/>
    <xf numFmtId="10" fontId="43" fillId="0" borderId="0" xfId="57" applyNumberFormat="1" applyFont="1" applyFill="1" applyBorder="1" applyProtection="1"/>
    <xf numFmtId="167" fontId="51" fillId="0" borderId="0" xfId="62" applyNumberFormat="1" applyFont="1" applyFill="1" applyBorder="1" applyProtection="1"/>
    <xf numFmtId="167" fontId="52" fillId="0" borderId="0" xfId="62" applyNumberFormat="1" applyFont="1" applyFill="1" applyBorder="1" applyProtection="1"/>
    <xf numFmtId="169" fontId="60" fillId="0" borderId="0" xfId="59" applyFont="1" applyFill="1" applyAlignment="1"/>
    <xf numFmtId="169" fontId="59" fillId="0" borderId="0" xfId="57" applyFont="1" applyFill="1" applyBorder="1" applyAlignment="1">
      <alignment horizontal="center"/>
    </xf>
    <xf numFmtId="169" fontId="55" fillId="0" borderId="0" xfId="59" applyFont="1" applyFill="1" applyAlignment="1"/>
    <xf numFmtId="164" fontId="43" fillId="0" borderId="0" xfId="63" applyNumberFormat="1" applyFont="1" applyFill="1" applyAlignment="1">
      <alignment horizontal="center"/>
    </xf>
    <xf numFmtId="9" fontId="3" fillId="0" borderId="0" xfId="64" applyNumberFormat="1" applyFont="1" applyFill="1" applyAlignment="1">
      <alignment horizontal="right"/>
    </xf>
    <xf numFmtId="169" fontId="42" fillId="0" borderId="0" xfId="63" applyNumberFormat="1" applyFont="1" applyFill="1" applyAlignment="1">
      <alignment horizontal="center"/>
    </xf>
    <xf numFmtId="169" fontId="61" fillId="0" borderId="0" xfId="59" applyFont="1" applyFill="1" applyAlignment="1"/>
    <xf numFmtId="169" fontId="23" fillId="0" borderId="0" xfId="59" applyFont="1" applyFill="1" applyAlignment="1">
      <alignment horizontal="left"/>
    </xf>
    <xf numFmtId="167" fontId="26" fillId="0" borderId="0" xfId="62" applyNumberFormat="1" applyFont="1" applyFill="1" applyAlignment="1">
      <alignment horizontal="center"/>
    </xf>
    <xf numFmtId="164" fontId="26" fillId="0" borderId="0" xfId="63" applyNumberFormat="1" applyFont="1" applyFill="1" applyAlignment="1">
      <alignment horizontal="center"/>
    </xf>
    <xf numFmtId="169" fontId="23" fillId="0" borderId="0" xfId="59" applyFont="1" applyFill="1" applyAlignment="1"/>
    <xf numFmtId="169" fontId="47" fillId="0" borderId="0" xfId="57" applyFont="1" applyFill="1" applyAlignment="1"/>
    <xf numFmtId="1" fontId="23" fillId="0" borderId="0" xfId="57" applyNumberFormat="1" applyFont="1" applyFill="1" applyBorder="1" applyAlignment="1">
      <alignment horizontal="center"/>
    </xf>
    <xf numFmtId="164" fontId="22" fillId="0" borderId="0" xfId="63" applyNumberFormat="1" applyFont="1" applyFill="1" applyAlignment="1"/>
    <xf numFmtId="169" fontId="50" fillId="0" borderId="0" xfId="59" applyFont="1" applyFill="1" applyAlignment="1"/>
    <xf numFmtId="169" fontId="22" fillId="0" borderId="0" xfId="57" applyFont="1" applyFill="1"/>
    <xf numFmtId="164" fontId="46" fillId="0" borderId="0" xfId="63" applyNumberFormat="1" applyFont="1" applyFill="1" applyBorder="1"/>
    <xf numFmtId="169" fontId="22" fillId="0" borderId="2" xfId="57" applyFont="1" applyFill="1" applyBorder="1"/>
    <xf numFmtId="169" fontId="3" fillId="0" borderId="2" xfId="57" applyFont="1" applyFill="1" applyBorder="1" applyAlignment="1">
      <alignment horizontal="center"/>
    </xf>
    <xf numFmtId="167" fontId="44" fillId="0" borderId="0" xfId="62" applyNumberFormat="1" applyFont="1" applyFill="1" applyAlignment="1"/>
    <xf numFmtId="164" fontId="45" fillId="0" borderId="0" xfId="63" applyNumberFormat="1" applyFont="1" applyFill="1" applyAlignment="1"/>
    <xf numFmtId="43" fontId="43" fillId="0" borderId="0" xfId="63" applyFont="1" applyFill="1" applyAlignment="1"/>
    <xf numFmtId="164" fontId="43" fillId="0" borderId="0" xfId="59" applyNumberFormat="1" applyFont="1" applyFill="1" applyAlignment="1"/>
    <xf numFmtId="169" fontId="7" fillId="33" borderId="0" xfId="0" applyFont="1" applyFill="1"/>
    <xf numFmtId="169" fontId="35" fillId="38" borderId="0" xfId="0" applyFont="1" applyFill="1" applyAlignment="1">
      <alignment horizontal="left" vertical="center"/>
    </xf>
    <xf numFmtId="169" fontId="37" fillId="38" borderId="0" xfId="0" applyFont="1" applyFill="1" applyAlignment="1">
      <alignment horizontal="left"/>
    </xf>
    <xf numFmtId="169" fontId="7" fillId="38" borderId="0" xfId="0" applyFont="1" applyFill="1" applyAlignment="1">
      <alignment horizontal="center" wrapText="1"/>
    </xf>
    <xf numFmtId="169" fontId="7" fillId="38" borderId="0" xfId="0" applyFont="1" applyFill="1" applyAlignment="1">
      <alignment wrapText="1"/>
    </xf>
    <xf numFmtId="17" fontId="20" fillId="38" borderId="0" xfId="0" applyNumberFormat="1" applyFont="1" applyFill="1" applyAlignment="1">
      <alignment horizontal="center" wrapText="1"/>
    </xf>
    <xf numFmtId="164" fontId="62" fillId="15" borderId="12" xfId="63" applyNumberFormat="1" applyFont="1" applyFill="1" applyBorder="1" applyAlignment="1" applyProtection="1">
      <alignment horizontal="center"/>
    </xf>
    <xf numFmtId="164" fontId="62" fillId="15" borderId="0" xfId="63" applyNumberFormat="1" applyFont="1" applyFill="1" applyBorder="1" applyAlignment="1" applyProtection="1">
      <alignment horizontal="center"/>
    </xf>
    <xf numFmtId="164" fontId="62" fillId="15" borderId="0" xfId="63" applyNumberFormat="1" applyFont="1" applyFill="1" applyBorder="1" applyAlignment="1" applyProtection="1">
      <alignment horizontal="center" wrapText="1"/>
    </xf>
    <xf numFmtId="164" fontId="62" fillId="15" borderId="14" xfId="63" applyNumberFormat="1" applyFont="1" applyFill="1" applyBorder="1" applyAlignment="1" applyProtection="1">
      <alignment horizontal="center"/>
    </xf>
    <xf numFmtId="1" fontId="62" fillId="15" borderId="12" xfId="63" applyNumberFormat="1" applyFont="1" applyFill="1" applyBorder="1" applyAlignment="1" applyProtection="1">
      <alignment horizontal="center"/>
    </xf>
    <xf numFmtId="1" fontId="62" fillId="15" borderId="0" xfId="63" applyNumberFormat="1" applyFont="1" applyFill="1" applyBorder="1" applyAlignment="1" applyProtection="1">
      <alignment horizontal="center"/>
    </xf>
    <xf numFmtId="1" fontId="62" fillId="15" borderId="0" xfId="63" applyNumberFormat="1" applyFont="1" applyFill="1" applyBorder="1" applyAlignment="1" applyProtection="1">
      <alignment horizontal="center" wrapText="1"/>
    </xf>
    <xf numFmtId="1" fontId="62" fillId="15" borderId="6" xfId="63" applyNumberFormat="1" applyFont="1" applyFill="1" applyBorder="1" applyAlignment="1" applyProtection="1">
      <alignment horizontal="center"/>
    </xf>
    <xf numFmtId="169" fontId="63" fillId="0" borderId="0" xfId="0" applyFont="1" applyProtection="1"/>
    <xf numFmtId="164" fontId="31" fillId="0" borderId="0" xfId="63" applyNumberFormat="1" applyFont="1" applyProtection="1"/>
    <xf numFmtId="164" fontId="39" fillId="0" borderId="0" xfId="63" applyNumberFormat="1" applyFont="1" applyProtection="1"/>
    <xf numFmtId="164" fontId="26" fillId="15" borderId="15" xfId="63" applyNumberFormat="1" applyFont="1" applyFill="1" applyBorder="1" applyAlignment="1" applyProtection="1">
      <alignment horizontal="center"/>
    </xf>
    <xf numFmtId="164" fontId="26" fillId="15" borderId="5" xfId="63" applyNumberFormat="1" applyFont="1" applyFill="1" applyBorder="1" applyAlignment="1" applyProtection="1">
      <alignment horizontal="center"/>
    </xf>
    <xf numFmtId="164" fontId="26" fillId="15" borderId="5" xfId="63" applyNumberFormat="1" applyFont="1" applyFill="1" applyBorder="1" applyAlignment="1" applyProtection="1">
      <alignment horizontal="center" wrapText="1"/>
    </xf>
    <xf numFmtId="169" fontId="57" fillId="0" borderId="0" xfId="0" applyFont="1" applyProtection="1"/>
    <xf numFmtId="164" fontId="3" fillId="0" borderId="0" xfId="63" applyNumberFormat="1" applyFont="1" applyProtection="1"/>
    <xf numFmtId="164" fontId="25" fillId="0" borderId="0" xfId="63" applyNumberFormat="1" applyFont="1" applyProtection="1"/>
    <xf numFmtId="164" fontId="46" fillId="0" borderId="0" xfId="63" applyNumberFormat="1" applyFont="1" applyProtection="1"/>
    <xf numFmtId="169" fontId="31" fillId="39" borderId="0" xfId="0" applyFont="1" applyFill="1" applyProtection="1"/>
    <xf numFmtId="169" fontId="63" fillId="39" borderId="0" xfId="0" applyFont="1" applyFill="1" applyProtection="1"/>
    <xf numFmtId="164" fontId="31" fillId="39" borderId="0" xfId="63" applyNumberFormat="1" applyFont="1" applyFill="1" applyProtection="1"/>
    <xf numFmtId="169" fontId="31" fillId="0" borderId="0" xfId="0" applyFont="1" applyFill="1" applyProtection="1"/>
    <xf numFmtId="169" fontId="31" fillId="23" borderId="0" xfId="0" applyFont="1" applyFill="1" applyProtection="1"/>
    <xf numFmtId="169" fontId="39" fillId="23" borderId="0" xfId="0" applyFont="1" applyFill="1" applyProtection="1"/>
    <xf numFmtId="169" fontId="3" fillId="0" borderId="0" xfId="0" applyFont="1"/>
    <xf numFmtId="169" fontId="57" fillId="0" borderId="0" xfId="0" applyFont="1" applyFill="1" applyAlignment="1" applyProtection="1">
      <alignment horizontal="left"/>
    </xf>
    <xf numFmtId="164" fontId="3" fillId="23" borderId="0" xfId="63" applyNumberFormat="1" applyFont="1" applyFill="1" applyProtection="1"/>
    <xf numFmtId="169" fontId="57" fillId="0" borderId="0" xfId="0" applyFont="1" applyAlignment="1" applyProtection="1">
      <alignment horizontal="left"/>
    </xf>
    <xf numFmtId="169" fontId="3" fillId="23" borderId="0" xfId="0" applyFont="1" applyFill="1" applyProtection="1"/>
    <xf numFmtId="164" fontId="43" fillId="0" borderId="0" xfId="63" applyNumberFormat="1" applyFont="1" applyProtection="1"/>
    <xf numFmtId="169" fontId="43" fillId="23" borderId="0" xfId="0" applyFont="1" applyFill="1" applyProtection="1"/>
    <xf numFmtId="169" fontId="46" fillId="23" borderId="0" xfId="0" applyFont="1" applyFill="1" applyProtection="1"/>
    <xf numFmtId="169" fontId="66" fillId="0" borderId="0" xfId="0" applyFont="1" applyProtection="1"/>
    <xf numFmtId="169" fontId="65" fillId="0" borderId="0" xfId="0" applyFont="1" applyProtection="1"/>
    <xf numFmtId="169" fontId="10" fillId="0" borderId="0" xfId="67" applyFont="1"/>
    <xf numFmtId="169" fontId="67" fillId="0" borderId="0" xfId="67"/>
    <xf numFmtId="14" fontId="67" fillId="0" borderId="0" xfId="67" applyNumberFormat="1"/>
    <xf numFmtId="164" fontId="67" fillId="0" borderId="0" xfId="67" applyNumberFormat="1"/>
    <xf numFmtId="164" fontId="0" fillId="0" borderId="0" xfId="63" applyNumberFormat="1" applyFont="1"/>
    <xf numFmtId="17" fontId="69" fillId="0" borderId="0" xfId="67" applyNumberFormat="1" applyFont="1" applyAlignment="1">
      <alignment horizontal="center"/>
    </xf>
    <xf numFmtId="169" fontId="4" fillId="0" borderId="0" xfId="67" applyFont="1"/>
    <xf numFmtId="164" fontId="56" fillId="0" borderId="0" xfId="63" applyNumberFormat="1" applyFont="1"/>
    <xf numFmtId="169" fontId="67" fillId="0" borderId="0" xfId="67" applyAlignment="1">
      <alignment horizontal="left" indent="1"/>
    </xf>
    <xf numFmtId="169" fontId="67" fillId="0" borderId="0" xfId="67" applyAlignment="1">
      <alignment horizontal="left"/>
    </xf>
    <xf numFmtId="169" fontId="4" fillId="0" borderId="0" xfId="67" applyFont="1" applyAlignment="1">
      <alignment horizontal="left" indent="1"/>
    </xf>
    <xf numFmtId="10" fontId="67" fillId="0" borderId="0" xfId="67" applyNumberFormat="1"/>
    <xf numFmtId="169" fontId="10" fillId="0" borderId="0" xfId="0" applyFont="1"/>
    <xf numFmtId="169" fontId="69" fillId="3" borderId="16" xfId="0" applyFont="1" applyFill="1" applyBorder="1"/>
    <xf numFmtId="169" fontId="69" fillId="0" borderId="16" xfId="0" applyFont="1" applyBorder="1"/>
    <xf numFmtId="169" fontId="31" fillId="0" borderId="0" xfId="0" applyFont="1" applyFill="1" applyAlignment="1">
      <alignment vertical="center"/>
    </xf>
    <xf numFmtId="169" fontId="39" fillId="39" borderId="0" xfId="0" applyFont="1" applyFill="1" applyProtection="1"/>
    <xf numFmtId="169" fontId="70" fillId="39" borderId="0" xfId="0" applyFont="1" applyFill="1" applyProtection="1"/>
    <xf numFmtId="164" fontId="39" fillId="39" borderId="0" xfId="63" applyNumberFormat="1" applyFont="1" applyFill="1" applyProtection="1"/>
    <xf numFmtId="169" fontId="25" fillId="23" borderId="0" xfId="0" applyFont="1" applyFill="1" applyProtection="1"/>
    <xf numFmtId="169" fontId="3" fillId="0" borderId="0" xfId="0" applyFont="1" applyFill="1" applyAlignment="1">
      <alignment vertical="center"/>
    </xf>
    <xf numFmtId="169" fontId="43" fillId="0" borderId="0" xfId="0" applyFont="1"/>
    <xf numFmtId="169" fontId="50" fillId="0" borderId="0" xfId="0" applyFont="1" applyProtection="1"/>
    <xf numFmtId="169" fontId="43" fillId="0" borderId="0" xfId="0" applyFont="1" applyFill="1" applyProtection="1"/>
    <xf numFmtId="174" fontId="46" fillId="0" borderId="0" xfId="63" applyNumberFormat="1" applyFont="1" applyProtection="1"/>
    <xf numFmtId="164" fontId="46" fillId="0" borderId="0" xfId="63" applyNumberFormat="1" applyFont="1" applyFill="1" applyProtection="1"/>
    <xf numFmtId="169" fontId="46" fillId="39" borderId="0" xfId="0" applyFont="1" applyFill="1" applyProtection="1"/>
    <xf numFmtId="169" fontId="66" fillId="39" borderId="0" xfId="0" applyFont="1" applyFill="1" applyProtection="1"/>
    <xf numFmtId="164" fontId="46" fillId="39" borderId="0" xfId="63" applyNumberFormat="1" applyFont="1" applyFill="1" applyProtection="1"/>
    <xf numFmtId="169" fontId="57" fillId="39" borderId="0" xfId="0" applyFont="1" applyFill="1" applyAlignment="1" applyProtection="1">
      <alignment horizontal="left"/>
    </xf>
    <xf numFmtId="164" fontId="3" fillId="39" borderId="0" xfId="63" applyNumberFormat="1" applyFont="1" applyFill="1" applyProtection="1"/>
    <xf numFmtId="169" fontId="3" fillId="39" borderId="0" xfId="0" applyFont="1" applyFill="1" applyProtection="1"/>
    <xf numFmtId="164" fontId="31" fillId="23" borderId="0" xfId="63" applyNumberFormat="1" applyFont="1" applyFill="1" applyProtection="1"/>
    <xf numFmtId="164" fontId="31" fillId="0" borderId="0" xfId="63" applyNumberFormat="1" applyFont="1" applyFill="1" applyProtection="1"/>
    <xf numFmtId="164" fontId="31" fillId="3" borderId="0" xfId="63" applyNumberFormat="1" applyFont="1" applyFill="1" applyProtection="1"/>
    <xf numFmtId="164" fontId="72" fillId="0" borderId="0" xfId="63" applyNumberFormat="1" applyFont="1" applyProtection="1"/>
    <xf numFmtId="169" fontId="72" fillId="23" borderId="0" xfId="0" applyFont="1" applyFill="1" applyProtection="1"/>
    <xf numFmtId="169" fontId="4" fillId="0" borderId="0" xfId="0" applyFont="1" applyFill="1"/>
    <xf numFmtId="169" fontId="73" fillId="0" borderId="0" xfId="0" applyFont="1" applyFill="1" applyProtection="1"/>
    <xf numFmtId="169" fontId="3" fillId="0" borderId="0" xfId="57" applyFont="1"/>
    <xf numFmtId="17" fontId="3" fillId="0" borderId="0" xfId="57" applyNumberFormat="1" applyFont="1"/>
    <xf numFmtId="164" fontId="3" fillId="0" borderId="0" xfId="57" applyNumberFormat="1" applyFont="1"/>
    <xf numFmtId="169" fontId="3" fillId="0" borderId="0" xfId="57" applyFont="1" applyBorder="1"/>
    <xf numFmtId="169" fontId="3" fillId="0" borderId="0" xfId="57" applyFont="1" applyBorder="1" applyAlignment="1">
      <alignment horizontal="center"/>
    </xf>
    <xf numFmtId="169" fontId="10" fillId="0" borderId="0" xfId="57" applyFont="1" applyFill="1" applyAlignment="1">
      <alignment horizontal="left"/>
    </xf>
    <xf numFmtId="169" fontId="4" fillId="0" borderId="0" xfId="57" applyFont="1" applyFill="1" applyBorder="1"/>
    <xf numFmtId="169" fontId="10" fillId="0" borderId="0" xfId="57" applyFont="1" applyFill="1" applyAlignment="1"/>
    <xf numFmtId="41" fontId="4" fillId="0" borderId="0" xfId="57" applyNumberFormat="1" applyFont="1" applyFill="1"/>
    <xf numFmtId="169" fontId="78" fillId="0" borderId="0" xfId="57" applyFont="1" applyFill="1" applyBorder="1" applyAlignment="1">
      <alignment horizontal="left"/>
    </xf>
    <xf numFmtId="169" fontId="10" fillId="0" borderId="8" xfId="57" applyNumberFormat="1" applyFont="1" applyFill="1" applyBorder="1" applyAlignment="1">
      <alignment horizontal="center"/>
    </xf>
    <xf numFmtId="169" fontId="10" fillId="0" borderId="2" xfId="57" applyNumberFormat="1" applyFont="1" applyFill="1" applyBorder="1" applyAlignment="1">
      <alignment horizontal="center"/>
    </xf>
    <xf numFmtId="169" fontId="10" fillId="0" borderId="18" xfId="57" applyFont="1" applyFill="1" applyBorder="1" applyAlignment="1">
      <alignment horizontal="left"/>
    </xf>
    <xf numFmtId="41" fontId="4" fillId="0" borderId="19" xfId="57" applyNumberFormat="1" applyFont="1" applyFill="1" applyBorder="1"/>
    <xf numFmtId="39" fontId="80" fillId="0" borderId="20" xfId="57" applyNumberFormat="1" applyFont="1" applyFill="1" applyBorder="1"/>
    <xf numFmtId="169" fontId="4" fillId="0" borderId="0" xfId="57" applyFill="1" applyBorder="1"/>
    <xf numFmtId="164" fontId="81" fillId="0" borderId="0" xfId="63" applyNumberFormat="1" applyFont="1" applyFill="1"/>
    <xf numFmtId="169" fontId="4" fillId="0" borderId="22" xfId="57" applyFont="1" applyFill="1" applyBorder="1" applyAlignment="1">
      <alignment horizontal="left"/>
    </xf>
    <xf numFmtId="43" fontId="4" fillId="0" borderId="21" xfId="63" applyFont="1" applyFill="1" applyBorder="1"/>
    <xf numFmtId="166" fontId="4" fillId="0" borderId="22" xfId="63" applyNumberFormat="1" applyFont="1" applyFill="1" applyBorder="1" applyAlignment="1">
      <alignment horizontal="left" indent="2"/>
    </xf>
    <xf numFmtId="164" fontId="77" fillId="0" borderId="21" xfId="63" applyNumberFormat="1" applyFont="1" applyFill="1" applyBorder="1"/>
    <xf numFmtId="164" fontId="4" fillId="0" borderId="21" xfId="63" applyNumberFormat="1" applyFont="1" applyFill="1" applyBorder="1"/>
    <xf numFmtId="164" fontId="68" fillId="0" borderId="21" xfId="63" applyNumberFormat="1" applyFont="1" applyFill="1" applyBorder="1"/>
    <xf numFmtId="166" fontId="4" fillId="0" borderId="21" xfId="63" applyNumberFormat="1" applyFont="1" applyFill="1" applyBorder="1" applyAlignment="1">
      <alignment horizontal="left" indent="2"/>
    </xf>
    <xf numFmtId="171" fontId="77" fillId="0" borderId="23" xfId="63" applyNumberFormat="1" applyFont="1" applyFill="1" applyBorder="1"/>
    <xf numFmtId="166" fontId="10" fillId="0" borderId="22" xfId="63" applyNumberFormat="1" applyFont="1" applyFill="1" applyBorder="1"/>
    <xf numFmtId="43" fontId="82" fillId="0" borderId="21" xfId="63" applyFont="1" applyFill="1" applyBorder="1"/>
    <xf numFmtId="169" fontId="10" fillId="0" borderId="22" xfId="57" applyFont="1" applyFill="1" applyBorder="1"/>
    <xf numFmtId="39" fontId="10" fillId="0" borderId="21" xfId="57" applyNumberFormat="1" applyFont="1" applyFill="1" applyBorder="1"/>
    <xf numFmtId="169" fontId="10" fillId="0" borderId="0" xfId="57" applyFont="1" applyFill="1" applyBorder="1"/>
    <xf numFmtId="39" fontId="79" fillId="0" borderId="21" xfId="57" applyNumberFormat="1" applyFont="1" applyFill="1" applyBorder="1"/>
    <xf numFmtId="39" fontId="10" fillId="0" borderId="21" xfId="62" applyNumberFormat="1" applyFont="1" applyFill="1" applyBorder="1"/>
    <xf numFmtId="39" fontId="4" fillId="0" borderId="21" xfId="62" applyNumberFormat="1" applyFont="1" applyFill="1" applyBorder="1"/>
    <xf numFmtId="39" fontId="77" fillId="0" borderId="23" xfId="62" applyNumberFormat="1" applyFont="1" applyFill="1" applyBorder="1"/>
    <xf numFmtId="39" fontId="4" fillId="0" borderId="23" xfId="62" applyNumberFormat="1" applyFont="1" applyFill="1" applyBorder="1"/>
    <xf numFmtId="169" fontId="4" fillId="0" borderId="22" xfId="57" quotePrefix="1" applyFont="1" applyFill="1" applyBorder="1" applyAlignment="1">
      <alignment horizontal="left"/>
    </xf>
    <xf numFmtId="169" fontId="10" fillId="0" borderId="22" xfId="57" quotePrefix="1" applyFont="1" applyFill="1" applyBorder="1" applyAlignment="1">
      <alignment horizontal="left"/>
    </xf>
    <xf numFmtId="169" fontId="10" fillId="0" borderId="24" xfId="57" applyFont="1" applyFill="1" applyBorder="1"/>
    <xf numFmtId="39" fontId="10" fillId="0" borderId="25" xfId="57" applyNumberFormat="1" applyFont="1" applyFill="1" applyBorder="1"/>
    <xf numFmtId="169" fontId="4" fillId="0" borderId="22" xfId="57" applyFont="1" applyFill="1" applyBorder="1"/>
    <xf numFmtId="169" fontId="4" fillId="0" borderId="26" xfId="57" applyFont="1" applyFill="1" applyBorder="1"/>
    <xf numFmtId="39" fontId="4" fillId="0" borderId="27" xfId="57" applyNumberFormat="1" applyFont="1" applyFill="1" applyBorder="1"/>
    <xf numFmtId="39" fontId="4" fillId="0" borderId="0" xfId="57" applyNumberFormat="1" applyFont="1" applyFill="1" applyBorder="1"/>
    <xf numFmtId="39" fontId="4" fillId="0" borderId="29" xfId="57" applyNumberFormat="1" applyFont="1" applyFill="1" applyBorder="1"/>
    <xf numFmtId="39" fontId="4" fillId="0" borderId="21" xfId="57" applyNumberFormat="1" applyFont="1" applyFill="1" applyBorder="1"/>
    <xf numFmtId="39" fontId="77" fillId="0" borderId="21" xfId="57" applyNumberFormat="1" applyFont="1" applyFill="1" applyBorder="1"/>
    <xf numFmtId="39" fontId="83" fillId="0" borderId="21" xfId="57" applyNumberFormat="1" applyFont="1" applyFill="1" applyBorder="1"/>
    <xf numFmtId="39" fontId="77" fillId="0" borderId="23" xfId="57" applyNumberFormat="1" applyFont="1" applyFill="1" applyBorder="1"/>
    <xf numFmtId="39" fontId="4" fillId="0" borderId="23" xfId="57" applyNumberFormat="1" applyFont="1" applyFill="1" applyBorder="1"/>
    <xf numFmtId="169" fontId="4" fillId="0" borderId="31" xfId="57" quotePrefix="1" applyFont="1" applyFill="1" applyBorder="1" applyAlignment="1">
      <alignment horizontal="left"/>
    </xf>
    <xf numFmtId="39" fontId="4" fillId="0" borderId="0" xfId="57" applyNumberFormat="1" applyFont="1" applyFill="1"/>
    <xf numFmtId="39" fontId="10" fillId="0" borderId="0" xfId="57" applyNumberFormat="1" applyFont="1" applyFill="1"/>
    <xf numFmtId="39" fontId="10" fillId="30" borderId="20" xfId="57" applyNumberFormat="1" applyFont="1" applyFill="1" applyBorder="1"/>
    <xf numFmtId="39" fontId="10" fillId="30" borderId="18" xfId="57" applyNumberFormat="1" applyFont="1" applyFill="1" applyBorder="1"/>
    <xf numFmtId="169" fontId="10" fillId="0" borderId="0" xfId="57" applyFont="1" applyFill="1" applyBorder="1" applyAlignment="1">
      <alignment horizontal="left"/>
    </xf>
    <xf numFmtId="169" fontId="4" fillId="0" borderId="21" xfId="57" applyFont="1" applyFill="1" applyBorder="1"/>
    <xf numFmtId="175" fontId="4" fillId="0" borderId="21" xfId="64" applyNumberFormat="1" applyFont="1" applyFill="1" applyBorder="1"/>
    <xf numFmtId="169" fontId="10" fillId="0" borderId="22" xfId="57" applyFont="1" applyFill="1" applyBorder="1" applyAlignment="1">
      <alignment horizontal="left" indent="2"/>
    </xf>
    <xf numFmtId="169" fontId="4" fillId="0" borderId="22" xfId="57" applyFont="1" applyFill="1" applyBorder="1" applyAlignment="1">
      <alignment horizontal="left" indent="1"/>
    </xf>
    <xf numFmtId="169" fontId="69" fillId="0" borderId="0" xfId="57" applyFont="1" applyFill="1" applyBorder="1"/>
    <xf numFmtId="169" fontId="4" fillId="0" borderId="0" xfId="57" applyFont="1" applyFill="1" applyBorder="1" applyAlignment="1">
      <alignment horizontal="left" indent="2"/>
    </xf>
    <xf numFmtId="44" fontId="4" fillId="0" borderId="0" xfId="57" applyNumberFormat="1"/>
    <xf numFmtId="43" fontId="56" fillId="0" borderId="0" xfId="57" applyNumberFormat="1" applyFont="1" applyFill="1"/>
    <xf numFmtId="43" fontId="4" fillId="0" borderId="0" xfId="57" applyNumberFormat="1" applyFont="1" applyFill="1"/>
    <xf numFmtId="39" fontId="4" fillId="0" borderId="8" xfId="57" applyNumberFormat="1" applyFill="1" applyBorder="1"/>
    <xf numFmtId="169" fontId="4" fillId="0" borderId="16" xfId="57" applyFont="1" applyFill="1" applyBorder="1"/>
    <xf numFmtId="169" fontId="4" fillId="0" borderId="10" xfId="57" applyFont="1" applyFill="1" applyBorder="1"/>
    <xf numFmtId="169" fontId="4" fillId="0" borderId="33" xfId="57" applyFont="1" applyFill="1" applyBorder="1"/>
    <xf numFmtId="39" fontId="80" fillId="0" borderId="32" xfId="57" applyNumberFormat="1" applyFont="1" applyFill="1" applyBorder="1"/>
    <xf numFmtId="169" fontId="10" fillId="0" borderId="22" xfId="57" applyFont="1" applyFill="1" applyBorder="1" applyAlignment="1">
      <alignment horizontal="left"/>
    </xf>
    <xf numFmtId="39" fontId="80" fillId="0" borderId="28" xfId="57" applyNumberFormat="1" applyFont="1" applyFill="1" applyBorder="1"/>
    <xf numFmtId="164" fontId="77" fillId="0" borderId="28" xfId="63" applyNumberFormat="1" applyFont="1" applyFill="1" applyBorder="1"/>
    <xf numFmtId="164" fontId="68" fillId="0" borderId="28" xfId="63" applyNumberFormat="1" applyFont="1" applyFill="1" applyBorder="1"/>
    <xf numFmtId="164" fontId="4" fillId="0" borderId="28" xfId="63" applyNumberFormat="1" applyFont="1" applyFill="1" applyBorder="1"/>
    <xf numFmtId="166" fontId="4" fillId="0" borderId="30" xfId="63" applyNumberFormat="1" applyFont="1" applyFill="1" applyBorder="1" applyAlignment="1">
      <alignment horizontal="left" indent="2"/>
    </xf>
    <xf numFmtId="166" fontId="77" fillId="0" borderId="34" xfId="63" applyNumberFormat="1" applyFont="1" applyFill="1" applyBorder="1"/>
    <xf numFmtId="43" fontId="82" fillId="0" borderId="28" xfId="63" applyFont="1" applyFill="1" applyBorder="1"/>
    <xf numFmtId="39" fontId="10" fillId="0" borderId="28" xfId="57" applyNumberFormat="1" applyFont="1" applyFill="1" applyBorder="1"/>
    <xf numFmtId="39" fontId="77" fillId="0" borderId="28" xfId="62" applyNumberFormat="1" applyFont="1" applyFill="1" applyBorder="1"/>
    <xf numFmtId="169" fontId="77" fillId="0" borderId="22" xfId="57" applyFont="1" applyFill="1" applyBorder="1" applyAlignment="1">
      <alignment horizontal="left"/>
    </xf>
    <xf numFmtId="39" fontId="10" fillId="0" borderId="35" xfId="57" applyNumberFormat="1" applyFont="1" applyFill="1" applyBorder="1"/>
    <xf numFmtId="169" fontId="77" fillId="0" borderId="22" xfId="57" applyFont="1" applyFill="1" applyBorder="1"/>
    <xf numFmtId="39" fontId="79" fillId="0" borderId="28" xfId="57" applyNumberFormat="1" applyFont="1" applyFill="1" applyBorder="1"/>
    <xf numFmtId="39" fontId="4" fillId="0" borderId="36" xfId="57" applyNumberFormat="1" applyFont="1" applyFill="1" applyBorder="1"/>
    <xf numFmtId="39" fontId="4" fillId="0" borderId="32" xfId="57" applyNumberFormat="1" applyFont="1" applyFill="1" applyBorder="1"/>
    <xf numFmtId="39" fontId="4" fillId="0" borderId="28" xfId="57" applyNumberFormat="1" applyFont="1" applyFill="1" applyBorder="1"/>
    <xf numFmtId="39" fontId="4" fillId="0" borderId="35" xfId="57" applyNumberFormat="1" applyFont="1" applyFill="1" applyBorder="1"/>
    <xf numFmtId="169" fontId="4" fillId="0" borderId="30" xfId="57" applyFont="1" applyFill="1" applyBorder="1"/>
    <xf numFmtId="39" fontId="4" fillId="0" borderId="34" xfId="57" applyNumberFormat="1" applyFont="1" applyFill="1" applyBorder="1"/>
    <xf numFmtId="39" fontId="79" fillId="0" borderId="23" xfId="57" applyNumberFormat="1" applyFont="1" applyFill="1" applyBorder="1"/>
    <xf numFmtId="39" fontId="4" fillId="0" borderId="37" xfId="57" applyNumberFormat="1" applyFont="1" applyFill="1" applyBorder="1"/>
    <xf numFmtId="39" fontId="4" fillId="0" borderId="0" xfId="57" applyNumberFormat="1"/>
    <xf numFmtId="169" fontId="4" fillId="0" borderId="30" xfId="57" applyFont="1" applyFill="1" applyBorder="1" applyAlignment="1">
      <alignment horizontal="left"/>
    </xf>
    <xf numFmtId="169" fontId="4" fillId="0" borderId="22" xfId="57" applyFont="1" applyFill="1" applyBorder="1" applyAlignment="1">
      <alignment horizontal="right"/>
    </xf>
    <xf numFmtId="169" fontId="10" fillId="0" borderId="30" xfId="57" applyFont="1" applyFill="1" applyBorder="1"/>
    <xf numFmtId="169" fontId="4" fillId="0" borderId="38" xfId="57" applyFont="1" applyFill="1" applyBorder="1"/>
    <xf numFmtId="169" fontId="4" fillId="0" borderId="17" xfId="57" applyFill="1" applyBorder="1"/>
    <xf numFmtId="169" fontId="4" fillId="0" borderId="12" xfId="57" applyFont="1" applyFill="1" applyBorder="1"/>
    <xf numFmtId="39" fontId="4" fillId="0" borderId="0" xfId="57" applyNumberFormat="1" applyFill="1" applyBorder="1"/>
    <xf numFmtId="169" fontId="4" fillId="0" borderId="8" xfId="57" applyFill="1" applyBorder="1"/>
    <xf numFmtId="169" fontId="4" fillId="0" borderId="0" xfId="57" quotePrefix="1" applyFont="1" applyFill="1" applyBorder="1" applyAlignment="1">
      <alignment horizontal="left"/>
    </xf>
    <xf numFmtId="39" fontId="4" fillId="0" borderId="39" xfId="57" applyNumberFormat="1" applyFill="1" applyBorder="1"/>
    <xf numFmtId="169" fontId="26" fillId="0" borderId="0" xfId="57" applyFont="1"/>
    <xf numFmtId="169" fontId="3" fillId="0" borderId="0" xfId="57" applyFont="1" applyAlignment="1">
      <alignment horizontal="left"/>
    </xf>
    <xf numFmtId="164" fontId="3" fillId="0" borderId="0" xfId="54" applyNumberFormat="1" applyFont="1"/>
    <xf numFmtId="169" fontId="26" fillId="0" borderId="0" xfId="57" applyNumberFormat="1" applyFont="1" applyFill="1" applyAlignment="1">
      <alignment horizontal="left"/>
    </xf>
    <xf numFmtId="169" fontId="26" fillId="0" borderId="0" xfId="54" applyNumberFormat="1" applyFont="1"/>
    <xf numFmtId="169" fontId="22" fillId="0" borderId="0" xfId="0" applyFont="1"/>
    <xf numFmtId="169" fontId="3" fillId="0" borderId="0" xfId="0" applyFont="1" applyBorder="1"/>
    <xf numFmtId="164" fontId="25" fillId="0" borderId="0" xfId="1" applyNumberFormat="1" applyFont="1" applyBorder="1"/>
    <xf numFmtId="169" fontId="3" fillId="0" borderId="0" xfId="57" applyFont="1" applyAlignment="1">
      <alignment horizontal="left" indent="1"/>
    </xf>
    <xf numFmtId="164" fontId="25" fillId="0" borderId="0" xfId="57" applyNumberFormat="1" applyFont="1"/>
    <xf numFmtId="169" fontId="22" fillId="0" borderId="0" xfId="0" applyFont="1" applyAlignment="1">
      <alignment horizontal="center"/>
    </xf>
    <xf numFmtId="169" fontId="43" fillId="0" borderId="0" xfId="57" applyFont="1" applyAlignment="1">
      <alignment horizontal="center"/>
    </xf>
    <xf numFmtId="169" fontId="43" fillId="0" borderId="0" xfId="57" applyNumberFormat="1" applyFont="1" applyAlignment="1">
      <alignment horizontal="center"/>
    </xf>
    <xf numFmtId="169" fontId="26" fillId="0" borderId="0" xfId="57" applyFont="1" applyAlignment="1">
      <alignment horizontal="left"/>
    </xf>
    <xf numFmtId="164" fontId="25" fillId="0" borderId="0" xfId="54" applyNumberFormat="1" applyFont="1"/>
    <xf numFmtId="168" fontId="3" fillId="0" borderId="0" xfId="55" applyNumberFormat="1" applyFont="1"/>
    <xf numFmtId="164" fontId="26" fillId="0" borderId="0" xfId="54" applyNumberFormat="1" applyFont="1"/>
    <xf numFmtId="164" fontId="86" fillId="0" borderId="0" xfId="54" applyNumberFormat="1" applyFont="1"/>
    <xf numFmtId="164" fontId="26" fillId="0" borderId="0" xfId="57" applyNumberFormat="1" applyFont="1"/>
    <xf numFmtId="9" fontId="3" fillId="0" borderId="0" xfId="73" applyNumberFormat="1" applyFont="1" applyFill="1" applyAlignment="1">
      <alignment horizontal="center"/>
    </xf>
    <xf numFmtId="164" fontId="3" fillId="0" borderId="0" xfId="74" applyNumberFormat="1" applyFont="1" applyFill="1" applyAlignment="1">
      <alignment horizontal="center"/>
    </xf>
    <xf numFmtId="169" fontId="7" fillId="0" borderId="0" xfId="0" applyNumberFormat="1" applyFont="1" applyAlignment="1">
      <alignment horizontal="center"/>
    </xf>
    <xf numFmtId="169" fontId="20" fillId="35" borderId="5" xfId="0" applyNumberFormat="1" applyFont="1" applyFill="1" applyBorder="1" applyAlignment="1">
      <alignment horizontal="center" wrapText="1"/>
    </xf>
    <xf numFmtId="169" fontId="7" fillId="35" borderId="0" xfId="0" applyNumberFormat="1" applyFont="1" applyFill="1" applyBorder="1" applyAlignment="1">
      <alignment horizontal="center" wrapText="1"/>
    </xf>
    <xf numFmtId="169" fontId="7" fillId="0" borderId="0" xfId="0" applyNumberFormat="1" applyFont="1" applyBorder="1" applyAlignment="1">
      <alignment horizontal="center" wrapText="1"/>
    </xf>
    <xf numFmtId="169" fontId="7" fillId="37" borderId="0" xfId="0" applyNumberFormat="1" applyFont="1" applyFill="1" applyAlignment="1">
      <alignment horizontal="center"/>
    </xf>
    <xf numFmtId="169" fontId="31" fillId="0" borderId="0" xfId="0" applyNumberFormat="1" applyFont="1" applyAlignment="1" applyProtection="1">
      <alignment horizontal="center"/>
    </xf>
    <xf numFmtId="169" fontId="31" fillId="0" borderId="0" xfId="0" applyNumberFormat="1" applyFont="1" applyAlignment="1" applyProtection="1">
      <alignment horizontal="left"/>
    </xf>
    <xf numFmtId="169" fontId="31" fillId="0" borderId="0" xfId="0" applyNumberFormat="1" applyFont="1" applyProtection="1"/>
    <xf numFmtId="169" fontId="7" fillId="33" borderId="0" xfId="0" applyNumberFormat="1" applyFont="1" applyFill="1" applyAlignment="1">
      <alignment horizontal="center"/>
    </xf>
    <xf numFmtId="169" fontId="3" fillId="0" borderId="0" xfId="59" applyNumberFormat="1" applyFont="1" applyFill="1" applyAlignment="1"/>
    <xf numFmtId="169" fontId="3" fillId="0" borderId="0" xfId="0" applyNumberFormat="1" applyFont="1" applyAlignment="1" applyProtection="1">
      <alignment horizontal="center"/>
    </xf>
    <xf numFmtId="169" fontId="3" fillId="0" borderId="0" xfId="0" applyNumberFormat="1" applyFont="1" applyProtection="1"/>
    <xf numFmtId="169" fontId="31" fillId="39" borderId="0" xfId="0" applyNumberFormat="1" applyFont="1" applyFill="1" applyAlignment="1" applyProtection="1">
      <alignment horizontal="center"/>
    </xf>
    <xf numFmtId="169" fontId="3" fillId="0" borderId="0" xfId="63" applyNumberFormat="1" applyFont="1" applyProtection="1"/>
    <xf numFmtId="169" fontId="3" fillId="0" borderId="0" xfId="0" applyNumberFormat="1" applyFont="1" applyAlignment="1" applyProtection="1">
      <alignment horizontal="left"/>
    </xf>
    <xf numFmtId="169" fontId="31" fillId="39" borderId="0" xfId="0" applyNumberFormat="1" applyFont="1" applyFill="1" applyProtection="1"/>
    <xf numFmtId="169" fontId="23" fillId="0" borderId="0" xfId="0" applyNumberFormat="1" applyFont="1" applyProtection="1"/>
    <xf numFmtId="169" fontId="3" fillId="39" borderId="0" xfId="0" applyNumberFormat="1" applyFont="1" applyFill="1" applyProtection="1"/>
    <xf numFmtId="169" fontId="3" fillId="39" borderId="0" xfId="0" applyNumberFormat="1" applyFont="1" applyFill="1" applyAlignment="1" applyProtection="1">
      <alignment horizontal="center"/>
    </xf>
    <xf numFmtId="169" fontId="7" fillId="35" borderId="0" xfId="0" applyNumberFormat="1" applyFont="1" applyFill="1" applyBorder="1" applyAlignment="1">
      <alignment wrapText="1"/>
    </xf>
    <xf numFmtId="169" fontId="7" fillId="0" borderId="0" xfId="0" applyNumberFormat="1" applyFont="1" applyBorder="1" applyAlignment="1">
      <alignment wrapText="1"/>
    </xf>
    <xf numFmtId="169" fontId="7" fillId="0" borderId="0" xfId="0" applyNumberFormat="1" applyFont="1"/>
    <xf numFmtId="169" fontId="3" fillId="0" borderId="0" xfId="5" applyNumberFormat="1" applyFont="1" applyFill="1" applyBorder="1" applyAlignment="1" applyProtection="1">
      <alignment horizontal="left"/>
    </xf>
    <xf numFmtId="169" fontId="7" fillId="37" borderId="0" xfId="0" applyNumberFormat="1" applyFont="1" applyFill="1"/>
    <xf numFmtId="169" fontId="7" fillId="33" borderId="0" xfId="0" applyNumberFormat="1" applyFont="1" applyFill="1"/>
    <xf numFmtId="169" fontId="3" fillId="0" borderId="0" xfId="59" applyNumberFormat="1" applyFont="1" applyFill="1" applyAlignment="1">
      <alignment horizontal="center"/>
    </xf>
    <xf numFmtId="169" fontId="3" fillId="0" borderId="0" xfId="0" applyNumberFormat="1" applyFont="1" applyFill="1" applyAlignment="1" applyProtection="1">
      <alignment horizontal="left"/>
    </xf>
    <xf numFmtId="169" fontId="46" fillId="0" borderId="0" xfId="0" applyNumberFormat="1" applyFont="1" applyAlignment="1" applyProtection="1">
      <alignment horizontal="center"/>
    </xf>
    <xf numFmtId="169" fontId="43" fillId="0" borderId="0" xfId="0" applyNumberFormat="1" applyFont="1" applyAlignment="1" applyProtection="1">
      <alignment horizontal="center"/>
    </xf>
    <xf numFmtId="169" fontId="39" fillId="39" borderId="0" xfId="0" applyNumberFormat="1" applyFont="1" applyFill="1" applyAlignment="1" applyProtection="1">
      <alignment horizontal="center"/>
    </xf>
    <xf numFmtId="169" fontId="46" fillId="39" borderId="0" xfId="0" applyNumberFormat="1" applyFont="1" applyFill="1" applyAlignment="1" applyProtection="1">
      <alignment horizontal="center"/>
    </xf>
    <xf numFmtId="169" fontId="3" fillId="39" borderId="0" xfId="0" applyNumberFormat="1" applyFont="1" applyFill="1" applyAlignment="1" applyProtection="1">
      <alignment horizontal="left"/>
    </xf>
    <xf numFmtId="169" fontId="3" fillId="0" borderId="0" xfId="0" applyNumberFormat="1" applyFont="1" applyFill="1" applyAlignment="1" applyProtection="1">
      <alignment horizontal="center"/>
    </xf>
    <xf numFmtId="169" fontId="20" fillId="34" borderId="8" xfId="0" applyNumberFormat="1" applyFont="1" applyFill="1" applyBorder="1" applyAlignment="1">
      <alignment horizontal="center"/>
    </xf>
    <xf numFmtId="169" fontId="7" fillId="35" borderId="9" xfId="0" applyNumberFormat="1" applyFont="1" applyFill="1" applyBorder="1" applyAlignment="1">
      <alignment horizontal="center"/>
    </xf>
    <xf numFmtId="169" fontId="34" fillId="34" borderId="5" xfId="0" applyNumberFormat="1" applyFont="1" applyFill="1" applyBorder="1" applyAlignment="1" applyProtection="1">
      <alignment horizontal="center"/>
    </xf>
    <xf numFmtId="169" fontId="20" fillId="35" borderId="7" xfId="0" applyNumberFormat="1" applyFont="1" applyFill="1" applyBorder="1" applyAlignment="1">
      <alignment horizontal="center" wrapText="1"/>
    </xf>
    <xf numFmtId="169" fontId="7" fillId="33" borderId="5" xfId="0" applyNumberFormat="1" applyFont="1" applyFill="1" applyBorder="1" applyAlignment="1">
      <alignment horizontal="center" wrapText="1"/>
    </xf>
    <xf numFmtId="169" fontId="20" fillId="33" borderId="5" xfId="0" applyNumberFormat="1" applyFont="1" applyFill="1" applyBorder="1" applyAlignment="1">
      <alignment horizontal="center" wrapText="1"/>
    </xf>
    <xf numFmtId="169" fontId="20" fillId="33" borderId="7" xfId="0" applyNumberFormat="1" applyFont="1" applyFill="1" applyBorder="1" applyAlignment="1">
      <alignment horizontal="center" wrapText="1"/>
    </xf>
    <xf numFmtId="169" fontId="7" fillId="35" borderId="5" xfId="0" applyNumberFormat="1" applyFont="1" applyFill="1" applyBorder="1" applyAlignment="1">
      <alignment horizontal="center" wrapText="1"/>
    </xf>
    <xf numFmtId="169" fontId="7" fillId="34" borderId="0" xfId="0" applyNumberFormat="1" applyFont="1" applyFill="1" applyBorder="1" applyAlignment="1">
      <alignment horizontal="center" wrapText="1"/>
    </xf>
    <xf numFmtId="169" fontId="7" fillId="35" borderId="6" xfId="0" applyNumberFormat="1" applyFont="1" applyFill="1" applyBorder="1" applyAlignment="1">
      <alignment horizontal="center" wrapText="1"/>
    </xf>
    <xf numFmtId="169" fontId="7" fillId="35" borderId="6" xfId="0" applyNumberFormat="1" applyFont="1" applyFill="1" applyBorder="1" applyAlignment="1">
      <alignment wrapText="1"/>
    </xf>
    <xf numFmtId="169" fontId="7" fillId="33" borderId="0" xfId="0" applyNumberFormat="1" applyFont="1" applyFill="1" applyBorder="1" applyAlignment="1">
      <alignment wrapText="1"/>
    </xf>
    <xf numFmtId="169" fontId="7" fillId="33" borderId="6" xfId="0" applyNumberFormat="1" applyFont="1" applyFill="1" applyBorder="1" applyAlignment="1">
      <alignment wrapText="1"/>
    </xf>
    <xf numFmtId="169" fontId="3" fillId="0" borderId="0" xfId="0" applyNumberFormat="1" applyFont="1" applyFill="1" applyAlignment="1">
      <alignment horizontal="left"/>
    </xf>
    <xf numFmtId="169" fontId="7" fillId="0" borderId="0" xfId="0" applyNumberFormat="1" applyFont="1" applyFill="1" applyAlignment="1">
      <alignment horizontal="center"/>
    </xf>
    <xf numFmtId="169" fontId="32" fillId="37" borderId="0" xfId="0" applyNumberFormat="1" applyFont="1" applyFill="1" applyAlignment="1">
      <alignment horizontal="center"/>
    </xf>
    <xf numFmtId="169" fontId="22" fillId="0" borderId="0" xfId="59" applyNumberFormat="1" applyFont="1" applyFill="1" applyAlignment="1"/>
    <xf numFmtId="169" fontId="23" fillId="0" borderId="0" xfId="59" applyNumberFormat="1" applyFont="1" applyFill="1" applyAlignment="1">
      <alignment horizontal="center"/>
    </xf>
    <xf numFmtId="169" fontId="3" fillId="0" borderId="0" xfId="64" applyNumberFormat="1" applyFont="1" applyFill="1" applyAlignment="1">
      <alignment horizontal="center"/>
    </xf>
    <xf numFmtId="169" fontId="22" fillId="0" borderId="0" xfId="0" applyNumberFormat="1" applyFont="1" applyProtection="1"/>
    <xf numFmtId="169" fontId="26" fillId="0" borderId="0" xfId="0" applyNumberFormat="1" applyFont="1" applyProtection="1"/>
    <xf numFmtId="169" fontId="3" fillId="0" borderId="0" xfId="0" applyNumberFormat="1" applyFont="1" applyAlignment="1" applyProtection="1">
      <alignment wrapText="1"/>
    </xf>
    <xf numFmtId="169" fontId="43" fillId="0" borderId="0" xfId="0" applyNumberFormat="1" applyFont="1" applyAlignment="1" applyProtection="1">
      <alignment wrapText="1"/>
    </xf>
    <xf numFmtId="169" fontId="31" fillId="39" borderId="0" xfId="0" applyNumberFormat="1" applyFont="1" applyFill="1" applyAlignment="1" applyProtection="1">
      <alignment horizontal="left"/>
    </xf>
    <xf numFmtId="169" fontId="64" fillId="39" borderId="0" xfId="0" applyNumberFormat="1" applyFont="1" applyFill="1" applyProtection="1"/>
    <xf numFmtId="169" fontId="31" fillId="39" borderId="0" xfId="0" applyNumberFormat="1" applyFont="1" applyFill="1" applyAlignment="1" applyProtection="1">
      <alignment wrapText="1"/>
    </xf>
    <xf numFmtId="169" fontId="64" fillId="0" borderId="0" xfId="0" applyNumberFormat="1" applyFont="1" applyProtection="1"/>
    <xf numFmtId="169" fontId="31" fillId="0" borderId="0" xfId="0" applyNumberFormat="1" applyFont="1" applyAlignment="1" applyProtection="1">
      <alignment wrapText="1"/>
    </xf>
    <xf numFmtId="169" fontId="57" fillId="0" borderId="0" xfId="0" quotePrefix="1" applyNumberFormat="1" applyFont="1" applyFill="1" applyAlignment="1" applyProtection="1">
      <alignment horizontal="left"/>
    </xf>
    <xf numFmtId="169" fontId="3" fillId="0" borderId="0" xfId="63" applyNumberFormat="1" applyFont="1" applyAlignment="1" applyProtection="1">
      <alignment horizontal="center"/>
    </xf>
    <xf numFmtId="169" fontId="3" fillId="0" borderId="0" xfId="63" applyNumberFormat="1" applyFont="1" applyAlignment="1" applyProtection="1">
      <alignment wrapText="1"/>
    </xf>
    <xf numFmtId="169" fontId="26" fillId="0" borderId="0" xfId="0" applyNumberFormat="1" applyFont="1" applyFill="1" applyAlignment="1" applyProtection="1">
      <alignment horizontal="left"/>
    </xf>
    <xf numFmtId="169" fontId="26" fillId="0" borderId="0" xfId="0" applyNumberFormat="1" applyFont="1" applyAlignment="1" applyProtection="1">
      <alignment horizontal="left"/>
    </xf>
    <xf numFmtId="169" fontId="46" fillId="0" borderId="0" xfId="0" applyNumberFormat="1" applyFont="1" applyProtection="1"/>
    <xf numFmtId="169" fontId="53" fillId="0" borderId="0" xfId="0" applyNumberFormat="1" applyFont="1" applyProtection="1"/>
    <xf numFmtId="169" fontId="46" fillId="0" borderId="0" xfId="0" applyNumberFormat="1" applyFont="1" applyAlignment="1" applyProtection="1">
      <alignment wrapText="1"/>
    </xf>
    <xf numFmtId="169" fontId="46" fillId="0" borderId="0" xfId="0" applyNumberFormat="1" applyFont="1" applyAlignment="1" applyProtection="1">
      <alignment horizontal="left"/>
    </xf>
    <xf numFmtId="169" fontId="43" fillId="0" borderId="0" xfId="0" applyNumberFormat="1" applyFont="1" applyProtection="1"/>
    <xf numFmtId="169" fontId="23" fillId="0" borderId="0" xfId="0" applyNumberFormat="1" applyFont="1" applyAlignment="1" applyProtection="1">
      <alignment horizontal="right"/>
    </xf>
    <xf numFmtId="169" fontId="43" fillId="0" borderId="0" xfId="0" applyNumberFormat="1" applyFont="1" applyAlignment="1" applyProtection="1">
      <alignment horizontal="left"/>
    </xf>
    <xf numFmtId="169" fontId="39" fillId="39" borderId="0" xfId="0" applyNumberFormat="1" applyFont="1" applyFill="1" applyAlignment="1" applyProtection="1">
      <alignment horizontal="left"/>
    </xf>
    <xf numFmtId="169" fontId="39" fillId="39" borderId="0" xfId="0" applyNumberFormat="1" applyFont="1" applyFill="1" applyProtection="1"/>
    <xf numFmtId="169" fontId="71" fillId="39" borderId="0" xfId="0" applyNumberFormat="1" applyFont="1" applyFill="1" applyProtection="1"/>
    <xf numFmtId="169" fontId="39" fillId="39" borderId="0" xfId="0" applyNumberFormat="1" applyFont="1" applyFill="1" applyAlignment="1" applyProtection="1">
      <alignment wrapText="1"/>
    </xf>
    <xf numFmtId="169" fontId="46" fillId="39" borderId="0" xfId="0" applyNumberFormat="1" applyFont="1" applyFill="1" applyAlignment="1" applyProtection="1">
      <alignment horizontal="left"/>
    </xf>
    <xf numFmtId="169" fontId="46" fillId="39" borderId="0" xfId="0" applyNumberFormat="1" applyFont="1" applyFill="1" applyProtection="1"/>
    <xf numFmtId="169" fontId="53" fillId="39" borderId="0" xfId="0" applyNumberFormat="1" applyFont="1" applyFill="1" applyProtection="1"/>
    <xf numFmtId="169" fontId="46" fillId="39" borderId="0" xfId="0" applyNumberFormat="1" applyFont="1" applyFill="1" applyAlignment="1" applyProtection="1">
      <alignment wrapText="1"/>
    </xf>
    <xf numFmtId="169" fontId="26" fillId="39" borderId="0" xfId="0" applyNumberFormat="1" applyFont="1" applyFill="1" applyAlignment="1" applyProtection="1">
      <alignment horizontal="left"/>
    </xf>
    <xf numFmtId="169" fontId="3" fillId="39" borderId="0" xfId="0" applyNumberFormat="1" applyFont="1" applyFill="1" applyAlignment="1" applyProtection="1">
      <alignment wrapText="1"/>
    </xf>
    <xf numFmtId="10" fontId="7" fillId="35" borderId="5" xfId="0" applyNumberFormat="1" applyFont="1" applyFill="1" applyBorder="1" applyAlignment="1">
      <alignment horizontal="center" wrapText="1"/>
    </xf>
    <xf numFmtId="10" fontId="7" fillId="35" borderId="7" xfId="0" applyNumberFormat="1" applyFont="1" applyFill="1" applyBorder="1" applyAlignment="1">
      <alignment horizontal="center" wrapText="1"/>
    </xf>
    <xf numFmtId="10" fontId="7" fillId="35" borderId="0" xfId="0" applyNumberFormat="1" applyFont="1" applyFill="1" applyBorder="1" applyAlignment="1">
      <alignment horizontal="center" wrapText="1"/>
    </xf>
    <xf numFmtId="10" fontId="7" fillId="35" borderId="6" xfId="0" applyNumberFormat="1" applyFont="1" applyFill="1" applyBorder="1" applyAlignment="1">
      <alignment horizontal="center" wrapText="1"/>
    </xf>
    <xf numFmtId="10" fontId="7" fillId="0" borderId="0" xfId="0" applyNumberFormat="1" applyFont="1" applyBorder="1" applyAlignment="1">
      <alignment horizontal="center" wrapText="1"/>
    </xf>
    <xf numFmtId="10" fontId="7" fillId="0" borderId="0" xfId="0" applyNumberFormat="1" applyFont="1"/>
    <xf numFmtId="10" fontId="7" fillId="37" borderId="0" xfId="0" applyNumberFormat="1" applyFont="1" applyFill="1"/>
    <xf numFmtId="10" fontId="7" fillId="33" borderId="0" xfId="0" applyNumberFormat="1" applyFont="1" applyFill="1"/>
    <xf numFmtId="10" fontId="3" fillId="0" borderId="0" xfId="0" applyNumberFormat="1" applyFont="1" applyAlignment="1" applyProtection="1">
      <alignment horizontal="center"/>
    </xf>
    <xf numFmtId="10" fontId="43" fillId="0" borderId="0" xfId="0" applyNumberFormat="1" applyFont="1" applyAlignment="1" applyProtection="1">
      <alignment horizontal="center"/>
    </xf>
    <xf numFmtId="10" fontId="31" fillId="39" borderId="0" xfId="0" applyNumberFormat="1" applyFont="1" applyFill="1" applyAlignment="1" applyProtection="1">
      <alignment horizontal="center"/>
    </xf>
    <xf numFmtId="10" fontId="31" fillId="0" borderId="0" xfId="0" applyNumberFormat="1" applyFont="1" applyAlignment="1" applyProtection="1">
      <alignment horizontal="center"/>
    </xf>
    <xf numFmtId="10" fontId="3" fillId="0" borderId="0" xfId="63" applyNumberFormat="1" applyFont="1" applyAlignment="1" applyProtection="1">
      <alignment horizontal="center"/>
    </xf>
    <xf numFmtId="10" fontId="46" fillId="0" borderId="0" xfId="0" applyNumberFormat="1" applyFont="1" applyAlignment="1" applyProtection="1">
      <alignment horizontal="center"/>
    </xf>
    <xf numFmtId="10" fontId="39" fillId="39" borderId="0" xfId="0" applyNumberFormat="1" applyFont="1" applyFill="1" applyAlignment="1" applyProtection="1">
      <alignment horizontal="center"/>
    </xf>
    <xf numFmtId="10" fontId="46" fillId="39" borderId="0" xfId="0" applyNumberFormat="1" applyFont="1" applyFill="1" applyAlignment="1" applyProtection="1">
      <alignment horizontal="center"/>
    </xf>
    <xf numFmtId="10" fontId="3" fillId="39" borderId="0" xfId="0" applyNumberFormat="1" applyFont="1" applyFill="1" applyAlignment="1" applyProtection="1">
      <alignment horizontal="center"/>
    </xf>
    <xf numFmtId="169" fontId="23" fillId="0" borderId="0" xfId="77" applyNumberFormat="1" applyFont="1"/>
    <xf numFmtId="169" fontId="90" fillId="0" borderId="0" xfId="77" applyFont="1" applyFill="1" applyAlignment="1">
      <alignment horizontal="left"/>
    </xf>
    <xf numFmtId="169" fontId="97" fillId="0" borderId="0" xfId="77" applyNumberFormat="1" applyFont="1" applyFill="1"/>
    <xf numFmtId="169" fontId="90" fillId="0" borderId="0" xfId="77" applyFont="1"/>
    <xf numFmtId="169" fontId="90" fillId="0" borderId="0" xfId="77" applyFont="1" applyFill="1"/>
    <xf numFmtId="169" fontId="89" fillId="0" borderId="0" xfId="77"/>
    <xf numFmtId="169" fontId="3" fillId="0" borderId="0" xfId="77" applyFont="1"/>
    <xf numFmtId="169" fontId="98" fillId="0" borderId="0" xfId="77" applyFont="1" applyAlignment="1"/>
    <xf numFmtId="169" fontId="90" fillId="0" borderId="0" xfId="77" applyNumberFormat="1" applyFont="1" applyAlignment="1">
      <alignment horizontal="centerContinuous"/>
    </xf>
    <xf numFmtId="169" fontId="5" fillId="0" borderId="0" xfId="77" applyFont="1"/>
    <xf numFmtId="170" fontId="90" fillId="0" borderId="0" xfId="77" applyNumberFormat="1" applyFont="1" applyFill="1" applyAlignment="1" applyProtection="1">
      <alignment horizontal="centerContinuous"/>
    </xf>
    <xf numFmtId="169" fontId="5" fillId="0" borderId="0" xfId="77" applyNumberFormat="1" applyFont="1" applyAlignment="1">
      <alignment horizontal="centerContinuous"/>
    </xf>
    <xf numFmtId="169" fontId="90" fillId="0" borderId="0" xfId="77" applyNumberFormat="1" applyFont="1" applyAlignment="1" applyProtection="1">
      <alignment horizontal="centerContinuous"/>
    </xf>
    <xf numFmtId="169" fontId="5" fillId="0" borderId="0" xfId="77" applyNumberFormat="1" applyFont="1" applyAlignment="1" applyProtection="1">
      <alignment horizontal="centerContinuous"/>
    </xf>
    <xf numFmtId="169" fontId="90" fillId="0" borderId="0" xfId="77" quotePrefix="1" applyNumberFormat="1" applyFont="1" applyAlignment="1" applyProtection="1">
      <alignment horizontal="centerContinuous"/>
    </xf>
    <xf numFmtId="169" fontId="23" fillId="0" borderId="0" xfId="77" applyNumberFormat="1" applyFont="1" applyFill="1"/>
    <xf numFmtId="169" fontId="22" fillId="0" borderId="0" xfId="77" applyNumberFormat="1" applyFont="1" applyFill="1"/>
    <xf numFmtId="169" fontId="3" fillId="0" borderId="0" xfId="77" applyNumberFormat="1" applyFont="1" applyFill="1"/>
    <xf numFmtId="169" fontId="3" fillId="0" borderId="0" xfId="77" applyFont="1" applyFill="1"/>
    <xf numFmtId="169" fontId="23" fillId="0" borderId="0" xfId="78" applyFont="1" applyAlignment="1"/>
    <xf numFmtId="169" fontId="42" fillId="0" borderId="0" xfId="77" applyNumberFormat="1" applyFont="1" applyFill="1"/>
    <xf numFmtId="169" fontId="3" fillId="0" borderId="0" xfId="77" applyNumberFormat="1" applyFont="1" applyFill="1" applyAlignment="1"/>
    <xf numFmtId="169" fontId="3" fillId="0" borderId="0" xfId="77" applyFont="1" applyFill="1" applyAlignment="1"/>
    <xf numFmtId="169" fontId="91" fillId="0" borderId="0" xfId="77" applyFont="1" applyBorder="1" applyAlignment="1">
      <alignment horizontal="center"/>
    </xf>
    <xf numFmtId="169" fontId="3" fillId="0" borderId="0" xfId="78" applyFont="1" applyAlignment="1"/>
    <xf numFmtId="169" fontId="44" fillId="0" borderId="0" xfId="77" applyNumberFormat="1" applyFont="1" applyFill="1" applyAlignment="1">
      <alignment horizontal="center"/>
    </xf>
    <xf numFmtId="169" fontId="22" fillId="0" borderId="0" xfId="77" applyFont="1" applyFill="1" applyAlignment="1">
      <alignment horizontal="center"/>
    </xf>
    <xf numFmtId="169" fontId="3" fillId="0" borderId="0" xfId="77" applyNumberFormat="1" applyFont="1"/>
    <xf numFmtId="169" fontId="23" fillId="0" borderId="0" xfId="77" quotePrefix="1" applyNumberFormat="1" applyFont="1" applyFill="1" applyAlignment="1">
      <alignment horizontal="center"/>
    </xf>
    <xf numFmtId="164" fontId="44" fillId="0" borderId="0" xfId="63" applyNumberFormat="1" applyFont="1"/>
    <xf numFmtId="164" fontId="3" fillId="0" borderId="0" xfId="77" applyNumberFormat="1" applyFont="1"/>
    <xf numFmtId="177" fontId="23" fillId="0" borderId="0" xfId="77" applyNumberFormat="1" applyFont="1" applyFill="1" applyAlignment="1">
      <alignment horizontal="center"/>
    </xf>
    <xf numFmtId="169" fontId="23" fillId="0" borderId="0" xfId="77" applyNumberFormat="1" applyFont="1" applyFill="1" applyAlignment="1">
      <alignment horizontal="center"/>
    </xf>
    <xf numFmtId="164" fontId="48" fillId="0" borderId="0" xfId="63" applyNumberFormat="1" applyFont="1"/>
    <xf numFmtId="167" fontId="3" fillId="0" borderId="0" xfId="62" applyNumberFormat="1" applyFont="1"/>
    <xf numFmtId="164" fontId="42" fillId="0" borderId="0" xfId="63" applyNumberFormat="1" applyFont="1" applyFill="1" applyAlignment="1">
      <alignment horizontal="right"/>
    </xf>
    <xf numFmtId="173" fontId="3" fillId="0" borderId="0" xfId="64" applyNumberFormat="1" applyFont="1" applyFill="1" applyAlignment="1">
      <alignment horizontal="center"/>
    </xf>
    <xf numFmtId="167" fontId="46" fillId="0" borderId="0" xfId="62" applyNumberFormat="1" applyFont="1"/>
    <xf numFmtId="167" fontId="46" fillId="0" borderId="0" xfId="62" applyNumberFormat="1" applyFont="1" applyFill="1"/>
    <xf numFmtId="169" fontId="23" fillId="0" borderId="0" xfId="77" applyNumberFormat="1" applyFont="1" applyBorder="1"/>
    <xf numFmtId="169" fontId="3" fillId="0" borderId="0" xfId="77" applyNumberFormat="1" applyFont="1" applyBorder="1"/>
    <xf numFmtId="169" fontId="3" fillId="0" borderId="0" xfId="77" applyFont="1" applyBorder="1"/>
    <xf numFmtId="169" fontId="22" fillId="0" borderId="0" xfId="77" applyNumberFormat="1" applyFont="1"/>
    <xf numFmtId="1" fontId="22" fillId="0" borderId="0" xfId="77" applyNumberFormat="1" applyFont="1" applyAlignment="1">
      <alignment horizontal="center"/>
    </xf>
    <xf numFmtId="169" fontId="22" fillId="0" borderId="0" xfId="77" applyFont="1"/>
    <xf numFmtId="1" fontId="44" fillId="0" borderId="0" xfId="63" applyNumberFormat="1" applyFont="1" applyFill="1" applyAlignment="1">
      <alignment horizontal="center"/>
    </xf>
    <xf numFmtId="169" fontId="22" fillId="0" borderId="0" xfId="77" applyFont="1" applyFill="1"/>
    <xf numFmtId="164" fontId="99" fillId="0" borderId="0" xfId="63" applyNumberFormat="1" applyFont="1" applyFill="1"/>
    <xf numFmtId="169" fontId="3" fillId="0" borderId="0" xfId="63" applyNumberFormat="1" applyFont="1" applyFill="1"/>
    <xf numFmtId="169" fontId="23" fillId="0" borderId="0" xfId="77" quotePrefix="1" applyNumberFormat="1" applyFont="1"/>
    <xf numFmtId="169" fontId="26" fillId="0" borderId="0" xfId="77" applyNumberFormat="1" applyFont="1"/>
    <xf numFmtId="169" fontId="3" fillId="0" borderId="0" xfId="77" applyFont="1" applyFill="1" applyBorder="1"/>
    <xf numFmtId="169" fontId="47" fillId="0" borderId="0" xfId="77" applyNumberFormat="1" applyFont="1"/>
    <xf numFmtId="164" fontId="3" fillId="0" borderId="0" xfId="77" applyNumberFormat="1" applyFont="1" applyFill="1"/>
    <xf numFmtId="169" fontId="47" fillId="0" borderId="0" xfId="77" applyNumberFormat="1" applyFont="1" applyFill="1"/>
    <xf numFmtId="169" fontId="55" fillId="0" borderId="0" xfId="77" applyNumberFormat="1" applyFont="1" applyFill="1"/>
    <xf numFmtId="169" fontId="44" fillId="0" borderId="0" xfId="77" applyNumberFormat="1" applyFont="1" applyFill="1"/>
    <xf numFmtId="164" fontId="25" fillId="0" borderId="0" xfId="77" applyNumberFormat="1" applyFont="1"/>
    <xf numFmtId="169" fontId="3" fillId="0" borderId="0" xfId="77" applyNumberFormat="1" applyFont="1" applyFill="1" applyAlignment="1">
      <alignment horizontal="left"/>
    </xf>
    <xf numFmtId="1" fontId="3" fillId="0" borderId="0" xfId="63" applyNumberFormat="1" applyFont="1" applyFill="1" applyAlignment="1">
      <alignment horizontal="left"/>
    </xf>
    <xf numFmtId="169" fontId="3" fillId="0" borderId="0" xfId="78" applyFont="1" applyFill="1" applyAlignment="1"/>
    <xf numFmtId="169" fontId="90" fillId="0" borderId="0" xfId="77" applyNumberFormat="1" applyFont="1" applyFill="1" applyAlignment="1">
      <alignment horizontal="centerContinuous"/>
    </xf>
    <xf numFmtId="169" fontId="5" fillId="0" borderId="0" xfId="77" applyFont="1" applyFill="1"/>
    <xf numFmtId="169" fontId="5" fillId="0" borderId="0" xfId="77" applyNumberFormat="1" applyFont="1" applyFill="1" applyAlignment="1">
      <alignment horizontal="centerContinuous"/>
    </xf>
    <xf numFmtId="169" fontId="90" fillId="0" borderId="0" xfId="77" applyNumberFormat="1" applyFont="1" applyFill="1" applyAlignment="1" applyProtection="1">
      <alignment horizontal="centerContinuous"/>
    </xf>
    <xf numFmtId="169" fontId="5" fillId="0" borderId="0" xfId="77" applyNumberFormat="1" applyFont="1" applyFill="1" applyAlignment="1" applyProtection="1">
      <alignment horizontal="centerContinuous"/>
    </xf>
    <xf numFmtId="169" fontId="90" fillId="0" borderId="0" xfId="77" quotePrefix="1" applyNumberFormat="1" applyFont="1" applyFill="1" applyAlignment="1" applyProtection="1">
      <alignment horizontal="centerContinuous"/>
    </xf>
    <xf numFmtId="169" fontId="26" fillId="0" borderId="0" xfId="77" applyNumberFormat="1" applyFont="1" applyFill="1" applyAlignment="1">
      <alignment horizontal="center"/>
    </xf>
    <xf numFmtId="169" fontId="26" fillId="0" borderId="0" xfId="77" applyFont="1" applyFill="1" applyAlignment="1">
      <alignment horizontal="center" wrapText="1"/>
    </xf>
    <xf numFmtId="164" fontId="26" fillId="0" borderId="0" xfId="63" applyNumberFormat="1" applyFont="1" applyFill="1" applyAlignment="1">
      <alignment horizontal="center" wrapText="1"/>
    </xf>
    <xf numFmtId="169" fontId="22" fillId="0" borderId="0" xfId="79" applyNumberFormat="1" applyFont="1" applyFill="1" applyBorder="1"/>
    <xf numFmtId="169" fontId="3" fillId="0" borderId="0" xfId="79" applyNumberFormat="1" applyFont="1" applyFill="1" applyBorder="1"/>
    <xf numFmtId="164" fontId="46" fillId="0" borderId="0" xfId="63" applyNumberFormat="1" applyFont="1" applyFill="1"/>
    <xf numFmtId="10" fontId="3" fillId="0" borderId="0" xfId="64" applyNumberFormat="1" applyFont="1" applyFill="1"/>
    <xf numFmtId="10" fontId="43" fillId="0" borderId="0" xfId="64" applyNumberFormat="1" applyFont="1" applyFill="1"/>
    <xf numFmtId="10" fontId="46" fillId="0" borderId="0" xfId="64" applyNumberFormat="1" applyFont="1" applyFill="1"/>
    <xf numFmtId="169" fontId="3" fillId="0" borderId="0" xfId="63" applyNumberFormat="1" applyFont="1" applyFill="1" applyAlignment="1">
      <alignment horizontal="left"/>
    </xf>
    <xf numFmtId="169" fontId="23" fillId="0" borderId="0" xfId="78" applyFont="1" applyFill="1" applyAlignment="1">
      <alignment horizontal="center"/>
    </xf>
    <xf numFmtId="178" fontId="26" fillId="0" borderId="0" xfId="77" applyNumberFormat="1" applyFont="1" applyFill="1"/>
    <xf numFmtId="169" fontId="22" fillId="0" borderId="0" xfId="77" applyNumberFormat="1" applyFont="1" applyFill="1" applyAlignment="1" applyProtection="1">
      <alignment horizontal="left"/>
    </xf>
    <xf numFmtId="167" fontId="3" fillId="0" borderId="0" xfId="64" applyNumberFormat="1" applyFont="1" applyFill="1"/>
    <xf numFmtId="164" fontId="25" fillId="0" borderId="0" xfId="64" applyNumberFormat="1" applyFont="1" applyFill="1"/>
    <xf numFmtId="169" fontId="3" fillId="0" borderId="0" xfId="77" applyNumberFormat="1" applyFont="1" applyFill="1" applyAlignment="1" applyProtection="1">
      <alignment horizontal="left"/>
    </xf>
    <xf numFmtId="169" fontId="22" fillId="0" borderId="0" xfId="63" applyNumberFormat="1" applyFont="1" applyFill="1"/>
    <xf numFmtId="169" fontId="3" fillId="0" borderId="0" xfId="63" applyNumberFormat="1" applyFont="1" applyFill="1" applyAlignment="1">
      <alignment horizontal="center"/>
    </xf>
    <xf numFmtId="169" fontId="75" fillId="0" borderId="0" xfId="63" applyNumberFormat="1" applyFont="1" applyFill="1" applyAlignment="1"/>
    <xf numFmtId="164" fontId="102" fillId="0" borderId="0" xfId="63" applyNumberFormat="1" applyFont="1" applyFill="1" applyAlignment="1"/>
    <xf numFmtId="167" fontId="53" fillId="0" borderId="0" xfId="62" applyNumberFormat="1" applyFont="1" applyFill="1"/>
    <xf numFmtId="169" fontId="26" fillId="0" borderId="0" xfId="77" applyNumberFormat="1" applyFont="1" applyFill="1" applyAlignment="1" applyProtection="1">
      <alignment horizontal="left"/>
    </xf>
    <xf numFmtId="169" fontId="57" fillId="0" borderId="0" xfId="77" applyNumberFormat="1" applyFont="1" applyFill="1" applyAlignment="1" applyProtection="1">
      <alignment horizontal="left"/>
    </xf>
    <xf numFmtId="169" fontId="23" fillId="0" borderId="0" xfId="77" applyNumberFormat="1" applyFont="1" applyFill="1" applyAlignment="1" applyProtection="1">
      <alignment horizontal="left"/>
    </xf>
    <xf numFmtId="169" fontId="26" fillId="0" borderId="0" xfId="63" applyNumberFormat="1" applyFont="1" applyFill="1"/>
    <xf numFmtId="169" fontId="65" fillId="0" borderId="0" xfId="63" applyNumberFormat="1" applyFont="1" applyFill="1"/>
    <xf numFmtId="169" fontId="23" fillId="0" borderId="0" xfId="63" applyNumberFormat="1" applyFont="1" applyFill="1"/>
    <xf numFmtId="1" fontId="23" fillId="0" borderId="0" xfId="77" applyNumberFormat="1" applyFont="1" applyFill="1" applyAlignment="1">
      <alignment horizontal="center"/>
    </xf>
    <xf numFmtId="169" fontId="26" fillId="0" borderId="0" xfId="77" applyNumberFormat="1" applyFont="1" applyFill="1"/>
    <xf numFmtId="169" fontId="65" fillId="0" borderId="0" xfId="77" applyNumberFormat="1" applyFont="1" applyFill="1"/>
    <xf numFmtId="169" fontId="23" fillId="0" borderId="0" xfId="77" applyFont="1" applyFill="1"/>
    <xf numFmtId="169" fontId="22" fillId="0" borderId="0" xfId="77" applyNumberFormat="1" applyFont="1" applyFill="1" applyAlignment="1">
      <alignment horizontal="left"/>
    </xf>
    <xf numFmtId="169" fontId="22" fillId="0" borderId="0" xfId="63" applyNumberFormat="1" applyFont="1" applyFill="1" applyAlignment="1">
      <alignment horizontal="left"/>
    </xf>
    <xf numFmtId="169" fontId="3" fillId="0" borderId="0" xfId="77" applyFont="1" applyFill="1" applyAlignment="1">
      <alignment horizontal="left"/>
    </xf>
    <xf numFmtId="169" fontId="23" fillId="0" borderId="0" xfId="63" applyNumberFormat="1" applyFont="1" applyFill="1" applyAlignment="1"/>
    <xf numFmtId="169" fontId="26" fillId="0" borderId="0" xfId="77" applyFont="1" applyFill="1"/>
    <xf numFmtId="164" fontId="26" fillId="0" borderId="0" xfId="63" applyNumberFormat="1" applyFont="1" applyFill="1"/>
    <xf numFmtId="164" fontId="53" fillId="0" borderId="0" xfId="63" applyNumberFormat="1" applyFont="1" applyFill="1"/>
    <xf numFmtId="1" fontId="3" fillId="0" borderId="0" xfId="77" applyNumberFormat="1" applyFont="1" applyFill="1"/>
    <xf numFmtId="169" fontId="23" fillId="0" borderId="0" xfId="63" applyNumberFormat="1" applyFont="1" applyFill="1" applyAlignment="1">
      <alignment horizontal="right"/>
    </xf>
    <xf numFmtId="164" fontId="22" fillId="0" borderId="0" xfId="63" applyNumberFormat="1" applyFont="1" applyFill="1"/>
    <xf numFmtId="169" fontId="3" fillId="0" borderId="0" xfId="63" applyNumberFormat="1" applyFont="1" applyFill="1" applyAlignment="1">
      <alignment horizontal="right"/>
    </xf>
    <xf numFmtId="169" fontId="4" fillId="0" borderId="0" xfId="77" applyNumberFormat="1" applyFont="1" applyFill="1" applyAlignment="1" applyProtection="1">
      <alignment horizontal="left"/>
    </xf>
    <xf numFmtId="167" fontId="103" fillId="0" borderId="0" xfId="77" applyNumberFormat="1" applyFont="1" applyFill="1"/>
    <xf numFmtId="169" fontId="103" fillId="0" borderId="0" xfId="77" applyFont="1" applyFill="1"/>
    <xf numFmtId="169" fontId="3" fillId="0" borderId="0" xfId="57" applyFont="1" applyFill="1" applyAlignment="1">
      <alignment horizontal="left" indent="2"/>
    </xf>
    <xf numFmtId="169" fontId="43" fillId="0" borderId="0" xfId="57" applyFont="1" applyFill="1"/>
    <xf numFmtId="169" fontId="3" fillId="0" borderId="2" xfId="59" applyFont="1" applyFill="1" applyBorder="1" applyAlignment="1"/>
    <xf numFmtId="169" fontId="3" fillId="0" borderId="2" xfId="59" applyFont="1" applyFill="1" applyBorder="1" applyAlignment="1">
      <alignment horizontal="center"/>
    </xf>
    <xf numFmtId="169" fontId="23" fillId="0" borderId="2" xfId="59" applyFont="1" applyFill="1" applyBorder="1" applyAlignment="1">
      <alignment horizontal="center"/>
    </xf>
    <xf numFmtId="9" fontId="3" fillId="0" borderId="2" xfId="64" applyNumberFormat="1" applyFont="1" applyFill="1" applyBorder="1" applyAlignment="1">
      <alignment horizontal="center"/>
    </xf>
    <xf numFmtId="169" fontId="22" fillId="0" borderId="2" xfId="59" applyFont="1" applyFill="1" applyBorder="1" applyAlignment="1"/>
    <xf numFmtId="167" fontId="3" fillId="0" borderId="2" xfId="59" applyNumberFormat="1" applyFont="1" applyFill="1" applyBorder="1" applyAlignment="1"/>
    <xf numFmtId="164" fontId="108" fillId="0" borderId="0" xfId="63" applyNumberFormat="1" applyFont="1" applyFill="1" applyAlignment="1"/>
    <xf numFmtId="169" fontId="43" fillId="0" borderId="0" xfId="78" applyFont="1" applyFill="1" applyAlignment="1"/>
    <xf numFmtId="169" fontId="3" fillId="0" borderId="0" xfId="78" applyFont="1" applyFill="1" applyAlignment="1">
      <alignment horizontal="center"/>
    </xf>
    <xf numFmtId="164" fontId="44" fillId="0" borderId="0" xfId="63" applyNumberFormat="1" applyFont="1" applyFill="1" applyAlignment="1">
      <alignment horizontal="center"/>
    </xf>
    <xf numFmtId="169" fontId="23" fillId="0" borderId="0" xfId="78" applyFont="1" applyFill="1" applyAlignment="1">
      <alignment horizontal="left"/>
    </xf>
    <xf numFmtId="172" fontId="25" fillId="0" borderId="0" xfId="63" applyNumberFormat="1" applyFont="1" applyFill="1" applyAlignment="1">
      <alignment horizontal="center"/>
    </xf>
    <xf numFmtId="14" fontId="3" fillId="0" borderId="0" xfId="78" applyNumberFormat="1" applyFont="1" applyFill="1" applyAlignment="1">
      <alignment horizontal="center"/>
    </xf>
    <xf numFmtId="164" fontId="3" fillId="0" borderId="0" xfId="78" applyNumberFormat="1" applyFont="1" applyFill="1" applyAlignment="1">
      <alignment horizontal="center"/>
    </xf>
    <xf numFmtId="43" fontId="3" fillId="0" borderId="2" xfId="57" applyNumberFormat="1" applyFont="1" applyFill="1" applyBorder="1"/>
    <xf numFmtId="164" fontId="7" fillId="33" borderId="0" xfId="1" applyNumberFormat="1" applyFont="1" applyFill="1"/>
    <xf numFmtId="164" fontId="7" fillId="0" borderId="0" xfId="1" applyNumberFormat="1" applyFont="1" applyFill="1"/>
    <xf numFmtId="169" fontId="7" fillId="0" borderId="0" xfId="0" applyNumberFormat="1" applyFont="1" applyFill="1"/>
    <xf numFmtId="0" fontId="3" fillId="0" borderId="0" xfId="0" applyNumberFormat="1" applyFont="1"/>
    <xf numFmtId="3" fontId="3" fillId="0" borderId="0" xfId="0" applyNumberFormat="1" applyFont="1" applyFill="1"/>
    <xf numFmtId="0" fontId="3" fillId="0" borderId="0" xfId="0" applyNumberFormat="1" applyFont="1" applyFill="1"/>
    <xf numFmtId="0" fontId="3" fillId="0" borderId="0" xfId="0" applyNumberFormat="1" applyFont="1" applyFill="1" applyBorder="1" applyAlignment="1">
      <alignment horizontal="center"/>
    </xf>
    <xf numFmtId="41" fontId="3" fillId="0" borderId="0" xfId="63" applyNumberFormat="1" applyFont="1" applyFill="1"/>
    <xf numFmtId="0" fontId="3" fillId="0" borderId="8" xfId="0" applyNumberFormat="1" applyFont="1" applyFill="1" applyBorder="1"/>
    <xf numFmtId="41" fontId="3" fillId="0" borderId="0" xfId="0" applyNumberFormat="1" applyFont="1" applyFill="1"/>
    <xf numFmtId="0" fontId="20" fillId="35" borderId="5" xfId="0" applyNumberFormat="1" applyFont="1" applyFill="1" applyBorder="1" applyAlignment="1">
      <alignment horizontal="center" wrapText="1"/>
    </xf>
    <xf numFmtId="0" fontId="7" fillId="35" borderId="0" xfId="0" applyNumberFormat="1" applyFont="1" applyFill="1" applyBorder="1" applyAlignment="1">
      <alignment horizontal="center" wrapText="1"/>
    </xf>
    <xf numFmtId="0" fontId="7" fillId="0" borderId="0" xfId="0" applyNumberFormat="1" applyFont="1" applyBorder="1" applyAlignment="1">
      <alignment horizontal="center" wrapText="1"/>
    </xf>
    <xf numFmtId="0" fontId="7" fillId="38" borderId="0" xfId="0" applyNumberFormat="1" applyFont="1" applyFill="1" applyAlignment="1">
      <alignment horizontal="center" wrapText="1"/>
    </xf>
    <xf numFmtId="0" fontId="3" fillId="0" borderId="0" xfId="0" applyNumberFormat="1" applyFont="1" applyFill="1" applyAlignment="1">
      <alignment horizontal="center"/>
    </xf>
    <xf numFmtId="0" fontId="3" fillId="0" borderId="0" xfId="2" applyNumberFormat="1" applyFont="1" applyFill="1" applyAlignment="1">
      <alignment horizontal="center"/>
    </xf>
    <xf numFmtId="0" fontId="3" fillId="0" borderId="0" xfId="1" applyNumberFormat="1" applyFont="1" applyFill="1" applyAlignment="1">
      <alignment horizontal="center"/>
    </xf>
    <xf numFmtId="0" fontId="3" fillId="0" borderId="0" xfId="5" applyNumberFormat="1" applyFont="1" applyFill="1" applyBorder="1" applyAlignment="1" applyProtection="1">
      <alignment horizontal="center"/>
    </xf>
    <xf numFmtId="0" fontId="7" fillId="0" borderId="0" xfId="0" applyNumberFormat="1" applyFont="1" applyAlignment="1">
      <alignment horizontal="center"/>
    </xf>
    <xf numFmtId="0" fontId="7" fillId="33" borderId="0" xfId="0" applyNumberFormat="1" applyFont="1" applyFill="1" applyAlignment="1">
      <alignment horizontal="center"/>
    </xf>
    <xf numFmtId="0" fontId="7" fillId="37" borderId="0" xfId="0" applyNumberFormat="1" applyFont="1" applyFill="1" applyAlignment="1">
      <alignment horizontal="center"/>
    </xf>
    <xf numFmtId="0" fontId="37" fillId="0" borderId="0" xfId="0" applyNumberFormat="1" applyFont="1" applyAlignment="1" applyProtection="1">
      <alignment horizontal="center"/>
    </xf>
    <xf numFmtId="0" fontId="37" fillId="0" borderId="0" xfId="0" applyNumberFormat="1" applyFont="1" applyProtection="1"/>
    <xf numFmtId="0" fontId="31" fillId="0" borderId="0" xfId="0" applyNumberFormat="1" applyFont="1" applyAlignment="1" applyProtection="1">
      <alignment horizontal="center"/>
    </xf>
    <xf numFmtId="0" fontId="31" fillId="0" borderId="0" xfId="54" applyNumberFormat="1" applyFont="1" applyProtection="1"/>
    <xf numFmtId="0" fontId="31" fillId="0" borderId="0" xfId="0" applyNumberFormat="1" applyFont="1" applyAlignment="1" applyProtection="1">
      <alignment horizontal="left"/>
    </xf>
    <xf numFmtId="0" fontId="31" fillId="0" borderId="0" xfId="0" applyNumberFormat="1" applyFont="1" applyProtection="1"/>
    <xf numFmtId="0" fontId="40" fillId="0" borderId="0" xfId="0" applyNumberFormat="1" applyFont="1" applyProtection="1"/>
    <xf numFmtId="0" fontId="40" fillId="0" borderId="0" xfId="1" applyNumberFormat="1" applyFont="1" applyProtection="1"/>
    <xf numFmtId="0" fontId="31" fillId="0" borderId="0" xfId="1" applyNumberFormat="1" applyFont="1" applyProtection="1"/>
    <xf numFmtId="0" fontId="3" fillId="0" borderId="0" xfId="59" applyNumberFormat="1" applyFont="1" applyFill="1" applyAlignment="1"/>
    <xf numFmtId="0" fontId="3" fillId="0" borderId="0" xfId="0" applyNumberFormat="1" applyFont="1" applyAlignment="1" applyProtection="1">
      <alignment horizontal="center"/>
    </xf>
    <xf numFmtId="0" fontId="3" fillId="0" borderId="0" xfId="0" applyNumberFormat="1" applyFont="1" applyProtection="1"/>
    <xf numFmtId="0" fontId="31" fillId="39" borderId="0" xfId="0" applyNumberFormat="1" applyFont="1" applyFill="1" applyAlignment="1" applyProtection="1">
      <alignment horizontal="center"/>
    </xf>
    <xf numFmtId="0" fontId="3" fillId="0" borderId="0" xfId="63" applyNumberFormat="1" applyFont="1" applyProtection="1"/>
    <xf numFmtId="0" fontId="3" fillId="0" borderId="0" xfId="0" applyNumberFormat="1" applyFont="1" applyAlignment="1" applyProtection="1">
      <alignment horizontal="left"/>
    </xf>
    <xf numFmtId="0" fontId="31" fillId="39" borderId="0" xfId="0" applyNumberFormat="1" applyFont="1" applyFill="1" applyProtection="1"/>
    <xf numFmtId="0" fontId="23" fillId="0" borderId="0" xfId="0" applyNumberFormat="1" applyFont="1" applyProtection="1"/>
    <xf numFmtId="0" fontId="23" fillId="3" borderId="0" xfId="0" applyNumberFormat="1" applyFont="1" applyFill="1" applyProtection="1"/>
    <xf numFmtId="0" fontId="3" fillId="39" borderId="0" xfId="0" applyNumberFormat="1" applyFont="1" applyFill="1" applyProtection="1"/>
    <xf numFmtId="0" fontId="3" fillId="39" borderId="0" xfId="0" applyNumberFormat="1" applyFont="1" applyFill="1" applyAlignment="1" applyProtection="1">
      <alignment horizontal="center"/>
    </xf>
    <xf numFmtId="0" fontId="23" fillId="0" borderId="0" xfId="63" applyNumberFormat="1" applyFont="1" applyProtection="1"/>
    <xf numFmtId="0" fontId="7" fillId="35" borderId="0" xfId="0" applyNumberFormat="1" applyFont="1" applyFill="1" applyBorder="1" applyAlignment="1">
      <alignment horizontal="left" wrapText="1"/>
    </xf>
    <xf numFmtId="0" fontId="7" fillId="0" borderId="0" xfId="0" applyNumberFormat="1" applyFont="1" applyBorder="1" applyAlignment="1">
      <alignment horizontal="left" wrapText="1"/>
    </xf>
    <xf numFmtId="0" fontId="7" fillId="38" borderId="0" xfId="0" applyNumberFormat="1" applyFont="1" applyFill="1" applyAlignment="1">
      <alignment horizontal="left" wrapText="1"/>
    </xf>
    <xf numFmtId="0" fontId="7" fillId="0" borderId="0" xfId="0" applyNumberFormat="1" applyFont="1" applyAlignment="1">
      <alignment horizontal="left"/>
    </xf>
    <xf numFmtId="0" fontId="7" fillId="37" borderId="0" xfId="0" applyNumberFormat="1" applyFont="1" applyFill="1" applyAlignment="1">
      <alignment horizontal="left"/>
    </xf>
    <xf numFmtId="0" fontId="7" fillId="33" borderId="0" xfId="0" applyNumberFormat="1" applyFont="1" applyFill="1" applyAlignment="1">
      <alignment horizontal="left"/>
    </xf>
    <xf numFmtId="0" fontId="26" fillId="0" borderId="0" xfId="0" applyNumberFormat="1" applyFont="1" applyProtection="1"/>
    <xf numFmtId="0" fontId="64" fillId="39" borderId="0" xfId="0" applyNumberFormat="1" applyFont="1" applyFill="1" applyProtection="1"/>
    <xf numFmtId="0" fontId="64" fillId="0" borderId="0" xfId="0" applyNumberFormat="1" applyFont="1" applyProtection="1"/>
    <xf numFmtId="0" fontId="57" fillId="0" borderId="0" xfId="0" quotePrefix="1" applyNumberFormat="1" applyFont="1" applyFill="1" applyAlignment="1" applyProtection="1">
      <alignment horizontal="left"/>
    </xf>
    <xf numFmtId="0" fontId="26" fillId="0" borderId="0" xfId="0" applyNumberFormat="1" applyFont="1" applyFill="1" applyAlignment="1" applyProtection="1">
      <alignment horizontal="left"/>
    </xf>
    <xf numFmtId="0" fontId="26" fillId="0" borderId="0" xfId="0" applyNumberFormat="1" applyFont="1" applyAlignment="1" applyProtection="1">
      <alignment horizontal="left"/>
    </xf>
    <xf numFmtId="0" fontId="53" fillId="0" borderId="0" xfId="0" applyNumberFormat="1" applyFont="1" applyProtection="1"/>
    <xf numFmtId="0" fontId="7" fillId="0" borderId="0" xfId="0" applyNumberFormat="1" applyFont="1"/>
    <xf numFmtId="0" fontId="22" fillId="0" borderId="0" xfId="0" applyNumberFormat="1" applyFont="1" applyProtection="1"/>
    <xf numFmtId="0" fontId="71" fillId="39" borderId="0" xfId="0" applyNumberFormat="1" applyFont="1" applyFill="1" applyProtection="1"/>
    <xf numFmtId="0" fontId="43" fillId="0" borderId="0" xfId="0" applyNumberFormat="1" applyFont="1" applyProtection="1"/>
    <xf numFmtId="0" fontId="53" fillId="39" borderId="0" xfId="0" applyNumberFormat="1" applyFont="1" applyFill="1" applyProtection="1"/>
    <xf numFmtId="0" fontId="26" fillId="39" borderId="0" xfId="0" applyNumberFormat="1" applyFont="1" applyFill="1" applyAlignment="1" applyProtection="1">
      <alignment horizontal="left"/>
    </xf>
    <xf numFmtId="0" fontId="7" fillId="33" borderId="5" xfId="0" applyNumberFormat="1" applyFont="1" applyFill="1" applyBorder="1" applyAlignment="1">
      <alignment horizontal="center" wrapText="1"/>
    </xf>
    <xf numFmtId="0" fontId="7" fillId="33" borderId="0" xfId="0" applyNumberFormat="1" applyFont="1" applyFill="1" applyBorder="1" applyAlignment="1">
      <alignment horizontal="center" wrapText="1"/>
    </xf>
    <xf numFmtId="0" fontId="43" fillId="0" borderId="0" xfId="0" applyNumberFormat="1" applyFont="1" applyAlignment="1" applyProtection="1">
      <alignment horizontal="center"/>
    </xf>
    <xf numFmtId="0" fontId="3" fillId="0" borderId="0" xfId="63" applyNumberFormat="1" applyFont="1" applyAlignment="1" applyProtection="1">
      <alignment horizontal="center"/>
    </xf>
    <xf numFmtId="0" fontId="46" fillId="0" borderId="0" xfId="0" applyNumberFormat="1" applyFont="1" applyAlignment="1" applyProtection="1">
      <alignment horizontal="center"/>
    </xf>
    <xf numFmtId="0" fontId="39" fillId="39" borderId="0" xfId="0" applyNumberFormat="1" applyFont="1" applyFill="1" applyAlignment="1" applyProtection="1">
      <alignment horizontal="center"/>
    </xf>
    <xf numFmtId="0" fontId="46" fillId="39" borderId="0" xfId="0" applyNumberFormat="1" applyFont="1" applyFill="1" applyAlignment="1" applyProtection="1">
      <alignment horizontal="center"/>
    </xf>
    <xf numFmtId="0" fontId="7" fillId="35" borderId="5" xfId="0" applyNumberFormat="1" applyFont="1" applyFill="1" applyBorder="1" applyAlignment="1">
      <alignment horizontal="center" wrapText="1"/>
    </xf>
    <xf numFmtId="0" fontId="7" fillId="37" borderId="0" xfId="0" applyNumberFormat="1" applyFont="1" applyFill="1"/>
    <xf numFmtId="0" fontId="7" fillId="33" borderId="0" xfId="0" applyNumberFormat="1" applyFont="1" applyFill="1"/>
    <xf numFmtId="0" fontId="7" fillId="35" borderId="0" xfId="0" applyNumberFormat="1" applyFont="1" applyFill="1" applyBorder="1" applyAlignment="1">
      <alignment wrapText="1"/>
    </xf>
    <xf numFmtId="0" fontId="7" fillId="0" borderId="0" xfId="0" applyNumberFormat="1" applyFont="1" applyBorder="1" applyAlignment="1">
      <alignment wrapText="1"/>
    </xf>
    <xf numFmtId="0" fontId="7" fillId="38" borderId="0" xfId="0" applyNumberFormat="1" applyFont="1" applyFill="1" applyAlignment="1">
      <alignment wrapText="1"/>
    </xf>
    <xf numFmtId="0" fontId="3" fillId="0" borderId="0" xfId="5" applyNumberFormat="1" applyFont="1" applyFill="1" applyBorder="1" applyAlignment="1" applyProtection="1">
      <alignment horizontal="left"/>
    </xf>
    <xf numFmtId="0" fontId="31" fillId="0" borderId="0" xfId="0" applyNumberFormat="1" applyFont="1" applyFill="1" applyAlignment="1" applyProtection="1">
      <alignment horizontal="left"/>
    </xf>
    <xf numFmtId="0" fontId="39" fillId="0" borderId="0" xfId="0" applyNumberFormat="1" applyFont="1" applyAlignment="1" applyProtection="1">
      <alignment horizontal="center"/>
    </xf>
    <xf numFmtId="0" fontId="0" fillId="0" borderId="0" xfId="0" applyNumberFormat="1"/>
    <xf numFmtId="0" fontId="41" fillId="0" borderId="0" xfId="0" applyNumberFormat="1" applyFont="1" applyAlignment="1" applyProtection="1">
      <alignment horizontal="center"/>
    </xf>
    <xf numFmtId="0" fontId="31" fillId="3" borderId="0" xfId="0" applyNumberFormat="1" applyFont="1" applyFill="1" applyAlignment="1" applyProtection="1">
      <alignment horizontal="left"/>
    </xf>
    <xf numFmtId="0" fontId="3" fillId="0" borderId="0" xfId="59" applyNumberFormat="1" applyFont="1" applyFill="1" applyAlignment="1">
      <alignment horizontal="center"/>
    </xf>
    <xf numFmtId="0" fontId="3" fillId="0" borderId="0" xfId="0" applyNumberFormat="1" applyFont="1" applyFill="1" applyAlignment="1" applyProtection="1">
      <alignment horizontal="left"/>
    </xf>
    <xf numFmtId="0" fontId="3" fillId="39" borderId="0" xfId="0" applyNumberFormat="1" applyFont="1" applyFill="1" applyAlignment="1" applyProtection="1">
      <alignment horizontal="left"/>
    </xf>
    <xf numFmtId="0" fontId="67" fillId="0" borderId="0" xfId="67" applyNumberFormat="1"/>
    <xf numFmtId="0" fontId="3" fillId="0" borderId="0" xfId="73" applyNumberFormat="1" applyFont="1" applyFill="1" applyAlignment="1">
      <alignment horizontal="center"/>
    </xf>
    <xf numFmtId="0" fontId="23" fillId="0" borderId="0" xfId="59" applyNumberFormat="1" applyFont="1" applyFill="1" applyAlignment="1">
      <alignment horizontal="center"/>
    </xf>
    <xf numFmtId="0" fontId="3" fillId="0" borderId="0" xfId="78" applyNumberFormat="1" applyFont="1" applyFill="1" applyAlignment="1">
      <alignment horizontal="center"/>
    </xf>
    <xf numFmtId="0" fontId="10" fillId="0" borderId="18" xfId="57" applyNumberFormat="1" applyFont="1" applyFill="1" applyBorder="1" applyAlignment="1">
      <alignment horizontal="left"/>
    </xf>
    <xf numFmtId="0" fontId="4" fillId="0" borderId="0" xfId="57" applyNumberFormat="1" applyFill="1"/>
    <xf numFmtId="0" fontId="90" fillId="0" borderId="0" xfId="77" applyNumberFormat="1" applyFont="1" applyFill="1"/>
    <xf numFmtId="0" fontId="90" fillId="0" borderId="0" xfId="77" applyNumberFormat="1" applyFont="1" applyFill="1" applyAlignment="1">
      <alignment horizontal="centerContinuous"/>
    </xf>
    <xf numFmtId="0" fontId="5" fillId="0" borderId="0" xfId="77" applyNumberFormat="1" applyFont="1" applyFill="1" applyAlignment="1">
      <alignment horizontal="centerContinuous"/>
    </xf>
    <xf numFmtId="0" fontId="5" fillId="0" borderId="0" xfId="77" applyNumberFormat="1" applyFont="1" applyFill="1" applyAlignment="1" applyProtection="1">
      <alignment horizontal="centerContinuous"/>
    </xf>
    <xf numFmtId="0" fontId="3" fillId="0" borderId="0" xfId="77" applyNumberFormat="1" applyFont="1" applyFill="1"/>
    <xf numFmtId="0" fontId="26" fillId="0" borderId="0" xfId="77" applyNumberFormat="1" applyFont="1" applyFill="1" applyAlignment="1">
      <alignment horizontal="center"/>
    </xf>
    <xf numFmtId="0" fontId="22" fillId="0" borderId="0" xfId="79" applyNumberFormat="1" applyFont="1" applyFill="1" applyBorder="1"/>
    <xf numFmtId="0" fontId="3" fillId="0" borderId="0" xfId="79" applyNumberFormat="1" applyFont="1" applyFill="1" applyBorder="1"/>
    <xf numFmtId="0" fontId="23" fillId="0" borderId="0" xfId="63" applyNumberFormat="1" applyFont="1" applyFill="1" applyAlignment="1">
      <alignment horizontal="center"/>
    </xf>
    <xf numFmtId="0" fontId="3" fillId="0" borderId="0" xfId="63" applyNumberFormat="1" applyFont="1" applyFill="1" applyAlignment="1">
      <alignment horizontal="center"/>
    </xf>
    <xf numFmtId="0" fontId="22" fillId="0" borderId="0" xfId="77" applyNumberFormat="1" applyFont="1" applyFill="1" applyAlignment="1" applyProtection="1">
      <alignment horizontal="left"/>
    </xf>
    <xf numFmtId="0" fontId="57" fillId="0" borderId="0" xfId="77" applyNumberFormat="1" applyFont="1" applyFill="1" applyAlignment="1" applyProtection="1">
      <alignment horizontal="left"/>
    </xf>
    <xf numFmtId="0" fontId="23" fillId="0" borderId="0" xfId="77" applyNumberFormat="1" applyFont="1" applyFill="1" applyAlignment="1" applyProtection="1">
      <alignment horizontal="left"/>
    </xf>
    <xf numFmtId="0" fontId="23" fillId="0" borderId="0" xfId="63" applyNumberFormat="1" applyFont="1" applyFill="1"/>
    <xf numFmtId="0" fontId="23" fillId="0" borderId="0" xfId="77" applyNumberFormat="1" applyFont="1" applyFill="1" applyAlignment="1">
      <alignment horizontal="center"/>
    </xf>
    <xf numFmtId="0" fontId="23" fillId="0" borderId="0" xfId="77" applyNumberFormat="1" applyFont="1" applyFill="1"/>
    <xf numFmtId="0" fontId="23" fillId="0" borderId="0" xfId="63" applyNumberFormat="1" applyFont="1" applyFill="1" applyAlignment="1"/>
    <xf numFmtId="0" fontId="3" fillId="0" borderId="0" xfId="57" applyNumberFormat="1" applyFont="1"/>
    <xf numFmtId="0" fontId="3" fillId="0" borderId="0" xfId="57" applyNumberFormat="1" applyFont="1" applyFill="1"/>
    <xf numFmtId="0" fontId="3" fillId="0" borderId="8" xfId="57" applyNumberFormat="1" applyFont="1" applyFill="1" applyBorder="1"/>
    <xf numFmtId="0" fontId="58" fillId="0" borderId="0" xfId="57" applyNumberFormat="1" applyFont="1" applyFill="1"/>
    <xf numFmtId="164" fontId="3" fillId="0" borderId="0" xfId="1" quotePrefix="1" applyNumberFormat="1" applyFont="1" applyFill="1"/>
    <xf numFmtId="0" fontId="7" fillId="0" borderId="0" xfId="0" applyNumberFormat="1" applyFont="1" applyFill="1"/>
    <xf numFmtId="0" fontId="7" fillId="0" borderId="0" xfId="0" applyNumberFormat="1" applyFont="1" applyFill="1" applyAlignment="1">
      <alignment horizontal="center"/>
    </xf>
    <xf numFmtId="10" fontId="7" fillId="0" borderId="0" xfId="61" applyNumberFormat="1" applyFont="1" applyFill="1" applyAlignment="1">
      <alignment horizontal="center"/>
    </xf>
    <xf numFmtId="0" fontId="7" fillId="0" borderId="0" xfId="0" applyNumberFormat="1" applyFont="1" applyFill="1" applyAlignment="1">
      <alignment horizontal="left"/>
    </xf>
    <xf numFmtId="169" fontId="88" fillId="0" borderId="0" xfId="0" applyFont="1" applyFill="1" applyAlignment="1">
      <alignment horizontal="center"/>
    </xf>
    <xf numFmtId="169" fontId="3" fillId="0" borderId="0" xfId="0" applyNumberFormat="1" applyFont="1" applyFill="1"/>
    <xf numFmtId="172" fontId="7" fillId="0" borderId="0" xfId="1" applyNumberFormat="1" applyFont="1" applyFill="1"/>
    <xf numFmtId="169" fontId="7" fillId="36" borderId="0" xfId="0" applyFont="1" applyFill="1" applyBorder="1"/>
    <xf numFmtId="17" fontId="20" fillId="36" borderId="39" xfId="0" applyNumberFormat="1" applyFont="1" applyFill="1" applyBorder="1" applyAlignment="1">
      <alignment horizontal="center" wrapText="1"/>
    </xf>
    <xf numFmtId="164" fontId="44" fillId="3" borderId="0" xfId="63" applyNumberFormat="1" applyFont="1" applyFill="1"/>
    <xf numFmtId="169" fontId="4" fillId="0" borderId="0" xfId="57" applyFont="1" applyFill="1" applyBorder="1" applyAlignment="1">
      <alignment horizontal="left"/>
    </xf>
    <xf numFmtId="165" fontId="68" fillId="0" borderId="21" xfId="63" applyNumberFormat="1" applyFont="1" applyFill="1" applyBorder="1"/>
    <xf numFmtId="39" fontId="4" fillId="0" borderId="11" xfId="0" applyNumberFormat="1" applyFont="1" applyFill="1" applyBorder="1"/>
    <xf numFmtId="0" fontId="10" fillId="0" borderId="18" xfId="0" applyNumberFormat="1" applyFont="1" applyFill="1" applyBorder="1" applyAlignment="1">
      <alignment horizontal="left"/>
    </xf>
    <xf numFmtId="164" fontId="4" fillId="0" borderId="23" xfId="1" applyNumberFormat="1" applyFont="1" applyFill="1" applyBorder="1"/>
    <xf numFmtId="43" fontId="7" fillId="0" borderId="0" xfId="1" applyFont="1"/>
    <xf numFmtId="164" fontId="4" fillId="0" borderId="0" xfId="1" applyNumberFormat="1" applyFont="1" applyFill="1"/>
    <xf numFmtId="164" fontId="67" fillId="0" borderId="0" xfId="1" applyNumberFormat="1" applyFont="1"/>
    <xf numFmtId="169" fontId="93" fillId="0" borderId="0" xfId="76" applyFont="1" applyFill="1"/>
    <xf numFmtId="164" fontId="93" fillId="0" borderId="0" xfId="69" applyNumberFormat="1" applyFont="1" applyFill="1"/>
    <xf numFmtId="164" fontId="93" fillId="0" borderId="8" xfId="69" applyNumberFormat="1" applyFont="1" applyFill="1" applyBorder="1"/>
    <xf numFmtId="164" fontId="92" fillId="0" borderId="0" xfId="69" applyNumberFormat="1" applyFont="1" applyFill="1"/>
    <xf numFmtId="176" fontId="44" fillId="0" borderId="0" xfId="69" applyNumberFormat="1" applyFont="1" applyFill="1" applyAlignment="1">
      <alignment horizontal="center"/>
    </xf>
    <xf numFmtId="169" fontId="53" fillId="0" borderId="0" xfId="77" applyFont="1" applyFill="1"/>
    <xf numFmtId="172" fontId="3" fillId="0" borderId="0" xfId="1" quotePrefix="1" applyNumberFormat="1" applyFont="1" applyFill="1"/>
    <xf numFmtId="169" fontId="95" fillId="0" borderId="0" xfId="76" applyFont="1" applyFill="1"/>
    <xf numFmtId="0" fontId="93" fillId="0" borderId="0" xfId="76" applyNumberFormat="1" applyFont="1" applyFill="1"/>
    <xf numFmtId="0" fontId="93" fillId="0" borderId="0" xfId="76" applyNumberFormat="1" applyFont="1" applyFill="1" applyAlignment="1">
      <alignment horizontal="center"/>
    </xf>
    <xf numFmtId="169" fontId="93" fillId="0" borderId="0" xfId="76" applyFont="1" applyFill="1" applyAlignment="1">
      <alignment horizontal="center"/>
    </xf>
    <xf numFmtId="0" fontId="26" fillId="0" borderId="0" xfId="76" applyNumberFormat="1" applyFont="1" applyFill="1" applyAlignment="1">
      <alignment horizontal="left"/>
    </xf>
    <xf numFmtId="164" fontId="3" fillId="0" borderId="0" xfId="1" applyNumberFormat="1" applyFont="1" applyProtection="1"/>
    <xf numFmtId="0" fontId="69" fillId="0" borderId="0" xfId="0" applyNumberFormat="1" applyFont="1"/>
    <xf numFmtId="0" fontId="4" fillId="0" borderId="12" xfId="0" applyNumberFormat="1" applyFont="1" applyBorder="1"/>
    <xf numFmtId="0" fontId="4" fillId="0" borderId="0" xfId="0" applyNumberFormat="1" applyFont="1" applyBorder="1"/>
    <xf numFmtId="0" fontId="0" fillId="0" borderId="0" xfId="0" applyNumberFormat="1" applyBorder="1"/>
    <xf numFmtId="0" fontId="4" fillId="0" borderId="0" xfId="0" applyNumberFormat="1" applyFont="1"/>
    <xf numFmtId="0" fontId="69" fillId="2" borderId="0" xfId="0" applyNumberFormat="1" applyFont="1" applyFill="1" applyAlignment="1">
      <alignment horizontal="left" indent="1"/>
    </xf>
    <xf numFmtId="0" fontId="10" fillId="2" borderId="0" xfId="0" applyNumberFormat="1" applyFont="1" applyFill="1"/>
    <xf numFmtId="0" fontId="10" fillId="2" borderId="0" xfId="0" applyNumberFormat="1" applyFont="1" applyFill="1" applyBorder="1"/>
    <xf numFmtId="0" fontId="69" fillId="2" borderId="8" xfId="0" applyNumberFormat="1" applyFont="1" applyFill="1" applyBorder="1" applyAlignment="1">
      <alignment horizontal="left" indent="1"/>
    </xf>
    <xf numFmtId="0" fontId="10" fillId="2" borderId="8" xfId="0" applyNumberFormat="1" applyFont="1" applyFill="1" applyBorder="1"/>
    <xf numFmtId="0" fontId="0" fillId="0" borderId="0" xfId="0" applyNumberFormat="1" applyBorder="1" applyAlignment="1">
      <alignment horizontal="left"/>
    </xf>
    <xf numFmtId="0" fontId="4" fillId="0" borderId="0" xfId="0" applyNumberFormat="1" applyFont="1" applyAlignment="1">
      <alignment horizontal="left"/>
    </xf>
    <xf numFmtId="164" fontId="10" fillId="2" borderId="0" xfId="1" applyNumberFormat="1" applyFont="1" applyFill="1"/>
    <xf numFmtId="164" fontId="10" fillId="2" borderId="8" xfId="1" applyNumberFormat="1" applyFont="1" applyFill="1" applyBorder="1"/>
    <xf numFmtId="164" fontId="4" fillId="0" borderId="0" xfId="1" applyNumberFormat="1" applyFont="1" applyBorder="1"/>
    <xf numFmtId="164" fontId="4" fillId="0" borderId="0" xfId="1" applyNumberFormat="1" applyFont="1" applyFill="1" applyBorder="1"/>
    <xf numFmtId="164" fontId="68" fillId="0" borderId="0" xfId="1" applyNumberFormat="1" applyFont="1" applyFill="1" applyBorder="1"/>
    <xf numFmtId="164" fontId="111" fillId="0" borderId="0" xfId="1" applyNumberFormat="1" applyFont="1"/>
    <xf numFmtId="167" fontId="44" fillId="0" borderId="0" xfId="62" applyNumberFormat="1" applyFont="1" applyFill="1"/>
    <xf numFmtId="167" fontId="100" fillId="0" borderId="0" xfId="62" applyNumberFormat="1" applyFont="1" applyFill="1"/>
    <xf numFmtId="164" fontId="25" fillId="0" borderId="0" xfId="77" applyNumberFormat="1" applyFont="1" applyFill="1"/>
    <xf numFmtId="169" fontId="4" fillId="2" borderId="0" xfId="80" applyFont="1" applyFill="1"/>
    <xf numFmtId="164" fontId="0" fillId="0" borderId="0" xfId="1" applyNumberFormat="1" applyFont="1" applyFill="1"/>
    <xf numFmtId="43" fontId="0" fillId="0" borderId="0" xfId="1" applyFont="1"/>
    <xf numFmtId="164" fontId="93" fillId="0" borderId="0" xfId="69" applyNumberFormat="1" applyFont="1" applyFill="1" applyBorder="1"/>
    <xf numFmtId="164" fontId="92" fillId="0" borderId="0" xfId="1" applyNumberFormat="1" applyFont="1" applyFill="1"/>
    <xf numFmtId="43" fontId="44" fillId="0" borderId="0" xfId="1" applyFont="1" applyFill="1" applyAlignment="1">
      <alignment horizontal="center"/>
    </xf>
    <xf numFmtId="172" fontId="46" fillId="0" borderId="0" xfId="63" applyNumberFormat="1" applyFont="1" applyProtection="1"/>
    <xf numFmtId="164" fontId="3" fillId="0" borderId="0" xfId="63" applyNumberFormat="1" applyFont="1" applyBorder="1" applyProtection="1"/>
    <xf numFmtId="164" fontId="25" fillId="0" borderId="0" xfId="63" applyNumberFormat="1" applyFont="1" applyBorder="1" applyProtection="1"/>
    <xf numFmtId="164" fontId="46" fillId="0" borderId="0" xfId="63" applyNumberFormat="1" applyFont="1" applyBorder="1" applyProtection="1"/>
    <xf numFmtId="169" fontId="23" fillId="0" borderId="0" xfId="77" quotePrefix="1" applyNumberFormat="1" applyFont="1" applyFill="1"/>
    <xf numFmtId="169" fontId="3" fillId="0" borderId="0" xfId="77" applyNumberFormat="1" applyFont="1" applyFill="1" applyAlignment="1">
      <alignment horizontal="left" indent="2"/>
    </xf>
    <xf numFmtId="164" fontId="3" fillId="0" borderId="0" xfId="1" applyNumberFormat="1" applyFont="1" applyFill="1" applyAlignment="1"/>
    <xf numFmtId="164" fontId="46" fillId="0" borderId="0" xfId="1" applyNumberFormat="1" applyFont="1" applyProtection="1"/>
    <xf numFmtId="0" fontId="106" fillId="0" borderId="0" xfId="0" applyNumberFormat="1" applyFont="1" applyFill="1"/>
    <xf numFmtId="49" fontId="10" fillId="0" borderId="11" xfId="0" applyNumberFormat="1" applyFont="1" applyFill="1" applyBorder="1" applyAlignment="1">
      <alignment horizontal="left"/>
    </xf>
    <xf numFmtId="37" fontId="10" fillId="0" borderId="11" xfId="0" applyNumberFormat="1" applyFont="1" applyFill="1" applyBorder="1"/>
    <xf numFmtId="0" fontId="4" fillId="3" borderId="0" xfId="81" applyFont="1" applyFill="1"/>
    <xf numFmtId="169" fontId="4" fillId="0" borderId="0" xfId="80" applyFont="1" applyFill="1"/>
    <xf numFmtId="0" fontId="93" fillId="0" borderId="0" xfId="77" applyNumberFormat="1" applyFont="1"/>
    <xf numFmtId="43" fontId="93" fillId="0" borderId="0" xfId="77" applyNumberFormat="1" applyFont="1"/>
    <xf numFmtId="10" fontId="7" fillId="0" borderId="0" xfId="61" applyNumberFormat="1" applyFont="1" applyFill="1"/>
    <xf numFmtId="43" fontId="67" fillId="0" borderId="0" xfId="1" applyFont="1"/>
    <xf numFmtId="9" fontId="7" fillId="33" borderId="0" xfId="61" applyFont="1" applyFill="1"/>
    <xf numFmtId="9" fontId="7" fillId="0" borderId="0" xfId="61" applyFont="1"/>
    <xf numFmtId="0" fontId="3" fillId="0" borderId="0" xfId="3" applyNumberFormat="1" applyFont="1" applyFill="1" applyAlignment="1">
      <alignment horizontal="center"/>
    </xf>
    <xf numFmtId="169" fontId="3" fillId="0" borderId="0" xfId="3" applyFont="1" applyFill="1"/>
    <xf numFmtId="169" fontId="26" fillId="0" borderId="0" xfId="76" applyFont="1" applyFill="1" applyAlignment="1">
      <alignment horizontal="left"/>
    </xf>
    <xf numFmtId="0" fontId="26" fillId="0" borderId="0" xfId="76" applyNumberFormat="1" applyFont="1" applyFill="1" applyAlignment="1">
      <alignment horizontal="center"/>
    </xf>
    <xf numFmtId="169" fontId="26" fillId="0" borderId="0" xfId="76" applyFont="1" applyFill="1" applyAlignment="1">
      <alignment horizontal="center"/>
    </xf>
    <xf numFmtId="169" fontId="26" fillId="0" borderId="0" xfId="76" applyFont="1" applyFill="1"/>
    <xf numFmtId="169" fontId="92" fillId="0" borderId="0" xfId="76" applyFont="1" applyFill="1"/>
    <xf numFmtId="0" fontId="3" fillId="0" borderId="0" xfId="76" applyNumberFormat="1" applyFont="1" applyFill="1" applyAlignment="1">
      <alignment horizontal="center"/>
    </xf>
    <xf numFmtId="169" fontId="3" fillId="0" borderId="0" xfId="76" applyFont="1" applyFill="1" applyAlignment="1">
      <alignment horizontal="center"/>
    </xf>
    <xf numFmtId="169" fontId="3" fillId="0" borderId="0" xfId="76" applyFont="1" applyFill="1"/>
    <xf numFmtId="169" fontId="0" fillId="0" borderId="0" xfId="0" applyNumberFormat="1" applyFill="1"/>
    <xf numFmtId="169" fontId="109" fillId="0" borderId="0" xfId="76" applyFont="1" applyFill="1"/>
    <xf numFmtId="176" fontId="44" fillId="0" borderId="8" xfId="69" applyNumberFormat="1" applyFont="1" applyFill="1" applyBorder="1" applyAlignment="1">
      <alignment horizontal="center"/>
    </xf>
    <xf numFmtId="165" fontId="7" fillId="37" borderId="0" xfId="1" applyNumberFormat="1" applyFont="1" applyFill="1"/>
    <xf numFmtId="43" fontId="7" fillId="0" borderId="0" xfId="1" applyFont="1" applyFill="1"/>
    <xf numFmtId="43" fontId="3" fillId="0" borderId="0" xfId="1" applyFont="1" applyFill="1"/>
    <xf numFmtId="0" fontId="0" fillId="0" borderId="0" xfId="0" applyNumberFormat="1" applyFill="1"/>
    <xf numFmtId="49" fontId="107" fillId="0" borderId="13" xfId="0" applyNumberFormat="1" applyFont="1" applyFill="1" applyBorder="1" applyAlignment="1">
      <alignment horizontal="left"/>
    </xf>
    <xf numFmtId="49" fontId="107" fillId="0" borderId="13" xfId="0" applyNumberFormat="1" applyFont="1" applyFill="1" applyBorder="1" applyAlignment="1">
      <alignment horizontal="center"/>
    </xf>
    <xf numFmtId="49" fontId="0" fillId="0" borderId="11" xfId="0" applyNumberFormat="1" applyFill="1" applyBorder="1" applyAlignment="1">
      <alignment horizontal="left"/>
    </xf>
    <xf numFmtId="37" fontId="0" fillId="0" borderId="11" xfId="0" applyNumberFormat="1" applyFill="1" applyBorder="1"/>
    <xf numFmtId="0" fontId="0" fillId="2" borderId="0" xfId="0" applyNumberFormat="1" applyFill="1"/>
    <xf numFmtId="164" fontId="0" fillId="0" borderId="0" xfId="0" applyNumberFormat="1" applyFill="1"/>
    <xf numFmtId="164" fontId="80" fillId="0" borderId="20" xfId="1" applyNumberFormat="1" applyFont="1" applyFill="1" applyBorder="1"/>
    <xf numFmtId="164" fontId="77" fillId="0" borderId="21" xfId="1" applyNumberFormat="1" applyFont="1" applyFill="1" applyBorder="1"/>
    <xf numFmtId="164" fontId="68" fillId="0" borderId="21" xfId="1" applyNumberFormat="1" applyFont="1" applyFill="1" applyBorder="1"/>
    <xf numFmtId="164" fontId="4" fillId="0" borderId="21" xfId="1" applyNumberFormat="1" applyFont="1" applyFill="1" applyBorder="1"/>
    <xf numFmtId="164" fontId="82" fillId="0" borderId="21" xfId="1" applyNumberFormat="1" applyFont="1" applyFill="1" applyBorder="1"/>
    <xf numFmtId="164" fontId="10" fillId="0" borderId="21" xfId="1" applyNumberFormat="1" applyFont="1" applyFill="1" applyBorder="1"/>
    <xf numFmtId="164" fontId="77" fillId="0" borderId="23" xfId="1" applyNumberFormat="1" applyFont="1" applyFill="1" applyBorder="1"/>
    <xf numFmtId="164" fontId="10" fillId="0" borderId="25" xfId="1" applyNumberFormat="1" applyFont="1" applyFill="1" applyBorder="1"/>
    <xf numFmtId="164" fontId="79" fillId="0" borderId="21" xfId="1" applyNumberFormat="1" applyFont="1" applyFill="1" applyBorder="1"/>
    <xf numFmtId="164" fontId="4" fillId="0" borderId="27" xfId="1" applyNumberFormat="1" applyFont="1" applyFill="1" applyBorder="1"/>
    <xf numFmtId="164" fontId="79" fillId="0" borderId="23" xfId="1" applyNumberFormat="1" applyFont="1" applyFill="1" applyBorder="1"/>
    <xf numFmtId="164" fontId="4" fillId="0" borderId="37" xfId="1" applyNumberFormat="1" applyFont="1" applyFill="1" applyBorder="1"/>
    <xf numFmtId="164" fontId="4" fillId="0" borderId="0" xfId="1" applyNumberFormat="1" applyFont="1"/>
    <xf numFmtId="164" fontId="10" fillId="0" borderId="28" xfId="1" applyNumberFormat="1" applyFont="1" applyFill="1" applyBorder="1"/>
    <xf numFmtId="164" fontId="10" fillId="30" borderId="20" xfId="1" applyNumberFormat="1" applyFont="1" applyFill="1" applyBorder="1"/>
    <xf numFmtId="0" fontId="3" fillId="0" borderId="0" xfId="0" applyNumberFormat="1" applyFont="1" applyFill="1" applyBorder="1"/>
    <xf numFmtId="0" fontId="3" fillId="0" borderId="0" xfId="0" quotePrefix="1" applyNumberFormat="1" applyFont="1" applyFill="1" applyAlignment="1">
      <alignment horizontal="center"/>
    </xf>
    <xf numFmtId="3" fontId="3" fillId="0" borderId="0" xfId="0" applyNumberFormat="1" applyFont="1" applyFill="1" applyBorder="1"/>
    <xf numFmtId="41" fontId="3" fillId="0" borderId="0" xfId="63" applyNumberFormat="1" applyFont="1" applyFill="1" applyBorder="1"/>
    <xf numFmtId="3" fontId="90" fillId="0" borderId="0" xfId="83" applyNumberFormat="1" applyFont="1" applyFill="1" applyAlignment="1">
      <alignment horizontal="left"/>
    </xf>
    <xf numFmtId="3" fontId="76" fillId="0" borderId="0" xfId="83" applyNumberFormat="1" applyFont="1" applyFill="1" applyAlignment="1">
      <alignment horizontal="center"/>
    </xf>
    <xf numFmtId="174" fontId="3" fillId="0" borderId="0" xfId="1" applyNumberFormat="1" applyFont="1"/>
    <xf numFmtId="169" fontId="4" fillId="41" borderId="0" xfId="80" applyFont="1" applyFill="1"/>
    <xf numFmtId="0" fontId="0" fillId="41" borderId="0" xfId="0" applyNumberFormat="1" applyFill="1"/>
    <xf numFmtId="169" fontId="4" fillId="40" borderId="0" xfId="80" applyFont="1" applyFill="1"/>
    <xf numFmtId="0" fontId="0" fillId="40" borderId="0" xfId="0" applyNumberFormat="1" applyFill="1"/>
    <xf numFmtId="3" fontId="3" fillId="0" borderId="0" xfId="84" applyNumberFormat="1" applyFont="1" applyFill="1"/>
    <xf numFmtId="0" fontId="3" fillId="0" borderId="0" xfId="84" applyFont="1" applyFill="1"/>
    <xf numFmtId="3" fontId="3" fillId="0" borderId="0" xfId="84" applyNumberFormat="1" applyFont="1" applyFill="1" applyAlignment="1"/>
    <xf numFmtId="3" fontId="26" fillId="0" borderId="0" xfId="84" applyNumberFormat="1" applyFont="1" applyFill="1" applyAlignment="1"/>
    <xf numFmtId="0" fontId="3" fillId="0" borderId="0" xfId="84" applyFont="1" applyFill="1" applyAlignment="1"/>
    <xf numFmtId="3" fontId="90" fillId="0" borderId="0" xfId="84" applyNumberFormat="1" applyFont="1" applyFill="1" applyAlignment="1">
      <alignment horizontal="left"/>
    </xf>
    <xf numFmtId="3" fontId="76" fillId="0" borderId="0" xfId="84" applyNumberFormat="1" applyFont="1" applyFill="1" applyAlignment="1">
      <alignment horizontal="center" wrapText="1"/>
    </xf>
    <xf numFmtId="3" fontId="76" fillId="0" borderId="0" xfId="84" applyNumberFormat="1" applyFont="1" applyFill="1" applyAlignment="1">
      <alignment horizontal="center"/>
    </xf>
    <xf numFmtId="0" fontId="3" fillId="0" borderId="0" xfId="84" applyFont="1" applyFill="1" applyBorder="1" applyAlignment="1">
      <alignment horizontal="center"/>
    </xf>
    <xf numFmtId="41" fontId="3" fillId="0" borderId="0" xfId="84" applyNumberFormat="1" applyFont="1" applyFill="1"/>
    <xf numFmtId="179" fontId="0" fillId="0" borderId="0" xfId="0" applyNumberFormat="1" applyFill="1" applyBorder="1"/>
    <xf numFmtId="169" fontId="7" fillId="0" borderId="0" xfId="0" applyFont="1" applyFill="1" applyBorder="1"/>
    <xf numFmtId="164" fontId="4" fillId="0" borderId="0" xfId="67" applyNumberFormat="1" applyFont="1"/>
    <xf numFmtId="170" fontId="26" fillId="0" borderId="0" xfId="57" applyNumberFormat="1" applyFont="1" applyFill="1" applyAlignment="1" applyProtection="1">
      <alignment horizontal="center"/>
    </xf>
    <xf numFmtId="169" fontId="26" fillId="0" borderId="0" xfId="57" applyFont="1" applyFill="1" applyAlignment="1">
      <alignment horizontal="center"/>
    </xf>
    <xf numFmtId="169" fontId="43" fillId="0" borderId="0" xfId="77" applyNumberFormat="1" applyFont="1" applyFill="1"/>
    <xf numFmtId="49" fontId="44" fillId="0" borderId="0" xfId="77" applyNumberFormat="1" applyFont="1" applyFill="1" applyAlignment="1">
      <alignment horizontal="center"/>
    </xf>
    <xf numFmtId="167" fontId="54" fillId="0" borderId="0" xfId="62" applyNumberFormat="1" applyFont="1" applyFill="1"/>
    <xf numFmtId="167" fontId="23" fillId="0" borderId="0" xfId="62" applyNumberFormat="1" applyFont="1" applyFill="1"/>
    <xf numFmtId="167" fontId="47" fillId="0" borderId="0" xfId="62" applyNumberFormat="1" applyFont="1" applyFill="1"/>
    <xf numFmtId="169" fontId="44" fillId="0" borderId="0" xfId="62" applyNumberFormat="1" applyFont="1" applyFill="1"/>
    <xf numFmtId="164" fontId="23" fillId="0" borderId="0" xfId="63" applyNumberFormat="1" applyFont="1" applyFill="1"/>
    <xf numFmtId="164" fontId="47" fillId="0" borderId="0" xfId="63" applyNumberFormat="1" applyFont="1" applyFill="1"/>
    <xf numFmtId="164" fontId="23" fillId="0" borderId="0" xfId="63" applyNumberFormat="1" applyFont="1" applyFill="1" applyAlignment="1">
      <alignment horizontal="left"/>
    </xf>
    <xf numFmtId="169" fontId="110" fillId="0" borderId="0" xfId="77" applyNumberFormat="1" applyFont="1" applyFill="1"/>
    <xf numFmtId="167" fontId="53" fillId="0" borderId="0" xfId="77" applyNumberFormat="1" applyFont="1" applyFill="1"/>
    <xf numFmtId="169" fontId="23" fillId="0" borderId="2" xfId="77" quotePrefix="1" applyNumberFormat="1" applyFont="1" applyFill="1" applyBorder="1"/>
    <xf numFmtId="169" fontId="3" fillId="0" borderId="2" xfId="77" applyNumberFormat="1" applyFont="1" applyFill="1" applyBorder="1"/>
    <xf numFmtId="164" fontId="44" fillId="0" borderId="8" xfId="63" applyNumberFormat="1" applyFont="1" applyFill="1" applyBorder="1"/>
    <xf numFmtId="169" fontId="23" fillId="0" borderId="2" xfId="77" applyNumberFormat="1" applyFont="1" applyFill="1" applyBorder="1"/>
    <xf numFmtId="169" fontId="22" fillId="0" borderId="2" xfId="77" applyNumberFormat="1" applyFont="1" applyFill="1" applyBorder="1"/>
    <xf numFmtId="169" fontId="26" fillId="0" borderId="2" xfId="77" applyNumberFormat="1" applyFont="1" applyFill="1" applyBorder="1"/>
    <xf numFmtId="168" fontId="3" fillId="0" borderId="2" xfId="64" applyNumberFormat="1" applyFont="1" applyFill="1" applyBorder="1" applyAlignment="1">
      <alignment horizontal="left"/>
    </xf>
    <xf numFmtId="164" fontId="26" fillId="0" borderId="2" xfId="63" applyNumberFormat="1" applyFont="1" applyFill="1" applyBorder="1"/>
    <xf numFmtId="164" fontId="3" fillId="0" borderId="2" xfId="63" applyNumberFormat="1" applyFont="1" applyFill="1" applyBorder="1"/>
    <xf numFmtId="44" fontId="3" fillId="0" borderId="0" xfId="60" applyFont="1" applyFill="1" applyAlignment="1"/>
    <xf numFmtId="164" fontId="84" fillId="0" borderId="0" xfId="62" applyNumberFormat="1" applyFont="1" applyFill="1" applyAlignment="1"/>
    <xf numFmtId="164" fontId="23" fillId="0" borderId="0" xfId="63" applyNumberFormat="1" applyFont="1" applyFill="1" applyAlignment="1">
      <alignment horizontal="center"/>
    </xf>
    <xf numFmtId="164" fontId="84" fillId="0" borderId="0" xfId="63" applyNumberFormat="1" applyFont="1" applyFill="1" applyAlignment="1"/>
    <xf numFmtId="164" fontId="84" fillId="0" borderId="8" xfId="63" applyNumberFormat="1" applyFont="1" applyFill="1" applyBorder="1" applyAlignment="1"/>
    <xf numFmtId="167" fontId="105" fillId="0" borderId="0" xfId="62" applyNumberFormat="1" applyFont="1" applyFill="1"/>
    <xf numFmtId="164" fontId="104" fillId="0" borderId="0" xfId="63" applyNumberFormat="1" applyFont="1" applyFill="1" applyAlignment="1"/>
    <xf numFmtId="167" fontId="44" fillId="0" borderId="0" xfId="62" applyNumberFormat="1" applyFont="1" applyFill="1" applyProtection="1"/>
    <xf numFmtId="164" fontId="48" fillId="0" borderId="0" xfId="63" applyNumberFormat="1" applyFont="1" applyFill="1" applyBorder="1" applyProtection="1"/>
    <xf numFmtId="0" fontId="4" fillId="0" borderId="0" xfId="0" applyNumberFormat="1" applyFont="1" applyFill="1" applyBorder="1"/>
    <xf numFmtId="169" fontId="0" fillId="0" borderId="0" xfId="0" applyFill="1"/>
    <xf numFmtId="169" fontId="94" fillId="0" borderId="0" xfId="76" applyFont="1" applyFill="1" applyAlignment="1">
      <alignment horizontal="right"/>
    </xf>
    <xf numFmtId="169" fontId="20" fillId="0" borderId="0" xfId="76" applyFont="1" applyFill="1" applyAlignment="1">
      <alignment horizontal="center" wrapText="1"/>
    </xf>
    <xf numFmtId="0" fontId="26" fillId="0" borderId="8" xfId="76" applyNumberFormat="1" applyFont="1" applyFill="1" applyBorder="1" applyAlignment="1">
      <alignment horizontal="center"/>
    </xf>
    <xf numFmtId="169" fontId="26" fillId="0" borderId="8" xfId="76" applyFont="1" applyFill="1" applyBorder="1" applyAlignment="1">
      <alignment horizontal="center"/>
    </xf>
    <xf numFmtId="169" fontId="84" fillId="0" borderId="8" xfId="76" applyFont="1" applyFill="1" applyBorder="1" applyAlignment="1">
      <alignment horizontal="center"/>
    </xf>
    <xf numFmtId="169" fontId="7" fillId="0" borderId="0" xfId="0" applyNumberFormat="1" applyFont="1" applyFill="1" applyAlignment="1">
      <alignment horizontal="left"/>
    </xf>
    <xf numFmtId="164" fontId="92" fillId="0" borderId="0" xfId="76" applyNumberFormat="1" applyFont="1" applyFill="1"/>
    <xf numFmtId="0" fontId="93" fillId="0" borderId="0" xfId="67" applyNumberFormat="1" applyFont="1" applyFill="1"/>
    <xf numFmtId="0" fontId="92" fillId="0" borderId="0" xfId="76" applyNumberFormat="1" applyFont="1" applyFill="1"/>
    <xf numFmtId="167" fontId="92" fillId="0" borderId="5" xfId="70" applyNumberFormat="1" applyFont="1" applyFill="1" applyBorder="1"/>
    <xf numFmtId="164" fontId="93" fillId="0" borderId="0" xfId="1" applyNumberFormat="1" applyFont="1" applyFill="1"/>
    <xf numFmtId="167" fontId="96" fillId="0" borderId="0" xfId="62" applyNumberFormat="1" applyFont="1" applyFill="1"/>
    <xf numFmtId="167" fontId="3" fillId="0" borderId="0" xfId="75" applyNumberFormat="1" applyFont="1" applyFill="1" applyAlignment="1">
      <alignment horizontal="center"/>
    </xf>
    <xf numFmtId="0" fontId="44" fillId="0" borderId="0" xfId="74" applyNumberFormat="1" applyFont="1" applyFill="1" applyAlignment="1">
      <alignment horizontal="center"/>
    </xf>
    <xf numFmtId="0" fontId="43" fillId="0" borderId="0" xfId="74" applyNumberFormat="1" applyFont="1" applyFill="1" applyAlignment="1">
      <alignment horizontal="center"/>
    </xf>
    <xf numFmtId="0" fontId="43" fillId="0" borderId="0" xfId="59" applyNumberFormat="1" applyFont="1" applyFill="1" applyAlignment="1"/>
    <xf numFmtId="164" fontId="43" fillId="0" borderId="0" xfId="74" applyNumberFormat="1" applyFont="1" applyFill="1" applyAlignment="1">
      <alignment horizontal="center"/>
    </xf>
    <xf numFmtId="0" fontId="3" fillId="0" borderId="0" xfId="74" applyNumberFormat="1" applyFont="1" applyFill="1" applyAlignment="1">
      <alignment horizontal="center"/>
    </xf>
    <xf numFmtId="169" fontId="43" fillId="0" borderId="0" xfId="59" applyNumberFormat="1" applyFont="1" applyFill="1" applyAlignment="1"/>
    <xf numFmtId="0" fontId="3" fillId="0" borderId="0" xfId="59" applyNumberFormat="1" applyFont="1" applyFill="1" applyAlignment="1">
      <alignment horizontal="right"/>
    </xf>
    <xf numFmtId="14" fontId="23" fillId="0" borderId="0" xfId="59" applyNumberFormat="1" applyFont="1" applyFill="1" applyAlignment="1">
      <alignment horizontal="center"/>
    </xf>
    <xf numFmtId="167" fontId="3" fillId="0" borderId="0" xfId="75" applyNumberFormat="1" applyFont="1" applyFill="1" applyAlignment="1"/>
    <xf numFmtId="0" fontId="113" fillId="0" borderId="0" xfId="84" applyFont="1" applyFill="1"/>
    <xf numFmtId="17" fontId="22" fillId="0" borderId="17" xfId="57" applyNumberFormat="1" applyFont="1" applyFill="1" applyBorder="1" applyAlignment="1">
      <alignment horizontal="center"/>
    </xf>
    <xf numFmtId="17" fontId="22" fillId="0" borderId="40" xfId="57" applyNumberFormat="1" applyFont="1" applyFill="1" applyBorder="1" applyAlignment="1">
      <alignment horizontal="center"/>
    </xf>
    <xf numFmtId="169" fontId="3" fillId="0" borderId="6" xfId="57" applyFont="1" applyFill="1" applyBorder="1"/>
    <xf numFmtId="0" fontId="26" fillId="0" borderId="0" xfId="0" applyNumberFormat="1" applyFont="1" applyFill="1"/>
    <xf numFmtId="164" fontId="3" fillId="0" borderId="0" xfId="57" applyNumberFormat="1" applyFont="1" applyFill="1" applyBorder="1"/>
    <xf numFmtId="164" fontId="3" fillId="0" borderId="6" xfId="57" applyNumberFormat="1" applyFont="1" applyFill="1" applyBorder="1"/>
    <xf numFmtId="0" fontId="26" fillId="0" borderId="0" xfId="84" applyFont="1" applyFill="1" applyAlignment="1">
      <alignment horizontal="center"/>
    </xf>
    <xf numFmtId="0" fontId="26" fillId="0" borderId="0" xfId="84" applyFont="1" applyFill="1"/>
    <xf numFmtId="164" fontId="3" fillId="0" borderId="8" xfId="57" applyNumberFormat="1" applyFont="1" applyFill="1" applyBorder="1"/>
    <xf numFmtId="164" fontId="3" fillId="0" borderId="9" xfId="57" applyNumberFormat="1" applyFont="1" applyFill="1" applyBorder="1"/>
    <xf numFmtId="0" fontId="26" fillId="0" borderId="0" xfId="84" quotePrefix="1" applyFont="1" applyFill="1" applyAlignment="1">
      <alignment horizontal="center"/>
    </xf>
    <xf numFmtId="169" fontId="22" fillId="0" borderId="17" xfId="57" applyFont="1" applyFill="1" applyBorder="1" applyAlignment="1">
      <alignment horizontal="center"/>
    </xf>
    <xf numFmtId="169" fontId="22" fillId="0" borderId="40" xfId="57" applyFont="1" applyFill="1" applyBorder="1" applyAlignment="1">
      <alignment horizontal="center"/>
    </xf>
    <xf numFmtId="0" fontId="3" fillId="0" borderId="0" xfId="84" quotePrefix="1" applyFont="1" applyFill="1" applyAlignment="1">
      <alignment horizontal="center"/>
    </xf>
    <xf numFmtId="164" fontId="3" fillId="0" borderId="6" xfId="63" applyNumberFormat="1" applyFont="1" applyFill="1" applyBorder="1"/>
    <xf numFmtId="0" fontId="3" fillId="0" borderId="0" xfId="84" applyFont="1" applyFill="1" applyAlignment="1">
      <alignment horizontal="center"/>
    </xf>
    <xf numFmtId="164" fontId="3" fillId="0" borderId="8" xfId="63" applyNumberFormat="1" applyFont="1" applyFill="1" applyBorder="1"/>
    <xf numFmtId="164" fontId="3" fillId="0" borderId="9" xfId="63" applyNumberFormat="1" applyFont="1" applyFill="1" applyBorder="1"/>
    <xf numFmtId="0" fontId="3" fillId="0" borderId="0" xfId="84" applyFont="1" applyFill="1" applyBorder="1"/>
    <xf numFmtId="0" fontId="3" fillId="0" borderId="17" xfId="84" applyFont="1" applyFill="1" applyBorder="1" applyAlignment="1">
      <alignment horizontal="center"/>
    </xf>
    <xf numFmtId="3" fontId="3" fillId="0" borderId="17" xfId="84" applyNumberFormat="1" applyFont="1" applyFill="1" applyBorder="1"/>
    <xf numFmtId="0" fontId="3" fillId="0" borderId="17" xfId="84" applyFont="1" applyFill="1" applyBorder="1"/>
    <xf numFmtId="3" fontId="3" fillId="0" borderId="0" xfId="84" applyNumberFormat="1" applyFont="1" applyFill="1" applyBorder="1"/>
    <xf numFmtId="0" fontId="3" fillId="0" borderId="8" xfId="84" applyFont="1" applyFill="1" applyBorder="1"/>
    <xf numFmtId="0" fontId="26" fillId="0" borderId="0" xfId="84" applyFont="1" applyFill="1" applyBorder="1" applyAlignment="1">
      <alignment horizontal="center"/>
    </xf>
    <xf numFmtId="3" fontId="26" fillId="0" borderId="0" xfId="84" applyNumberFormat="1" applyFont="1" applyFill="1"/>
    <xf numFmtId="41" fontId="26" fillId="0" borderId="0" xfId="63" applyNumberFormat="1" applyFont="1" applyFill="1"/>
    <xf numFmtId="0" fontId="26" fillId="0" borderId="0" xfId="84" quotePrefix="1" applyFont="1" applyFill="1"/>
    <xf numFmtId="0" fontId="26" fillId="0" borderId="8" xfId="84" applyFont="1" applyFill="1" applyBorder="1"/>
    <xf numFmtId="0" fontId="3" fillId="0" borderId="0" xfId="84" applyFont="1" applyFill="1" applyAlignment="1">
      <alignment wrapText="1"/>
    </xf>
    <xf numFmtId="0" fontId="3" fillId="0" borderId="0" xfId="85" applyFont="1" applyFill="1"/>
    <xf numFmtId="0" fontId="74" fillId="0" borderId="0" xfId="0" applyNumberFormat="1" applyFont="1" applyFill="1"/>
    <xf numFmtId="17" fontId="3" fillId="0" borderId="0" xfId="57" applyNumberFormat="1" applyFont="1" applyFill="1"/>
    <xf numFmtId="164" fontId="3" fillId="0" borderId="0" xfId="57" applyNumberFormat="1" applyFont="1" applyFill="1"/>
    <xf numFmtId="3" fontId="76" fillId="0" borderId="0" xfId="0" applyNumberFormat="1" applyFont="1" applyFill="1" applyAlignment="1">
      <alignment wrapText="1"/>
    </xf>
    <xf numFmtId="3" fontId="26" fillId="0" borderId="0" xfId="83" applyNumberFormat="1" applyFont="1" applyFill="1" applyAlignment="1"/>
    <xf numFmtId="0" fontId="3" fillId="0" borderId="0" xfId="83" applyFont="1" applyFill="1" applyAlignment="1">
      <alignment horizontal="center"/>
    </xf>
    <xf numFmtId="0" fontId="3" fillId="0" borderId="17" xfId="0" applyNumberFormat="1" applyFont="1" applyFill="1" applyBorder="1" applyAlignment="1">
      <alignment horizontal="center"/>
    </xf>
    <xf numFmtId="3" fontId="3" fillId="0" borderId="17" xfId="0" applyNumberFormat="1" applyFont="1" applyFill="1" applyBorder="1"/>
    <xf numFmtId="0" fontId="3" fillId="0" borderId="17" xfId="0" applyNumberFormat="1" applyFont="1" applyFill="1" applyBorder="1"/>
    <xf numFmtId="0" fontId="3" fillId="0" borderId="0" xfId="0" quotePrefix="1" applyNumberFormat="1" applyFont="1" applyFill="1"/>
    <xf numFmtId="41" fontId="3" fillId="0" borderId="0" xfId="57" applyNumberFormat="1" applyFont="1" applyFill="1"/>
    <xf numFmtId="0" fontId="3" fillId="0" borderId="0" xfId="83" applyFont="1" applyFill="1"/>
    <xf numFmtId="0" fontId="3" fillId="0" borderId="0" xfId="83" applyFont="1" applyFill="1" applyAlignment="1">
      <alignment wrapText="1"/>
    </xf>
    <xf numFmtId="0" fontId="3" fillId="0" borderId="0" xfId="68" applyNumberFormat="1" applyFont="1" applyFill="1"/>
    <xf numFmtId="169" fontId="20" fillId="0" borderId="0" xfId="0" applyFont="1" applyFill="1" applyAlignment="1"/>
    <xf numFmtId="169" fontId="20" fillId="0" borderId="0" xfId="0" applyFont="1" applyFill="1" applyAlignment="1">
      <alignment horizontal="center"/>
    </xf>
    <xf numFmtId="169" fontId="22" fillId="0" borderId="0" xfId="0" applyFont="1" applyFill="1" applyBorder="1" applyAlignment="1">
      <alignment horizontal="center"/>
    </xf>
    <xf numFmtId="169" fontId="20" fillId="0" borderId="0" xfId="0" applyFont="1" applyFill="1"/>
    <xf numFmtId="10" fontId="7" fillId="0" borderId="0" xfId="0" applyNumberFormat="1" applyFont="1" applyFill="1" applyAlignment="1">
      <alignment horizontal="center"/>
    </xf>
    <xf numFmtId="169" fontId="21" fillId="0" borderId="0" xfId="0" applyFont="1" applyFill="1"/>
    <xf numFmtId="169" fontId="3" fillId="0" borderId="0" xfId="59" applyFont="1" applyFill="1" applyAlignment="1">
      <alignment horizontal="left" wrapText="1" indent="1"/>
    </xf>
    <xf numFmtId="9" fontId="3" fillId="0" borderId="0" xfId="55" applyFont="1" applyFill="1" applyAlignment="1">
      <alignment horizontal="center"/>
    </xf>
    <xf numFmtId="10" fontId="24" fillId="0" borderId="0" xfId="61" applyNumberFormat="1" applyFont="1" applyFill="1"/>
    <xf numFmtId="169" fontId="30" fillId="0" borderId="0" xfId="0" applyFont="1" applyFill="1"/>
    <xf numFmtId="169" fontId="3" fillId="0" borderId="0" xfId="59" applyFont="1" applyFill="1" applyAlignment="1">
      <alignment horizontal="left" indent="1"/>
    </xf>
    <xf numFmtId="167" fontId="3" fillId="0" borderId="0" xfId="60" applyNumberFormat="1" applyFont="1" applyFill="1" applyAlignment="1"/>
    <xf numFmtId="167" fontId="7" fillId="0" borderId="0" xfId="0" applyNumberFormat="1" applyFont="1" applyFill="1"/>
    <xf numFmtId="164" fontId="28" fillId="0" borderId="0" xfId="1" applyNumberFormat="1" applyFont="1" applyFill="1"/>
    <xf numFmtId="44" fontId="29" fillId="0" borderId="0" xfId="0" applyNumberFormat="1" applyFont="1" applyFill="1"/>
    <xf numFmtId="169" fontId="112" fillId="0" borderId="0" xfId="0" applyFont="1" applyFill="1"/>
    <xf numFmtId="164" fontId="29" fillId="0" borderId="0" xfId="1" applyNumberFormat="1" applyFont="1" applyFill="1"/>
    <xf numFmtId="170" fontId="26" fillId="0" borderId="0" xfId="57" applyNumberFormat="1" applyFont="1" applyFill="1" applyAlignment="1" applyProtection="1">
      <alignment horizontal="center"/>
    </xf>
    <xf numFmtId="169" fontId="26" fillId="0" borderId="0" xfId="57" applyFont="1" applyFill="1" applyAlignment="1">
      <alignment horizontal="center"/>
    </xf>
    <xf numFmtId="164" fontId="26" fillId="15" borderId="10" xfId="63" applyNumberFormat="1" applyFont="1" applyFill="1" applyBorder="1" applyAlignment="1" applyProtection="1">
      <alignment horizontal="center"/>
    </xf>
    <xf numFmtId="164" fontId="26" fillId="15" borderId="8" xfId="63" applyNumberFormat="1" applyFont="1" applyFill="1" applyBorder="1" applyAlignment="1" applyProtection="1">
      <alignment horizontal="center"/>
    </xf>
    <xf numFmtId="164" fontId="26" fillId="15" borderId="9" xfId="63" applyNumberFormat="1" applyFont="1" applyFill="1" applyBorder="1" applyAlignment="1" applyProtection="1">
      <alignment horizontal="center"/>
    </xf>
    <xf numFmtId="169" fontId="20" fillId="35" borderId="10" xfId="0" applyFont="1" applyFill="1" applyBorder="1" applyAlignment="1">
      <alignment horizontal="center"/>
    </xf>
    <xf numFmtId="169" fontId="20" fillId="35" borderId="8" xfId="0" applyFont="1" applyFill="1" applyBorder="1" applyAlignment="1">
      <alignment horizontal="center"/>
    </xf>
    <xf numFmtId="169" fontId="20" fillId="35" borderId="9" xfId="0" applyFont="1" applyFill="1" applyBorder="1" applyAlignment="1">
      <alignment horizontal="center"/>
    </xf>
    <xf numFmtId="169" fontId="20" fillId="33" borderId="8" xfId="0" applyNumberFormat="1" applyFont="1" applyFill="1" applyBorder="1" applyAlignment="1">
      <alignment horizontal="center"/>
    </xf>
    <xf numFmtId="169" fontId="20" fillId="33" borderId="9" xfId="0" applyNumberFormat="1" applyFont="1" applyFill="1" applyBorder="1" applyAlignment="1">
      <alignment horizontal="center"/>
    </xf>
    <xf numFmtId="169" fontId="20" fillId="35" borderId="8" xfId="0" applyNumberFormat="1" applyFont="1" applyFill="1" applyBorder="1" applyAlignment="1">
      <alignment horizontal="center"/>
    </xf>
    <xf numFmtId="169" fontId="20" fillId="35" borderId="9" xfId="0" applyNumberFormat="1" applyFont="1" applyFill="1" applyBorder="1" applyAlignment="1">
      <alignment horizontal="center"/>
    </xf>
    <xf numFmtId="0" fontId="3" fillId="0" borderId="0" xfId="0" applyNumberFormat="1" applyFont="1" applyFill="1" applyAlignment="1">
      <alignment wrapText="1"/>
    </xf>
    <xf numFmtId="0" fontId="3" fillId="0" borderId="0" xfId="83" applyFont="1" applyFill="1" applyAlignment="1">
      <alignment wrapText="1"/>
    </xf>
    <xf numFmtId="0" fontId="3" fillId="0" borderId="0" xfId="84" applyFont="1" applyFill="1" applyAlignment="1">
      <alignment wrapText="1"/>
    </xf>
    <xf numFmtId="169" fontId="20" fillId="0" borderId="0" xfId="0" applyFont="1" applyFill="1" applyAlignment="1">
      <alignment horizontal="center"/>
    </xf>
    <xf numFmtId="169" fontId="21" fillId="0" borderId="0" xfId="0" applyFont="1" applyFill="1" applyAlignment="1">
      <alignment horizontal="center"/>
    </xf>
    <xf numFmtId="169" fontId="46" fillId="0" borderId="0" xfId="0" applyNumberFormat="1" applyFont="1" applyFill="1" applyAlignment="1" applyProtection="1">
      <alignment horizontal="left"/>
    </xf>
    <xf numFmtId="0" fontId="23" fillId="0" borderId="0" xfId="0" applyNumberFormat="1" applyFont="1" applyFill="1" applyProtection="1"/>
    <xf numFmtId="0" fontId="46" fillId="0" borderId="0" xfId="0" applyNumberFormat="1" applyFont="1" applyFill="1" applyAlignment="1" applyProtection="1">
      <alignment horizontal="center"/>
    </xf>
    <xf numFmtId="169" fontId="46" fillId="0" borderId="0" xfId="0" applyNumberFormat="1" applyFont="1" applyFill="1" applyAlignment="1" applyProtection="1">
      <alignment horizontal="center"/>
    </xf>
    <xf numFmtId="169" fontId="46" fillId="0" borderId="0" xfId="0" applyNumberFormat="1" applyFont="1" applyFill="1" applyProtection="1"/>
    <xf numFmtId="0" fontId="53" fillId="0" borderId="0" xfId="0" applyNumberFormat="1" applyFont="1" applyFill="1" applyProtection="1"/>
    <xf numFmtId="169" fontId="53" fillId="0" borderId="0" xfId="0" applyNumberFormat="1" applyFont="1" applyFill="1" applyProtection="1"/>
    <xf numFmtId="0" fontId="3" fillId="0" borderId="0" xfId="0" applyNumberFormat="1" applyFont="1" applyFill="1" applyAlignment="1" applyProtection="1">
      <alignment horizontal="center"/>
    </xf>
    <xf numFmtId="169" fontId="46" fillId="0" borderId="0" xfId="0" applyNumberFormat="1" applyFont="1" applyFill="1" applyAlignment="1" applyProtection="1">
      <alignment wrapText="1"/>
    </xf>
    <xf numFmtId="10" fontId="46" fillId="0" borderId="0" xfId="0" applyNumberFormat="1" applyFont="1" applyFill="1" applyAlignment="1" applyProtection="1">
      <alignment horizontal="center"/>
    </xf>
    <xf numFmtId="169" fontId="46" fillId="0" borderId="0" xfId="0" applyFont="1" applyFill="1" applyProtection="1"/>
    <xf numFmtId="169" fontId="66" fillId="0" borderId="0" xfId="0" applyFont="1" applyFill="1" applyProtection="1"/>
    <xf numFmtId="0" fontId="3" fillId="0" borderId="0" xfId="0" applyNumberFormat="1" applyFont="1" applyFill="1" applyProtection="1"/>
    <xf numFmtId="10" fontId="7" fillId="0" borderId="0" xfId="0" applyNumberFormat="1" applyFont="1" applyFill="1"/>
    <xf numFmtId="164" fontId="45" fillId="0" borderId="0" xfId="63" applyNumberFormat="1" applyFont="1" applyFill="1" applyProtection="1"/>
    <xf numFmtId="164" fontId="43" fillId="0" borderId="0" xfId="63" applyNumberFormat="1" applyFont="1" applyFill="1" applyProtection="1"/>
    <xf numFmtId="169" fontId="39" fillId="0" borderId="0" xfId="0" applyFont="1" applyFill="1" applyProtection="1"/>
    <xf numFmtId="164" fontId="72" fillId="0" borderId="0" xfId="63" applyNumberFormat="1" applyFont="1" applyFill="1" applyProtection="1"/>
    <xf numFmtId="164" fontId="39" fillId="0" borderId="0" xfId="63" applyNumberFormat="1" applyFont="1" applyFill="1" applyProtection="1"/>
    <xf numFmtId="169" fontId="3" fillId="0" borderId="0" xfId="0" applyNumberFormat="1" applyFont="1" applyFill="1" applyProtection="1"/>
    <xf numFmtId="0" fontId="26" fillId="0" borderId="0" xfId="0" applyNumberFormat="1" applyFont="1" applyFill="1" applyProtection="1"/>
    <xf numFmtId="169" fontId="26" fillId="0" borderId="0" xfId="0" applyNumberFormat="1" applyFont="1" applyFill="1" applyProtection="1"/>
    <xf numFmtId="169" fontId="3" fillId="0" borderId="0" xfId="0" applyNumberFormat="1" applyFont="1" applyFill="1" applyAlignment="1" applyProtection="1">
      <alignment wrapText="1"/>
    </xf>
    <xf numFmtId="10" fontId="3" fillId="0" borderId="0" xfId="0" applyNumberFormat="1" applyFont="1" applyFill="1" applyAlignment="1" applyProtection="1">
      <alignment horizontal="center"/>
    </xf>
    <xf numFmtId="169" fontId="57" fillId="0" borderId="0" xfId="0" applyFont="1" applyFill="1" applyProtection="1"/>
    <xf numFmtId="169" fontId="22" fillId="0" borderId="0" xfId="0" applyNumberFormat="1" applyFont="1" applyFill="1" applyProtection="1"/>
    <xf numFmtId="169" fontId="72" fillId="0" borderId="0" xfId="0" applyFont="1" applyFill="1" applyProtection="1"/>
    <xf numFmtId="169" fontId="3" fillId="0" borderId="0" xfId="0" applyNumberFormat="1" applyFont="1" applyFill="1" applyAlignment="1" applyProtection="1">
      <alignment horizontal="center" wrapText="1"/>
    </xf>
    <xf numFmtId="169" fontId="75" fillId="0" borderId="0" xfId="0" applyNumberFormat="1" applyFont="1" applyFill="1" applyAlignment="1" applyProtection="1">
      <alignment horizontal="left"/>
    </xf>
    <xf numFmtId="169" fontId="75" fillId="0" borderId="0" xfId="0" applyNumberFormat="1" applyFont="1" applyFill="1" applyProtection="1"/>
    <xf numFmtId="0" fontId="75" fillId="0" borderId="0" xfId="0" applyNumberFormat="1" applyFont="1" applyFill="1" applyProtection="1"/>
    <xf numFmtId="169" fontId="75" fillId="0" borderId="0" xfId="0" applyNumberFormat="1" applyFont="1" applyFill="1" applyAlignment="1" applyProtection="1">
      <alignment horizontal="center"/>
    </xf>
    <xf numFmtId="0" fontId="75" fillId="0" borderId="0" xfId="0" applyNumberFormat="1" applyFont="1" applyFill="1" applyAlignment="1" applyProtection="1">
      <alignment horizontal="center"/>
    </xf>
    <xf numFmtId="169" fontId="75" fillId="0" borderId="0" xfId="0" applyNumberFormat="1" applyFont="1" applyFill="1" applyAlignment="1" applyProtection="1">
      <alignment horizontal="center" wrapText="1"/>
    </xf>
    <xf numFmtId="10" fontId="75" fillId="0" borderId="0" xfId="0" applyNumberFormat="1" applyFont="1" applyFill="1" applyAlignment="1" applyProtection="1">
      <alignment horizontal="center"/>
    </xf>
    <xf numFmtId="169" fontId="75" fillId="0" borderId="0" xfId="0" applyFont="1" applyFill="1" applyProtection="1"/>
    <xf numFmtId="169" fontId="42" fillId="0" borderId="0" xfId="0" applyFont="1" applyFill="1" applyProtection="1"/>
    <xf numFmtId="164" fontId="84" fillId="0" borderId="0" xfId="54" applyNumberFormat="1" applyFont="1" applyFill="1"/>
    <xf numFmtId="164" fontId="85" fillId="0" borderId="0" xfId="54" applyNumberFormat="1" applyFont="1" applyFill="1"/>
    <xf numFmtId="164" fontId="3" fillId="0" borderId="0" xfId="54" applyNumberFormat="1" applyFont="1" applyFill="1"/>
    <xf numFmtId="174" fontId="84" fillId="0" borderId="0" xfId="54" applyNumberFormat="1" applyFont="1" applyFill="1"/>
  </cellXfs>
  <cellStyles count="86">
    <cellStyle name="Comma" xfId="1" builtinId="3"/>
    <cellStyle name="Comma 2" xfId="63"/>
    <cellStyle name="Comma 2 2" xfId="51"/>
    <cellStyle name="Comma 3" xfId="4"/>
    <cellStyle name="Comma 3 2" xfId="54"/>
    <cellStyle name="Comma 4" xfId="56"/>
    <cellStyle name="Comma 4 2" xfId="66"/>
    <cellStyle name="Comma 5" xfId="69"/>
    <cellStyle name="Comma 6" xfId="74"/>
    <cellStyle name="Currency" xfId="60" builtinId="4"/>
    <cellStyle name="Currency 2" xfId="62"/>
    <cellStyle name="Currency 2 2" xfId="53"/>
    <cellStyle name="Currency 3" xfId="70"/>
    <cellStyle name="Currency 4" xfId="75"/>
    <cellStyle name="Normal" xfId="0" builtinId="0"/>
    <cellStyle name="Normal 13" xfId="83"/>
    <cellStyle name="Normal 14" xfId="84"/>
    <cellStyle name="Normal 2" xfId="6"/>
    <cellStyle name="Normal 2 2" xfId="57"/>
    <cellStyle name="Normal 3" xfId="58"/>
    <cellStyle name="Normal 3 2" xfId="65"/>
    <cellStyle name="Normal 4" xfId="67"/>
    <cellStyle name="Normal 4 2" xfId="76"/>
    <cellStyle name="Normal 47" xfId="82"/>
    <cellStyle name="Normal 5" xfId="71"/>
    <cellStyle name="Normal 6" xfId="72"/>
    <cellStyle name="Normal 7" xfId="77"/>
    <cellStyle name="Normal 8" xfId="80"/>
    <cellStyle name="Normal 9" xfId="81"/>
    <cellStyle name="Normal_Book3" xfId="68"/>
    <cellStyle name="Normal_Book3 2" xfId="85"/>
    <cellStyle name="Normal_ebcap_Jun 02" xfId="59"/>
    <cellStyle name="Normal_ebcap_Jun 02 3" xfId="78"/>
    <cellStyle name="Normal_March 2012" xfId="3"/>
    <cellStyle name="Normal_november 2010" xfId="2"/>
    <cellStyle name="Normal_regulatory assets 1823 200206" xfId="5"/>
    <cellStyle name="Normal_SUM698 Restated" xfId="79"/>
    <cellStyle name="Percent" xfId="61" builtinId="5"/>
    <cellStyle name="Percent 2" xfId="64"/>
    <cellStyle name="Percent 2 2" xfId="52"/>
    <cellStyle name="Percent 3" xfId="55"/>
    <cellStyle name="Percent 4" xfId="73"/>
    <cellStyle name="PSChar" xfId="7"/>
    <cellStyle name="PSDate" xfId="8"/>
    <cellStyle name="PSDec" xfId="9"/>
    <cellStyle name="PSHeading" xfId="10"/>
    <cellStyle name="PSInt" xfId="11"/>
    <cellStyle name="PSSpacer" xfId="12"/>
    <cellStyle name="SAPBEXaggData" xfId="13"/>
    <cellStyle name="SAPBEXaggDataEmph" xfId="14"/>
    <cellStyle name="SAPBEXaggItem" xfId="15"/>
    <cellStyle name="SAPBEXaggItemX" xfId="16"/>
    <cellStyle name="SAPBEXchaText" xfId="17"/>
    <cellStyle name="SAPBEXexcBad7" xfId="18"/>
    <cellStyle name="SAPBEXexcBad8" xfId="19"/>
    <cellStyle name="SAPBEXexcBad9" xfId="20"/>
    <cellStyle name="SAPBEXexcCritical4" xfId="21"/>
    <cellStyle name="SAPBEXexcCritical5" xfId="22"/>
    <cellStyle name="SAPBEXexcCritical6" xfId="23"/>
    <cellStyle name="SAPBEXexcGood1" xfId="24"/>
    <cellStyle name="SAPBEXexcGood2" xfId="25"/>
    <cellStyle name="SAPBEXexcGood3" xfId="26"/>
    <cellStyle name="SAPBEXfilterDrill" xfId="27"/>
    <cellStyle name="SAPBEXfilterItem" xfId="28"/>
    <cellStyle name="SAPBEXfilterText" xfId="29"/>
    <cellStyle name="SAPBEXformats" xfId="30"/>
    <cellStyle name="SAPBEXheaderItem" xfId="31"/>
    <cellStyle name="SAPBEXheaderText" xfId="32"/>
    <cellStyle name="SAPBEXHLevel0" xfId="33"/>
    <cellStyle name="SAPBEXHLevel0X" xfId="34"/>
    <cellStyle name="SAPBEXHLevel1" xfId="35"/>
    <cellStyle name="SAPBEXHLevel1X" xfId="36"/>
    <cellStyle name="SAPBEXHLevel2" xfId="37"/>
    <cellStyle name="SAPBEXHLevel2X" xfId="38"/>
    <cellStyle name="SAPBEXHLevel3" xfId="39"/>
    <cellStyle name="SAPBEXHLevel3X" xfId="40"/>
    <cellStyle name="SAPBEXresData" xfId="41"/>
    <cellStyle name="SAPBEXresDataEmph" xfId="42"/>
    <cellStyle name="SAPBEXresItem" xfId="43"/>
    <cellStyle name="SAPBEXresItemX" xfId="44"/>
    <cellStyle name="SAPBEXstdData" xfId="45"/>
    <cellStyle name="SAPBEXstdDataEmph" xfId="46"/>
    <cellStyle name="SAPBEXstdItem" xfId="47"/>
    <cellStyle name="SAPBEXstdItemX" xfId="48"/>
    <cellStyle name="SAPBEXtitle" xfId="49"/>
    <cellStyle name="SAPBEXundefined" xfId="50"/>
  </cellStyles>
  <dxfs count="267">
    <dxf>
      <font>
        <condense val="0"/>
        <extend val="0"/>
        <color indexed="17"/>
      </font>
    </dxf>
    <dxf>
      <font>
        <strike val="0"/>
        <color rgb="FFFF000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ill>
        <patternFill>
          <bgColor indexed="22"/>
        </patternFill>
      </fill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ill>
        <patternFill>
          <bgColor rgb="FFFFFFCC"/>
        </patternFill>
      </fill>
    </dxf>
    <dxf>
      <fill>
        <patternFill>
          <bgColor rgb="FFCCFFCC"/>
        </patternFill>
      </fill>
    </dxf>
    <dxf>
      <fill>
        <patternFill>
          <bgColor rgb="FFC0C0C0"/>
        </patternFill>
      </fill>
    </dxf>
    <dxf>
      <fill>
        <patternFill>
          <bgColor rgb="FFFFFF99"/>
        </patternFill>
      </fill>
    </dxf>
    <dxf>
      <font>
        <condense val="0"/>
        <extend val="0"/>
        <color indexed="17"/>
      </font>
    </dxf>
    <dxf>
      <font>
        <condense val="0"/>
        <extend val="0"/>
        <color indexed="9"/>
      </font>
    </dxf>
    <dxf>
      <font>
        <condense val="0"/>
        <extend val="0"/>
        <color indexed="17"/>
      </font>
    </dxf>
    <dxf>
      <font>
        <condense val="0"/>
        <extend val="0"/>
        <color indexed="17"/>
      </font>
    </dxf>
  </dxfs>
  <tableStyles count="0" defaultTableStyle="TableStyleMedium9" defaultPivotStyle="PivotStyleLight16"/>
  <colors>
    <mruColors>
      <color rgb="FF008000"/>
      <color rgb="FFFFFF99"/>
      <color rgb="FFCCFFCC"/>
      <color rgb="FF66FF66"/>
      <color rgb="FFFF9933"/>
      <color rgb="FFC0C0C0"/>
      <color rgb="FFFFFFCC"/>
      <color rgb="FFCCFFFF"/>
      <color rgb="FF66FFFF"/>
      <color rgb="FF96969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34" Type="http://schemas.openxmlformats.org/officeDocument/2006/relationships/externalLink" Target="externalLinks/externalLink1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externalLink" Target="externalLinks/externalLink16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externalLink" Target="externalLinks/externalLink15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externalLink" Target="externalLinks/externalLink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13.xml"/><Relationship Id="rId35" Type="http://schemas.openxmlformats.org/officeDocument/2006/relationships/externalLink" Target="externalLinks/externalLink1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38125" y="0"/>
          <a:ext cx="831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28575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38125" y="0"/>
          <a:ext cx="831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28575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38125" y="0"/>
          <a:ext cx="831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28575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5" name="Line 4"/>
        <xdr:cNvSpPr>
          <a:spLocks noChangeShapeType="1"/>
        </xdr:cNvSpPr>
      </xdr:nvSpPr>
      <xdr:spPr bwMode="auto">
        <a:xfrm>
          <a:off x="238125" y="0"/>
          <a:ext cx="831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09550" y="0"/>
          <a:ext cx="93345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247650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09550" y="0"/>
          <a:ext cx="93345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247650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09550" y="0"/>
          <a:ext cx="93345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247650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" name="Line 4"/>
        <xdr:cNvSpPr>
          <a:spLocks noChangeShapeType="1"/>
        </xdr:cNvSpPr>
      </xdr:nvSpPr>
      <xdr:spPr bwMode="auto">
        <a:xfrm>
          <a:off x="209550" y="0"/>
          <a:ext cx="93345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</xdr:row>
      <xdr:rowOff>161925</xdr:rowOff>
    </xdr:from>
    <xdr:to>
      <xdr:col>9</xdr:col>
      <xdr:colOff>123825</xdr:colOff>
      <xdr:row>40</xdr:row>
      <xdr:rowOff>190500</xdr:rowOff>
    </xdr:to>
    <xdr:pic>
      <xdr:nvPicPr>
        <xdr:cNvPr id="2252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9226" r="30149" b="29714"/>
        <a:stretch>
          <a:fillRect/>
        </a:stretch>
      </xdr:blipFill>
      <xdr:spPr bwMode="auto">
        <a:xfrm>
          <a:off x="57150" y="1162050"/>
          <a:ext cx="6600825" cy="70294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8</xdr:col>
      <xdr:colOff>479425</xdr:colOff>
      <xdr:row>36</xdr:row>
      <xdr:rowOff>38100</xdr:rowOff>
    </xdr:to>
    <xdr:pic>
      <xdr:nvPicPr>
        <xdr:cNvPr id="2355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9434" t="9809" r="30685" b="29810"/>
        <a:stretch>
          <a:fillRect/>
        </a:stretch>
      </xdr:blipFill>
      <xdr:spPr bwMode="auto">
        <a:xfrm>
          <a:off x="0" y="1200150"/>
          <a:ext cx="6362700" cy="6038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S%20Financial%20Services\General%20Accounting\Income%20Tax%20Services\MEPCO\2004\Closing\09%20September\MEPCO%20Close%20Template%20Sept%200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eorged/Local%20Settings/Temporary%20Internet%20Files/OLK10B/Multi-Year%20RevReq%2003-18%20-%20Appendice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ecast\ACUMEN%20II\NYSEG%20-%20ACUMEN%20II%20-%20workfile%20v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Startup" Target="GSRT/DOC/GSC/2004/072004/GSA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RateCalculations\RGE%20DAH%20Supply%20Components\2010-05-01%20RGE%20Supply%20Component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\GSC\2009\012009\GSA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\GSC\2007\112007\GSA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\GSC\2009\022009\GSA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\GSC\2009\012009\GSA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\GSC\2009\022009\GSA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S%20Financial%20Services/General%20Accounting/Income%20Tax%20Services/MEPCO/2004/Closing/09%20September/MEPCO%20Close%20Template%20Sept%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weeneyc\Local%20Settings\Temporary%20Internet%20Files\OLK156\RGE%20VPO%20Rates%202010%20Rev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weeneyc/Local%20Settings/Temporary%20Internet%20Files/OLK156/RGE%20VPO%20Rates%202010%20Rev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\GSC\2009\012009\GSA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ory%20Earnings/2012%20Earnings/Monthly%20Update/RGE/06Jun/RGE%20Ratebase%202012%20YTDJun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ISS06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eaudoip\Local%20Settings\Temporary%20Internet%20Files\OLK1B5\Model%20-%20NYSEG%20Gas%20Revenue%20Plan%202011%20Rev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eorged\Local%20Settings\Temporary%20Internet%20Files\OLK10B\Multi-Year%20RevReq%2003-18%20-%20Appendic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urnal Entry Upload"/>
      <sheetName val="Close Template"/>
      <sheetName val="Non-Operating"/>
      <sheetName val="ETRII"/>
      <sheetName val="Federal "/>
      <sheetName val="Maine"/>
      <sheetName val="Deferred"/>
      <sheetName val="FAS 109 WP"/>
      <sheetName val="ETR"/>
      <sheetName val="Journal Entry"/>
      <sheetName val="MAIN"/>
      <sheetName val="236210"/>
      <sheetName val="Def Summary"/>
      <sheetName val="Def Tax Bal"/>
      <sheetName val="Def Detail"/>
      <sheetName val="Def Tax Bal Sheet Amts"/>
      <sheetName val="GL Rec"/>
      <sheetName val="Acct Query"/>
      <sheetName val="Prior Month Bal"/>
      <sheetName val="Foot Note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Assumptions"/>
      <sheetName val="Pg 1 Assumptions"/>
      <sheetName val="Pg 2. Electric"/>
      <sheetName val="Pg 3. Gas"/>
      <sheetName val="Total"/>
      <sheetName val="Gas"/>
      <sheetName val="Electric"/>
      <sheetName val="Settlement Adjs"/>
      <sheetName val="Summary"/>
      <sheetName val="Calendar Earnings"/>
      <sheetName val="Earnings Analysis"/>
      <sheetName val="ASGA"/>
      <sheetName val="Special Account"/>
      <sheetName val="Customer Impacts"/>
      <sheetName val="Monthly Impacts"/>
      <sheetName val="Gain"/>
      <sheetName val="Cap Struct"/>
      <sheetName val="Proceeds Utilization"/>
      <sheetName val="Ginna Sale"/>
      <sheetName val="Sheet5"/>
      <sheetName val="Delivery"/>
      <sheetName val="NBC + Fixed Supply"/>
      <sheetName val="NBC"/>
      <sheetName val="Supply"/>
      <sheetName val="Variable"/>
      <sheetName val="Fixed - Total"/>
      <sheetName val="Fixed - Ginna"/>
      <sheetName val="Fixed - Russell"/>
      <sheetName val="Fixed - Other"/>
      <sheetName val="Fixed Gen O&amp;M"/>
      <sheetName val="Purchased Power"/>
      <sheetName val="Summaries"/>
      <sheetName val="Ginna Salex"/>
      <sheetName val="Retire Russell"/>
      <sheetName val="Commodity"/>
      <sheetName val="Rate Adjs"/>
      <sheetName val="Elec Adjs"/>
      <sheetName val="Gas Adjs"/>
      <sheetName val="Supply Rate Adjustments"/>
      <sheetName val="Ginna Replacement Power"/>
      <sheetName val="Ginna Depreciation"/>
      <sheetName val="Russell Depreciation"/>
      <sheetName val="Pension &amp; OPEBs"/>
      <sheetName val="Pension"/>
      <sheetName val="Capital Spending"/>
      <sheetName val="JP Merger Savings"/>
      <sheetName val="Merger Synergies"/>
      <sheetName val="A. Income Statement"/>
      <sheetName val="B. Revenues"/>
      <sheetName val="C. Power Supply"/>
      <sheetName val="D. O&amp;M"/>
      <sheetName val="E.  Amortizations"/>
      <sheetName val="F. Depreciation"/>
      <sheetName val="G1. Taxes Other than Income Tax"/>
      <sheetName val="G2. GRT"/>
      <sheetName val="H. Income Taxes"/>
      <sheetName val="I. RTBS"/>
      <sheetName val="Capitalization"/>
      <sheetName val="Cap Cost"/>
      <sheetName val="K. Rev Req"/>
      <sheetName val="Allocation Factors"/>
      <sheetName val="Inflators"/>
      <sheetName val="Drivers"/>
      <sheetName val="Reconcile RevReq"/>
      <sheetName val="Reconcile Fixed Gen"/>
      <sheetName val="Existing Revenues"/>
      <sheetName val="App B Fixed Generation"/>
      <sheetName val="Superceded App B Fixed Gen"/>
      <sheetName val="Sheet3"/>
      <sheetName val="App C ESR"/>
      <sheetName val="App D Targets"/>
      <sheetName val="Sheet4"/>
      <sheetName val="App F Ginna Replacement Pwr"/>
      <sheetName val="Sheet1"/>
      <sheetName val="Comments"/>
      <sheetName val="Old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>
        <row r="14">
          <cell r="B14">
            <v>0</v>
          </cell>
          <cell r="C14" t="str">
            <v>Zero Inflation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</v>
          </cell>
          <cell r="C15" t="str">
            <v>General Inflation</v>
          </cell>
          <cell r="F15">
            <v>3.554407118806284E-2</v>
          </cell>
          <cell r="G15">
            <v>1.5100000000000001E-2</v>
          </cell>
          <cell r="H15">
            <v>0.03</v>
          </cell>
          <cell r="I15">
            <v>0.03</v>
          </cell>
          <cell r="J15">
            <v>0.03</v>
          </cell>
          <cell r="K15">
            <v>0.03</v>
          </cell>
        </row>
        <row r="16">
          <cell r="B16">
            <v>2</v>
          </cell>
          <cell r="C16" t="str">
            <v>Payroll - Net of Productivity</v>
          </cell>
          <cell r="F16">
            <v>2.3399999999999997E-2</v>
          </cell>
          <cell r="G16">
            <v>1.1599999999999999E-2</v>
          </cell>
          <cell r="H16">
            <v>0.02</v>
          </cell>
          <cell r="I16">
            <v>0.02</v>
          </cell>
          <cell r="J16">
            <v>0.02</v>
          </cell>
          <cell r="K16">
            <v>0.02</v>
          </cell>
        </row>
        <row r="17">
          <cell r="B17">
            <v>3</v>
          </cell>
          <cell r="C17" t="str">
            <v>Medical Costs</v>
          </cell>
          <cell r="F17">
            <v>0.23199999999999998</v>
          </cell>
          <cell r="G17">
            <v>9.6000000000000002E-2</v>
          </cell>
          <cell r="H17">
            <v>0.15</v>
          </cell>
          <cell r="I17">
            <v>0.15</v>
          </cell>
          <cell r="J17">
            <v>0.15</v>
          </cell>
          <cell r="K17">
            <v>0.15</v>
          </cell>
        </row>
        <row r="18">
          <cell r="B18">
            <v>4</v>
          </cell>
          <cell r="C18" t="str">
            <v>Property Taxes</v>
          </cell>
          <cell r="D18" t="str">
            <v>Elec</v>
          </cell>
          <cell r="F18">
            <v>0.16847909948316608</v>
          </cell>
          <cell r="G18">
            <v>7.7499999999999999E-2</v>
          </cell>
          <cell r="H18">
            <v>0.04</v>
          </cell>
          <cell r="I18">
            <v>0.04</v>
          </cell>
          <cell r="J18">
            <v>0.04</v>
          </cell>
          <cell r="K18">
            <v>0.04</v>
          </cell>
        </row>
      </sheetData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notes"/>
      <sheetName val="INPUT-mwh"/>
      <sheetName val="OUTPUT-kwh"/>
      <sheetName val="OUTPUT-pivot"/>
      <sheetName val="residential"/>
      <sheetName val="Commercial (2)"/>
      <sheetName val="Industrial (2)"/>
      <sheetName val="Municipal (2)"/>
      <sheetName val="Street Light (2)"/>
      <sheetName val="Interdept (2)"/>
      <sheetName val="Borderline (2)"/>
      <sheetName val="pivot"/>
      <sheetName val="chart"/>
      <sheetName val="chartdata"/>
      <sheetName val="RevisedData"/>
      <sheetName val="Orginal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6">
          <cell r="H6">
            <v>65568713</v>
          </cell>
        </row>
        <row r="7">
          <cell r="H7">
            <v>1411623</v>
          </cell>
        </row>
        <row r="8">
          <cell r="H8">
            <v>2311090</v>
          </cell>
        </row>
        <row r="9">
          <cell r="H9">
            <v>10616312</v>
          </cell>
        </row>
        <row r="10">
          <cell r="H10">
            <v>365939</v>
          </cell>
        </row>
        <row r="11">
          <cell r="H11">
            <v>2910681</v>
          </cell>
        </row>
        <row r="12">
          <cell r="H12">
            <v>482472</v>
          </cell>
        </row>
        <row r="13">
          <cell r="H13">
            <v>9520</v>
          </cell>
        </row>
        <row r="14">
          <cell r="H14">
            <v>6322542</v>
          </cell>
        </row>
        <row r="15">
          <cell r="H15">
            <v>13790399</v>
          </cell>
        </row>
        <row r="16">
          <cell r="H16">
            <v>247596</v>
          </cell>
        </row>
        <row r="17">
          <cell r="H17">
            <v>614033</v>
          </cell>
        </row>
        <row r="18">
          <cell r="H18">
            <v>34356810</v>
          </cell>
        </row>
        <row r="19">
          <cell r="H19">
            <v>289786</v>
          </cell>
        </row>
        <row r="20">
          <cell r="H20">
            <v>886214</v>
          </cell>
        </row>
        <row r="21">
          <cell r="H21">
            <v>5365636</v>
          </cell>
        </row>
        <row r="22">
          <cell r="H22">
            <v>2026298</v>
          </cell>
        </row>
        <row r="23">
          <cell r="H23">
            <v>125394</v>
          </cell>
        </row>
        <row r="24">
          <cell r="H24">
            <v>41170</v>
          </cell>
        </row>
        <row r="25">
          <cell r="H25">
            <v>2754164</v>
          </cell>
        </row>
        <row r="26">
          <cell r="H26">
            <v>8624952</v>
          </cell>
        </row>
        <row r="27">
          <cell r="H27">
            <v>17627399</v>
          </cell>
        </row>
        <row r="28">
          <cell r="H28">
            <v>323551</v>
          </cell>
        </row>
        <row r="29">
          <cell r="H29">
            <v>683481</v>
          </cell>
        </row>
        <row r="30">
          <cell r="H30">
            <v>5896934</v>
          </cell>
        </row>
        <row r="31">
          <cell r="H31">
            <v>986689</v>
          </cell>
        </row>
        <row r="32">
          <cell r="H32">
            <v>70580</v>
          </cell>
        </row>
        <row r="33">
          <cell r="H33">
            <v>12480</v>
          </cell>
        </row>
        <row r="34">
          <cell r="H34">
            <v>2956505</v>
          </cell>
        </row>
        <row r="35">
          <cell r="H35">
            <v>14904524</v>
          </cell>
        </row>
        <row r="36">
          <cell r="H36">
            <v>-1188</v>
          </cell>
        </row>
        <row r="37">
          <cell r="H37">
            <v>139932</v>
          </cell>
        </row>
        <row r="38">
          <cell r="H38">
            <v>211952</v>
          </cell>
        </row>
        <row r="39">
          <cell r="H39">
            <v>19680</v>
          </cell>
        </row>
        <row r="40">
          <cell r="H40">
            <v>172660</v>
          </cell>
        </row>
        <row r="41">
          <cell r="H41">
            <v>1893343</v>
          </cell>
        </row>
        <row r="43">
          <cell r="H43">
            <v>938330</v>
          </cell>
        </row>
        <row r="44">
          <cell r="H44">
            <v>168780</v>
          </cell>
        </row>
        <row r="45">
          <cell r="H45">
            <v>754180</v>
          </cell>
        </row>
        <row r="46">
          <cell r="H46">
            <v>5634</v>
          </cell>
        </row>
        <row r="47">
          <cell r="H47">
            <v>1283825</v>
          </cell>
        </row>
        <row r="48">
          <cell r="H48">
            <v>17200</v>
          </cell>
        </row>
        <row r="49">
          <cell r="H49">
            <v>280240</v>
          </cell>
        </row>
        <row r="55">
          <cell r="H55">
            <v>181566</v>
          </cell>
        </row>
        <row r="56">
          <cell r="H56">
            <v>7680</v>
          </cell>
        </row>
        <row r="57">
          <cell r="H57">
            <v>28463</v>
          </cell>
        </row>
        <row r="58">
          <cell r="H58">
            <v>104789</v>
          </cell>
        </row>
        <row r="59">
          <cell r="H59">
            <v>1195</v>
          </cell>
        </row>
        <row r="60">
          <cell r="H60">
            <v>3840</v>
          </cell>
        </row>
        <row r="61">
          <cell r="H61">
            <v>60431</v>
          </cell>
        </row>
        <row r="62">
          <cell r="H62">
            <v>12900</v>
          </cell>
        </row>
        <row r="63">
          <cell r="H63">
            <v>70976</v>
          </cell>
        </row>
        <row r="64">
          <cell r="H64">
            <v>29147</v>
          </cell>
        </row>
        <row r="65">
          <cell r="H65">
            <v>2330</v>
          </cell>
        </row>
        <row r="66">
          <cell r="H66">
            <v>10476</v>
          </cell>
        </row>
        <row r="67">
          <cell r="H67">
            <v>16890</v>
          </cell>
        </row>
        <row r="68">
          <cell r="H68">
            <v>11420</v>
          </cell>
        </row>
        <row r="71">
          <cell r="H71">
            <v>19851</v>
          </cell>
        </row>
        <row r="75">
          <cell r="H75">
            <v>13584</v>
          </cell>
        </row>
        <row r="77">
          <cell r="H77">
            <v>18</v>
          </cell>
        </row>
        <row r="81">
          <cell r="H81">
            <v>3000</v>
          </cell>
        </row>
        <row r="83">
          <cell r="H83">
            <v>2126417</v>
          </cell>
        </row>
        <row r="84">
          <cell r="H84">
            <v>53962</v>
          </cell>
        </row>
        <row r="85">
          <cell r="H85">
            <v>142477</v>
          </cell>
        </row>
        <row r="86">
          <cell r="H86">
            <v>939232</v>
          </cell>
        </row>
        <row r="88">
          <cell r="H88">
            <v>117538</v>
          </cell>
        </row>
        <row r="90">
          <cell r="H90">
            <v>1278</v>
          </cell>
        </row>
        <row r="91">
          <cell r="H91">
            <v>211348</v>
          </cell>
        </row>
        <row r="92">
          <cell r="H92">
            <v>1576252</v>
          </cell>
        </row>
        <row r="93">
          <cell r="H93">
            <v>28215</v>
          </cell>
        </row>
        <row r="95">
          <cell r="H95">
            <v>4960</v>
          </cell>
        </row>
        <row r="97">
          <cell r="H97">
            <v>1092980</v>
          </cell>
        </row>
        <row r="98">
          <cell r="H98">
            <v>136800</v>
          </cell>
        </row>
        <row r="99">
          <cell r="H99">
            <v>93320</v>
          </cell>
        </row>
        <row r="100">
          <cell r="H100">
            <v>65200</v>
          </cell>
        </row>
        <row r="101">
          <cell r="H101">
            <v>421130</v>
          </cell>
        </row>
        <row r="102">
          <cell r="H102">
            <v>82320</v>
          </cell>
        </row>
        <row r="103">
          <cell r="H103">
            <v>692080</v>
          </cell>
        </row>
        <row r="104">
          <cell r="H104">
            <v>272480</v>
          </cell>
        </row>
        <row r="105">
          <cell r="H105">
            <v>66000</v>
          </cell>
        </row>
        <row r="106">
          <cell r="H106">
            <v>127500</v>
          </cell>
        </row>
        <row r="107">
          <cell r="H107">
            <v>489508</v>
          </cell>
        </row>
        <row r="108">
          <cell r="H108">
            <v>662980</v>
          </cell>
        </row>
        <row r="110">
          <cell r="H110">
            <v>129240</v>
          </cell>
        </row>
        <row r="111">
          <cell r="H111">
            <v>831360</v>
          </cell>
        </row>
        <row r="113">
          <cell r="H113">
            <v>523100</v>
          </cell>
        </row>
        <row r="114">
          <cell r="H114">
            <v>2459750</v>
          </cell>
        </row>
        <row r="115">
          <cell r="H115">
            <v>212100</v>
          </cell>
        </row>
        <row r="116">
          <cell r="H116">
            <v>162000</v>
          </cell>
        </row>
        <row r="117">
          <cell r="H117">
            <v>112000</v>
          </cell>
        </row>
        <row r="119">
          <cell r="H119">
            <v>792900</v>
          </cell>
        </row>
        <row r="120">
          <cell r="H120">
            <v>7200</v>
          </cell>
        </row>
        <row r="122">
          <cell r="H122">
            <v>635692</v>
          </cell>
        </row>
        <row r="124">
          <cell r="H124">
            <v>19800</v>
          </cell>
        </row>
        <row r="125">
          <cell r="H125">
            <v>400960</v>
          </cell>
        </row>
        <row r="126">
          <cell r="H126">
            <v>1135980</v>
          </cell>
        </row>
        <row r="127">
          <cell r="H127">
            <v>9240</v>
          </cell>
        </row>
        <row r="128">
          <cell r="H128">
            <v>3000</v>
          </cell>
        </row>
        <row r="129">
          <cell r="H129">
            <v>17755</v>
          </cell>
        </row>
        <row r="130">
          <cell r="H130">
            <v>12750</v>
          </cell>
        </row>
        <row r="131">
          <cell r="H131">
            <v>29440</v>
          </cell>
        </row>
        <row r="132">
          <cell r="H132">
            <v>53600</v>
          </cell>
        </row>
        <row r="133">
          <cell r="H133">
            <v>149</v>
          </cell>
        </row>
        <row r="134">
          <cell r="H134">
            <v>9320</v>
          </cell>
        </row>
        <row r="136">
          <cell r="H136">
            <v>212042</v>
          </cell>
        </row>
        <row r="137">
          <cell r="H137">
            <v>11411432</v>
          </cell>
        </row>
        <row r="138">
          <cell r="H138">
            <v>32285</v>
          </cell>
        </row>
        <row r="139">
          <cell r="H139">
            <v>717373</v>
          </cell>
        </row>
        <row r="140">
          <cell r="H140">
            <v>1104640</v>
          </cell>
        </row>
        <row r="141">
          <cell r="H141">
            <v>22334</v>
          </cell>
        </row>
        <row r="142">
          <cell r="H142">
            <v>93906</v>
          </cell>
        </row>
        <row r="143">
          <cell r="H143">
            <v>2966</v>
          </cell>
        </row>
        <row r="144">
          <cell r="H144">
            <v>6442</v>
          </cell>
        </row>
        <row r="145">
          <cell r="H145">
            <v>14613</v>
          </cell>
        </row>
        <row r="146">
          <cell r="H146">
            <v>900854</v>
          </cell>
        </row>
        <row r="147">
          <cell r="H147">
            <v>348093</v>
          </cell>
        </row>
        <row r="148">
          <cell r="H148">
            <v>356502</v>
          </cell>
        </row>
        <row r="149">
          <cell r="H149">
            <v>2028</v>
          </cell>
        </row>
        <row r="150">
          <cell r="H150">
            <v>110044</v>
          </cell>
        </row>
        <row r="151">
          <cell r="H151">
            <v>1962385</v>
          </cell>
        </row>
        <row r="152">
          <cell r="H152">
            <v>3601</v>
          </cell>
        </row>
        <row r="153">
          <cell r="H153">
            <v>182354</v>
          </cell>
        </row>
        <row r="154">
          <cell r="H154">
            <v>338605</v>
          </cell>
        </row>
        <row r="155">
          <cell r="H155">
            <v>7708</v>
          </cell>
        </row>
        <row r="156">
          <cell r="H156">
            <v>360</v>
          </cell>
        </row>
        <row r="157">
          <cell r="H157">
            <v>3256</v>
          </cell>
        </row>
        <row r="158">
          <cell r="H158">
            <v>298389</v>
          </cell>
        </row>
        <row r="159">
          <cell r="H159">
            <v>945</v>
          </cell>
        </row>
        <row r="175">
          <cell r="H175">
            <v>1138975</v>
          </cell>
        </row>
        <row r="176">
          <cell r="H176">
            <v>5849</v>
          </cell>
        </row>
        <row r="177">
          <cell r="H177">
            <v>172888</v>
          </cell>
        </row>
        <row r="178">
          <cell r="H178">
            <v>257580</v>
          </cell>
        </row>
        <row r="179">
          <cell r="H179">
            <v>18612</v>
          </cell>
        </row>
        <row r="180">
          <cell r="H180">
            <v>1774</v>
          </cell>
        </row>
        <row r="181">
          <cell r="H181">
            <v>23158</v>
          </cell>
        </row>
        <row r="182">
          <cell r="H182">
            <v>491799</v>
          </cell>
        </row>
        <row r="183">
          <cell r="H183">
            <v>401</v>
          </cell>
        </row>
        <row r="184">
          <cell r="H184">
            <v>360064</v>
          </cell>
        </row>
        <row r="185">
          <cell r="H185">
            <v>623</v>
          </cell>
        </row>
        <row r="186">
          <cell r="H186">
            <v>28891</v>
          </cell>
        </row>
        <row r="187">
          <cell r="H187">
            <v>86567</v>
          </cell>
        </row>
        <row r="188">
          <cell r="H188">
            <v>523</v>
          </cell>
        </row>
        <row r="189">
          <cell r="H189">
            <v>713</v>
          </cell>
        </row>
        <row r="190">
          <cell r="H190">
            <v>1464</v>
          </cell>
        </row>
        <row r="191">
          <cell r="H191">
            <v>71817</v>
          </cell>
        </row>
        <row r="192">
          <cell r="H192">
            <v>990</v>
          </cell>
        </row>
        <row r="193">
          <cell r="H193">
            <v>487</v>
          </cell>
        </row>
        <row r="194">
          <cell r="H194">
            <v>823</v>
          </cell>
        </row>
        <row r="195">
          <cell r="H195">
            <v>795837</v>
          </cell>
        </row>
        <row r="196">
          <cell r="H196">
            <v>1330</v>
          </cell>
        </row>
        <row r="197">
          <cell r="H197">
            <v>31575</v>
          </cell>
        </row>
        <row r="198">
          <cell r="H198">
            <v>103510</v>
          </cell>
        </row>
        <row r="199">
          <cell r="H199">
            <v>433</v>
          </cell>
        </row>
        <row r="200">
          <cell r="H200">
            <v>881</v>
          </cell>
        </row>
        <row r="201">
          <cell r="H201">
            <v>160</v>
          </cell>
        </row>
        <row r="202">
          <cell r="H202">
            <v>36088</v>
          </cell>
        </row>
        <row r="203">
          <cell r="H203">
            <v>1388</v>
          </cell>
        </row>
        <row r="204">
          <cell r="H204">
            <v>29123</v>
          </cell>
        </row>
        <row r="205">
          <cell r="H205">
            <v>501</v>
          </cell>
        </row>
        <row r="206">
          <cell r="H206">
            <v>2611</v>
          </cell>
        </row>
        <row r="207">
          <cell r="H207">
            <v>38669</v>
          </cell>
        </row>
        <row r="209">
          <cell r="H209">
            <v>14191</v>
          </cell>
        </row>
        <row r="210">
          <cell r="H210">
            <v>-453</v>
          </cell>
        </row>
        <row r="211">
          <cell r="H211">
            <v>11342</v>
          </cell>
        </row>
        <row r="221">
          <cell r="H221">
            <v>46069</v>
          </cell>
        </row>
        <row r="223">
          <cell r="H223">
            <v>9417</v>
          </cell>
        </row>
        <row r="224">
          <cell r="H224">
            <v>20557</v>
          </cell>
        </row>
        <row r="225">
          <cell r="H225">
            <v>183</v>
          </cell>
        </row>
        <row r="226">
          <cell r="H226">
            <v>7391</v>
          </cell>
        </row>
        <row r="227">
          <cell r="H227">
            <v>25811</v>
          </cell>
        </row>
        <row r="230">
          <cell r="H230">
            <v>28178</v>
          </cell>
        </row>
        <row r="231">
          <cell r="H231">
            <v>253</v>
          </cell>
        </row>
        <row r="232">
          <cell r="H232">
            <v>725</v>
          </cell>
        </row>
        <row r="233">
          <cell r="H233">
            <v>2701</v>
          </cell>
        </row>
        <row r="234">
          <cell r="H234">
            <v>8575</v>
          </cell>
        </row>
        <row r="235">
          <cell r="H235">
            <v>9763</v>
          </cell>
        </row>
        <row r="236">
          <cell r="H236">
            <v>16788552</v>
          </cell>
        </row>
        <row r="237">
          <cell r="H237">
            <v>141625</v>
          </cell>
        </row>
        <row r="238">
          <cell r="H238">
            <v>25214</v>
          </cell>
        </row>
        <row r="240">
          <cell r="H240">
            <v>140421</v>
          </cell>
        </row>
        <row r="241">
          <cell r="H241">
            <v>33</v>
          </cell>
        </row>
        <row r="242">
          <cell r="H242">
            <v>86919</v>
          </cell>
        </row>
        <row r="246">
          <cell r="H246">
            <v>700</v>
          </cell>
        </row>
        <row r="247">
          <cell r="H247">
            <v>65982</v>
          </cell>
        </row>
        <row r="248">
          <cell r="H248">
            <v>2360</v>
          </cell>
        </row>
        <row r="249">
          <cell r="H249">
            <v>67465</v>
          </cell>
        </row>
        <row r="250">
          <cell r="H250">
            <v>60257</v>
          </cell>
        </row>
        <row r="251">
          <cell r="H251">
            <v>200442</v>
          </cell>
        </row>
        <row r="252">
          <cell r="H252">
            <v>87732</v>
          </cell>
        </row>
        <row r="254">
          <cell r="H254">
            <v>322449</v>
          </cell>
        </row>
        <row r="255">
          <cell r="H255">
            <v>1138138</v>
          </cell>
        </row>
        <row r="256">
          <cell r="H256">
            <v>103086</v>
          </cell>
        </row>
        <row r="257">
          <cell r="H257">
            <v>133560</v>
          </cell>
        </row>
        <row r="258">
          <cell r="H258">
            <v>259885</v>
          </cell>
        </row>
        <row r="259">
          <cell r="H259">
            <v>360135</v>
          </cell>
        </row>
        <row r="263">
          <cell r="H263">
            <v>812035</v>
          </cell>
        </row>
        <row r="264">
          <cell r="H264">
            <v>66941</v>
          </cell>
        </row>
        <row r="265">
          <cell r="H265">
            <v>13149</v>
          </cell>
        </row>
        <row r="267">
          <cell r="H267">
            <v>1</v>
          </cell>
        </row>
        <row r="268">
          <cell r="H268">
            <v>2460</v>
          </cell>
        </row>
        <row r="269">
          <cell r="H269">
            <v>124</v>
          </cell>
        </row>
        <row r="270">
          <cell r="H270">
            <v>26258</v>
          </cell>
        </row>
        <row r="271">
          <cell r="H271">
            <v>77549</v>
          </cell>
        </row>
        <row r="272">
          <cell r="H272">
            <v>26723</v>
          </cell>
        </row>
        <row r="273">
          <cell r="H273">
            <v>13049</v>
          </cell>
        </row>
        <row r="274">
          <cell r="H274">
            <v>738899</v>
          </cell>
        </row>
        <row r="275">
          <cell r="H275">
            <v>110304</v>
          </cell>
        </row>
        <row r="276">
          <cell r="H276">
            <v>17706232</v>
          </cell>
        </row>
        <row r="277">
          <cell r="H277">
            <v>1903597</v>
          </cell>
        </row>
        <row r="278">
          <cell r="H278">
            <v>933904</v>
          </cell>
        </row>
        <row r="279">
          <cell r="H279">
            <v>5273452</v>
          </cell>
        </row>
        <row r="280">
          <cell r="H280">
            <v>287700</v>
          </cell>
        </row>
        <row r="281">
          <cell r="H281">
            <v>1629325</v>
          </cell>
        </row>
        <row r="282">
          <cell r="H282">
            <v>692800</v>
          </cell>
        </row>
        <row r="283">
          <cell r="H283">
            <v>15360</v>
          </cell>
        </row>
        <row r="284">
          <cell r="H284">
            <v>8086861</v>
          </cell>
        </row>
        <row r="285">
          <cell r="H285">
            <v>5899775</v>
          </cell>
        </row>
        <row r="286">
          <cell r="H286">
            <v>26301</v>
          </cell>
        </row>
        <row r="287">
          <cell r="H287">
            <v>119280</v>
          </cell>
        </row>
        <row r="288">
          <cell r="H288">
            <v>25892087</v>
          </cell>
        </row>
        <row r="289">
          <cell r="H289">
            <v>343318</v>
          </cell>
        </row>
        <row r="290">
          <cell r="H290">
            <v>650568</v>
          </cell>
        </row>
        <row r="291">
          <cell r="H291">
            <v>5531780</v>
          </cell>
        </row>
        <row r="292">
          <cell r="H292">
            <v>552159</v>
          </cell>
        </row>
        <row r="293">
          <cell r="H293">
            <v>79200</v>
          </cell>
        </row>
        <row r="294">
          <cell r="H294">
            <v>4832427</v>
          </cell>
        </row>
        <row r="295">
          <cell r="H295">
            <v>6077631</v>
          </cell>
        </row>
        <row r="297">
          <cell r="H297">
            <v>14340659</v>
          </cell>
        </row>
        <row r="298">
          <cell r="H298">
            <v>1889830</v>
          </cell>
        </row>
        <row r="299">
          <cell r="H299">
            <v>752078</v>
          </cell>
        </row>
        <row r="300">
          <cell r="H300">
            <v>4483533</v>
          </cell>
        </row>
        <row r="301">
          <cell r="H301">
            <v>686720</v>
          </cell>
        </row>
        <row r="303">
          <cell r="H303">
            <v>3219384</v>
          </cell>
        </row>
        <row r="304">
          <cell r="H304">
            <v>7591850</v>
          </cell>
        </row>
        <row r="305">
          <cell r="H305">
            <v>2240</v>
          </cell>
        </row>
        <row r="306">
          <cell r="H306">
            <v>9843</v>
          </cell>
        </row>
        <row r="307">
          <cell r="H307">
            <v>97000</v>
          </cell>
        </row>
        <row r="308">
          <cell r="H308">
            <v>3566012</v>
          </cell>
        </row>
        <row r="309">
          <cell r="H309">
            <v>1875950</v>
          </cell>
        </row>
        <row r="310">
          <cell r="H310">
            <v>841100</v>
          </cell>
        </row>
        <row r="311">
          <cell r="H311">
            <v>63900</v>
          </cell>
        </row>
        <row r="312">
          <cell r="H312">
            <v>6785016</v>
          </cell>
        </row>
        <row r="313">
          <cell r="H313">
            <v>41345</v>
          </cell>
        </row>
        <row r="314">
          <cell r="H314">
            <v>1278750</v>
          </cell>
        </row>
        <row r="316">
          <cell r="H316">
            <v>2154850</v>
          </cell>
        </row>
        <row r="318">
          <cell r="H318">
            <v>832250</v>
          </cell>
        </row>
        <row r="319">
          <cell r="H319">
            <v>227950</v>
          </cell>
        </row>
        <row r="323">
          <cell r="H323">
            <v>481693</v>
          </cell>
        </row>
        <row r="324">
          <cell r="H324">
            <v>4202</v>
          </cell>
        </row>
        <row r="325">
          <cell r="H325">
            <v>20215</v>
          </cell>
        </row>
        <row r="326">
          <cell r="H326">
            <v>439149</v>
          </cell>
        </row>
        <row r="329">
          <cell r="H329">
            <v>31020</v>
          </cell>
        </row>
        <row r="331">
          <cell r="H331">
            <v>84375</v>
          </cell>
        </row>
        <row r="332">
          <cell r="H332">
            <v>366375</v>
          </cell>
        </row>
        <row r="335">
          <cell r="H335">
            <v>824333</v>
          </cell>
        </row>
        <row r="336">
          <cell r="H336">
            <v>1038979</v>
          </cell>
        </row>
        <row r="337">
          <cell r="H337">
            <v>899900</v>
          </cell>
        </row>
        <row r="338">
          <cell r="H338">
            <v>697429</v>
          </cell>
        </row>
        <row r="339">
          <cell r="H339">
            <v>142000</v>
          </cell>
        </row>
        <row r="340">
          <cell r="H340">
            <v>7267623</v>
          </cell>
        </row>
        <row r="341">
          <cell r="H341">
            <v>1869200</v>
          </cell>
        </row>
        <row r="342">
          <cell r="H342">
            <v>363100</v>
          </cell>
        </row>
        <row r="343">
          <cell r="H343">
            <v>1738050</v>
          </cell>
        </row>
        <row r="344">
          <cell r="H344">
            <v>302400</v>
          </cell>
        </row>
        <row r="345">
          <cell r="H345">
            <v>123000</v>
          </cell>
        </row>
        <row r="346">
          <cell r="H346">
            <v>5144757</v>
          </cell>
        </row>
        <row r="348">
          <cell r="H348">
            <v>459720</v>
          </cell>
        </row>
        <row r="349">
          <cell r="H349">
            <v>4837924</v>
          </cell>
        </row>
        <row r="350">
          <cell r="H350">
            <v>5204310</v>
          </cell>
        </row>
        <row r="351">
          <cell r="H351">
            <v>1664640</v>
          </cell>
        </row>
        <row r="353">
          <cell r="H353">
            <v>5058060</v>
          </cell>
        </row>
        <row r="354">
          <cell r="H354">
            <v>9600</v>
          </cell>
        </row>
        <row r="355">
          <cell r="H355">
            <v>2245003</v>
          </cell>
        </row>
        <row r="356">
          <cell r="H356">
            <v>8158682</v>
          </cell>
        </row>
        <row r="357">
          <cell r="H357">
            <v>104000</v>
          </cell>
        </row>
        <row r="358">
          <cell r="H358">
            <v>770400</v>
          </cell>
        </row>
        <row r="359">
          <cell r="H359">
            <v>4757004</v>
          </cell>
        </row>
        <row r="360">
          <cell r="H360">
            <v>295200</v>
          </cell>
        </row>
        <row r="361">
          <cell r="H361">
            <v>1278850</v>
          </cell>
        </row>
        <row r="362">
          <cell r="H362">
            <v>16141065</v>
          </cell>
        </row>
        <row r="363">
          <cell r="H363">
            <v>570300</v>
          </cell>
        </row>
        <row r="364">
          <cell r="H364">
            <v>2100720</v>
          </cell>
        </row>
        <row r="365">
          <cell r="H365">
            <v>2317600</v>
          </cell>
        </row>
        <row r="366">
          <cell r="H366">
            <v>488400</v>
          </cell>
        </row>
        <row r="367">
          <cell r="H367">
            <v>31911795</v>
          </cell>
        </row>
        <row r="368">
          <cell r="H368">
            <v>593520</v>
          </cell>
        </row>
        <row r="371">
          <cell r="H371">
            <v>3410226</v>
          </cell>
        </row>
        <row r="372">
          <cell r="H372">
            <v>1359950</v>
          </cell>
        </row>
        <row r="373">
          <cell r="H373">
            <v>340700</v>
          </cell>
        </row>
        <row r="374">
          <cell r="H374">
            <v>92750</v>
          </cell>
        </row>
        <row r="375">
          <cell r="H375">
            <v>718080</v>
          </cell>
        </row>
        <row r="377">
          <cell r="H377">
            <v>546120</v>
          </cell>
        </row>
        <row r="378">
          <cell r="H378">
            <v>9600</v>
          </cell>
        </row>
        <row r="379">
          <cell r="H379">
            <v>2359979</v>
          </cell>
        </row>
        <row r="380">
          <cell r="H380">
            <v>11897650</v>
          </cell>
        </row>
        <row r="384">
          <cell r="H384">
            <v>216000</v>
          </cell>
        </row>
        <row r="385">
          <cell r="H385">
            <v>117183</v>
          </cell>
        </row>
        <row r="386">
          <cell r="H386">
            <v>32550</v>
          </cell>
        </row>
        <row r="387">
          <cell r="H387">
            <v>3430969</v>
          </cell>
        </row>
        <row r="388">
          <cell r="H388">
            <v>691600</v>
          </cell>
        </row>
        <row r="389">
          <cell r="H389">
            <v>851475</v>
          </cell>
        </row>
        <row r="390">
          <cell r="H390">
            <v>247792</v>
          </cell>
        </row>
        <row r="391">
          <cell r="H391">
            <v>7809700</v>
          </cell>
        </row>
        <row r="392">
          <cell r="H392">
            <v>2800300</v>
          </cell>
        </row>
        <row r="393">
          <cell r="H393">
            <v>241500</v>
          </cell>
        </row>
        <row r="394">
          <cell r="H394">
            <v>2789675</v>
          </cell>
        </row>
        <row r="395">
          <cell r="H395">
            <v>60900</v>
          </cell>
        </row>
        <row r="396">
          <cell r="H396">
            <v>1155917</v>
          </cell>
        </row>
        <row r="397">
          <cell r="H397">
            <v>2033036</v>
          </cell>
        </row>
        <row r="398">
          <cell r="H398">
            <v>648614</v>
          </cell>
        </row>
        <row r="399">
          <cell r="H399">
            <v>1298700</v>
          </cell>
        </row>
        <row r="400">
          <cell r="H400">
            <v>15576166</v>
          </cell>
        </row>
        <row r="401">
          <cell r="H401">
            <v>2141092</v>
          </cell>
        </row>
        <row r="403">
          <cell r="H403">
            <v>2126250</v>
          </cell>
        </row>
        <row r="404">
          <cell r="H404">
            <v>3493550</v>
          </cell>
        </row>
        <row r="405">
          <cell r="H405">
            <v>42193851</v>
          </cell>
        </row>
        <row r="406">
          <cell r="H406">
            <v>460250</v>
          </cell>
        </row>
        <row r="407">
          <cell r="H407">
            <v>7315729</v>
          </cell>
        </row>
        <row r="409">
          <cell r="H409">
            <v>596450</v>
          </cell>
        </row>
        <row r="410">
          <cell r="H410">
            <v>310400</v>
          </cell>
        </row>
        <row r="412">
          <cell r="H412">
            <v>6076530</v>
          </cell>
        </row>
        <row r="413">
          <cell r="H413">
            <v>1410500</v>
          </cell>
        </row>
        <row r="414">
          <cell r="H414">
            <v>1574295</v>
          </cell>
        </row>
        <row r="415">
          <cell r="H415">
            <v>2263198</v>
          </cell>
        </row>
        <row r="416">
          <cell r="H416">
            <v>863428</v>
          </cell>
        </row>
        <row r="417">
          <cell r="H417">
            <v>7374986</v>
          </cell>
        </row>
        <row r="418">
          <cell r="H418">
            <v>8957270</v>
          </cell>
        </row>
        <row r="421">
          <cell r="H421">
            <v>-16635</v>
          </cell>
        </row>
        <row r="422">
          <cell r="H422">
            <v>501925</v>
          </cell>
        </row>
        <row r="423">
          <cell r="H423">
            <v>6423</v>
          </cell>
        </row>
        <row r="424">
          <cell r="H424">
            <v>35596</v>
          </cell>
        </row>
        <row r="425">
          <cell r="H425">
            <v>51707</v>
          </cell>
        </row>
        <row r="426">
          <cell r="H426">
            <v>284</v>
          </cell>
        </row>
        <row r="427">
          <cell r="H427">
            <v>14041</v>
          </cell>
        </row>
        <row r="428">
          <cell r="H428">
            <v>1516</v>
          </cell>
        </row>
        <row r="429">
          <cell r="H429">
            <v>24541</v>
          </cell>
        </row>
        <row r="430">
          <cell r="H430">
            <v>65475</v>
          </cell>
        </row>
        <row r="431">
          <cell r="H431">
            <v>131686</v>
          </cell>
        </row>
        <row r="432">
          <cell r="H432">
            <v>31035</v>
          </cell>
        </row>
        <row r="433">
          <cell r="H433">
            <v>7455</v>
          </cell>
        </row>
        <row r="434">
          <cell r="H434">
            <v>133878</v>
          </cell>
        </row>
        <row r="435">
          <cell r="H435">
            <v>1284</v>
          </cell>
        </row>
        <row r="436">
          <cell r="H436">
            <v>4461</v>
          </cell>
        </row>
        <row r="437">
          <cell r="H437">
            <v>29836</v>
          </cell>
        </row>
        <row r="438">
          <cell r="H438">
            <v>9617</v>
          </cell>
        </row>
        <row r="439">
          <cell r="H439">
            <v>604</v>
          </cell>
        </row>
        <row r="440">
          <cell r="H440">
            <v>17200</v>
          </cell>
        </row>
        <row r="441">
          <cell r="H441">
            <v>29212</v>
          </cell>
        </row>
        <row r="442">
          <cell r="H442">
            <v>5519</v>
          </cell>
        </row>
        <row r="443">
          <cell r="H443">
            <v>3739</v>
          </cell>
        </row>
        <row r="444">
          <cell r="H444">
            <v>168848</v>
          </cell>
        </row>
        <row r="445">
          <cell r="H445">
            <v>818</v>
          </cell>
        </row>
        <row r="446">
          <cell r="H446">
            <v>8810</v>
          </cell>
        </row>
        <row r="447">
          <cell r="H447">
            <v>18082</v>
          </cell>
        </row>
        <row r="448">
          <cell r="H448">
            <v>4687</v>
          </cell>
        </row>
        <row r="449">
          <cell r="H449">
            <v>264</v>
          </cell>
        </row>
        <row r="450">
          <cell r="H450">
            <v>2547</v>
          </cell>
        </row>
        <row r="451">
          <cell r="H451">
            <v>29236</v>
          </cell>
        </row>
        <row r="452">
          <cell r="H452">
            <v>6007</v>
          </cell>
        </row>
        <row r="453">
          <cell r="H453">
            <v>2130</v>
          </cell>
        </row>
        <row r="454">
          <cell r="H454">
            <v>23259</v>
          </cell>
        </row>
        <row r="455">
          <cell r="H455">
            <v>1334</v>
          </cell>
        </row>
        <row r="456">
          <cell r="H456">
            <v>2557</v>
          </cell>
        </row>
        <row r="457">
          <cell r="H457">
            <v>213</v>
          </cell>
        </row>
        <row r="458">
          <cell r="H458">
            <v>347</v>
          </cell>
        </row>
        <row r="459">
          <cell r="H459">
            <v>8558</v>
          </cell>
        </row>
        <row r="460">
          <cell r="H460">
            <v>90</v>
          </cell>
        </row>
        <row r="461">
          <cell r="H461">
            <v>6729</v>
          </cell>
        </row>
        <row r="462">
          <cell r="H462">
            <v>2853</v>
          </cell>
        </row>
        <row r="476">
          <cell r="H476">
            <v>168880</v>
          </cell>
        </row>
        <row r="478">
          <cell r="H478">
            <v>887</v>
          </cell>
        </row>
        <row r="479">
          <cell r="H479">
            <v>2971</v>
          </cell>
        </row>
        <row r="481">
          <cell r="H481">
            <v>79166</v>
          </cell>
        </row>
        <row r="482">
          <cell r="H482">
            <v>1361</v>
          </cell>
        </row>
        <row r="483">
          <cell r="H483">
            <v>256764842</v>
          </cell>
        </row>
        <row r="484">
          <cell r="H484">
            <v>3180305</v>
          </cell>
        </row>
        <row r="485">
          <cell r="H485">
            <v>1436</v>
          </cell>
        </row>
        <row r="486">
          <cell r="H486">
            <v>108877</v>
          </cell>
        </row>
        <row r="487">
          <cell r="H487">
            <v>7702791</v>
          </cell>
        </row>
        <row r="488">
          <cell r="H488">
            <v>475593</v>
          </cell>
        </row>
        <row r="497">
          <cell r="H497">
            <v>691</v>
          </cell>
        </row>
        <row r="500">
          <cell r="H500">
            <v>13755</v>
          </cell>
        </row>
        <row r="501">
          <cell r="H501">
            <v>17235643</v>
          </cell>
        </row>
        <row r="502">
          <cell r="H502">
            <v>409259</v>
          </cell>
        </row>
        <row r="505">
          <cell r="H505">
            <v>639822</v>
          </cell>
        </row>
        <row r="506">
          <cell r="H506">
            <v>901</v>
          </cell>
        </row>
        <row r="507">
          <cell r="H507">
            <v>16543</v>
          </cell>
        </row>
        <row r="508">
          <cell r="H508">
            <v>3120</v>
          </cell>
        </row>
        <row r="509">
          <cell r="H509">
            <v>1758</v>
          </cell>
        </row>
        <row r="510">
          <cell r="H510">
            <v>14112</v>
          </cell>
        </row>
        <row r="511">
          <cell r="H511">
            <v>80132</v>
          </cell>
        </row>
        <row r="512">
          <cell r="H512">
            <v>54808</v>
          </cell>
        </row>
        <row r="513">
          <cell r="H513">
            <v>14885056</v>
          </cell>
        </row>
        <row r="514">
          <cell r="H514">
            <v>202968</v>
          </cell>
        </row>
        <row r="515">
          <cell r="H515">
            <v>36429</v>
          </cell>
        </row>
        <row r="516">
          <cell r="H516">
            <v>16571</v>
          </cell>
        </row>
        <row r="518">
          <cell r="H518">
            <v>42166</v>
          </cell>
        </row>
        <row r="519">
          <cell r="H519">
            <v>3010</v>
          </cell>
        </row>
        <row r="520">
          <cell r="H520">
            <v>94777326</v>
          </cell>
        </row>
        <row r="521">
          <cell r="H521">
            <v>1854118</v>
          </cell>
        </row>
        <row r="522">
          <cell r="H522">
            <v>10486</v>
          </cell>
        </row>
        <row r="523">
          <cell r="H523">
            <v>2825493</v>
          </cell>
        </row>
        <row r="524">
          <cell r="H524">
            <v>345751</v>
          </cell>
        </row>
        <row r="532">
          <cell r="H532">
            <v>131</v>
          </cell>
        </row>
        <row r="535">
          <cell r="H535">
            <v>6355200</v>
          </cell>
        </row>
        <row r="536">
          <cell r="H536">
            <v>228689</v>
          </cell>
        </row>
        <row r="537">
          <cell r="H537">
            <v>188055</v>
          </cell>
        </row>
        <row r="538">
          <cell r="H538">
            <v>2173</v>
          </cell>
        </row>
        <row r="539">
          <cell r="H539">
            <v>-797</v>
          </cell>
        </row>
        <row r="540">
          <cell r="H540">
            <v>142346</v>
          </cell>
        </row>
        <row r="541">
          <cell r="H541">
            <v>24386</v>
          </cell>
        </row>
        <row r="542">
          <cell r="H542">
            <v>5732907</v>
          </cell>
        </row>
        <row r="543">
          <cell r="H543">
            <v>144446</v>
          </cell>
        </row>
        <row r="544">
          <cell r="H544">
            <v>2100</v>
          </cell>
        </row>
        <row r="545">
          <cell r="H545">
            <v>9040</v>
          </cell>
        </row>
        <row r="546">
          <cell r="H546">
            <v>4762</v>
          </cell>
        </row>
        <row r="547">
          <cell r="H547">
            <v>11967606</v>
          </cell>
        </row>
        <row r="548">
          <cell r="H548">
            <v>4858496</v>
          </cell>
        </row>
        <row r="549">
          <cell r="H549">
            <v>18359</v>
          </cell>
        </row>
        <row r="550">
          <cell r="H550">
            <v>1016164</v>
          </cell>
        </row>
        <row r="551">
          <cell r="H551">
            <v>1822293</v>
          </cell>
        </row>
        <row r="557">
          <cell r="H557">
            <v>11880</v>
          </cell>
        </row>
        <row r="558">
          <cell r="H558">
            <v>507979</v>
          </cell>
        </row>
        <row r="559">
          <cell r="H559">
            <v>878263</v>
          </cell>
        </row>
        <row r="560">
          <cell r="H560">
            <v>9440</v>
          </cell>
        </row>
        <row r="561">
          <cell r="H561">
            <v>17590</v>
          </cell>
        </row>
        <row r="562">
          <cell r="H562">
            <v>795904</v>
          </cell>
        </row>
        <row r="563">
          <cell r="H563">
            <v>544586</v>
          </cell>
        </row>
        <row r="564">
          <cell r="H564">
            <v>7707000</v>
          </cell>
        </row>
        <row r="565">
          <cell r="H565">
            <v>202800</v>
          </cell>
        </row>
        <row r="566">
          <cell r="H566">
            <v>3312000</v>
          </cell>
        </row>
        <row r="567">
          <cell r="H567">
            <v>63000</v>
          </cell>
        </row>
        <row r="568">
          <cell r="H568">
            <v>3187200</v>
          </cell>
        </row>
        <row r="569">
          <cell r="H569">
            <v>505800</v>
          </cell>
        </row>
        <row r="571">
          <cell r="H571">
            <v>25400528</v>
          </cell>
        </row>
        <row r="573">
          <cell r="H573">
            <v>11675</v>
          </cell>
        </row>
        <row r="574">
          <cell r="H574">
            <v>178</v>
          </cell>
        </row>
        <row r="575">
          <cell r="H575">
            <v>13121</v>
          </cell>
        </row>
        <row r="579">
          <cell r="H579">
            <v>75189</v>
          </cell>
        </row>
        <row r="580">
          <cell r="H580">
            <v>275093</v>
          </cell>
        </row>
        <row r="581">
          <cell r="H581">
            <v>1326714</v>
          </cell>
        </row>
        <row r="582">
          <cell r="H582">
            <v>97</v>
          </cell>
        </row>
        <row r="583">
          <cell r="H583">
            <v>6469</v>
          </cell>
        </row>
        <row r="587">
          <cell r="H587">
            <v>1515702</v>
          </cell>
        </row>
        <row r="588">
          <cell r="H588">
            <v>632234</v>
          </cell>
        </row>
        <row r="590">
          <cell r="H590">
            <v>1849701</v>
          </cell>
        </row>
        <row r="592">
          <cell r="H592">
            <v>41574</v>
          </cell>
        </row>
      </sheetData>
      <sheetData sheetId="1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Summary Statements"/>
      <sheetName val="Cover"/>
      <sheetName val="7H"/>
      <sheetName val="LFA"/>
      <sheetName val="MFC"/>
      <sheetName val="Storage"/>
      <sheetName val="TBS"/>
      <sheetName val="Balancing"/>
      <sheetName val="Standby"/>
      <sheetName val="DCG"/>
      <sheetName val="Cashout"/>
      <sheetName val="Cap Surcharge"/>
      <sheetName val="TS"/>
      <sheetName val="TS Worksheet"/>
      <sheetName val="TS SRS"/>
      <sheetName val="CSCC"/>
      <sheetName val="WNQ"/>
      <sheetName val="Bill Mit"/>
      <sheetName val="R&amp;D"/>
      <sheetName val="GCSA1"/>
      <sheetName val="GCSA2"/>
      <sheetName val="Merger"/>
      <sheetName val="Query"/>
      <sheetName val="Bill Mit Combined"/>
      <sheetName val="Bill Mit Champlain"/>
      <sheetName val="Bill Mit Elmira"/>
      <sheetName val="Bill Mit Goshen"/>
      <sheetName val="CSCC Input"/>
      <sheetName val="CSCC Dmd Chgs"/>
      <sheetName val="CSCC Credits"/>
      <sheetName val="Forecast"/>
      <sheetName val="GSC 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GE"/>
      <sheetName val="Ancillary"/>
      <sheetName val="ESR"/>
      <sheetName val="Forecast"/>
      <sheetName val="Settlement"/>
    </sheetNames>
    <sheetDataSet>
      <sheetData sheetId="0" refreshError="1">
        <row r="21">
          <cell r="C21">
            <v>40299</v>
          </cell>
        </row>
      </sheetData>
      <sheetData sheetId="1"/>
      <sheetData sheetId="2"/>
      <sheetData sheetId="3"/>
      <sheetData sheetId="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Summary Statements"/>
      <sheetName val="IGSC Statements"/>
      <sheetName val="Cover"/>
      <sheetName val="7H"/>
      <sheetName val="LFA"/>
      <sheetName val="MFC"/>
      <sheetName val="Storage"/>
      <sheetName val="TBS"/>
      <sheetName val="Balancing"/>
      <sheetName val="Standby"/>
      <sheetName val="DCG"/>
      <sheetName val="Cashout"/>
      <sheetName val="TS"/>
      <sheetName val="TS Worksheet"/>
      <sheetName val="TS SRS"/>
      <sheetName val="WNQ"/>
      <sheetName val="R&amp;D"/>
      <sheetName val="GCSA1"/>
      <sheetName val="GCSA2"/>
      <sheetName val="Merger"/>
      <sheetName val="Query"/>
      <sheetName val="Forecast"/>
      <sheetName val="GSC History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/>
      <sheetData sheetId="22"/>
      <sheetData sheetId="2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Summary Statements"/>
      <sheetName val="IGSC Statements"/>
      <sheetName val="Cover"/>
      <sheetName val="7H"/>
      <sheetName val="LFA"/>
      <sheetName val="MFC"/>
      <sheetName val="Storage"/>
      <sheetName val="TBS"/>
      <sheetName val="Balancing"/>
      <sheetName val="Standby"/>
      <sheetName val="DCG"/>
      <sheetName val="Cashout"/>
      <sheetName val="Cap Surcharge"/>
      <sheetName val="TS"/>
      <sheetName val="TS Worksheet"/>
      <sheetName val="TS SRS"/>
      <sheetName val="CSCC"/>
      <sheetName val="WNQ"/>
      <sheetName val="R&amp;D"/>
      <sheetName val="GCSA1"/>
      <sheetName val="GCSA2"/>
      <sheetName val="Merger"/>
      <sheetName val="Query"/>
      <sheetName val="CSCC Input"/>
      <sheetName val="CSCC Dmd Chgs"/>
      <sheetName val="CSCC Credits"/>
      <sheetName val="Forecast"/>
      <sheetName val="GSC History"/>
      <sheetName val="GS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Summary Statements"/>
      <sheetName val="IGSC Statements"/>
      <sheetName val="Cover"/>
      <sheetName val="7H"/>
      <sheetName val="LFA"/>
      <sheetName val="MFC"/>
      <sheetName val="Storage"/>
      <sheetName val="TBS"/>
      <sheetName val="Balancing"/>
      <sheetName val="Standby"/>
      <sheetName val="DCG"/>
      <sheetName val="Cashout"/>
      <sheetName val="Cap Surcharge"/>
      <sheetName val="TS"/>
      <sheetName val="TS Worksheet"/>
      <sheetName val="TS SRS"/>
      <sheetName val="TS Deferred-Uncontrollable"/>
      <sheetName val="CSCC"/>
      <sheetName val="WNQ"/>
      <sheetName val="R&amp;D"/>
      <sheetName val="GCSA1"/>
      <sheetName val="GCSA2"/>
      <sheetName val="Merger"/>
      <sheetName val="Query"/>
      <sheetName val="CSCC Input"/>
      <sheetName val="CSCC Dmd Chgs"/>
      <sheetName val="CSCC Credits"/>
      <sheetName val="Forecast"/>
      <sheetName val="GSC Histo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Summary Statements"/>
      <sheetName val="IGSC Statements"/>
      <sheetName val="Cover"/>
      <sheetName val="7H"/>
      <sheetName val="LFA"/>
      <sheetName val="MFC"/>
      <sheetName val="Storage"/>
      <sheetName val="TBS"/>
      <sheetName val="Balancing"/>
      <sheetName val="Standby"/>
      <sheetName val="DCG"/>
      <sheetName val="Cashout"/>
      <sheetName val="TS"/>
      <sheetName val="TS Worksheet"/>
      <sheetName val="TS SRS"/>
      <sheetName val="WNQ"/>
      <sheetName val="R&amp;D"/>
      <sheetName val="GCSA1"/>
      <sheetName val="GCSA2"/>
      <sheetName val="Merger"/>
      <sheetName val="Query"/>
      <sheetName val="Forecast"/>
      <sheetName val="GSC 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Summary Statements"/>
      <sheetName val="IGSC Statements"/>
      <sheetName val="Cover"/>
      <sheetName val="7H"/>
      <sheetName val="LFA"/>
      <sheetName val="MFC"/>
      <sheetName val="Storage"/>
      <sheetName val="TBS"/>
      <sheetName val="Balancing"/>
      <sheetName val="Standby"/>
      <sheetName val="DCG"/>
      <sheetName val="Cashout"/>
      <sheetName val="TS"/>
      <sheetName val="TS Worksheet"/>
      <sheetName val="TS SRS"/>
      <sheetName val="TS Deferred-Uncontrollable"/>
      <sheetName val="WNQ"/>
      <sheetName val="R&amp;D"/>
      <sheetName val="GCSA1"/>
      <sheetName val="GCSA2"/>
      <sheetName val="Merger"/>
      <sheetName val="Query"/>
      <sheetName val="Forecast"/>
      <sheetName val="GSC Histo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urnal Entry Upload"/>
      <sheetName val="Close Template"/>
      <sheetName val="Non-Operating"/>
      <sheetName val="ETRII"/>
      <sheetName val="Federal "/>
      <sheetName val="Maine"/>
      <sheetName val="Deferred"/>
      <sheetName val="FAS 109 WP"/>
      <sheetName val="ETR"/>
      <sheetName val="Journal Entry"/>
      <sheetName val="MAIN"/>
      <sheetName val="236210"/>
      <sheetName val="Def Summary"/>
      <sheetName val="Def Tax Bal"/>
      <sheetName val="Def Detail"/>
      <sheetName val="Def Tax Bal Sheet Amts"/>
      <sheetName val="GL Rec"/>
      <sheetName val="Acct Query"/>
      <sheetName val="Prior Month Bal"/>
      <sheetName val="Foot Note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POPrices"/>
      <sheetName val="forecast VPOPrices"/>
      <sheetName val="Sheet1"/>
    </sheetNames>
    <sheetDataSet>
      <sheetData sheetId="0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POPrices"/>
      <sheetName val="forecast VPOPrices"/>
      <sheetName val="Sheet1"/>
    </sheetNames>
    <sheetDataSet>
      <sheetData sheetId="0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Summary Statements"/>
      <sheetName val="IGSC Statements"/>
      <sheetName val="Cover"/>
      <sheetName val="7H"/>
      <sheetName val="LFA"/>
      <sheetName val="MFC"/>
      <sheetName val="Storage"/>
      <sheetName val="TBS"/>
      <sheetName val="Balancing"/>
      <sheetName val="Standby"/>
      <sheetName val="DCG"/>
      <sheetName val="Cashout"/>
      <sheetName val="Cap Surcharge"/>
      <sheetName val="TS"/>
      <sheetName val="TS Worksheet"/>
      <sheetName val="TS SRS"/>
      <sheetName val="CSCC"/>
      <sheetName val="WNQ"/>
      <sheetName val="R&amp;D"/>
      <sheetName val="GCSA1"/>
      <sheetName val="GCSA2"/>
      <sheetName val="Merger"/>
      <sheetName val="Query"/>
      <sheetName val="CSCC Input"/>
      <sheetName val="CSCC Dmd Chgs"/>
      <sheetName val="CSCC Credits"/>
      <sheetName val="Forecast"/>
      <sheetName val="GSC History"/>
    </sheetNames>
    <sheetDataSet>
      <sheetData sheetId="0">
        <row r="7">
          <cell r="D7">
            <v>39814</v>
          </cell>
        </row>
      </sheetData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/>
      <sheetData sheetId="2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GL Input"/>
      <sheetName val="2-Non-IBCWIP"/>
      <sheetName val="2a-IBCWIP"/>
      <sheetName val="3-A&amp;L"/>
      <sheetName val="4-A&amp;L recon to GL"/>
      <sheetName val="5-Def Tax"/>
      <sheetName val="6-Recon Def Tax to GL"/>
      <sheetName val="7-Hedge Margin"/>
      <sheetName val="8-WC_Purch Power"/>
      <sheetName val="9-PSC Assess Liab"/>
      <sheetName val="10-EEPS Elec"/>
      <sheetName val="11-EEPS Gas"/>
      <sheetName val="12-Bonus Depr ADIT"/>
      <sheetName val="13-Capitalization"/>
      <sheetName val="14-O&amp;M est for CWC calc"/>
      <sheetName val="15-Rate Base Detail"/>
      <sheetName val="16-Items Not in Rate Base"/>
      <sheetName val="17-Rate Base"/>
      <sheetName val="SFAS-109"/>
      <sheetName val="RP12FERC - TME 12-31-11"/>
      <sheetName val="RP12 FERC 2012"/>
      <sheetName val="Allocators - 2011"/>
      <sheetName val="Common Plant Alloc - 6-30-09"/>
      <sheetName val="2011 Payroll Aloc - ELEC"/>
      <sheetName val="2011 Payroll Alloc - GAS"/>
      <sheetName val="EoP"/>
    </sheetNames>
    <sheetDataSet>
      <sheetData sheetId="0">
        <row r="1">
          <cell r="B1">
            <v>1</v>
          </cell>
        </row>
        <row r="2">
          <cell r="B2">
            <v>0</v>
          </cell>
          <cell r="C2">
            <v>0</v>
          </cell>
          <cell r="D2">
            <v>0</v>
          </cell>
          <cell r="E2">
            <v>0</v>
          </cell>
          <cell r="F2" t="str">
            <v>Account Match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 t="str">
            <v>Balance</v>
          </cell>
          <cell r="M2" t="str">
            <v>Balance</v>
          </cell>
          <cell r="N2" t="str">
            <v>Balance</v>
          </cell>
          <cell r="O2" t="str">
            <v>Balance</v>
          </cell>
          <cell r="P2" t="str">
            <v>Balance</v>
          </cell>
          <cell r="Q2" t="str">
            <v>Balance</v>
          </cell>
          <cell r="R2" t="str">
            <v>Balance</v>
          </cell>
          <cell r="S2" t="str">
            <v>Balance</v>
          </cell>
          <cell r="T2" t="str">
            <v>Balance</v>
          </cell>
          <cell r="U2" t="str">
            <v>Balance</v>
          </cell>
          <cell r="V2" t="str">
            <v>Balance</v>
          </cell>
          <cell r="W2" t="str">
            <v>Balance</v>
          </cell>
          <cell r="X2" t="str">
            <v>Balance</v>
          </cell>
          <cell r="Y2" t="str">
            <v>12 mos Dec-11</v>
          </cell>
        </row>
        <row r="3">
          <cell r="B3" t="str">
            <v>Account</v>
          </cell>
          <cell r="C3" t="str">
            <v>Location</v>
          </cell>
          <cell r="D3" t="str">
            <v>Description</v>
          </cell>
          <cell r="E3">
            <v>0</v>
          </cell>
          <cell r="F3" t="str">
            <v>A&amp;L RollFwd</v>
          </cell>
          <cell r="G3" t="str">
            <v>RTBS Backup</v>
          </cell>
          <cell r="H3" t="str">
            <v>SFAS-109</v>
          </cell>
          <cell r="I3" t="str">
            <v>Proof</v>
          </cell>
          <cell r="J3" t="str">
            <v>Not in RTBS</v>
          </cell>
          <cell r="K3" t="str">
            <v>Capital</v>
          </cell>
          <cell r="L3">
            <v>40513</v>
          </cell>
          <cell r="M3">
            <v>40544</v>
          </cell>
          <cell r="N3">
            <v>40575</v>
          </cell>
          <cell r="O3">
            <v>40603</v>
          </cell>
          <cell r="P3">
            <v>40634</v>
          </cell>
          <cell r="Q3">
            <v>40664</v>
          </cell>
          <cell r="R3">
            <v>40695</v>
          </cell>
          <cell r="S3">
            <v>40725</v>
          </cell>
          <cell r="T3">
            <v>40756</v>
          </cell>
          <cell r="U3">
            <v>40787</v>
          </cell>
          <cell r="V3">
            <v>40817</v>
          </cell>
          <cell r="W3">
            <v>40848</v>
          </cell>
          <cell r="X3">
            <v>40878</v>
          </cell>
          <cell r="Y3" t="str">
            <v>Average</v>
          </cell>
        </row>
        <row r="4">
          <cell r="B4">
            <v>101010</v>
          </cell>
          <cell r="C4" t="str">
            <v>RTBS</v>
          </cell>
          <cell r="D4" t="str">
            <v>PLANT IN SERVICE - ELECTRIC</v>
          </cell>
          <cell r="E4" t="str">
            <v/>
          </cell>
          <cell r="F4" t="str">
            <v/>
          </cell>
          <cell r="G4">
            <v>101010</v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>
            <v>1291175.2078199999</v>
          </cell>
          <cell r="M4">
            <v>1291024.39323</v>
          </cell>
          <cell r="N4">
            <v>1294084.79238</v>
          </cell>
          <cell r="O4">
            <v>1293920.5788799999</v>
          </cell>
          <cell r="P4">
            <v>1292088.9241899999</v>
          </cell>
          <cell r="Q4">
            <v>1292966.3547499999</v>
          </cell>
          <cell r="R4">
            <v>1293977.80485</v>
          </cell>
          <cell r="S4">
            <v>1293837.1250199999</v>
          </cell>
          <cell r="T4">
            <v>1295839.9050499999</v>
          </cell>
          <cell r="U4">
            <v>1295675.89521</v>
          </cell>
          <cell r="V4">
            <v>1295543.1689599999</v>
          </cell>
          <cell r="W4">
            <v>1295417.1743900001</v>
          </cell>
          <cell r="X4">
            <v>1305769.6596599999</v>
          </cell>
          <cell r="Y4">
            <v>1294404.0458879999</v>
          </cell>
        </row>
        <row r="5">
          <cell r="B5">
            <v>101030</v>
          </cell>
          <cell r="C5" t="str">
            <v>RTBS</v>
          </cell>
          <cell r="D5" t="str">
            <v>PLANT IN SERVICE - GAS</v>
          </cell>
          <cell r="E5" t="str">
            <v/>
          </cell>
          <cell r="F5" t="str">
            <v/>
          </cell>
          <cell r="G5">
            <v>101030</v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>
            <v>613717.86196999997</v>
          </cell>
          <cell r="M5">
            <v>613487.64405</v>
          </cell>
          <cell r="N5">
            <v>614984.79980000004</v>
          </cell>
          <cell r="O5">
            <v>614774.06721999997</v>
          </cell>
          <cell r="P5">
            <v>614675.97079000005</v>
          </cell>
          <cell r="Q5">
            <v>614657.46588000003</v>
          </cell>
          <cell r="R5">
            <v>614383.05969999998</v>
          </cell>
          <cell r="S5">
            <v>614211.38982000004</v>
          </cell>
          <cell r="T5">
            <v>614418.66914000001</v>
          </cell>
          <cell r="U5">
            <v>614295.23080999998</v>
          </cell>
          <cell r="V5">
            <v>614203.55581000005</v>
          </cell>
          <cell r="W5">
            <v>614049.91747999995</v>
          </cell>
          <cell r="X5">
            <v>634052.93863999995</v>
          </cell>
          <cell r="Y5">
            <v>615168.93090000004</v>
          </cell>
        </row>
        <row r="6">
          <cell r="B6">
            <v>101070</v>
          </cell>
          <cell r="C6" t="str">
            <v>RTBS</v>
          </cell>
          <cell r="D6" t="str">
            <v>PLANT IN SERVICE - COMMON</v>
          </cell>
          <cell r="E6" t="str">
            <v/>
          </cell>
          <cell r="F6" t="str">
            <v/>
          </cell>
          <cell r="G6">
            <v>101070</v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>
            <v>201987.66016</v>
          </cell>
          <cell r="M6">
            <v>200844.94542</v>
          </cell>
          <cell r="N6">
            <v>200438.05274000001</v>
          </cell>
          <cell r="O6">
            <v>200438.05274000001</v>
          </cell>
          <cell r="P6">
            <v>202406.09229</v>
          </cell>
          <cell r="Q6">
            <v>202300.15974</v>
          </cell>
          <cell r="R6">
            <v>202011.65210000001</v>
          </cell>
          <cell r="S6">
            <v>202011.65210000001</v>
          </cell>
          <cell r="T6">
            <v>202011.65210000001</v>
          </cell>
          <cell r="U6">
            <v>202000.3689</v>
          </cell>
          <cell r="V6">
            <v>202000.3689</v>
          </cell>
          <cell r="W6">
            <v>199459.82328000001</v>
          </cell>
          <cell r="X6">
            <v>199459.82328000001</v>
          </cell>
          <cell r="Y6">
            <v>201387.21350300001</v>
          </cell>
        </row>
        <row r="7">
          <cell r="B7">
            <v>102010</v>
          </cell>
          <cell r="C7" t="str">
            <v>Not in RTBS</v>
          </cell>
          <cell r="D7" t="str">
            <v>PLANT PURCHASED OR SOLD-ELECTRIC</v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102010</v>
          </cell>
          <cell r="K7" t="str">
            <v/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</row>
        <row r="8">
          <cell r="B8">
            <v>105010</v>
          </cell>
          <cell r="C8" t="str">
            <v>RTBS</v>
          </cell>
          <cell r="D8" t="str">
            <v>PLANT HELD-FUTURE USE-ELECTRIC</v>
          </cell>
          <cell r="E8" t="str">
            <v/>
          </cell>
          <cell r="F8" t="str">
            <v/>
          </cell>
          <cell r="G8">
            <v>105010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>
            <v>1623.62003</v>
          </cell>
          <cell r="M8">
            <v>1623.62003</v>
          </cell>
          <cell r="N8">
            <v>1623.62003</v>
          </cell>
          <cell r="O8">
            <v>1623.62003</v>
          </cell>
          <cell r="P8">
            <v>449.19159999999999</v>
          </cell>
          <cell r="Q8">
            <v>449.19159999999999</v>
          </cell>
          <cell r="R8">
            <v>449.19159999999999</v>
          </cell>
          <cell r="S8">
            <v>449.19159999999999</v>
          </cell>
          <cell r="T8">
            <v>448.66568999999998</v>
          </cell>
          <cell r="U8">
            <v>448.66568999999998</v>
          </cell>
          <cell r="V8">
            <v>448.66568999999998</v>
          </cell>
          <cell r="W8">
            <v>448.66568999999998</v>
          </cell>
          <cell r="X8">
            <v>448.66568999999998</v>
          </cell>
          <cell r="Y8">
            <v>791.53600900000004</v>
          </cell>
        </row>
        <row r="9">
          <cell r="B9">
            <v>106010</v>
          </cell>
          <cell r="C9" t="str">
            <v>RTBS</v>
          </cell>
          <cell r="D9" t="str">
            <v>COMPLETED CONSTRUCTION NOT CLASSIFIED - ELECTRIC</v>
          </cell>
          <cell r="E9" t="str">
            <v/>
          </cell>
          <cell r="F9" t="str">
            <v/>
          </cell>
          <cell r="G9">
            <v>106010</v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>
            <v>159596.49638</v>
          </cell>
          <cell r="M9">
            <v>161895.34226999999</v>
          </cell>
          <cell r="N9">
            <v>165607.31111000001</v>
          </cell>
          <cell r="O9">
            <v>167361.28215000001</v>
          </cell>
          <cell r="P9">
            <v>169931.52249</v>
          </cell>
          <cell r="Q9">
            <v>177063.35500000001</v>
          </cell>
          <cell r="R9">
            <v>183452.20324999999</v>
          </cell>
          <cell r="S9">
            <v>199699.99867999999</v>
          </cell>
          <cell r="T9">
            <v>200535.64475000001</v>
          </cell>
          <cell r="U9">
            <v>207540.37417</v>
          </cell>
          <cell r="V9">
            <v>214926.08931000001</v>
          </cell>
          <cell r="W9">
            <v>217421.73212</v>
          </cell>
          <cell r="X9">
            <v>213003.02580999999</v>
          </cell>
          <cell r="Y9">
            <v>187644.551366</v>
          </cell>
        </row>
        <row r="10">
          <cell r="B10">
            <v>106030</v>
          </cell>
          <cell r="C10" t="str">
            <v>RTBS</v>
          </cell>
          <cell r="D10" t="str">
            <v>COMPLETED CONSTRUCTION NOT CLASSIFIED - GAS</v>
          </cell>
          <cell r="E10" t="str">
            <v/>
          </cell>
          <cell r="F10" t="str">
            <v/>
          </cell>
          <cell r="G10">
            <v>106030</v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>
            <v>24746.10572</v>
          </cell>
          <cell r="M10">
            <v>26371.29594</v>
          </cell>
          <cell r="N10">
            <v>25495.262070000001</v>
          </cell>
          <cell r="O10">
            <v>26875.479039999998</v>
          </cell>
          <cell r="P10">
            <v>27794.36879</v>
          </cell>
          <cell r="Q10">
            <v>30681.74972</v>
          </cell>
          <cell r="R10">
            <v>31556.61851</v>
          </cell>
          <cell r="S10">
            <v>33105.82157</v>
          </cell>
          <cell r="T10">
            <v>35620.96688</v>
          </cell>
          <cell r="U10">
            <v>37472.665430000001</v>
          </cell>
          <cell r="V10">
            <v>41025.982060000002</v>
          </cell>
          <cell r="W10">
            <v>44160.335610000002</v>
          </cell>
          <cell r="X10">
            <v>25906.941650000001</v>
          </cell>
          <cell r="Y10">
            <v>32123.922441999999</v>
          </cell>
        </row>
        <row r="11">
          <cell r="B11">
            <v>106070</v>
          </cell>
          <cell r="C11" t="str">
            <v>RTBS</v>
          </cell>
          <cell r="D11" t="str">
            <v>COMPLETED CONSTRUCTION NOT CLASSIFIED - COMMON</v>
          </cell>
          <cell r="E11" t="str">
            <v/>
          </cell>
          <cell r="F11" t="str">
            <v/>
          </cell>
          <cell r="G11">
            <v>106070</v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>
            <v>4058.6300799999999</v>
          </cell>
          <cell r="M11">
            <v>4621.3662700000004</v>
          </cell>
          <cell r="N11">
            <v>14076.386710000001</v>
          </cell>
          <cell r="O11">
            <v>14308.431070000001</v>
          </cell>
          <cell r="P11">
            <v>14786.836359999999</v>
          </cell>
          <cell r="Q11">
            <v>15093.967060000001</v>
          </cell>
          <cell r="R11">
            <v>15131.24475</v>
          </cell>
          <cell r="S11">
            <v>15196.43403</v>
          </cell>
          <cell r="T11">
            <v>15371.08158</v>
          </cell>
          <cell r="U11">
            <v>15644.24116</v>
          </cell>
          <cell r="V11">
            <v>15804.972229999999</v>
          </cell>
          <cell r="W11">
            <v>16000.231760000001</v>
          </cell>
          <cell r="X11">
            <v>21175.939139999999</v>
          </cell>
          <cell r="Y11">
            <v>14054.373132999999</v>
          </cell>
        </row>
        <row r="12">
          <cell r="B12">
            <v>107010</v>
          </cell>
          <cell r="C12" t="str">
            <v>RTBS</v>
          </cell>
          <cell r="D12" t="str">
            <v>CONSTRUCTION WORK IN PROGRESS - ELECTRIC</v>
          </cell>
          <cell r="E12" t="str">
            <v/>
          </cell>
          <cell r="F12" t="str">
            <v/>
          </cell>
          <cell r="G12">
            <v>107010</v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>
            <v>106864.35488</v>
          </cell>
          <cell r="M12">
            <v>105856.99049</v>
          </cell>
          <cell r="N12">
            <v>106034.0248</v>
          </cell>
          <cell r="O12">
            <v>112444.36104</v>
          </cell>
          <cell r="P12">
            <v>114642.16106</v>
          </cell>
          <cell r="Q12">
            <v>113444.33344</v>
          </cell>
          <cell r="R12">
            <v>113290.85941</v>
          </cell>
          <cell r="S12">
            <v>103685.63009999999</v>
          </cell>
          <cell r="T12">
            <v>113271.72203999999</v>
          </cell>
          <cell r="U12">
            <v>119743.78449999999</v>
          </cell>
          <cell r="V12">
            <v>127191.25761</v>
          </cell>
          <cell r="W12">
            <v>138071.47479000001</v>
          </cell>
          <cell r="X12">
            <v>165426.71663000001</v>
          </cell>
          <cell r="Y12">
            <v>116985.17792</v>
          </cell>
        </row>
        <row r="13">
          <cell r="B13">
            <v>107030</v>
          </cell>
          <cell r="C13" t="str">
            <v>RTBS</v>
          </cell>
          <cell r="D13" t="str">
            <v>CONSTRUCTION WORK IN PROGRESS - GAS</v>
          </cell>
          <cell r="E13" t="str">
            <v/>
          </cell>
          <cell r="F13" t="str">
            <v/>
          </cell>
          <cell r="G13">
            <v>107030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>
            <v>4392.0168000000003</v>
          </cell>
          <cell r="M13">
            <v>3286.59719</v>
          </cell>
          <cell r="N13">
            <v>3682.3168099999998</v>
          </cell>
          <cell r="O13">
            <v>3823.54459</v>
          </cell>
          <cell r="P13">
            <v>4494.9873299999999</v>
          </cell>
          <cell r="Q13">
            <v>3424.8167699999999</v>
          </cell>
          <cell r="R13">
            <v>5129.22775</v>
          </cell>
          <cell r="S13">
            <v>6591.1587499999996</v>
          </cell>
          <cell r="T13">
            <v>6966.2108399999997</v>
          </cell>
          <cell r="U13">
            <v>8308.1488200000003</v>
          </cell>
          <cell r="V13">
            <v>8649.6125699999993</v>
          </cell>
          <cell r="W13">
            <v>8377.5288500000006</v>
          </cell>
          <cell r="X13">
            <v>11653.44081</v>
          </cell>
          <cell r="Y13">
            <v>5896.4065899999996</v>
          </cell>
        </row>
        <row r="14">
          <cell r="B14">
            <v>107070</v>
          </cell>
          <cell r="C14" t="str">
            <v>RTBS</v>
          </cell>
          <cell r="D14" t="str">
            <v>CONSTRUCTION WORK IN PROGRESS - COMMON</v>
          </cell>
          <cell r="E14" t="str">
            <v/>
          </cell>
          <cell r="F14" t="str">
            <v/>
          </cell>
          <cell r="G14">
            <v>107070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>
            <v>10220.66073</v>
          </cell>
          <cell r="M14">
            <v>9267.2875100000001</v>
          </cell>
          <cell r="N14">
            <v>442.95607999999999</v>
          </cell>
          <cell r="O14">
            <v>450.42496</v>
          </cell>
          <cell r="P14">
            <v>551.68994999999995</v>
          </cell>
          <cell r="Q14">
            <v>1585.3942999999999</v>
          </cell>
          <cell r="R14">
            <v>1627.3090400000001</v>
          </cell>
          <cell r="S14">
            <v>1991.3473799999999</v>
          </cell>
          <cell r="T14">
            <v>2508.7497699999999</v>
          </cell>
          <cell r="U14">
            <v>2730.9440300000001</v>
          </cell>
          <cell r="V14">
            <v>3623.0580500000001</v>
          </cell>
          <cell r="W14">
            <v>4529.9880999999996</v>
          </cell>
          <cell r="X14">
            <v>10631.059219999999</v>
          </cell>
          <cell r="Y14">
            <v>3311.2507620000001</v>
          </cell>
        </row>
        <row r="15">
          <cell r="B15">
            <v>108008</v>
          </cell>
          <cell r="C15" t="str">
            <v>RTBS</v>
          </cell>
          <cell r="D15" t="str">
            <v>NUCLEAR DECOMMISSIONING RESERVE</v>
          </cell>
          <cell r="E15" t="str">
            <v/>
          </cell>
          <cell r="F15" t="str">
            <v/>
          </cell>
          <cell r="G15">
            <v>108008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B16">
            <v>108009</v>
          </cell>
          <cell r="C16" t="str">
            <v>RTBS</v>
          </cell>
          <cell r="D16" t="str">
            <v>RUSSELL DECOMMISSION RESERVE - ELECTRIC</v>
          </cell>
          <cell r="E16" t="str">
            <v/>
          </cell>
          <cell r="F16" t="str">
            <v/>
          </cell>
          <cell r="G16">
            <v>108009</v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>
            <v>0</v>
          </cell>
          <cell r="M16">
            <v>0</v>
          </cell>
          <cell r="N16">
            <v>-11925.65322</v>
          </cell>
          <cell r="O16">
            <v>-11925.65322</v>
          </cell>
          <cell r="P16">
            <v>-11925.65322</v>
          </cell>
          <cell r="Q16">
            <v>-11925.65322</v>
          </cell>
          <cell r="R16">
            <v>-11925.65322</v>
          </cell>
          <cell r="S16">
            <v>-11925.65322</v>
          </cell>
          <cell r="T16">
            <v>-11925.65322</v>
          </cell>
          <cell r="U16">
            <v>-11925.65322</v>
          </cell>
          <cell r="V16">
            <v>-11925.65322</v>
          </cell>
          <cell r="W16">
            <v>-11925.65322</v>
          </cell>
          <cell r="X16">
            <v>-11925.65322</v>
          </cell>
          <cell r="Y16">
            <v>-10434.946567999999</v>
          </cell>
        </row>
        <row r="17">
          <cell r="B17">
            <v>108010</v>
          </cell>
          <cell r="C17" t="str">
            <v>RTBS</v>
          </cell>
          <cell r="D17" t="str">
            <v>ACCUMULATED DEPRECIATION RESERVE - ELECTRIC</v>
          </cell>
          <cell r="E17" t="str">
            <v/>
          </cell>
          <cell r="F17" t="str">
            <v/>
          </cell>
          <cell r="G17">
            <v>108010</v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>
            <v>-505071.46581999998</v>
          </cell>
          <cell r="M17">
            <v>-508405.89619</v>
          </cell>
          <cell r="N17">
            <v>-495978.36225000001</v>
          </cell>
          <cell r="O17">
            <v>-497226.18557999999</v>
          </cell>
          <cell r="P17">
            <v>-499928.96765000001</v>
          </cell>
          <cell r="Q17">
            <v>-501224.98181999999</v>
          </cell>
          <cell r="R17">
            <v>-502749.30549</v>
          </cell>
          <cell r="S17">
            <v>-504445.00769</v>
          </cell>
          <cell r="T17">
            <v>-506821.53807000001</v>
          </cell>
          <cell r="U17">
            <v>-509282.87550999998</v>
          </cell>
          <cell r="V17">
            <v>-511308.30105000001</v>
          </cell>
          <cell r="W17">
            <v>-513575.83049999998</v>
          </cell>
          <cell r="X17">
            <v>-514839.26932999998</v>
          </cell>
          <cell r="Y17">
            <v>-505075.21828099998</v>
          </cell>
        </row>
        <row r="18">
          <cell r="B18">
            <v>108011</v>
          </cell>
          <cell r="C18" t="str">
            <v>RTBS</v>
          </cell>
          <cell r="D18" t="str">
            <v>ACCUMULATED DEPRECIATION SALVAGE - ELECTRIC</v>
          </cell>
          <cell r="E18" t="str">
            <v/>
          </cell>
          <cell r="F18" t="str">
            <v/>
          </cell>
          <cell r="G18">
            <v>108011</v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B19">
            <v>108015</v>
          </cell>
          <cell r="C19" t="str">
            <v>RTBS</v>
          </cell>
          <cell r="D19" t="str">
            <v>UNDEPRECIATED RETIREMENT - ELECTRIC</v>
          </cell>
          <cell r="E19" t="str">
            <v/>
          </cell>
          <cell r="F19" t="str">
            <v/>
          </cell>
          <cell r="G19">
            <v>108015</v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0">
          <cell r="B20">
            <v>108016</v>
          </cell>
          <cell r="C20" t="str">
            <v>RTBS</v>
          </cell>
          <cell r="D20" t="str">
            <v>ACCUM PROV-DEPR-ELEC-NON-POOL INCLUDING LAND</v>
          </cell>
          <cell r="E20" t="str">
            <v/>
          </cell>
          <cell r="F20" t="str">
            <v/>
          </cell>
          <cell r="G20">
            <v>108016</v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</row>
        <row r="21">
          <cell r="B21">
            <v>108019</v>
          </cell>
          <cell r="C21" t="str">
            <v>RTBS</v>
          </cell>
          <cell r="D21" t="str">
            <v>ACCUM DEPRECIATION ELECTRIC-MANUAL ADJUSTMENT</v>
          </cell>
          <cell r="E21" t="str">
            <v/>
          </cell>
          <cell r="F21" t="str">
            <v/>
          </cell>
          <cell r="G21">
            <v>108019</v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B22">
            <v>108030</v>
          </cell>
          <cell r="C22" t="str">
            <v>RTBS</v>
          </cell>
          <cell r="D22" t="str">
            <v>ACCUMULATED DEPRECIATION RESERVE - GAS</v>
          </cell>
          <cell r="E22" t="str">
            <v/>
          </cell>
          <cell r="F22" t="str">
            <v/>
          </cell>
          <cell r="G22">
            <v>108030</v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>
            <v>-243435.75558</v>
          </cell>
          <cell r="M22">
            <v>-244453.96664</v>
          </cell>
          <cell r="N22">
            <v>-245462.89955999999</v>
          </cell>
          <cell r="O22">
            <v>-246364.29337999999</v>
          </cell>
          <cell r="P22">
            <v>-247457.17540000001</v>
          </cell>
          <cell r="Q22">
            <v>-248225.94894999999</v>
          </cell>
          <cell r="R22">
            <v>-249111.96158</v>
          </cell>
          <cell r="S22">
            <v>-250172.70530999999</v>
          </cell>
          <cell r="T22">
            <v>-250812.00808</v>
          </cell>
          <cell r="U22">
            <v>-251912.88716000001</v>
          </cell>
          <cell r="V22">
            <v>-252941.77439999999</v>
          </cell>
          <cell r="W22">
            <v>-254118.30637000001</v>
          </cell>
          <cell r="X22">
            <v>-255403.86296999999</v>
          </cell>
          <cell r="Y22">
            <v>-249204.47800900001</v>
          </cell>
        </row>
        <row r="23">
          <cell r="B23">
            <v>108031</v>
          </cell>
          <cell r="C23" t="str">
            <v>RTBS</v>
          </cell>
          <cell r="D23" t="str">
            <v>ACCUMULATED DEPRECIATION SALVAGE - GAS</v>
          </cell>
          <cell r="E23" t="str">
            <v/>
          </cell>
          <cell r="F23" t="str">
            <v/>
          </cell>
          <cell r="G23">
            <v>108031</v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</row>
        <row r="24">
          <cell r="B24">
            <v>108035</v>
          </cell>
          <cell r="C24" t="str">
            <v>RTBS</v>
          </cell>
          <cell r="D24" t="str">
            <v>UNDEPRECIATED RETIREMENT - GAS</v>
          </cell>
          <cell r="E24" t="str">
            <v/>
          </cell>
          <cell r="F24" t="str">
            <v/>
          </cell>
          <cell r="G24">
            <v>108035</v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B25">
            <v>108039</v>
          </cell>
          <cell r="C25" t="str">
            <v>RTBS</v>
          </cell>
          <cell r="D25" t="str">
            <v>ACCUMULATED DEPRECIATION-GAS MANUAL ADJUSTMENT</v>
          </cell>
          <cell r="E25" t="str">
            <v/>
          </cell>
          <cell r="F25" t="str">
            <v/>
          </cell>
          <cell r="G25">
            <v>108039</v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B26">
            <v>108070</v>
          </cell>
          <cell r="C26" t="str">
            <v>RTBS</v>
          </cell>
          <cell r="D26" t="str">
            <v>ACCUMULATED DEPRECIATION RESERVE - COMMON</v>
          </cell>
          <cell r="E26" t="str">
            <v/>
          </cell>
          <cell r="F26" t="str">
            <v/>
          </cell>
          <cell r="G26">
            <v>108070</v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>
            <v>-59503.695849999996</v>
          </cell>
          <cell r="M26">
            <v>-58910.449090000002</v>
          </cell>
          <cell r="N26">
            <v>-59041.922590000002</v>
          </cell>
          <cell r="O26">
            <v>-59625.683700000001</v>
          </cell>
          <cell r="P26">
            <v>-60267.501980000001</v>
          </cell>
          <cell r="Q26">
            <v>-60775.467360000002</v>
          </cell>
          <cell r="R26">
            <v>-61114.217980000001</v>
          </cell>
          <cell r="S26">
            <v>-61698.568149999999</v>
          </cell>
          <cell r="T26">
            <v>-62283.849390000003</v>
          </cell>
          <cell r="U26">
            <v>-62853.105750000002</v>
          </cell>
          <cell r="V26">
            <v>-63606.629659999999</v>
          </cell>
          <cell r="W26">
            <v>-61572.578549999998</v>
          </cell>
          <cell r="X26">
            <v>-61712.39589</v>
          </cell>
          <cell r="Y26">
            <v>-61029.835006000001</v>
          </cell>
        </row>
        <row r="27">
          <cell r="B27">
            <v>108071</v>
          </cell>
          <cell r="C27" t="str">
            <v>RTBS</v>
          </cell>
          <cell r="D27" t="str">
            <v>ACCUMULATED DEPRECIATION SALVAGE - COMMON</v>
          </cell>
          <cell r="E27" t="str">
            <v/>
          </cell>
          <cell r="F27" t="str">
            <v/>
          </cell>
          <cell r="G27">
            <v>108071</v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B28">
            <v>108075</v>
          </cell>
          <cell r="C28" t="str">
            <v>RTBS</v>
          </cell>
          <cell r="D28" t="str">
            <v>UNDEPRECIATED RETIREMENT - COMMON</v>
          </cell>
          <cell r="E28" t="str">
            <v/>
          </cell>
          <cell r="F28" t="str">
            <v/>
          </cell>
          <cell r="G28">
            <v>108075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</row>
        <row r="29">
          <cell r="B29">
            <v>108076</v>
          </cell>
          <cell r="C29" t="str">
            <v>RTBS</v>
          </cell>
          <cell r="D29" t="str">
            <v>ACCUM DEPREC-COMMON-GAIN/LOSS CLEAR</v>
          </cell>
          <cell r="E29" t="str">
            <v/>
          </cell>
          <cell r="F29" t="str">
            <v/>
          </cell>
          <cell r="G29">
            <v>108076</v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B30">
            <v>108101</v>
          </cell>
          <cell r="C30" t="str">
            <v>RTBS</v>
          </cell>
          <cell r="D30" t="str">
            <v>RETIRE WIP - COST OF REMOVAL - ELECTRIC</v>
          </cell>
          <cell r="E30" t="str">
            <v/>
          </cell>
          <cell r="F30" t="str">
            <v/>
          </cell>
          <cell r="G30">
            <v>108101</v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</row>
        <row r="31">
          <cell r="B31">
            <v>108103</v>
          </cell>
          <cell r="C31" t="str">
            <v>RTBS</v>
          </cell>
          <cell r="D31" t="str">
            <v>RETIRE WIP - COST OF REMOVAL - GAS</v>
          </cell>
          <cell r="E31" t="str">
            <v/>
          </cell>
          <cell r="F31" t="str">
            <v/>
          </cell>
          <cell r="G31">
            <v>108103</v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B32">
            <v>108107</v>
          </cell>
          <cell r="C32" t="str">
            <v>RTBS</v>
          </cell>
          <cell r="D32" t="str">
            <v>RETIRE WIP - COST OF REMOVAL - COMMON</v>
          </cell>
          <cell r="E32" t="str">
            <v/>
          </cell>
          <cell r="F32" t="str">
            <v/>
          </cell>
          <cell r="G32">
            <v>108107</v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B33">
            <v>108111</v>
          </cell>
          <cell r="C33" t="str">
            <v>RTBS</v>
          </cell>
          <cell r="D33" t="str">
            <v>RETIRE WIP - SALVAGE - ELECTRIC</v>
          </cell>
          <cell r="E33" t="str">
            <v/>
          </cell>
          <cell r="F33" t="str">
            <v/>
          </cell>
          <cell r="G33">
            <v>108111</v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</row>
        <row r="34">
          <cell r="B34">
            <v>108113</v>
          </cell>
          <cell r="C34" t="str">
            <v>RTBS</v>
          </cell>
          <cell r="D34" t="str">
            <v>RETIRE WIP - SALVAGE - GAS</v>
          </cell>
          <cell r="E34" t="str">
            <v/>
          </cell>
          <cell r="F34" t="str">
            <v/>
          </cell>
          <cell r="G34">
            <v>108113</v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</row>
        <row r="35">
          <cell r="B35">
            <v>108117</v>
          </cell>
          <cell r="C35" t="str">
            <v>RTBS</v>
          </cell>
          <cell r="D35" t="str">
            <v>RETIRE WIP - SALVAGE - COMMON</v>
          </cell>
          <cell r="E35" t="str">
            <v/>
          </cell>
          <cell r="F35" t="str">
            <v/>
          </cell>
          <cell r="G35">
            <v>108117</v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B36">
            <v>111010</v>
          </cell>
          <cell r="C36" t="str">
            <v>RTBS</v>
          </cell>
          <cell r="D36" t="str">
            <v>ACCUM PROV-AMORT OF ELEC PLANT</v>
          </cell>
          <cell r="E36" t="str">
            <v/>
          </cell>
          <cell r="F36" t="str">
            <v/>
          </cell>
          <cell r="G36">
            <v>111010</v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>
            <v>-5194.53208</v>
          </cell>
          <cell r="M36">
            <v>-5202.3870100000004</v>
          </cell>
          <cell r="N36">
            <v>-5210.2419399999999</v>
          </cell>
          <cell r="O36">
            <v>-5218.0968700000003</v>
          </cell>
          <cell r="P36">
            <v>-5225.9517900000001</v>
          </cell>
          <cell r="Q36">
            <v>-5233.8067199999996</v>
          </cell>
          <cell r="R36">
            <v>-5241.66165</v>
          </cell>
          <cell r="S36">
            <v>-5249.5165699999998</v>
          </cell>
          <cell r="T36">
            <v>-5257.3714900000004</v>
          </cell>
          <cell r="U36">
            <v>-5265.22642</v>
          </cell>
          <cell r="V36">
            <v>-5273.0813500000004</v>
          </cell>
          <cell r="W36">
            <v>-5280.9362799999999</v>
          </cell>
          <cell r="X36">
            <v>-5288.7912100000003</v>
          </cell>
          <cell r="Y36">
            <v>-5241.6616450000001</v>
          </cell>
        </row>
        <row r="37">
          <cell r="B37">
            <v>111030</v>
          </cell>
          <cell r="C37" t="str">
            <v>RTBS</v>
          </cell>
          <cell r="D37" t="str">
            <v>ACCUM PROV-AMORT OF GAS PLANT</v>
          </cell>
          <cell r="E37" t="str">
            <v/>
          </cell>
          <cell r="F37" t="str">
            <v/>
          </cell>
          <cell r="G37">
            <v>111030</v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>
            <v>-567.97293000000002</v>
          </cell>
          <cell r="M37">
            <v>-582.24553000000003</v>
          </cell>
          <cell r="N37">
            <v>-596.51811999999995</v>
          </cell>
          <cell r="O37">
            <v>-610.79071999999996</v>
          </cell>
          <cell r="P37">
            <v>-625.06331</v>
          </cell>
          <cell r="Q37">
            <v>-639.33591000000001</v>
          </cell>
          <cell r="R37">
            <v>-653.60850000000005</v>
          </cell>
          <cell r="S37">
            <v>-667.88109999999995</v>
          </cell>
          <cell r="T37">
            <v>-682.15369999999996</v>
          </cell>
          <cell r="U37">
            <v>-696.42628999999999</v>
          </cell>
          <cell r="V37">
            <v>-710.69889000000001</v>
          </cell>
          <cell r="W37">
            <v>-724.97148000000004</v>
          </cell>
          <cell r="X37">
            <v>-739.24408000000005</v>
          </cell>
          <cell r="Y37">
            <v>-653.60850500000004</v>
          </cell>
        </row>
        <row r="38">
          <cell r="B38">
            <v>111070</v>
          </cell>
          <cell r="C38" t="str">
            <v>RTBS</v>
          </cell>
          <cell r="D38" t="str">
            <v>ACCUM PROV-AMORT OF COMMON PLANT</v>
          </cell>
          <cell r="E38" t="str">
            <v/>
          </cell>
          <cell r="F38" t="str">
            <v/>
          </cell>
          <cell r="G38">
            <v>111070</v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>
            <v>-66473.154580000002</v>
          </cell>
          <cell r="M38">
            <v>-66756.673439999999</v>
          </cell>
          <cell r="N38">
            <v>-67040.192309999999</v>
          </cell>
          <cell r="O38">
            <v>-67339.228350000005</v>
          </cell>
          <cell r="P38">
            <v>-67638.488570000001</v>
          </cell>
          <cell r="Q38">
            <v>-67937.998989999993</v>
          </cell>
          <cell r="R38">
            <v>-68237.554180000006</v>
          </cell>
          <cell r="S38">
            <v>-68539.313099999999</v>
          </cell>
          <cell r="T38">
            <v>-68828.829849999995</v>
          </cell>
          <cell r="U38">
            <v>-69119.470600000001</v>
          </cell>
          <cell r="V38">
            <v>-69410.904370000004</v>
          </cell>
          <cell r="W38">
            <v>-69703.032789999997</v>
          </cell>
          <cell r="X38">
            <v>-69995.733680000005</v>
          </cell>
          <cell r="Y38">
            <v>-68232.177557000003</v>
          </cell>
        </row>
        <row r="39">
          <cell r="B39">
            <v>114010</v>
          </cell>
          <cell r="C39" t="str">
            <v>RTBS</v>
          </cell>
          <cell r="D39" t="str">
            <v>PLANT ACQUISITION ADJUSTMENTS-ELEC-WATER RIGHTS</v>
          </cell>
          <cell r="E39" t="str">
            <v/>
          </cell>
          <cell r="F39" t="str">
            <v/>
          </cell>
          <cell r="G39">
            <v>114010</v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0">
          <cell r="B40">
            <v>114011</v>
          </cell>
          <cell r="C40" t="str">
            <v>RTBS</v>
          </cell>
          <cell r="D40" t="str">
            <v>PLANT ACQUIS ADJ B.BAL-ELECTRIC</v>
          </cell>
          <cell r="E40" t="str">
            <v/>
          </cell>
          <cell r="F40" t="str">
            <v/>
          </cell>
          <cell r="G40">
            <v>114011</v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</row>
        <row r="41">
          <cell r="B41">
            <v>114020</v>
          </cell>
          <cell r="C41" t="str">
            <v>RTBS</v>
          </cell>
          <cell r="D41" t="str">
            <v>PLANT ACQUIS ADJ-ELEC-WATER RIGHTS-AMORTIZATION</v>
          </cell>
          <cell r="E41" t="str">
            <v/>
          </cell>
          <cell r="F41" t="str">
            <v/>
          </cell>
          <cell r="G41">
            <v>114020</v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</row>
        <row r="42">
          <cell r="B42">
            <v>118010</v>
          </cell>
          <cell r="C42" t="str">
            <v>Not in RTBS</v>
          </cell>
          <cell r="D42" t="str">
            <v>PLANT - ASSET RETIREMENT OBLIGATION - ELECTRIC</v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118010</v>
          </cell>
          <cell r="K42" t="str">
            <v/>
          </cell>
          <cell r="L42">
            <v>6012.64516</v>
          </cell>
          <cell r="M42">
            <v>6012.64516</v>
          </cell>
          <cell r="N42">
            <v>6012.64516</v>
          </cell>
          <cell r="O42">
            <v>6012.64516</v>
          </cell>
          <cell r="P42">
            <v>6012.64516</v>
          </cell>
          <cell r="Q42">
            <v>6012.64516</v>
          </cell>
          <cell r="R42">
            <v>6012.64516</v>
          </cell>
          <cell r="S42">
            <v>6012.64516</v>
          </cell>
          <cell r="T42">
            <v>6012.64516</v>
          </cell>
          <cell r="U42">
            <v>6012.64516</v>
          </cell>
          <cell r="V42">
            <v>6012.64516</v>
          </cell>
          <cell r="W42">
            <v>6012.64516</v>
          </cell>
          <cell r="X42">
            <v>6012.64516</v>
          </cell>
          <cell r="Y42">
            <v>6012.64516</v>
          </cell>
        </row>
        <row r="43">
          <cell r="B43">
            <v>118030</v>
          </cell>
          <cell r="C43" t="str">
            <v>Not in RTBS</v>
          </cell>
          <cell r="D43" t="str">
            <v>PLANT - ASSET RETIREMENT OBLIGATION - GAS</v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118030</v>
          </cell>
          <cell r="K43" t="str">
            <v/>
          </cell>
          <cell r="L43">
            <v>165.59869</v>
          </cell>
          <cell r="M43">
            <v>165.59869</v>
          </cell>
          <cell r="N43">
            <v>165.59869</v>
          </cell>
          <cell r="O43">
            <v>165.59869</v>
          </cell>
          <cell r="P43">
            <v>165.59869</v>
          </cell>
          <cell r="Q43">
            <v>165.59869</v>
          </cell>
          <cell r="R43">
            <v>165.59869</v>
          </cell>
          <cell r="S43">
            <v>165.59869</v>
          </cell>
          <cell r="T43">
            <v>165.59869</v>
          </cell>
          <cell r="U43">
            <v>165.59869</v>
          </cell>
          <cell r="V43">
            <v>165.59869</v>
          </cell>
          <cell r="W43">
            <v>165.59869</v>
          </cell>
          <cell r="X43">
            <v>165.59869</v>
          </cell>
          <cell r="Y43">
            <v>165.59869</v>
          </cell>
        </row>
        <row r="44">
          <cell r="B44">
            <v>119010</v>
          </cell>
          <cell r="C44" t="str">
            <v>Not in RTBS</v>
          </cell>
          <cell r="D44" t="str">
            <v>ACCUMULATED PROVISION FOR DEPRECIATION-ARO-ELEC</v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119010</v>
          </cell>
          <cell r="K44" t="str">
            <v/>
          </cell>
          <cell r="L44">
            <v>-4480.5490399999999</v>
          </cell>
          <cell r="M44">
            <v>-4496.9991900000005</v>
          </cell>
          <cell r="N44">
            <v>-4513.4493400000001</v>
          </cell>
          <cell r="O44">
            <v>-4529.8994700000003</v>
          </cell>
          <cell r="P44">
            <v>-4546.34962</v>
          </cell>
          <cell r="Q44">
            <v>-4562.7997699999996</v>
          </cell>
          <cell r="R44">
            <v>-4579.2499200000002</v>
          </cell>
          <cell r="S44">
            <v>-4595.7000799999996</v>
          </cell>
          <cell r="T44">
            <v>-4612.1502300000002</v>
          </cell>
          <cell r="U44">
            <v>-4628.6003899999996</v>
          </cell>
          <cell r="V44">
            <v>-4645.0505199999998</v>
          </cell>
          <cell r="W44">
            <v>-4661.50065</v>
          </cell>
          <cell r="X44">
            <v>-4677.9507899999999</v>
          </cell>
          <cell r="Y44">
            <v>-4579.2499250000001</v>
          </cell>
        </row>
        <row r="45">
          <cell r="B45">
            <v>119030</v>
          </cell>
          <cell r="C45" t="str">
            <v>Not in RTBS</v>
          </cell>
          <cell r="D45" t="str">
            <v>ACCUMULATED PROVISION FOR DEPRECIATION-ARO-GAS</v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119030</v>
          </cell>
          <cell r="K45" t="str">
            <v/>
          </cell>
          <cell r="L45">
            <v>-84.910259999999994</v>
          </cell>
          <cell r="M45">
            <v>-85.177040000000005</v>
          </cell>
          <cell r="N45">
            <v>-85.443820000000002</v>
          </cell>
          <cell r="O45">
            <v>-85.710599999999999</v>
          </cell>
          <cell r="P45">
            <v>-85.977379999999997</v>
          </cell>
          <cell r="Q45">
            <v>-86.244159999999994</v>
          </cell>
          <cell r="R45">
            <v>-86.510940000000005</v>
          </cell>
          <cell r="S45">
            <v>-86.777720000000002</v>
          </cell>
          <cell r="T45">
            <v>-87.044499999999999</v>
          </cell>
          <cell r="U45">
            <v>-87.311279999999996</v>
          </cell>
          <cell r="V45">
            <v>-87.578059999999994</v>
          </cell>
          <cell r="W45">
            <v>-87.844840000000005</v>
          </cell>
          <cell r="X45">
            <v>-88.111620000000002</v>
          </cell>
          <cell r="Y45">
            <v>-86.510940000000005</v>
          </cell>
        </row>
        <row r="46">
          <cell r="B46">
            <v>120100</v>
          </cell>
          <cell r="C46" t="str">
            <v>NOT USED</v>
          </cell>
          <cell r="D46" t="str">
            <v>NUCLEAR FUEL IN PROCESS - GINNA</v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B47">
            <v>120111</v>
          </cell>
          <cell r="C47" t="str">
            <v>RTBS</v>
          </cell>
          <cell r="D47" t="str">
            <v>NUCLEAR FUEL BEGINNING BALANCE</v>
          </cell>
          <cell r="E47" t="str">
            <v/>
          </cell>
          <cell r="F47" t="str">
            <v/>
          </cell>
          <cell r="G47">
            <v>120111</v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B48">
            <v>120200</v>
          </cell>
          <cell r="C48" t="str">
            <v>RTBS</v>
          </cell>
          <cell r="D48" t="str">
            <v>NUCLEAR FUEL IN STOCK</v>
          </cell>
          <cell r="E48" t="str">
            <v/>
          </cell>
          <cell r="F48" t="str">
            <v/>
          </cell>
          <cell r="G48">
            <v>120200</v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B49">
            <v>120300</v>
          </cell>
          <cell r="C49" t="str">
            <v>RTBS</v>
          </cell>
          <cell r="D49" t="str">
            <v>NUCLEAR FUEL IN REACTOR - GINNA</v>
          </cell>
          <cell r="E49" t="str">
            <v/>
          </cell>
          <cell r="F49" t="str">
            <v/>
          </cell>
          <cell r="G49">
            <v>120300</v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>
            <v>120400</v>
          </cell>
          <cell r="C50" t="str">
            <v>RTBS</v>
          </cell>
          <cell r="D50" t="str">
            <v>SPEND NUCLEAR FUEL - GINNA</v>
          </cell>
          <cell r="E50" t="str">
            <v/>
          </cell>
          <cell r="F50" t="str">
            <v/>
          </cell>
          <cell r="G50">
            <v>120400</v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1">
          <cell r="B51">
            <v>120510</v>
          </cell>
          <cell r="C51" t="str">
            <v>RTBS</v>
          </cell>
          <cell r="D51" t="str">
            <v>ACCUM PROV - NUCL FUEL BURNUP - GINNA</v>
          </cell>
          <cell r="E51" t="str">
            <v/>
          </cell>
          <cell r="F51" t="str">
            <v/>
          </cell>
          <cell r="G51">
            <v>120510</v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2">
          <cell r="B52">
            <v>120520</v>
          </cell>
          <cell r="C52" t="str">
            <v>RTBS</v>
          </cell>
          <cell r="D52" t="str">
            <v>ACCUM PROV - NUCL FUEL SHIP/DISPOSAL - GINNA</v>
          </cell>
          <cell r="E52" t="str">
            <v/>
          </cell>
          <cell r="F52" t="str">
            <v/>
          </cell>
          <cell r="G52">
            <v>120520</v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</row>
        <row r="53">
          <cell r="B53">
            <v>120540</v>
          </cell>
          <cell r="C53" t="str">
            <v>RTBS</v>
          </cell>
          <cell r="D53" t="str">
            <v>ACCUM PROV - NUCL FUEL RETIRED - GINNA</v>
          </cell>
          <cell r="E53" t="str">
            <v/>
          </cell>
          <cell r="F53" t="str">
            <v/>
          </cell>
          <cell r="G53">
            <v>120540</v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B54">
            <v>120590</v>
          </cell>
          <cell r="C54" t="str">
            <v>RTBS</v>
          </cell>
          <cell r="D54" t="str">
            <v>SPEND NUCL FUEL - DEPARTMENT OF ENERGY (DOE)</v>
          </cell>
          <cell r="E54" t="str">
            <v/>
          </cell>
          <cell r="F54" t="str">
            <v/>
          </cell>
          <cell r="G54">
            <v>120590</v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B55">
            <v>121000</v>
          </cell>
          <cell r="C55" t="str">
            <v>Not in RTBS</v>
          </cell>
          <cell r="D55" t="str">
            <v>NONUTILITY PROPERTY</v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>
            <v>121000</v>
          </cell>
          <cell r="K55" t="str">
            <v/>
          </cell>
          <cell r="L55">
            <v>2479.87662</v>
          </cell>
          <cell r="M55">
            <v>2479.87662</v>
          </cell>
          <cell r="N55">
            <v>2479.87662</v>
          </cell>
          <cell r="O55">
            <v>2479.87662</v>
          </cell>
          <cell r="P55">
            <v>3654.3050499999999</v>
          </cell>
          <cell r="Q55">
            <v>3654.3050499999999</v>
          </cell>
          <cell r="R55">
            <v>3654.3050499999999</v>
          </cell>
          <cell r="S55">
            <v>3654.3050499999999</v>
          </cell>
          <cell r="T55">
            <v>3654.8309599999998</v>
          </cell>
          <cell r="U55">
            <v>3654.8309599999998</v>
          </cell>
          <cell r="V55">
            <v>3654.8309599999998</v>
          </cell>
          <cell r="W55">
            <v>3654.8309599999998</v>
          </cell>
          <cell r="X55">
            <v>3654.8309599999998</v>
          </cell>
          <cell r="Y55">
            <v>3311.9606410000001</v>
          </cell>
        </row>
        <row r="56">
          <cell r="B56">
            <v>122000</v>
          </cell>
          <cell r="C56" t="str">
            <v>Not in RTBS</v>
          </cell>
          <cell r="D56" t="str">
            <v>ACCUM PROV-DEPREC-NONUTILITY PROP</v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  <cell r="J56">
            <v>122000</v>
          </cell>
          <cell r="K56" t="str">
            <v/>
          </cell>
          <cell r="L56">
            <v>-879.26174000000003</v>
          </cell>
          <cell r="M56">
            <v>-881.78319999999997</v>
          </cell>
          <cell r="N56">
            <v>-884.30466000000001</v>
          </cell>
          <cell r="O56">
            <v>-886.82611999999995</v>
          </cell>
          <cell r="P56">
            <v>-889.34757999999999</v>
          </cell>
          <cell r="Q56">
            <v>-891.86904000000004</v>
          </cell>
          <cell r="R56">
            <v>-894.39049999999997</v>
          </cell>
          <cell r="S56">
            <v>-896.91196000000002</v>
          </cell>
          <cell r="T56">
            <v>-899.43341999999996</v>
          </cell>
          <cell r="U56">
            <v>-901.95488</v>
          </cell>
          <cell r="V56">
            <v>-904.47634000000005</v>
          </cell>
          <cell r="W56">
            <v>-906.99779999999998</v>
          </cell>
          <cell r="X56">
            <v>-909.51926000000003</v>
          </cell>
          <cell r="Y56">
            <v>-894.39049999999997</v>
          </cell>
        </row>
        <row r="57">
          <cell r="B57">
            <v>124000</v>
          </cell>
          <cell r="C57" t="str">
            <v>Not in RTBS</v>
          </cell>
          <cell r="D57" t="str">
            <v>OTHER INVESTMENTS</v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>
            <v>124000</v>
          </cell>
          <cell r="K57" t="str">
            <v/>
          </cell>
          <cell r="L57">
            <v>100</v>
          </cell>
          <cell r="M57">
            <v>100</v>
          </cell>
          <cell r="N57">
            <v>100</v>
          </cell>
          <cell r="O57">
            <v>100</v>
          </cell>
          <cell r="P57">
            <v>100</v>
          </cell>
          <cell r="Q57">
            <v>100</v>
          </cell>
          <cell r="R57">
            <v>100</v>
          </cell>
          <cell r="S57">
            <v>100</v>
          </cell>
          <cell r="T57">
            <v>100</v>
          </cell>
          <cell r="U57">
            <v>100</v>
          </cell>
          <cell r="V57">
            <v>100</v>
          </cell>
          <cell r="W57">
            <v>100</v>
          </cell>
          <cell r="X57">
            <v>100</v>
          </cell>
          <cell r="Y57">
            <v>100</v>
          </cell>
        </row>
        <row r="58">
          <cell r="B58">
            <v>124200</v>
          </cell>
          <cell r="C58" t="str">
            <v>Not in RTBS</v>
          </cell>
          <cell r="D58" t="str">
            <v>OTHER INVESTMENTS - THE MONROE FUND LLC</v>
          </cell>
          <cell r="E58" t="str">
            <v/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  <cell r="J58">
            <v>124200</v>
          </cell>
          <cell r="K58" t="str">
            <v/>
          </cell>
          <cell r="L58">
            <v>148.95776000000001</v>
          </cell>
          <cell r="M58">
            <v>148.95776000000001</v>
          </cell>
          <cell r="N58">
            <v>148.95776000000001</v>
          </cell>
          <cell r="O58">
            <v>148.95776000000001</v>
          </cell>
          <cell r="P58">
            <v>148.95776000000001</v>
          </cell>
          <cell r="Q58">
            <v>148.95776000000001</v>
          </cell>
          <cell r="R58">
            <v>148.95776000000001</v>
          </cell>
          <cell r="S58">
            <v>126.20156</v>
          </cell>
          <cell r="T58">
            <v>126.20156</v>
          </cell>
          <cell r="U58">
            <v>126.20156</v>
          </cell>
          <cell r="V58">
            <v>126.20156</v>
          </cell>
          <cell r="W58">
            <v>126.20156</v>
          </cell>
          <cell r="X58">
            <v>124.05719999999999</v>
          </cell>
          <cell r="Y58">
            <v>138.43848700000001</v>
          </cell>
        </row>
        <row r="59">
          <cell r="B59">
            <v>124202</v>
          </cell>
          <cell r="C59" t="str">
            <v>Not in RTBS</v>
          </cell>
          <cell r="D59" t="str">
            <v>OTHER INVESTMENTS - THE MONROE FUND LLC</v>
          </cell>
          <cell r="E59">
            <v>0</v>
          </cell>
        </row>
        <row r="60">
          <cell r="B60">
            <v>124220</v>
          </cell>
          <cell r="C60" t="str">
            <v>Not in RTBS</v>
          </cell>
          <cell r="D60" t="str">
            <v>OTHER INVESTMENTS-NY BUSINESS DEVELOPMENT CORP</v>
          </cell>
          <cell r="E60" t="str">
            <v/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  <cell r="J60">
            <v>124220</v>
          </cell>
          <cell r="K60" t="str">
            <v/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</row>
        <row r="61">
          <cell r="B61">
            <v>128000</v>
          </cell>
          <cell r="C61" t="str">
            <v>RTBS</v>
          </cell>
          <cell r="D61" t="str">
            <v>OTH SPEC FUNDS</v>
          </cell>
          <cell r="E61" t="str">
            <v/>
          </cell>
          <cell r="F61" t="str">
            <v/>
          </cell>
          <cell r="G61">
            <v>128000</v>
          </cell>
          <cell r="H61" t="str">
            <v/>
          </cell>
          <cell r="I61" t="str">
            <v/>
          </cell>
          <cell r="J61" t="str">
            <v/>
          </cell>
          <cell r="K61" t="str">
            <v/>
          </cell>
          <cell r="L61">
            <v>41.27</v>
          </cell>
          <cell r="M61">
            <v>41.27</v>
          </cell>
          <cell r="N61">
            <v>41.27</v>
          </cell>
          <cell r="O61">
            <v>41.27</v>
          </cell>
          <cell r="P61">
            <v>41.27</v>
          </cell>
          <cell r="Q61">
            <v>41.27</v>
          </cell>
          <cell r="R61">
            <v>41.27</v>
          </cell>
          <cell r="S61">
            <v>41.27</v>
          </cell>
          <cell r="T61">
            <v>41.27</v>
          </cell>
          <cell r="U61">
            <v>41.27</v>
          </cell>
          <cell r="V61">
            <v>41.27</v>
          </cell>
          <cell r="W61">
            <v>41.27</v>
          </cell>
          <cell r="X61">
            <v>163.77000000000001</v>
          </cell>
          <cell r="Y61">
            <v>46.374167</v>
          </cell>
        </row>
        <row r="62">
          <cell r="B62">
            <v>128100</v>
          </cell>
          <cell r="C62" t="str">
            <v>NOT USED</v>
          </cell>
          <cell r="D62" t="str">
            <v>OTH SPEC FUNDS - GINNA DECOM-QUAL ASSETS</v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</row>
        <row r="63">
          <cell r="B63">
            <v>128110</v>
          </cell>
          <cell r="C63" t="str">
            <v>NOT USED</v>
          </cell>
          <cell r="D63" t="str">
            <v>OTH SPEC FUNDS - GINNA DECOM-NON QUAL ASSETS</v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</row>
        <row r="64">
          <cell r="B64">
            <v>128400</v>
          </cell>
          <cell r="C64" t="str">
            <v>Not in RTBS</v>
          </cell>
          <cell r="D64" t="str">
            <v>OTH SPEC FUNDS - RABBI TRUST</v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  <cell r="I64" t="str">
            <v/>
          </cell>
          <cell r="J64">
            <v>128400</v>
          </cell>
          <cell r="K64" t="str">
            <v/>
          </cell>
          <cell r="L64">
            <v>9578.5970300000008</v>
          </cell>
          <cell r="M64">
            <v>9603.0126999999993</v>
          </cell>
          <cell r="N64">
            <v>9627.4283699999996</v>
          </cell>
          <cell r="O64">
            <v>9277.5630000000001</v>
          </cell>
          <cell r="P64">
            <v>9301.9786700000004</v>
          </cell>
          <cell r="Q64">
            <v>9326.3943400000007</v>
          </cell>
          <cell r="R64">
            <v>9106.06502</v>
          </cell>
          <cell r="S64">
            <v>9130.4806900000003</v>
          </cell>
          <cell r="T64">
            <v>9154.8963600000006</v>
          </cell>
          <cell r="U64">
            <v>8996.5036600000003</v>
          </cell>
          <cell r="V64">
            <v>9045.3349999999991</v>
          </cell>
          <cell r="W64">
            <v>9069.7506699999994</v>
          </cell>
          <cell r="X64">
            <v>8783.6705500000007</v>
          </cell>
          <cell r="Y64">
            <v>9235.0451890000004</v>
          </cell>
        </row>
        <row r="65">
          <cell r="B65">
            <v>129215</v>
          </cell>
          <cell r="C65" t="str">
            <v>RTBS</v>
          </cell>
          <cell r="D65" t="str">
            <v>SPECIAL DEPOSITS - PENSION PLANS</v>
          </cell>
          <cell r="E65" t="str">
            <v/>
          </cell>
          <cell r="F65" t="str">
            <v/>
          </cell>
          <cell r="G65">
            <v>129215</v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6">
          <cell r="B66">
            <v>131000</v>
          </cell>
          <cell r="C66" t="str">
            <v>Working Capital</v>
          </cell>
          <cell r="D66" t="str">
            <v>JPMC - AP Main</v>
          </cell>
          <cell r="E66" t="str">
            <v/>
          </cell>
          <cell r="F66" t="str">
            <v/>
          </cell>
          <cell r="G66" t="str">
            <v/>
          </cell>
          <cell r="H66" t="str">
            <v/>
          </cell>
          <cell r="I66">
            <v>131000</v>
          </cell>
          <cell r="J66" t="str">
            <v/>
          </cell>
          <cell r="K66" t="str">
            <v/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</row>
        <row r="67">
          <cell r="B67">
            <v>131002</v>
          </cell>
          <cell r="C67" t="str">
            <v>Working Capital</v>
          </cell>
          <cell r="D67" t="str">
            <v>JPMC - AP Check Clearing</v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>
            <v>131002</v>
          </cell>
          <cell r="J67" t="str">
            <v/>
          </cell>
          <cell r="K67" t="str">
            <v/>
          </cell>
          <cell r="L67">
            <v>-778.92827</v>
          </cell>
          <cell r="M67">
            <v>-8864.3337900000006</v>
          </cell>
          <cell r="N67">
            <v>-4680.1295799999998</v>
          </cell>
          <cell r="O67">
            <v>-2655.8113600000001</v>
          </cell>
          <cell r="P67">
            <v>-1048.1086</v>
          </cell>
          <cell r="Q67">
            <v>-574.67735000000005</v>
          </cell>
          <cell r="R67">
            <v>-677.73221000000001</v>
          </cell>
          <cell r="S67">
            <v>-29357.6666</v>
          </cell>
          <cell r="T67">
            <v>-533.49771999999996</v>
          </cell>
          <cell r="U67">
            <v>-5409.5421299999998</v>
          </cell>
          <cell r="V67">
            <v>-1137.7995000000001</v>
          </cell>
          <cell r="W67">
            <v>-768.47753</v>
          </cell>
          <cell r="X67">
            <v>-4940.1577100000004</v>
          </cell>
          <cell r="Y67">
            <v>-4880.6099469999999</v>
          </cell>
        </row>
        <row r="68">
          <cell r="B68">
            <v>131010</v>
          </cell>
          <cell r="C68" t="str">
            <v>Working Capital</v>
          </cell>
          <cell r="D68" t="str">
            <v>JPMC - Concentration Mai</v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>
            <v>131010</v>
          </cell>
          <cell r="J68" t="str">
            <v/>
          </cell>
          <cell r="K68" t="str">
            <v/>
          </cell>
          <cell r="L68">
            <v>78.049689999999998</v>
          </cell>
          <cell r="M68">
            <v>51.678469999999997</v>
          </cell>
          <cell r="N68">
            <v>44.071210000000001</v>
          </cell>
          <cell r="O68">
            <v>386.06058000000002</v>
          </cell>
          <cell r="P68">
            <v>463.89251000000002</v>
          </cell>
          <cell r="Q68">
            <v>160.18423000000001</v>
          </cell>
          <cell r="R68">
            <v>389.88378</v>
          </cell>
          <cell r="S68">
            <v>476.74619999999999</v>
          </cell>
          <cell r="T68">
            <v>363.08670000000001</v>
          </cell>
          <cell r="U68">
            <v>431.80430000000001</v>
          </cell>
          <cell r="V68">
            <v>174.74423999999999</v>
          </cell>
          <cell r="W68">
            <v>452.10419999999999</v>
          </cell>
          <cell r="X68">
            <v>127.17307</v>
          </cell>
          <cell r="Y68">
            <v>291.40564999999998</v>
          </cell>
        </row>
        <row r="69">
          <cell r="B69">
            <v>131011</v>
          </cell>
          <cell r="C69" t="str">
            <v>Working Capital</v>
          </cell>
          <cell r="D69" t="str">
            <v>JPMC - Concentration Deposit Cle</v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>
            <v>131011</v>
          </cell>
          <cell r="J69" t="str">
            <v/>
          </cell>
          <cell r="K69" t="str">
            <v/>
          </cell>
          <cell r="L69">
            <v>-554.26224999999999</v>
          </cell>
          <cell r="M69">
            <v>-569.02922999999998</v>
          </cell>
          <cell r="N69">
            <v>-473.95199000000002</v>
          </cell>
          <cell r="O69">
            <v>-376.21564999999998</v>
          </cell>
          <cell r="P69">
            <v>-443.90289000000001</v>
          </cell>
          <cell r="Q69">
            <v>-356.68128000000002</v>
          </cell>
          <cell r="R69">
            <v>117.16736</v>
          </cell>
          <cell r="S69">
            <v>632.82096000000001</v>
          </cell>
          <cell r="T69">
            <v>-57.945320000000002</v>
          </cell>
          <cell r="U69">
            <v>264.24698000000001</v>
          </cell>
          <cell r="V69">
            <v>220.3672</v>
          </cell>
          <cell r="W69">
            <v>62.799340000000001</v>
          </cell>
          <cell r="X69">
            <v>72.962220000000002</v>
          </cell>
          <cell r="Y69">
            <v>-101.747878</v>
          </cell>
        </row>
        <row r="70">
          <cell r="B70">
            <v>131013</v>
          </cell>
          <cell r="C70" t="str">
            <v>Working Capital</v>
          </cell>
          <cell r="D70" t="str">
            <v>JPMC - Concen.Wire/ACH C</v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>
            <v>131013</v>
          </cell>
          <cell r="J70" t="str">
            <v/>
          </cell>
          <cell r="K70" t="str">
            <v/>
          </cell>
          <cell r="L70">
            <v>3.8407399999999998</v>
          </cell>
          <cell r="M70">
            <v>2.09111</v>
          </cell>
          <cell r="N70">
            <v>0.93198000000000003</v>
          </cell>
          <cell r="O70">
            <v>6.9322800000000004</v>
          </cell>
          <cell r="P70">
            <v>31.52919</v>
          </cell>
          <cell r="Q70">
            <v>1.3656299999999999</v>
          </cell>
          <cell r="R70">
            <v>2.58833</v>
          </cell>
          <cell r="S70">
            <v>4.3520700000000003</v>
          </cell>
          <cell r="T70">
            <v>14.75394</v>
          </cell>
          <cell r="U70">
            <v>2.0882700000000001</v>
          </cell>
          <cell r="V70">
            <v>8.0778199999999991</v>
          </cell>
          <cell r="W70">
            <v>-2106.1638600000001</v>
          </cell>
          <cell r="X70">
            <v>-60.22954</v>
          </cell>
          <cell r="Y70">
            <v>-171.637303</v>
          </cell>
        </row>
        <row r="71">
          <cell r="B71">
            <v>131030</v>
          </cell>
          <cell r="C71" t="str">
            <v>Working Capital</v>
          </cell>
          <cell r="D71" t="str">
            <v>JPMC - EFT Receipts Account</v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>
            <v>131030</v>
          </cell>
          <cell r="J71" t="str">
            <v/>
          </cell>
          <cell r="K71" t="str">
            <v/>
          </cell>
          <cell r="L71">
            <v>40.70664</v>
          </cell>
          <cell r="M71">
            <v>190.03047000000001</v>
          </cell>
          <cell r="N71">
            <v>109.23808</v>
          </cell>
          <cell r="O71">
            <v>14.64213</v>
          </cell>
          <cell r="P71">
            <v>-0.98463000000000001</v>
          </cell>
          <cell r="Q71">
            <v>55.037289999999999</v>
          </cell>
          <cell r="R71">
            <v>7.5062699999999998</v>
          </cell>
          <cell r="S71">
            <v>11.930720000000001</v>
          </cell>
          <cell r="T71">
            <v>4.6591800000000001</v>
          </cell>
          <cell r="U71">
            <v>16.068719999999999</v>
          </cell>
          <cell r="V71">
            <v>47.722450000000002</v>
          </cell>
          <cell r="W71">
            <v>6.4797500000000001</v>
          </cell>
          <cell r="X71">
            <v>18.743749999999999</v>
          </cell>
          <cell r="Y71">
            <v>41.004635</v>
          </cell>
        </row>
        <row r="72">
          <cell r="B72">
            <v>131070</v>
          </cell>
          <cell r="C72" t="str">
            <v>Working Capital</v>
          </cell>
          <cell r="D72" t="str">
            <v>JPMC - NYC Revolver Checking</v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>
            <v>131070</v>
          </cell>
          <cell r="J72" t="str">
            <v/>
          </cell>
          <cell r="K72" t="str">
            <v/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B73">
            <v>131081</v>
          </cell>
          <cell r="C73" t="str">
            <v>Working Capital</v>
          </cell>
          <cell r="D73" t="str">
            <v>JPMC -Refund Checking Account</v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>
            <v>131081</v>
          </cell>
          <cell r="J73" t="str">
            <v/>
          </cell>
          <cell r="K73" t="str">
            <v/>
          </cell>
          <cell r="L73">
            <v>-493.06193000000002</v>
          </cell>
          <cell r="M73">
            <v>-921.71154000000001</v>
          </cell>
          <cell r="N73">
            <v>-764.55215999999996</v>
          </cell>
          <cell r="O73">
            <v>-585.83843999999999</v>
          </cell>
          <cell r="P73">
            <v>-517.01705000000004</v>
          </cell>
          <cell r="Q73">
            <v>-487.07172000000003</v>
          </cell>
          <cell r="R73">
            <v>-505.00662</v>
          </cell>
          <cell r="S73">
            <v>-502.12588</v>
          </cell>
          <cell r="T73">
            <v>-461.24862999999999</v>
          </cell>
          <cell r="U73">
            <v>-467.83310999999998</v>
          </cell>
          <cell r="V73">
            <v>-469.24261000000001</v>
          </cell>
          <cell r="W73">
            <v>-521.97580000000005</v>
          </cell>
          <cell r="X73">
            <v>-551.68101999999999</v>
          </cell>
          <cell r="Y73">
            <v>-560.49958600000002</v>
          </cell>
        </row>
        <row r="74">
          <cell r="B74">
            <v>131083</v>
          </cell>
          <cell r="C74" t="str">
            <v>Working Capital</v>
          </cell>
          <cell r="D74" t="str">
            <v>JPMC -P.Cash Transportation Checkin</v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>
            <v>131083</v>
          </cell>
          <cell r="J74" t="str">
            <v/>
          </cell>
          <cell r="K74" t="str">
            <v/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</row>
        <row r="75">
          <cell r="B75">
            <v>131086</v>
          </cell>
          <cell r="C75" t="str">
            <v>Working Capital</v>
          </cell>
          <cell r="D75" t="str">
            <v>JPMC - P.Cash Real Estate Ac</v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>
            <v>131086</v>
          </cell>
          <cell r="J75" t="str">
            <v/>
          </cell>
          <cell r="K75" t="str">
            <v/>
          </cell>
          <cell r="L75">
            <v>2</v>
          </cell>
          <cell r="M75">
            <v>2</v>
          </cell>
          <cell r="N75">
            <v>2</v>
          </cell>
          <cell r="O75">
            <v>2</v>
          </cell>
          <cell r="P75">
            <v>2</v>
          </cell>
          <cell r="Q75">
            <v>2</v>
          </cell>
          <cell r="R75">
            <v>2</v>
          </cell>
          <cell r="S75">
            <v>1.6212500000000001</v>
          </cell>
          <cell r="T75">
            <v>1.6212500000000001</v>
          </cell>
          <cell r="U75">
            <v>1.6212500000000001</v>
          </cell>
          <cell r="V75">
            <v>0</v>
          </cell>
          <cell r="W75">
            <v>0</v>
          </cell>
          <cell r="X75">
            <v>0</v>
          </cell>
          <cell r="Y75">
            <v>1.4886459999999999</v>
          </cell>
        </row>
        <row r="76">
          <cell r="B76">
            <v>131087</v>
          </cell>
          <cell r="C76" t="str">
            <v>Working Capital</v>
          </cell>
          <cell r="D76" t="str">
            <v>JPMC -GINNA REFUND CHECKING ACCOUNT</v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  <cell r="I76">
            <v>131087</v>
          </cell>
          <cell r="J76" t="str">
            <v/>
          </cell>
          <cell r="K76" t="str">
            <v/>
          </cell>
          <cell r="L76">
            <v>-798.99279999999999</v>
          </cell>
          <cell r="M76">
            <v>-798.99279999999999</v>
          </cell>
          <cell r="N76">
            <v>-798.99279999999999</v>
          </cell>
          <cell r="O76">
            <v>-798.99279999999999</v>
          </cell>
          <cell r="P76">
            <v>-798.99279999999999</v>
          </cell>
          <cell r="Q76">
            <v>-798.99279999999999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-366.20503300000001</v>
          </cell>
        </row>
        <row r="77">
          <cell r="B77">
            <v>131090</v>
          </cell>
          <cell r="C77" t="str">
            <v>Working Capital</v>
          </cell>
          <cell r="D77" t="str">
            <v>JPMC -Auto Bill Payment</v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>
            <v>131090</v>
          </cell>
          <cell r="J77" t="str">
            <v/>
          </cell>
          <cell r="K77" t="str">
            <v/>
          </cell>
          <cell r="L77">
            <v>-889.43863999999996</v>
          </cell>
          <cell r="M77">
            <v>379.91394000000003</v>
          </cell>
          <cell r="N77">
            <v>391.59352999999999</v>
          </cell>
          <cell r="O77">
            <v>0.76007999999999998</v>
          </cell>
          <cell r="P77">
            <v>5.7962100000000003</v>
          </cell>
          <cell r="Q77">
            <v>510.70853</v>
          </cell>
          <cell r="R77">
            <v>-0.12634999999999999</v>
          </cell>
          <cell r="S77">
            <v>5.35318</v>
          </cell>
          <cell r="T77">
            <v>0.1216</v>
          </cell>
          <cell r="U77">
            <v>-0.33478000000000002</v>
          </cell>
          <cell r="V77">
            <v>270.69236000000001</v>
          </cell>
          <cell r="W77">
            <v>-0.10443</v>
          </cell>
          <cell r="X77">
            <v>4.4436200000000001</v>
          </cell>
          <cell r="Y77">
            <v>93.489697000000007</v>
          </cell>
        </row>
        <row r="78">
          <cell r="B78">
            <v>131091</v>
          </cell>
          <cell r="C78" t="str">
            <v>Working Capital</v>
          </cell>
          <cell r="D78" t="str">
            <v>JPMC -Damage Claim Acc</v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>
            <v>131091</v>
          </cell>
          <cell r="J78" t="str">
            <v/>
          </cell>
          <cell r="K78" t="str">
            <v/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79">
          <cell r="B79">
            <v>131131</v>
          </cell>
          <cell r="C79" t="str">
            <v>Working Capital</v>
          </cell>
          <cell r="D79" t="str">
            <v>Fleet - Remittance Account</v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>
            <v>131131</v>
          </cell>
          <cell r="J79" t="str">
            <v/>
          </cell>
          <cell r="K79" t="str">
            <v/>
          </cell>
          <cell r="L79">
            <v>2918.9909899999998</v>
          </cell>
          <cell r="M79">
            <v>6536.2425999999996</v>
          </cell>
          <cell r="N79">
            <v>6302.0103799999997</v>
          </cell>
          <cell r="O79">
            <v>3070.4315900000001</v>
          </cell>
          <cell r="P79">
            <v>5151.6943499999998</v>
          </cell>
          <cell r="Q79">
            <v>6421.6150699999998</v>
          </cell>
          <cell r="R79">
            <v>4041.1941099999999</v>
          </cell>
          <cell r="S79">
            <v>5901.5925800000005</v>
          </cell>
          <cell r="T79">
            <v>324.32177999999999</v>
          </cell>
          <cell r="U79">
            <v>2377.1995200000001</v>
          </cell>
          <cell r="V79">
            <v>4748.4394300000004</v>
          </cell>
          <cell r="W79">
            <v>2146.8881500000002</v>
          </cell>
          <cell r="X79">
            <v>3219.37201</v>
          </cell>
          <cell r="Y79">
            <v>4174.2342550000003</v>
          </cell>
        </row>
        <row r="80">
          <cell r="B80">
            <v>131132</v>
          </cell>
          <cell r="C80" t="str">
            <v>Working Capital</v>
          </cell>
          <cell r="D80" t="str">
            <v>Fleet - Petty Cash Ginna Chec</v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>
            <v>131132</v>
          </cell>
          <cell r="J80" t="str">
            <v/>
          </cell>
          <cell r="K80" t="str">
            <v/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B81">
            <v>131162</v>
          </cell>
          <cell r="C81" t="str">
            <v>Working Capital</v>
          </cell>
          <cell r="D81" t="str">
            <v>Fleet - Comon Stock Dividend Checki</v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>
            <v>131162</v>
          </cell>
          <cell r="J81" t="str">
            <v/>
          </cell>
          <cell r="K81" t="str">
            <v/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B82">
            <v>131400</v>
          </cell>
          <cell r="C82" t="str">
            <v>Working Capital</v>
          </cell>
          <cell r="D82" t="str">
            <v>BoNY- Disbursement Acco</v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>
            <v>131400</v>
          </cell>
          <cell r="J82" t="str">
            <v/>
          </cell>
          <cell r="K82" t="str">
            <v/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</row>
        <row r="83">
          <cell r="B83">
            <v>131405</v>
          </cell>
          <cell r="C83" t="str">
            <v>Working Capital</v>
          </cell>
          <cell r="D83" t="str">
            <v>Deutsche Bk - Trustee Disb</v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>
            <v>131405</v>
          </cell>
          <cell r="J83" t="str">
            <v/>
          </cell>
          <cell r="K83" t="str">
            <v/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</row>
        <row r="84">
          <cell r="B84">
            <v>131500</v>
          </cell>
          <cell r="C84" t="str">
            <v>Working Capital</v>
          </cell>
          <cell r="D84" t="str">
            <v>Key Bk - Depository Acc</v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>
            <v>131500</v>
          </cell>
          <cell r="J84" t="str">
            <v/>
          </cell>
          <cell r="K84" t="str">
            <v/>
          </cell>
          <cell r="L84">
            <v>21.538499999999999</v>
          </cell>
          <cell r="M84">
            <v>52.023589999999999</v>
          </cell>
          <cell r="N84">
            <v>37.720100000000002</v>
          </cell>
          <cell r="O84">
            <v>43.80153</v>
          </cell>
          <cell r="P84">
            <v>253.44757000000001</v>
          </cell>
          <cell r="Q84">
            <v>460.34607999999997</v>
          </cell>
          <cell r="R84">
            <v>210.60729000000001</v>
          </cell>
          <cell r="S84">
            <v>28.674630000000001</v>
          </cell>
          <cell r="T84">
            <v>189.35168999999999</v>
          </cell>
          <cell r="U84">
            <v>323.58656999999999</v>
          </cell>
          <cell r="V84">
            <v>23.20646</v>
          </cell>
          <cell r="W84">
            <v>0</v>
          </cell>
          <cell r="X84">
            <v>0</v>
          </cell>
          <cell r="Y84">
            <v>136.12789699999999</v>
          </cell>
        </row>
        <row r="85">
          <cell r="B85">
            <v>131510</v>
          </cell>
          <cell r="C85" t="str">
            <v>Working Capital</v>
          </cell>
          <cell r="D85" t="str">
            <v>CENTURY - DEPOSITORY ACCOUNT</v>
          </cell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>
            <v>131510</v>
          </cell>
          <cell r="J85" t="str">
            <v/>
          </cell>
          <cell r="K85" t="str">
            <v/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</row>
        <row r="86">
          <cell r="B86">
            <v>131562</v>
          </cell>
          <cell r="C86" t="str">
            <v>Working Capital</v>
          </cell>
          <cell r="D86" t="str">
            <v>NB of Savannah - Depository Ac</v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>
            <v>131562</v>
          </cell>
          <cell r="J86" t="str">
            <v/>
          </cell>
          <cell r="K86" t="str">
            <v/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B87">
            <v>131605</v>
          </cell>
          <cell r="C87" t="str">
            <v>Working Capital</v>
          </cell>
          <cell r="D87" t="str">
            <v>Wyoming County Bank - Depository Account</v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>
            <v>131605</v>
          </cell>
          <cell r="J87" t="str">
            <v/>
          </cell>
          <cell r="K87" t="str">
            <v/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B88">
            <v>131620</v>
          </cell>
          <cell r="C88" t="str">
            <v>Working Capital</v>
          </cell>
          <cell r="D88" t="str">
            <v>Community Bk -Depository A</v>
          </cell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>
            <v>131620</v>
          </cell>
          <cell r="J88" t="str">
            <v/>
          </cell>
          <cell r="K88" t="str">
            <v/>
          </cell>
          <cell r="L88">
            <v>14.170970000000001</v>
          </cell>
          <cell r="M88">
            <v>20.974150000000002</v>
          </cell>
          <cell r="N88">
            <v>20.58709</v>
          </cell>
          <cell r="O88">
            <v>15.65945</v>
          </cell>
          <cell r="P88">
            <v>154.09962999999999</v>
          </cell>
          <cell r="Q88">
            <v>296.98012999999997</v>
          </cell>
          <cell r="R88">
            <v>169.06216000000001</v>
          </cell>
          <cell r="S88">
            <v>22.856100000000001</v>
          </cell>
          <cell r="T88">
            <v>177.30582000000001</v>
          </cell>
          <cell r="U88">
            <v>360.02048000000002</v>
          </cell>
          <cell r="V88">
            <v>50.478490000000001</v>
          </cell>
          <cell r="W88">
            <v>73.20693</v>
          </cell>
          <cell r="X88">
            <v>375.29516000000001</v>
          </cell>
          <cell r="Y88">
            <v>129.663625</v>
          </cell>
        </row>
        <row r="89">
          <cell r="B89">
            <v>131625</v>
          </cell>
          <cell r="C89" t="str">
            <v>Working Capital</v>
          </cell>
          <cell r="D89" t="str">
            <v>HSBC - Depository Acco</v>
          </cell>
          <cell r="E89" t="str">
            <v/>
          </cell>
          <cell r="F89" t="str">
            <v/>
          </cell>
          <cell r="G89" t="str">
            <v/>
          </cell>
          <cell r="H89" t="str">
            <v/>
          </cell>
          <cell r="I89">
            <v>131625</v>
          </cell>
          <cell r="J89" t="str">
            <v/>
          </cell>
          <cell r="K89" t="str">
            <v/>
          </cell>
          <cell r="L89">
            <v>586.66525000000001</v>
          </cell>
          <cell r="M89">
            <v>1498.1119200000001</v>
          </cell>
          <cell r="N89">
            <v>2063.6180300000001</v>
          </cell>
          <cell r="O89">
            <v>848.78339000000005</v>
          </cell>
          <cell r="P89">
            <v>1233.0187699999999</v>
          </cell>
          <cell r="Q89">
            <v>713.80767000000003</v>
          </cell>
          <cell r="R89">
            <v>142.90574000000001</v>
          </cell>
          <cell r="S89">
            <v>368.94492000000002</v>
          </cell>
          <cell r="T89">
            <v>96.792029999999997</v>
          </cell>
          <cell r="U89">
            <v>99.156530000000004</v>
          </cell>
          <cell r="V89">
            <v>174.68418</v>
          </cell>
          <cell r="W89">
            <v>578.61032</v>
          </cell>
          <cell r="X89">
            <v>384.19913000000003</v>
          </cell>
          <cell r="Y89">
            <v>691.98880799999995</v>
          </cell>
        </row>
        <row r="90">
          <cell r="B90">
            <v>131641</v>
          </cell>
          <cell r="C90" t="str">
            <v>Working Capital</v>
          </cell>
          <cell r="D90" t="str">
            <v>CONTRA CASH TO 134481 SPECIAL DEPOSITS</v>
          </cell>
          <cell r="E90" t="str">
            <v/>
          </cell>
          <cell r="F90" t="str">
            <v/>
          </cell>
          <cell r="G90" t="str">
            <v/>
          </cell>
          <cell r="H90" t="str">
            <v/>
          </cell>
          <cell r="I90">
            <v>131641</v>
          </cell>
          <cell r="J90" t="str">
            <v/>
          </cell>
          <cell r="K90" t="str">
            <v/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B91">
            <v>131782</v>
          </cell>
          <cell r="C91" t="str">
            <v>Working Capital</v>
          </cell>
          <cell r="D91" t="str">
            <v>JPMC - CCS REFUND CHECKING ACCOUNT-CLEARING</v>
          </cell>
          <cell r="E91" t="str">
            <v/>
          </cell>
          <cell r="F91" t="str">
            <v/>
          </cell>
          <cell r="G91" t="str">
            <v/>
          </cell>
          <cell r="H91" t="str">
            <v/>
          </cell>
          <cell r="I91">
            <v>131782</v>
          </cell>
          <cell r="J91" t="str">
            <v/>
          </cell>
          <cell r="K91" t="str">
            <v/>
          </cell>
          <cell r="L91">
            <v>-99.395859999999999</v>
          </cell>
          <cell r="M91">
            <v>-93.886529999999993</v>
          </cell>
          <cell r="N91">
            <v>-118.29841</v>
          </cell>
          <cell r="O91">
            <v>-118.57743000000001</v>
          </cell>
          <cell r="P91">
            <v>-115.36133</v>
          </cell>
          <cell r="Q91">
            <v>-89.631479999999996</v>
          </cell>
          <cell r="R91">
            <v>-115.18167</v>
          </cell>
          <cell r="S91">
            <v>-120.00979</v>
          </cell>
          <cell r="T91">
            <v>-118.59228</v>
          </cell>
          <cell r="U91">
            <v>-119.25913</v>
          </cell>
          <cell r="V91">
            <v>-114.01531</v>
          </cell>
          <cell r="W91">
            <v>-114.07187999999999</v>
          </cell>
          <cell r="X91">
            <v>-124.64154000000001</v>
          </cell>
          <cell r="Y91">
            <v>-112.40866200000001</v>
          </cell>
        </row>
        <row r="92">
          <cell r="B92">
            <v>131990</v>
          </cell>
          <cell r="C92" t="str">
            <v>Working Capital</v>
          </cell>
          <cell r="D92" t="str">
            <v>RECLASS - CASH (WITH ACCOUNT 131991)</v>
          </cell>
          <cell r="E92" t="str">
            <v/>
          </cell>
          <cell r="F92" t="str">
            <v/>
          </cell>
          <cell r="G92" t="str">
            <v/>
          </cell>
          <cell r="H92" t="str">
            <v/>
          </cell>
          <cell r="I92">
            <v>131990</v>
          </cell>
          <cell r="J92" t="str">
            <v/>
          </cell>
          <cell r="K92" t="str">
            <v/>
          </cell>
          <cell r="L92">
            <v>3489.4826800000001</v>
          </cell>
          <cell r="M92">
            <v>10622.2399</v>
          </cell>
          <cell r="N92">
            <v>6288.0901400000002</v>
          </cell>
          <cell r="O92">
            <v>4125.04061</v>
          </cell>
          <cell r="P92">
            <v>2421.14939</v>
          </cell>
          <cell r="Q92">
            <v>1577.7589499999999</v>
          </cell>
          <cell r="R92">
            <v>778.90111000000002</v>
          </cell>
          <cell r="S92">
            <v>28846.977889999998</v>
          </cell>
          <cell r="T92">
            <v>690.24924999999996</v>
          </cell>
          <cell r="U92">
            <v>5181.9831000000004</v>
          </cell>
          <cell r="V92">
            <v>6941.8982999999998</v>
          </cell>
          <cell r="W92">
            <v>2410.7998899999998</v>
          </cell>
          <cell r="X92">
            <v>5506.6880199999996</v>
          </cell>
          <cell r="Y92">
            <v>6198.5978230000001</v>
          </cell>
        </row>
        <row r="93">
          <cell r="B93">
            <v>131991</v>
          </cell>
          <cell r="C93" t="str">
            <v>Working Capital</v>
          </cell>
          <cell r="D93" t="str">
            <v>RECLASS - CASH (WITH ACCOUNT 131990)</v>
          </cell>
          <cell r="E93" t="str">
            <v/>
          </cell>
          <cell r="F93" t="str">
            <v/>
          </cell>
          <cell r="G93" t="str">
            <v/>
          </cell>
          <cell r="H93" t="str">
            <v/>
          </cell>
          <cell r="I93">
            <v>131991</v>
          </cell>
          <cell r="J93" t="str">
            <v/>
          </cell>
          <cell r="K93" t="str">
            <v/>
          </cell>
          <cell r="L93">
            <v>-3489.4826800000001</v>
          </cell>
          <cell r="M93">
            <v>-10622.2399</v>
          </cell>
          <cell r="N93">
            <v>-6288.0901400000002</v>
          </cell>
          <cell r="O93">
            <v>-4125.04061</v>
          </cell>
          <cell r="P93">
            <v>-2421.14939</v>
          </cell>
          <cell r="Q93">
            <v>-1577.7589499999999</v>
          </cell>
          <cell r="R93">
            <v>-778.90111000000002</v>
          </cell>
          <cell r="S93">
            <v>-28846.977889999998</v>
          </cell>
          <cell r="T93">
            <v>-690.24924999999996</v>
          </cell>
          <cell r="U93">
            <v>-5181.9831000000004</v>
          </cell>
          <cell r="V93">
            <v>-6941.8982999999998</v>
          </cell>
          <cell r="W93">
            <v>-2410.7998899999998</v>
          </cell>
          <cell r="X93">
            <v>-5506.6880199999996</v>
          </cell>
          <cell r="Y93">
            <v>-6198.5978230000001</v>
          </cell>
        </row>
        <row r="94">
          <cell r="B94">
            <v>134300</v>
          </cell>
          <cell r="C94" t="str">
            <v>Working Capital</v>
          </cell>
          <cell r="D94" t="str">
            <v>OTHER SPECIAL DEPOSITS - BANKERS TRUST</v>
          </cell>
          <cell r="E94" t="str">
            <v/>
          </cell>
          <cell r="F94" t="str">
            <v/>
          </cell>
          <cell r="G94" t="str">
            <v/>
          </cell>
          <cell r="H94" t="str">
            <v/>
          </cell>
          <cell r="I94">
            <v>134300</v>
          </cell>
          <cell r="J94" t="str">
            <v/>
          </cell>
          <cell r="K94" t="str">
            <v/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</row>
        <row r="95">
          <cell r="B95">
            <v>134481</v>
          </cell>
          <cell r="C95" t="str">
            <v>Working Capital</v>
          </cell>
          <cell r="D95" t="str">
            <v>OTH SPEC DEP -HESS COLLATERAL</v>
          </cell>
          <cell r="E95" t="str">
            <v/>
          </cell>
          <cell r="F95" t="str">
            <v/>
          </cell>
          <cell r="G95" t="str">
            <v/>
          </cell>
          <cell r="H95" t="str">
            <v/>
          </cell>
          <cell r="I95">
            <v>134481</v>
          </cell>
          <cell r="J95" t="str">
            <v/>
          </cell>
          <cell r="K95" t="str">
            <v/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</row>
        <row r="96">
          <cell r="B96">
            <v>135000</v>
          </cell>
          <cell r="C96" t="str">
            <v>Working Capital</v>
          </cell>
          <cell r="D96" t="str">
            <v>WORKING FUNDS - REGULAR</v>
          </cell>
          <cell r="E96" t="str">
            <v/>
          </cell>
          <cell r="F96" t="str">
            <v/>
          </cell>
          <cell r="G96" t="str">
            <v/>
          </cell>
          <cell r="H96" t="str">
            <v/>
          </cell>
          <cell r="I96">
            <v>135000</v>
          </cell>
          <cell r="J96" t="str">
            <v/>
          </cell>
          <cell r="K96" t="str">
            <v/>
          </cell>
          <cell r="L96">
            <v>16.149999999999999</v>
          </cell>
          <cell r="M96">
            <v>16.149999999999999</v>
          </cell>
          <cell r="N96">
            <v>16.149999999999999</v>
          </cell>
          <cell r="O96">
            <v>16.149999999999999</v>
          </cell>
          <cell r="P96">
            <v>16.149999999999999</v>
          </cell>
          <cell r="Q96">
            <v>16.149999999999999</v>
          </cell>
          <cell r="R96">
            <v>16.149999999999999</v>
          </cell>
          <cell r="S96">
            <v>16.149999999999999</v>
          </cell>
          <cell r="T96">
            <v>15.95</v>
          </cell>
          <cell r="U96">
            <v>16.149999999999999</v>
          </cell>
          <cell r="V96">
            <v>16.149999999999999</v>
          </cell>
          <cell r="W96">
            <v>16.149999999999999</v>
          </cell>
          <cell r="X96">
            <v>16.149999999999999</v>
          </cell>
          <cell r="Y96">
            <v>16.133333</v>
          </cell>
        </row>
        <row r="97">
          <cell r="B97">
            <v>135011</v>
          </cell>
          <cell r="C97" t="str">
            <v>Working Capital</v>
          </cell>
          <cell r="D97" t="str">
            <v>WORKING FUNDS - BEGINNING BALANCE</v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>
            <v>135011</v>
          </cell>
          <cell r="J97" t="str">
            <v/>
          </cell>
          <cell r="K97" t="str">
            <v/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</row>
        <row r="98">
          <cell r="B98">
            <v>135200</v>
          </cell>
          <cell r="C98" t="str">
            <v>Working Capital</v>
          </cell>
          <cell r="D98" t="str">
            <v>WORKING FUNDS - NINE MILE # 2</v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  <cell r="I98">
            <v>135200</v>
          </cell>
          <cell r="J98" t="str">
            <v/>
          </cell>
          <cell r="K98" t="str">
            <v/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</row>
        <row r="99">
          <cell r="B99">
            <v>135500</v>
          </cell>
          <cell r="C99" t="str">
            <v>Working Capital</v>
          </cell>
          <cell r="D99" t="str">
            <v>WORKING FUNDS - NY ISO</v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  <cell r="I99">
            <v>135500</v>
          </cell>
          <cell r="J99" t="str">
            <v/>
          </cell>
          <cell r="K99" t="str">
            <v/>
          </cell>
          <cell r="L99">
            <v>402.70398999999998</v>
          </cell>
          <cell r="M99">
            <v>372.31220000000002</v>
          </cell>
          <cell r="N99">
            <v>372.32965999999999</v>
          </cell>
          <cell r="O99">
            <v>372.34539999999998</v>
          </cell>
          <cell r="P99">
            <v>372.35786000000002</v>
          </cell>
          <cell r="Q99">
            <v>372.37209000000001</v>
          </cell>
          <cell r="R99">
            <v>372.38643999999999</v>
          </cell>
          <cell r="S99">
            <v>372.40375</v>
          </cell>
          <cell r="T99">
            <v>372.43056000000001</v>
          </cell>
          <cell r="U99">
            <v>372.44778000000002</v>
          </cell>
          <cell r="V99">
            <v>372.46683000000002</v>
          </cell>
          <cell r="W99">
            <v>264.73487999999998</v>
          </cell>
          <cell r="X99">
            <v>264.75358999999997</v>
          </cell>
          <cell r="Y99">
            <v>360.19301999999999</v>
          </cell>
        </row>
        <row r="100">
          <cell r="B100">
            <v>136000</v>
          </cell>
          <cell r="C100" t="str">
            <v>Not in RTBS</v>
          </cell>
          <cell r="D100" t="str">
            <v>TEMPORARY CASH INVESTMENTS-UNDER 90 DAYS</v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  <cell r="J100">
            <v>136000</v>
          </cell>
          <cell r="K100" t="str">
            <v/>
          </cell>
          <cell r="L100">
            <v>34900.000999999997</v>
          </cell>
          <cell r="M100">
            <v>23340.001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74000</v>
          </cell>
          <cell r="T100">
            <v>59597.854169999999</v>
          </cell>
          <cell r="U100">
            <v>26998.670849999999</v>
          </cell>
          <cell r="V100">
            <v>30600.748609999999</v>
          </cell>
          <cell r="W100">
            <v>49347.664420000001</v>
          </cell>
          <cell r="X100">
            <v>37192.359669999998</v>
          </cell>
          <cell r="Y100">
            <v>24994.259948999999</v>
          </cell>
        </row>
        <row r="101">
          <cell r="B101">
            <v>136990</v>
          </cell>
          <cell r="C101" t="str">
            <v>Not in RTBS</v>
          </cell>
          <cell r="D101" t="str">
            <v>AUCTION RATE SECURITIES RECLASS</v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  <cell r="I101" t="str">
            <v/>
          </cell>
          <cell r="J101">
            <v>136990</v>
          </cell>
          <cell r="K101" t="str">
            <v/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</row>
        <row r="102">
          <cell r="B102">
            <v>136991</v>
          </cell>
          <cell r="C102" t="str">
            <v>Not in RTBS</v>
          </cell>
          <cell r="D102" t="str">
            <v>AUCTION RATE SECURITIES RECLASS (DEBIT)</v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  <cell r="I102" t="str">
            <v/>
          </cell>
          <cell r="J102">
            <v>136991</v>
          </cell>
          <cell r="K102" t="str">
            <v/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B103">
            <v>136992</v>
          </cell>
          <cell r="C103" t="str">
            <v>Not in RTBS</v>
          </cell>
          <cell r="D103" t="str">
            <v>RECLASS TCI TO MARKETABLE SECURITIES (WITH 224992</v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  <cell r="I103" t="str">
            <v/>
          </cell>
          <cell r="J103">
            <v>136992</v>
          </cell>
          <cell r="K103" t="str">
            <v/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B104">
            <v>142010</v>
          </cell>
          <cell r="C104" t="str">
            <v>Working Capital</v>
          </cell>
          <cell r="D104" t="str">
            <v>A/R - CUSTOMER (CCS)</v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I104">
            <v>142010</v>
          </cell>
          <cell r="J104" t="str">
            <v/>
          </cell>
          <cell r="K104" t="str">
            <v/>
          </cell>
          <cell r="L104">
            <v>115485.62153999999</v>
          </cell>
          <cell r="M104">
            <v>143885.51655999999</v>
          </cell>
          <cell r="N104">
            <v>158517.91485999999</v>
          </cell>
          <cell r="O104">
            <v>142929.63524</v>
          </cell>
          <cell r="P104">
            <v>141510.03604000001</v>
          </cell>
          <cell r="Q104">
            <v>129767.91731999999</v>
          </cell>
          <cell r="R104">
            <v>124032.87317000001</v>
          </cell>
          <cell r="S104">
            <v>127160.91176</v>
          </cell>
          <cell r="T104">
            <v>122607.38948</v>
          </cell>
          <cell r="U104">
            <v>117453.90579</v>
          </cell>
          <cell r="V104">
            <v>108784.82798</v>
          </cell>
          <cell r="W104">
            <v>108440.14056</v>
          </cell>
          <cell r="X104">
            <v>114610.43973</v>
          </cell>
          <cell r="Y104">
            <v>128344.92495</v>
          </cell>
        </row>
        <row r="105">
          <cell r="B105">
            <v>142100</v>
          </cell>
          <cell r="C105" t="str">
            <v>Working Capital</v>
          </cell>
          <cell r="D105" t="str">
            <v>CUSTOMER A/R - REGULAR</v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  <cell r="I105">
            <v>142100</v>
          </cell>
          <cell r="J105" t="str">
            <v/>
          </cell>
          <cell r="K105" t="str">
            <v/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</row>
        <row r="106">
          <cell r="B106">
            <v>142110</v>
          </cell>
          <cell r="C106" t="str">
            <v>Working Capital</v>
          </cell>
          <cell r="D106" t="str">
            <v>CUSTOMER A/R - BUDGET PAY'T ACCTING ADJS</v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  <cell r="I106">
            <v>142110</v>
          </cell>
          <cell r="J106" t="str">
            <v/>
          </cell>
          <cell r="K106" t="str">
            <v/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</row>
        <row r="107">
          <cell r="B107">
            <v>142120</v>
          </cell>
          <cell r="C107" t="str">
            <v>Working Capital</v>
          </cell>
          <cell r="D107" t="str">
            <v>CUSTOMER A/R - CUSTOMER DEPOSITS BILLED</v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>
            <v>142120</v>
          </cell>
          <cell r="J107" t="str">
            <v/>
          </cell>
          <cell r="K107" t="str">
            <v/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B108">
            <v>142190</v>
          </cell>
          <cell r="C108" t="str">
            <v>Working Capital</v>
          </cell>
          <cell r="D108" t="str">
            <v>CUSTOMER A/R -UNAPPLIED CASH RECEIPTS</v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  <cell r="I108">
            <v>142190</v>
          </cell>
          <cell r="J108" t="str">
            <v/>
          </cell>
          <cell r="K108" t="str">
            <v/>
          </cell>
          <cell r="L108">
            <v>-784.87606000000005</v>
          </cell>
          <cell r="M108">
            <v>-113.16370999999999</v>
          </cell>
          <cell r="N108">
            <v>19.399470000000001</v>
          </cell>
          <cell r="O108">
            <v>9.2886900000000008</v>
          </cell>
          <cell r="P108">
            <v>52.326039999999999</v>
          </cell>
          <cell r="Q108">
            <v>25.792490000000001</v>
          </cell>
          <cell r="R108">
            <v>-32.042720000000003</v>
          </cell>
          <cell r="S108">
            <v>5.6686300000000003</v>
          </cell>
          <cell r="T108">
            <v>0.23182</v>
          </cell>
          <cell r="U108">
            <v>10.69257</v>
          </cell>
          <cell r="V108">
            <v>73.717770000000002</v>
          </cell>
          <cell r="W108">
            <v>57.106830000000002</v>
          </cell>
          <cell r="X108">
            <v>-251.29626999999999</v>
          </cell>
          <cell r="Y108">
            <v>-34.089024000000002</v>
          </cell>
        </row>
        <row r="109">
          <cell r="B109">
            <v>142200</v>
          </cell>
          <cell r="C109" t="str">
            <v>Working Capital</v>
          </cell>
          <cell r="D109" t="str">
            <v>CUSTOMER A/R - MISCELLANEOUS</v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  <cell r="I109">
            <v>142200</v>
          </cell>
          <cell r="J109" t="str">
            <v/>
          </cell>
          <cell r="K109" t="str">
            <v/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B110">
            <v>142220</v>
          </cell>
          <cell r="C110" t="str">
            <v>Working Capital</v>
          </cell>
          <cell r="D110" t="str">
            <v>CUSTOMER A/R -GAS OFF SYSTEM</v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  <cell r="I110">
            <v>142220</v>
          </cell>
          <cell r="J110" t="str">
            <v/>
          </cell>
          <cell r="K110" t="str">
            <v/>
          </cell>
          <cell r="L110">
            <v>1430.0201</v>
          </cell>
          <cell r="M110">
            <v>288.65800000000002</v>
          </cell>
          <cell r="N110">
            <v>221.06988999999999</v>
          </cell>
          <cell r="O110">
            <v>301.19499999999999</v>
          </cell>
          <cell r="P110">
            <v>0</v>
          </cell>
          <cell r="Q110">
            <v>409.07589999999999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16.55</v>
          </cell>
          <cell r="X110">
            <v>0</v>
          </cell>
          <cell r="Y110">
            <v>162.62990300000001</v>
          </cell>
        </row>
        <row r="111">
          <cell r="B111">
            <v>142240</v>
          </cell>
          <cell r="C111" t="str">
            <v>Working Capital</v>
          </cell>
          <cell r="D111" t="str">
            <v>CUSTOMER A/R -OTH</v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  <cell r="I111">
            <v>142240</v>
          </cell>
          <cell r="J111" t="str">
            <v/>
          </cell>
          <cell r="K111" t="str">
            <v/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</row>
        <row r="112">
          <cell r="B112">
            <v>142250</v>
          </cell>
          <cell r="C112" t="str">
            <v>Working Capital</v>
          </cell>
          <cell r="D112" t="str">
            <v>CUSTOMER A/R -3RD PARTY PROVIDERS</v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  <cell r="I112">
            <v>142250</v>
          </cell>
          <cell r="J112" t="str">
            <v/>
          </cell>
          <cell r="K112" t="str">
            <v/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</row>
        <row r="113">
          <cell r="B113">
            <v>142300</v>
          </cell>
          <cell r="C113" t="str">
            <v>Working Capital</v>
          </cell>
          <cell r="D113" t="str">
            <v>CUSTOMER A/R - WHOLESALE TO OTH ELEC UTILITIES</v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  <cell r="I113">
            <v>142300</v>
          </cell>
          <cell r="J113" t="str">
            <v/>
          </cell>
          <cell r="K113" t="str">
            <v/>
          </cell>
          <cell r="L113">
            <v>15126.176020000001</v>
          </cell>
          <cell r="M113">
            <v>13318.24798</v>
          </cell>
          <cell r="N113">
            <v>10230.0699</v>
          </cell>
          <cell r="O113">
            <v>11033.07206</v>
          </cell>
          <cell r="P113">
            <v>9276.4927900000002</v>
          </cell>
          <cell r="Q113">
            <v>1068.5054399999999</v>
          </cell>
          <cell r="R113">
            <v>5988.7637299999997</v>
          </cell>
          <cell r="S113">
            <v>10871.397000000001</v>
          </cell>
          <cell r="T113">
            <v>8281.5526399999999</v>
          </cell>
          <cell r="U113">
            <v>15029.23207</v>
          </cell>
          <cell r="V113">
            <v>6742.99712</v>
          </cell>
          <cell r="W113">
            <v>4938.2122499999996</v>
          </cell>
          <cell r="X113">
            <v>2280.7758699999999</v>
          </cell>
          <cell r="Y113">
            <v>8790.1682440000004</v>
          </cell>
        </row>
        <row r="114">
          <cell r="B114">
            <v>142400</v>
          </cell>
          <cell r="C114" t="str">
            <v>Working Capital</v>
          </cell>
          <cell r="D114" t="str">
            <v>CUSTOMER A/R - PURCHASED GAS</v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>
            <v>142400</v>
          </cell>
          <cell r="J114" t="str">
            <v/>
          </cell>
          <cell r="K114" t="str">
            <v/>
          </cell>
          <cell r="L114">
            <v>0</v>
          </cell>
          <cell r="M114">
            <v>0</v>
          </cell>
          <cell r="N114">
            <v>3.9295100000000001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2.614E-2</v>
          </cell>
          <cell r="W114">
            <v>0</v>
          </cell>
          <cell r="X114">
            <v>0</v>
          </cell>
          <cell r="Y114">
            <v>0.32963799999999999</v>
          </cell>
        </row>
        <row r="115">
          <cell r="B115">
            <v>142500</v>
          </cell>
          <cell r="C115" t="str">
            <v>Working Capital</v>
          </cell>
          <cell r="D115" t="str">
            <v>CUSTOMER A/R-REMITTANCE CONTROL</v>
          </cell>
          <cell r="E115" t="str">
            <v/>
          </cell>
          <cell r="F115" t="str">
            <v/>
          </cell>
          <cell r="G115" t="str">
            <v/>
          </cell>
          <cell r="H115" t="str">
            <v/>
          </cell>
          <cell r="I115">
            <v>142500</v>
          </cell>
          <cell r="J115" t="str">
            <v/>
          </cell>
          <cell r="K115" t="str">
            <v/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10.929169999999999</v>
          </cell>
          <cell r="W115">
            <v>-2.05307</v>
          </cell>
          <cell r="X115">
            <v>0.10310999999999999</v>
          </cell>
          <cell r="Y115">
            <v>0.74397100000000005</v>
          </cell>
        </row>
        <row r="116">
          <cell r="B116">
            <v>142505</v>
          </cell>
          <cell r="C116" t="str">
            <v>Working Capital</v>
          </cell>
          <cell r="D116" t="str">
            <v>WMS/SD CASH CLEARING</v>
          </cell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  <cell r="I116">
            <v>142505</v>
          </cell>
          <cell r="J116" t="str">
            <v/>
          </cell>
          <cell r="K116" t="str">
            <v/>
          </cell>
          <cell r="L116">
            <v>0</v>
          </cell>
          <cell r="M116">
            <v>0</v>
          </cell>
          <cell r="N116">
            <v>0.31340000000000001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-0.21726000000000001</v>
          </cell>
          <cell r="V116">
            <v>0</v>
          </cell>
          <cell r="W116">
            <v>-0.36199999999999999</v>
          </cell>
          <cell r="X116">
            <v>0.05</v>
          </cell>
          <cell r="Y116">
            <v>-2.0072E-2</v>
          </cell>
        </row>
        <row r="117">
          <cell r="B117">
            <v>142515</v>
          </cell>
          <cell r="C117" t="str">
            <v>Working Capital</v>
          </cell>
          <cell r="D117" t="str">
            <v>DSS/HEAP PAYMENT CLEARING</v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  <cell r="I117">
            <v>142515</v>
          </cell>
          <cell r="J117" t="str">
            <v/>
          </cell>
          <cell r="K117" t="str">
            <v/>
          </cell>
          <cell r="L117">
            <v>1213.8524199999999</v>
          </cell>
          <cell r="M117">
            <v>1735.3289299999999</v>
          </cell>
          <cell r="N117">
            <v>1878.91254</v>
          </cell>
          <cell r="O117">
            <v>2795.6252500000001</v>
          </cell>
          <cell r="P117">
            <v>3383.8748599999999</v>
          </cell>
          <cell r="Q117">
            <v>2540.2029900000002</v>
          </cell>
          <cell r="R117">
            <v>1309.87787</v>
          </cell>
          <cell r="S117">
            <v>1236.9119000000001</v>
          </cell>
          <cell r="T117">
            <v>1146.8379</v>
          </cell>
          <cell r="U117">
            <v>759.96579999999994</v>
          </cell>
          <cell r="V117">
            <v>629.73218999999995</v>
          </cell>
          <cell r="W117">
            <v>907.92652999999996</v>
          </cell>
          <cell r="X117">
            <v>677.33142999999995</v>
          </cell>
          <cell r="Y117">
            <v>1605.8990570000001</v>
          </cell>
        </row>
        <row r="118">
          <cell r="B118">
            <v>142520</v>
          </cell>
          <cell r="C118" t="str">
            <v>Working Capital</v>
          </cell>
          <cell r="D118" t="str">
            <v>CCS CHANGE DRAWER CLEARING CONTROL</v>
          </cell>
          <cell r="E118" t="str">
            <v/>
          </cell>
          <cell r="F118" t="str">
            <v/>
          </cell>
          <cell r="G118" t="str">
            <v/>
          </cell>
          <cell r="H118" t="str">
            <v/>
          </cell>
          <cell r="I118">
            <v>142520</v>
          </cell>
          <cell r="J118" t="str">
            <v/>
          </cell>
          <cell r="K118" t="str">
            <v/>
          </cell>
          <cell r="L118">
            <v>5.6</v>
          </cell>
          <cell r="M118">
            <v>5.6</v>
          </cell>
          <cell r="N118">
            <v>5.6</v>
          </cell>
          <cell r="O118">
            <v>5.6</v>
          </cell>
          <cell r="P118">
            <v>5.6</v>
          </cell>
          <cell r="Q118">
            <v>5.6</v>
          </cell>
          <cell r="R118">
            <v>5.6</v>
          </cell>
          <cell r="S118">
            <v>5.6</v>
          </cell>
          <cell r="T118">
            <v>5.6</v>
          </cell>
          <cell r="U118">
            <v>5.6</v>
          </cell>
          <cell r="V118">
            <v>5.6</v>
          </cell>
          <cell r="W118">
            <v>5.6</v>
          </cell>
          <cell r="X118">
            <v>5.6</v>
          </cell>
          <cell r="Y118">
            <v>5.6</v>
          </cell>
        </row>
        <row r="119">
          <cell r="B119">
            <v>143000</v>
          </cell>
          <cell r="C119" t="str">
            <v>Working Capital</v>
          </cell>
          <cell r="D119" t="str">
            <v>OTHER ACCTS/RECEIVABLE</v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  <cell r="I119">
            <v>143000</v>
          </cell>
          <cell r="J119" t="str">
            <v/>
          </cell>
          <cell r="K119" t="str">
            <v/>
          </cell>
          <cell r="L119">
            <v>1948.0454099999999</v>
          </cell>
          <cell r="M119">
            <v>1922.5829799999999</v>
          </cell>
          <cell r="N119">
            <v>2327.9073800000001</v>
          </cell>
          <cell r="O119">
            <v>2065.3148099999999</v>
          </cell>
          <cell r="P119">
            <v>1934.63581</v>
          </cell>
          <cell r="Q119">
            <v>1993.51812</v>
          </cell>
          <cell r="R119">
            <v>1700.7039299999999</v>
          </cell>
          <cell r="S119">
            <v>2238.7676700000002</v>
          </cell>
          <cell r="T119">
            <v>2003.5982300000001</v>
          </cell>
          <cell r="U119">
            <v>1935.0142900000001</v>
          </cell>
          <cell r="V119">
            <v>1129.8156100000001</v>
          </cell>
          <cell r="W119">
            <v>1255.69613</v>
          </cell>
          <cell r="X119">
            <v>1380.87743</v>
          </cell>
          <cell r="Y119">
            <v>1847.668032</v>
          </cell>
        </row>
        <row r="120">
          <cell r="B120">
            <v>143005</v>
          </cell>
          <cell r="C120" t="str">
            <v>Working Capital</v>
          </cell>
          <cell r="D120" t="str">
            <v>ACCOUNTS RECEIVABLE ACCRUALS - MISCELLANEOUS</v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  <cell r="I120">
            <v>143005</v>
          </cell>
          <cell r="J120" t="str">
            <v/>
          </cell>
          <cell r="K120" t="str">
            <v/>
          </cell>
          <cell r="L120">
            <v>14533.2155</v>
          </cell>
          <cell r="M120">
            <v>10652.509819999999</v>
          </cell>
          <cell r="N120">
            <v>8155.07701</v>
          </cell>
          <cell r="O120">
            <v>7994.63598</v>
          </cell>
          <cell r="P120">
            <v>7178.7312899999997</v>
          </cell>
          <cell r="Q120">
            <v>7218.4342299999998</v>
          </cell>
          <cell r="R120">
            <v>7318.1788500000002</v>
          </cell>
          <cell r="S120">
            <v>7270.9558100000004</v>
          </cell>
          <cell r="T120">
            <v>8101.4655899999998</v>
          </cell>
          <cell r="U120">
            <v>8667.5931700000001</v>
          </cell>
          <cell r="V120">
            <v>9713.6313300000002</v>
          </cell>
          <cell r="W120">
            <v>11072.839319999999</v>
          </cell>
          <cell r="X120">
            <v>15519.42246</v>
          </cell>
          <cell r="Y120">
            <v>9030.8642820000005</v>
          </cell>
        </row>
        <row r="121">
          <cell r="B121">
            <v>143006</v>
          </cell>
          <cell r="C121" t="str">
            <v>Working Capital</v>
          </cell>
          <cell r="D121" t="str">
            <v>A/R ACCRUALS - MISCELLANEOUS ENERGY &amp; DERIVATIVE</v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  <cell r="I121">
            <v>143006</v>
          </cell>
          <cell r="J121" t="str">
            <v/>
          </cell>
          <cell r="K121" t="str">
            <v/>
          </cell>
          <cell r="L121">
            <v>1420.8071199999999</v>
          </cell>
          <cell r="M121">
            <v>1220.9067</v>
          </cell>
          <cell r="N121">
            <v>1364.4797900000001</v>
          </cell>
          <cell r="O121">
            <v>1282.5246199999999</v>
          </cell>
          <cell r="P121">
            <v>2035.32322</v>
          </cell>
          <cell r="Q121">
            <v>1235.9419800000001</v>
          </cell>
          <cell r="R121">
            <v>1101.64348</v>
          </cell>
          <cell r="S121">
            <v>655.35240999999996</v>
          </cell>
          <cell r="T121">
            <v>732.44389000000001</v>
          </cell>
          <cell r="U121">
            <v>818.35817999999995</v>
          </cell>
          <cell r="V121">
            <v>757.76311999999996</v>
          </cell>
          <cell r="W121">
            <v>612.67143999999996</v>
          </cell>
          <cell r="X121">
            <v>550.31925000000001</v>
          </cell>
          <cell r="Y121">
            <v>1066.9143349999999</v>
          </cell>
        </row>
        <row r="122">
          <cell r="B122">
            <v>143020</v>
          </cell>
          <cell r="C122" t="str">
            <v>Working Capital</v>
          </cell>
          <cell r="D122" t="str">
            <v>OTH A/R -MISCELLANEOUS A/R</v>
          </cell>
          <cell r="E122" t="str">
            <v/>
          </cell>
          <cell r="F122" t="str">
            <v/>
          </cell>
          <cell r="G122" t="str">
            <v/>
          </cell>
          <cell r="H122" t="str">
            <v/>
          </cell>
          <cell r="I122">
            <v>143020</v>
          </cell>
          <cell r="J122" t="str">
            <v/>
          </cell>
          <cell r="K122" t="str">
            <v/>
          </cell>
          <cell r="L122">
            <v>19.920860000000001</v>
          </cell>
          <cell r="M122">
            <v>19.889060000000001</v>
          </cell>
          <cell r="N122">
            <v>19.889060000000001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2.18194</v>
          </cell>
          <cell r="T122">
            <v>2.18194</v>
          </cell>
          <cell r="U122">
            <v>2.18194</v>
          </cell>
          <cell r="V122">
            <v>2.18194</v>
          </cell>
          <cell r="W122">
            <v>2.18194</v>
          </cell>
          <cell r="X122">
            <v>2.18194</v>
          </cell>
          <cell r="Y122">
            <v>5.1449350000000003</v>
          </cell>
        </row>
        <row r="123">
          <cell r="B123">
            <v>143030</v>
          </cell>
          <cell r="C123" t="str">
            <v>Working Capital</v>
          </cell>
          <cell r="D123" t="str">
            <v>OTHER A/R -GREEN POWER</v>
          </cell>
          <cell r="E123" t="str">
            <v/>
          </cell>
          <cell r="F123" t="str">
            <v/>
          </cell>
          <cell r="G123" t="str">
            <v/>
          </cell>
          <cell r="H123" t="str">
            <v/>
          </cell>
          <cell r="I123">
            <v>143030</v>
          </cell>
          <cell r="J123" t="str">
            <v/>
          </cell>
          <cell r="K123" t="str">
            <v/>
          </cell>
          <cell r="L123">
            <v>0</v>
          </cell>
          <cell r="M123">
            <v>-0.71172999999999997</v>
          </cell>
          <cell r="N123">
            <v>5.1167400000000001</v>
          </cell>
          <cell r="O123">
            <v>5.0581699999999996</v>
          </cell>
          <cell r="P123">
            <v>3.16554</v>
          </cell>
          <cell r="Q123">
            <v>-2.8378999999999999</v>
          </cell>
          <cell r="R123">
            <v>3.0381200000000002</v>
          </cell>
          <cell r="S123">
            <v>3.0954199999999998</v>
          </cell>
          <cell r="T123">
            <v>-0.80720000000000003</v>
          </cell>
          <cell r="U123">
            <v>-0.89771999999999996</v>
          </cell>
          <cell r="V123">
            <v>-0.99972000000000005</v>
          </cell>
          <cell r="W123">
            <v>-1.1127100000000001</v>
          </cell>
          <cell r="X123">
            <v>-1.0725499999999999</v>
          </cell>
          <cell r="Y123">
            <v>0.96422799999999997</v>
          </cell>
        </row>
        <row r="124">
          <cell r="B124">
            <v>143100</v>
          </cell>
          <cell r="C124" t="str">
            <v>Working Capital</v>
          </cell>
          <cell r="D124" t="str">
            <v>OTHER A/R - PAYROLL CLAIMS</v>
          </cell>
          <cell r="E124" t="str">
            <v/>
          </cell>
          <cell r="F124" t="str">
            <v/>
          </cell>
          <cell r="G124" t="str">
            <v/>
          </cell>
          <cell r="H124" t="str">
            <v/>
          </cell>
          <cell r="I124">
            <v>143100</v>
          </cell>
          <cell r="J124" t="str">
            <v/>
          </cell>
          <cell r="K124" t="str">
            <v/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</row>
        <row r="125">
          <cell r="B125">
            <v>143101</v>
          </cell>
          <cell r="C125" t="str">
            <v>Working Capital</v>
          </cell>
          <cell r="D125" t="str">
            <v>OTHER A/R -PAYROLL ADVANCES</v>
          </cell>
          <cell r="E125" t="str">
            <v/>
          </cell>
          <cell r="F125" t="str">
            <v/>
          </cell>
          <cell r="G125" t="str">
            <v/>
          </cell>
          <cell r="H125" t="str">
            <v/>
          </cell>
          <cell r="I125">
            <v>143101</v>
          </cell>
          <cell r="J125" t="str">
            <v/>
          </cell>
          <cell r="K125" t="str">
            <v/>
          </cell>
          <cell r="L125">
            <v>8.4717599999999997</v>
          </cell>
          <cell r="M125">
            <v>7.9466599999999996</v>
          </cell>
          <cell r="N125">
            <v>7.6162200000000002</v>
          </cell>
          <cell r="O125">
            <v>7.2857799999999999</v>
          </cell>
          <cell r="P125">
            <v>6.8727499999999999</v>
          </cell>
          <cell r="Q125">
            <v>6.8727499999999999</v>
          </cell>
          <cell r="R125">
            <v>6.8727499999999999</v>
          </cell>
          <cell r="S125">
            <v>6.8727499999999999</v>
          </cell>
          <cell r="T125">
            <v>7.0429899999999996</v>
          </cell>
          <cell r="U125">
            <v>7.83697</v>
          </cell>
          <cell r="V125">
            <v>8.9558800000000005</v>
          </cell>
          <cell r="W125">
            <v>11.21707</v>
          </cell>
          <cell r="X125">
            <v>10.83639</v>
          </cell>
          <cell r="Y125">
            <v>7.9205540000000001</v>
          </cell>
        </row>
        <row r="126">
          <cell r="B126">
            <v>143125</v>
          </cell>
          <cell r="C126" t="str">
            <v>Working Capital</v>
          </cell>
          <cell r="D126" t="str">
            <v>OTH A/R -PROPERTY TAX REFUND-COUNTY</v>
          </cell>
          <cell r="E126" t="str">
            <v/>
          </cell>
          <cell r="F126" t="str">
            <v/>
          </cell>
          <cell r="G126" t="str">
            <v/>
          </cell>
          <cell r="H126" t="str">
            <v/>
          </cell>
          <cell r="I126">
            <v>143125</v>
          </cell>
          <cell r="J126" t="str">
            <v/>
          </cell>
          <cell r="K126" t="str">
            <v/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</row>
        <row r="127">
          <cell r="B127">
            <v>143180</v>
          </cell>
          <cell r="C127" t="str">
            <v>Working Capital</v>
          </cell>
          <cell r="D127" t="str">
            <v>OTH A/R -DAMAGE CLAIMS</v>
          </cell>
          <cell r="E127" t="str">
            <v/>
          </cell>
          <cell r="F127" t="str">
            <v/>
          </cell>
          <cell r="G127" t="str">
            <v/>
          </cell>
          <cell r="H127" t="str">
            <v/>
          </cell>
          <cell r="I127">
            <v>143180</v>
          </cell>
          <cell r="J127" t="str">
            <v/>
          </cell>
          <cell r="K127" t="str">
            <v/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</row>
        <row r="128">
          <cell r="B128">
            <v>143220</v>
          </cell>
          <cell r="C128" t="str">
            <v>Working Capital</v>
          </cell>
          <cell r="D128" t="str">
            <v>OTH A/R -BROKER-OTC</v>
          </cell>
          <cell r="E128" t="str">
            <v/>
          </cell>
          <cell r="F128" t="str">
            <v/>
          </cell>
          <cell r="G128" t="str">
            <v/>
          </cell>
          <cell r="H128" t="str">
            <v/>
          </cell>
          <cell r="I128">
            <v>143220</v>
          </cell>
          <cell r="J128" t="str">
            <v/>
          </cell>
          <cell r="K128" t="str">
            <v/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B129">
            <v>143230</v>
          </cell>
          <cell r="C129" t="str">
            <v>Working Capital</v>
          </cell>
          <cell r="D129" t="str">
            <v>OTH A/R -BROKER-ADVEST/REFCO</v>
          </cell>
          <cell r="E129" t="str">
            <v/>
          </cell>
          <cell r="F129" t="str">
            <v/>
          </cell>
          <cell r="G129" t="str">
            <v/>
          </cell>
          <cell r="H129" t="str">
            <v/>
          </cell>
          <cell r="I129">
            <v>143230</v>
          </cell>
          <cell r="J129" t="str">
            <v/>
          </cell>
          <cell r="K129" t="str">
            <v/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B130">
            <v>143240</v>
          </cell>
          <cell r="C130" t="str">
            <v>Working Capital</v>
          </cell>
          <cell r="D130" t="str">
            <v>OTH A/R -BROKER-ABN-AMRO INC.</v>
          </cell>
          <cell r="E130" t="str">
            <v/>
          </cell>
          <cell r="F130" t="str">
            <v/>
          </cell>
          <cell r="G130" t="str">
            <v/>
          </cell>
          <cell r="H130" t="str">
            <v/>
          </cell>
          <cell r="I130">
            <v>143240</v>
          </cell>
          <cell r="J130" t="str">
            <v/>
          </cell>
          <cell r="K130" t="str">
            <v/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B131">
            <v>143270</v>
          </cell>
          <cell r="C131" t="str">
            <v>Working Capital</v>
          </cell>
          <cell r="D131" t="str">
            <v>OTH A/R - SINGLE BILL-ESCO-ON SYSTEM</v>
          </cell>
          <cell r="E131" t="str">
            <v/>
          </cell>
          <cell r="F131" t="str">
            <v/>
          </cell>
          <cell r="G131" t="str">
            <v/>
          </cell>
          <cell r="H131" t="str">
            <v/>
          </cell>
          <cell r="I131">
            <v>143270</v>
          </cell>
          <cell r="J131" t="str">
            <v/>
          </cell>
          <cell r="K131" t="str">
            <v/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B132">
            <v>143333</v>
          </cell>
          <cell r="C132" t="str">
            <v>Working Capital</v>
          </cell>
          <cell r="D132" t="str">
            <v>A/R-CUSTOMERS (WMS)</v>
          </cell>
          <cell r="E132" t="str">
            <v/>
          </cell>
          <cell r="F132" t="str">
            <v/>
          </cell>
          <cell r="G132" t="str">
            <v/>
          </cell>
          <cell r="H132" t="str">
            <v/>
          </cell>
          <cell r="I132">
            <v>143333</v>
          </cell>
          <cell r="J132" t="str">
            <v/>
          </cell>
          <cell r="K132" t="str">
            <v/>
          </cell>
          <cell r="L132">
            <v>1698.6736800000001</v>
          </cell>
          <cell r="M132">
            <v>2147.7696299999998</v>
          </cell>
          <cell r="N132">
            <v>2504.4891299999999</v>
          </cell>
          <cell r="O132">
            <v>3134.4264499999999</v>
          </cell>
          <cell r="P132">
            <v>3085.3321900000001</v>
          </cell>
          <cell r="Q132">
            <v>2923.09465</v>
          </cell>
          <cell r="R132">
            <v>2818.6001999999999</v>
          </cell>
          <cell r="S132">
            <v>2356.05519</v>
          </cell>
          <cell r="T132">
            <v>2257.65753</v>
          </cell>
          <cell r="U132">
            <v>2114.9219699999999</v>
          </cell>
          <cell r="V132">
            <v>2383.7358199999999</v>
          </cell>
          <cell r="W132">
            <v>2167.4750300000001</v>
          </cell>
          <cell r="X132">
            <v>-756.88804000000005</v>
          </cell>
          <cell r="Y132">
            <v>2363.7042179999999</v>
          </cell>
        </row>
        <row r="133">
          <cell r="B133">
            <v>143334</v>
          </cell>
          <cell r="C133" t="str">
            <v>Working Capital</v>
          </cell>
          <cell r="D133" t="str">
            <v>A/R-MISCELLANEOUS (FROM SD TO CCS)</v>
          </cell>
          <cell r="E133" t="str">
            <v/>
          </cell>
          <cell r="F133" t="str">
            <v/>
          </cell>
          <cell r="G133" t="str">
            <v/>
          </cell>
          <cell r="H133" t="str">
            <v/>
          </cell>
          <cell r="I133">
            <v>143334</v>
          </cell>
          <cell r="J133" t="str">
            <v/>
          </cell>
          <cell r="K133" t="str">
            <v/>
          </cell>
          <cell r="L133">
            <v>39.146360000000001</v>
          </cell>
          <cell r="M133">
            <v>39.99924</v>
          </cell>
          <cell r="N133">
            <v>42.855870000000003</v>
          </cell>
          <cell r="O133">
            <v>39.813630000000003</v>
          </cell>
          <cell r="P133">
            <v>34.248860000000001</v>
          </cell>
          <cell r="Q133">
            <v>38.638190000000002</v>
          </cell>
          <cell r="R133">
            <v>39.659379999999999</v>
          </cell>
          <cell r="S133">
            <v>41.102789999999999</v>
          </cell>
          <cell r="T133">
            <v>40.155430000000003</v>
          </cell>
          <cell r="U133">
            <v>41.326770000000003</v>
          </cell>
          <cell r="V133">
            <v>40.346339999999998</v>
          </cell>
          <cell r="W133">
            <v>40.015749999999997</v>
          </cell>
          <cell r="X133">
            <v>39.283070000000002</v>
          </cell>
          <cell r="Y133">
            <v>39.781413999999998</v>
          </cell>
        </row>
        <row r="134">
          <cell r="B134">
            <v>143365</v>
          </cell>
          <cell r="C134" t="str">
            <v>Working Capital</v>
          </cell>
          <cell r="D134" t="str">
            <v>OTH A/R - CORAL ENERGY ALLIANCE</v>
          </cell>
          <cell r="E134" t="str">
            <v/>
          </cell>
          <cell r="F134" t="str">
            <v/>
          </cell>
          <cell r="G134" t="str">
            <v/>
          </cell>
          <cell r="H134" t="str">
            <v/>
          </cell>
          <cell r="I134">
            <v>143365</v>
          </cell>
          <cell r="J134" t="str">
            <v/>
          </cell>
          <cell r="K134" t="str">
            <v/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</row>
        <row r="135">
          <cell r="B135">
            <v>143370</v>
          </cell>
          <cell r="C135" t="str">
            <v>Working Capital</v>
          </cell>
          <cell r="D135" t="str">
            <v>OTH A/R -BP ENERGY ALLIANCE</v>
          </cell>
          <cell r="E135" t="str">
            <v/>
          </cell>
          <cell r="F135" t="str">
            <v/>
          </cell>
          <cell r="G135" t="str">
            <v/>
          </cell>
          <cell r="H135" t="str">
            <v/>
          </cell>
          <cell r="I135">
            <v>143370</v>
          </cell>
          <cell r="J135" t="str">
            <v/>
          </cell>
          <cell r="K135" t="str">
            <v/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</row>
        <row r="136">
          <cell r="B136">
            <v>143375</v>
          </cell>
          <cell r="C136" t="str">
            <v>Working Capital</v>
          </cell>
          <cell r="D136" t="str">
            <v>0000143375 OTH A/R - TENASKA OPTIMIZATION</v>
          </cell>
          <cell r="E136" t="str">
            <v/>
          </cell>
          <cell r="F136" t="str">
            <v/>
          </cell>
          <cell r="G136" t="str">
            <v/>
          </cell>
          <cell r="H136" t="str">
            <v/>
          </cell>
          <cell r="I136">
            <v>143375</v>
          </cell>
          <cell r="J136" t="str">
            <v/>
          </cell>
          <cell r="K136" t="str">
            <v/>
          </cell>
          <cell r="L136">
            <v>111.36863</v>
          </cell>
          <cell r="M136">
            <v>152.69512</v>
          </cell>
          <cell r="N136">
            <v>51.414389999999997</v>
          </cell>
          <cell r="O136">
            <v>30.017410000000002</v>
          </cell>
          <cell r="P136">
            <v>16.933309999999999</v>
          </cell>
          <cell r="Q136">
            <v>3.35459</v>
          </cell>
          <cell r="R136">
            <v>31.053100000000001</v>
          </cell>
          <cell r="S136">
            <v>43.389449999999997</v>
          </cell>
          <cell r="T136">
            <v>6.7740099999999996</v>
          </cell>
          <cell r="U136">
            <v>3.8956900000000001</v>
          </cell>
          <cell r="V136">
            <v>35.487769999999998</v>
          </cell>
          <cell r="W136">
            <v>8.9446999999999992</v>
          </cell>
          <cell r="X136">
            <v>28.521799999999999</v>
          </cell>
          <cell r="Y136">
            <v>37.825395999999998</v>
          </cell>
        </row>
        <row r="137">
          <cell r="B137">
            <v>144110</v>
          </cell>
          <cell r="C137" t="str">
            <v>Working Capital</v>
          </cell>
          <cell r="D137" t="str">
            <v>ACCUM PROV FOR UNCOLL ACCTS - CR-ELEC</v>
          </cell>
          <cell r="E137" t="str">
            <v/>
          </cell>
          <cell r="F137" t="str">
            <v/>
          </cell>
          <cell r="G137" t="str">
            <v/>
          </cell>
          <cell r="H137" t="str">
            <v/>
          </cell>
          <cell r="I137">
            <v>144110</v>
          </cell>
          <cell r="J137" t="str">
            <v/>
          </cell>
          <cell r="K137" t="str">
            <v/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</row>
        <row r="138">
          <cell r="B138">
            <v>144120</v>
          </cell>
          <cell r="C138" t="str">
            <v>Working Capital</v>
          </cell>
          <cell r="D138" t="str">
            <v>ACCUM PROV-UNCOLL ACCTS-CREDIT -TAX EXEMPT SUNDRY</v>
          </cell>
          <cell r="E138" t="str">
            <v/>
          </cell>
          <cell r="F138" t="str">
            <v/>
          </cell>
          <cell r="G138" t="str">
            <v/>
          </cell>
          <cell r="H138" t="str">
            <v/>
          </cell>
          <cell r="I138">
            <v>144120</v>
          </cell>
          <cell r="J138" t="str">
            <v/>
          </cell>
          <cell r="K138" t="str">
            <v/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</row>
        <row r="139">
          <cell r="B139">
            <v>144125</v>
          </cell>
          <cell r="C139" t="str">
            <v>Working Capital</v>
          </cell>
          <cell r="D139" t="str">
            <v>ACCUM PROV-UNCOLLECTIBLE ACCTS-SUNDRY</v>
          </cell>
          <cell r="E139" t="str">
            <v/>
          </cell>
          <cell r="F139" t="str">
            <v/>
          </cell>
          <cell r="G139" t="str">
            <v/>
          </cell>
          <cell r="H139" t="str">
            <v/>
          </cell>
          <cell r="I139">
            <v>144125</v>
          </cell>
          <cell r="J139" t="str">
            <v/>
          </cell>
          <cell r="K139" t="str">
            <v/>
          </cell>
          <cell r="L139">
            <v>-63.93</v>
          </cell>
          <cell r="M139">
            <v>-60.69</v>
          </cell>
          <cell r="N139">
            <v>-64.650000000000006</v>
          </cell>
          <cell r="O139">
            <v>-64.650000000000006</v>
          </cell>
          <cell r="P139">
            <v>-71.849999999999994</v>
          </cell>
          <cell r="Q139">
            <v>-74.73</v>
          </cell>
          <cell r="R139">
            <v>-83.37</v>
          </cell>
          <cell r="S139">
            <v>-79.05</v>
          </cell>
          <cell r="T139">
            <v>-86.25</v>
          </cell>
          <cell r="U139">
            <v>-87.33</v>
          </cell>
          <cell r="V139">
            <v>-87.69</v>
          </cell>
          <cell r="W139">
            <v>-87.69</v>
          </cell>
          <cell r="X139">
            <v>-86.25</v>
          </cell>
          <cell r="Y139">
            <v>-76.92</v>
          </cell>
        </row>
        <row r="140">
          <cell r="B140">
            <v>144130</v>
          </cell>
          <cell r="C140" t="str">
            <v>Working Capital</v>
          </cell>
          <cell r="D140" t="str">
            <v>ACCUM PROV FOR UNCOLL ACCTS - CR-GAS</v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  <cell r="I140">
            <v>144130</v>
          </cell>
          <cell r="J140" t="str">
            <v/>
          </cell>
          <cell r="K140" t="str">
            <v/>
          </cell>
          <cell r="L140">
            <v>-5873.3540000000003</v>
          </cell>
          <cell r="M140">
            <v>-6089.3540000000003</v>
          </cell>
          <cell r="N140">
            <v>-6485.3540000000003</v>
          </cell>
          <cell r="O140">
            <v>-6845.3540000000003</v>
          </cell>
          <cell r="P140">
            <v>-7097.3540000000003</v>
          </cell>
          <cell r="Q140">
            <v>-7421.3540000000003</v>
          </cell>
          <cell r="R140">
            <v>-7565.3540000000003</v>
          </cell>
          <cell r="S140">
            <v>-7673.3540000000003</v>
          </cell>
          <cell r="T140">
            <v>-7781.3540000000003</v>
          </cell>
          <cell r="U140">
            <v>-7745.3540000000003</v>
          </cell>
          <cell r="V140">
            <v>-7529.3540000000003</v>
          </cell>
          <cell r="W140">
            <v>-7601.3540000000003</v>
          </cell>
          <cell r="X140">
            <v>-7313.3540000000003</v>
          </cell>
          <cell r="Y140">
            <v>-7202.3540000000003</v>
          </cell>
        </row>
        <row r="141">
          <cell r="B141">
            <v>144135</v>
          </cell>
          <cell r="C141" t="str">
            <v>Working Capital</v>
          </cell>
          <cell r="D141" t="str">
            <v>ACCUM PROV-UNCOLLECTIBLE ACCTS-SUNDRY-ELECTRIC</v>
          </cell>
          <cell r="E141" t="str">
            <v/>
          </cell>
          <cell r="F141" t="str">
            <v/>
          </cell>
          <cell r="G141" t="str">
            <v/>
          </cell>
          <cell r="H141" t="str">
            <v/>
          </cell>
          <cell r="I141">
            <v>144135</v>
          </cell>
          <cell r="J141" t="str">
            <v/>
          </cell>
          <cell r="K141" t="str">
            <v/>
          </cell>
          <cell r="L141">
            <v>-541.07000000000005</v>
          </cell>
          <cell r="M141">
            <v>-535.30999999999995</v>
          </cell>
          <cell r="N141">
            <v>-542.35</v>
          </cell>
          <cell r="O141">
            <v>-542.35</v>
          </cell>
          <cell r="P141">
            <v>-555.15</v>
          </cell>
          <cell r="Q141">
            <v>-560.27</v>
          </cell>
          <cell r="R141">
            <v>-575.63</v>
          </cell>
          <cell r="S141">
            <v>-567.95000000000005</v>
          </cell>
          <cell r="T141">
            <v>-580.75</v>
          </cell>
          <cell r="U141">
            <v>-582.66999999999996</v>
          </cell>
          <cell r="V141">
            <v>-583.30999999999995</v>
          </cell>
          <cell r="W141">
            <v>-583.30999999999995</v>
          </cell>
          <cell r="X141">
            <v>-580.75</v>
          </cell>
          <cell r="Y141">
            <v>-564.16333299999997</v>
          </cell>
        </row>
        <row r="142">
          <cell r="B142">
            <v>144140</v>
          </cell>
          <cell r="C142" t="str">
            <v>Working Capital</v>
          </cell>
          <cell r="D142" t="str">
            <v>ACCUM PROV FOR UNCOLL ACCTS - CR-DISPUTES</v>
          </cell>
          <cell r="E142" t="str">
            <v/>
          </cell>
          <cell r="F142" t="str">
            <v/>
          </cell>
          <cell r="G142" t="str">
            <v/>
          </cell>
          <cell r="H142" t="str">
            <v/>
          </cell>
          <cell r="I142">
            <v>144140</v>
          </cell>
          <cell r="J142" t="str">
            <v/>
          </cell>
          <cell r="K142" t="str">
            <v/>
          </cell>
          <cell r="L142">
            <v>-1300</v>
          </cell>
          <cell r="M142">
            <v>-1300</v>
          </cell>
          <cell r="N142">
            <v>-1300</v>
          </cell>
          <cell r="O142">
            <v>-1300</v>
          </cell>
          <cell r="P142">
            <v>-1300</v>
          </cell>
          <cell r="Q142">
            <v>-1300</v>
          </cell>
          <cell r="R142">
            <v>-1300</v>
          </cell>
          <cell r="S142">
            <v>-1300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-812.5</v>
          </cell>
        </row>
        <row r="143">
          <cell r="B143">
            <v>144170</v>
          </cell>
          <cell r="C143" t="str">
            <v>Working Capital</v>
          </cell>
          <cell r="D143" t="str">
            <v>ACCUM PROV FOR UNCOLL ACCTS-CREDIT ELECTRIC</v>
          </cell>
          <cell r="E143" t="str">
            <v/>
          </cell>
          <cell r="F143" t="str">
            <v/>
          </cell>
          <cell r="G143" t="str">
            <v/>
          </cell>
          <cell r="H143" t="str">
            <v/>
          </cell>
          <cell r="I143">
            <v>144170</v>
          </cell>
          <cell r="J143" t="str">
            <v/>
          </cell>
          <cell r="K143" t="str">
            <v/>
          </cell>
          <cell r="L143">
            <v>-11326.646000000001</v>
          </cell>
          <cell r="M143">
            <v>-11710.646000000001</v>
          </cell>
          <cell r="N143">
            <v>-12414.646000000001</v>
          </cell>
          <cell r="O143">
            <v>-13054.646000000001</v>
          </cell>
          <cell r="P143">
            <v>-13502.646000000001</v>
          </cell>
          <cell r="Q143">
            <v>-14078.646000000001</v>
          </cell>
          <cell r="R143">
            <v>-14334.646000000001</v>
          </cell>
          <cell r="S143">
            <v>-14526.646000000001</v>
          </cell>
          <cell r="T143">
            <v>-14718.646000000001</v>
          </cell>
          <cell r="U143">
            <v>-14654.646000000001</v>
          </cell>
          <cell r="V143">
            <v>-14270.646000000001</v>
          </cell>
          <cell r="W143">
            <v>-14398.646000000001</v>
          </cell>
          <cell r="X143">
            <v>-13886.646000000001</v>
          </cell>
          <cell r="Y143">
            <v>-13689.312667</v>
          </cell>
        </row>
        <row r="144">
          <cell r="B144">
            <v>144171</v>
          </cell>
          <cell r="C144" t="str">
            <v>Working Capital</v>
          </cell>
          <cell r="D144" t="str">
            <v>ACCTS RECEIVEABLE RESERVE-SALES OF BAD DEBT</v>
          </cell>
          <cell r="E144" t="str">
            <v/>
          </cell>
          <cell r="F144" t="str">
            <v/>
          </cell>
          <cell r="G144" t="str">
            <v/>
          </cell>
          <cell r="H144" t="str">
            <v/>
          </cell>
          <cell r="I144">
            <v>144171</v>
          </cell>
          <cell r="J144" t="str">
            <v/>
          </cell>
          <cell r="K144" t="str">
            <v/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</row>
        <row r="145">
          <cell r="B145">
            <v>144510</v>
          </cell>
          <cell r="C145" t="str">
            <v>Working Capital</v>
          </cell>
          <cell r="D145" t="str">
            <v>ACCUM PROV FOR UNCOLL ACCTS - DR-UNCOLL PROV</v>
          </cell>
          <cell r="E145" t="str">
            <v/>
          </cell>
          <cell r="F145" t="str">
            <v/>
          </cell>
          <cell r="G145" t="str">
            <v/>
          </cell>
          <cell r="H145" t="str">
            <v/>
          </cell>
          <cell r="I145">
            <v>144510</v>
          </cell>
          <cell r="J145" t="str">
            <v/>
          </cell>
          <cell r="K145" t="str">
            <v/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</row>
        <row r="146">
          <cell r="B146">
            <v>144520</v>
          </cell>
          <cell r="C146" t="str">
            <v>Working Capital</v>
          </cell>
          <cell r="D146" t="str">
            <v>ACCUM PROV FOR UNCOLL ACCTS - CR-UNCOLL PROV</v>
          </cell>
          <cell r="E146" t="str">
            <v/>
          </cell>
          <cell r="F146" t="str">
            <v/>
          </cell>
          <cell r="G146" t="str">
            <v/>
          </cell>
          <cell r="H146" t="str">
            <v/>
          </cell>
          <cell r="I146">
            <v>144520</v>
          </cell>
          <cell r="J146" t="str">
            <v/>
          </cell>
          <cell r="K146" t="str">
            <v/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</row>
        <row r="147">
          <cell r="B147">
            <v>145026</v>
          </cell>
          <cell r="C147" t="str">
            <v>Not in RTBS</v>
          </cell>
          <cell r="D147" t="str">
            <v>NOTES RECEIVABLE FR ASSOC COS (W/ TRADING PARTNER</v>
          </cell>
          <cell r="E147" t="str">
            <v/>
          </cell>
          <cell r="F147" t="str">
            <v/>
          </cell>
          <cell r="G147" t="str">
            <v/>
          </cell>
          <cell r="H147" t="str">
            <v/>
          </cell>
          <cell r="I147" t="str">
            <v/>
          </cell>
          <cell r="J147">
            <v>145026</v>
          </cell>
          <cell r="K147" t="str">
            <v/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</row>
        <row r="148">
          <cell r="B148">
            <v>146030</v>
          </cell>
          <cell r="C148" t="str">
            <v>Not in RTBS</v>
          </cell>
          <cell r="D148" t="str">
            <v>I/C DUE FROM ENERGETIX - FIT</v>
          </cell>
          <cell r="E148" t="str">
            <v/>
          </cell>
          <cell r="F148" t="str">
            <v/>
          </cell>
          <cell r="G148" t="str">
            <v/>
          </cell>
          <cell r="H148" t="str">
            <v/>
          </cell>
          <cell r="I148" t="str">
            <v/>
          </cell>
          <cell r="J148">
            <v>146030</v>
          </cell>
          <cell r="K148" t="str">
            <v/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</row>
        <row r="149">
          <cell r="B149">
            <v>146040</v>
          </cell>
          <cell r="C149" t="str">
            <v>Not in RTBS</v>
          </cell>
          <cell r="D149" t="str">
            <v>I/C DUE FROM GRIFFITH - FIT</v>
          </cell>
          <cell r="E149" t="str">
            <v/>
          </cell>
          <cell r="F149" t="str">
            <v/>
          </cell>
          <cell r="G149" t="str">
            <v/>
          </cell>
          <cell r="H149" t="str">
            <v/>
          </cell>
          <cell r="I149" t="str">
            <v/>
          </cell>
          <cell r="J149">
            <v>146040</v>
          </cell>
          <cell r="K149" t="str">
            <v/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</row>
        <row r="150">
          <cell r="B150">
            <v>146041</v>
          </cell>
          <cell r="C150" t="str">
            <v>Not in RTBS</v>
          </cell>
          <cell r="D150" t="str">
            <v>I/C DUE FROM GRIFFITH - SIT</v>
          </cell>
          <cell r="E150" t="str">
            <v/>
          </cell>
          <cell r="F150" t="str">
            <v/>
          </cell>
          <cell r="G150" t="str">
            <v/>
          </cell>
          <cell r="H150" t="str">
            <v/>
          </cell>
          <cell r="I150" t="str">
            <v/>
          </cell>
          <cell r="J150">
            <v>146041</v>
          </cell>
          <cell r="K150" t="str">
            <v/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</row>
        <row r="151">
          <cell r="B151">
            <v>146042</v>
          </cell>
          <cell r="C151" t="str">
            <v>Not in RTBS</v>
          </cell>
          <cell r="D151" t="str">
            <v>I/C DUE FROM ENERGETIX - SIT</v>
          </cell>
          <cell r="E151" t="str">
            <v/>
          </cell>
          <cell r="F151" t="str">
            <v/>
          </cell>
          <cell r="G151" t="str">
            <v/>
          </cell>
          <cell r="H151" t="str">
            <v/>
          </cell>
          <cell r="I151" t="str">
            <v/>
          </cell>
          <cell r="J151">
            <v>146042</v>
          </cell>
          <cell r="K151" t="str">
            <v/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</row>
        <row r="152">
          <cell r="B152">
            <v>146060</v>
          </cell>
          <cell r="C152" t="str">
            <v>Not in RTBS</v>
          </cell>
          <cell r="D152" t="str">
            <v>A/R FR AFFILIATE-AUTOMATIC CLEARING</v>
          </cell>
          <cell r="E152" t="str">
            <v/>
          </cell>
          <cell r="F152" t="str">
            <v/>
          </cell>
          <cell r="G152" t="str">
            <v/>
          </cell>
          <cell r="H152" t="str">
            <v/>
          </cell>
          <cell r="I152" t="str">
            <v/>
          </cell>
          <cell r="J152">
            <v>146060</v>
          </cell>
          <cell r="K152" t="str">
            <v/>
          </cell>
          <cell r="L152">
            <v>13716.270200000001</v>
          </cell>
          <cell r="M152">
            <v>10852.80478</v>
          </cell>
          <cell r="N152">
            <v>12002.75491</v>
          </cell>
          <cell r="O152">
            <v>11411.687980000001</v>
          </cell>
          <cell r="P152">
            <v>11388.367</v>
          </cell>
          <cell r="Q152">
            <v>11532.665849999999</v>
          </cell>
          <cell r="R152">
            <v>10977.417649999999</v>
          </cell>
          <cell r="S152">
            <v>10611.199790000001</v>
          </cell>
          <cell r="T152">
            <v>13379.91993</v>
          </cell>
          <cell r="U152">
            <v>16365.36139</v>
          </cell>
          <cell r="V152">
            <v>12257.59419</v>
          </cell>
          <cell r="W152">
            <v>12939.96956</v>
          </cell>
          <cell r="X152">
            <v>15349.492399999999</v>
          </cell>
          <cell r="Y152">
            <v>12354.385361000001</v>
          </cell>
        </row>
        <row r="153">
          <cell r="B153">
            <v>146290</v>
          </cell>
          <cell r="C153" t="str">
            <v>Not in RTBS</v>
          </cell>
          <cell r="D153" t="str">
            <v>I/C DUE FROM ENERGETIX - SERVICES</v>
          </cell>
          <cell r="E153" t="str">
            <v/>
          </cell>
          <cell r="F153" t="str">
            <v/>
          </cell>
          <cell r="G153" t="str">
            <v/>
          </cell>
          <cell r="H153" t="str">
            <v/>
          </cell>
          <cell r="I153" t="str">
            <v/>
          </cell>
          <cell r="J153">
            <v>146290</v>
          </cell>
          <cell r="K153" t="str">
            <v/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</row>
        <row r="154">
          <cell r="B154">
            <v>146890</v>
          </cell>
          <cell r="C154" t="str">
            <v>Not in RTBS</v>
          </cell>
          <cell r="D154" t="str">
            <v>I/C DUE FROM RGS ENERGY GROUP</v>
          </cell>
          <cell r="E154" t="str">
            <v/>
          </cell>
          <cell r="F154" t="str">
            <v/>
          </cell>
          <cell r="G154" t="str">
            <v/>
          </cell>
          <cell r="H154" t="str">
            <v/>
          </cell>
          <cell r="I154" t="str">
            <v/>
          </cell>
          <cell r="J154">
            <v>146890</v>
          </cell>
          <cell r="K154" t="str">
            <v/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</row>
        <row r="155">
          <cell r="B155">
            <v>146900</v>
          </cell>
          <cell r="C155" t="str">
            <v>Not in RTBS</v>
          </cell>
          <cell r="D155" t="str">
            <v>I/C DUE FROM EEMC - Pension and FAS 106</v>
          </cell>
          <cell r="E155" t="str">
            <v/>
          </cell>
          <cell r="F155" t="str">
            <v/>
          </cell>
          <cell r="G155" t="str">
            <v/>
          </cell>
          <cell r="H155" t="str">
            <v/>
          </cell>
          <cell r="I155" t="str">
            <v/>
          </cell>
          <cell r="J155">
            <v>146900</v>
          </cell>
          <cell r="K155" t="str">
            <v/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</row>
        <row r="156">
          <cell r="B156">
            <v>146901</v>
          </cell>
          <cell r="C156" t="str">
            <v>Not in RTBS</v>
          </cell>
          <cell r="D156" t="str">
            <v>I/C DUE FROM EEMC - SERVICES</v>
          </cell>
          <cell r="E156" t="str">
            <v/>
          </cell>
          <cell r="F156" t="str">
            <v/>
          </cell>
          <cell r="G156" t="str">
            <v/>
          </cell>
          <cell r="H156" t="str">
            <v/>
          </cell>
          <cell r="I156" t="str">
            <v/>
          </cell>
          <cell r="J156">
            <v>146901</v>
          </cell>
          <cell r="K156" t="str">
            <v/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</row>
        <row r="157">
          <cell r="B157">
            <v>146910</v>
          </cell>
          <cell r="C157" t="str">
            <v>Not in RTBS</v>
          </cell>
          <cell r="D157" t="str">
            <v>I/C DUE FROM NYSEG - SALES AND RENTS</v>
          </cell>
          <cell r="E157" t="str">
            <v/>
          </cell>
          <cell r="F157" t="str">
            <v/>
          </cell>
          <cell r="G157" t="str">
            <v/>
          </cell>
          <cell r="H157" t="str">
            <v/>
          </cell>
          <cell r="I157" t="str">
            <v/>
          </cell>
          <cell r="J157">
            <v>146910</v>
          </cell>
          <cell r="K157" t="str">
            <v/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</row>
        <row r="158">
          <cell r="B158">
            <v>146911</v>
          </cell>
          <cell r="C158" t="str">
            <v>Not in RTBS</v>
          </cell>
          <cell r="D158" t="str">
            <v>I/C DUE FROM NYSEG - SERVICES</v>
          </cell>
          <cell r="E158" t="str">
            <v/>
          </cell>
          <cell r="F158" t="str">
            <v/>
          </cell>
          <cell r="G158" t="str">
            <v/>
          </cell>
          <cell r="H158" t="str">
            <v/>
          </cell>
          <cell r="I158" t="str">
            <v/>
          </cell>
          <cell r="J158">
            <v>146911</v>
          </cell>
          <cell r="K158" t="str">
            <v/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</row>
        <row r="159">
          <cell r="B159">
            <v>146913</v>
          </cell>
          <cell r="C159" t="str">
            <v>Not in RTBS</v>
          </cell>
          <cell r="D159" t="str">
            <v>I/C DUE FROM BERKSHIRE</v>
          </cell>
          <cell r="E159" t="str">
            <v/>
          </cell>
          <cell r="F159" t="str">
            <v/>
          </cell>
          <cell r="G159" t="str">
            <v/>
          </cell>
          <cell r="H159" t="str">
            <v/>
          </cell>
          <cell r="I159" t="str">
            <v/>
          </cell>
          <cell r="J159">
            <v>146913</v>
          </cell>
          <cell r="K159" t="str">
            <v/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</row>
        <row r="160">
          <cell r="B160">
            <v>146920</v>
          </cell>
          <cell r="C160" t="str">
            <v>Not in RTBS</v>
          </cell>
          <cell r="D160" t="str">
            <v>I/C DUE FROM ENERGETIX - DISTRIBUTION</v>
          </cell>
          <cell r="E160" t="str">
            <v/>
          </cell>
          <cell r="F160" t="str">
            <v/>
          </cell>
          <cell r="G160" t="str">
            <v/>
          </cell>
          <cell r="H160" t="str">
            <v/>
          </cell>
          <cell r="I160" t="str">
            <v/>
          </cell>
          <cell r="J160">
            <v>146920</v>
          </cell>
          <cell r="K160" t="str">
            <v/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B161">
            <v>146930</v>
          </cell>
          <cell r="C161" t="str">
            <v>Not in RTBS</v>
          </cell>
          <cell r="D161" t="str">
            <v>I/C DUE FROM ENERGETIX - INFIELD GAS TRANSFER</v>
          </cell>
          <cell r="E161" t="str">
            <v/>
          </cell>
          <cell r="F161" t="str">
            <v/>
          </cell>
          <cell r="G161" t="str">
            <v/>
          </cell>
          <cell r="H161" t="str">
            <v/>
          </cell>
          <cell r="I161" t="str">
            <v/>
          </cell>
          <cell r="J161">
            <v>146930</v>
          </cell>
          <cell r="K161" t="str">
            <v/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</row>
        <row r="162">
          <cell r="B162">
            <v>151540</v>
          </cell>
          <cell r="C162" t="str">
            <v>RTBS</v>
          </cell>
          <cell r="D162" t="str">
            <v>M&amp;S - COAL IN TRANSIT</v>
          </cell>
          <cell r="E162" t="str">
            <v/>
          </cell>
          <cell r="F162" t="str">
            <v/>
          </cell>
          <cell r="G162">
            <v>151540</v>
          </cell>
          <cell r="H162" t="str">
            <v/>
          </cell>
          <cell r="I162" t="str">
            <v/>
          </cell>
          <cell r="J162" t="str">
            <v/>
          </cell>
          <cell r="K162" t="str">
            <v/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</row>
        <row r="163">
          <cell r="B163">
            <v>151610</v>
          </cell>
          <cell r="C163" t="str">
            <v>RTBS</v>
          </cell>
          <cell r="D163" t="str">
            <v>M&amp;S - COAL - STATION 7</v>
          </cell>
          <cell r="E163" t="str">
            <v/>
          </cell>
          <cell r="F163" t="str">
            <v/>
          </cell>
          <cell r="G163">
            <v>151610</v>
          </cell>
          <cell r="H163" t="str">
            <v/>
          </cell>
          <cell r="I163" t="str">
            <v/>
          </cell>
          <cell r="J163" t="str">
            <v/>
          </cell>
          <cell r="K163" t="str">
            <v/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</row>
        <row r="164">
          <cell r="B164">
            <v>151640</v>
          </cell>
          <cell r="C164" t="str">
            <v>RTBS</v>
          </cell>
          <cell r="D164" t="str">
            <v>M&amp;S - #2 FUEL OIL - STATION 7</v>
          </cell>
          <cell r="E164" t="str">
            <v/>
          </cell>
          <cell r="F164" t="str">
            <v/>
          </cell>
          <cell r="G164">
            <v>151640</v>
          </cell>
          <cell r="H164" t="str">
            <v/>
          </cell>
          <cell r="I164" t="str">
            <v/>
          </cell>
          <cell r="J164" t="str">
            <v/>
          </cell>
          <cell r="K164" t="str">
            <v/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</row>
        <row r="165">
          <cell r="B165">
            <v>151650</v>
          </cell>
          <cell r="C165" t="str">
            <v>RTBS</v>
          </cell>
          <cell r="D165" t="str">
            <v>M&amp;S - #2 FUEL OIL - STATION 3</v>
          </cell>
          <cell r="E165" t="str">
            <v/>
          </cell>
          <cell r="F165" t="str">
            <v/>
          </cell>
          <cell r="G165">
            <v>151650</v>
          </cell>
          <cell r="H165" t="str">
            <v/>
          </cell>
          <cell r="I165" t="str">
            <v/>
          </cell>
          <cell r="J165" t="str">
            <v/>
          </cell>
          <cell r="K165" t="str">
            <v/>
          </cell>
          <cell r="L165">
            <v>106.53377</v>
          </cell>
          <cell r="M165">
            <v>106.53377</v>
          </cell>
          <cell r="N165">
            <v>105.69602</v>
          </cell>
          <cell r="O165">
            <v>105.69602</v>
          </cell>
          <cell r="P165">
            <v>98.268000000000001</v>
          </cell>
          <cell r="Q165">
            <v>60.044699999999999</v>
          </cell>
          <cell r="R165">
            <v>21.234220000000001</v>
          </cell>
          <cell r="S165">
            <v>154.69188</v>
          </cell>
          <cell r="T165">
            <v>154.69188</v>
          </cell>
          <cell r="U165">
            <v>139.30452</v>
          </cell>
          <cell r="V165">
            <v>138.39482000000001</v>
          </cell>
          <cell r="W165">
            <v>138.39482000000001</v>
          </cell>
          <cell r="X165">
            <v>132.02137999999999</v>
          </cell>
          <cell r="Y165">
            <v>111.852352</v>
          </cell>
        </row>
        <row r="166">
          <cell r="B166">
            <v>151900</v>
          </cell>
          <cell r="C166" t="str">
            <v>RTBS</v>
          </cell>
          <cell r="D166" t="str">
            <v>M&amp;S - #2 FUEL OIL - ALL DISTRICTS</v>
          </cell>
          <cell r="E166" t="str">
            <v/>
          </cell>
          <cell r="F166" t="str">
            <v/>
          </cell>
          <cell r="G166">
            <v>151900</v>
          </cell>
          <cell r="H166" t="str">
            <v/>
          </cell>
          <cell r="I166" t="str">
            <v/>
          </cell>
          <cell r="J166" t="str">
            <v/>
          </cell>
          <cell r="K166" t="str">
            <v/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</row>
        <row r="167">
          <cell r="B167">
            <v>154210</v>
          </cell>
          <cell r="C167" t="str">
            <v>RTBS</v>
          </cell>
          <cell r="D167" t="str">
            <v>M&amp;S - RECON - STOCK MATERIALS</v>
          </cell>
          <cell r="E167" t="str">
            <v/>
          </cell>
          <cell r="F167" t="str">
            <v/>
          </cell>
          <cell r="G167">
            <v>154210</v>
          </cell>
          <cell r="H167" t="str">
            <v/>
          </cell>
          <cell r="I167" t="str">
            <v/>
          </cell>
          <cell r="J167" t="str">
            <v/>
          </cell>
          <cell r="K167" t="str">
            <v/>
          </cell>
          <cell r="L167">
            <v>8676.2526400000006</v>
          </cell>
          <cell r="M167">
            <v>9789.8928699999997</v>
          </cell>
          <cell r="N167">
            <v>8872.5301600000003</v>
          </cell>
          <cell r="O167">
            <v>9037.0213100000001</v>
          </cell>
          <cell r="P167">
            <v>9010.8576099999991</v>
          </cell>
          <cell r="Q167">
            <v>9114.5718500000003</v>
          </cell>
          <cell r="R167">
            <v>9248.7554199999995</v>
          </cell>
          <cell r="S167">
            <v>9188.2913599999993</v>
          </cell>
          <cell r="T167">
            <v>9325.8454700000002</v>
          </cell>
          <cell r="U167">
            <v>9958.2325600000004</v>
          </cell>
          <cell r="V167">
            <v>9734.0352899999998</v>
          </cell>
          <cell r="W167">
            <v>10212.69188</v>
          </cell>
          <cell r="X167">
            <v>10133.201290000001</v>
          </cell>
          <cell r="Y167">
            <v>9408.1210620000002</v>
          </cell>
        </row>
        <row r="168">
          <cell r="B168">
            <v>154212</v>
          </cell>
          <cell r="C168" t="str">
            <v>RTBS</v>
          </cell>
          <cell r="D168" t="str">
            <v>M&amp;S - INVENTORY FUEL</v>
          </cell>
          <cell r="E168" t="str">
            <v/>
          </cell>
          <cell r="F168" t="str">
            <v/>
          </cell>
          <cell r="G168">
            <v>154212</v>
          </cell>
          <cell r="H168" t="str">
            <v/>
          </cell>
          <cell r="I168" t="str">
            <v/>
          </cell>
          <cell r="J168" t="str">
            <v/>
          </cell>
          <cell r="K168" t="str">
            <v/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2.8900000000000002E-3</v>
          </cell>
          <cell r="X168">
            <v>2.8900000000000002E-3</v>
          </cell>
          <cell r="Y168">
            <v>3.6099999999999999E-4</v>
          </cell>
        </row>
        <row r="169">
          <cell r="B169">
            <v>154530</v>
          </cell>
          <cell r="C169" t="str">
            <v>RTBS</v>
          </cell>
          <cell r="D169" t="str">
            <v>M&amp;S - RECON - ALLEGANY</v>
          </cell>
          <cell r="E169" t="str">
            <v/>
          </cell>
          <cell r="F169" t="str">
            <v/>
          </cell>
          <cell r="G169">
            <v>154530</v>
          </cell>
          <cell r="H169" t="str">
            <v/>
          </cell>
          <cell r="I169" t="str">
            <v/>
          </cell>
          <cell r="J169" t="str">
            <v/>
          </cell>
          <cell r="K169" t="str">
            <v/>
          </cell>
          <cell r="L169">
            <v>577.10386000000005</v>
          </cell>
          <cell r="M169">
            <v>577.10386000000005</v>
          </cell>
          <cell r="N169">
            <v>577.10386000000005</v>
          </cell>
          <cell r="O169">
            <v>577.10386000000005</v>
          </cell>
          <cell r="P169">
            <v>577.10386000000005</v>
          </cell>
          <cell r="Q169">
            <v>577.10386000000005</v>
          </cell>
          <cell r="R169">
            <v>577.10386000000005</v>
          </cell>
          <cell r="S169">
            <v>577.10386000000005</v>
          </cell>
          <cell r="T169">
            <v>577.10386000000005</v>
          </cell>
          <cell r="U169">
            <v>571.86986000000002</v>
          </cell>
          <cell r="V169">
            <v>571.86986000000002</v>
          </cell>
          <cell r="W169">
            <v>571.86986000000002</v>
          </cell>
          <cell r="X169">
            <v>579.36886000000004</v>
          </cell>
          <cell r="Y169">
            <v>575.88973499999997</v>
          </cell>
        </row>
        <row r="170">
          <cell r="B170">
            <v>154820</v>
          </cell>
          <cell r="C170" t="str">
            <v>RTBS</v>
          </cell>
          <cell r="D170" t="str">
            <v>M&amp;S - GASOLINE</v>
          </cell>
          <cell r="E170" t="str">
            <v/>
          </cell>
          <cell r="F170" t="str">
            <v/>
          </cell>
          <cell r="G170">
            <v>154820</v>
          </cell>
          <cell r="H170" t="str">
            <v/>
          </cell>
          <cell r="I170" t="str">
            <v/>
          </cell>
          <cell r="J170" t="str">
            <v/>
          </cell>
          <cell r="K170" t="str">
            <v/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</row>
        <row r="171">
          <cell r="B171">
            <v>154950</v>
          </cell>
          <cell r="C171" t="str">
            <v>RTBS</v>
          </cell>
          <cell r="D171" t="str">
            <v>M&amp;S - RESERVE FOR OBSOLESCENCE</v>
          </cell>
          <cell r="E171" t="str">
            <v/>
          </cell>
          <cell r="F171" t="str">
            <v/>
          </cell>
          <cell r="G171">
            <v>154950</v>
          </cell>
          <cell r="H171" t="str">
            <v/>
          </cell>
          <cell r="I171" t="str">
            <v/>
          </cell>
          <cell r="J171" t="str">
            <v/>
          </cell>
          <cell r="K171" t="str">
            <v/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</row>
        <row r="172">
          <cell r="B172">
            <v>154970</v>
          </cell>
          <cell r="C172" t="str">
            <v>Working Capital</v>
          </cell>
          <cell r="D172" t="str">
            <v>M&amp;S - RECON- MATERIALS RECEIVED CLEARING</v>
          </cell>
          <cell r="E172" t="str">
            <v/>
          </cell>
          <cell r="F172" t="str">
            <v/>
          </cell>
          <cell r="G172" t="str">
            <v/>
          </cell>
          <cell r="H172" t="str">
            <v/>
          </cell>
          <cell r="I172">
            <v>154970</v>
          </cell>
          <cell r="J172" t="str">
            <v/>
          </cell>
          <cell r="K172" t="str">
            <v/>
          </cell>
          <cell r="L172">
            <v>-32190.140360000001</v>
          </cell>
          <cell r="M172">
            <v>-28287.209169999998</v>
          </cell>
          <cell r="N172">
            <v>-17773.632949999901</v>
          </cell>
          <cell r="O172">
            <v>-16624.413530000002</v>
          </cell>
          <cell r="P172">
            <v>-14469.6</v>
          </cell>
          <cell r="Q172">
            <v>-17694.26843</v>
          </cell>
          <cell r="R172">
            <v>-20304.748739999999</v>
          </cell>
          <cell r="S172">
            <v>-22001.050859999999</v>
          </cell>
          <cell r="T172">
            <v>-27459.608130000001</v>
          </cell>
          <cell r="U172">
            <v>-30607.64777</v>
          </cell>
          <cell r="V172">
            <v>-32988.053330000002</v>
          </cell>
          <cell r="W172">
            <v>-25824.998950000001</v>
          </cell>
          <cell r="X172">
            <v>-52386.402430000002</v>
          </cell>
          <cell r="Y172">
            <v>-24693.625271000001</v>
          </cell>
        </row>
        <row r="173">
          <cell r="B173">
            <v>154975</v>
          </cell>
          <cell r="C173" t="str">
            <v>Not in RTBS</v>
          </cell>
          <cell r="D173" t="str">
            <v>TRANSFER GOODS RECEIPT LIABILITY</v>
          </cell>
          <cell r="E173" t="str">
            <v/>
          </cell>
          <cell r="F173" t="str">
            <v/>
          </cell>
          <cell r="G173" t="str">
            <v/>
          </cell>
          <cell r="H173" t="str">
            <v/>
          </cell>
          <cell r="I173" t="str">
            <v/>
          </cell>
          <cell r="J173">
            <v>154975</v>
          </cell>
          <cell r="K173" t="str">
            <v/>
          </cell>
          <cell r="L173">
            <v>0</v>
          </cell>
          <cell r="M173">
            <v>0</v>
          </cell>
          <cell r="N173">
            <v>0</v>
          </cell>
          <cell r="O173">
            <v>16624.413530000002</v>
          </cell>
          <cell r="P173">
            <v>0</v>
          </cell>
          <cell r="Q173">
            <v>0</v>
          </cell>
          <cell r="R173">
            <v>20304.748739999999</v>
          </cell>
          <cell r="S173">
            <v>0</v>
          </cell>
          <cell r="T173">
            <v>0</v>
          </cell>
          <cell r="U173">
            <v>20304.748739999999</v>
          </cell>
          <cell r="V173">
            <v>0</v>
          </cell>
          <cell r="W173">
            <v>0</v>
          </cell>
          <cell r="X173">
            <v>52386.402430000002</v>
          </cell>
          <cell r="Y173">
            <v>6952.259352</v>
          </cell>
        </row>
        <row r="174">
          <cell r="B174">
            <v>154980</v>
          </cell>
          <cell r="C174" t="str">
            <v>RTBS</v>
          </cell>
          <cell r="D174" t="str">
            <v>M&amp;S - RECON - CONVERSION ACCT FOR SAP START</v>
          </cell>
          <cell r="E174" t="str">
            <v/>
          </cell>
          <cell r="F174" t="str">
            <v/>
          </cell>
          <cell r="G174">
            <v>154980</v>
          </cell>
          <cell r="H174" t="str">
            <v/>
          </cell>
          <cell r="I174" t="str">
            <v/>
          </cell>
          <cell r="J174" t="str">
            <v/>
          </cell>
          <cell r="K174" t="str">
            <v/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</row>
        <row r="175">
          <cell r="B175">
            <v>158100</v>
          </cell>
          <cell r="C175" t="str">
            <v>RTBS</v>
          </cell>
          <cell r="D175" t="str">
            <v>M&amp;S - NITROUS OXIDE ALLOWANCES - FEDERAL</v>
          </cell>
          <cell r="E175" t="str">
            <v/>
          </cell>
          <cell r="F175" t="str">
            <v/>
          </cell>
          <cell r="G175">
            <v>158100</v>
          </cell>
          <cell r="H175" t="str">
            <v/>
          </cell>
          <cell r="I175" t="str">
            <v/>
          </cell>
          <cell r="J175" t="str">
            <v/>
          </cell>
          <cell r="K175" t="str">
            <v/>
          </cell>
          <cell r="L175">
            <v>99.171300000000002</v>
          </cell>
          <cell r="M175">
            <v>99.171300000000002</v>
          </cell>
          <cell r="N175">
            <v>99.171300000000002</v>
          </cell>
          <cell r="O175">
            <v>99.171300000000002</v>
          </cell>
          <cell r="P175">
            <v>99.171300000000002</v>
          </cell>
          <cell r="Q175">
            <v>99.171300000000002</v>
          </cell>
          <cell r="R175">
            <v>99.171300000000002</v>
          </cell>
          <cell r="S175">
            <v>99.171300000000002</v>
          </cell>
          <cell r="T175">
            <v>99.171300000000002</v>
          </cell>
          <cell r="U175">
            <v>99.171300000000002</v>
          </cell>
          <cell r="V175">
            <v>99.171300000000002</v>
          </cell>
          <cell r="W175">
            <v>0</v>
          </cell>
          <cell r="X175">
            <v>0</v>
          </cell>
          <cell r="Y175">
            <v>86.774888000000004</v>
          </cell>
        </row>
        <row r="176">
          <cell r="B176">
            <v>158102</v>
          </cell>
          <cell r="C176" t="str">
            <v>RTBS</v>
          </cell>
          <cell r="D176" t="str">
            <v>M&amp;S - NITROUS OXIDE ALLOWANCES - NY STATE</v>
          </cell>
          <cell r="E176" t="str">
            <v/>
          </cell>
          <cell r="F176" t="str">
            <v/>
          </cell>
          <cell r="G176">
            <v>158102</v>
          </cell>
          <cell r="H176" t="str">
            <v/>
          </cell>
          <cell r="I176" t="str">
            <v/>
          </cell>
          <cell r="J176" t="str">
            <v/>
          </cell>
          <cell r="K176" t="str">
            <v/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</row>
        <row r="177">
          <cell r="B177">
            <v>158110</v>
          </cell>
          <cell r="C177" t="str">
            <v>RTBS</v>
          </cell>
          <cell r="D177" t="str">
            <v>M&amp;S - SO2 ALLOWANCES - FEDERAL</v>
          </cell>
          <cell r="E177" t="str">
            <v/>
          </cell>
          <cell r="F177" t="str">
            <v/>
          </cell>
          <cell r="G177">
            <v>158110</v>
          </cell>
          <cell r="H177" t="str">
            <v/>
          </cell>
          <cell r="I177" t="str">
            <v/>
          </cell>
          <cell r="J177" t="str">
            <v/>
          </cell>
          <cell r="K177" t="str">
            <v/>
          </cell>
          <cell r="L177">
            <v>-3.7509000000000001</v>
          </cell>
          <cell r="M177">
            <v>-3.7509000000000001</v>
          </cell>
          <cell r="N177">
            <v>-3.7509000000000001</v>
          </cell>
          <cell r="O177">
            <v>-3.7509000000000001</v>
          </cell>
          <cell r="P177">
            <v>-3.7509000000000001</v>
          </cell>
          <cell r="Q177">
            <v>-3.7509000000000001</v>
          </cell>
          <cell r="R177">
            <v>-3.7509000000000001</v>
          </cell>
          <cell r="S177">
            <v>-3.7509000000000001</v>
          </cell>
          <cell r="T177">
            <v>-3.7509000000000001</v>
          </cell>
          <cell r="U177">
            <v>-3.7509000000000001</v>
          </cell>
          <cell r="V177">
            <v>-3.7509000000000001</v>
          </cell>
          <cell r="W177">
            <v>-3.7509000000000001</v>
          </cell>
          <cell r="X177">
            <v>-3.7509000000000001</v>
          </cell>
          <cell r="Y177">
            <v>-3.7509000000000001</v>
          </cell>
        </row>
        <row r="178">
          <cell r="B178">
            <v>158112</v>
          </cell>
          <cell r="C178" t="str">
            <v>RTBS</v>
          </cell>
          <cell r="D178" t="str">
            <v>M&amp;S - SO2 ALLOWANCES - NY STATE</v>
          </cell>
          <cell r="E178" t="str">
            <v/>
          </cell>
          <cell r="F178" t="str">
            <v/>
          </cell>
          <cell r="G178">
            <v>158112</v>
          </cell>
          <cell r="H178" t="str">
            <v/>
          </cell>
          <cell r="I178" t="str">
            <v/>
          </cell>
          <cell r="J178" t="str">
            <v/>
          </cell>
          <cell r="K178" t="str">
            <v/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</row>
        <row r="179">
          <cell r="B179">
            <v>158115</v>
          </cell>
          <cell r="C179" t="str">
            <v>RTBS</v>
          </cell>
          <cell r="D179" t="str">
            <v>M&amp;S - CO2 ALLOWANCES - RGGI</v>
          </cell>
          <cell r="E179" t="str">
            <v/>
          </cell>
          <cell r="F179" t="str">
            <v/>
          </cell>
          <cell r="G179">
            <v>158115</v>
          </cell>
          <cell r="H179" t="str">
            <v/>
          </cell>
          <cell r="I179" t="str">
            <v/>
          </cell>
          <cell r="J179" t="str">
            <v/>
          </cell>
          <cell r="K179" t="str">
            <v/>
          </cell>
          <cell r="L179">
            <v>-2.444E-2</v>
          </cell>
          <cell r="M179">
            <v>-2.444E-2</v>
          </cell>
          <cell r="N179">
            <v>-2.444E-2</v>
          </cell>
          <cell r="O179">
            <v>-2.444E-2</v>
          </cell>
          <cell r="P179">
            <v>-2.444E-2</v>
          </cell>
          <cell r="Q179">
            <v>-2.444E-2</v>
          </cell>
          <cell r="R179">
            <v>0.73939999999999995</v>
          </cell>
          <cell r="S179">
            <v>1.2595700000000001</v>
          </cell>
          <cell r="T179">
            <v>1.55403</v>
          </cell>
          <cell r="U179">
            <v>-6.5567700000000002</v>
          </cell>
          <cell r="V179">
            <v>-16.15305</v>
          </cell>
          <cell r="W179">
            <v>-28.80996</v>
          </cell>
          <cell r="X179">
            <v>1.34849</v>
          </cell>
          <cell r="Y179">
            <v>-3.9522460000000001</v>
          </cell>
        </row>
        <row r="180">
          <cell r="B180">
            <v>164100</v>
          </cell>
          <cell r="C180" t="str">
            <v>RTBS</v>
          </cell>
          <cell r="D180" t="str">
            <v>GAS STORED UNDERGROUND - INVENTORY</v>
          </cell>
          <cell r="E180" t="str">
            <v/>
          </cell>
          <cell r="F180" t="str">
            <v/>
          </cell>
          <cell r="G180">
            <v>164100</v>
          </cell>
          <cell r="H180" t="str">
            <v/>
          </cell>
          <cell r="I180" t="str">
            <v/>
          </cell>
          <cell r="J180" t="str">
            <v/>
          </cell>
          <cell r="K180" t="str">
            <v/>
          </cell>
          <cell r="L180">
            <v>16289.750910000001</v>
          </cell>
          <cell r="M180">
            <v>10126.195460000001</v>
          </cell>
          <cell r="N180">
            <v>5215.3951800000004</v>
          </cell>
          <cell r="O180">
            <v>1052.23918</v>
          </cell>
          <cell r="P180">
            <v>3764.1302300000002</v>
          </cell>
          <cell r="Q180">
            <v>7462.68444</v>
          </cell>
          <cell r="R180">
            <v>11024.3334</v>
          </cell>
          <cell r="S180">
            <v>14641.236440000001</v>
          </cell>
          <cell r="T180">
            <v>18227.817869999999</v>
          </cell>
          <cell r="U180">
            <v>21360.459289999999</v>
          </cell>
          <cell r="V180">
            <v>22452.822759999999</v>
          </cell>
          <cell r="W180">
            <v>21456.260389999999</v>
          </cell>
          <cell r="X180">
            <v>16984.91302</v>
          </cell>
          <cell r="Y180">
            <v>12785.07555</v>
          </cell>
        </row>
        <row r="181">
          <cell r="B181">
            <v>164102</v>
          </cell>
          <cell r="C181" t="str">
            <v>RTBS</v>
          </cell>
          <cell r="D181" t="str">
            <v>GAS STORED UNDERGROUND - DOMINION TRANSMISSION IN</v>
          </cell>
          <cell r="E181" t="str">
            <v/>
          </cell>
          <cell r="F181" t="str">
            <v/>
          </cell>
          <cell r="G181">
            <v>164102</v>
          </cell>
          <cell r="H181" t="str">
            <v/>
          </cell>
          <cell r="I181" t="str">
            <v/>
          </cell>
          <cell r="J181" t="str">
            <v/>
          </cell>
          <cell r="K181" t="str">
            <v/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</row>
        <row r="182">
          <cell r="B182">
            <v>164105</v>
          </cell>
          <cell r="C182" t="str">
            <v>RTBS</v>
          </cell>
          <cell r="D182" t="str">
            <v>GAS STORED UNDERGROUND - ALLEGANY IMBALANCE</v>
          </cell>
          <cell r="E182" t="str">
            <v/>
          </cell>
          <cell r="F182" t="str">
            <v/>
          </cell>
          <cell r="G182">
            <v>164105</v>
          </cell>
          <cell r="H182" t="str">
            <v/>
          </cell>
          <cell r="I182" t="str">
            <v/>
          </cell>
          <cell r="J182" t="str">
            <v/>
          </cell>
          <cell r="K182" t="str">
            <v/>
          </cell>
          <cell r="L182">
            <v>8.1350000000000006E-2</v>
          </cell>
          <cell r="M182">
            <v>-0.31383</v>
          </cell>
          <cell r="N182">
            <v>4.6219999999999997E-2</v>
          </cell>
          <cell r="O182">
            <v>-0.54010999999999998</v>
          </cell>
          <cell r="P182">
            <v>-0.60709999999999997</v>
          </cell>
          <cell r="Q182">
            <v>-3.7740000000000003E-2</v>
          </cell>
          <cell r="R182">
            <v>-13.76444</v>
          </cell>
          <cell r="S182">
            <v>13.06854</v>
          </cell>
          <cell r="T182">
            <v>17.032540000000001</v>
          </cell>
          <cell r="U182">
            <v>13.159879999999999</v>
          </cell>
          <cell r="V182">
            <v>-2.84091</v>
          </cell>
          <cell r="W182">
            <v>-9.9100199999999994</v>
          </cell>
          <cell r="X182">
            <v>-11.182550000000001</v>
          </cell>
          <cell r="Y182">
            <v>0.81186899999999995</v>
          </cell>
        </row>
        <row r="183">
          <cell r="B183">
            <v>164107</v>
          </cell>
          <cell r="C183" t="str">
            <v>RTBS</v>
          </cell>
          <cell r="D183" t="str">
            <v>GAS STORED UNDERGROUND - UNION STORAGE BASE</v>
          </cell>
          <cell r="E183" t="str">
            <v/>
          </cell>
          <cell r="F183" t="str">
            <v/>
          </cell>
          <cell r="G183">
            <v>164107</v>
          </cell>
          <cell r="H183" t="str">
            <v/>
          </cell>
          <cell r="I183" t="str">
            <v/>
          </cell>
          <cell r="J183" t="str">
            <v/>
          </cell>
          <cell r="K183" t="str">
            <v/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</row>
        <row r="184">
          <cell r="B184">
            <v>164108</v>
          </cell>
          <cell r="C184" t="str">
            <v>RTBS</v>
          </cell>
          <cell r="D184" t="str">
            <v>GAS STORED UNDERGROUND - UNION STORAGE PEAKING</v>
          </cell>
          <cell r="E184" t="str">
            <v/>
          </cell>
          <cell r="F184" t="str">
            <v/>
          </cell>
          <cell r="G184">
            <v>164108</v>
          </cell>
          <cell r="H184" t="str">
            <v/>
          </cell>
          <cell r="I184" t="str">
            <v/>
          </cell>
          <cell r="J184" t="str">
            <v/>
          </cell>
          <cell r="K184" t="str">
            <v/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</row>
        <row r="185">
          <cell r="B185">
            <v>164110</v>
          </cell>
          <cell r="C185" t="str">
            <v>RTBS</v>
          </cell>
          <cell r="D185" t="str">
            <v>GAS STORED UNDERGROUND - FAS 133</v>
          </cell>
          <cell r="E185" t="str">
            <v/>
          </cell>
          <cell r="F185" t="str">
            <v/>
          </cell>
          <cell r="G185">
            <v>164110</v>
          </cell>
          <cell r="H185" t="str">
            <v/>
          </cell>
          <cell r="I185" t="str">
            <v/>
          </cell>
          <cell r="J185" t="str">
            <v/>
          </cell>
          <cell r="K185" t="str">
            <v/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</row>
        <row r="186">
          <cell r="B186">
            <v>164160</v>
          </cell>
          <cell r="C186" t="str">
            <v>RTBS</v>
          </cell>
          <cell r="D186" t="str">
            <v>GAS STORED-DOMINION TRANSMISSION</v>
          </cell>
          <cell r="E186" t="str">
            <v/>
          </cell>
          <cell r="F186" t="str">
            <v/>
          </cell>
          <cell r="G186">
            <v>164160</v>
          </cell>
          <cell r="H186" t="str">
            <v/>
          </cell>
          <cell r="I186" t="str">
            <v/>
          </cell>
          <cell r="J186" t="str">
            <v/>
          </cell>
          <cell r="K186" t="str">
            <v/>
          </cell>
          <cell r="L186">
            <v>11023.618539999999</v>
          </cell>
          <cell r="M186">
            <v>7219.4013699999996</v>
          </cell>
          <cell r="N186">
            <v>3265.00452</v>
          </cell>
          <cell r="O186">
            <v>1996.2966899999999</v>
          </cell>
          <cell r="P186">
            <v>3191.5201999999999</v>
          </cell>
          <cell r="Q186">
            <v>5609.5588500000003</v>
          </cell>
          <cell r="R186">
            <v>8634.5019400000001</v>
          </cell>
          <cell r="S186">
            <v>11253.72258</v>
          </cell>
          <cell r="T186">
            <v>13525.465700000001</v>
          </cell>
          <cell r="U186">
            <v>15263.225700000001</v>
          </cell>
          <cell r="V186">
            <v>15533.93253</v>
          </cell>
          <cell r="W186">
            <v>14032.55747</v>
          </cell>
          <cell r="X186">
            <v>11183.30595</v>
          </cell>
          <cell r="Y186">
            <v>9219.0541499999999</v>
          </cell>
        </row>
        <row r="187">
          <cell r="B187">
            <v>165020</v>
          </cell>
          <cell r="C187" t="str">
            <v>RTBS</v>
          </cell>
          <cell r="D187" t="str">
            <v>PREPAYMENTS - INSURANCE</v>
          </cell>
          <cell r="E187" t="str">
            <v/>
          </cell>
          <cell r="F187" t="str">
            <v/>
          </cell>
          <cell r="G187">
            <v>165020</v>
          </cell>
          <cell r="H187" t="str">
            <v/>
          </cell>
          <cell r="I187" t="str">
            <v/>
          </cell>
          <cell r="J187" t="str">
            <v/>
          </cell>
          <cell r="K187" t="str">
            <v/>
          </cell>
          <cell r="L187">
            <v>775.28800999999999</v>
          </cell>
          <cell r="M187">
            <v>641.13243</v>
          </cell>
          <cell r="N187">
            <v>455.81727000000001</v>
          </cell>
          <cell r="O187">
            <v>270.53219999999999</v>
          </cell>
          <cell r="P187">
            <v>170.68682000000001</v>
          </cell>
          <cell r="Q187">
            <v>6.5696599999999998</v>
          </cell>
          <cell r="R187">
            <v>-194.68186</v>
          </cell>
          <cell r="S187">
            <v>654.37495999999999</v>
          </cell>
          <cell r="T187">
            <v>553.59189000000003</v>
          </cell>
          <cell r="U187">
            <v>1073.1349399999999</v>
          </cell>
          <cell r="V187">
            <v>1000.30773</v>
          </cell>
          <cell r="W187">
            <v>893.22645999999997</v>
          </cell>
          <cell r="X187">
            <v>745.77016000000003</v>
          </cell>
          <cell r="Y187">
            <v>523.76846499999999</v>
          </cell>
        </row>
        <row r="188">
          <cell r="B188">
            <v>165030</v>
          </cell>
          <cell r="C188" t="str">
            <v>RTBS</v>
          </cell>
          <cell r="D188" t="str">
            <v>PREPAYMENTS - POSTAGE</v>
          </cell>
          <cell r="E188" t="str">
            <v/>
          </cell>
          <cell r="F188" t="str">
            <v/>
          </cell>
          <cell r="G188">
            <v>165030</v>
          </cell>
          <cell r="H188" t="str">
            <v/>
          </cell>
          <cell r="I188" t="str">
            <v/>
          </cell>
          <cell r="J188" t="str">
            <v/>
          </cell>
          <cell r="K188" t="str">
            <v/>
          </cell>
          <cell r="L188">
            <v>264.70026000000001</v>
          </cell>
          <cell r="M188">
            <v>242.64989</v>
          </cell>
          <cell r="N188">
            <v>92.227360000000004</v>
          </cell>
          <cell r="O188">
            <v>325.26292000000001</v>
          </cell>
          <cell r="P188">
            <v>343.87191000000001</v>
          </cell>
          <cell r="Q188">
            <v>364.77334000000002</v>
          </cell>
          <cell r="R188">
            <v>382.83762999999999</v>
          </cell>
          <cell r="S188">
            <v>407.93565000000001</v>
          </cell>
          <cell r="T188">
            <v>615.07414000000006</v>
          </cell>
          <cell r="U188">
            <v>447.70967999999999</v>
          </cell>
          <cell r="V188">
            <v>313.21471000000003</v>
          </cell>
          <cell r="W188">
            <v>539.67397000000005</v>
          </cell>
          <cell r="X188">
            <v>527.96618999999998</v>
          </cell>
          <cell r="Y188">
            <v>372.63036899999997</v>
          </cell>
        </row>
        <row r="189">
          <cell r="B189">
            <v>165040</v>
          </cell>
          <cell r="C189" t="str">
            <v>RTBS</v>
          </cell>
          <cell r="D189" t="str">
            <v>PREPAYMENTS - MISCELLANEOUS</v>
          </cell>
          <cell r="E189" t="str">
            <v/>
          </cell>
          <cell r="F189" t="str">
            <v/>
          </cell>
          <cell r="G189">
            <v>165040</v>
          </cell>
          <cell r="H189" t="str">
            <v/>
          </cell>
          <cell r="I189" t="str">
            <v/>
          </cell>
          <cell r="J189" t="str">
            <v/>
          </cell>
          <cell r="K189" t="str">
            <v/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4.0428600000000001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109.57917</v>
          </cell>
          <cell r="Y189">
            <v>4.902704</v>
          </cell>
        </row>
        <row r="190">
          <cell r="B190">
            <v>165050</v>
          </cell>
          <cell r="C190" t="str">
            <v>RTBS</v>
          </cell>
          <cell r="D190" t="str">
            <v>PREPAYMENTS - NYS LOW LEV RAD WASTE DISP-GINNA</v>
          </cell>
          <cell r="E190" t="str">
            <v/>
          </cell>
          <cell r="F190" t="str">
            <v/>
          </cell>
          <cell r="G190">
            <v>165050</v>
          </cell>
          <cell r="H190" t="str">
            <v/>
          </cell>
          <cell r="I190" t="str">
            <v/>
          </cell>
          <cell r="J190" t="str">
            <v/>
          </cell>
          <cell r="K190" t="str">
            <v/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</row>
        <row r="191">
          <cell r="B191">
            <v>165110</v>
          </cell>
          <cell r="C191" t="str">
            <v>RTBS</v>
          </cell>
          <cell r="D191" t="str">
            <v>PREPAYMENTS - REAL PROPERTY</v>
          </cell>
          <cell r="E191" t="str">
            <v/>
          </cell>
          <cell r="F191" t="str">
            <v/>
          </cell>
          <cell r="G191">
            <v>165110</v>
          </cell>
          <cell r="H191" t="str">
            <v/>
          </cell>
          <cell r="I191" t="str">
            <v/>
          </cell>
          <cell r="J191" t="str">
            <v/>
          </cell>
          <cell r="K191" t="str">
            <v/>
          </cell>
          <cell r="L191">
            <v>27225.476139999999</v>
          </cell>
          <cell r="M191">
            <v>45417.449460000003</v>
          </cell>
          <cell r="N191">
            <v>38840.567230000001</v>
          </cell>
          <cell r="O191">
            <v>32227.47004</v>
          </cell>
          <cell r="P191">
            <v>25520.409510000001</v>
          </cell>
          <cell r="Q191">
            <v>18854.50532</v>
          </cell>
          <cell r="R191">
            <v>13102.534879999999</v>
          </cell>
          <cell r="S191">
            <v>36901.259720000002</v>
          </cell>
          <cell r="T191">
            <v>32599.603510000001</v>
          </cell>
          <cell r="U191">
            <v>46412.684569999998</v>
          </cell>
          <cell r="V191">
            <v>41089.52837</v>
          </cell>
          <cell r="W191">
            <v>34358.955719999998</v>
          </cell>
          <cell r="X191">
            <v>27628.385320000001</v>
          </cell>
          <cell r="Y191">
            <v>32729.324922</v>
          </cell>
        </row>
        <row r="192">
          <cell r="B192">
            <v>165120</v>
          </cell>
          <cell r="C192" t="str">
            <v>RTBS</v>
          </cell>
          <cell r="D192" t="str">
            <v>PREPAYMENTS - SPECIAL FRANCHISE</v>
          </cell>
          <cell r="E192" t="str">
            <v/>
          </cell>
          <cell r="F192" t="str">
            <v/>
          </cell>
          <cell r="G192">
            <v>165120</v>
          </cell>
          <cell r="H192" t="str">
            <v/>
          </cell>
          <cell r="I192" t="str">
            <v/>
          </cell>
          <cell r="J192" t="str">
            <v/>
          </cell>
          <cell r="K192" t="str">
            <v/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</row>
        <row r="193">
          <cell r="B193">
            <v>165170</v>
          </cell>
          <cell r="C193" t="str">
            <v>RTBS</v>
          </cell>
          <cell r="D193" t="str">
            <v>PREPAYMENTS - FEDERAL EXCISE</v>
          </cell>
          <cell r="E193" t="str">
            <v/>
          </cell>
          <cell r="F193" t="str">
            <v/>
          </cell>
          <cell r="G193">
            <v>165170</v>
          </cell>
          <cell r="H193" t="str">
            <v/>
          </cell>
          <cell r="I193" t="str">
            <v/>
          </cell>
          <cell r="J193" t="str">
            <v/>
          </cell>
          <cell r="K193" t="str">
            <v/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</row>
        <row r="194">
          <cell r="B194">
            <v>165290</v>
          </cell>
          <cell r="C194" t="str">
            <v>RTBS</v>
          </cell>
          <cell r="D194" t="str">
            <v>PREPAYMENTS -PSC GEN ASSESSMENT INCL ERDA</v>
          </cell>
          <cell r="E194" t="str">
            <v/>
          </cell>
          <cell r="F194" t="str">
            <v/>
          </cell>
          <cell r="G194">
            <v>165290</v>
          </cell>
          <cell r="H194" t="str">
            <v/>
          </cell>
          <cell r="I194" t="str">
            <v/>
          </cell>
          <cell r="J194" t="str">
            <v/>
          </cell>
          <cell r="K194" t="str">
            <v/>
          </cell>
          <cell r="L194">
            <v>6563.0958600000004</v>
          </cell>
          <cell r="M194">
            <v>4375.3972599999997</v>
          </cell>
          <cell r="N194">
            <v>2187.69866</v>
          </cell>
          <cell r="O194">
            <v>13177.005139999999</v>
          </cell>
          <cell r="P194">
            <v>10980.83761</v>
          </cell>
          <cell r="Q194">
            <v>8784.6700799999999</v>
          </cell>
          <cell r="R194">
            <v>6588.5025500000002</v>
          </cell>
          <cell r="S194">
            <v>4392.3350200000004</v>
          </cell>
          <cell r="T194">
            <v>2418.9723100000001</v>
          </cell>
          <cell r="U194">
            <v>12909.639289999999</v>
          </cell>
          <cell r="V194">
            <v>10758.032719999999</v>
          </cell>
          <cell r="W194">
            <v>8606.4261499999993</v>
          </cell>
          <cell r="X194">
            <v>6454.8195800000003</v>
          </cell>
          <cell r="Y194">
            <v>7640.7062089999999</v>
          </cell>
        </row>
        <row r="195">
          <cell r="B195">
            <v>171000</v>
          </cell>
          <cell r="C195" t="str">
            <v>Working Capital</v>
          </cell>
          <cell r="D195" t="str">
            <v>INTEREST &amp; DIVIDENDS RECEIVABLE</v>
          </cell>
          <cell r="E195" t="str">
            <v/>
          </cell>
          <cell r="F195" t="str">
            <v/>
          </cell>
          <cell r="G195" t="str">
            <v/>
          </cell>
          <cell r="H195" t="str">
            <v/>
          </cell>
          <cell r="I195">
            <v>171000</v>
          </cell>
          <cell r="J195" t="str">
            <v/>
          </cell>
          <cell r="K195" t="str">
            <v/>
          </cell>
          <cell r="L195">
            <v>19.752559999999999</v>
          </cell>
          <cell r="M195">
            <v>27.094670000000001</v>
          </cell>
          <cell r="N195">
            <v>23.15438</v>
          </cell>
          <cell r="O195">
            <v>21.061419999999998</v>
          </cell>
          <cell r="P195">
            <v>21.78464</v>
          </cell>
          <cell r="Q195">
            <v>19.805700000000002</v>
          </cell>
          <cell r="R195">
            <v>19.81626</v>
          </cell>
          <cell r="S195">
            <v>21.156669999999998</v>
          </cell>
          <cell r="T195">
            <v>27.490939999999998</v>
          </cell>
          <cell r="U195">
            <v>24.513639999999999</v>
          </cell>
          <cell r="V195">
            <v>21.101150000000001</v>
          </cell>
          <cell r="W195">
            <v>24.479179999999999</v>
          </cell>
          <cell r="X195">
            <v>26.280270000000002</v>
          </cell>
          <cell r="Y195">
            <v>22.872921999999999</v>
          </cell>
        </row>
        <row r="196">
          <cell r="B196">
            <v>171099</v>
          </cell>
          <cell r="C196">
            <v>0</v>
          </cell>
          <cell r="D196" t="str">
            <v>INTERCOMPANY INTEREST RECEIVABLE ELIMINATION</v>
          </cell>
          <cell r="E196">
            <v>0</v>
          </cell>
        </row>
        <row r="197">
          <cell r="B197">
            <v>172000</v>
          </cell>
          <cell r="C197" t="str">
            <v>Working Capital</v>
          </cell>
          <cell r="D197" t="str">
            <v>RENTS RECEIVABLE</v>
          </cell>
          <cell r="E197" t="str">
            <v/>
          </cell>
          <cell r="F197" t="str">
            <v/>
          </cell>
          <cell r="G197" t="str">
            <v/>
          </cell>
          <cell r="H197" t="str">
            <v/>
          </cell>
          <cell r="I197">
            <v>172000</v>
          </cell>
          <cell r="J197" t="str">
            <v/>
          </cell>
          <cell r="K197" t="str">
            <v/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</row>
        <row r="198">
          <cell r="B198">
            <v>173100</v>
          </cell>
          <cell r="C198" t="str">
            <v>Working Capital</v>
          </cell>
          <cell r="D198" t="str">
            <v>ACCRUED UTILITY REVENUES - ELECTRIC</v>
          </cell>
          <cell r="E198" t="str">
            <v/>
          </cell>
          <cell r="F198" t="str">
            <v/>
          </cell>
          <cell r="G198" t="str">
            <v/>
          </cell>
          <cell r="H198" t="str">
            <v/>
          </cell>
          <cell r="I198">
            <v>173100</v>
          </cell>
          <cell r="J198" t="str">
            <v/>
          </cell>
          <cell r="K198" t="str">
            <v/>
          </cell>
          <cell r="L198">
            <v>25776.943889999999</v>
          </cell>
          <cell r="M198">
            <v>25718.952000000001</v>
          </cell>
          <cell r="N198">
            <v>16889.722570000002</v>
          </cell>
          <cell r="O198">
            <v>18584.800080000001</v>
          </cell>
          <cell r="P198">
            <v>17495.29725</v>
          </cell>
          <cell r="Q198">
            <v>21946.626270000001</v>
          </cell>
          <cell r="R198">
            <v>22999.39776</v>
          </cell>
          <cell r="S198">
            <v>29239.031760000002</v>
          </cell>
          <cell r="T198">
            <v>27965.488420000001</v>
          </cell>
          <cell r="U198">
            <v>22786.021359999999</v>
          </cell>
          <cell r="V198">
            <v>19978.786090000001</v>
          </cell>
          <cell r="W198">
            <v>21203.83167</v>
          </cell>
          <cell r="X198">
            <v>22987.131369999999</v>
          </cell>
          <cell r="Y198">
            <v>22432.499404999999</v>
          </cell>
        </row>
        <row r="199">
          <cell r="B199">
            <v>173200</v>
          </cell>
          <cell r="C199" t="str">
            <v>Working Capital</v>
          </cell>
          <cell r="D199" t="str">
            <v>ACCRUED UTILITY REVENUES - GAS</v>
          </cell>
          <cell r="E199" t="str">
            <v/>
          </cell>
          <cell r="F199" t="str">
            <v/>
          </cell>
          <cell r="G199" t="str">
            <v/>
          </cell>
          <cell r="H199" t="str">
            <v/>
          </cell>
          <cell r="I199">
            <v>173200</v>
          </cell>
          <cell r="J199" t="str">
            <v/>
          </cell>
          <cell r="K199" t="str">
            <v/>
          </cell>
          <cell r="L199">
            <v>27125.306629999999</v>
          </cell>
          <cell r="M199">
            <v>28346.238649999999</v>
          </cell>
          <cell r="N199">
            <v>23902.35267</v>
          </cell>
          <cell r="O199">
            <v>20086.7768</v>
          </cell>
          <cell r="P199">
            <v>12638.31709</v>
          </cell>
          <cell r="Q199">
            <v>7814.3726299999998</v>
          </cell>
          <cell r="R199">
            <v>3665.5668799999999</v>
          </cell>
          <cell r="S199">
            <v>2905.4349900000002</v>
          </cell>
          <cell r="T199">
            <v>4855.1627600000002</v>
          </cell>
          <cell r="U199">
            <v>4757.56495</v>
          </cell>
          <cell r="V199">
            <v>9458.7455000000009</v>
          </cell>
          <cell r="W199">
            <v>12693.810380000001</v>
          </cell>
          <cell r="X199">
            <v>18954.963629999998</v>
          </cell>
          <cell r="Y199">
            <v>12847.039869</v>
          </cell>
        </row>
        <row r="200">
          <cell r="B200">
            <v>174100</v>
          </cell>
          <cell r="C200" t="str">
            <v>Working Capital</v>
          </cell>
          <cell r="D200" t="str">
            <v>DEFERRED PURCHASED POWER COSTS</v>
          </cell>
          <cell r="E200" t="str">
            <v/>
          </cell>
          <cell r="F200" t="str">
            <v/>
          </cell>
          <cell r="G200" t="str">
            <v/>
          </cell>
          <cell r="H200" t="str">
            <v/>
          </cell>
          <cell r="I200">
            <v>174100</v>
          </cell>
          <cell r="J200" t="str">
            <v/>
          </cell>
          <cell r="K200" t="str">
            <v/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</row>
        <row r="201">
          <cell r="B201">
            <v>174110</v>
          </cell>
          <cell r="C201" t="str">
            <v>RTBS</v>
          </cell>
          <cell r="D201" t="str">
            <v>MISC CUR&amp;ACCRD ASSETS -MISC</v>
          </cell>
          <cell r="E201" t="str">
            <v/>
          </cell>
          <cell r="F201" t="str">
            <v/>
          </cell>
          <cell r="G201">
            <v>174110</v>
          </cell>
          <cell r="H201" t="str">
            <v/>
          </cell>
          <cell r="I201" t="str">
            <v/>
          </cell>
          <cell r="J201" t="str">
            <v/>
          </cell>
          <cell r="K201" t="str">
            <v/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-59.594000000000001</v>
          </cell>
          <cell r="S201">
            <v>3412.2346200000002</v>
          </cell>
          <cell r="T201">
            <v>3308.8348900000001</v>
          </cell>
          <cell r="U201">
            <v>3316.2881200000002</v>
          </cell>
          <cell r="V201">
            <v>3983.7495800000002</v>
          </cell>
          <cell r="W201">
            <v>4136.7175399999996</v>
          </cell>
          <cell r="X201">
            <v>2216.3624399999999</v>
          </cell>
          <cell r="Y201">
            <v>1600.5343310000001</v>
          </cell>
        </row>
        <row r="202">
          <cell r="B202">
            <v>174130</v>
          </cell>
          <cell r="C202" t="str">
            <v>Working Capital</v>
          </cell>
          <cell r="D202" t="str">
            <v>MISC CUR&amp;ACCRD ASSETS -ASSOC CO BILLING</v>
          </cell>
          <cell r="E202" t="str">
            <v/>
          </cell>
          <cell r="F202" t="str">
            <v/>
          </cell>
          <cell r="G202" t="str">
            <v/>
          </cell>
          <cell r="H202" t="str">
            <v/>
          </cell>
          <cell r="I202">
            <v>174130</v>
          </cell>
          <cell r="J202" t="str">
            <v/>
          </cell>
          <cell r="K202" t="str">
            <v/>
          </cell>
          <cell r="L202">
            <v>11.336880000000001</v>
          </cell>
          <cell r="M202">
            <v>8.2061600000000006</v>
          </cell>
          <cell r="N202">
            <v>21.65401</v>
          </cell>
          <cell r="O202">
            <v>13.99366</v>
          </cell>
          <cell r="P202">
            <v>16.207709999999999</v>
          </cell>
          <cell r="Q202">
            <v>16.953510000000001</v>
          </cell>
          <cell r="R202">
            <v>18.140940000000001</v>
          </cell>
          <cell r="S202">
            <v>19.716840000000001</v>
          </cell>
          <cell r="T202">
            <v>15.11767</v>
          </cell>
          <cell r="U202">
            <v>18.197559999999999</v>
          </cell>
          <cell r="V202">
            <v>18.491050000000001</v>
          </cell>
          <cell r="W202">
            <v>17.08569</v>
          </cell>
          <cell r="X202">
            <v>16.30442</v>
          </cell>
          <cell r="Y202">
            <v>16.465454000000001</v>
          </cell>
        </row>
        <row r="203">
          <cell r="B203">
            <v>174140</v>
          </cell>
          <cell r="C203" t="str">
            <v>Working Capital</v>
          </cell>
          <cell r="D203" t="str">
            <v>MISC CUR&amp;ACCRD ASSETS -OTH BILLING CHARGES</v>
          </cell>
          <cell r="E203" t="str">
            <v/>
          </cell>
          <cell r="F203" t="str">
            <v/>
          </cell>
          <cell r="G203" t="str">
            <v/>
          </cell>
          <cell r="H203" t="str">
            <v/>
          </cell>
          <cell r="I203">
            <v>174140</v>
          </cell>
          <cell r="J203" t="str">
            <v/>
          </cell>
          <cell r="K203" t="str">
            <v/>
          </cell>
          <cell r="L203">
            <v>0.51385000000000003</v>
          </cell>
          <cell r="M203">
            <v>0.51385000000000003</v>
          </cell>
          <cell r="N203">
            <v>0.51385000000000003</v>
          </cell>
          <cell r="O203">
            <v>0.51385000000000003</v>
          </cell>
          <cell r="P203">
            <v>0.51385000000000003</v>
          </cell>
          <cell r="Q203">
            <v>0.51385000000000003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0.235515</v>
          </cell>
        </row>
        <row r="204">
          <cell r="B204">
            <v>174175</v>
          </cell>
          <cell r="C204" t="str">
            <v>RTBS</v>
          </cell>
          <cell r="D204" t="str">
            <v>MISC CUR &amp; ACCRD ASSETS - UBS / ABN AMRO</v>
          </cell>
          <cell r="E204" t="str">
            <v/>
          </cell>
          <cell r="F204" t="str">
            <v/>
          </cell>
          <cell r="G204">
            <v>174175</v>
          </cell>
          <cell r="H204" t="str">
            <v/>
          </cell>
          <cell r="I204">
            <v>174175</v>
          </cell>
          <cell r="J204" t="str">
            <v/>
          </cell>
          <cell r="K204" t="str">
            <v/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</row>
        <row r="205">
          <cell r="B205">
            <v>174176</v>
          </cell>
          <cell r="C205" t="str">
            <v>RTBS</v>
          </cell>
          <cell r="D205" t="str">
            <v>MISC CUR &amp; ACCRD ASSETS-ROSENTHAL COLLINS</v>
          </cell>
          <cell r="E205" t="str">
            <v/>
          </cell>
          <cell r="F205" t="str">
            <v/>
          </cell>
          <cell r="G205">
            <v>174176</v>
          </cell>
          <cell r="H205" t="str">
            <v/>
          </cell>
          <cell r="I205">
            <v>174176</v>
          </cell>
          <cell r="J205" t="str">
            <v/>
          </cell>
          <cell r="K205" t="str">
            <v/>
          </cell>
          <cell r="L205">
            <v>8727.8250599999992</v>
          </cell>
          <cell r="M205">
            <v>6619.1405100000002</v>
          </cell>
          <cell r="N205">
            <v>7396.9453000000003</v>
          </cell>
          <cell r="O205">
            <v>3617.4125100000001</v>
          </cell>
          <cell r="P205">
            <v>3182.4145100000001</v>
          </cell>
          <cell r="Q205">
            <v>3163.8345100000001</v>
          </cell>
          <cell r="R205">
            <v>3880.5437700000002</v>
          </cell>
          <cell r="S205">
            <v>3613.99377</v>
          </cell>
          <cell r="T205">
            <v>5428.6507700000002</v>
          </cell>
          <cell r="U205">
            <v>5901.5301099999997</v>
          </cell>
          <cell r="V205">
            <v>6256.6415100000004</v>
          </cell>
          <cell r="W205">
            <v>7319.0435100000004</v>
          </cell>
          <cell r="X205">
            <v>8541.8400199999996</v>
          </cell>
          <cell r="Y205">
            <v>5417.9152770000001</v>
          </cell>
        </row>
        <row r="206">
          <cell r="B206">
            <v>176100</v>
          </cell>
          <cell r="C206" t="str">
            <v>Not in RTBS</v>
          </cell>
          <cell r="D206" t="str">
            <v>HEDGED ASSETS-ELECTRIC-SHORT TERM</v>
          </cell>
          <cell r="E206" t="str">
            <v/>
          </cell>
          <cell r="F206" t="str">
            <v/>
          </cell>
          <cell r="G206" t="str">
            <v/>
          </cell>
          <cell r="H206" t="str">
            <v/>
          </cell>
          <cell r="I206" t="str">
            <v/>
          </cell>
          <cell r="J206">
            <v>176100</v>
          </cell>
          <cell r="K206" t="str">
            <v/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</row>
        <row r="207">
          <cell r="B207">
            <v>176200</v>
          </cell>
          <cell r="C207" t="str">
            <v>Not in RTBS</v>
          </cell>
          <cell r="D207" t="str">
            <v>HEDGED ASSETS-ELECTRIC-ENRON</v>
          </cell>
          <cell r="E207" t="str">
            <v/>
          </cell>
          <cell r="F207" t="str">
            <v/>
          </cell>
          <cell r="G207" t="str">
            <v/>
          </cell>
          <cell r="H207" t="str">
            <v/>
          </cell>
          <cell r="I207" t="str">
            <v/>
          </cell>
          <cell r="J207">
            <v>176200</v>
          </cell>
          <cell r="K207" t="str">
            <v/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</row>
        <row r="208">
          <cell r="B208">
            <v>176300</v>
          </cell>
          <cell r="C208" t="str">
            <v>Not in RTBS</v>
          </cell>
          <cell r="D208" t="str">
            <v>HEDGED ASSETS-GAS-SHORT TERM</v>
          </cell>
          <cell r="E208" t="str">
            <v/>
          </cell>
          <cell r="F208" t="str">
            <v/>
          </cell>
          <cell r="G208" t="str">
            <v/>
          </cell>
          <cell r="H208" t="str">
            <v/>
          </cell>
          <cell r="I208" t="str">
            <v/>
          </cell>
          <cell r="J208">
            <v>176300</v>
          </cell>
          <cell r="K208" t="str">
            <v/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</row>
        <row r="209">
          <cell r="B209">
            <v>176301</v>
          </cell>
          <cell r="C209" t="str">
            <v>Not in RTBS</v>
          </cell>
          <cell r="D209" t="str">
            <v>HEDGED ASSETS-GAS-SHORT TERM</v>
          </cell>
          <cell r="E209" t="str">
            <v/>
          </cell>
          <cell r="F209" t="str">
            <v/>
          </cell>
          <cell r="G209" t="str">
            <v/>
          </cell>
          <cell r="H209" t="str">
            <v/>
          </cell>
          <cell r="I209" t="str">
            <v/>
          </cell>
          <cell r="J209">
            <v>176301</v>
          </cell>
          <cell r="K209" t="str">
            <v/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</row>
        <row r="210">
          <cell r="B210">
            <v>176350</v>
          </cell>
          <cell r="C210" t="str">
            <v>Not in RTBS</v>
          </cell>
          <cell r="D210" t="str">
            <v>HEDGED ASSETS - GAS - LONG TERM</v>
          </cell>
          <cell r="E210" t="str">
            <v/>
          </cell>
          <cell r="F210" t="str">
            <v/>
          </cell>
          <cell r="G210" t="str">
            <v/>
          </cell>
          <cell r="H210" t="str">
            <v/>
          </cell>
          <cell r="I210" t="str">
            <v/>
          </cell>
          <cell r="J210">
            <v>176350</v>
          </cell>
          <cell r="K210" t="str">
            <v/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</row>
        <row r="211">
          <cell r="B211">
            <v>176351</v>
          </cell>
          <cell r="C211" t="str">
            <v>Not in RTBS</v>
          </cell>
          <cell r="D211" t="str">
            <v>HEDGED ASSETS - GAS - LONG TERM</v>
          </cell>
          <cell r="E211" t="str">
            <v/>
          </cell>
          <cell r="F211" t="str">
            <v/>
          </cell>
          <cell r="G211" t="str">
            <v/>
          </cell>
          <cell r="H211" t="str">
            <v/>
          </cell>
          <cell r="I211" t="str">
            <v/>
          </cell>
          <cell r="J211">
            <v>176351</v>
          </cell>
          <cell r="K211" t="str">
            <v/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</row>
        <row r="212">
          <cell r="B212">
            <v>176401</v>
          </cell>
          <cell r="C212" t="str">
            <v>Not in RTBS</v>
          </cell>
          <cell r="D212" t="str">
            <v>HEDGED ASSET-COMMON</v>
          </cell>
          <cell r="E212" t="str">
            <v/>
          </cell>
          <cell r="F212" t="str">
            <v/>
          </cell>
          <cell r="G212" t="str">
            <v/>
          </cell>
          <cell r="H212" t="str">
            <v/>
          </cell>
          <cell r="I212" t="str">
            <v/>
          </cell>
          <cell r="J212">
            <v>176401</v>
          </cell>
          <cell r="K212" t="str">
            <v/>
          </cell>
          <cell r="L212">
            <v>20.231069999999999</v>
          </cell>
          <cell r="M212">
            <v>46.857190000000003</v>
          </cell>
          <cell r="N212">
            <v>101.95626</v>
          </cell>
          <cell r="O212">
            <v>140.05004</v>
          </cell>
          <cell r="P212">
            <v>199.27549999999999</v>
          </cell>
          <cell r="Q212">
            <v>78.173029999999997</v>
          </cell>
          <cell r="R212">
            <v>39.710439999999998</v>
          </cell>
          <cell r="S212">
            <v>101.4509</v>
          </cell>
          <cell r="T212">
            <v>121.39398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69.915239999999997</v>
          </cell>
        </row>
        <row r="213">
          <cell r="B213">
            <v>176500</v>
          </cell>
          <cell r="C213" t="str">
            <v>Not in RTBS</v>
          </cell>
          <cell r="D213" t="str">
            <v>HEDGED ASSET - COMMON - SWAP</v>
          </cell>
          <cell r="E213" t="str">
            <v/>
          </cell>
          <cell r="F213" t="str">
            <v/>
          </cell>
          <cell r="G213" t="str">
            <v/>
          </cell>
          <cell r="H213" t="str">
            <v/>
          </cell>
          <cell r="I213" t="str">
            <v/>
          </cell>
          <cell r="J213">
            <v>176500</v>
          </cell>
          <cell r="K213" t="str">
            <v/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</row>
        <row r="214">
          <cell r="B214">
            <v>176990</v>
          </cell>
          <cell r="C214" t="str">
            <v>Not in RTBS</v>
          </cell>
          <cell r="D214" t="str">
            <v>RECLASS -DERIVATIVE ASSET-SHORT TERM</v>
          </cell>
          <cell r="E214" t="str">
            <v/>
          </cell>
          <cell r="F214" t="str">
            <v/>
          </cell>
          <cell r="G214" t="str">
            <v/>
          </cell>
          <cell r="H214" t="str">
            <v/>
          </cell>
          <cell r="I214" t="str">
            <v/>
          </cell>
          <cell r="J214">
            <v>176990</v>
          </cell>
          <cell r="K214" t="str">
            <v/>
          </cell>
          <cell r="L214">
            <v>0</v>
          </cell>
          <cell r="M214">
            <v>0</v>
          </cell>
          <cell r="N214">
            <v>0</v>
          </cell>
          <cell r="O214">
            <v>-68.680000000000007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-5.7233330000000002</v>
          </cell>
        </row>
        <row r="215">
          <cell r="B215">
            <v>176991</v>
          </cell>
          <cell r="C215" t="str">
            <v>Not in RTBS</v>
          </cell>
          <cell r="D215" t="str">
            <v>RECLASS -DERIVATIVE ASSET-LONG TERM</v>
          </cell>
          <cell r="E215" t="str">
            <v/>
          </cell>
          <cell r="F215" t="str">
            <v/>
          </cell>
          <cell r="G215" t="str">
            <v/>
          </cell>
          <cell r="H215" t="str">
            <v/>
          </cell>
          <cell r="I215" t="str">
            <v/>
          </cell>
          <cell r="J215">
            <v>176991</v>
          </cell>
          <cell r="K215" t="str">
            <v/>
          </cell>
          <cell r="L215">
            <v>0</v>
          </cell>
          <cell r="M215">
            <v>0</v>
          </cell>
          <cell r="N215">
            <v>0</v>
          </cell>
          <cell r="O215">
            <v>68.680000000000007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5.7233330000000002</v>
          </cell>
        </row>
        <row r="216">
          <cell r="B216">
            <v>176992</v>
          </cell>
          <cell r="C216" t="str">
            <v>Not in RTBS</v>
          </cell>
          <cell r="D216" t="str">
            <v>0000176992 DERIVATIVE ASSET-LONG TERM</v>
          </cell>
          <cell r="E216" t="str">
            <v/>
          </cell>
          <cell r="F216" t="str">
            <v/>
          </cell>
          <cell r="G216" t="str">
            <v/>
          </cell>
          <cell r="H216" t="str">
            <v/>
          </cell>
          <cell r="I216" t="str">
            <v/>
          </cell>
          <cell r="J216">
            <v>176992</v>
          </cell>
          <cell r="K216" t="str">
            <v/>
          </cell>
          <cell r="P216">
            <v>102.34</v>
          </cell>
          <cell r="Q216">
            <v>63.77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13.842499999999999</v>
          </cell>
        </row>
        <row r="217">
          <cell r="B217">
            <v>181000</v>
          </cell>
          <cell r="C217" t="str">
            <v>CAP</v>
          </cell>
          <cell r="D217" t="str">
            <v>UNAMORTIZED DEBT EXPENSE</v>
          </cell>
          <cell r="E217" t="str">
            <v/>
          </cell>
          <cell r="F217" t="str">
            <v/>
          </cell>
          <cell r="G217" t="str">
            <v/>
          </cell>
          <cell r="H217" t="str">
            <v/>
          </cell>
          <cell r="I217" t="str">
            <v/>
          </cell>
          <cell r="J217" t="str">
            <v/>
          </cell>
          <cell r="K217">
            <v>181000</v>
          </cell>
          <cell r="L217">
            <v>12322.775250000001</v>
          </cell>
          <cell r="M217">
            <v>12261.67685</v>
          </cell>
          <cell r="N217">
            <v>12200.578450000001</v>
          </cell>
          <cell r="O217">
            <v>12139.48005</v>
          </cell>
          <cell r="P217">
            <v>12078.381649999999</v>
          </cell>
          <cell r="Q217">
            <v>12017.28325</v>
          </cell>
          <cell r="R217">
            <v>11956.18485</v>
          </cell>
          <cell r="S217">
            <v>13170.7544</v>
          </cell>
          <cell r="T217">
            <v>13979.51007</v>
          </cell>
          <cell r="U217">
            <v>13929.04594</v>
          </cell>
          <cell r="V217">
            <v>13853.642320000001</v>
          </cell>
          <cell r="W217">
            <v>13774.75138</v>
          </cell>
          <cell r="X217">
            <v>13021.09519</v>
          </cell>
          <cell r="Y217">
            <v>12836.102036</v>
          </cell>
        </row>
        <row r="218">
          <cell r="B218">
            <v>181001</v>
          </cell>
          <cell r="C218" t="str">
            <v>CAP</v>
          </cell>
          <cell r="D218" t="str">
            <v>UNAMORT DEBT EXP - POLLUTION CONTROL SECURITIES</v>
          </cell>
          <cell r="E218" t="str">
            <v/>
          </cell>
          <cell r="F218" t="str">
            <v/>
          </cell>
          <cell r="G218" t="str">
            <v/>
          </cell>
          <cell r="H218" t="str">
            <v/>
          </cell>
          <cell r="I218" t="str">
            <v/>
          </cell>
          <cell r="J218" t="str">
            <v/>
          </cell>
          <cell r="K218">
            <v>181001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</row>
        <row r="219">
          <cell r="B219">
            <v>181010</v>
          </cell>
          <cell r="C219" t="str">
            <v>CAP</v>
          </cell>
          <cell r="D219" t="str">
            <v>UNAMORT DEBT EXP - SHELF REGISTN OMNIBUS FIN</v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  <cell r="I219" t="str">
            <v/>
          </cell>
          <cell r="J219" t="str">
            <v/>
          </cell>
          <cell r="K219">
            <v>181010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</row>
        <row r="220">
          <cell r="B220">
            <v>181020</v>
          </cell>
          <cell r="C220" t="str">
            <v>CAP</v>
          </cell>
          <cell r="D220" t="str">
            <v>UNAMORT DEBT EXP - $195M M/T NOTES SERIES B</v>
          </cell>
          <cell r="E220" t="str">
            <v/>
          </cell>
          <cell r="F220" t="str">
            <v/>
          </cell>
          <cell r="G220" t="str">
            <v/>
          </cell>
          <cell r="H220" t="str">
            <v/>
          </cell>
          <cell r="I220" t="str">
            <v/>
          </cell>
          <cell r="J220" t="str">
            <v/>
          </cell>
          <cell r="K220">
            <v>181020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</row>
        <row r="221">
          <cell r="B221">
            <v>181100</v>
          </cell>
          <cell r="C221" t="str">
            <v>CAP</v>
          </cell>
          <cell r="D221" t="str">
            <v>UNAMORTIZED DEBT EXPENSE-LONG TERM DEBT</v>
          </cell>
          <cell r="E221" t="str">
            <v/>
          </cell>
          <cell r="F221" t="str">
            <v/>
          </cell>
          <cell r="G221" t="str">
            <v/>
          </cell>
          <cell r="H221" t="str">
            <v/>
          </cell>
          <cell r="I221" t="str">
            <v/>
          </cell>
          <cell r="J221" t="str">
            <v/>
          </cell>
          <cell r="K221">
            <v>181100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</row>
        <row r="222">
          <cell r="B222">
            <v>181200</v>
          </cell>
          <cell r="C222" t="str">
            <v>CAP</v>
          </cell>
          <cell r="D222" t="str">
            <v>UNAMORTIZED DEBT EXPENSE-MEDIUM TERM BONDS</v>
          </cell>
          <cell r="E222" t="str">
            <v/>
          </cell>
          <cell r="F222" t="str">
            <v/>
          </cell>
          <cell r="G222" t="str">
            <v/>
          </cell>
          <cell r="H222" t="str">
            <v/>
          </cell>
          <cell r="I222" t="str">
            <v/>
          </cell>
          <cell r="J222" t="str">
            <v/>
          </cell>
          <cell r="K222">
            <v>181200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</row>
        <row r="223">
          <cell r="B223">
            <v>181300</v>
          </cell>
          <cell r="C223" t="str">
            <v>CAP</v>
          </cell>
          <cell r="D223" t="str">
            <v>UNAMORTIZED DEBT EXPENSE-OMNIBUS</v>
          </cell>
          <cell r="E223" t="str">
            <v/>
          </cell>
          <cell r="F223" t="str">
            <v/>
          </cell>
          <cell r="G223" t="str">
            <v/>
          </cell>
          <cell r="H223" t="str">
            <v/>
          </cell>
          <cell r="I223" t="str">
            <v/>
          </cell>
          <cell r="J223" t="str">
            <v/>
          </cell>
          <cell r="K223">
            <v>181300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</row>
        <row r="224">
          <cell r="B224">
            <v>181400</v>
          </cell>
          <cell r="C224" t="str">
            <v>CAP</v>
          </cell>
          <cell r="D224" t="str">
            <v>UNAMORTIZED DEBT EXPENSE-POLLUTION CONTROL BONDS</v>
          </cell>
          <cell r="E224" t="str">
            <v/>
          </cell>
          <cell r="F224" t="str">
            <v/>
          </cell>
          <cell r="G224" t="str">
            <v/>
          </cell>
          <cell r="H224" t="str">
            <v/>
          </cell>
          <cell r="I224" t="str">
            <v/>
          </cell>
          <cell r="J224" t="str">
            <v/>
          </cell>
          <cell r="K224">
            <v>181400</v>
          </cell>
          <cell r="L224">
            <v>1760.04233</v>
          </cell>
          <cell r="M224">
            <v>1753.21369</v>
          </cell>
          <cell r="N224">
            <v>1746.3850500000001</v>
          </cell>
          <cell r="O224">
            <v>1739.5564099999999</v>
          </cell>
          <cell r="P224">
            <v>1732.72777</v>
          </cell>
          <cell r="Q224">
            <v>1725.89913</v>
          </cell>
          <cell r="R224">
            <v>1719.0704900000001</v>
          </cell>
          <cell r="S224">
            <v>1712.2418500000001</v>
          </cell>
          <cell r="T224">
            <v>1705.4132099999999</v>
          </cell>
          <cell r="U224">
            <v>1698.58457</v>
          </cell>
          <cell r="V224">
            <v>1691.75593</v>
          </cell>
          <cell r="W224">
            <v>1684.9272900000001</v>
          </cell>
          <cell r="X224">
            <v>1678.0986499999999</v>
          </cell>
          <cell r="Y224">
            <v>1719.0704900000001</v>
          </cell>
        </row>
        <row r="225">
          <cell r="B225">
            <v>181530</v>
          </cell>
          <cell r="C225" t="str">
            <v>CAP</v>
          </cell>
          <cell r="D225" t="str">
            <v>UNAMORT DEBT EXP - MDT - 7.64% - SERIES D</v>
          </cell>
          <cell r="E225" t="str">
            <v/>
          </cell>
          <cell r="F225" t="str">
            <v/>
          </cell>
          <cell r="G225" t="str">
            <v/>
          </cell>
          <cell r="H225" t="str">
            <v/>
          </cell>
          <cell r="I225" t="str">
            <v/>
          </cell>
          <cell r="J225" t="str">
            <v/>
          </cell>
          <cell r="K225">
            <v>181530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</row>
        <row r="226">
          <cell r="B226">
            <v>181540</v>
          </cell>
          <cell r="C226" t="str">
            <v>CAP</v>
          </cell>
          <cell r="D226" t="str">
            <v>UNAMORT DEBT EXP - MDT - 7.66% - SERIES E</v>
          </cell>
          <cell r="E226" t="str">
            <v/>
          </cell>
          <cell r="F226" t="str">
            <v/>
          </cell>
          <cell r="G226" t="str">
            <v/>
          </cell>
          <cell r="H226" t="str">
            <v/>
          </cell>
          <cell r="I226" t="str">
            <v/>
          </cell>
          <cell r="J226" t="str">
            <v/>
          </cell>
          <cell r="K226">
            <v>181540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</row>
        <row r="227">
          <cell r="B227">
            <v>181550</v>
          </cell>
          <cell r="C227" t="str">
            <v>CAP</v>
          </cell>
          <cell r="D227" t="str">
            <v>UNAMORT DEBT EXP - MDT - 7.67% - SERIES F</v>
          </cell>
          <cell r="E227" t="str">
            <v/>
          </cell>
          <cell r="F227" t="str">
            <v/>
          </cell>
          <cell r="G227" t="str">
            <v/>
          </cell>
          <cell r="H227" t="str">
            <v/>
          </cell>
          <cell r="I227" t="str">
            <v/>
          </cell>
          <cell r="J227" t="str">
            <v/>
          </cell>
          <cell r="K227">
            <v>181550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</row>
        <row r="228">
          <cell r="B228">
            <v>181570</v>
          </cell>
          <cell r="C228" t="str">
            <v>CAP</v>
          </cell>
          <cell r="D228" t="str">
            <v>UNAMORT DEBT EXP - MDT - 7.45% - SERIES H</v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  <cell r="I228" t="str">
            <v/>
          </cell>
          <cell r="J228" t="str">
            <v/>
          </cell>
          <cell r="K228">
            <v>181570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</row>
        <row r="229">
          <cell r="B229">
            <v>181580</v>
          </cell>
          <cell r="C229" t="str">
            <v>CAP</v>
          </cell>
          <cell r="D229" t="str">
            <v>UNAMORT DEBT EXP - MDT - 5.84 % - SERIES I</v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  <cell r="I229" t="str">
            <v/>
          </cell>
          <cell r="J229" t="str">
            <v/>
          </cell>
          <cell r="K229">
            <v>181580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</row>
        <row r="230">
          <cell r="B230">
            <v>181590</v>
          </cell>
          <cell r="C230" t="str">
            <v>CAP</v>
          </cell>
          <cell r="D230" t="str">
            <v>UNAMORT DEBT EXP - MDT - 7.60% - SERIES J</v>
          </cell>
          <cell r="E230" t="str">
            <v/>
          </cell>
          <cell r="F230" t="str">
            <v/>
          </cell>
          <cell r="G230" t="str">
            <v/>
          </cell>
          <cell r="H230" t="str">
            <v/>
          </cell>
          <cell r="I230" t="str">
            <v/>
          </cell>
          <cell r="J230" t="str">
            <v/>
          </cell>
          <cell r="K230">
            <v>181590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</row>
        <row r="231">
          <cell r="B231">
            <v>182000</v>
          </cell>
          <cell r="C231" t="str">
            <v>Roll Fwd Sched</v>
          </cell>
          <cell r="D231" t="str">
            <v>OTH REGULATORY ASSETS-ENVIRONMENTAL</v>
          </cell>
          <cell r="E231">
            <v>6</v>
          </cell>
          <cell r="F231">
            <v>182000</v>
          </cell>
          <cell r="G231" t="str">
            <v/>
          </cell>
          <cell r="H231" t="str">
            <v/>
          </cell>
          <cell r="I231" t="str">
            <v/>
          </cell>
          <cell r="J231" t="str">
            <v/>
          </cell>
          <cell r="K231" t="str">
            <v/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</row>
        <row r="232">
          <cell r="B232">
            <v>182030</v>
          </cell>
          <cell r="C232" t="str">
            <v>Roll Fwd Sched</v>
          </cell>
          <cell r="D232" t="str">
            <v>OTH REGULATORY ASSETS-DEF GAS COSTS</v>
          </cell>
          <cell r="E232">
            <v>6</v>
          </cell>
          <cell r="F232">
            <v>182030</v>
          </cell>
          <cell r="G232" t="str">
            <v/>
          </cell>
          <cell r="H232" t="str">
            <v/>
          </cell>
          <cell r="I232" t="str">
            <v/>
          </cell>
          <cell r="J232" t="str">
            <v/>
          </cell>
          <cell r="K232" t="str">
            <v/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</row>
        <row r="233">
          <cell r="B233">
            <v>182031</v>
          </cell>
          <cell r="C233" t="str">
            <v>Roll Fwd Sched</v>
          </cell>
          <cell r="D233" t="str">
            <v>OTH REGULATORY ASSETS-DEF GAS COSTS-PRIOR YEAR</v>
          </cell>
          <cell r="E233">
            <v>3</v>
          </cell>
          <cell r="F233">
            <v>182031</v>
          </cell>
          <cell r="G233" t="str">
            <v/>
          </cell>
          <cell r="H233" t="str">
            <v/>
          </cell>
          <cell r="I233" t="str">
            <v/>
          </cell>
          <cell r="J233" t="str">
            <v/>
          </cell>
          <cell r="K233" t="str">
            <v/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</row>
        <row r="234">
          <cell r="B234">
            <v>182035</v>
          </cell>
          <cell r="C234" t="str">
            <v>Roll Fwd Sched</v>
          </cell>
          <cell r="D234" t="str">
            <v>OTH REGULATORY ASSETS-ELEC. SUPPLY RECONCILIATION</v>
          </cell>
          <cell r="E234">
            <v>10</v>
          </cell>
          <cell r="F234">
            <v>182035</v>
          </cell>
          <cell r="G234" t="str">
            <v/>
          </cell>
          <cell r="H234" t="str">
            <v/>
          </cell>
          <cell r="I234" t="str">
            <v/>
          </cell>
          <cell r="J234" t="str">
            <v/>
          </cell>
          <cell r="K234" t="str">
            <v/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</row>
        <row r="235">
          <cell r="B235">
            <v>182040</v>
          </cell>
          <cell r="C235" t="str">
            <v>Roll Fwd Sched</v>
          </cell>
          <cell r="D235" t="str">
            <v>OTH REGULATORY ASSETS-REGULATORY TAX ASSET</v>
          </cell>
          <cell r="E235" t="str">
            <v/>
          </cell>
          <cell r="F235">
            <v>182040</v>
          </cell>
          <cell r="G235" t="str">
            <v/>
          </cell>
          <cell r="H235">
            <v>182040</v>
          </cell>
          <cell r="I235" t="str">
            <v/>
          </cell>
          <cell r="J235" t="str">
            <v/>
          </cell>
          <cell r="K235" t="str">
            <v/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</row>
        <row r="236">
          <cell r="B236">
            <v>182050</v>
          </cell>
          <cell r="C236" t="str">
            <v>Roll Fwd Sched</v>
          </cell>
          <cell r="D236" t="str">
            <v>OTH REGULATORY ASSETS-STATE FAS 109 5.5%</v>
          </cell>
          <cell r="E236" t="str">
            <v/>
          </cell>
          <cell r="F236">
            <v>182050</v>
          </cell>
          <cell r="G236" t="str">
            <v/>
          </cell>
          <cell r="H236">
            <v>182050</v>
          </cell>
          <cell r="I236" t="str">
            <v/>
          </cell>
          <cell r="J236" t="str">
            <v/>
          </cell>
          <cell r="K236" t="str">
            <v/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</row>
        <row r="237">
          <cell r="B237">
            <v>182060</v>
          </cell>
          <cell r="C237" t="str">
            <v>Roll Fwd Sched</v>
          </cell>
          <cell r="D237" t="str">
            <v>OTH REGULATORY ASSETS-CONTRACT TERMINATIONS</v>
          </cell>
          <cell r="E237">
            <v>2</v>
          </cell>
          <cell r="F237">
            <v>182060</v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</row>
        <row r="238">
          <cell r="B238">
            <v>182085</v>
          </cell>
          <cell r="C238" t="str">
            <v>Roll Fwd Sched</v>
          </cell>
          <cell r="D238" t="str">
            <v>OTH REGULATORY ASSETS-GAS HEDGES (LOSSES)</v>
          </cell>
          <cell r="E238">
            <v>2</v>
          </cell>
          <cell r="F238">
            <v>182085</v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</row>
        <row r="239">
          <cell r="B239">
            <v>182090</v>
          </cell>
          <cell r="C239" t="str">
            <v>Roll Fwd Sched</v>
          </cell>
          <cell r="D239" t="str">
            <v>OTH REGULATORY ASSETS-OTH</v>
          </cell>
          <cell r="E239">
            <v>42</v>
          </cell>
          <cell r="F239">
            <v>182090</v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</row>
        <row r="240">
          <cell r="B240">
            <v>182095</v>
          </cell>
          <cell r="C240" t="str">
            <v>Roll Fwd Sched</v>
          </cell>
          <cell r="D240" t="str">
            <v>OTHER REGULATORY ASSETS - 2004 JOINT PROPOSAL</v>
          </cell>
          <cell r="E240">
            <v>90</v>
          </cell>
          <cell r="F240">
            <v>182095</v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</row>
        <row r="241">
          <cell r="B241">
            <v>182300</v>
          </cell>
          <cell r="C241" t="str">
            <v>Roll Fwd Sched</v>
          </cell>
          <cell r="D241" t="str">
            <v>OTH REG ASSETS</v>
          </cell>
          <cell r="E241">
            <v>13</v>
          </cell>
          <cell r="F241">
            <v>182300</v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>
            <v>53.558779999999999</v>
          </cell>
          <cell r="M241">
            <v>53.558779999999999</v>
          </cell>
          <cell r="N241">
            <v>53.558779999999999</v>
          </cell>
          <cell r="O241">
            <v>53.558779999999999</v>
          </cell>
          <cell r="P241">
            <v>53.558779999999999</v>
          </cell>
          <cell r="Q241">
            <v>53.558779999999999</v>
          </cell>
          <cell r="R241">
            <v>53.558779999999999</v>
          </cell>
          <cell r="S241">
            <v>53.558779999999999</v>
          </cell>
          <cell r="T241">
            <v>53.558779999999999</v>
          </cell>
          <cell r="U241">
            <v>53.558779999999999</v>
          </cell>
          <cell r="V241">
            <v>53.558779999999999</v>
          </cell>
          <cell r="W241">
            <v>53.558779999999999</v>
          </cell>
          <cell r="X241">
            <v>53.558779999999999</v>
          </cell>
          <cell r="Y241">
            <v>53.558779999999999</v>
          </cell>
        </row>
        <row r="242">
          <cell r="B242">
            <v>182301</v>
          </cell>
          <cell r="C242" t="str">
            <v>Roll Fwd Sched</v>
          </cell>
          <cell r="D242" t="str">
            <v>OTHER REGULATORY ASSETS - ELECTRIC</v>
          </cell>
          <cell r="E242">
            <v>40</v>
          </cell>
          <cell r="F242">
            <v>182301</v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>
            <v>18529.256379999999</v>
          </cell>
          <cell r="M242">
            <v>17584.812300000001</v>
          </cell>
          <cell r="N242">
            <v>16612.357400000001</v>
          </cell>
          <cell r="O242">
            <v>15550.89473</v>
          </cell>
          <cell r="P242">
            <v>14778.3609</v>
          </cell>
          <cell r="Q242">
            <v>13772.232540000001</v>
          </cell>
          <cell r="R242">
            <v>11158.807210000001</v>
          </cell>
          <cell r="S242">
            <v>10201.587149999999</v>
          </cell>
          <cell r="T242">
            <v>7228.2807899999998</v>
          </cell>
          <cell r="U242">
            <v>6355.8404</v>
          </cell>
          <cell r="V242">
            <v>6905.0383199999997</v>
          </cell>
          <cell r="W242">
            <v>7789.34076</v>
          </cell>
          <cell r="X242">
            <v>8647.0701100000006</v>
          </cell>
          <cell r="Y242">
            <v>11793.809644999999</v>
          </cell>
        </row>
        <row r="243">
          <cell r="B243">
            <v>182303</v>
          </cell>
          <cell r="C243" t="str">
            <v>Roll Fwd Sched</v>
          </cell>
          <cell r="D243" t="str">
            <v>OTHER REGULATORY ASSETS - GAS</v>
          </cell>
          <cell r="E243">
            <v>25</v>
          </cell>
          <cell r="F243">
            <v>182303</v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>
            <v>7807.7360200000003</v>
          </cell>
          <cell r="M243">
            <v>6772.2900900000004</v>
          </cell>
          <cell r="N243">
            <v>5864.4151300000003</v>
          </cell>
          <cell r="O243">
            <v>5267.0815899999998</v>
          </cell>
          <cell r="P243">
            <v>5437.5747700000002</v>
          </cell>
          <cell r="Q243">
            <v>5796.2766300000003</v>
          </cell>
          <cell r="R243">
            <v>5275.8303599999999</v>
          </cell>
          <cell r="S243">
            <v>4904.7116100000003</v>
          </cell>
          <cell r="T243">
            <v>4049.7533199999998</v>
          </cell>
          <cell r="U243">
            <v>3790.4851899999999</v>
          </cell>
          <cell r="V243">
            <v>3226.7165199999999</v>
          </cell>
          <cell r="W243">
            <v>2756.6495199999999</v>
          </cell>
          <cell r="X243">
            <v>1981.41661</v>
          </cell>
          <cell r="Y243">
            <v>4836.3634199999997</v>
          </cell>
        </row>
        <row r="244">
          <cell r="B244">
            <v>182305</v>
          </cell>
          <cell r="C244" t="str">
            <v>Roll Fwd Sched</v>
          </cell>
          <cell r="D244" t="str">
            <v>OTH REG ASSETS-UNCONTROLLABLE/EXONGENOUS COSTS-EL</v>
          </cell>
          <cell r="E244">
            <v>65</v>
          </cell>
          <cell r="F244">
            <v>182305</v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>
            <v>22898.92886</v>
          </cell>
          <cell r="M244">
            <v>22647.816699999999</v>
          </cell>
          <cell r="N244">
            <v>22397.180530000001</v>
          </cell>
          <cell r="O244">
            <v>22147.02303</v>
          </cell>
          <cell r="P244">
            <v>21889.118429999999</v>
          </cell>
          <cell r="Q244">
            <v>20649.490280000002</v>
          </cell>
          <cell r="R244">
            <v>20392.556659999998</v>
          </cell>
          <cell r="S244">
            <v>20128.283060000002</v>
          </cell>
          <cell r="T244">
            <v>19864.50187</v>
          </cell>
          <cell r="U244">
            <v>19568.577280000001</v>
          </cell>
          <cell r="V244">
            <v>19312.901310000001</v>
          </cell>
          <cell r="W244">
            <v>19042.483370000002</v>
          </cell>
          <cell r="X244">
            <v>18837.16202</v>
          </cell>
          <cell r="Y244">
            <v>20742.331496999999</v>
          </cell>
        </row>
        <row r="245">
          <cell r="B245">
            <v>182306</v>
          </cell>
          <cell r="C245" t="str">
            <v>Roll Fwd Sched</v>
          </cell>
          <cell r="D245" t="str">
            <v>OTH REG ASSETS-UNCONTROLLABLE/EXONGENOUS COSTS-GA</v>
          </cell>
          <cell r="E245">
            <v>55</v>
          </cell>
          <cell r="F245">
            <v>182306</v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>
            <v>27982.22394</v>
          </cell>
          <cell r="M245">
            <v>27619.20363</v>
          </cell>
          <cell r="N245">
            <v>27256.577990000002</v>
          </cell>
          <cell r="O245">
            <v>26894.34924</v>
          </cell>
          <cell r="P245">
            <v>26532.519629999999</v>
          </cell>
          <cell r="Q245">
            <v>26171.091420000001</v>
          </cell>
          <cell r="R245">
            <v>25810.066889999998</v>
          </cell>
          <cell r="S245">
            <v>25449.44832</v>
          </cell>
          <cell r="T245">
            <v>25089.238020000001</v>
          </cell>
          <cell r="U245">
            <v>24679.061369999999</v>
          </cell>
          <cell r="V245">
            <v>24370.051510000001</v>
          </cell>
          <cell r="W245">
            <v>24011.079949999999</v>
          </cell>
          <cell r="X245">
            <v>23681.354790000001</v>
          </cell>
          <cell r="Y245">
            <v>25809.539777999998</v>
          </cell>
        </row>
        <row r="246">
          <cell r="B246">
            <v>182311</v>
          </cell>
          <cell r="C246" t="str">
            <v>Roll Fwd Sched</v>
          </cell>
          <cell r="D246" t="str">
            <v>OTHER ASSETS - BEGINNING BALANCE</v>
          </cell>
          <cell r="E246">
            <v>1</v>
          </cell>
          <cell r="F246">
            <v>182311</v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</row>
        <row r="247">
          <cell r="B247">
            <v>182320</v>
          </cell>
          <cell r="C247" t="str">
            <v>Roll Fwd Sched</v>
          </cell>
          <cell r="D247" t="str">
            <v>OTH REG ASSETS - SITE REMEDIATION</v>
          </cell>
          <cell r="E247">
            <v>10</v>
          </cell>
          <cell r="F247">
            <v>182320</v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>
            <v>78836.106390000001</v>
          </cell>
          <cell r="M247">
            <v>77704.082550000006</v>
          </cell>
          <cell r="N247">
            <v>77843.461590000006</v>
          </cell>
          <cell r="O247">
            <v>77929.557069999995</v>
          </cell>
          <cell r="P247">
            <v>78509.771309999996</v>
          </cell>
          <cell r="Q247">
            <v>78223.062539999999</v>
          </cell>
          <cell r="R247">
            <v>77796.944879999995</v>
          </cell>
          <cell r="S247">
            <v>76274.850059999997</v>
          </cell>
          <cell r="T247">
            <v>76061.120550000007</v>
          </cell>
          <cell r="U247">
            <v>75521.862330000004</v>
          </cell>
          <cell r="V247">
            <v>75444.455870000005</v>
          </cell>
          <cell r="W247">
            <v>72311.600789999997</v>
          </cell>
          <cell r="X247">
            <v>71323.995930000005</v>
          </cell>
          <cell r="Y247">
            <v>76558.401725000003</v>
          </cell>
        </row>
        <row r="248">
          <cell r="B248">
            <v>182326</v>
          </cell>
          <cell r="C248" t="str">
            <v>Roll Fwd Sched</v>
          </cell>
          <cell r="D248" t="str">
            <v>OTH REGULATORY ASSETS-OPEB SFAS 158</v>
          </cell>
          <cell r="E248">
            <v>3</v>
          </cell>
          <cell r="F248">
            <v>182326</v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</row>
        <row r="249">
          <cell r="B249">
            <v>182336</v>
          </cell>
          <cell r="C249" t="str">
            <v>Roll Fwd Sched</v>
          </cell>
          <cell r="D249" t="str">
            <v>OTH REGULATORY ASSETS-PENSION</v>
          </cell>
          <cell r="E249">
            <v>1</v>
          </cell>
          <cell r="F249">
            <v>182336</v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>
            <v>114616.48467000001</v>
          </cell>
          <cell r="M249">
            <v>113658.15134</v>
          </cell>
          <cell r="N249">
            <v>112699.81801</v>
          </cell>
          <cell r="O249">
            <v>111741.48467999999</v>
          </cell>
          <cell r="P249">
            <v>110783.15135</v>
          </cell>
          <cell r="Q249">
            <v>110158.11259</v>
          </cell>
          <cell r="R249">
            <v>109266.43815</v>
          </cell>
          <cell r="S249">
            <v>108374.76373000001</v>
          </cell>
          <cell r="T249">
            <v>107483.08931</v>
          </cell>
          <cell r="U249">
            <v>106591.41489</v>
          </cell>
          <cell r="V249">
            <v>105699.74047</v>
          </cell>
          <cell r="W249">
            <v>104808.06604999999</v>
          </cell>
          <cell r="X249">
            <v>129991.86063</v>
          </cell>
          <cell r="Y249">
            <v>110297.366935</v>
          </cell>
        </row>
        <row r="250">
          <cell r="B250">
            <v>182344</v>
          </cell>
          <cell r="C250" t="str">
            <v>Roll Fwd Sched</v>
          </cell>
          <cell r="D250" t="str">
            <v>OTH REG ASSET-UNFUNDED FEDERAL INCOME TAX</v>
          </cell>
          <cell r="E250">
            <v>1</v>
          </cell>
          <cell r="F250">
            <v>182344</v>
          </cell>
          <cell r="G250" t="str">
            <v/>
          </cell>
          <cell r="H250">
            <v>182344</v>
          </cell>
          <cell r="I250" t="str">
            <v/>
          </cell>
          <cell r="J250" t="str">
            <v/>
          </cell>
          <cell r="K250" t="str">
            <v/>
          </cell>
          <cell r="L250">
            <v>133443.87821</v>
          </cell>
          <cell r="M250">
            <v>132499.35136</v>
          </cell>
          <cell r="N250">
            <v>133404.91490999999</v>
          </cell>
          <cell r="O250">
            <v>133844.87517000001</v>
          </cell>
          <cell r="P250">
            <v>133173.82574</v>
          </cell>
          <cell r="Q250">
            <v>133549.12898000001</v>
          </cell>
          <cell r="R250">
            <v>133518.79083000001</v>
          </cell>
          <cell r="S250">
            <v>133491.99423000001</v>
          </cell>
          <cell r="T250">
            <v>133470.26391000001</v>
          </cell>
          <cell r="U250">
            <v>135517.22904000001</v>
          </cell>
          <cell r="V250">
            <v>135558.99677</v>
          </cell>
          <cell r="W250">
            <v>102874.25197</v>
          </cell>
          <cell r="X250">
            <v>117205.20464</v>
          </cell>
          <cell r="Y250">
            <v>130519.013695</v>
          </cell>
        </row>
        <row r="251">
          <cell r="B251">
            <v>182350</v>
          </cell>
          <cell r="C251" t="str">
            <v>Roll Fwd Sched</v>
          </cell>
          <cell r="D251" t="str">
            <v>OTH REG ASSETS - FERC 636 TRANSITION COSTS</v>
          </cell>
          <cell r="E251">
            <v>2</v>
          </cell>
          <cell r="F251">
            <v>182350</v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</row>
        <row r="252">
          <cell r="B252">
            <v>182355</v>
          </cell>
          <cell r="C252" t="str">
            <v>Roll Fwd Sched</v>
          </cell>
          <cell r="D252" t="str">
            <v>OTH REGULATORY ASSETS-ASSET RETIREMENT-ELEC</v>
          </cell>
          <cell r="E252">
            <v>5</v>
          </cell>
          <cell r="F252">
            <v>182355</v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>
            <v>12783.265520000001</v>
          </cell>
          <cell r="M252">
            <v>12891.696529999999</v>
          </cell>
          <cell r="N252">
            <v>13000.55539</v>
          </cell>
          <cell r="O252">
            <v>13109.844139999999</v>
          </cell>
          <cell r="P252">
            <v>13219.564770000001</v>
          </cell>
          <cell r="Q252">
            <v>13329.71931</v>
          </cell>
          <cell r="R252">
            <v>13440.30975</v>
          </cell>
          <cell r="S252">
            <v>13551.33813</v>
          </cell>
          <cell r="T252">
            <v>13662.80646</v>
          </cell>
          <cell r="U252">
            <v>13774.71687</v>
          </cell>
          <cell r="V252">
            <v>13887.071309999999</v>
          </cell>
          <cell r="W252">
            <v>13999.8719</v>
          </cell>
          <cell r="X252">
            <v>14058.194750000001</v>
          </cell>
          <cell r="Y252">
            <v>13440.685391000001</v>
          </cell>
        </row>
        <row r="253">
          <cell r="B253">
            <v>182356</v>
          </cell>
          <cell r="C253" t="str">
            <v>Roll Fwd Sched</v>
          </cell>
          <cell r="D253" t="str">
            <v>OTH REG ASSET-ASSET RETIREMENT OBLIG (ARO)-GAS</v>
          </cell>
          <cell r="E253">
            <v>1</v>
          </cell>
          <cell r="F253">
            <v>182356</v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>
            <v>179.95689999999999</v>
          </cell>
          <cell r="M253">
            <v>186.84084999999999</v>
          </cell>
          <cell r="N253">
            <v>193.75451000000001</v>
          </cell>
          <cell r="O253">
            <v>200.69801000000001</v>
          </cell>
          <cell r="P253">
            <v>207.67143999999999</v>
          </cell>
          <cell r="Q253">
            <v>214.67499000000001</v>
          </cell>
          <cell r="R253">
            <v>221.70884000000001</v>
          </cell>
          <cell r="S253">
            <v>228.77307999999999</v>
          </cell>
          <cell r="T253">
            <v>235.86779000000001</v>
          </cell>
          <cell r="U253">
            <v>242.99311</v>
          </cell>
          <cell r="V253">
            <v>250.14920000000001</v>
          </cell>
          <cell r="W253">
            <v>257.33625000000001</v>
          </cell>
          <cell r="X253">
            <v>-13.556760000000001</v>
          </cell>
          <cell r="Y253">
            <v>210.305678</v>
          </cell>
        </row>
        <row r="254">
          <cell r="B254">
            <v>182360</v>
          </cell>
          <cell r="C254" t="str">
            <v>Roll Fwd Sched</v>
          </cell>
          <cell r="D254" t="str">
            <v>OTH REG ASSETS - OSWEGO PLANT SALE</v>
          </cell>
          <cell r="E254">
            <v>2</v>
          </cell>
          <cell r="F254">
            <v>182360</v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>
            <v>16334.69231</v>
          </cell>
          <cell r="M254">
            <v>15880.950860000001</v>
          </cell>
          <cell r="N254">
            <v>15427.209409999999</v>
          </cell>
          <cell r="O254">
            <v>14973.46796</v>
          </cell>
          <cell r="P254">
            <v>14519.72651</v>
          </cell>
          <cell r="Q254">
            <v>14065.985060000001</v>
          </cell>
          <cell r="R254">
            <v>13612.24361</v>
          </cell>
          <cell r="S254">
            <v>13158.50216</v>
          </cell>
          <cell r="T254">
            <v>12704.76071</v>
          </cell>
          <cell r="U254">
            <v>12251.019259999999</v>
          </cell>
          <cell r="V254">
            <v>11797.27781</v>
          </cell>
          <cell r="W254">
            <v>11343.53636</v>
          </cell>
          <cell r="X254">
            <v>10889.794910000001</v>
          </cell>
          <cell r="Y254">
            <v>13612.24361</v>
          </cell>
        </row>
        <row r="255">
          <cell r="B255">
            <v>182361</v>
          </cell>
          <cell r="C255" t="str">
            <v>Roll Fwd Sched</v>
          </cell>
          <cell r="D255" t="str">
            <v>OTH REGULATORY ASSETS-CONTRACT TERMINATIONS-ELEC</v>
          </cell>
          <cell r="E255">
            <v>1</v>
          </cell>
          <cell r="F255">
            <v>182361</v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>
            <v>35286.639660000001</v>
          </cell>
          <cell r="M255">
            <v>34306.45523</v>
          </cell>
          <cell r="N255">
            <v>33326.270799999998</v>
          </cell>
          <cell r="O255">
            <v>32346.086370000001</v>
          </cell>
          <cell r="P255">
            <v>31365.90194</v>
          </cell>
          <cell r="Q255">
            <v>30385.717509999999</v>
          </cell>
          <cell r="R255">
            <v>29405.533080000001</v>
          </cell>
          <cell r="S255">
            <v>28425.34865</v>
          </cell>
          <cell r="T255">
            <v>27445.164219999999</v>
          </cell>
          <cell r="U255">
            <v>26464.979790000001</v>
          </cell>
          <cell r="V255">
            <v>25484.79536</v>
          </cell>
          <cell r="W255">
            <v>24504.610929999999</v>
          </cell>
          <cell r="X255">
            <v>23524.426500000001</v>
          </cell>
          <cell r="Y255">
            <v>29405.533080000001</v>
          </cell>
        </row>
        <row r="256">
          <cell r="B256">
            <v>182366</v>
          </cell>
          <cell r="C256" t="str">
            <v>Roll Fwd Sched</v>
          </cell>
          <cell r="D256" t="str">
            <v>OTH REGULATORY ASSETS-DSO ELEC HEDGES (LOSSES)</v>
          </cell>
          <cell r="E256">
            <v>1</v>
          </cell>
          <cell r="F256">
            <v>182366</v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19.152000000000001</v>
          </cell>
          <cell r="S256">
            <v>0</v>
          </cell>
          <cell r="T256">
            <v>0</v>
          </cell>
          <cell r="U256">
            <v>207.22399999999999</v>
          </cell>
          <cell r="V256">
            <v>156.24799999999999</v>
          </cell>
          <cell r="W256">
            <v>859.048</v>
          </cell>
          <cell r="X256">
            <v>1519.3019999999999</v>
          </cell>
          <cell r="Y256">
            <v>166.776917</v>
          </cell>
        </row>
        <row r="257">
          <cell r="B257">
            <v>182367</v>
          </cell>
          <cell r="C257" t="str">
            <v>Roll Fwd Sched</v>
          </cell>
          <cell r="D257" t="str">
            <v>OTH REG ASSETS - NON-BYPASSABLE CHARGE-NBC</v>
          </cell>
          <cell r="E257">
            <v>1</v>
          </cell>
          <cell r="F257">
            <v>182367</v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>
            <v>1474.65858</v>
          </cell>
          <cell r="M257">
            <v>503.44734999999997</v>
          </cell>
          <cell r="N257">
            <v>3447.3250600000001</v>
          </cell>
          <cell r="O257">
            <v>1397.4764600000001</v>
          </cell>
          <cell r="P257">
            <v>1888.4977899999999</v>
          </cell>
          <cell r="Q257">
            <v>-52.537109999999998</v>
          </cell>
          <cell r="R257">
            <v>-330.70517999999998</v>
          </cell>
          <cell r="S257">
            <v>-1135.7597900000001</v>
          </cell>
          <cell r="T257">
            <v>2376.1975299999999</v>
          </cell>
          <cell r="U257">
            <v>3339.2964900000002</v>
          </cell>
          <cell r="V257">
            <v>4580.5265399999998</v>
          </cell>
          <cell r="W257">
            <v>1833.55764</v>
          </cell>
          <cell r="X257">
            <v>2153.2554700000001</v>
          </cell>
          <cell r="Y257">
            <v>1638.4399840000001</v>
          </cell>
        </row>
        <row r="258">
          <cell r="B258">
            <v>182370</v>
          </cell>
          <cell r="C258" t="str">
            <v>Roll Fwd Sched</v>
          </cell>
          <cell r="D258" t="str">
            <v>OTH REG ASSETS - GCA - CURRENT PERIOD</v>
          </cell>
          <cell r="E258">
            <v>4</v>
          </cell>
          <cell r="F258">
            <v>182370</v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492.82368000000002</v>
          </cell>
          <cell r="V258">
            <v>1393.61501</v>
          </cell>
          <cell r="W258">
            <v>1515.0818899999999</v>
          </cell>
          <cell r="X258">
            <v>909.10167999999999</v>
          </cell>
          <cell r="Y258">
            <v>321.33928500000002</v>
          </cell>
        </row>
        <row r="259">
          <cell r="B259">
            <v>182371</v>
          </cell>
          <cell r="C259" t="str">
            <v>Roll Fwd Sched</v>
          </cell>
          <cell r="D259" t="str">
            <v>OTH REG ASSETS - GCA - PRIOR PERIOD</v>
          </cell>
          <cell r="E259">
            <v>3</v>
          </cell>
          <cell r="F259">
            <v>182371</v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>
            <v>1076.5831499999999</v>
          </cell>
          <cell r="M259">
            <v>936.94159000000002</v>
          </cell>
          <cell r="N259">
            <v>817.12194999999997</v>
          </cell>
          <cell r="O259">
            <v>716.53354999999999</v>
          </cell>
          <cell r="P259">
            <v>658.26125000000002</v>
          </cell>
          <cell r="Q259">
            <v>626.48152000000005</v>
          </cell>
          <cell r="R259">
            <v>613.69781999999998</v>
          </cell>
          <cell r="S259">
            <v>600.66571999999996</v>
          </cell>
          <cell r="T259">
            <v>582.08412999999996</v>
          </cell>
          <cell r="U259">
            <v>567.20465000000002</v>
          </cell>
          <cell r="V259">
            <v>528.28313000000003</v>
          </cell>
          <cell r="W259">
            <v>471.02253000000002</v>
          </cell>
          <cell r="X259">
            <v>3425.01244</v>
          </cell>
          <cell r="Y259">
            <v>780.75797</v>
          </cell>
        </row>
        <row r="260">
          <cell r="B260">
            <v>182372</v>
          </cell>
          <cell r="C260" t="str">
            <v>Roll Fwd Sched</v>
          </cell>
          <cell r="D260" t="str">
            <v>OTH REG ASSETS - GAS CAPACITY RELEASE S/HOLDER</v>
          </cell>
          <cell r="E260">
            <v>3</v>
          </cell>
          <cell r="F260">
            <v>182372</v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>
            <v>24.896999999999998</v>
          </cell>
          <cell r="M260">
            <v>43.481000000000002</v>
          </cell>
          <cell r="N260">
            <v>51.192999999999998</v>
          </cell>
          <cell r="O260">
            <v>55.695999999999998</v>
          </cell>
          <cell r="P260">
            <v>58.23639</v>
          </cell>
          <cell r="Q260">
            <v>58.739780000000003</v>
          </cell>
          <cell r="R260">
            <v>63.397919999999999</v>
          </cell>
          <cell r="S260">
            <v>69.906090000000006</v>
          </cell>
          <cell r="T260">
            <v>70.922089999999997</v>
          </cell>
          <cell r="U260">
            <v>71.50609</v>
          </cell>
          <cell r="V260">
            <v>76.829089999999994</v>
          </cell>
          <cell r="W260">
            <v>78.171090000000007</v>
          </cell>
          <cell r="X260">
            <v>11.526999999999999</v>
          </cell>
          <cell r="Y260">
            <v>59.690877999999998</v>
          </cell>
        </row>
        <row r="261">
          <cell r="B261">
            <v>182375</v>
          </cell>
          <cell r="C261" t="str">
            <v>Roll Fwd Sched</v>
          </cell>
          <cell r="D261" t="str">
            <v>OTH REGULATORY ASSETS-GAS HEDGES (LOSSES)</v>
          </cell>
          <cell r="E261">
            <v>1</v>
          </cell>
          <cell r="F261">
            <v>182375</v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>
            <v>7444.98</v>
          </cell>
          <cell r="M261">
            <v>5533.42</v>
          </cell>
          <cell r="N261">
            <v>6094.9</v>
          </cell>
          <cell r="O261">
            <v>2521.85</v>
          </cell>
          <cell r="P261">
            <v>553.09</v>
          </cell>
          <cell r="Q261">
            <v>631.82000000000005</v>
          </cell>
          <cell r="R261">
            <v>2008.3</v>
          </cell>
          <cell r="S261">
            <v>3004.37</v>
          </cell>
          <cell r="T261">
            <v>3333.52</v>
          </cell>
          <cell r="U261">
            <v>4670.12</v>
          </cell>
          <cell r="V261">
            <v>4544.3900000000003</v>
          </cell>
          <cell r="W261">
            <v>5699.98</v>
          </cell>
          <cell r="X261">
            <v>7008.54</v>
          </cell>
          <cell r="Y261">
            <v>3818.5433330000001</v>
          </cell>
        </row>
        <row r="262">
          <cell r="B262">
            <v>182380</v>
          </cell>
          <cell r="C262" t="str">
            <v>Roll Fwd Sched</v>
          </cell>
          <cell r="D262" t="str">
            <v>OTH REG ASSETS - NM2 DEFERRED PLANT</v>
          </cell>
          <cell r="E262">
            <v>2</v>
          </cell>
          <cell r="F262">
            <v>182380</v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>
            <v>15295.809300000001</v>
          </cell>
          <cell r="M262">
            <v>14870.92571</v>
          </cell>
          <cell r="N262">
            <v>14446.04212</v>
          </cell>
          <cell r="O262">
            <v>14021.158530000001</v>
          </cell>
          <cell r="P262">
            <v>13596.274939999999</v>
          </cell>
          <cell r="Q262">
            <v>13171.39135</v>
          </cell>
          <cell r="R262">
            <v>12746.50776</v>
          </cell>
          <cell r="S262">
            <v>12321.624169999999</v>
          </cell>
          <cell r="T262">
            <v>11896.74058</v>
          </cell>
          <cell r="U262">
            <v>11471.85699</v>
          </cell>
          <cell r="V262">
            <v>11046.973400000001</v>
          </cell>
          <cell r="W262">
            <v>10622.089809999999</v>
          </cell>
          <cell r="X262">
            <v>10197.20622</v>
          </cell>
          <cell r="Y262">
            <v>12746.50776</v>
          </cell>
        </row>
        <row r="263">
          <cell r="B263">
            <v>182381</v>
          </cell>
          <cell r="C263" t="str">
            <v>Roll Fwd Sched</v>
          </cell>
          <cell r="D263" t="str">
            <v>OTH REG ASSETS - NM2 SALE OF PLANT ASSETS</v>
          </cell>
          <cell r="E263">
            <v>1</v>
          </cell>
          <cell r="F263">
            <v>182381</v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>
            <v>32713.79307</v>
          </cell>
          <cell r="M263">
            <v>31314.354770000002</v>
          </cell>
          <cell r="N263">
            <v>30033.31567</v>
          </cell>
          <cell r="O263">
            <v>28879.72537</v>
          </cell>
          <cell r="P263">
            <v>27846.812669999999</v>
          </cell>
          <cell r="Q263">
            <v>26851.18477</v>
          </cell>
          <cell r="R263">
            <v>25867.522069999999</v>
          </cell>
          <cell r="S263">
            <v>24845.011770000001</v>
          </cell>
          <cell r="T263">
            <v>23870.537469999999</v>
          </cell>
          <cell r="U263">
            <v>22892.197970000001</v>
          </cell>
          <cell r="V263">
            <v>21914.906869999999</v>
          </cell>
          <cell r="W263">
            <v>20940.361369999999</v>
          </cell>
          <cell r="X263">
            <v>19957.407469999998</v>
          </cell>
          <cell r="Y263">
            <v>25965.960920000001</v>
          </cell>
        </row>
        <row r="264">
          <cell r="B264">
            <v>182382</v>
          </cell>
          <cell r="C264" t="str">
            <v>Roll Fwd Sched</v>
          </cell>
          <cell r="D264" t="str">
            <v>OTH REG ASSETS - NM2 NYS INCOME TAX</v>
          </cell>
          <cell r="E264">
            <v>1</v>
          </cell>
          <cell r="F264">
            <v>182382</v>
          </cell>
          <cell r="G264" t="str">
            <v/>
          </cell>
          <cell r="H264">
            <v>182382</v>
          </cell>
          <cell r="I264" t="str">
            <v/>
          </cell>
          <cell r="J264" t="str">
            <v/>
          </cell>
          <cell r="K264" t="str">
            <v/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</row>
        <row r="265">
          <cell r="B265">
            <v>182390</v>
          </cell>
          <cell r="C265" t="str">
            <v>Roll Fwd Sched</v>
          </cell>
          <cell r="D265" t="str">
            <v>OTH REG ASSETS - ICE STORM</v>
          </cell>
          <cell r="E265">
            <v>1</v>
          </cell>
          <cell r="F265">
            <v>182390</v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</row>
        <row r="266">
          <cell r="B266">
            <v>182392</v>
          </cell>
          <cell r="C266" t="str">
            <v>Roll Fwd Sched</v>
          </cell>
          <cell r="D266" t="str">
            <v>OTH REG ASSETS-DEFERRED INCOME TAXES-FEDERAL</v>
          </cell>
          <cell r="E266">
            <v>1</v>
          </cell>
          <cell r="F266">
            <v>182392</v>
          </cell>
          <cell r="G266" t="str">
            <v/>
          </cell>
          <cell r="H266">
            <v>182392</v>
          </cell>
          <cell r="I266" t="str">
            <v/>
          </cell>
          <cell r="J266" t="str">
            <v/>
          </cell>
          <cell r="K266" t="str">
            <v/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</row>
        <row r="267">
          <cell r="B267">
            <v>182393</v>
          </cell>
          <cell r="C267" t="str">
            <v>Roll Fwd Sched</v>
          </cell>
          <cell r="D267" t="str">
            <v>OTH REG ASSETS-DEFERRED INCOME TAXES-STATE</v>
          </cell>
          <cell r="E267">
            <v>1</v>
          </cell>
          <cell r="F267">
            <v>182393</v>
          </cell>
          <cell r="G267" t="str">
            <v/>
          </cell>
          <cell r="H267">
            <v>182393</v>
          </cell>
          <cell r="I267" t="str">
            <v/>
          </cell>
          <cell r="J267" t="str">
            <v/>
          </cell>
          <cell r="K267" t="str">
            <v/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</row>
        <row r="268">
          <cell r="B268">
            <v>182400</v>
          </cell>
          <cell r="C268" t="str">
            <v>Roll Fwd Sched</v>
          </cell>
          <cell r="D268" t="str">
            <v>OTH REG ASSETS - URANIUM ENRICHMENT FUND-DOE</v>
          </cell>
          <cell r="E268">
            <v>1</v>
          </cell>
          <cell r="F268">
            <v>182400</v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</row>
        <row r="269">
          <cell r="B269">
            <v>182430</v>
          </cell>
          <cell r="C269" t="str">
            <v>Roll Fwd Sched</v>
          </cell>
          <cell r="D269" t="str">
            <v>OTH REG ASSETS - KAMINE - FACILITY</v>
          </cell>
          <cell r="E269" t="str">
            <v/>
          </cell>
          <cell r="F269">
            <v>182430</v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</row>
        <row r="270">
          <cell r="B270">
            <v>182440</v>
          </cell>
          <cell r="C270" t="str">
            <v>Roll Fwd Sched</v>
          </cell>
          <cell r="D270" t="str">
            <v>OTH REG ASSETS - KAMINE - DEPRECIATION RESERVE</v>
          </cell>
          <cell r="E270" t="str">
            <v/>
          </cell>
          <cell r="F270">
            <v>182440</v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</row>
        <row r="271">
          <cell r="B271">
            <v>182460</v>
          </cell>
          <cell r="C271" t="str">
            <v>Roll Fwd Sched</v>
          </cell>
          <cell r="D271" t="str">
            <v>OTH REG ASSETS - REGULATORY TAX ASSET</v>
          </cell>
          <cell r="E271">
            <v>2</v>
          </cell>
          <cell r="F271">
            <v>182460</v>
          </cell>
          <cell r="G271" t="str">
            <v/>
          </cell>
          <cell r="H271">
            <v>182460</v>
          </cell>
          <cell r="I271" t="str">
            <v/>
          </cell>
          <cell r="J271" t="str">
            <v/>
          </cell>
          <cell r="K271" t="str">
            <v/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</row>
        <row r="272">
          <cell r="B272">
            <v>182470</v>
          </cell>
          <cell r="C272" t="str">
            <v>Roll Fwd Sched</v>
          </cell>
          <cell r="D272" t="str">
            <v>OTH REG ASSETS - ACCUMULATED DEFERRED INCOME TAXE</v>
          </cell>
          <cell r="E272">
            <v>2</v>
          </cell>
          <cell r="F272">
            <v>182470</v>
          </cell>
          <cell r="G272" t="str">
            <v/>
          </cell>
          <cell r="H272">
            <v>182470</v>
          </cell>
          <cell r="I272" t="str">
            <v/>
          </cell>
          <cell r="J272" t="str">
            <v/>
          </cell>
          <cell r="K272" t="str">
            <v/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</row>
        <row r="273">
          <cell r="B273">
            <v>182500</v>
          </cell>
          <cell r="C273" t="str">
            <v>Roll Fwd Sched</v>
          </cell>
          <cell r="D273" t="str">
            <v>OTH REG ASSETS - NYS FAS 109 5.5%</v>
          </cell>
          <cell r="E273">
            <v>2</v>
          </cell>
          <cell r="F273">
            <v>182500</v>
          </cell>
          <cell r="G273" t="str">
            <v/>
          </cell>
          <cell r="H273">
            <v>182500</v>
          </cell>
          <cell r="I273" t="str">
            <v/>
          </cell>
          <cell r="J273" t="str">
            <v/>
          </cell>
          <cell r="K273" t="str">
            <v/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</row>
        <row r="274">
          <cell r="B274">
            <v>182510</v>
          </cell>
          <cell r="C274" t="str">
            <v>Roll Fwd Sched</v>
          </cell>
          <cell r="D274" t="str">
            <v>OTH REG ASSETS - LOW INC ARREARS FORGIVENESS-ELE</v>
          </cell>
          <cell r="E274">
            <v>1</v>
          </cell>
          <cell r="F274">
            <v>182510</v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</row>
        <row r="275">
          <cell r="B275">
            <v>182511</v>
          </cell>
          <cell r="C275" t="str">
            <v>Roll Fwd Sched</v>
          </cell>
          <cell r="D275" t="str">
            <v>OTH REG ASSETS - LOW INC ARREARS FORGIVENESS-GAS</v>
          </cell>
          <cell r="E275">
            <v>1</v>
          </cell>
          <cell r="F275">
            <v>182511</v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</row>
        <row r="276">
          <cell r="B276">
            <v>182520</v>
          </cell>
          <cell r="C276" t="str">
            <v>Roll Fwd Sched</v>
          </cell>
          <cell r="D276" t="str">
            <v>OTH REG ASSETS - LOW INCOME BUDGET REDUCTIONS-ELE</v>
          </cell>
          <cell r="E276">
            <v>1</v>
          </cell>
          <cell r="F276">
            <v>182520</v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</row>
        <row r="277">
          <cell r="B277">
            <v>182521</v>
          </cell>
          <cell r="C277" t="str">
            <v>Roll Fwd Sched</v>
          </cell>
          <cell r="D277" t="str">
            <v>OTH REG ASSETS - LOW INCOME BUDGET REDUCTIONS-GAS</v>
          </cell>
          <cell r="E277">
            <v>1</v>
          </cell>
          <cell r="F277">
            <v>182521</v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</row>
        <row r="278">
          <cell r="B278">
            <v>182522</v>
          </cell>
          <cell r="C278" t="str">
            <v>Roll Fwd Sched</v>
          </cell>
          <cell r="D278" t="str">
            <v>OTH REG ASSETS - LOW INCOME ADMINISTRATION COSTS</v>
          </cell>
          <cell r="E278">
            <v>1</v>
          </cell>
          <cell r="F278">
            <v>182522</v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</row>
        <row r="279">
          <cell r="B279">
            <v>182523</v>
          </cell>
          <cell r="C279" t="str">
            <v>Roll Fwd Sched</v>
          </cell>
          <cell r="D279" t="str">
            <v>OTH REG ASSETS - LOW INCOME BUDGET COUNSELING</v>
          </cell>
          <cell r="E279">
            <v>1</v>
          </cell>
          <cell r="F279">
            <v>182523</v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</row>
        <row r="280">
          <cell r="B280">
            <v>182530</v>
          </cell>
          <cell r="C280" t="str">
            <v>Roll Fwd Sched</v>
          </cell>
          <cell r="D280" t="str">
            <v>OTH REG ASSETS - NM2 SALE OF PLANT ASSETS</v>
          </cell>
          <cell r="E280">
            <v>3</v>
          </cell>
          <cell r="F280">
            <v>182530</v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</row>
        <row r="281">
          <cell r="B281">
            <v>182531</v>
          </cell>
          <cell r="C281" t="str">
            <v>Roll Fwd Sched</v>
          </cell>
          <cell r="D281" t="str">
            <v>OTH REG ASSETS - NM2 NYS INCOME TAX</v>
          </cell>
          <cell r="E281">
            <v>3</v>
          </cell>
          <cell r="F281">
            <v>182531</v>
          </cell>
          <cell r="G281" t="str">
            <v/>
          </cell>
          <cell r="H281">
            <v>182531</v>
          </cell>
          <cell r="I281" t="str">
            <v/>
          </cell>
          <cell r="J281" t="str">
            <v/>
          </cell>
          <cell r="K281" t="str">
            <v/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</row>
        <row r="282">
          <cell r="B282">
            <v>182550</v>
          </cell>
          <cell r="C282" t="str">
            <v>Roll Fwd Sched</v>
          </cell>
          <cell r="D282" t="str">
            <v>OTH REG ASSETS - CHANGE IN CONTROL</v>
          </cell>
          <cell r="E282">
            <v>1</v>
          </cell>
          <cell r="F282">
            <v>182550</v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</row>
        <row r="283">
          <cell r="B283">
            <v>182560</v>
          </cell>
          <cell r="C283" t="str">
            <v>Roll Fwd Sched</v>
          </cell>
          <cell r="D283" t="str">
            <v>OTH REG ASSETS - CHG IN CONTROL ENHANCE RABBI TRU</v>
          </cell>
          <cell r="E283">
            <v>1</v>
          </cell>
          <cell r="F283">
            <v>182560</v>
          </cell>
          <cell r="G283" t="str">
            <v/>
          </cell>
          <cell r="H283" t="str">
            <v/>
          </cell>
          <cell r="I283" t="str">
            <v/>
          </cell>
          <cell r="J283" t="str">
            <v/>
          </cell>
          <cell r="K283" t="str">
            <v/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</row>
        <row r="284">
          <cell r="B284">
            <v>182570</v>
          </cell>
          <cell r="C284" t="str">
            <v>Roll Fwd Sched</v>
          </cell>
          <cell r="D284" t="str">
            <v>OTH REG ASSETS - CTA/INCREMENTAL INTEGRATION PROJ</v>
          </cell>
          <cell r="E284">
            <v>1</v>
          </cell>
          <cell r="F284">
            <v>182570</v>
          </cell>
          <cell r="G284" t="str">
            <v/>
          </cell>
          <cell r="H284" t="str">
            <v/>
          </cell>
          <cell r="I284" t="str">
            <v/>
          </cell>
          <cell r="J284" t="str">
            <v/>
          </cell>
          <cell r="K284" t="str">
            <v/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</row>
        <row r="285">
          <cell r="B285">
            <v>182590</v>
          </cell>
          <cell r="C285" t="str">
            <v>Roll Fwd Sched</v>
          </cell>
          <cell r="D285" t="str">
            <v>OTH REG ASSETS - ALLEGANY BUYOUT</v>
          </cell>
          <cell r="E285">
            <v>1</v>
          </cell>
          <cell r="F285">
            <v>182590</v>
          </cell>
          <cell r="G285" t="str">
            <v/>
          </cell>
          <cell r="H285" t="str">
            <v/>
          </cell>
          <cell r="I285" t="str">
            <v/>
          </cell>
          <cell r="J285" t="str">
            <v/>
          </cell>
          <cell r="K285" t="str">
            <v/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</row>
        <row r="286">
          <cell r="B286">
            <v>182595</v>
          </cell>
          <cell r="C286" t="str">
            <v>Roll Fwd Sched</v>
          </cell>
          <cell r="D286" t="str">
            <v>OTH REG ASSETS-ASSET RETIREMENT OBLIGATION-ELEC</v>
          </cell>
          <cell r="E286" t="str">
            <v/>
          </cell>
          <cell r="F286">
            <v>182595</v>
          </cell>
          <cell r="G286" t="str">
            <v/>
          </cell>
          <cell r="H286" t="str">
            <v/>
          </cell>
          <cell r="I286" t="str">
            <v/>
          </cell>
          <cell r="J286" t="str">
            <v/>
          </cell>
          <cell r="K286" t="str">
            <v/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</row>
        <row r="287">
          <cell r="B287">
            <v>182700</v>
          </cell>
          <cell r="C287" t="str">
            <v>Roll Fwd Sched</v>
          </cell>
          <cell r="D287" t="str">
            <v>OTH REG ASSETS - CTA - VERP</v>
          </cell>
          <cell r="E287">
            <v>1</v>
          </cell>
          <cell r="F287">
            <v>182700</v>
          </cell>
          <cell r="G287" t="str">
            <v/>
          </cell>
          <cell r="H287" t="str">
            <v/>
          </cell>
          <cell r="I287" t="str">
            <v/>
          </cell>
          <cell r="J287" t="str">
            <v/>
          </cell>
          <cell r="K287" t="str">
            <v/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</row>
        <row r="288">
          <cell r="B288">
            <v>182710</v>
          </cell>
          <cell r="C288" t="str">
            <v>Roll Fwd Sched</v>
          </cell>
          <cell r="D288" t="str">
            <v>OTH REG ASSETS - CTA-EMPL SEVERANCE PROGRAM</v>
          </cell>
          <cell r="E288">
            <v>1</v>
          </cell>
          <cell r="F288">
            <v>182710</v>
          </cell>
          <cell r="G288" t="str">
            <v/>
          </cell>
          <cell r="H288" t="str">
            <v/>
          </cell>
          <cell r="I288" t="str">
            <v/>
          </cell>
          <cell r="J288" t="str">
            <v/>
          </cell>
          <cell r="K288" t="str">
            <v/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</row>
        <row r="289">
          <cell r="B289">
            <v>182720</v>
          </cell>
          <cell r="C289" t="str">
            <v>Roll Fwd Sched</v>
          </cell>
          <cell r="D289" t="str">
            <v>OTH REG ASSETS - CTA-FAS112-COBRA</v>
          </cell>
          <cell r="E289">
            <v>1</v>
          </cell>
          <cell r="F289">
            <v>182720</v>
          </cell>
          <cell r="G289" t="str">
            <v/>
          </cell>
          <cell r="H289" t="str">
            <v/>
          </cell>
          <cell r="I289" t="str">
            <v/>
          </cell>
          <cell r="J289" t="str">
            <v/>
          </cell>
          <cell r="K289" t="str">
            <v/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</row>
        <row r="290">
          <cell r="B290">
            <v>182730</v>
          </cell>
          <cell r="C290" t="str">
            <v>Roll Fwd Sched</v>
          </cell>
          <cell r="D290" t="str">
            <v>OTH REG ASSETS - CTA - OUTPLACEMENT</v>
          </cell>
          <cell r="E290">
            <v>1</v>
          </cell>
          <cell r="F290">
            <v>182730</v>
          </cell>
          <cell r="G290" t="str">
            <v/>
          </cell>
          <cell r="H290" t="str">
            <v/>
          </cell>
          <cell r="I290" t="str">
            <v/>
          </cell>
          <cell r="J290" t="str">
            <v/>
          </cell>
          <cell r="K290" t="str">
            <v/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</row>
        <row r="291">
          <cell r="B291">
            <v>182990</v>
          </cell>
          <cell r="C291" t="str">
            <v>Roll Fwd Sched</v>
          </cell>
          <cell r="D291" t="str">
            <v>RECLASS OTH REG ASSET-UNFUND FUT FIT-EL(W/ 182991</v>
          </cell>
          <cell r="E291">
            <v>2</v>
          </cell>
          <cell r="F291">
            <v>182990</v>
          </cell>
          <cell r="G291" t="str">
            <v/>
          </cell>
          <cell r="H291">
            <v>182990</v>
          </cell>
          <cell r="I291" t="str">
            <v/>
          </cell>
          <cell r="J291" t="str">
            <v/>
          </cell>
          <cell r="K291" t="str">
            <v/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</row>
        <row r="292">
          <cell r="B292">
            <v>182991</v>
          </cell>
          <cell r="C292" t="str">
            <v>Roll Fwd Sched</v>
          </cell>
          <cell r="D292" t="str">
            <v>RECLASS OTH REG ASSET-UNFUND FUT FIT-EL(W/ 182990</v>
          </cell>
          <cell r="E292">
            <v>2</v>
          </cell>
          <cell r="F292">
            <v>182991</v>
          </cell>
          <cell r="G292" t="str">
            <v/>
          </cell>
          <cell r="H292">
            <v>182991</v>
          </cell>
          <cell r="I292" t="str">
            <v/>
          </cell>
          <cell r="J292" t="str">
            <v/>
          </cell>
          <cell r="K292" t="str">
            <v/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</row>
        <row r="293">
          <cell r="B293">
            <v>183010</v>
          </cell>
          <cell r="C293" t="str">
            <v>RTBS</v>
          </cell>
          <cell r="D293" t="str">
            <v>PRELIMINARY ENGINEERING - ELECTRIC</v>
          </cell>
          <cell r="E293" t="str">
            <v/>
          </cell>
          <cell r="F293" t="str">
            <v/>
          </cell>
          <cell r="G293">
            <v>183010</v>
          </cell>
          <cell r="H293" t="str">
            <v/>
          </cell>
          <cell r="I293" t="str">
            <v/>
          </cell>
          <cell r="J293" t="str">
            <v/>
          </cell>
          <cell r="K293" t="str">
            <v/>
          </cell>
          <cell r="L293">
            <v>551.84631000000002</v>
          </cell>
          <cell r="M293">
            <v>747.45793000000003</v>
          </cell>
          <cell r="N293">
            <v>939.49012000000005</v>
          </cell>
          <cell r="O293">
            <v>1088.02973</v>
          </cell>
          <cell r="P293">
            <v>1189.19642</v>
          </cell>
          <cell r="Q293">
            <v>1411.7617700000001</v>
          </cell>
          <cell r="R293">
            <v>1620.0690300000001</v>
          </cell>
          <cell r="S293">
            <v>1893.45786</v>
          </cell>
          <cell r="T293">
            <v>2171.1878000000002</v>
          </cell>
          <cell r="U293">
            <v>2450.3940699999998</v>
          </cell>
          <cell r="V293">
            <v>2969.3474299999998</v>
          </cell>
          <cell r="W293">
            <v>3225.9301300000002</v>
          </cell>
          <cell r="X293">
            <v>2638.5305499999999</v>
          </cell>
          <cell r="Y293">
            <v>1775.1258929999999</v>
          </cell>
        </row>
        <row r="294">
          <cell r="B294">
            <v>183030</v>
          </cell>
          <cell r="C294" t="str">
            <v>RTBS</v>
          </cell>
          <cell r="D294" t="str">
            <v>PRELIMINARY ENGINEERING - GAS</v>
          </cell>
          <cell r="E294" t="str">
            <v/>
          </cell>
          <cell r="F294" t="str">
            <v/>
          </cell>
          <cell r="G294">
            <v>183030</v>
          </cell>
          <cell r="H294" t="str">
            <v/>
          </cell>
          <cell r="I294" t="str">
            <v/>
          </cell>
          <cell r="J294" t="str">
            <v/>
          </cell>
          <cell r="K294" t="str">
            <v/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</row>
        <row r="295">
          <cell r="B295">
            <v>184000</v>
          </cell>
          <cell r="C295" t="str">
            <v>Working Capital</v>
          </cell>
          <cell r="D295" t="str">
            <v>MISCELLANEOUS CLEARING</v>
          </cell>
          <cell r="E295" t="str">
            <v/>
          </cell>
          <cell r="F295" t="str">
            <v/>
          </cell>
          <cell r="G295" t="str">
            <v/>
          </cell>
          <cell r="H295" t="str">
            <v/>
          </cell>
          <cell r="I295">
            <v>184000</v>
          </cell>
          <cell r="J295" t="str">
            <v/>
          </cell>
          <cell r="K295" t="str">
            <v/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</row>
        <row r="296">
          <cell r="B296">
            <v>184002</v>
          </cell>
          <cell r="C296" t="str">
            <v>Working Capital</v>
          </cell>
          <cell r="D296" t="str">
            <v>INVOICE CLEARING</v>
          </cell>
          <cell r="E296" t="str">
            <v/>
          </cell>
          <cell r="F296" t="str">
            <v/>
          </cell>
          <cell r="G296" t="str">
            <v/>
          </cell>
          <cell r="H296" t="str">
            <v/>
          </cell>
          <cell r="I296">
            <v>184002</v>
          </cell>
          <cell r="J296" t="str">
            <v/>
          </cell>
          <cell r="K296" t="str">
            <v/>
          </cell>
          <cell r="L296">
            <v>0</v>
          </cell>
          <cell r="M296">
            <v>-6.0183499999999999</v>
          </cell>
          <cell r="N296">
            <v>-6.0183499999999999</v>
          </cell>
          <cell r="O296">
            <v>0.15159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-0.99042600000000003</v>
          </cell>
        </row>
        <row r="297">
          <cell r="B297">
            <v>184003</v>
          </cell>
          <cell r="C297" t="str">
            <v>Working Capital</v>
          </cell>
          <cell r="D297" t="str">
            <v>PURCHASED POWER CLEARING</v>
          </cell>
          <cell r="E297" t="str">
            <v/>
          </cell>
          <cell r="F297" t="str">
            <v/>
          </cell>
          <cell r="G297" t="str">
            <v/>
          </cell>
          <cell r="H297" t="str">
            <v/>
          </cell>
          <cell r="I297">
            <v>184003</v>
          </cell>
          <cell r="J297" t="str">
            <v/>
          </cell>
          <cell r="K297" t="str">
            <v/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</row>
        <row r="298">
          <cell r="B298">
            <v>184004</v>
          </cell>
          <cell r="C298" t="str">
            <v>Working Capital</v>
          </cell>
          <cell r="D298" t="str">
            <v>PURCHASED GAS CLEARING</v>
          </cell>
          <cell r="E298" t="str">
            <v/>
          </cell>
          <cell r="F298" t="str">
            <v/>
          </cell>
          <cell r="G298" t="str">
            <v/>
          </cell>
          <cell r="H298" t="str">
            <v/>
          </cell>
          <cell r="I298">
            <v>184004</v>
          </cell>
          <cell r="J298" t="str">
            <v/>
          </cell>
          <cell r="K298" t="str">
            <v/>
          </cell>
          <cell r="L298">
            <v>0</v>
          </cell>
          <cell r="M298">
            <v>0</v>
          </cell>
          <cell r="N298">
            <v>0</v>
          </cell>
          <cell r="O298">
            <v>-0.2</v>
          </cell>
          <cell r="P298">
            <v>-0.2</v>
          </cell>
          <cell r="Q298">
            <v>-0.2</v>
          </cell>
          <cell r="R298">
            <v>0</v>
          </cell>
          <cell r="S298">
            <v>-16.874189999999999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-1.456183</v>
          </cell>
        </row>
        <row r="299">
          <cell r="B299">
            <v>184005</v>
          </cell>
          <cell r="C299" t="str">
            <v>Working Capital</v>
          </cell>
          <cell r="D299" t="str">
            <v>PAYROLL OVERHEAD</v>
          </cell>
          <cell r="E299" t="str">
            <v/>
          </cell>
          <cell r="F299" t="str">
            <v/>
          </cell>
          <cell r="G299" t="str">
            <v/>
          </cell>
          <cell r="H299" t="str">
            <v/>
          </cell>
          <cell r="I299">
            <v>184005</v>
          </cell>
          <cell r="J299" t="str">
            <v/>
          </cell>
          <cell r="K299" t="str">
            <v/>
          </cell>
          <cell r="L299">
            <v>0</v>
          </cell>
          <cell r="M299">
            <v>-356.26553999999999</v>
          </cell>
          <cell r="N299">
            <v>-366.85048999999998</v>
          </cell>
          <cell r="O299">
            <v>575.72100999999998</v>
          </cell>
          <cell r="P299">
            <v>830.27963</v>
          </cell>
          <cell r="Q299">
            <v>-896.80754999999999</v>
          </cell>
          <cell r="R299">
            <v>-890.80699000000004</v>
          </cell>
          <cell r="S299">
            <v>-644.46843000000001</v>
          </cell>
          <cell r="T299">
            <v>-501.97098999999997</v>
          </cell>
          <cell r="U299">
            <v>985.40099999999995</v>
          </cell>
          <cell r="V299">
            <v>77.350899999999996</v>
          </cell>
          <cell r="W299">
            <v>-170.19431</v>
          </cell>
          <cell r="X299">
            <v>0</v>
          </cell>
          <cell r="Y299">
            <v>-113.217647</v>
          </cell>
        </row>
        <row r="300">
          <cell r="B300">
            <v>184006</v>
          </cell>
          <cell r="C300" t="str">
            <v>Working Capital</v>
          </cell>
          <cell r="D300" t="str">
            <v>FLEET / VEHICLE CLEARING</v>
          </cell>
          <cell r="E300" t="str">
            <v/>
          </cell>
          <cell r="F300" t="str">
            <v/>
          </cell>
          <cell r="G300" t="str">
            <v/>
          </cell>
          <cell r="H300" t="str">
            <v/>
          </cell>
          <cell r="I300">
            <v>184006</v>
          </cell>
          <cell r="J300" t="str">
            <v/>
          </cell>
          <cell r="K300" t="str">
            <v/>
          </cell>
          <cell r="L300">
            <v>0</v>
          </cell>
          <cell r="M300">
            <v>2.6293099999999998</v>
          </cell>
          <cell r="N300">
            <v>-2.46821</v>
          </cell>
          <cell r="O300">
            <v>48.88579</v>
          </cell>
          <cell r="P300">
            <v>104.31068999999999</v>
          </cell>
          <cell r="Q300">
            <v>82.068889999999996</v>
          </cell>
          <cell r="R300">
            <v>169.29738</v>
          </cell>
          <cell r="S300">
            <v>164.69466</v>
          </cell>
          <cell r="T300">
            <v>73.840419999999995</v>
          </cell>
          <cell r="U300">
            <v>139.18154000000001</v>
          </cell>
          <cell r="V300">
            <v>240.25013000000001</v>
          </cell>
          <cell r="W300">
            <v>228.04919000000001</v>
          </cell>
          <cell r="X300">
            <v>0</v>
          </cell>
          <cell r="Y300">
            <v>104.22831600000001</v>
          </cell>
        </row>
        <row r="301">
          <cell r="B301">
            <v>184007</v>
          </cell>
          <cell r="C301" t="str">
            <v>Working Capital</v>
          </cell>
          <cell r="D301" t="str">
            <v>STORES LOADER CLEARING</v>
          </cell>
          <cell r="E301" t="str">
            <v/>
          </cell>
          <cell r="F301" t="str">
            <v/>
          </cell>
          <cell r="G301" t="str">
            <v/>
          </cell>
          <cell r="H301" t="str">
            <v/>
          </cell>
          <cell r="I301">
            <v>184007</v>
          </cell>
          <cell r="J301" t="str">
            <v/>
          </cell>
          <cell r="K301" t="str">
            <v/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</row>
        <row r="302">
          <cell r="B302">
            <v>184008</v>
          </cell>
          <cell r="C302" t="str">
            <v>Working Capital</v>
          </cell>
          <cell r="D302" t="str">
            <v>UNDISTRIBUTED BILLING</v>
          </cell>
          <cell r="E302" t="str">
            <v/>
          </cell>
          <cell r="F302" t="str">
            <v/>
          </cell>
          <cell r="G302" t="str">
            <v/>
          </cell>
          <cell r="H302" t="str">
            <v/>
          </cell>
          <cell r="I302">
            <v>184008</v>
          </cell>
          <cell r="J302" t="str">
            <v/>
          </cell>
          <cell r="K302" t="str">
            <v/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-3.2010000000000001</v>
          </cell>
          <cell r="V302">
            <v>-3.2010000000000001</v>
          </cell>
          <cell r="W302">
            <v>-0.06</v>
          </cell>
          <cell r="X302">
            <v>0</v>
          </cell>
          <cell r="Y302">
            <v>-0.53849999999999998</v>
          </cell>
        </row>
        <row r="303">
          <cell r="B303">
            <v>184013</v>
          </cell>
          <cell r="C303" t="str">
            <v>Working Capital</v>
          </cell>
          <cell r="D303" t="str">
            <v>PURCHASED POWER CLEARING-ALLEGRO A/R</v>
          </cell>
          <cell r="E303" t="str">
            <v/>
          </cell>
          <cell r="F303" t="str">
            <v/>
          </cell>
          <cell r="G303" t="str">
            <v/>
          </cell>
          <cell r="H303" t="str">
            <v/>
          </cell>
          <cell r="I303">
            <v>184013</v>
          </cell>
          <cell r="J303" t="str">
            <v/>
          </cell>
          <cell r="K303" t="str">
            <v/>
          </cell>
          <cell r="L303">
            <v>0</v>
          </cell>
          <cell r="M303">
            <v>-0.12748999999999999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-1.0624E-2</v>
          </cell>
        </row>
        <row r="304">
          <cell r="B304">
            <v>184014</v>
          </cell>
          <cell r="C304" t="str">
            <v>Working Capital</v>
          </cell>
          <cell r="D304" t="str">
            <v>PURCHASED GAS CLEARING - ALLEGRO A/R</v>
          </cell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  <cell r="I304">
            <v>184014</v>
          </cell>
          <cell r="J304" t="str">
            <v/>
          </cell>
          <cell r="K304" t="str">
            <v/>
          </cell>
          <cell r="L304">
            <v>0</v>
          </cell>
          <cell r="M304">
            <v>-59.4</v>
          </cell>
          <cell r="N304">
            <v>-59.4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-9.9</v>
          </cell>
        </row>
        <row r="305">
          <cell r="B305">
            <v>184102</v>
          </cell>
          <cell r="C305" t="str">
            <v>Working Capital</v>
          </cell>
          <cell r="D305" t="str">
            <v>SAP CCS CONVERSION A/R OFFSET</v>
          </cell>
          <cell r="E305" t="str">
            <v/>
          </cell>
          <cell r="F305" t="str">
            <v/>
          </cell>
          <cell r="G305" t="str">
            <v/>
          </cell>
          <cell r="H305" t="str">
            <v/>
          </cell>
          <cell r="I305">
            <v>184102</v>
          </cell>
          <cell r="J305" t="str">
            <v/>
          </cell>
          <cell r="K305" t="str">
            <v/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</row>
        <row r="306">
          <cell r="B306">
            <v>184110</v>
          </cell>
          <cell r="C306" t="str">
            <v>Working Capital</v>
          </cell>
          <cell r="D306" t="str">
            <v>PRE ENGINEERING ELECT OH</v>
          </cell>
          <cell r="E306" t="str">
            <v/>
          </cell>
          <cell r="F306" t="str">
            <v/>
          </cell>
          <cell r="G306" t="str">
            <v/>
          </cell>
          <cell r="H306" t="str">
            <v/>
          </cell>
          <cell r="I306">
            <v>184110</v>
          </cell>
          <cell r="J306" t="str">
            <v/>
          </cell>
          <cell r="K306" t="str">
            <v/>
          </cell>
          <cell r="L306">
            <v>0</v>
          </cell>
          <cell r="M306">
            <v>241.77124000000001</v>
          </cell>
          <cell r="N306">
            <v>516.18917999999996</v>
          </cell>
          <cell r="O306">
            <v>90.370249999999999</v>
          </cell>
          <cell r="P306">
            <v>10.572649999999999</v>
          </cell>
          <cell r="Q306">
            <v>-45.520670000000003</v>
          </cell>
          <cell r="R306">
            <v>-35.5396</v>
          </cell>
          <cell r="S306">
            <v>-60.73489</v>
          </cell>
          <cell r="T306">
            <v>-48.002189999999999</v>
          </cell>
          <cell r="U306">
            <v>30.505210000000002</v>
          </cell>
          <cell r="V306">
            <v>-96.52937</v>
          </cell>
          <cell r="W306">
            <v>-89.943860000000001</v>
          </cell>
          <cell r="X306">
            <v>0</v>
          </cell>
          <cell r="Y306">
            <v>42.761496000000001</v>
          </cell>
        </row>
        <row r="307">
          <cell r="B307">
            <v>184111</v>
          </cell>
          <cell r="C307" t="str">
            <v>Working Capital</v>
          </cell>
          <cell r="D307" t="str">
            <v>PRE ENGINEERING GAS OH</v>
          </cell>
          <cell r="E307" t="str">
            <v/>
          </cell>
          <cell r="F307" t="str">
            <v/>
          </cell>
          <cell r="G307" t="str">
            <v/>
          </cell>
          <cell r="H307" t="str">
            <v/>
          </cell>
          <cell r="I307">
            <v>184111</v>
          </cell>
          <cell r="J307" t="str">
            <v/>
          </cell>
          <cell r="K307" t="str">
            <v/>
          </cell>
          <cell r="L307">
            <v>0</v>
          </cell>
          <cell r="M307">
            <v>21.436620000000001</v>
          </cell>
          <cell r="N307">
            <v>107.83392000000001</v>
          </cell>
          <cell r="O307">
            <v>45.868810000000003</v>
          </cell>
          <cell r="P307">
            <v>-36.263280000000002</v>
          </cell>
          <cell r="Q307">
            <v>-73.945729999999998</v>
          </cell>
          <cell r="R307">
            <v>-65.138360000000006</v>
          </cell>
          <cell r="S307">
            <v>-106.19356999999999</v>
          </cell>
          <cell r="T307">
            <v>-163.04322999999999</v>
          </cell>
          <cell r="U307">
            <v>-62.847430000000003</v>
          </cell>
          <cell r="V307">
            <v>-104.73894</v>
          </cell>
          <cell r="W307">
            <v>58.852020000000003</v>
          </cell>
          <cell r="X307">
            <v>0</v>
          </cell>
          <cell r="Y307">
            <v>-31.514931000000001</v>
          </cell>
        </row>
        <row r="308">
          <cell r="B308">
            <v>184120</v>
          </cell>
          <cell r="C308" t="str">
            <v>Working Capital</v>
          </cell>
          <cell r="D308" t="str">
            <v>GEN CONSTRUCTION ELECT OH</v>
          </cell>
          <cell r="E308" t="str">
            <v/>
          </cell>
          <cell r="F308" t="str">
            <v/>
          </cell>
          <cell r="G308" t="str">
            <v/>
          </cell>
          <cell r="H308" t="str">
            <v/>
          </cell>
          <cell r="I308">
            <v>184120</v>
          </cell>
          <cell r="J308" t="str">
            <v/>
          </cell>
          <cell r="K308" t="str">
            <v/>
          </cell>
          <cell r="L308">
            <v>0</v>
          </cell>
          <cell r="M308">
            <v>264.96305999999998</v>
          </cell>
          <cell r="N308">
            <v>190.54961</v>
          </cell>
          <cell r="O308">
            <v>156.71977999999999</v>
          </cell>
          <cell r="P308">
            <v>125.79608</v>
          </cell>
          <cell r="Q308">
            <v>483.95263</v>
          </cell>
          <cell r="R308">
            <v>291.88623999999999</v>
          </cell>
          <cell r="S308">
            <v>599.71943999999996</v>
          </cell>
          <cell r="T308">
            <v>235.18818999999999</v>
          </cell>
          <cell r="U308">
            <v>-26.06005</v>
          </cell>
          <cell r="V308">
            <v>-301.92522000000002</v>
          </cell>
          <cell r="W308">
            <v>-181.61893000000001</v>
          </cell>
          <cell r="X308">
            <v>0</v>
          </cell>
          <cell r="Y308">
            <v>153.26423600000001</v>
          </cell>
        </row>
        <row r="309">
          <cell r="B309">
            <v>184130</v>
          </cell>
          <cell r="C309" t="str">
            <v>Working Capital</v>
          </cell>
          <cell r="D309" t="str">
            <v>GEN CONSTRUCTION GAS OH</v>
          </cell>
          <cell r="E309" t="str">
            <v/>
          </cell>
          <cell r="F309" t="str">
            <v/>
          </cell>
          <cell r="G309" t="str">
            <v/>
          </cell>
          <cell r="H309" t="str">
            <v/>
          </cell>
          <cell r="I309">
            <v>184130</v>
          </cell>
          <cell r="J309" t="str">
            <v/>
          </cell>
          <cell r="K309" t="str">
            <v/>
          </cell>
          <cell r="L309">
            <v>0</v>
          </cell>
          <cell r="M309">
            <v>108.59847000000001</v>
          </cell>
          <cell r="N309">
            <v>147.09026</v>
          </cell>
          <cell r="O309">
            <v>129.19472999999999</v>
          </cell>
          <cell r="P309">
            <v>112.3319</v>
          </cell>
          <cell r="Q309">
            <v>98.008309999999994</v>
          </cell>
          <cell r="R309">
            <v>31.297830000000001</v>
          </cell>
          <cell r="S309">
            <v>-37.457299999999996</v>
          </cell>
          <cell r="T309">
            <v>-59.897390000000001</v>
          </cell>
          <cell r="U309">
            <v>-66.374430000000004</v>
          </cell>
          <cell r="V309">
            <v>-85.169619999999995</v>
          </cell>
          <cell r="W309">
            <v>-28.816990000000001</v>
          </cell>
          <cell r="X309">
            <v>0</v>
          </cell>
          <cell r="Y309">
            <v>29.067148</v>
          </cell>
        </row>
        <row r="310">
          <cell r="B310">
            <v>186010</v>
          </cell>
          <cell r="C310" t="str">
            <v>Roll Fwd Sched</v>
          </cell>
          <cell r="D310" t="str">
            <v>OTH WIP - BILLING</v>
          </cell>
          <cell r="E310">
            <v>2</v>
          </cell>
          <cell r="F310">
            <v>186010</v>
          </cell>
          <cell r="G310" t="str">
            <v/>
          </cell>
          <cell r="H310" t="str">
            <v/>
          </cell>
          <cell r="I310" t="str">
            <v/>
          </cell>
          <cell r="J310">
            <v>186010</v>
          </cell>
          <cell r="K310" t="str">
            <v/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</row>
        <row r="311">
          <cell r="B311">
            <v>186013</v>
          </cell>
          <cell r="C311" t="str">
            <v>Roll Fwd Sched</v>
          </cell>
          <cell r="D311" t="str">
            <v>OTHER REGULATORY ASSETS - B.BAL - OTH CUR LIAB</v>
          </cell>
          <cell r="E311" t="str">
            <v/>
          </cell>
          <cell r="F311">
            <v>186013</v>
          </cell>
          <cell r="G311" t="str">
            <v/>
          </cell>
          <cell r="H311" t="str">
            <v/>
          </cell>
          <cell r="I311" t="str">
            <v/>
          </cell>
          <cell r="J311" t="str">
            <v/>
          </cell>
          <cell r="K311" t="str">
            <v/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</row>
        <row r="312">
          <cell r="B312">
            <v>186020</v>
          </cell>
          <cell r="C312" t="str">
            <v>Roll Fwd Sched</v>
          </cell>
          <cell r="D312" t="str">
            <v>OTH WIP - MANU MATL &amp; SUPP (NO STORES EXP)</v>
          </cell>
          <cell r="E312">
            <v>2</v>
          </cell>
          <cell r="F312">
            <v>186020</v>
          </cell>
          <cell r="G312" t="str">
            <v/>
          </cell>
          <cell r="H312" t="str">
            <v/>
          </cell>
          <cell r="I312" t="str">
            <v/>
          </cell>
          <cell r="J312">
            <v>186020</v>
          </cell>
          <cell r="K312" t="str">
            <v/>
          </cell>
          <cell r="L312">
            <v>116.43991</v>
          </cell>
          <cell r="M312">
            <v>139.32714000000001</v>
          </cell>
          <cell r="N312">
            <v>136.29369</v>
          </cell>
          <cell r="O312">
            <v>151.43253000000001</v>
          </cell>
          <cell r="P312">
            <v>160.52413999999999</v>
          </cell>
          <cell r="Q312">
            <v>173.15610000000001</v>
          </cell>
          <cell r="R312">
            <v>183.99485000000001</v>
          </cell>
          <cell r="S312">
            <v>113.15472</v>
          </cell>
          <cell r="T312">
            <v>132.48838000000001</v>
          </cell>
          <cell r="U312">
            <v>126.37026</v>
          </cell>
          <cell r="V312">
            <v>140.11131</v>
          </cell>
          <cell r="W312">
            <v>162.07763</v>
          </cell>
          <cell r="X312">
            <v>106.84703</v>
          </cell>
          <cell r="Y312">
            <v>144.214518</v>
          </cell>
        </row>
        <row r="313">
          <cell r="B313">
            <v>186030</v>
          </cell>
          <cell r="C313" t="str">
            <v>Roll Fwd Sched</v>
          </cell>
          <cell r="D313" t="str">
            <v>OTH WIP - NON-CAP EXP-METER INSTAL (STORES EXP)</v>
          </cell>
          <cell r="E313">
            <v>1</v>
          </cell>
          <cell r="F313">
            <v>186030</v>
          </cell>
          <cell r="G313" t="str">
            <v/>
          </cell>
          <cell r="H313" t="str">
            <v/>
          </cell>
          <cell r="I313" t="str">
            <v/>
          </cell>
          <cell r="J313">
            <v>186030</v>
          </cell>
          <cell r="K313" t="str">
            <v/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</row>
        <row r="314">
          <cell r="B314">
            <v>186110</v>
          </cell>
          <cell r="C314" t="str">
            <v>Roll Fwd Sched</v>
          </cell>
          <cell r="D314" t="str">
            <v>OTH DEFERRED DEBITS - MISCELLANEOUS</v>
          </cell>
          <cell r="E314">
            <v>2</v>
          </cell>
          <cell r="F314">
            <v>186110</v>
          </cell>
          <cell r="G314" t="str">
            <v/>
          </cell>
          <cell r="H314" t="str">
            <v/>
          </cell>
          <cell r="I314" t="str">
            <v/>
          </cell>
          <cell r="J314" t="str">
            <v/>
          </cell>
          <cell r="K314" t="str">
            <v/>
          </cell>
          <cell r="L314">
            <v>262.59195</v>
          </cell>
          <cell r="M314">
            <v>81</v>
          </cell>
          <cell r="N314">
            <v>0</v>
          </cell>
          <cell r="O314">
            <v>0</v>
          </cell>
          <cell r="P314">
            <v>81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24.441331000000002</v>
          </cell>
        </row>
        <row r="315">
          <cell r="B315">
            <v>186215</v>
          </cell>
          <cell r="C315" t="str">
            <v>Roll Fwd Sched</v>
          </cell>
          <cell r="D315" t="str">
            <v>MISC DEF DEBITS-PREPAID PENSION PLANS</v>
          </cell>
          <cell r="E315">
            <v>1</v>
          </cell>
          <cell r="F315">
            <v>186215</v>
          </cell>
          <cell r="G315" t="str">
            <v/>
          </cell>
          <cell r="H315" t="str">
            <v/>
          </cell>
          <cell r="I315" t="str">
            <v/>
          </cell>
          <cell r="J315" t="str">
            <v/>
          </cell>
          <cell r="K315" t="str">
            <v/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</row>
        <row r="316">
          <cell r="B316">
            <v>186230</v>
          </cell>
          <cell r="C316" t="str">
            <v>Roll Fwd Sched</v>
          </cell>
          <cell r="D316" t="str">
            <v>MISC DEF DEBITS-PREPAID FAS 106</v>
          </cell>
          <cell r="E316">
            <v>1</v>
          </cell>
          <cell r="F316">
            <v>186230</v>
          </cell>
          <cell r="G316" t="str">
            <v/>
          </cell>
          <cell r="H316" t="str">
            <v/>
          </cell>
          <cell r="I316" t="str">
            <v/>
          </cell>
          <cell r="J316" t="str">
            <v/>
          </cell>
          <cell r="K316" t="str">
            <v/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</row>
        <row r="317">
          <cell r="B317">
            <v>186255</v>
          </cell>
          <cell r="C317" t="str">
            <v>Roll Fwd Sched</v>
          </cell>
          <cell r="D317" t="str">
            <v>MISC DEF DEBITS-OTHER</v>
          </cell>
          <cell r="E317">
            <v>19</v>
          </cell>
          <cell r="F317">
            <v>186255</v>
          </cell>
          <cell r="G317" t="str">
            <v/>
          </cell>
          <cell r="H317" t="str">
            <v/>
          </cell>
          <cell r="I317" t="str">
            <v/>
          </cell>
          <cell r="J317" t="str">
            <v/>
          </cell>
          <cell r="K317" t="str">
            <v/>
          </cell>
          <cell r="L317">
            <v>2628.15789</v>
          </cell>
          <cell r="M317">
            <v>2633.6577400000001</v>
          </cell>
          <cell r="N317">
            <v>2681.3869599999998</v>
          </cell>
          <cell r="O317">
            <v>2442.9644899999998</v>
          </cell>
          <cell r="P317">
            <v>2385.6721299999999</v>
          </cell>
          <cell r="Q317">
            <v>2435.8114399999999</v>
          </cell>
          <cell r="R317">
            <v>2452.4640100000001</v>
          </cell>
          <cell r="S317">
            <v>2789.8067799999999</v>
          </cell>
          <cell r="T317">
            <v>2738.1417099999999</v>
          </cell>
          <cell r="U317">
            <v>2760.8600499999998</v>
          </cell>
          <cell r="V317">
            <v>2728.4716600000002</v>
          </cell>
          <cell r="W317">
            <v>2919.3146400000001</v>
          </cell>
          <cell r="X317">
            <v>7979.4265800000003</v>
          </cell>
          <cell r="Y317">
            <v>2856.0286540000002</v>
          </cell>
        </row>
        <row r="318">
          <cell r="B318">
            <v>186270</v>
          </cell>
          <cell r="C318" t="str">
            <v>Roll Fwd Sched</v>
          </cell>
          <cell r="D318" t="str">
            <v>OTH DEFERRED DEBITS - PROPERTY TAX</v>
          </cell>
          <cell r="E318">
            <v>1</v>
          </cell>
          <cell r="F318">
            <v>186270</v>
          </cell>
          <cell r="G318" t="str">
            <v/>
          </cell>
          <cell r="H318" t="str">
            <v/>
          </cell>
          <cell r="I318">
            <v>186270</v>
          </cell>
          <cell r="J318" t="str">
            <v/>
          </cell>
          <cell r="K318" t="str">
            <v/>
          </cell>
          <cell r="L318">
            <v>40.178240000000002</v>
          </cell>
          <cell r="M318">
            <v>267.60448000000002</v>
          </cell>
          <cell r="N318">
            <v>234.12261000000001</v>
          </cell>
          <cell r="O318">
            <v>234.12261000000001</v>
          </cell>
          <cell r="P318">
            <v>234.12261000000001</v>
          </cell>
          <cell r="Q318">
            <v>234.12261000000001</v>
          </cell>
          <cell r="R318">
            <v>0</v>
          </cell>
          <cell r="S318">
            <v>0</v>
          </cell>
          <cell r="T318">
            <v>22.252610000000001</v>
          </cell>
          <cell r="U318">
            <v>22.252610000000001</v>
          </cell>
          <cell r="V318">
            <v>22.252610000000001</v>
          </cell>
          <cell r="W318">
            <v>22.252610000000001</v>
          </cell>
          <cell r="X318">
            <v>22.252610000000001</v>
          </cell>
          <cell r="Y318">
            <v>110.36006500000001</v>
          </cell>
        </row>
        <row r="319">
          <cell r="B319">
            <v>186400</v>
          </cell>
          <cell r="C319" t="str">
            <v>Roll Fwd Sched</v>
          </cell>
          <cell r="D319" t="str">
            <v>OTH DEFERRED DEBITS - PENSION ASSET</v>
          </cell>
          <cell r="E319">
            <v>1</v>
          </cell>
          <cell r="F319">
            <v>186400</v>
          </cell>
          <cell r="G319" t="str">
            <v/>
          </cell>
          <cell r="H319" t="str">
            <v/>
          </cell>
          <cell r="I319" t="str">
            <v/>
          </cell>
          <cell r="J319" t="str">
            <v/>
          </cell>
          <cell r="K319" t="str">
            <v/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</row>
        <row r="320">
          <cell r="B320">
            <v>186410</v>
          </cell>
          <cell r="C320" t="str">
            <v>Roll Fwd Sched</v>
          </cell>
          <cell r="D320" t="str">
            <v>OTH DEFERRED DEBITS-IEE DATA CENTER BUILDOUT</v>
          </cell>
          <cell r="E320" t="str">
            <v/>
          </cell>
          <cell r="F320">
            <v>186410</v>
          </cell>
          <cell r="G320" t="str">
            <v/>
          </cell>
          <cell r="H320" t="str">
            <v/>
          </cell>
          <cell r="I320">
            <v>186410</v>
          </cell>
          <cell r="J320" t="str">
            <v/>
          </cell>
          <cell r="K320" t="str">
            <v/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</row>
        <row r="321">
          <cell r="B321">
            <v>186850</v>
          </cell>
          <cell r="C321" t="str">
            <v>Roll Fwd Sched</v>
          </cell>
          <cell r="D321" t="str">
            <v>INTANGIBLE ASSETS</v>
          </cell>
          <cell r="E321">
            <v>1</v>
          </cell>
          <cell r="F321">
            <v>186850</v>
          </cell>
          <cell r="G321" t="str">
            <v/>
          </cell>
          <cell r="H321" t="str">
            <v/>
          </cell>
          <cell r="I321" t="str">
            <v/>
          </cell>
          <cell r="J321" t="str">
            <v/>
          </cell>
          <cell r="K321" t="str">
            <v/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</row>
        <row r="322">
          <cell r="B322">
            <v>188000</v>
          </cell>
          <cell r="C322" t="str">
            <v>RTBS</v>
          </cell>
          <cell r="D322" t="str">
            <v>RESEARCH&amp;DEVELOPMENT EXPENDITURES</v>
          </cell>
          <cell r="E322" t="str">
            <v/>
          </cell>
          <cell r="F322" t="str">
            <v/>
          </cell>
          <cell r="G322">
            <v>188000</v>
          </cell>
          <cell r="H322" t="str">
            <v/>
          </cell>
          <cell r="I322" t="str">
            <v/>
          </cell>
          <cell r="J322" t="str">
            <v/>
          </cell>
          <cell r="K322" t="str">
            <v/>
          </cell>
          <cell r="L322">
            <v>0</v>
          </cell>
          <cell r="M322">
            <v>67.283730000000006</v>
          </cell>
          <cell r="N322">
            <v>134.56746000000001</v>
          </cell>
          <cell r="O322">
            <v>223.48560000000001</v>
          </cell>
          <cell r="P322">
            <v>76.558620000000005</v>
          </cell>
          <cell r="Q322">
            <v>152.96709000000001</v>
          </cell>
          <cell r="R322">
            <v>0</v>
          </cell>
          <cell r="S322">
            <v>111.94524</v>
          </cell>
          <cell r="T322">
            <v>0</v>
          </cell>
          <cell r="U322">
            <v>90.133880000000005</v>
          </cell>
          <cell r="V322">
            <v>182.05013</v>
          </cell>
          <cell r="W322">
            <v>408.83130999999997</v>
          </cell>
          <cell r="X322">
            <v>0</v>
          </cell>
          <cell r="Y322">
            <v>120.651922</v>
          </cell>
        </row>
        <row r="323">
          <cell r="B323">
            <v>189010</v>
          </cell>
          <cell r="C323" t="str">
            <v>RTBS</v>
          </cell>
          <cell r="D323" t="str">
            <v>UNAMORTIZED LOSS OF REACQ DEBT-MEDIUM TERM BONDS</v>
          </cell>
          <cell r="E323" t="str">
            <v/>
          </cell>
          <cell r="F323" t="str">
            <v/>
          </cell>
          <cell r="G323">
            <v>189010</v>
          </cell>
          <cell r="H323" t="str">
            <v/>
          </cell>
          <cell r="I323" t="str">
            <v/>
          </cell>
          <cell r="J323" t="str">
            <v/>
          </cell>
          <cell r="K323" t="str">
            <v/>
          </cell>
          <cell r="L323">
            <v>10051.552030000001</v>
          </cell>
          <cell r="M323">
            <v>9355.7030099999993</v>
          </cell>
          <cell r="N323">
            <v>9021.7703799999999</v>
          </cell>
          <cell r="O323">
            <v>7964.0045700000001</v>
          </cell>
          <cell r="P323">
            <v>7884.3584499999997</v>
          </cell>
          <cell r="Q323">
            <v>7804.7123300000003</v>
          </cell>
          <cell r="R323">
            <v>7725.06621</v>
          </cell>
          <cell r="S323">
            <v>7650.4190900000003</v>
          </cell>
          <cell r="T323">
            <v>7573.2834700000003</v>
          </cell>
          <cell r="U323">
            <v>7496.1478500000003</v>
          </cell>
          <cell r="V323">
            <v>7419.0122300000003</v>
          </cell>
          <cell r="W323">
            <v>7341.8766100000003</v>
          </cell>
          <cell r="X323">
            <v>7950.6462600000004</v>
          </cell>
          <cell r="Y323">
            <v>8019.7877790000002</v>
          </cell>
        </row>
        <row r="324">
          <cell r="B324">
            <v>190000</v>
          </cell>
          <cell r="C324" t="str">
            <v>Roll Fwd Sched</v>
          </cell>
          <cell r="D324" t="str">
            <v>ACCUM DEFERRED INC TAXES - FEDERAL</v>
          </cell>
          <cell r="E324" t="str">
            <v/>
          </cell>
          <cell r="F324">
            <v>190000</v>
          </cell>
          <cell r="G324" t="str">
            <v/>
          </cell>
          <cell r="H324" t="str">
            <v/>
          </cell>
          <cell r="I324" t="str">
            <v/>
          </cell>
          <cell r="J324" t="str">
            <v/>
          </cell>
          <cell r="K324" t="str">
            <v/>
          </cell>
          <cell r="L324">
            <v>34580.654260000003</v>
          </cell>
          <cell r="M324">
            <v>34393.343659999999</v>
          </cell>
          <cell r="N324">
            <v>34197.20622</v>
          </cell>
          <cell r="O324">
            <v>34020.391649999998</v>
          </cell>
          <cell r="P324">
            <v>33829.075409999998</v>
          </cell>
          <cell r="Q324">
            <v>33656.392030000003</v>
          </cell>
          <cell r="R324">
            <v>33474.968710000001</v>
          </cell>
          <cell r="S324">
            <v>33292.292509999999</v>
          </cell>
          <cell r="T324">
            <v>33120.945010000003</v>
          </cell>
          <cell r="U324">
            <v>32920.567410000003</v>
          </cell>
          <cell r="V324">
            <v>32732.670610000001</v>
          </cell>
          <cell r="W324">
            <v>32554.685119999998</v>
          </cell>
          <cell r="X324">
            <v>32663.126749999999</v>
          </cell>
          <cell r="Y324">
            <v>33484.535736999998</v>
          </cell>
        </row>
        <row r="325">
          <cell r="B325">
            <v>190001</v>
          </cell>
          <cell r="C325" t="str">
            <v>Roll Fwd Sched</v>
          </cell>
          <cell r="D325" t="str">
            <v>ACCUM DEFERRED INC TAXES - FEDERAL - ELECTRIC</v>
          </cell>
          <cell r="E325" t="str">
            <v/>
          </cell>
          <cell r="F325">
            <v>190001</v>
          </cell>
          <cell r="G325" t="str">
            <v/>
          </cell>
          <cell r="H325" t="str">
            <v/>
          </cell>
          <cell r="I325" t="str">
            <v/>
          </cell>
          <cell r="J325" t="str">
            <v/>
          </cell>
          <cell r="K325" t="str">
            <v/>
          </cell>
          <cell r="L325">
            <v>59357.501550000001</v>
          </cell>
          <cell r="M325">
            <v>59323.096160000001</v>
          </cell>
          <cell r="N325">
            <v>59293.584600000002</v>
          </cell>
          <cell r="O325">
            <v>59191.370540000004</v>
          </cell>
          <cell r="P325">
            <v>59049.855940000001</v>
          </cell>
          <cell r="Q325">
            <v>59068.247609999999</v>
          </cell>
          <cell r="R325">
            <v>58962.336109999997</v>
          </cell>
          <cell r="S325">
            <v>58803.492599999998</v>
          </cell>
          <cell r="T325">
            <v>58686.077940000003</v>
          </cell>
          <cell r="U325">
            <v>58415.276010000001</v>
          </cell>
          <cell r="V325">
            <v>58499.628040000003</v>
          </cell>
          <cell r="W325">
            <v>57846.79552</v>
          </cell>
          <cell r="X325">
            <v>63242.788079999998</v>
          </cell>
          <cell r="Y325">
            <v>59036.658823999998</v>
          </cell>
        </row>
        <row r="326">
          <cell r="B326">
            <v>190002</v>
          </cell>
          <cell r="C326" t="str">
            <v>Roll Fwd Sched</v>
          </cell>
          <cell r="D326" t="str">
            <v>ACCUM DEFERRED INC TAXES - FEDERAL - GAS</v>
          </cell>
          <cell r="E326" t="str">
            <v/>
          </cell>
          <cell r="F326">
            <v>190002</v>
          </cell>
          <cell r="G326" t="str">
            <v/>
          </cell>
          <cell r="H326" t="str">
            <v/>
          </cell>
          <cell r="I326" t="str">
            <v/>
          </cell>
          <cell r="J326" t="str">
            <v/>
          </cell>
          <cell r="K326" t="str">
            <v/>
          </cell>
          <cell r="L326">
            <v>25178.472119999999</v>
          </cell>
          <cell r="M326">
            <v>24521.811020000001</v>
          </cell>
          <cell r="N326">
            <v>24669.67398</v>
          </cell>
          <cell r="O326">
            <v>23489.228999999999</v>
          </cell>
          <cell r="P326">
            <v>22512.748800000001</v>
          </cell>
          <cell r="Q326">
            <v>22500.926080000001</v>
          </cell>
          <cell r="R326">
            <v>22409.01946</v>
          </cell>
          <cell r="S326">
            <v>22272.435509999999</v>
          </cell>
          <cell r="T326">
            <v>22185.496739999999</v>
          </cell>
          <cell r="U326">
            <v>22504.089039999999</v>
          </cell>
          <cell r="V326">
            <v>22512.827249999998</v>
          </cell>
          <cell r="W326">
            <v>22159.601640000001</v>
          </cell>
          <cell r="X326">
            <v>24742.738170000001</v>
          </cell>
          <cell r="Y326">
            <v>23058.205304999999</v>
          </cell>
        </row>
        <row r="327">
          <cell r="B327">
            <v>190003</v>
          </cell>
          <cell r="C327" t="str">
            <v>Roll Fwd Sched</v>
          </cell>
          <cell r="D327" t="str">
            <v>ACCUM DEFERRED INC TAXES-FEDERAL-ELECTRIC-NONOP</v>
          </cell>
          <cell r="E327" t="str">
            <v/>
          </cell>
          <cell r="F327">
            <v>190003</v>
          </cell>
          <cell r="G327" t="str">
            <v/>
          </cell>
          <cell r="H327" t="str">
            <v/>
          </cell>
          <cell r="I327" t="str">
            <v/>
          </cell>
          <cell r="J327" t="str">
            <v/>
          </cell>
          <cell r="K327" t="str">
            <v/>
          </cell>
          <cell r="L327">
            <v>3065.4677099999999</v>
          </cell>
          <cell r="M327">
            <v>3065.4677099999999</v>
          </cell>
          <cell r="N327">
            <v>3065.4677099999999</v>
          </cell>
          <cell r="O327">
            <v>3065.4677099999999</v>
          </cell>
          <cell r="P327">
            <v>3065.4677099999999</v>
          </cell>
          <cell r="Q327">
            <v>3065.4677099999999</v>
          </cell>
          <cell r="R327">
            <v>3065.4677099999999</v>
          </cell>
          <cell r="S327">
            <v>3065.4677099999999</v>
          </cell>
          <cell r="T327">
            <v>3065.4677099999999</v>
          </cell>
          <cell r="U327">
            <v>3057.7941700000001</v>
          </cell>
          <cell r="V327">
            <v>3057.7941700000001</v>
          </cell>
          <cell r="W327">
            <v>3057.7941700000001</v>
          </cell>
          <cell r="X327">
            <v>3057.7941700000001</v>
          </cell>
          <cell r="Y327">
            <v>3063.2295939999999</v>
          </cell>
        </row>
        <row r="328">
          <cell r="B328">
            <v>190004</v>
          </cell>
          <cell r="C328" t="str">
            <v>Roll Fwd Sched</v>
          </cell>
          <cell r="D328" t="str">
            <v>ACCUM DEFERRED INC TAXES-FEDERAL-GAS-NONOP</v>
          </cell>
          <cell r="E328" t="str">
            <v/>
          </cell>
          <cell r="F328">
            <v>190004</v>
          </cell>
          <cell r="G328" t="str">
            <v/>
          </cell>
          <cell r="H328" t="str">
            <v/>
          </cell>
          <cell r="I328" t="str">
            <v/>
          </cell>
          <cell r="J328" t="str">
            <v/>
          </cell>
          <cell r="K328" t="str">
            <v/>
          </cell>
          <cell r="L328">
            <v>2058.6046999999999</v>
          </cell>
          <cell r="M328">
            <v>2058.6046999999999</v>
          </cell>
          <cell r="N328">
            <v>2058.6046999999999</v>
          </cell>
          <cell r="O328">
            <v>2058.6046999999999</v>
          </cell>
          <cell r="P328">
            <v>2058.6046999999999</v>
          </cell>
          <cell r="Q328">
            <v>2058.6046999999999</v>
          </cell>
          <cell r="R328">
            <v>2058.6046999999999</v>
          </cell>
          <cell r="S328">
            <v>2058.6046999999999</v>
          </cell>
          <cell r="T328">
            <v>2058.6046999999999</v>
          </cell>
          <cell r="U328">
            <v>2054.4726900000001</v>
          </cell>
          <cell r="V328">
            <v>2054.4726900000001</v>
          </cell>
          <cell r="W328">
            <v>2054.4726900000001</v>
          </cell>
          <cell r="X328">
            <v>2054.4726900000001</v>
          </cell>
          <cell r="Y328">
            <v>2057.3995300000001</v>
          </cell>
        </row>
        <row r="329">
          <cell r="B329">
            <v>190006</v>
          </cell>
          <cell r="C329" t="str">
            <v>Roll Fwd Sched</v>
          </cell>
          <cell r="D329" t="str">
            <v>ACCUM DEFERRED INC TAXES-FEDERAL-CURRENT-ELECTRIC</v>
          </cell>
          <cell r="E329" t="str">
            <v/>
          </cell>
          <cell r="F329">
            <v>190006</v>
          </cell>
          <cell r="G329" t="str">
            <v/>
          </cell>
          <cell r="H329">
            <v>190006</v>
          </cell>
          <cell r="I329" t="str">
            <v/>
          </cell>
          <cell r="J329" t="str">
            <v/>
          </cell>
          <cell r="K329" t="str">
            <v/>
          </cell>
          <cell r="L329">
            <v>6832.7084699999996</v>
          </cell>
          <cell r="M329">
            <v>6948.7672000000002</v>
          </cell>
          <cell r="N329">
            <v>7165.62986</v>
          </cell>
          <cell r="O329">
            <v>7362.9388600000002</v>
          </cell>
          <cell r="P329">
            <v>7498.2399800000003</v>
          </cell>
          <cell r="Q329">
            <v>7311.91975</v>
          </cell>
          <cell r="R329">
            <v>7410.1574499999997</v>
          </cell>
          <cell r="S329">
            <v>7454.0291100000004</v>
          </cell>
          <cell r="T329">
            <v>7158.9681799999998</v>
          </cell>
          <cell r="U329">
            <v>7948.8929200000002</v>
          </cell>
          <cell r="V329">
            <v>7855.8204100000003</v>
          </cell>
          <cell r="W329">
            <v>7897.4396200000001</v>
          </cell>
          <cell r="X329">
            <v>7850.2483499999998</v>
          </cell>
          <cell r="Y329">
            <v>7446.1901459999999</v>
          </cell>
        </row>
        <row r="330">
          <cell r="B330">
            <v>190007</v>
          </cell>
          <cell r="C330" t="str">
            <v>Roll Fwd Sched</v>
          </cell>
          <cell r="D330" t="str">
            <v>ACCUM DEFERRED INC TAXES-FEDERAL-CURRENT-GAS</v>
          </cell>
          <cell r="E330" t="str">
            <v/>
          </cell>
          <cell r="F330">
            <v>190007</v>
          </cell>
          <cell r="G330" t="str">
            <v/>
          </cell>
          <cell r="H330">
            <v>190007</v>
          </cell>
          <cell r="I330" t="str">
            <v/>
          </cell>
          <cell r="J330" t="str">
            <v/>
          </cell>
          <cell r="K330" t="str">
            <v/>
          </cell>
          <cell r="L330">
            <v>8824.8216400000001</v>
          </cell>
          <cell r="M330">
            <v>8262.4735600000004</v>
          </cell>
          <cell r="N330">
            <v>8558.9745500000008</v>
          </cell>
          <cell r="O330">
            <v>7557.6665499999999</v>
          </cell>
          <cell r="P330">
            <v>7008.0184300000001</v>
          </cell>
          <cell r="Q330">
            <v>6925.6870399999998</v>
          </cell>
          <cell r="R330">
            <v>7401.12194</v>
          </cell>
          <cell r="S330">
            <v>7744.3044799999998</v>
          </cell>
          <cell r="T330">
            <v>7749.8164100000004</v>
          </cell>
          <cell r="U330">
            <v>8708.8460400000004</v>
          </cell>
          <cell r="V330">
            <v>8557.8266999999996</v>
          </cell>
          <cell r="W330">
            <v>9136.2154900000005</v>
          </cell>
          <cell r="X330">
            <v>9661.4790200000007</v>
          </cell>
          <cell r="Y330">
            <v>8071.1751270000004</v>
          </cell>
        </row>
        <row r="331">
          <cell r="B331">
            <v>190008</v>
          </cell>
          <cell r="C331" t="str">
            <v>Roll Fwd Sched</v>
          </cell>
          <cell r="D331" t="str">
            <v>RECLASS-INCOME TAXES-FEDERAL-CURRENT-ELECTRIC</v>
          </cell>
          <cell r="E331" t="str">
            <v/>
          </cell>
          <cell r="F331">
            <v>190008</v>
          </cell>
          <cell r="G331" t="str">
            <v/>
          </cell>
          <cell r="H331" t="str">
            <v/>
          </cell>
          <cell r="I331" t="str">
            <v/>
          </cell>
          <cell r="J331" t="str">
            <v/>
          </cell>
          <cell r="K331" t="str">
            <v/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</row>
        <row r="332">
          <cell r="B332">
            <v>190010</v>
          </cell>
          <cell r="C332" t="str">
            <v>Roll Fwd Sched</v>
          </cell>
          <cell r="D332" t="str">
            <v>ACCUM DEFERRED INC TAXES - STATE</v>
          </cell>
          <cell r="E332" t="str">
            <v/>
          </cell>
          <cell r="F332">
            <v>190010</v>
          </cell>
          <cell r="G332" t="str">
            <v/>
          </cell>
          <cell r="H332" t="str">
            <v/>
          </cell>
          <cell r="I332" t="str">
            <v/>
          </cell>
          <cell r="J332" t="str">
            <v/>
          </cell>
          <cell r="K332" t="str">
            <v/>
          </cell>
          <cell r="L332">
            <v>7551.0564999999997</v>
          </cell>
          <cell r="M332">
            <v>7510.1552199999996</v>
          </cell>
          <cell r="N332">
            <v>7467.3264900000004</v>
          </cell>
          <cell r="O332">
            <v>7428.7171200000003</v>
          </cell>
          <cell r="P332">
            <v>7386.9411700000001</v>
          </cell>
          <cell r="Q332">
            <v>7349.2339000000002</v>
          </cell>
          <cell r="R332">
            <v>7309.61816</v>
          </cell>
          <cell r="S332">
            <v>7269.7288600000002</v>
          </cell>
          <cell r="T332">
            <v>7232.3132800000003</v>
          </cell>
          <cell r="U332">
            <v>7188.5586599999997</v>
          </cell>
          <cell r="V332">
            <v>7147.5293899999997</v>
          </cell>
          <cell r="W332">
            <v>7108.6643400000003</v>
          </cell>
          <cell r="X332">
            <v>7132.34375</v>
          </cell>
          <cell r="Y332">
            <v>7311.7072260000004</v>
          </cell>
        </row>
        <row r="333">
          <cell r="B333">
            <v>190011</v>
          </cell>
          <cell r="C333" t="str">
            <v>Roll Fwd Sched</v>
          </cell>
          <cell r="D333" t="str">
            <v>ACCUM DEFERRED INC TAXES - STATE - ELECTRIC</v>
          </cell>
          <cell r="E333" t="str">
            <v/>
          </cell>
          <cell r="F333">
            <v>190011</v>
          </cell>
          <cell r="G333" t="str">
            <v/>
          </cell>
          <cell r="H333" t="str">
            <v/>
          </cell>
          <cell r="I333" t="str">
            <v/>
          </cell>
          <cell r="J333" t="str">
            <v/>
          </cell>
          <cell r="K333" t="str">
            <v/>
          </cell>
          <cell r="L333">
            <v>8082.8572899999999</v>
          </cell>
          <cell r="M333">
            <v>8075.3445000000002</v>
          </cell>
          <cell r="N333">
            <v>8068.9003199999997</v>
          </cell>
          <cell r="O333">
            <v>8069.8748800000003</v>
          </cell>
          <cell r="P333">
            <v>8015.6795700000002</v>
          </cell>
          <cell r="Q333">
            <v>8019.6956</v>
          </cell>
          <cell r="R333">
            <v>7996.5686699999997</v>
          </cell>
          <cell r="S333">
            <v>7961.8834800000004</v>
          </cell>
          <cell r="T333">
            <v>7936.2447199999997</v>
          </cell>
          <cell r="U333">
            <v>7799.1680399999996</v>
          </cell>
          <cell r="V333">
            <v>7817.5872200000003</v>
          </cell>
          <cell r="W333">
            <v>7675.0342199999996</v>
          </cell>
          <cell r="X333">
            <v>8853.3072200000006</v>
          </cell>
          <cell r="Y333">
            <v>7992.0052900000001</v>
          </cell>
        </row>
        <row r="334">
          <cell r="B334">
            <v>190012</v>
          </cell>
          <cell r="C334" t="str">
            <v>Roll Fwd Sched</v>
          </cell>
          <cell r="D334" t="str">
            <v>ACCUM DEFERRED INC TAXES - STATE - GAS</v>
          </cell>
          <cell r="E334" t="str">
            <v/>
          </cell>
          <cell r="F334">
            <v>190012</v>
          </cell>
          <cell r="G334" t="str">
            <v/>
          </cell>
          <cell r="H334" t="str">
            <v/>
          </cell>
          <cell r="I334" t="str">
            <v/>
          </cell>
          <cell r="J334" t="str">
            <v/>
          </cell>
          <cell r="K334" t="str">
            <v/>
          </cell>
          <cell r="L334">
            <v>3951.6025800000002</v>
          </cell>
          <cell r="M334">
            <v>3808.2135699999999</v>
          </cell>
          <cell r="N334">
            <v>3840.5010200000002</v>
          </cell>
          <cell r="O334">
            <v>3582.7381700000001</v>
          </cell>
          <cell r="P334">
            <v>3369.51323</v>
          </cell>
          <cell r="Q334">
            <v>3366.9315999999999</v>
          </cell>
          <cell r="R334">
            <v>3346.8627999999999</v>
          </cell>
          <cell r="S334">
            <v>3317.0382199999999</v>
          </cell>
          <cell r="T334">
            <v>3298.0542099999998</v>
          </cell>
          <cell r="U334">
            <v>3293.6694699999998</v>
          </cell>
          <cell r="V334">
            <v>3295.5775600000002</v>
          </cell>
          <cell r="W334">
            <v>3218.4469300000001</v>
          </cell>
          <cell r="X334">
            <v>3782.5025799999999</v>
          </cell>
          <cell r="Y334">
            <v>3467.049947</v>
          </cell>
        </row>
        <row r="335">
          <cell r="B335">
            <v>190013</v>
          </cell>
          <cell r="C335" t="str">
            <v>Roll Fwd Sched</v>
          </cell>
          <cell r="D335" t="str">
            <v>ACCUM DEFERRED INC TAXES-STATE-ELECTRIC-NONOP</v>
          </cell>
          <cell r="E335" t="str">
            <v/>
          </cell>
          <cell r="F335">
            <v>190013</v>
          </cell>
          <cell r="G335" t="str">
            <v/>
          </cell>
          <cell r="H335" t="str">
            <v/>
          </cell>
          <cell r="I335" t="str">
            <v/>
          </cell>
          <cell r="J335" t="str">
            <v/>
          </cell>
          <cell r="K335" t="str">
            <v/>
          </cell>
          <cell r="L335">
            <v>307.16451000000001</v>
          </cell>
          <cell r="M335">
            <v>307.16451000000001</v>
          </cell>
          <cell r="N335">
            <v>307.16451000000001</v>
          </cell>
          <cell r="O335">
            <v>307.16451000000001</v>
          </cell>
          <cell r="P335">
            <v>307.16451000000001</v>
          </cell>
          <cell r="Q335">
            <v>307.16451000000001</v>
          </cell>
          <cell r="R335">
            <v>307.16451000000001</v>
          </cell>
          <cell r="S335">
            <v>307.16451000000001</v>
          </cell>
          <cell r="T335">
            <v>307.16451000000001</v>
          </cell>
          <cell r="U335">
            <v>305.48890999999998</v>
          </cell>
          <cell r="V335">
            <v>305.48890999999998</v>
          </cell>
          <cell r="W335">
            <v>305.48890999999998</v>
          </cell>
          <cell r="X335">
            <v>305.48890999999998</v>
          </cell>
          <cell r="Y335">
            <v>306.675793</v>
          </cell>
        </row>
        <row r="336">
          <cell r="B336">
            <v>190014</v>
          </cell>
          <cell r="C336" t="str">
            <v>Roll Fwd Sched</v>
          </cell>
          <cell r="D336" t="str">
            <v>ACCUM DEFERRED INC TAXES-STATE-GAS-NONOP</v>
          </cell>
          <cell r="E336" t="str">
            <v/>
          </cell>
          <cell r="F336">
            <v>190014</v>
          </cell>
          <cell r="G336" t="str">
            <v/>
          </cell>
          <cell r="H336" t="str">
            <v/>
          </cell>
          <cell r="I336" t="str">
            <v/>
          </cell>
          <cell r="J336" t="str">
            <v/>
          </cell>
          <cell r="K336" t="str">
            <v/>
          </cell>
          <cell r="L336">
            <v>338.80831000000001</v>
          </cell>
          <cell r="M336">
            <v>338.80831000000001</v>
          </cell>
          <cell r="N336">
            <v>338.80831000000001</v>
          </cell>
          <cell r="O336">
            <v>338.80831000000001</v>
          </cell>
          <cell r="P336">
            <v>338.80831000000001</v>
          </cell>
          <cell r="Q336">
            <v>338.80831000000001</v>
          </cell>
          <cell r="R336">
            <v>338.80831000000001</v>
          </cell>
          <cell r="S336">
            <v>338.80831000000001</v>
          </cell>
          <cell r="T336">
            <v>338.80831000000001</v>
          </cell>
          <cell r="U336">
            <v>337.90604000000002</v>
          </cell>
          <cell r="V336">
            <v>337.90604000000002</v>
          </cell>
          <cell r="W336">
            <v>337.90604000000002</v>
          </cell>
          <cell r="X336">
            <v>337.90604000000002</v>
          </cell>
          <cell r="Y336">
            <v>338.54514799999998</v>
          </cell>
        </row>
        <row r="337">
          <cell r="B337">
            <v>190015</v>
          </cell>
          <cell r="C337" t="str">
            <v>Roll Fwd Sched</v>
          </cell>
          <cell r="D337" t="str">
            <v>RECLASS-INCOME TAXES-FEDERAL-CURRENT-GAS</v>
          </cell>
          <cell r="E337" t="str">
            <v/>
          </cell>
          <cell r="F337">
            <v>190015</v>
          </cell>
          <cell r="G337" t="str">
            <v/>
          </cell>
          <cell r="H337" t="str">
            <v/>
          </cell>
          <cell r="I337" t="str">
            <v/>
          </cell>
          <cell r="J337" t="str">
            <v/>
          </cell>
          <cell r="K337" t="str">
            <v/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</row>
        <row r="338">
          <cell r="B338">
            <v>190016</v>
          </cell>
          <cell r="C338" t="str">
            <v>Roll Fwd Sched</v>
          </cell>
          <cell r="D338" t="str">
            <v>ACCUM DEFERRED INC TAXES-STATE-CURRENT-ELECTRIC</v>
          </cell>
          <cell r="E338" t="str">
            <v/>
          </cell>
          <cell r="F338">
            <v>190016</v>
          </cell>
          <cell r="G338" t="str">
            <v/>
          </cell>
          <cell r="H338">
            <v>190016</v>
          </cell>
          <cell r="I338" t="str">
            <v/>
          </cell>
          <cell r="J338" t="str">
            <v/>
          </cell>
          <cell r="K338" t="str">
            <v/>
          </cell>
          <cell r="L338">
            <v>-1033.13563</v>
          </cell>
          <cell r="M338">
            <v>-1007.79259</v>
          </cell>
          <cell r="N338">
            <v>-960.43875000000003</v>
          </cell>
          <cell r="O338">
            <v>-917.35374999999999</v>
          </cell>
          <cell r="P338">
            <v>-887.80894999999998</v>
          </cell>
          <cell r="Q338">
            <v>-928.49356</v>
          </cell>
          <cell r="R338">
            <v>-907.04200000000003</v>
          </cell>
          <cell r="S338">
            <v>-897.46227999999996</v>
          </cell>
          <cell r="T338">
            <v>-961.89247999999998</v>
          </cell>
          <cell r="U338">
            <v>-789.40381000000002</v>
          </cell>
          <cell r="V338">
            <v>-809.72736999999995</v>
          </cell>
          <cell r="W338">
            <v>-800.63936999999999</v>
          </cell>
          <cell r="X338">
            <v>-810.94408999999996</v>
          </cell>
          <cell r="Y338">
            <v>-899.17456400000003</v>
          </cell>
        </row>
        <row r="339">
          <cell r="B339">
            <v>190017</v>
          </cell>
          <cell r="C339" t="str">
            <v>Roll Fwd Sched</v>
          </cell>
          <cell r="D339" t="str">
            <v>ACCUM DEFERRED INC TAXES-STATE-CURRENT-GAS</v>
          </cell>
          <cell r="E339" t="str">
            <v/>
          </cell>
          <cell r="F339">
            <v>190017</v>
          </cell>
          <cell r="G339" t="str">
            <v/>
          </cell>
          <cell r="H339">
            <v>190017</v>
          </cell>
          <cell r="I339" t="str">
            <v/>
          </cell>
          <cell r="J339" t="str">
            <v/>
          </cell>
          <cell r="K339" t="str">
            <v/>
          </cell>
          <cell r="L339">
            <v>209.12976</v>
          </cell>
          <cell r="M339">
            <v>86.334720000000004</v>
          </cell>
          <cell r="N339">
            <v>151.07888</v>
          </cell>
          <cell r="O339">
            <v>-67.568119999999993</v>
          </cell>
          <cell r="P339">
            <v>-187.58992000000001</v>
          </cell>
          <cell r="Q339">
            <v>-205.56781000000001</v>
          </cell>
          <cell r="R339">
            <v>-101.75136999999999</v>
          </cell>
          <cell r="S339">
            <v>-26.813089999999999</v>
          </cell>
          <cell r="T339">
            <v>-25.608889999999999</v>
          </cell>
          <cell r="U339">
            <v>183.80522999999999</v>
          </cell>
          <cell r="V339">
            <v>150.82879</v>
          </cell>
          <cell r="W339">
            <v>277.12578999999999</v>
          </cell>
          <cell r="X339">
            <v>391.82247999999998</v>
          </cell>
          <cell r="Y339">
            <v>44.562528</v>
          </cell>
        </row>
        <row r="340">
          <cell r="B340">
            <v>190018</v>
          </cell>
          <cell r="C340" t="str">
            <v>Roll Fwd Sched</v>
          </cell>
          <cell r="D340" t="str">
            <v>RECLASS-INCOME TAXES-STATE-CURRENT-ELECTRIC</v>
          </cell>
          <cell r="E340" t="str">
            <v/>
          </cell>
          <cell r="F340">
            <v>190018</v>
          </cell>
          <cell r="G340" t="str">
            <v/>
          </cell>
          <cell r="H340" t="str">
            <v/>
          </cell>
          <cell r="I340" t="str">
            <v/>
          </cell>
          <cell r="J340" t="str">
            <v/>
          </cell>
          <cell r="K340" t="str">
            <v/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</row>
        <row r="341">
          <cell r="B341">
            <v>190019</v>
          </cell>
          <cell r="C341" t="str">
            <v>Roll Fwd Sched</v>
          </cell>
          <cell r="D341" t="str">
            <v>RECLASS-INCOME TAXES-STATE-CURRENT-GAS</v>
          </cell>
          <cell r="E341" t="str">
            <v/>
          </cell>
          <cell r="F341">
            <v>190019</v>
          </cell>
          <cell r="G341" t="str">
            <v/>
          </cell>
          <cell r="H341" t="str">
            <v/>
          </cell>
          <cell r="I341" t="str">
            <v/>
          </cell>
          <cell r="J341" t="str">
            <v/>
          </cell>
          <cell r="K341" t="str">
            <v/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</row>
        <row r="342">
          <cell r="B342">
            <v>190030</v>
          </cell>
          <cell r="C342" t="str">
            <v>Roll Fwd Sched</v>
          </cell>
          <cell r="D342" t="str">
            <v>ADIT - EEBEN - FEDERAL - OCI</v>
          </cell>
          <cell r="E342">
            <v>0</v>
          </cell>
        </row>
        <row r="343">
          <cell r="B343">
            <v>190031</v>
          </cell>
          <cell r="C343" t="str">
            <v>Roll Fwd Sched</v>
          </cell>
          <cell r="D343" t="str">
            <v>ADIT - EEBEN - FEDERAL - ELECTRIC</v>
          </cell>
          <cell r="E343">
            <v>0</v>
          </cell>
        </row>
        <row r="344">
          <cell r="B344">
            <v>190032</v>
          </cell>
          <cell r="C344" t="str">
            <v>Roll Fwd Sched</v>
          </cell>
          <cell r="D344" t="str">
            <v>ADIT - EEBEN - FEDERAL - GAS</v>
          </cell>
          <cell r="E344">
            <v>0</v>
          </cell>
        </row>
        <row r="345">
          <cell r="B345">
            <v>190036</v>
          </cell>
          <cell r="C345" t="str">
            <v>Roll Fwd Sched</v>
          </cell>
          <cell r="D345" t="str">
            <v>ADIT - EEBEN - FEDERAL - CURRENT - ELECTRIC</v>
          </cell>
          <cell r="E345">
            <v>0</v>
          </cell>
        </row>
        <row r="346">
          <cell r="B346">
            <v>190037</v>
          </cell>
          <cell r="C346" t="str">
            <v>Roll Fwd Sched</v>
          </cell>
          <cell r="D346" t="str">
            <v>ADIT - EEBEN - FEDERAL - CURRENT - GAS</v>
          </cell>
          <cell r="E346">
            <v>0</v>
          </cell>
        </row>
        <row r="347">
          <cell r="B347">
            <v>190040</v>
          </cell>
          <cell r="C347" t="str">
            <v>Roll Fwd Sched</v>
          </cell>
          <cell r="D347" t="str">
            <v>ADIT - EEBEN - STATE - OCI</v>
          </cell>
          <cell r="E347">
            <v>0</v>
          </cell>
        </row>
        <row r="348">
          <cell r="B348">
            <v>190041</v>
          </cell>
          <cell r="C348" t="str">
            <v>Roll Fwd Sched</v>
          </cell>
          <cell r="D348" t="str">
            <v>ADIT - EEBEN - STATE - ELECTRIC</v>
          </cell>
          <cell r="E348">
            <v>0</v>
          </cell>
        </row>
        <row r="349">
          <cell r="B349">
            <v>190042</v>
          </cell>
          <cell r="C349" t="str">
            <v>Roll Fwd Sched</v>
          </cell>
          <cell r="D349" t="str">
            <v>ADIT - EEBEN - STATE - GAS</v>
          </cell>
          <cell r="E349">
            <v>0</v>
          </cell>
        </row>
        <row r="350">
          <cell r="B350">
            <v>190046</v>
          </cell>
          <cell r="C350" t="str">
            <v>Roll Fwd Sched</v>
          </cell>
          <cell r="D350" t="str">
            <v>ADIT - EEBEN - STATE - CURRENT - ELECTRIC</v>
          </cell>
          <cell r="E350">
            <v>0</v>
          </cell>
        </row>
        <row r="351">
          <cell r="B351">
            <v>190047</v>
          </cell>
          <cell r="C351" t="str">
            <v>Roll Fwd Sched</v>
          </cell>
          <cell r="D351" t="str">
            <v>ADIT - EEBEN - STATE - CURRENT - GAS</v>
          </cell>
          <cell r="E351">
            <v>0</v>
          </cell>
        </row>
        <row r="352">
          <cell r="B352">
            <v>190110</v>
          </cell>
          <cell r="C352" t="str">
            <v>Roll Fwd Sched</v>
          </cell>
          <cell r="D352" t="str">
            <v>ACCUM DEFERRED INC TAXES - NUCL DECOMM</v>
          </cell>
          <cell r="E352" t="str">
            <v/>
          </cell>
          <cell r="F352">
            <v>190110</v>
          </cell>
          <cell r="G352" t="str">
            <v/>
          </cell>
          <cell r="H352">
            <v>190110</v>
          </cell>
          <cell r="I352" t="str">
            <v/>
          </cell>
          <cell r="J352" t="str">
            <v/>
          </cell>
          <cell r="K352" t="str">
            <v/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</row>
        <row r="353">
          <cell r="B353">
            <v>190120</v>
          </cell>
          <cell r="C353" t="str">
            <v>SFAS-109</v>
          </cell>
          <cell r="D353" t="str">
            <v>ACCUM DEFERRED INC TAXES - PAID VS ACCRUED</v>
          </cell>
          <cell r="E353" t="str">
            <v/>
          </cell>
          <cell r="F353" t="str">
            <v/>
          </cell>
          <cell r="G353" t="str">
            <v/>
          </cell>
          <cell r="H353">
            <v>190120</v>
          </cell>
          <cell r="I353" t="str">
            <v/>
          </cell>
          <cell r="J353" t="str">
            <v/>
          </cell>
          <cell r="K353" t="str">
            <v/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</row>
        <row r="354">
          <cell r="B354">
            <v>190161</v>
          </cell>
          <cell r="C354" t="str">
            <v>SFAS-109</v>
          </cell>
          <cell r="D354" t="str">
            <v>0000190161 ACCUM DEFERRED INC TAXES-FAS 109-FEDERAL-ELECTRIC</v>
          </cell>
          <cell r="E354" t="str">
            <v/>
          </cell>
          <cell r="F354" t="str">
            <v/>
          </cell>
          <cell r="G354" t="str">
            <v/>
          </cell>
          <cell r="H354">
            <v>190161</v>
          </cell>
          <cell r="I354" t="str">
            <v/>
          </cell>
          <cell r="J354" t="str">
            <v/>
          </cell>
          <cell r="K354" t="str">
            <v/>
          </cell>
          <cell r="L354">
            <v>1042.0913800000001</v>
          </cell>
          <cell r="M354">
            <v>1042.0913800000001</v>
          </cell>
          <cell r="N354">
            <v>1042.0913800000001</v>
          </cell>
          <cell r="O354">
            <v>1042.0913800000001</v>
          </cell>
          <cell r="P354">
            <v>1042.0913800000001</v>
          </cell>
          <cell r="Q354">
            <v>1042.0913800000001</v>
          </cell>
          <cell r="R354">
            <v>1042.0913800000001</v>
          </cell>
          <cell r="S354">
            <v>1042.0913800000001</v>
          </cell>
          <cell r="T354">
            <v>1042.0913800000001</v>
          </cell>
          <cell r="U354">
            <v>1042.0913800000001</v>
          </cell>
          <cell r="V354">
            <v>1042.0913800000001</v>
          </cell>
          <cell r="W354">
            <v>1042.0913800000001</v>
          </cell>
          <cell r="X354">
            <v>1042.0913800000001</v>
          </cell>
          <cell r="Y354">
            <v>1042.0913800000001</v>
          </cell>
        </row>
        <row r="355">
          <cell r="B355">
            <v>190162</v>
          </cell>
          <cell r="C355" t="str">
            <v>SFAS-109</v>
          </cell>
          <cell r="D355" t="str">
            <v>0000190162 ACCUM DEFERRED INC TAXES-FAS 109-FEDERAL-GAS</v>
          </cell>
          <cell r="E355" t="str">
            <v/>
          </cell>
          <cell r="F355" t="str">
            <v/>
          </cell>
          <cell r="G355" t="str">
            <v/>
          </cell>
          <cell r="H355">
            <v>190162</v>
          </cell>
          <cell r="I355" t="str">
            <v/>
          </cell>
          <cell r="J355" t="str">
            <v/>
          </cell>
          <cell r="K355" t="str">
            <v/>
          </cell>
          <cell r="L355">
            <v>506.089</v>
          </cell>
          <cell r="M355">
            <v>506.089</v>
          </cell>
          <cell r="N355">
            <v>506.089</v>
          </cell>
          <cell r="O355">
            <v>506.089</v>
          </cell>
          <cell r="P355">
            <v>506.089</v>
          </cell>
          <cell r="Q355">
            <v>506.089</v>
          </cell>
          <cell r="R355">
            <v>506.089</v>
          </cell>
          <cell r="S355">
            <v>506.089</v>
          </cell>
          <cell r="T355">
            <v>506.089</v>
          </cell>
          <cell r="U355">
            <v>506.089</v>
          </cell>
          <cell r="V355">
            <v>506.089</v>
          </cell>
          <cell r="W355">
            <v>506.089</v>
          </cell>
          <cell r="X355">
            <v>506.089</v>
          </cell>
          <cell r="Y355">
            <v>506.089</v>
          </cell>
        </row>
        <row r="356">
          <cell r="B356">
            <v>190170</v>
          </cell>
          <cell r="C356" t="str">
            <v>SFAS-109</v>
          </cell>
          <cell r="D356" t="str">
            <v>ACCUM DEFERRED INC TAXES - FAS 109-STATE</v>
          </cell>
          <cell r="E356" t="str">
            <v/>
          </cell>
          <cell r="F356" t="str">
            <v/>
          </cell>
          <cell r="G356" t="str">
            <v/>
          </cell>
          <cell r="H356">
            <v>190170</v>
          </cell>
          <cell r="I356" t="str">
            <v/>
          </cell>
          <cell r="J356" t="str">
            <v/>
          </cell>
          <cell r="K356" t="str">
            <v/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</row>
        <row r="357">
          <cell r="B357">
            <v>190501</v>
          </cell>
          <cell r="C357" t="str">
            <v>Roll Fwd Sched</v>
          </cell>
          <cell r="D357" t="str">
            <v>ADIT-REG-FEDERAL-ELECTRIC</v>
          </cell>
          <cell r="E357" t="str">
            <v/>
          </cell>
          <cell r="F357">
            <v>190501</v>
          </cell>
          <cell r="G357" t="str">
            <v/>
          </cell>
          <cell r="H357">
            <v>190501</v>
          </cell>
          <cell r="I357" t="str">
            <v/>
          </cell>
          <cell r="J357" t="str">
            <v/>
          </cell>
          <cell r="K357" t="str">
            <v/>
          </cell>
          <cell r="L357">
            <v>43418.763800000001</v>
          </cell>
          <cell r="M357">
            <v>43583.334110000003</v>
          </cell>
          <cell r="N357">
            <v>44003.557249999998</v>
          </cell>
          <cell r="O357">
            <v>44366.291219999999</v>
          </cell>
          <cell r="P357">
            <v>45015.009460000001</v>
          </cell>
          <cell r="Q357">
            <v>45641.225599999998</v>
          </cell>
          <cell r="R357">
            <v>45982.483379999998</v>
          </cell>
          <cell r="S357">
            <v>45992.35613</v>
          </cell>
          <cell r="T357">
            <v>45664.827539999998</v>
          </cell>
          <cell r="U357">
            <v>45679.08236</v>
          </cell>
          <cell r="V357">
            <v>45616.698170000003</v>
          </cell>
          <cell r="W357">
            <v>50362.849240000003</v>
          </cell>
          <cell r="X357">
            <v>48333.204819999999</v>
          </cell>
          <cell r="Y357">
            <v>45648.641563999998</v>
          </cell>
        </row>
        <row r="358">
          <cell r="B358">
            <v>190502</v>
          </cell>
          <cell r="C358" t="str">
            <v>Roll Fwd Sched</v>
          </cell>
          <cell r="D358" t="str">
            <v>ADIT-REG-FEDERAL-GAS</v>
          </cell>
          <cell r="E358" t="str">
            <v/>
          </cell>
          <cell r="F358">
            <v>190502</v>
          </cell>
          <cell r="G358" t="str">
            <v/>
          </cell>
          <cell r="H358" t="str">
            <v/>
          </cell>
          <cell r="I358" t="str">
            <v/>
          </cell>
          <cell r="J358" t="str">
            <v/>
          </cell>
          <cell r="K358" t="str">
            <v/>
          </cell>
          <cell r="L358">
            <v>12062.650600000001</v>
          </cell>
          <cell r="M358">
            <v>11751.68469</v>
          </cell>
          <cell r="N358">
            <v>11770.38258</v>
          </cell>
          <cell r="O358">
            <v>11454.434999999999</v>
          </cell>
          <cell r="P358">
            <v>11044.93578</v>
          </cell>
          <cell r="Q358">
            <v>10691.06186</v>
          </cell>
          <cell r="R358">
            <v>10100.21127</v>
          </cell>
          <cell r="S358">
            <v>9483.5462000000007</v>
          </cell>
          <cell r="T358">
            <v>8435.5399300000008</v>
          </cell>
          <cell r="U358">
            <v>8585.0709700000007</v>
          </cell>
          <cell r="V358">
            <v>8232.9479200000005</v>
          </cell>
          <cell r="W358">
            <v>7799.4411600000003</v>
          </cell>
          <cell r="X358">
            <v>7605.1464800000003</v>
          </cell>
          <cell r="Y358">
            <v>9931.9296579999991</v>
          </cell>
        </row>
        <row r="359">
          <cell r="B359">
            <v>190511</v>
          </cell>
          <cell r="C359" t="str">
            <v>Roll Fwd Sched</v>
          </cell>
          <cell r="D359" t="str">
            <v>ADIT-REG-STATE-ELECTRIC</v>
          </cell>
          <cell r="E359" t="str">
            <v/>
          </cell>
          <cell r="F359">
            <v>190511</v>
          </cell>
          <cell r="G359" t="str">
            <v/>
          </cell>
          <cell r="H359" t="str">
            <v/>
          </cell>
          <cell r="I359" t="str">
            <v/>
          </cell>
          <cell r="J359" t="str">
            <v/>
          </cell>
          <cell r="K359" t="str">
            <v/>
          </cell>
          <cell r="L359">
            <v>11167.064189999999</v>
          </cell>
          <cell r="M359">
            <v>11202.999879999999</v>
          </cell>
          <cell r="N359">
            <v>11294.76014</v>
          </cell>
          <cell r="O359">
            <v>11373.967000000001</v>
          </cell>
          <cell r="P359">
            <v>11515.621569999999</v>
          </cell>
          <cell r="Q359">
            <v>11652.362639999999</v>
          </cell>
          <cell r="R359">
            <v>11726.87995</v>
          </cell>
          <cell r="S359">
            <v>11729.03577</v>
          </cell>
          <cell r="T359">
            <v>11657.516379999999</v>
          </cell>
          <cell r="U359">
            <v>11660.629059999999</v>
          </cell>
          <cell r="V359">
            <v>11647.006799999999</v>
          </cell>
          <cell r="W359">
            <v>12683.379929999999</v>
          </cell>
          <cell r="X359">
            <v>12240.185219999999</v>
          </cell>
          <cell r="Y359">
            <v>11653.981985</v>
          </cell>
        </row>
        <row r="360">
          <cell r="B360">
            <v>190512</v>
          </cell>
          <cell r="C360" t="str">
            <v>Roll Fwd Sched</v>
          </cell>
          <cell r="D360" t="str">
            <v>ADIT-REG-STATE-GAS</v>
          </cell>
          <cell r="E360" t="str">
            <v/>
          </cell>
          <cell r="F360">
            <v>190512</v>
          </cell>
          <cell r="G360" t="str">
            <v/>
          </cell>
          <cell r="H360" t="str">
            <v/>
          </cell>
          <cell r="I360" t="str">
            <v/>
          </cell>
          <cell r="J360" t="str">
            <v/>
          </cell>
          <cell r="K360" t="str">
            <v/>
          </cell>
          <cell r="L360">
            <v>2689.8673399999998</v>
          </cell>
          <cell r="M360">
            <v>2621.96459</v>
          </cell>
          <cell r="N360">
            <v>2626.0474800000002</v>
          </cell>
          <cell r="O360">
            <v>2557.0569</v>
          </cell>
          <cell r="P360">
            <v>2467.6383799999999</v>
          </cell>
          <cell r="Q360">
            <v>2390.3661699999998</v>
          </cell>
          <cell r="R360">
            <v>2261.34762</v>
          </cell>
          <cell r="S360">
            <v>2126.69211</v>
          </cell>
          <cell r="T360">
            <v>1897.84871</v>
          </cell>
          <cell r="U360">
            <v>1930.50044</v>
          </cell>
          <cell r="V360">
            <v>1853.6106</v>
          </cell>
          <cell r="W360">
            <v>1758.9497200000001</v>
          </cell>
          <cell r="X360">
            <v>1716.5233700000001</v>
          </cell>
          <cell r="Y360">
            <v>2224.601506</v>
          </cell>
        </row>
        <row r="361">
          <cell r="B361">
            <v>190531</v>
          </cell>
          <cell r="C361" t="str">
            <v>Roll Fwd Sched</v>
          </cell>
          <cell r="D361" t="str">
            <v>ADIT - EEBEN - REG - FEDERAL - ELECTRIC</v>
          </cell>
          <cell r="E361">
            <v>0</v>
          </cell>
        </row>
        <row r="362">
          <cell r="B362">
            <v>190532</v>
          </cell>
          <cell r="C362" t="str">
            <v>Roll Fwd Sched</v>
          </cell>
          <cell r="D362" t="str">
            <v>ADIT - EEBEN - REG - FEDERAL - GAS</v>
          </cell>
          <cell r="E362">
            <v>0</v>
          </cell>
        </row>
        <row r="363">
          <cell r="B363">
            <v>190541</v>
          </cell>
          <cell r="C363" t="str">
            <v>Roll Fwd Sched</v>
          </cell>
          <cell r="D363" t="str">
            <v>ADIT - EEBEN - REG - STATE - ELECTRIC</v>
          </cell>
          <cell r="E363">
            <v>0</v>
          </cell>
        </row>
        <row r="364">
          <cell r="B364">
            <v>190542</v>
          </cell>
          <cell r="C364" t="str">
            <v>Roll Fwd Sched</v>
          </cell>
          <cell r="D364" t="str">
            <v>ADIT - EEBEN - REG - STATE - GAS</v>
          </cell>
          <cell r="E364">
            <v>0</v>
          </cell>
        </row>
        <row r="365">
          <cell r="B365">
            <v>190990</v>
          </cell>
          <cell r="C365" t="str">
            <v>Roll Fwd Sched</v>
          </cell>
          <cell r="D365" t="str">
            <v>RECLASS-ACCUM DEFER INC TX-FED-CURRENT-ELECTRIC</v>
          </cell>
          <cell r="E365" t="str">
            <v/>
          </cell>
          <cell r="F365">
            <v>190990</v>
          </cell>
          <cell r="G365" t="str">
            <v/>
          </cell>
          <cell r="H365" t="str">
            <v/>
          </cell>
          <cell r="I365" t="str">
            <v/>
          </cell>
          <cell r="J365" t="str">
            <v/>
          </cell>
          <cell r="K365" t="str">
            <v/>
          </cell>
          <cell r="L365">
            <v>5.26478</v>
          </cell>
          <cell r="M365">
            <v>12.19078</v>
          </cell>
          <cell r="N365">
            <v>26.522780000000001</v>
          </cell>
          <cell r="O365">
            <v>37.309780000000003</v>
          </cell>
          <cell r="P365">
            <v>51.837780000000002</v>
          </cell>
          <cell r="Q365">
            <v>20.336780000000001</v>
          </cell>
          <cell r="R365">
            <v>10.33178</v>
          </cell>
          <cell r="S365">
            <v>26.391780000000001</v>
          </cell>
          <cell r="T365">
            <v>20.298780000000001</v>
          </cell>
          <cell r="U365">
            <v>31.578779999999998</v>
          </cell>
          <cell r="V365">
            <v>1.7799999999999999E-3</v>
          </cell>
          <cell r="W365">
            <v>1.7799999999999999E-3</v>
          </cell>
          <cell r="X365">
            <v>1.7799999999999999E-3</v>
          </cell>
          <cell r="Y365">
            <v>19.952988000000001</v>
          </cell>
        </row>
        <row r="366">
          <cell r="B366">
            <v>190991</v>
          </cell>
          <cell r="C366" t="str">
            <v>Roll Fwd Sched</v>
          </cell>
          <cell r="D366" t="str">
            <v>RECLASS-ACCUM DEFER INC TX-STATE-CURRENT-ELECTRIC</v>
          </cell>
          <cell r="E366" t="str">
            <v/>
          </cell>
          <cell r="F366">
            <v>190991</v>
          </cell>
          <cell r="G366" t="str">
            <v/>
          </cell>
          <cell r="H366" t="str">
            <v/>
          </cell>
          <cell r="I366" t="str">
            <v/>
          </cell>
          <cell r="J366" t="str">
            <v/>
          </cell>
          <cell r="K366" t="str">
            <v/>
          </cell>
          <cell r="L366">
            <v>1.1460600000000001</v>
          </cell>
          <cell r="M366">
            <v>2.6580599999999999</v>
          </cell>
          <cell r="N366">
            <v>5.7880599999999998</v>
          </cell>
          <cell r="O366">
            <v>8.1430600000000002</v>
          </cell>
          <cell r="P366">
            <v>11.315060000000001</v>
          </cell>
          <cell r="Q366">
            <v>4.4360600000000003</v>
          </cell>
          <cell r="R366">
            <v>2.2510599999999998</v>
          </cell>
          <cell r="S366">
            <v>5.7580600000000004</v>
          </cell>
          <cell r="T366">
            <v>4.4280600000000003</v>
          </cell>
          <cell r="U366">
            <v>6.8910600000000004</v>
          </cell>
          <cell r="V366">
            <v>-3.9399999999999999E-3</v>
          </cell>
          <cell r="W366">
            <v>-3.9399999999999999E-3</v>
          </cell>
          <cell r="X366">
            <v>-3.9399999999999999E-3</v>
          </cell>
          <cell r="Y366">
            <v>4.3526429999999996</v>
          </cell>
        </row>
        <row r="367">
          <cell r="B367">
            <v>190992</v>
          </cell>
          <cell r="C367" t="str">
            <v>Roll Fwd Sched</v>
          </cell>
          <cell r="D367" t="str">
            <v>RECLASS-ACCUM DEFER INC TX-FED-CURRENT-GAS</v>
          </cell>
          <cell r="E367" t="str">
            <v/>
          </cell>
          <cell r="F367">
            <v>190992</v>
          </cell>
          <cell r="G367" t="str">
            <v/>
          </cell>
          <cell r="H367" t="str">
            <v/>
          </cell>
          <cell r="I367" t="str">
            <v/>
          </cell>
          <cell r="J367" t="str">
            <v/>
          </cell>
          <cell r="K367" t="str">
            <v/>
          </cell>
          <cell r="L367">
            <v>-2417.5188499999999</v>
          </cell>
          <cell r="M367">
            <v>-1785.9918500000001</v>
          </cell>
          <cell r="N367">
            <v>-1952.4458500000001</v>
          </cell>
          <cell r="O367">
            <v>-834.08384999999998</v>
          </cell>
          <cell r="P367">
            <v>-200.15684999999999</v>
          </cell>
          <cell r="Q367">
            <v>-221.08985000000001</v>
          </cell>
          <cell r="R367">
            <v>-646.89385000000004</v>
          </cell>
          <cell r="S367">
            <v>-956.36485000000005</v>
          </cell>
          <cell r="T367">
            <v>-979.36985000000004</v>
          </cell>
          <cell r="U367">
            <v>-1543.8088499999999</v>
          </cell>
          <cell r="V367">
            <v>-1462.9048499999999</v>
          </cell>
          <cell r="W367">
            <v>-2017.88285</v>
          </cell>
          <cell r="X367">
            <v>-2575.3788500000001</v>
          </cell>
          <cell r="Y367">
            <v>-1258.120183</v>
          </cell>
        </row>
        <row r="368">
          <cell r="B368">
            <v>190993</v>
          </cell>
          <cell r="C368" t="str">
            <v>Roll Fwd Sched</v>
          </cell>
          <cell r="D368" t="str">
            <v>RECLASS-ACCUM DEFER INC TX-STATE-CURRENT-GAS</v>
          </cell>
          <cell r="E368" t="str">
            <v/>
          </cell>
          <cell r="F368">
            <v>190993</v>
          </cell>
          <cell r="G368" t="str">
            <v/>
          </cell>
          <cell r="H368" t="str">
            <v/>
          </cell>
          <cell r="I368" t="str">
            <v/>
          </cell>
          <cell r="J368" t="str">
            <v/>
          </cell>
          <cell r="K368" t="str">
            <v/>
          </cell>
          <cell r="L368">
            <v>-527.89029000000005</v>
          </cell>
          <cell r="M368">
            <v>-389.98928999999998</v>
          </cell>
          <cell r="N368">
            <v>-426.33629000000002</v>
          </cell>
          <cell r="O368">
            <v>-182.12929</v>
          </cell>
          <cell r="P368">
            <v>-43.70429</v>
          </cell>
          <cell r="Q368">
            <v>-48.275289999999998</v>
          </cell>
          <cell r="R368">
            <v>-141.25429</v>
          </cell>
          <cell r="S368">
            <v>-208.83129</v>
          </cell>
          <cell r="T368">
            <v>-213.85529</v>
          </cell>
          <cell r="U368">
            <v>-337.10629</v>
          </cell>
          <cell r="V368">
            <v>-319.44029</v>
          </cell>
          <cell r="W368">
            <v>-440.62529000000001</v>
          </cell>
          <cell r="X368">
            <v>-562.36028999999996</v>
          </cell>
          <cell r="Y368">
            <v>-274.72270700000001</v>
          </cell>
        </row>
        <row r="369">
          <cell r="B369">
            <v>201000</v>
          </cell>
          <cell r="C369" t="str">
            <v>CAP</v>
          </cell>
          <cell r="D369" t="str">
            <v>COMMON STOCK ISSUED - $5 PAR RGE &amp; $0.01 RGS</v>
          </cell>
          <cell r="E369" t="str">
            <v/>
          </cell>
          <cell r="F369" t="str">
            <v/>
          </cell>
          <cell r="G369" t="str">
            <v/>
          </cell>
          <cell r="H369" t="str">
            <v/>
          </cell>
          <cell r="I369" t="str">
            <v/>
          </cell>
          <cell r="J369" t="str">
            <v/>
          </cell>
          <cell r="K369">
            <v>201000</v>
          </cell>
          <cell r="L369">
            <v>-194429.065</v>
          </cell>
          <cell r="M369">
            <v>-194429.065</v>
          </cell>
          <cell r="N369">
            <v>-194429.065</v>
          </cell>
          <cell r="O369">
            <v>-194429.065</v>
          </cell>
          <cell r="P369">
            <v>-194429.065</v>
          </cell>
          <cell r="Q369">
            <v>-194429.065</v>
          </cell>
          <cell r="R369">
            <v>-194429.065</v>
          </cell>
          <cell r="S369">
            <v>-194429.065</v>
          </cell>
          <cell r="T369">
            <v>-194429.065</v>
          </cell>
          <cell r="U369">
            <v>-194429.065</v>
          </cell>
          <cell r="V369">
            <v>-194429.065</v>
          </cell>
          <cell r="W369">
            <v>-194429.065</v>
          </cell>
          <cell r="X369">
            <v>-194429.065</v>
          </cell>
          <cell r="Y369">
            <v>-194429.065</v>
          </cell>
        </row>
        <row r="370">
          <cell r="B370">
            <v>204010</v>
          </cell>
          <cell r="C370" t="str">
            <v>CAP</v>
          </cell>
          <cell r="D370" t="str">
            <v>PREFERRED STOCK ISSUED</v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  <cell r="I370" t="str">
            <v/>
          </cell>
          <cell r="J370" t="str">
            <v/>
          </cell>
          <cell r="K370">
            <v>204010</v>
          </cell>
          <cell r="L370">
            <v>-1E-3</v>
          </cell>
          <cell r="M370">
            <v>-1E-3</v>
          </cell>
          <cell r="N370">
            <v>-1E-3</v>
          </cell>
          <cell r="O370">
            <v>-1E-3</v>
          </cell>
          <cell r="P370">
            <v>-1E-3</v>
          </cell>
          <cell r="Q370">
            <v>-1E-3</v>
          </cell>
          <cell r="R370">
            <v>-1E-3</v>
          </cell>
          <cell r="S370">
            <v>-1E-3</v>
          </cell>
          <cell r="T370">
            <v>-1E-3</v>
          </cell>
          <cell r="U370">
            <v>-1E-3</v>
          </cell>
          <cell r="V370">
            <v>-1E-3</v>
          </cell>
          <cell r="W370">
            <v>-1E-3</v>
          </cell>
          <cell r="X370">
            <v>-1E-3</v>
          </cell>
          <cell r="Y370">
            <v>-1E-3</v>
          </cell>
        </row>
        <row r="371">
          <cell r="B371">
            <v>204020</v>
          </cell>
          <cell r="C371" t="str">
            <v>CAP</v>
          </cell>
          <cell r="D371" t="str">
            <v>PREF STOCK ISSUED - 4.1%  - SERIES H (PAR $100)</v>
          </cell>
          <cell r="E371" t="str">
            <v/>
          </cell>
          <cell r="F371" t="str">
            <v/>
          </cell>
          <cell r="G371" t="str">
            <v/>
          </cell>
          <cell r="H371" t="str">
            <v/>
          </cell>
          <cell r="I371" t="str">
            <v/>
          </cell>
          <cell r="J371" t="str">
            <v/>
          </cell>
          <cell r="K371">
            <v>204020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</row>
        <row r="372">
          <cell r="B372">
            <v>204030</v>
          </cell>
          <cell r="C372" t="str">
            <v>CAP</v>
          </cell>
          <cell r="D372" t="str">
            <v>PREF STOCK ISSUED - 4 3/4% - SERIES I (PAR $100)</v>
          </cell>
          <cell r="E372" t="str">
            <v/>
          </cell>
          <cell r="F372" t="str">
            <v/>
          </cell>
          <cell r="G372" t="str">
            <v/>
          </cell>
          <cell r="H372" t="str">
            <v/>
          </cell>
          <cell r="I372" t="str">
            <v/>
          </cell>
          <cell r="J372" t="str">
            <v/>
          </cell>
          <cell r="K372">
            <v>204030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</row>
        <row r="373">
          <cell r="B373">
            <v>204040</v>
          </cell>
          <cell r="C373" t="str">
            <v>CAP</v>
          </cell>
          <cell r="D373" t="str">
            <v>PREF STOCK ISSUED - 4.1%  - SERIES J (PAR $100)</v>
          </cell>
          <cell r="E373" t="str">
            <v/>
          </cell>
          <cell r="F373" t="str">
            <v/>
          </cell>
          <cell r="G373" t="str">
            <v/>
          </cell>
          <cell r="H373" t="str">
            <v/>
          </cell>
          <cell r="I373" t="str">
            <v/>
          </cell>
          <cell r="J373" t="str">
            <v/>
          </cell>
          <cell r="K373">
            <v>204040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</row>
        <row r="374">
          <cell r="B374">
            <v>204050</v>
          </cell>
          <cell r="C374" t="str">
            <v>CAP</v>
          </cell>
          <cell r="D374" t="str">
            <v>PREF STOCK ISSUED - 4.95% - SERIES K ( PAR $100)</v>
          </cell>
          <cell r="E374" t="str">
            <v/>
          </cell>
          <cell r="F374" t="str">
            <v/>
          </cell>
          <cell r="G374" t="str">
            <v/>
          </cell>
          <cell r="H374" t="str">
            <v/>
          </cell>
          <cell r="I374" t="str">
            <v/>
          </cell>
          <cell r="J374" t="str">
            <v/>
          </cell>
          <cell r="K374">
            <v>204050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</row>
        <row r="375">
          <cell r="B375">
            <v>204070</v>
          </cell>
          <cell r="C375" t="str">
            <v>CAP</v>
          </cell>
          <cell r="D375" t="str">
            <v>PREF STOCK ISSUED - 4.55% - SERIES M (PAR $100)</v>
          </cell>
          <cell r="E375" t="str">
            <v/>
          </cell>
          <cell r="F375" t="str">
            <v/>
          </cell>
          <cell r="G375" t="str">
            <v/>
          </cell>
          <cell r="H375" t="str">
            <v/>
          </cell>
          <cell r="I375" t="str">
            <v/>
          </cell>
          <cell r="J375" t="str">
            <v/>
          </cell>
          <cell r="K375">
            <v>204070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</row>
        <row r="376">
          <cell r="B376">
            <v>204160</v>
          </cell>
          <cell r="C376" t="str">
            <v>CAP</v>
          </cell>
          <cell r="D376" t="str">
            <v>PREF STOCK ISSUED - 6.60% - SERIES V (PAR $100)</v>
          </cell>
          <cell r="E376" t="str">
            <v/>
          </cell>
          <cell r="F376" t="str">
            <v/>
          </cell>
          <cell r="G376" t="str">
            <v/>
          </cell>
          <cell r="H376" t="str">
            <v/>
          </cell>
          <cell r="I376" t="str">
            <v/>
          </cell>
          <cell r="J376" t="str">
            <v/>
          </cell>
          <cell r="K376">
            <v>204160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</row>
        <row r="377">
          <cell r="B377">
            <v>204990</v>
          </cell>
          <cell r="C377" t="str">
            <v>CAP</v>
          </cell>
          <cell r="D377" t="str">
            <v>PREF STOCK CURRENT PORTION RECLASS - SERIES V</v>
          </cell>
          <cell r="E377" t="str">
            <v/>
          </cell>
          <cell r="F377" t="str">
            <v/>
          </cell>
          <cell r="G377" t="str">
            <v/>
          </cell>
          <cell r="H377" t="str">
            <v/>
          </cell>
          <cell r="I377" t="str">
            <v/>
          </cell>
          <cell r="J377" t="str">
            <v/>
          </cell>
          <cell r="K377">
            <v>204990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</row>
        <row r="378">
          <cell r="B378">
            <v>204991</v>
          </cell>
          <cell r="C378" t="str">
            <v>CAP</v>
          </cell>
          <cell r="D378" t="str">
            <v>PREF STOCK CURRENT PORTION RECLASS - SERIES V</v>
          </cell>
          <cell r="E378" t="str">
            <v/>
          </cell>
          <cell r="F378" t="str">
            <v/>
          </cell>
          <cell r="G378" t="str">
            <v/>
          </cell>
          <cell r="H378" t="str">
            <v/>
          </cell>
          <cell r="I378" t="str">
            <v/>
          </cell>
          <cell r="J378" t="str">
            <v/>
          </cell>
          <cell r="K378">
            <v>204991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</row>
        <row r="379">
          <cell r="B379">
            <v>207100</v>
          </cell>
          <cell r="C379" t="str">
            <v>CAP</v>
          </cell>
          <cell r="D379" t="str">
            <v>PREMIUM ON PREFERRED STOCK</v>
          </cell>
          <cell r="E379" t="str">
            <v/>
          </cell>
          <cell r="F379" t="str">
            <v/>
          </cell>
          <cell r="G379" t="str">
            <v/>
          </cell>
          <cell r="H379" t="str">
            <v/>
          </cell>
          <cell r="I379" t="str">
            <v/>
          </cell>
          <cell r="J379" t="str">
            <v/>
          </cell>
          <cell r="K379">
            <v>207100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</row>
        <row r="380">
          <cell r="B380">
            <v>207200</v>
          </cell>
          <cell r="C380" t="str">
            <v>CAP</v>
          </cell>
          <cell r="D380" t="str">
            <v>PREMIUM ON COMMON STOCK</v>
          </cell>
          <cell r="E380" t="str">
            <v/>
          </cell>
          <cell r="F380" t="str">
            <v/>
          </cell>
          <cell r="G380" t="str">
            <v/>
          </cell>
          <cell r="H380" t="str">
            <v/>
          </cell>
          <cell r="I380" t="str">
            <v/>
          </cell>
          <cell r="J380" t="str">
            <v/>
          </cell>
          <cell r="K380">
            <v>207200</v>
          </cell>
          <cell r="L380">
            <v>-519192.26312000002</v>
          </cell>
          <cell r="M380">
            <v>-519192.26312000002</v>
          </cell>
          <cell r="N380">
            <v>-519192.26312000002</v>
          </cell>
          <cell r="O380">
            <v>-519192.26312000002</v>
          </cell>
          <cell r="P380">
            <v>-519192.26312000002</v>
          </cell>
          <cell r="Q380">
            <v>-519192.26312000002</v>
          </cell>
          <cell r="R380">
            <v>-519192.26312000002</v>
          </cell>
          <cell r="S380">
            <v>-519192.26312000002</v>
          </cell>
          <cell r="T380">
            <v>-519192.26312000002</v>
          </cell>
          <cell r="U380">
            <v>-519192.26312000002</v>
          </cell>
          <cell r="V380">
            <v>-519192.26312000002</v>
          </cell>
          <cell r="W380">
            <v>-519192.26312000002</v>
          </cell>
          <cell r="X380">
            <v>-519192.26312000002</v>
          </cell>
          <cell r="Y380">
            <v>-519192.26312000002</v>
          </cell>
        </row>
        <row r="381">
          <cell r="B381">
            <v>210010</v>
          </cell>
          <cell r="C381" t="str">
            <v>CAP</v>
          </cell>
          <cell r="D381" t="str">
            <v>GAIN-RESALE OF REACQ CAP STK-PREF</v>
          </cell>
          <cell r="E381" t="str">
            <v/>
          </cell>
          <cell r="F381" t="str">
            <v/>
          </cell>
          <cell r="G381" t="str">
            <v/>
          </cell>
          <cell r="H381" t="str">
            <v/>
          </cell>
          <cell r="I381" t="str">
            <v/>
          </cell>
          <cell r="J381" t="str">
            <v/>
          </cell>
          <cell r="K381">
            <v>210010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</row>
        <row r="382">
          <cell r="B382">
            <v>210020</v>
          </cell>
          <cell r="C382" t="str">
            <v>CAP</v>
          </cell>
          <cell r="D382" t="str">
            <v>GAIN ON REACQUIRED PREFERRED STOCK - SERIES Q</v>
          </cell>
          <cell r="E382" t="str">
            <v/>
          </cell>
          <cell r="F382" t="str">
            <v/>
          </cell>
          <cell r="G382" t="str">
            <v/>
          </cell>
          <cell r="H382" t="str">
            <v/>
          </cell>
          <cell r="I382" t="str">
            <v/>
          </cell>
          <cell r="J382" t="str">
            <v/>
          </cell>
          <cell r="K382">
            <v>210020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</row>
        <row r="383">
          <cell r="B383">
            <v>211000</v>
          </cell>
          <cell r="C383" t="str">
            <v>CAP</v>
          </cell>
          <cell r="D383" t="str">
            <v>MISCELLANEOUS PAID IN CAPITAL</v>
          </cell>
          <cell r="E383" t="str">
            <v/>
          </cell>
          <cell r="F383" t="str">
            <v/>
          </cell>
          <cell r="G383" t="str">
            <v/>
          </cell>
          <cell r="H383" t="str">
            <v/>
          </cell>
          <cell r="I383" t="str">
            <v/>
          </cell>
          <cell r="J383" t="str">
            <v/>
          </cell>
          <cell r="K383">
            <v>211000</v>
          </cell>
          <cell r="L383">
            <v>-97983.184410000002</v>
          </cell>
          <cell r="M383">
            <v>-97983.184410000002</v>
          </cell>
          <cell r="N383">
            <v>-97983.184410000002</v>
          </cell>
          <cell r="O383">
            <v>-97983.184410000002</v>
          </cell>
          <cell r="P383">
            <v>-97983.184410000002</v>
          </cell>
          <cell r="Q383">
            <v>-97983.184410000002</v>
          </cell>
          <cell r="R383">
            <v>-97983.184410000002</v>
          </cell>
          <cell r="S383">
            <v>-97983.184410000002</v>
          </cell>
          <cell r="T383">
            <v>-97983.184410000002</v>
          </cell>
          <cell r="U383">
            <v>-97983.184410000002</v>
          </cell>
          <cell r="V383">
            <v>-97983.184410000002</v>
          </cell>
          <cell r="W383">
            <v>-97983.184410000002</v>
          </cell>
          <cell r="X383">
            <v>-97983.184410000002</v>
          </cell>
          <cell r="Y383">
            <v>-97983.184410000002</v>
          </cell>
        </row>
        <row r="384">
          <cell r="B384">
            <v>211300</v>
          </cell>
          <cell r="C384" t="str">
            <v>CAP</v>
          </cell>
          <cell r="D384" t="str">
            <v>MISC PAID IN CAP-LIQUIDATED DIV</v>
          </cell>
          <cell r="E384" t="str">
            <v/>
          </cell>
          <cell r="F384" t="str">
            <v/>
          </cell>
          <cell r="G384" t="str">
            <v/>
          </cell>
          <cell r="H384" t="str">
            <v/>
          </cell>
          <cell r="I384" t="str">
            <v/>
          </cell>
          <cell r="J384" t="str">
            <v/>
          </cell>
          <cell r="K384">
            <v>211300</v>
          </cell>
          <cell r="L384">
            <v>75000</v>
          </cell>
          <cell r="M384">
            <v>75000</v>
          </cell>
          <cell r="N384">
            <v>75000</v>
          </cell>
          <cell r="O384">
            <v>75000</v>
          </cell>
          <cell r="P384">
            <v>75000</v>
          </cell>
          <cell r="Q384">
            <v>75000</v>
          </cell>
          <cell r="R384">
            <v>75000</v>
          </cell>
          <cell r="S384">
            <v>75000</v>
          </cell>
          <cell r="T384">
            <v>75000</v>
          </cell>
          <cell r="U384">
            <v>75000</v>
          </cell>
          <cell r="V384">
            <v>75000</v>
          </cell>
          <cell r="W384">
            <v>75000</v>
          </cell>
          <cell r="X384">
            <v>75000</v>
          </cell>
          <cell r="Y384">
            <v>75000</v>
          </cell>
        </row>
        <row r="385">
          <cell r="B385">
            <v>211320</v>
          </cell>
          <cell r="C385" t="str">
            <v>CAP</v>
          </cell>
          <cell r="D385" t="str">
            <v>MISC PAID IN CAP-RESTRICTED STOCK</v>
          </cell>
          <cell r="E385" t="str">
            <v/>
          </cell>
          <cell r="F385" t="str">
            <v/>
          </cell>
          <cell r="G385" t="str">
            <v/>
          </cell>
          <cell r="H385" t="str">
            <v/>
          </cell>
          <cell r="I385" t="str">
            <v/>
          </cell>
          <cell r="J385" t="str">
            <v/>
          </cell>
          <cell r="K385">
            <v>211320</v>
          </cell>
          <cell r="L385">
            <v>-2886.17362</v>
          </cell>
          <cell r="M385">
            <v>-2886.17362</v>
          </cell>
          <cell r="N385">
            <v>-2886.17362</v>
          </cell>
          <cell r="O385">
            <v>-2886.17362</v>
          </cell>
          <cell r="P385">
            <v>-2886.17362</v>
          </cell>
          <cell r="Q385">
            <v>-2886.17362</v>
          </cell>
          <cell r="R385">
            <v>-2886.17362</v>
          </cell>
          <cell r="S385">
            <v>-2886.17362</v>
          </cell>
          <cell r="T385">
            <v>-2886.17362</v>
          </cell>
          <cell r="U385">
            <v>-2886.17362</v>
          </cell>
          <cell r="V385">
            <v>-2886.17362</v>
          </cell>
          <cell r="W385">
            <v>-2886.17362</v>
          </cell>
          <cell r="X385">
            <v>-2886.17362</v>
          </cell>
          <cell r="Y385">
            <v>-2886.17362</v>
          </cell>
        </row>
        <row r="386">
          <cell r="B386">
            <v>214000</v>
          </cell>
          <cell r="C386" t="str">
            <v>CAP</v>
          </cell>
          <cell r="D386" t="str">
            <v>CAPITAL STOCK EXPENSE</v>
          </cell>
          <cell r="E386" t="str">
            <v/>
          </cell>
          <cell r="F386" t="str">
            <v/>
          </cell>
          <cell r="G386" t="str">
            <v/>
          </cell>
          <cell r="H386" t="str">
            <v/>
          </cell>
          <cell r="I386" t="str">
            <v/>
          </cell>
          <cell r="J386" t="str">
            <v/>
          </cell>
          <cell r="K386">
            <v>214000</v>
          </cell>
          <cell r="L386">
            <v>15118.363939999999</v>
          </cell>
          <cell r="M386">
            <v>15118.363939999999</v>
          </cell>
          <cell r="N386">
            <v>15118.363939999999</v>
          </cell>
          <cell r="O386">
            <v>15118.363939999999</v>
          </cell>
          <cell r="P386">
            <v>15118.363939999999</v>
          </cell>
          <cell r="Q386">
            <v>15118.363939999999</v>
          </cell>
          <cell r="R386">
            <v>15118.363939999999</v>
          </cell>
          <cell r="S386">
            <v>15118.363939999999</v>
          </cell>
          <cell r="T386">
            <v>15118.363939999999</v>
          </cell>
          <cell r="U386">
            <v>15118.363939999999</v>
          </cell>
          <cell r="V386">
            <v>15118.363939999999</v>
          </cell>
          <cell r="W386">
            <v>15118.363939999999</v>
          </cell>
          <cell r="X386">
            <v>15118.363939999999</v>
          </cell>
          <cell r="Y386">
            <v>15118.363939999999</v>
          </cell>
        </row>
        <row r="387">
          <cell r="B387">
            <v>215100</v>
          </cell>
          <cell r="C387" t="str">
            <v>CAP</v>
          </cell>
          <cell r="D387" t="str">
            <v>APPROPRIATED RETAINED EARNINGS - AMORT RESERVE-FE</v>
          </cell>
          <cell r="E387" t="str">
            <v/>
          </cell>
          <cell r="F387" t="str">
            <v/>
          </cell>
          <cell r="G387" t="str">
            <v/>
          </cell>
          <cell r="H387" t="str">
            <v/>
          </cell>
          <cell r="I387" t="str">
            <v/>
          </cell>
          <cell r="J387" t="str">
            <v/>
          </cell>
          <cell r="K387">
            <v>215100</v>
          </cell>
          <cell r="L387">
            <v>-235.98699999999999</v>
          </cell>
          <cell r="M387">
            <v>-235.98699999999999</v>
          </cell>
          <cell r="N387">
            <v>-235.98699999999999</v>
          </cell>
          <cell r="O387">
            <v>-235.98699999999999</v>
          </cell>
          <cell r="P387">
            <v>-235.98699999999999</v>
          </cell>
          <cell r="Q387">
            <v>-235.98699999999999</v>
          </cell>
          <cell r="R387">
            <v>-235.98699999999999</v>
          </cell>
          <cell r="S387">
            <v>-235.98699999999999</v>
          </cell>
          <cell r="T387">
            <v>-235.98699999999999</v>
          </cell>
          <cell r="U387">
            <v>-235.98699999999999</v>
          </cell>
          <cell r="V387">
            <v>-235.98699999999999</v>
          </cell>
          <cell r="W387">
            <v>-235.98699999999999</v>
          </cell>
          <cell r="X387">
            <v>-235.98699999999999</v>
          </cell>
          <cell r="Y387">
            <v>-235.98699999999999</v>
          </cell>
        </row>
        <row r="388">
          <cell r="B388">
            <v>216000</v>
          </cell>
          <cell r="C388" t="str">
            <v>CAP</v>
          </cell>
          <cell r="D388" t="str">
            <v>UNAPPROPRIATED RETAINED EARNINGS</v>
          </cell>
          <cell r="E388" t="str">
            <v/>
          </cell>
          <cell r="F388" t="str">
            <v/>
          </cell>
          <cell r="G388" t="str">
            <v/>
          </cell>
          <cell r="H388" t="str">
            <v/>
          </cell>
          <cell r="I388" t="str">
            <v/>
          </cell>
          <cell r="J388" t="str">
            <v/>
          </cell>
          <cell r="K388">
            <v>216000</v>
          </cell>
          <cell r="L388">
            <v>-83502.95577</v>
          </cell>
          <cell r="M388">
            <v>-137839.49984999999</v>
          </cell>
          <cell r="N388">
            <v>-137839.49984999999</v>
          </cell>
          <cell r="O388">
            <v>-137839.49947000001</v>
          </cell>
          <cell r="P388">
            <v>-137839.49947000001</v>
          </cell>
          <cell r="Q388">
            <v>-137839.49947000001</v>
          </cell>
          <cell r="R388">
            <v>-137839.49947000001</v>
          </cell>
          <cell r="S388">
            <v>-137839.49947000001</v>
          </cell>
          <cell r="T388">
            <v>-137839.49947000001</v>
          </cell>
          <cell r="U388">
            <v>-137839.49947000001</v>
          </cell>
          <cell r="V388">
            <v>-137839.49947000001</v>
          </cell>
          <cell r="W388">
            <v>-137839.49947000001</v>
          </cell>
          <cell r="X388">
            <v>-137839.49947000001</v>
          </cell>
          <cell r="Y388">
            <v>-135575.47687899999</v>
          </cell>
        </row>
        <row r="389">
          <cell r="B389">
            <v>216050</v>
          </cell>
          <cell r="C389" t="str">
            <v>CAP</v>
          </cell>
          <cell r="D389" t="str">
            <v>UNAPPR RETAINED EARNINGS-EQUITY EARNINGS</v>
          </cell>
          <cell r="E389" t="str">
            <v/>
          </cell>
          <cell r="F389" t="str">
            <v/>
          </cell>
          <cell r="G389" t="str">
            <v/>
          </cell>
          <cell r="H389" t="str">
            <v/>
          </cell>
          <cell r="I389" t="str">
            <v/>
          </cell>
          <cell r="J389" t="str">
            <v/>
          </cell>
          <cell r="K389">
            <v>216050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60000</v>
          </cell>
          <cell r="Q389">
            <v>60000</v>
          </cell>
          <cell r="R389">
            <v>60000</v>
          </cell>
          <cell r="S389">
            <v>100000</v>
          </cell>
          <cell r="T389">
            <v>100000</v>
          </cell>
          <cell r="U389">
            <v>100000</v>
          </cell>
          <cell r="V389">
            <v>100000</v>
          </cell>
          <cell r="W389">
            <v>100000</v>
          </cell>
          <cell r="X389">
            <v>100000</v>
          </cell>
          <cell r="Y389">
            <v>60833.333333000002</v>
          </cell>
        </row>
        <row r="390">
          <cell r="B390">
            <v>217000</v>
          </cell>
          <cell r="C390" t="str">
            <v>CAP</v>
          </cell>
          <cell r="D390" t="str">
            <v>REACQUIRED CAPITAL STOCK</v>
          </cell>
          <cell r="E390" t="str">
            <v/>
          </cell>
          <cell r="F390" t="str">
            <v/>
          </cell>
          <cell r="G390" t="str">
            <v/>
          </cell>
          <cell r="H390" t="str">
            <v/>
          </cell>
          <cell r="I390" t="str">
            <v/>
          </cell>
          <cell r="J390" t="str">
            <v/>
          </cell>
          <cell r="K390">
            <v>217000</v>
          </cell>
          <cell r="L390">
            <v>117238.17053</v>
          </cell>
          <cell r="M390">
            <v>117238.17053</v>
          </cell>
          <cell r="N390">
            <v>117238.17053</v>
          </cell>
          <cell r="O390">
            <v>117238.17053</v>
          </cell>
          <cell r="P390">
            <v>117238.17053</v>
          </cell>
          <cell r="Q390">
            <v>117238.17053</v>
          </cell>
          <cell r="R390">
            <v>117238.17053</v>
          </cell>
          <cell r="S390">
            <v>117238.17053</v>
          </cell>
          <cell r="T390">
            <v>117238.17053</v>
          </cell>
          <cell r="U390">
            <v>117238.17053</v>
          </cell>
          <cell r="V390">
            <v>117238.17053</v>
          </cell>
          <cell r="W390">
            <v>117238.17053</v>
          </cell>
          <cell r="X390">
            <v>117238.17053</v>
          </cell>
          <cell r="Y390">
            <v>117238.17053</v>
          </cell>
        </row>
        <row r="391">
          <cell r="B391">
            <v>219500</v>
          </cell>
          <cell r="C391" t="str">
            <v>Not in RTBS</v>
          </cell>
          <cell r="D391" t="str">
            <v>OTH COMPRE INC-FAS 87 NON QUAL PENSION</v>
          </cell>
          <cell r="E391" t="str">
            <v/>
          </cell>
          <cell r="F391" t="str">
            <v/>
          </cell>
          <cell r="G391" t="str">
            <v/>
          </cell>
          <cell r="H391" t="str">
            <v/>
          </cell>
          <cell r="I391" t="str">
            <v/>
          </cell>
          <cell r="J391">
            <v>219500</v>
          </cell>
          <cell r="K391" t="str">
            <v/>
          </cell>
          <cell r="L391">
            <v>3712.0014900000001</v>
          </cell>
          <cell r="M391">
            <v>3643.1898200000001</v>
          </cell>
          <cell r="N391">
            <v>3574.37815</v>
          </cell>
          <cell r="O391">
            <v>3505.56648</v>
          </cell>
          <cell r="P391">
            <v>3436.7548099999999</v>
          </cell>
          <cell r="Q391">
            <v>3298.98065</v>
          </cell>
          <cell r="R391">
            <v>3216.3764900000001</v>
          </cell>
          <cell r="S391">
            <v>3133.7723299999998</v>
          </cell>
          <cell r="T391">
            <v>3051.1681699999999</v>
          </cell>
          <cell r="U391">
            <v>2968.5640100000001</v>
          </cell>
          <cell r="V391">
            <v>2885.9598500000002</v>
          </cell>
          <cell r="W391">
            <v>2803.3556899999999</v>
          </cell>
          <cell r="X391">
            <v>3543.6915300000001</v>
          </cell>
          <cell r="Y391">
            <v>3262.1594129999999</v>
          </cell>
        </row>
        <row r="392">
          <cell r="B392">
            <v>219510</v>
          </cell>
          <cell r="C392" t="str">
            <v>Not in RTBS</v>
          </cell>
          <cell r="D392" t="str">
            <v>OTH COMPRE INC-FAS 87 NON QUAL PENSION-FIT</v>
          </cell>
          <cell r="E392" t="str">
            <v/>
          </cell>
          <cell r="F392" t="str">
            <v/>
          </cell>
          <cell r="G392" t="str">
            <v/>
          </cell>
          <cell r="H392" t="str">
            <v/>
          </cell>
          <cell r="I392" t="str">
            <v/>
          </cell>
          <cell r="J392">
            <v>219510</v>
          </cell>
          <cell r="K392" t="str">
            <v/>
          </cell>
          <cell r="L392">
            <v>-1206.95741</v>
          </cell>
          <cell r="M392">
            <v>-1184.5833</v>
          </cell>
          <cell r="N392">
            <v>-1162.20919</v>
          </cell>
          <cell r="O392">
            <v>-1139.8350700000001</v>
          </cell>
          <cell r="P392">
            <v>-1117.4609599999999</v>
          </cell>
          <cell r="Q392">
            <v>-1072.6636900000001</v>
          </cell>
          <cell r="R392">
            <v>-1045.80495</v>
          </cell>
          <cell r="S392">
            <v>-1018.9462</v>
          </cell>
          <cell r="T392">
            <v>-992.08745999999996</v>
          </cell>
          <cell r="U392">
            <v>-965.22871999999995</v>
          </cell>
          <cell r="V392">
            <v>-938.36998000000006</v>
          </cell>
          <cell r="W392">
            <v>-911.51122999999995</v>
          </cell>
          <cell r="X392">
            <v>-1152.23143</v>
          </cell>
          <cell r="Y392">
            <v>-1060.691264</v>
          </cell>
        </row>
        <row r="393">
          <cell r="B393">
            <v>219530</v>
          </cell>
          <cell r="C393" t="str">
            <v>Not in RTBS</v>
          </cell>
          <cell r="D393" t="str">
            <v>OTH COMPRE INC-FAS 133 MARK TO MARKET</v>
          </cell>
          <cell r="E393" t="str">
            <v/>
          </cell>
          <cell r="F393" t="str">
            <v/>
          </cell>
          <cell r="G393" t="str">
            <v/>
          </cell>
          <cell r="H393" t="str">
            <v/>
          </cell>
          <cell r="I393" t="str">
            <v/>
          </cell>
          <cell r="J393">
            <v>219530</v>
          </cell>
          <cell r="K393" t="str">
            <v/>
          </cell>
          <cell r="L393">
            <v>-28.408270000000002</v>
          </cell>
          <cell r="M393">
            <v>-51.054369999999999</v>
          </cell>
          <cell r="N393">
            <v>-109.21311</v>
          </cell>
          <cell r="O393">
            <v>-144.36403999999999</v>
          </cell>
          <cell r="P393">
            <v>-192.9649</v>
          </cell>
          <cell r="Q393">
            <v>-122.96198</v>
          </cell>
          <cell r="R393">
            <v>-101.37521</v>
          </cell>
          <cell r="S393">
            <v>-113.97696999999999</v>
          </cell>
          <cell r="T393">
            <v>-91.870769999999993</v>
          </cell>
          <cell r="U393">
            <v>-24.758289999999999</v>
          </cell>
          <cell r="V393">
            <v>-50.073169999999998</v>
          </cell>
          <cell r="W393">
            <v>-43.326680000000003</v>
          </cell>
          <cell r="X393">
            <v>-37.576839999999997</v>
          </cell>
          <cell r="Y393">
            <v>-89.911004000000005</v>
          </cell>
        </row>
        <row r="394">
          <cell r="B394">
            <v>219532</v>
          </cell>
          <cell r="C394" t="str">
            <v>Not in RTBS</v>
          </cell>
          <cell r="D394" t="str">
            <v>OTH COMPRE INC-FAS 133 TREASURY MARK TO MARKET</v>
          </cell>
          <cell r="E394" t="str">
            <v/>
          </cell>
          <cell r="F394" t="str">
            <v/>
          </cell>
          <cell r="G394" t="str">
            <v/>
          </cell>
          <cell r="H394" t="str">
            <v/>
          </cell>
          <cell r="I394" t="str">
            <v/>
          </cell>
          <cell r="J394">
            <v>219532</v>
          </cell>
          <cell r="K394" t="str">
            <v/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</row>
        <row r="395">
          <cell r="B395">
            <v>219533</v>
          </cell>
          <cell r="C395" t="str">
            <v>RTBS</v>
          </cell>
          <cell r="D395" t="str">
            <v>OCI-FAS 133 TREASURY CF SETT</v>
          </cell>
          <cell r="E395" t="str">
            <v/>
          </cell>
          <cell r="F395" t="str">
            <v/>
          </cell>
          <cell r="G395">
            <v>219533</v>
          </cell>
          <cell r="H395" t="str">
            <v/>
          </cell>
          <cell r="I395" t="str">
            <v/>
          </cell>
          <cell r="J395" t="str">
            <v/>
          </cell>
          <cell r="K395" t="str">
            <v/>
          </cell>
          <cell r="L395">
            <v>108604.00367000001</v>
          </cell>
          <cell r="M395">
            <v>102836.36375</v>
          </cell>
          <cell r="N395">
            <v>102836.36375</v>
          </cell>
          <cell r="O395">
            <v>102836.36375</v>
          </cell>
          <cell r="P395">
            <v>102836.36375</v>
          </cell>
          <cell r="Q395">
            <v>102836.36375</v>
          </cell>
          <cell r="R395">
            <v>102836.36375</v>
          </cell>
          <cell r="S395">
            <v>102836.36375</v>
          </cell>
          <cell r="T395">
            <v>102836.36375</v>
          </cell>
          <cell r="U395">
            <v>102836.36375</v>
          </cell>
          <cell r="V395">
            <v>102836.36375</v>
          </cell>
          <cell r="W395">
            <v>102836.36375</v>
          </cell>
          <cell r="X395">
            <v>102836.36375</v>
          </cell>
          <cell r="Y395">
            <v>103076.68208</v>
          </cell>
        </row>
        <row r="396">
          <cell r="B396">
            <v>219535</v>
          </cell>
          <cell r="C396" t="str">
            <v>Not in RTBS</v>
          </cell>
          <cell r="D396" t="str">
            <v>OTH COMPRE INC-FAS 133 RECLASSIFICATIONS</v>
          </cell>
          <cell r="E396" t="str">
            <v/>
          </cell>
          <cell r="F396" t="str">
            <v/>
          </cell>
          <cell r="G396" t="str">
            <v/>
          </cell>
          <cell r="H396" t="str">
            <v/>
          </cell>
          <cell r="I396" t="str">
            <v/>
          </cell>
          <cell r="J396">
            <v>219535</v>
          </cell>
          <cell r="K396" t="str">
            <v/>
          </cell>
          <cell r="L396">
            <v>8.1771999999999991</v>
          </cell>
          <cell r="M396">
            <v>4.1971800000000004</v>
          </cell>
          <cell r="N396">
            <v>8.5828500000000005</v>
          </cell>
          <cell r="O396">
            <v>17.814</v>
          </cell>
          <cell r="P396">
            <v>27.4694</v>
          </cell>
          <cell r="Q396">
            <v>44.78895</v>
          </cell>
          <cell r="R396">
            <v>61.664769999999997</v>
          </cell>
          <cell r="S396">
            <v>75.686070000000001</v>
          </cell>
          <cell r="T396">
            <v>89.840789999999998</v>
          </cell>
          <cell r="U396">
            <v>105.19567000000001</v>
          </cell>
          <cell r="V396">
            <v>115.87409</v>
          </cell>
          <cell r="W396">
            <v>124.97341</v>
          </cell>
          <cell r="X396">
            <v>128.72054</v>
          </cell>
          <cell r="Y396">
            <v>62.044671000000001</v>
          </cell>
        </row>
        <row r="397">
          <cell r="B397">
            <v>219537</v>
          </cell>
          <cell r="C397" t="str">
            <v>RTBS</v>
          </cell>
          <cell r="D397" t="str">
            <v>OTH COMPRE INC-FAS 133 TREASURY RECLASSIFICATIONS</v>
          </cell>
          <cell r="E397" t="str">
            <v/>
          </cell>
          <cell r="F397" t="str">
            <v/>
          </cell>
          <cell r="G397">
            <v>219537</v>
          </cell>
          <cell r="H397" t="str">
            <v/>
          </cell>
          <cell r="I397" t="str">
            <v/>
          </cell>
          <cell r="J397" t="str">
            <v/>
          </cell>
          <cell r="K397" t="str">
            <v/>
          </cell>
          <cell r="L397">
            <v>-5767.6399199999996</v>
          </cell>
          <cell r="M397">
            <v>-480.63666000000001</v>
          </cell>
          <cell r="N397">
            <v>-961.27332000000001</v>
          </cell>
          <cell r="O397">
            <v>-1441.9099799999999</v>
          </cell>
          <cell r="P397">
            <v>-1922.54664</v>
          </cell>
          <cell r="Q397">
            <v>-2403.1833000000001</v>
          </cell>
          <cell r="R397">
            <v>-2883.8199599999998</v>
          </cell>
          <cell r="S397">
            <v>-3364.4566199999999</v>
          </cell>
          <cell r="T397">
            <v>-3845.09328</v>
          </cell>
          <cell r="U397">
            <v>-4325.7299400000002</v>
          </cell>
          <cell r="V397">
            <v>-4806.3666000000003</v>
          </cell>
          <cell r="W397">
            <v>-5287.0032600000004</v>
          </cell>
          <cell r="X397">
            <v>-5767.6399199999996</v>
          </cell>
          <cell r="Y397">
            <v>-3124.1382899999999</v>
          </cell>
        </row>
        <row r="398">
          <cell r="B398">
            <v>219540</v>
          </cell>
          <cell r="C398" t="str">
            <v>Not in RTBS</v>
          </cell>
          <cell r="D398" t="str">
            <v>OTH COMPRE INC-FAS 133 MARK TO MARKET-FIT</v>
          </cell>
          <cell r="E398" t="str">
            <v/>
          </cell>
          <cell r="F398" t="str">
            <v/>
          </cell>
          <cell r="G398" t="str">
            <v/>
          </cell>
          <cell r="H398" t="str">
            <v/>
          </cell>
          <cell r="I398" t="str">
            <v/>
          </cell>
          <cell r="J398">
            <v>219540</v>
          </cell>
          <cell r="K398" t="str">
            <v/>
          </cell>
          <cell r="L398">
            <v>9.2369400000000006</v>
          </cell>
          <cell r="M398">
            <v>16.60032</v>
          </cell>
          <cell r="N398">
            <v>35.510640000000002</v>
          </cell>
          <cell r="O398">
            <v>46.939959999999999</v>
          </cell>
          <cell r="P398">
            <v>62.742530000000002</v>
          </cell>
          <cell r="Q398">
            <v>39.981079999999999</v>
          </cell>
          <cell r="R398">
            <v>32.962139999999998</v>
          </cell>
          <cell r="S398">
            <v>37.059609999999999</v>
          </cell>
          <cell r="T398">
            <v>29.871770000000001</v>
          </cell>
          <cell r="U398">
            <v>8.0501500000000004</v>
          </cell>
          <cell r="V398">
            <v>16.281279999999999</v>
          </cell>
          <cell r="W398">
            <v>14.08766</v>
          </cell>
          <cell r="X398">
            <v>12.2181</v>
          </cell>
          <cell r="Y398">
            <v>29.234555</v>
          </cell>
        </row>
        <row r="399">
          <cell r="B399">
            <v>219542</v>
          </cell>
          <cell r="C399" t="str">
            <v>Not in RTBS</v>
          </cell>
          <cell r="D399" t="str">
            <v>OTH COMPRE INC-FAS 133 TREASURY MARK TO MARKET-FI</v>
          </cell>
          <cell r="E399" t="str">
            <v/>
          </cell>
          <cell r="F399" t="str">
            <v/>
          </cell>
          <cell r="G399" t="str">
            <v/>
          </cell>
          <cell r="H399" t="str">
            <v/>
          </cell>
          <cell r="I399" t="str">
            <v/>
          </cell>
          <cell r="J399">
            <v>219542</v>
          </cell>
          <cell r="K399" t="str">
            <v/>
          </cell>
          <cell r="L399">
            <v>1.3999999999999999E-4</v>
          </cell>
          <cell r="M399">
            <v>1.3999999999999999E-4</v>
          </cell>
          <cell r="N399">
            <v>1.3999999999999999E-4</v>
          </cell>
          <cell r="O399">
            <v>1.3999999999999999E-4</v>
          </cell>
          <cell r="P399">
            <v>1.3999999999999999E-4</v>
          </cell>
          <cell r="Q399">
            <v>1.3999999999999999E-4</v>
          </cell>
          <cell r="R399">
            <v>1.3999999999999999E-4</v>
          </cell>
          <cell r="S399">
            <v>1.3999999999999999E-4</v>
          </cell>
          <cell r="T399">
            <v>1.3999999999999999E-4</v>
          </cell>
          <cell r="U399">
            <v>1.3999999999999999E-4</v>
          </cell>
          <cell r="V399">
            <v>1.3999999999999999E-4</v>
          </cell>
          <cell r="W399">
            <v>1.3999999999999999E-4</v>
          </cell>
          <cell r="X399">
            <v>1.3999999999999999E-4</v>
          </cell>
          <cell r="Y399">
            <v>1.3999999999999999E-4</v>
          </cell>
        </row>
        <row r="400">
          <cell r="B400">
            <v>219543</v>
          </cell>
          <cell r="C400" t="str">
            <v>Not in RTBS</v>
          </cell>
          <cell r="D400" t="str">
            <v>OCI-FAS 133 TREASURY CF SETT - FIT</v>
          </cell>
          <cell r="E400" t="str">
            <v/>
          </cell>
          <cell r="F400" t="str">
            <v/>
          </cell>
          <cell r="G400" t="str">
            <v/>
          </cell>
          <cell r="H400" t="str">
            <v/>
          </cell>
          <cell r="I400" t="str">
            <v/>
          </cell>
          <cell r="J400">
            <v>219543</v>
          </cell>
          <cell r="K400" t="str">
            <v/>
          </cell>
          <cell r="L400">
            <v>-35312.591789999999</v>
          </cell>
          <cell r="M400">
            <v>-33437.243670000003</v>
          </cell>
          <cell r="N400">
            <v>-33437.243670000003</v>
          </cell>
          <cell r="O400">
            <v>-33437.243670000003</v>
          </cell>
          <cell r="P400">
            <v>-33437.243670000003</v>
          </cell>
          <cell r="Q400">
            <v>-33437.243670000003</v>
          </cell>
          <cell r="R400">
            <v>-33437.243670000003</v>
          </cell>
          <cell r="S400">
            <v>-33437.243670000003</v>
          </cell>
          <cell r="T400">
            <v>-33437.243670000003</v>
          </cell>
          <cell r="U400">
            <v>-33437.243670000003</v>
          </cell>
          <cell r="V400">
            <v>-33437.243670000003</v>
          </cell>
          <cell r="W400">
            <v>-33437.243670000003</v>
          </cell>
          <cell r="X400">
            <v>-33437.243670000003</v>
          </cell>
          <cell r="Y400">
            <v>-33515.383175000003</v>
          </cell>
        </row>
        <row r="401">
          <cell r="B401">
            <v>219545</v>
          </cell>
          <cell r="C401" t="str">
            <v>Not in RTBS</v>
          </cell>
          <cell r="D401" t="str">
            <v>OTH COMPRE INC-FAS 133 RECLASSIFICATIONS-FIT</v>
          </cell>
          <cell r="E401" t="str">
            <v/>
          </cell>
          <cell r="F401" t="str">
            <v/>
          </cell>
          <cell r="G401" t="str">
            <v/>
          </cell>
          <cell r="H401" t="str">
            <v/>
          </cell>
          <cell r="I401" t="str">
            <v/>
          </cell>
          <cell r="J401">
            <v>219545</v>
          </cell>
          <cell r="K401" t="str">
            <v/>
          </cell>
          <cell r="L401">
            <v>-2.6586699999999999</v>
          </cell>
          <cell r="M401">
            <v>-1.3645700000000001</v>
          </cell>
          <cell r="N401">
            <v>-2.7905700000000002</v>
          </cell>
          <cell r="O401">
            <v>-5.7920800000000003</v>
          </cell>
          <cell r="P401">
            <v>-8.9315300000000004</v>
          </cell>
          <cell r="Q401">
            <v>-14.56298</v>
          </cell>
          <cell r="R401">
            <v>-20.050149999999999</v>
          </cell>
          <cell r="S401">
            <v>-24.609179999999999</v>
          </cell>
          <cell r="T401">
            <v>-29.211590000000001</v>
          </cell>
          <cell r="U401">
            <v>-34.204230000000003</v>
          </cell>
          <cell r="V401">
            <v>-37.676310000000001</v>
          </cell>
          <cell r="W401">
            <v>-40.63496</v>
          </cell>
          <cell r="X401">
            <v>-41.853340000000003</v>
          </cell>
          <cell r="Y401">
            <v>-20.173680000000001</v>
          </cell>
        </row>
        <row r="402">
          <cell r="B402">
            <v>219547</v>
          </cell>
          <cell r="C402" t="str">
            <v>Not in RTBS</v>
          </cell>
          <cell r="D402" t="str">
            <v>OTH COMPRE INC-FAS 133 TREASURY RECLASSIFICATN-FI</v>
          </cell>
          <cell r="E402" t="str">
            <v/>
          </cell>
          <cell r="F402" t="str">
            <v/>
          </cell>
          <cell r="G402" t="str">
            <v/>
          </cell>
          <cell r="H402" t="str">
            <v/>
          </cell>
          <cell r="I402" t="str">
            <v/>
          </cell>
          <cell r="J402">
            <v>219547</v>
          </cell>
          <cell r="K402" t="str">
            <v/>
          </cell>
          <cell r="L402">
            <v>1875.3481200000001</v>
          </cell>
          <cell r="M402">
            <v>156.27901</v>
          </cell>
          <cell r="N402">
            <v>312.55802</v>
          </cell>
          <cell r="O402">
            <v>468.83703000000003</v>
          </cell>
          <cell r="P402">
            <v>625.11604</v>
          </cell>
          <cell r="Q402">
            <v>781.39504999999997</v>
          </cell>
          <cell r="R402">
            <v>937.67406000000005</v>
          </cell>
          <cell r="S402">
            <v>1093.95307</v>
          </cell>
          <cell r="T402">
            <v>1250.23208</v>
          </cell>
          <cell r="U402">
            <v>1406.51109</v>
          </cell>
          <cell r="V402">
            <v>1562.7900999999999</v>
          </cell>
          <cell r="W402">
            <v>1719.0691099999999</v>
          </cell>
          <cell r="X402">
            <v>1875.3481200000001</v>
          </cell>
          <cell r="Y402">
            <v>1015.813565</v>
          </cell>
        </row>
        <row r="403">
          <cell r="B403">
            <v>219550</v>
          </cell>
          <cell r="C403" t="str">
            <v>Not in RTBS</v>
          </cell>
          <cell r="D403" t="str">
            <v>OCI-FAS 87 NON QUAL PENSION-SIT</v>
          </cell>
          <cell r="E403" t="str">
            <v/>
          </cell>
          <cell r="F403" t="str">
            <v/>
          </cell>
          <cell r="G403" t="str">
            <v/>
          </cell>
          <cell r="H403" t="str">
            <v/>
          </cell>
          <cell r="I403" t="str">
            <v/>
          </cell>
          <cell r="J403">
            <v>219550</v>
          </cell>
          <cell r="K403" t="str">
            <v/>
          </cell>
          <cell r="L403">
            <v>-263.55202000000003</v>
          </cell>
          <cell r="M403">
            <v>-258.66638999999998</v>
          </cell>
          <cell r="N403">
            <v>-253.78075999999999</v>
          </cell>
          <cell r="O403">
            <v>-248.89512999999999</v>
          </cell>
          <cell r="P403">
            <v>-244.0095</v>
          </cell>
          <cell r="Q403">
            <v>-234.22754</v>
          </cell>
          <cell r="R403">
            <v>-228.36264</v>
          </cell>
          <cell r="S403">
            <v>-222.49775</v>
          </cell>
          <cell r="T403">
            <v>-216.63284999999999</v>
          </cell>
          <cell r="U403">
            <v>-210.76795000000001</v>
          </cell>
          <cell r="V403">
            <v>-204.90306000000001</v>
          </cell>
          <cell r="W403">
            <v>-199.03816</v>
          </cell>
          <cell r="X403">
            <v>-251.60201000000001</v>
          </cell>
          <cell r="Y403">
            <v>-231.61322899999999</v>
          </cell>
        </row>
        <row r="404">
          <cell r="B404">
            <v>219553</v>
          </cell>
          <cell r="C404" t="str">
            <v>Not in RTBS</v>
          </cell>
          <cell r="D404" t="str">
            <v>OCI-FAS 133 TREASURY CF SETT - SIT</v>
          </cell>
          <cell r="E404" t="str">
            <v/>
          </cell>
          <cell r="F404" t="str">
            <v/>
          </cell>
          <cell r="G404" t="str">
            <v/>
          </cell>
          <cell r="H404" t="str">
            <v/>
          </cell>
          <cell r="I404" t="str">
            <v/>
          </cell>
          <cell r="J404">
            <v>219553</v>
          </cell>
          <cell r="K404" t="str">
            <v/>
          </cell>
          <cell r="L404">
            <v>-7710.8842599999998</v>
          </cell>
          <cell r="M404">
            <v>-7301.3818300000003</v>
          </cell>
          <cell r="N404">
            <v>-7301.3818300000003</v>
          </cell>
          <cell r="O404">
            <v>-7301.3818300000003</v>
          </cell>
          <cell r="P404">
            <v>-7301.3818300000003</v>
          </cell>
          <cell r="Q404">
            <v>-7301.3818300000003</v>
          </cell>
          <cell r="R404">
            <v>-7301.3818300000003</v>
          </cell>
          <cell r="S404">
            <v>-7301.3818300000003</v>
          </cell>
          <cell r="T404">
            <v>-7301.3818300000003</v>
          </cell>
          <cell r="U404">
            <v>-7301.3818300000003</v>
          </cell>
          <cell r="V404">
            <v>-7301.3818300000003</v>
          </cell>
          <cell r="W404">
            <v>-7301.3818300000003</v>
          </cell>
          <cell r="X404">
            <v>-7301.3818300000003</v>
          </cell>
          <cell r="Y404">
            <v>-7318.4444309999999</v>
          </cell>
        </row>
        <row r="405">
          <cell r="B405">
            <v>219565</v>
          </cell>
          <cell r="C405" t="str">
            <v>Not in RTBS</v>
          </cell>
          <cell r="D405" t="str">
            <v>OTHER COMPREHENSIVE INC-FAS 133 MARK TO MARKET-SI</v>
          </cell>
          <cell r="E405" t="str">
            <v/>
          </cell>
          <cell r="F405" t="str">
            <v/>
          </cell>
          <cell r="G405" t="str">
            <v/>
          </cell>
          <cell r="H405" t="str">
            <v/>
          </cell>
          <cell r="I405" t="str">
            <v/>
          </cell>
          <cell r="J405">
            <v>219565</v>
          </cell>
          <cell r="K405" t="str">
            <v/>
          </cell>
          <cell r="L405">
            <v>2.0169899999999998</v>
          </cell>
          <cell r="M405">
            <v>3.62486</v>
          </cell>
          <cell r="N405">
            <v>7.75413</v>
          </cell>
          <cell r="O405">
            <v>10.24985</v>
          </cell>
          <cell r="P405">
            <v>13.70051</v>
          </cell>
          <cell r="Q405">
            <v>8.7302999999999997</v>
          </cell>
          <cell r="R405">
            <v>7.1976399999999998</v>
          </cell>
          <cell r="S405">
            <v>8.0923599999999993</v>
          </cell>
          <cell r="T405">
            <v>6.5228200000000003</v>
          </cell>
          <cell r="U405">
            <v>1.7578400000000001</v>
          </cell>
          <cell r="V405">
            <v>3.5551900000000001</v>
          </cell>
          <cell r="W405">
            <v>3.07619</v>
          </cell>
          <cell r="X405">
            <v>2.6679499999999998</v>
          </cell>
          <cell r="Y405">
            <v>6.38368</v>
          </cell>
        </row>
        <row r="406">
          <cell r="B406">
            <v>219567</v>
          </cell>
          <cell r="C406" t="str">
            <v>Not in RTBS</v>
          </cell>
          <cell r="D406" t="str">
            <v>OTH COMPRE INC-FAS 133 TREASURY MARK TO MARKET-SI</v>
          </cell>
          <cell r="E406" t="str">
            <v/>
          </cell>
          <cell r="F406" t="str">
            <v/>
          </cell>
          <cell r="G406" t="str">
            <v/>
          </cell>
          <cell r="H406" t="str">
            <v/>
          </cell>
          <cell r="I406" t="str">
            <v/>
          </cell>
          <cell r="J406">
            <v>219567</v>
          </cell>
          <cell r="K406" t="str">
            <v/>
          </cell>
          <cell r="L406">
            <v>3.0000000000000001E-5</v>
          </cell>
          <cell r="M406">
            <v>3.0000000000000001E-5</v>
          </cell>
          <cell r="N406">
            <v>3.0000000000000001E-5</v>
          </cell>
          <cell r="O406">
            <v>3.0000000000000001E-5</v>
          </cell>
          <cell r="P406">
            <v>3.0000000000000001E-5</v>
          </cell>
          <cell r="Q406">
            <v>3.0000000000000001E-5</v>
          </cell>
          <cell r="R406">
            <v>3.0000000000000001E-5</v>
          </cell>
          <cell r="S406">
            <v>3.0000000000000001E-5</v>
          </cell>
          <cell r="T406">
            <v>3.0000000000000001E-5</v>
          </cell>
          <cell r="U406">
            <v>3.0000000000000001E-5</v>
          </cell>
          <cell r="V406">
            <v>3.0000000000000001E-5</v>
          </cell>
          <cell r="W406">
            <v>3.0000000000000001E-5</v>
          </cell>
          <cell r="X406">
            <v>3.0000000000000001E-5</v>
          </cell>
          <cell r="Y406">
            <v>3.0000000000000001E-5</v>
          </cell>
        </row>
        <row r="407">
          <cell r="B407">
            <v>219570</v>
          </cell>
          <cell r="C407" t="str">
            <v>Not in RTBS</v>
          </cell>
          <cell r="D407" t="str">
            <v>OTHER COMPREHENSIVE INC-FAS 133 RECLASS-SIT</v>
          </cell>
          <cell r="E407" t="str">
            <v/>
          </cell>
          <cell r="F407" t="str">
            <v/>
          </cell>
          <cell r="G407" t="str">
            <v/>
          </cell>
          <cell r="H407" t="str">
            <v/>
          </cell>
          <cell r="I407" t="str">
            <v/>
          </cell>
          <cell r="J407">
            <v>219570</v>
          </cell>
          <cell r="K407" t="str">
            <v/>
          </cell>
          <cell r="L407">
            <v>-0.58055000000000001</v>
          </cell>
          <cell r="M407">
            <v>-0.29797000000000001</v>
          </cell>
          <cell r="N407">
            <v>-0.60934999999999995</v>
          </cell>
          <cell r="O407">
            <v>-1.2647600000000001</v>
          </cell>
          <cell r="P407">
            <v>-1.9502999999999999</v>
          </cell>
          <cell r="Q407">
            <v>-3.17998</v>
          </cell>
          <cell r="R407">
            <v>-4.3781699999999999</v>
          </cell>
          <cell r="S407">
            <v>-5.3736800000000002</v>
          </cell>
          <cell r="T407">
            <v>-6.37866</v>
          </cell>
          <cell r="U407">
            <v>-7.4688600000000003</v>
          </cell>
          <cell r="V407">
            <v>-8.2270299999999992</v>
          </cell>
          <cell r="W407">
            <v>-8.8730799999999999</v>
          </cell>
          <cell r="X407">
            <v>-9.1391299999999998</v>
          </cell>
          <cell r="Y407">
            <v>-4.4051400000000003</v>
          </cell>
        </row>
        <row r="408">
          <cell r="B408">
            <v>219572</v>
          </cell>
          <cell r="C408" t="str">
            <v>Not in RTBS</v>
          </cell>
          <cell r="D408" t="str">
            <v>OTHER COMPRE INC-FAS 133 TREASURY RECLASS-SIT</v>
          </cell>
          <cell r="E408" t="str">
            <v/>
          </cell>
          <cell r="F408" t="str">
            <v/>
          </cell>
          <cell r="G408" t="str">
            <v/>
          </cell>
          <cell r="H408" t="str">
            <v/>
          </cell>
          <cell r="I408" t="str">
            <v/>
          </cell>
          <cell r="J408">
            <v>219572</v>
          </cell>
          <cell r="K408" t="str">
            <v/>
          </cell>
          <cell r="L408">
            <v>409.50243</v>
          </cell>
          <cell r="M408">
            <v>34.1252</v>
          </cell>
          <cell r="N408">
            <v>68.250410000000002</v>
          </cell>
          <cell r="O408">
            <v>102.37560999999999</v>
          </cell>
          <cell r="P408">
            <v>136.50081</v>
          </cell>
          <cell r="Q408">
            <v>170.62601000000001</v>
          </cell>
          <cell r="R408">
            <v>204.75121999999999</v>
          </cell>
          <cell r="S408">
            <v>238.87642</v>
          </cell>
          <cell r="T408">
            <v>273.00162</v>
          </cell>
          <cell r="U408">
            <v>307.12682999999998</v>
          </cell>
          <cell r="V408">
            <v>341.25202999999999</v>
          </cell>
          <cell r="W408">
            <v>375.37723</v>
          </cell>
          <cell r="X408">
            <v>409.50243</v>
          </cell>
          <cell r="Y408">
            <v>221.813818</v>
          </cell>
        </row>
        <row r="409">
          <cell r="B409">
            <v>219575</v>
          </cell>
          <cell r="C409" t="str">
            <v>Not in RTBS</v>
          </cell>
          <cell r="D409" t="str">
            <v>OTHER COMPREHENSIVE INC-MISCELLANEOUS-COMMON</v>
          </cell>
          <cell r="E409" t="str">
            <v/>
          </cell>
          <cell r="F409" t="str">
            <v/>
          </cell>
          <cell r="G409" t="str">
            <v/>
          </cell>
          <cell r="H409" t="str">
            <v/>
          </cell>
          <cell r="I409" t="str">
            <v/>
          </cell>
          <cell r="J409">
            <v>219575</v>
          </cell>
          <cell r="K409" t="str">
            <v/>
          </cell>
          <cell r="L409">
            <v>-175.20920000000001</v>
          </cell>
          <cell r="M409">
            <v>-175.20920000000001</v>
          </cell>
          <cell r="N409">
            <v>-175.20920000000001</v>
          </cell>
          <cell r="O409">
            <v>-143.63493</v>
          </cell>
          <cell r="P409">
            <v>-143.63493</v>
          </cell>
          <cell r="Q409">
            <v>-143.63493</v>
          </cell>
          <cell r="R409">
            <v>-176.82478</v>
          </cell>
          <cell r="S409">
            <v>-176.82478</v>
          </cell>
          <cell r="T409">
            <v>-176.82478</v>
          </cell>
          <cell r="U409">
            <v>-312.31335999999999</v>
          </cell>
          <cell r="V409">
            <v>-312.31335999999999</v>
          </cell>
          <cell r="W409">
            <v>-312.31335999999999</v>
          </cell>
          <cell r="X409">
            <v>-247.99689000000001</v>
          </cell>
          <cell r="Y409">
            <v>-205.02838800000001</v>
          </cell>
        </row>
        <row r="410">
          <cell r="B410">
            <v>219580</v>
          </cell>
          <cell r="C410" t="str">
            <v>Not in RTBS</v>
          </cell>
          <cell r="D410" t="str">
            <v>OTHER COMPRE INC-FIT-MISCELLANEOUS-COMMON</v>
          </cell>
          <cell r="E410" t="str">
            <v/>
          </cell>
          <cell r="F410" t="str">
            <v/>
          </cell>
          <cell r="G410" t="str">
            <v/>
          </cell>
          <cell r="H410" t="str">
            <v/>
          </cell>
          <cell r="I410" t="str">
            <v/>
          </cell>
          <cell r="J410">
            <v>219580</v>
          </cell>
          <cell r="K410" t="str">
            <v/>
          </cell>
          <cell r="L410">
            <v>56.969410000000003</v>
          </cell>
          <cell r="M410">
            <v>56.969410000000003</v>
          </cell>
          <cell r="N410">
            <v>56.969410000000003</v>
          </cell>
          <cell r="O410">
            <v>46.703040000000001</v>
          </cell>
          <cell r="P410">
            <v>46.703040000000001</v>
          </cell>
          <cell r="Q410">
            <v>46.703040000000001</v>
          </cell>
          <cell r="R410">
            <v>57.494720000000001</v>
          </cell>
          <cell r="S410">
            <v>57.494720000000001</v>
          </cell>
          <cell r="T410">
            <v>57.494720000000001</v>
          </cell>
          <cell r="U410">
            <v>101.54883</v>
          </cell>
          <cell r="V410">
            <v>101.54883</v>
          </cell>
          <cell r="W410">
            <v>101.54883</v>
          </cell>
          <cell r="X410">
            <v>80.636330000000001</v>
          </cell>
          <cell r="Y410">
            <v>66.665121999999997</v>
          </cell>
        </row>
        <row r="411">
          <cell r="B411">
            <v>219582</v>
          </cell>
          <cell r="C411" t="str">
            <v>Not in RTBS</v>
          </cell>
          <cell r="D411" t="str">
            <v>OTHER COMPRE INC-SIT-MISCELLANEOUS-COMMON</v>
          </cell>
          <cell r="E411" t="str">
            <v/>
          </cell>
          <cell r="F411" t="str">
            <v/>
          </cell>
          <cell r="G411" t="str">
            <v/>
          </cell>
          <cell r="H411" t="str">
            <v/>
          </cell>
          <cell r="I411" t="str">
            <v/>
          </cell>
          <cell r="J411">
            <v>219582</v>
          </cell>
          <cell r="K411" t="str">
            <v/>
          </cell>
          <cell r="L411">
            <v>12.43988</v>
          </cell>
          <cell r="M411">
            <v>12.43988</v>
          </cell>
          <cell r="N411">
            <v>12.43988</v>
          </cell>
          <cell r="O411">
            <v>10.19811</v>
          </cell>
          <cell r="P411">
            <v>10.19811</v>
          </cell>
          <cell r="Q411">
            <v>10.19811</v>
          </cell>
          <cell r="R411">
            <v>12.554589999999999</v>
          </cell>
          <cell r="S411">
            <v>12.554589999999999</v>
          </cell>
          <cell r="T411">
            <v>12.554589999999999</v>
          </cell>
          <cell r="U411">
            <v>22.17428</v>
          </cell>
          <cell r="V411">
            <v>22.17428</v>
          </cell>
          <cell r="W411">
            <v>22.17428</v>
          </cell>
          <cell r="X411">
            <v>17.607810000000001</v>
          </cell>
          <cell r="Y411">
            <v>14.557045</v>
          </cell>
        </row>
        <row r="412">
          <cell r="B412">
            <v>221340</v>
          </cell>
          <cell r="C412" t="str">
            <v>CAP</v>
          </cell>
          <cell r="D412" t="str">
            <v>FIRST MORTG BONDS - 6.35%-SERIES RR (DUE 5/2032)</v>
          </cell>
          <cell r="E412" t="str">
            <v/>
          </cell>
          <cell r="F412" t="str">
            <v/>
          </cell>
          <cell r="G412" t="str">
            <v/>
          </cell>
          <cell r="H412" t="str">
            <v/>
          </cell>
          <cell r="I412" t="str">
            <v/>
          </cell>
          <cell r="J412" t="str">
            <v/>
          </cell>
          <cell r="K412">
            <v>221340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</row>
        <row r="413">
          <cell r="B413">
            <v>221350</v>
          </cell>
          <cell r="C413" t="str">
            <v>CAP</v>
          </cell>
          <cell r="D413" t="str">
            <v>FIRST MORTG BONDS - 6.50%-SERIES SS (DUE 5//2032)</v>
          </cell>
          <cell r="E413" t="str">
            <v/>
          </cell>
          <cell r="F413" t="str">
            <v/>
          </cell>
          <cell r="G413" t="str">
            <v/>
          </cell>
          <cell r="H413" t="str">
            <v/>
          </cell>
          <cell r="I413" t="str">
            <v/>
          </cell>
          <cell r="J413" t="str">
            <v/>
          </cell>
          <cell r="K413">
            <v>221350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</row>
        <row r="414">
          <cell r="B414">
            <v>221360</v>
          </cell>
          <cell r="C414" t="str">
            <v>CAP</v>
          </cell>
          <cell r="D414" t="str">
            <v>FIRST MORTG BONDS - 6.95%-SERIES TT (DUE 4/2011)</v>
          </cell>
          <cell r="E414" t="str">
            <v/>
          </cell>
          <cell r="F414" t="str">
            <v/>
          </cell>
          <cell r="G414" t="str">
            <v/>
          </cell>
          <cell r="H414" t="str">
            <v/>
          </cell>
          <cell r="I414" t="str">
            <v/>
          </cell>
          <cell r="J414" t="str">
            <v/>
          </cell>
          <cell r="K414">
            <v>221360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</row>
        <row r="415">
          <cell r="B415">
            <v>221370</v>
          </cell>
          <cell r="C415" t="str">
            <v>CAP</v>
          </cell>
          <cell r="D415" t="str">
            <v>FIRST MORTG BONDS - 6.95%-SERIES TT (DUE 5/2012)</v>
          </cell>
          <cell r="E415" t="str">
            <v/>
          </cell>
          <cell r="F415" t="str">
            <v/>
          </cell>
          <cell r="G415" t="str">
            <v/>
          </cell>
          <cell r="H415" t="str">
            <v/>
          </cell>
          <cell r="I415" t="str">
            <v/>
          </cell>
          <cell r="J415" t="str">
            <v/>
          </cell>
          <cell r="K415">
            <v>221370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</row>
        <row r="416">
          <cell r="B416">
            <v>221990</v>
          </cell>
          <cell r="C416" t="str">
            <v>CAP</v>
          </cell>
          <cell r="D416" t="str">
            <v>RECLASS-BONDS-OTHER (WITH ACCT 221991)</v>
          </cell>
          <cell r="E416" t="str">
            <v/>
          </cell>
          <cell r="F416" t="str">
            <v/>
          </cell>
          <cell r="G416" t="str">
            <v/>
          </cell>
          <cell r="H416" t="str">
            <v/>
          </cell>
          <cell r="I416" t="str">
            <v/>
          </cell>
          <cell r="J416" t="str">
            <v/>
          </cell>
          <cell r="K416">
            <v>221990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</row>
        <row r="417">
          <cell r="B417">
            <v>221991</v>
          </cell>
          <cell r="C417" t="str">
            <v>CAP</v>
          </cell>
          <cell r="D417" t="str">
            <v>RECLASS-BONDS-OTHER (WITH ACCT 221990)</v>
          </cell>
          <cell r="E417" t="str">
            <v/>
          </cell>
          <cell r="F417" t="str">
            <v/>
          </cell>
          <cell r="G417" t="str">
            <v/>
          </cell>
          <cell r="H417" t="str">
            <v/>
          </cell>
          <cell r="I417" t="str">
            <v/>
          </cell>
          <cell r="J417" t="str">
            <v/>
          </cell>
          <cell r="K417">
            <v>221991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</row>
        <row r="418">
          <cell r="B418">
            <v>224000</v>
          </cell>
          <cell r="C418" t="str">
            <v>CAP</v>
          </cell>
          <cell r="D418" t="str">
            <v>LONG TERM DEBT</v>
          </cell>
          <cell r="E418" t="str">
            <v/>
          </cell>
          <cell r="F418" t="str">
            <v/>
          </cell>
          <cell r="G418" t="str">
            <v/>
          </cell>
          <cell r="H418" t="str">
            <v/>
          </cell>
          <cell r="I418" t="str">
            <v/>
          </cell>
          <cell r="J418" t="str">
            <v/>
          </cell>
          <cell r="K418">
            <v>224000</v>
          </cell>
          <cell r="L418">
            <v>-719350</v>
          </cell>
          <cell r="M418">
            <v>-719350</v>
          </cell>
          <cell r="N418">
            <v>-658350</v>
          </cell>
          <cell r="O418">
            <v>-658350</v>
          </cell>
          <cell r="P418">
            <v>-658350</v>
          </cell>
          <cell r="Q418">
            <v>-658350</v>
          </cell>
          <cell r="R418">
            <v>-658350</v>
          </cell>
          <cell r="S418">
            <v>-783350</v>
          </cell>
          <cell r="T418">
            <v>-783350</v>
          </cell>
          <cell r="U418">
            <v>-783350</v>
          </cell>
          <cell r="V418">
            <v>-783350</v>
          </cell>
          <cell r="W418">
            <v>-783350</v>
          </cell>
          <cell r="X418">
            <v>-757850</v>
          </cell>
          <cell r="Y418">
            <v>-722204.16666700004</v>
          </cell>
        </row>
        <row r="419">
          <cell r="B419">
            <v>224530</v>
          </cell>
          <cell r="C419" t="str">
            <v>CAP</v>
          </cell>
          <cell r="D419" t="str">
            <v>MEDIUM TERM DEBT - 7.64% - SERIES D</v>
          </cell>
          <cell r="E419" t="str">
            <v/>
          </cell>
          <cell r="F419" t="str">
            <v/>
          </cell>
          <cell r="G419" t="str">
            <v/>
          </cell>
          <cell r="H419" t="str">
            <v/>
          </cell>
          <cell r="I419" t="str">
            <v/>
          </cell>
          <cell r="J419" t="str">
            <v/>
          </cell>
          <cell r="K419">
            <v>224530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</row>
        <row r="420">
          <cell r="B420">
            <v>224540</v>
          </cell>
          <cell r="C420" t="str">
            <v>CAP</v>
          </cell>
          <cell r="D420" t="str">
            <v>MEDIUM TERM DEBT - 7.66% - SERIES E</v>
          </cell>
          <cell r="E420" t="str">
            <v/>
          </cell>
          <cell r="F420" t="str">
            <v/>
          </cell>
          <cell r="G420" t="str">
            <v/>
          </cell>
          <cell r="H420" t="str">
            <v/>
          </cell>
          <cell r="I420" t="str">
            <v/>
          </cell>
          <cell r="J420" t="str">
            <v/>
          </cell>
          <cell r="K420">
            <v>224540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</row>
        <row r="421">
          <cell r="B421">
            <v>224550</v>
          </cell>
          <cell r="C421" t="str">
            <v>CAP</v>
          </cell>
          <cell r="D421" t="str">
            <v>MEDIUM TERM DEBT - 7.67% - SERIES F</v>
          </cell>
          <cell r="E421" t="str">
            <v/>
          </cell>
          <cell r="F421" t="str">
            <v/>
          </cell>
          <cell r="G421" t="str">
            <v/>
          </cell>
          <cell r="H421" t="str">
            <v/>
          </cell>
          <cell r="I421" t="str">
            <v/>
          </cell>
          <cell r="J421" t="str">
            <v/>
          </cell>
          <cell r="K421">
            <v>224550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</row>
        <row r="422">
          <cell r="B422">
            <v>224570</v>
          </cell>
          <cell r="C422" t="str">
            <v>CAP</v>
          </cell>
          <cell r="D422" t="str">
            <v>MEDIUM TERM DEBT - 7.45% - SERIES H</v>
          </cell>
          <cell r="E422" t="str">
            <v/>
          </cell>
          <cell r="F422" t="str">
            <v/>
          </cell>
          <cell r="G422" t="str">
            <v/>
          </cell>
          <cell r="H422" t="str">
            <v/>
          </cell>
          <cell r="I422" t="str">
            <v/>
          </cell>
          <cell r="J422" t="str">
            <v/>
          </cell>
          <cell r="K422">
            <v>224570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</row>
        <row r="423">
          <cell r="B423">
            <v>224580</v>
          </cell>
          <cell r="C423" t="str">
            <v>CAP</v>
          </cell>
          <cell r="D423" t="str">
            <v>MEDIUM TERM DEBT - 5.84 % - SERIES I</v>
          </cell>
          <cell r="E423" t="str">
            <v/>
          </cell>
          <cell r="F423" t="str">
            <v/>
          </cell>
          <cell r="G423" t="str">
            <v/>
          </cell>
          <cell r="H423" t="str">
            <v/>
          </cell>
          <cell r="I423" t="str">
            <v/>
          </cell>
          <cell r="J423" t="str">
            <v/>
          </cell>
          <cell r="K423">
            <v>224580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</row>
        <row r="424">
          <cell r="B424">
            <v>224590</v>
          </cell>
          <cell r="C424" t="str">
            <v>CAP</v>
          </cell>
          <cell r="D424" t="str">
            <v>MEDIUM TERM DEBT - 7.60% - SERIES J</v>
          </cell>
          <cell r="E424" t="str">
            <v/>
          </cell>
          <cell r="F424" t="str">
            <v/>
          </cell>
          <cell r="G424" t="str">
            <v/>
          </cell>
          <cell r="H424" t="str">
            <v/>
          </cell>
          <cell r="I424" t="str">
            <v/>
          </cell>
          <cell r="J424" t="str">
            <v/>
          </cell>
          <cell r="K424">
            <v>224590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</row>
        <row r="425">
          <cell r="B425">
            <v>224990</v>
          </cell>
          <cell r="C425" t="str">
            <v>Not in RTBS</v>
          </cell>
          <cell r="D425" t="str">
            <v>RECLASS-PROM NOTE  DUE IN 1 YR (LTD) (WITH 224991</v>
          </cell>
          <cell r="E425" t="str">
            <v/>
          </cell>
          <cell r="F425" t="str">
            <v/>
          </cell>
          <cell r="G425" t="str">
            <v/>
          </cell>
          <cell r="H425" t="str">
            <v/>
          </cell>
          <cell r="I425" t="str">
            <v/>
          </cell>
          <cell r="J425">
            <v>224990</v>
          </cell>
          <cell r="K425" t="str">
            <v/>
          </cell>
          <cell r="L425">
            <v>61000</v>
          </cell>
          <cell r="M425">
            <v>61000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7625</v>
          </cell>
        </row>
        <row r="426">
          <cell r="B426">
            <v>224991</v>
          </cell>
          <cell r="C426" t="str">
            <v>Not in RTBS</v>
          </cell>
          <cell r="D426" t="str">
            <v>RECLASS-PROM NOTE  DUE IN 1 YR (LTD) (WITH 224990</v>
          </cell>
          <cell r="E426" t="str">
            <v/>
          </cell>
          <cell r="F426" t="str">
            <v/>
          </cell>
          <cell r="G426" t="str">
            <v/>
          </cell>
          <cell r="H426" t="str">
            <v/>
          </cell>
          <cell r="I426" t="str">
            <v/>
          </cell>
          <cell r="J426">
            <v>224991</v>
          </cell>
          <cell r="K426" t="str">
            <v/>
          </cell>
          <cell r="L426">
            <v>-61000</v>
          </cell>
          <cell r="M426">
            <v>-61000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-7625</v>
          </cell>
        </row>
        <row r="427">
          <cell r="B427">
            <v>224992</v>
          </cell>
          <cell r="C427" t="str">
            <v>CAP</v>
          </cell>
          <cell r="D427" t="str">
            <v>RECL-FROM LTD TO MARKETABLE SECURITIES (W/136992)</v>
          </cell>
          <cell r="E427" t="str">
            <v/>
          </cell>
          <cell r="F427" t="str">
            <v/>
          </cell>
          <cell r="G427" t="str">
            <v/>
          </cell>
          <cell r="H427" t="str">
            <v/>
          </cell>
          <cell r="I427" t="str">
            <v/>
          </cell>
          <cell r="J427" t="str">
            <v/>
          </cell>
          <cell r="K427">
            <v>224992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</row>
        <row r="428">
          <cell r="B428">
            <v>225000</v>
          </cell>
          <cell r="C428" t="str">
            <v>CAP</v>
          </cell>
          <cell r="D428" t="str">
            <v>UNAMORTIZED PREMIUM ON DEBT</v>
          </cell>
          <cell r="E428" t="str">
            <v/>
          </cell>
          <cell r="F428" t="str">
            <v/>
          </cell>
          <cell r="G428" t="str">
            <v/>
          </cell>
          <cell r="H428" t="str">
            <v/>
          </cell>
          <cell r="I428" t="str">
            <v/>
          </cell>
          <cell r="J428" t="str">
            <v/>
          </cell>
          <cell r="K428">
            <v>225000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</row>
        <row r="429">
          <cell r="B429">
            <v>226000</v>
          </cell>
          <cell r="C429" t="str">
            <v>CAP</v>
          </cell>
          <cell r="D429" t="str">
            <v>UNAMORTIZED DISCOUNT ON DEBT</v>
          </cell>
          <cell r="E429" t="str">
            <v/>
          </cell>
          <cell r="F429" t="str">
            <v/>
          </cell>
          <cell r="G429" t="str">
            <v/>
          </cell>
          <cell r="H429" t="str">
            <v/>
          </cell>
          <cell r="I429" t="str">
            <v/>
          </cell>
          <cell r="J429" t="str">
            <v/>
          </cell>
          <cell r="K429">
            <v>226000</v>
          </cell>
          <cell r="L429">
            <v>898.43619999999999</v>
          </cell>
          <cell r="M429">
            <v>894.04805999999996</v>
          </cell>
          <cell r="N429">
            <v>889.65992000000006</v>
          </cell>
          <cell r="O429">
            <v>885.27178000000004</v>
          </cell>
          <cell r="P429">
            <v>880.88364000000001</v>
          </cell>
          <cell r="Q429">
            <v>876.49549999999999</v>
          </cell>
          <cell r="R429">
            <v>872.10735999999997</v>
          </cell>
          <cell r="S429">
            <v>867.71921999999995</v>
          </cell>
          <cell r="T429">
            <v>863.33108000000004</v>
          </cell>
          <cell r="U429">
            <v>858.94294000000002</v>
          </cell>
          <cell r="V429">
            <v>854.5548</v>
          </cell>
          <cell r="W429">
            <v>850.16665999999998</v>
          </cell>
          <cell r="X429">
            <v>845.77851999999996</v>
          </cell>
          <cell r="Y429">
            <v>872.10735999999997</v>
          </cell>
        </row>
        <row r="430">
          <cell r="B430">
            <v>228200</v>
          </cell>
          <cell r="C430" t="str">
            <v>RTBS</v>
          </cell>
          <cell r="D430" t="str">
            <v>OTH NON-CUR LIAB - ACCUM PROV FOR INJUR &amp; DAM</v>
          </cell>
          <cell r="E430" t="str">
            <v/>
          </cell>
          <cell r="F430" t="str">
            <v/>
          </cell>
          <cell r="G430">
            <v>228200</v>
          </cell>
          <cell r="H430" t="str">
            <v/>
          </cell>
          <cell r="I430" t="str">
            <v/>
          </cell>
          <cell r="J430" t="str">
            <v/>
          </cell>
          <cell r="K430" t="str">
            <v/>
          </cell>
          <cell r="L430">
            <v>-1900</v>
          </cell>
          <cell r="M430">
            <v>-1900</v>
          </cell>
          <cell r="N430">
            <v>-1900</v>
          </cell>
          <cell r="O430">
            <v>-1900</v>
          </cell>
          <cell r="P430">
            <v>-1250</v>
          </cell>
          <cell r="Q430">
            <v>-1250</v>
          </cell>
          <cell r="R430">
            <v>-1250</v>
          </cell>
          <cell r="S430">
            <v>-1450</v>
          </cell>
          <cell r="T430">
            <v>-1300</v>
          </cell>
          <cell r="U430">
            <v>-1300</v>
          </cell>
          <cell r="V430">
            <v>-1300</v>
          </cell>
          <cell r="W430">
            <v>-1300</v>
          </cell>
          <cell r="X430">
            <v>-1100</v>
          </cell>
          <cell r="Y430">
            <v>-1466.666667</v>
          </cell>
        </row>
        <row r="431">
          <cell r="B431">
            <v>228300</v>
          </cell>
          <cell r="C431" t="str">
            <v>RTBS</v>
          </cell>
          <cell r="D431" t="str">
            <v>OTH NON-CUR LIAB - WORKERS COMP RESERVE</v>
          </cell>
          <cell r="E431" t="str">
            <v/>
          </cell>
          <cell r="F431" t="str">
            <v/>
          </cell>
          <cell r="G431">
            <v>228300</v>
          </cell>
          <cell r="H431" t="str">
            <v/>
          </cell>
          <cell r="I431" t="str">
            <v/>
          </cell>
          <cell r="J431" t="str">
            <v/>
          </cell>
          <cell r="K431" t="str">
            <v/>
          </cell>
          <cell r="L431">
            <v>-2299.009</v>
          </cell>
          <cell r="M431">
            <v>-2299.009</v>
          </cell>
          <cell r="N431">
            <v>-2299.009</v>
          </cell>
          <cell r="O431">
            <v>-2299.009</v>
          </cell>
          <cell r="P431">
            <v>-2299.009</v>
          </cell>
          <cell r="Q431">
            <v>-2299.009</v>
          </cell>
          <cell r="R431">
            <v>-2299.009</v>
          </cell>
          <cell r="S431">
            <v>-2299.009</v>
          </cell>
          <cell r="T431">
            <v>-2299.009</v>
          </cell>
          <cell r="U431">
            <v>-3374</v>
          </cell>
          <cell r="V431">
            <v>-3374</v>
          </cell>
          <cell r="W431">
            <v>-3374</v>
          </cell>
          <cell r="X431">
            <v>-3527</v>
          </cell>
          <cell r="Y431">
            <v>-2618.9230419999999</v>
          </cell>
        </row>
        <row r="432">
          <cell r="B432">
            <v>228305</v>
          </cell>
          <cell r="C432" t="str">
            <v>RTBS</v>
          </cell>
          <cell r="D432" t="str">
            <v>0000228305 OTH NONCUR LIAB-ACCUM PROV-LT PENSION OBLIG-FAS15</v>
          </cell>
          <cell r="E432" t="str">
            <v/>
          </cell>
          <cell r="F432" t="str">
            <v/>
          </cell>
          <cell r="G432">
            <v>228305</v>
          </cell>
          <cell r="H432" t="str">
            <v/>
          </cell>
          <cell r="I432" t="str">
            <v/>
          </cell>
          <cell r="J432" t="str">
            <v/>
          </cell>
          <cell r="K432" t="str">
            <v/>
          </cell>
          <cell r="L432">
            <v>-21825.375929999998</v>
          </cell>
          <cell r="M432">
            <v>-21367.042600000001</v>
          </cell>
          <cell r="N432">
            <v>-20908.709269999999</v>
          </cell>
          <cell r="O432">
            <v>-20450.375940000002</v>
          </cell>
          <cell r="P432">
            <v>-19992.04261</v>
          </cell>
          <cell r="Q432">
            <v>-17835.21343</v>
          </cell>
          <cell r="R432">
            <v>-17037.180929999999</v>
          </cell>
          <cell r="S432">
            <v>-16239.148429999999</v>
          </cell>
          <cell r="T432">
            <v>-15441.11593</v>
          </cell>
          <cell r="U432">
            <v>-14643.083430000001</v>
          </cell>
          <cell r="V432">
            <v>-15045.050929999999</v>
          </cell>
          <cell r="W432">
            <v>-14247.01843</v>
          </cell>
          <cell r="X432">
            <v>-39759.627930000002</v>
          </cell>
          <cell r="Y432">
            <v>-18666.540322000001</v>
          </cell>
        </row>
        <row r="433">
          <cell r="B433">
            <v>228310</v>
          </cell>
          <cell r="C433" t="str">
            <v>RTBS</v>
          </cell>
          <cell r="D433" t="str">
            <v>OTH NON-CUR LIAB - OPEB RESERVE</v>
          </cell>
          <cell r="E433" t="str">
            <v/>
          </cell>
          <cell r="F433" t="str">
            <v/>
          </cell>
          <cell r="G433">
            <v>228310</v>
          </cell>
          <cell r="H433" t="str">
            <v/>
          </cell>
          <cell r="I433" t="str">
            <v/>
          </cell>
          <cell r="J433" t="str">
            <v/>
          </cell>
          <cell r="K433" t="str">
            <v/>
          </cell>
          <cell r="L433">
            <v>-80701.236019999997</v>
          </cell>
          <cell r="M433">
            <v>-80725.346780000007</v>
          </cell>
          <cell r="N433">
            <v>-80739.030880000006</v>
          </cell>
          <cell r="O433">
            <v>-80733.083029999994</v>
          </cell>
          <cell r="P433">
            <v>-80719.115839999999</v>
          </cell>
          <cell r="Q433">
            <v>-80705.792289999998</v>
          </cell>
          <cell r="R433">
            <v>-80726.236810000002</v>
          </cell>
          <cell r="S433">
            <v>-80760.194600000003</v>
          </cell>
          <cell r="T433">
            <v>-80752.858059999999</v>
          </cell>
          <cell r="U433">
            <v>-80672.404909999997</v>
          </cell>
          <cell r="V433">
            <v>-80624.269350000002</v>
          </cell>
          <cell r="W433">
            <v>-80624.069879999995</v>
          </cell>
          <cell r="X433">
            <v>-80486.176949999994</v>
          </cell>
          <cell r="Y433">
            <v>-80698.009076000002</v>
          </cell>
        </row>
        <row r="434">
          <cell r="B434">
            <v>228400</v>
          </cell>
          <cell r="C434" t="str">
            <v>RTBS</v>
          </cell>
          <cell r="D434" t="str">
            <v>OTH NON-CUR LIAB - URANIUM ENRICHMENT RESERVE</v>
          </cell>
          <cell r="E434" t="str">
            <v/>
          </cell>
          <cell r="F434" t="str">
            <v/>
          </cell>
          <cell r="G434">
            <v>228400</v>
          </cell>
          <cell r="H434" t="str">
            <v/>
          </cell>
          <cell r="I434" t="str">
            <v/>
          </cell>
          <cell r="J434" t="str">
            <v/>
          </cell>
          <cell r="K434" t="str">
            <v/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</row>
        <row r="435">
          <cell r="B435">
            <v>228420</v>
          </cell>
          <cell r="C435" t="str">
            <v>RTBS</v>
          </cell>
          <cell r="D435" t="str">
            <v>OTH NON-CUR LIAB - ENVIRONMENTAL RESERVES</v>
          </cell>
          <cell r="E435" t="str">
            <v/>
          </cell>
          <cell r="F435" t="str">
            <v/>
          </cell>
          <cell r="G435">
            <v>228420</v>
          </cell>
          <cell r="H435" t="str">
            <v/>
          </cell>
          <cell r="I435" t="str">
            <v/>
          </cell>
          <cell r="J435" t="str">
            <v/>
          </cell>
          <cell r="K435" t="str">
            <v/>
          </cell>
          <cell r="L435">
            <v>-77008</v>
          </cell>
          <cell r="M435">
            <v>-77008</v>
          </cell>
          <cell r="N435">
            <v>-77008</v>
          </cell>
          <cell r="O435">
            <v>-77008</v>
          </cell>
          <cell r="P435">
            <v>-77008</v>
          </cell>
          <cell r="Q435">
            <v>-77008</v>
          </cell>
          <cell r="R435">
            <v>-77008</v>
          </cell>
          <cell r="S435">
            <v>-75960</v>
          </cell>
          <cell r="T435">
            <v>-75960</v>
          </cell>
          <cell r="U435">
            <v>-75960</v>
          </cell>
          <cell r="V435">
            <v>-75960</v>
          </cell>
          <cell r="W435">
            <v>-73312</v>
          </cell>
          <cell r="X435">
            <v>-73312</v>
          </cell>
          <cell r="Y435">
            <v>-76196.666666999998</v>
          </cell>
        </row>
        <row r="436">
          <cell r="B436">
            <v>228430</v>
          </cell>
          <cell r="C436" t="str">
            <v>RTBS</v>
          </cell>
          <cell r="D436" t="str">
            <v>OTH NON-CUR LIAB - SPEND NUCLEAR-DOE</v>
          </cell>
          <cell r="E436" t="str">
            <v/>
          </cell>
          <cell r="F436" t="str">
            <v/>
          </cell>
          <cell r="G436">
            <v>228430</v>
          </cell>
          <cell r="H436" t="str">
            <v/>
          </cell>
          <cell r="I436" t="str">
            <v/>
          </cell>
          <cell r="J436" t="str">
            <v/>
          </cell>
          <cell r="K436" t="str">
            <v/>
          </cell>
          <cell r="L436">
            <v>-121973.94518</v>
          </cell>
          <cell r="M436">
            <v>-121992.54621</v>
          </cell>
          <cell r="N436">
            <v>-122011.14724000001</v>
          </cell>
          <cell r="O436">
            <v>-122029.74827</v>
          </cell>
          <cell r="P436">
            <v>-122040.1208</v>
          </cell>
          <cell r="Q436">
            <v>-122050.49333</v>
          </cell>
          <cell r="R436">
            <v>-122060.86586000001</v>
          </cell>
          <cell r="S436">
            <v>-122063.40879</v>
          </cell>
          <cell r="T436">
            <v>-122065.95172</v>
          </cell>
          <cell r="U436">
            <v>-122035.85606999999</v>
          </cell>
          <cell r="V436">
            <v>-122037.88932</v>
          </cell>
          <cell r="W436">
            <v>-122039.92325000001</v>
          </cell>
          <cell r="X436">
            <v>-122041.95718</v>
          </cell>
          <cell r="Y436">
            <v>-122036.32517</v>
          </cell>
        </row>
        <row r="437">
          <cell r="B437">
            <v>228440</v>
          </cell>
          <cell r="C437" t="str">
            <v>Not in RTBS</v>
          </cell>
          <cell r="D437" t="str">
            <v>OTH NON-CUR LIAB - NM2 D &amp; D</v>
          </cell>
          <cell r="E437" t="str">
            <v/>
          </cell>
          <cell r="F437" t="str">
            <v/>
          </cell>
          <cell r="G437" t="str">
            <v/>
          </cell>
          <cell r="H437" t="str">
            <v/>
          </cell>
          <cell r="I437" t="str">
            <v/>
          </cell>
          <cell r="J437">
            <v>228440</v>
          </cell>
          <cell r="K437" t="str">
            <v/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</row>
        <row r="438">
          <cell r="B438">
            <v>228450</v>
          </cell>
          <cell r="C438" t="str">
            <v>Not in RTBS</v>
          </cell>
          <cell r="D438" t="str">
            <v>OTH NONCURENT LIAB-ARO - ELEC</v>
          </cell>
          <cell r="E438" t="str">
            <v/>
          </cell>
          <cell r="F438" t="str">
            <v/>
          </cell>
          <cell r="G438" t="str">
            <v/>
          </cell>
          <cell r="H438" t="str">
            <v/>
          </cell>
          <cell r="I438" t="str">
            <v/>
          </cell>
          <cell r="J438">
            <v>228450</v>
          </cell>
          <cell r="K438" t="str">
            <v/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</row>
        <row r="439">
          <cell r="B439">
            <v>228460</v>
          </cell>
          <cell r="C439" t="str">
            <v>Not in RTBS</v>
          </cell>
          <cell r="D439" t="str">
            <v>OTH NONCURENT LIAB-ARO - GAS</v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  <cell r="I439" t="str">
            <v/>
          </cell>
          <cell r="J439">
            <v>228460</v>
          </cell>
          <cell r="K439" t="str">
            <v/>
          </cell>
          <cell r="L439">
            <v>3308.0933</v>
          </cell>
          <cell r="M439">
            <v>3308.0933</v>
          </cell>
          <cell r="N439">
            <v>3308.0933</v>
          </cell>
          <cell r="O439">
            <v>3308.0933</v>
          </cell>
          <cell r="P439">
            <v>3308.0933</v>
          </cell>
          <cell r="Q439">
            <v>3308.0933</v>
          </cell>
          <cell r="R439">
            <v>3308.0933</v>
          </cell>
          <cell r="S439">
            <v>3308.0933</v>
          </cell>
          <cell r="T439">
            <v>3308.0933</v>
          </cell>
          <cell r="U439">
            <v>3308.0933</v>
          </cell>
          <cell r="V439">
            <v>3308.0933</v>
          </cell>
          <cell r="W439">
            <v>3308.0933</v>
          </cell>
          <cell r="X439">
            <v>3444.8203199999998</v>
          </cell>
          <cell r="Y439">
            <v>3313.7902589999999</v>
          </cell>
        </row>
        <row r="440">
          <cell r="B440">
            <v>228480</v>
          </cell>
          <cell r="C440" t="str">
            <v>Not in RTBS</v>
          </cell>
          <cell r="D440" t="str">
            <v>OTH NONCUR LIAB-ACC MISC OPER PROV-OTH</v>
          </cell>
          <cell r="E440" t="str">
            <v/>
          </cell>
          <cell r="F440" t="str">
            <v/>
          </cell>
          <cell r="G440" t="str">
            <v/>
          </cell>
          <cell r="H440" t="str">
            <v/>
          </cell>
          <cell r="I440" t="str">
            <v/>
          </cell>
          <cell r="J440">
            <v>228480</v>
          </cell>
          <cell r="K440" t="str">
            <v/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</row>
        <row r="441">
          <cell r="B441">
            <v>228490</v>
          </cell>
          <cell r="C441" t="str">
            <v>RTBS</v>
          </cell>
          <cell r="D441" t="str">
            <v>OTH NONCUR LIAB-MAJOR STORM RESERVE</v>
          </cell>
          <cell r="E441" t="str">
            <v/>
          </cell>
          <cell r="F441" t="str">
            <v/>
          </cell>
          <cell r="G441">
            <v>228490</v>
          </cell>
          <cell r="H441" t="str">
            <v/>
          </cell>
          <cell r="I441" t="str">
            <v/>
          </cell>
          <cell r="J441" t="str">
            <v/>
          </cell>
          <cell r="K441" t="str">
            <v/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</row>
        <row r="442">
          <cell r="B442">
            <v>228550</v>
          </cell>
          <cell r="C442" t="str">
            <v>Not in RTBS</v>
          </cell>
          <cell r="D442" t="str">
            <v>OTH NON-CUR LIAB - HEDGE-GAS</v>
          </cell>
          <cell r="E442">
            <v>1</v>
          </cell>
          <cell r="F442" t="str">
            <v/>
          </cell>
          <cell r="G442" t="str">
            <v/>
          </cell>
          <cell r="H442" t="str">
            <v/>
          </cell>
          <cell r="I442" t="str">
            <v/>
          </cell>
          <cell r="J442">
            <v>228550</v>
          </cell>
          <cell r="K442" t="str">
            <v/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</row>
        <row r="443">
          <cell r="B443">
            <v>228600</v>
          </cell>
          <cell r="C443" t="str">
            <v>Not in RTBS</v>
          </cell>
          <cell r="D443" t="str">
            <v>OTH NONCURENT LIAB-OTHER SPECIAL FUNDS</v>
          </cell>
          <cell r="E443" t="str">
            <v/>
          </cell>
          <cell r="F443" t="str">
            <v/>
          </cell>
          <cell r="G443" t="str">
            <v/>
          </cell>
          <cell r="H443" t="str">
            <v/>
          </cell>
          <cell r="I443" t="str">
            <v/>
          </cell>
          <cell r="J443">
            <v>228600</v>
          </cell>
          <cell r="K443" t="str">
            <v/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</row>
        <row r="444">
          <cell r="B444">
            <v>228610</v>
          </cell>
          <cell r="C444" t="str">
            <v>Not in RTBS</v>
          </cell>
          <cell r="D444" t="str">
            <v>OTH NONCURENT LIAB-ACCUM MISC OPER PROV-OTHER</v>
          </cell>
          <cell r="E444" t="str">
            <v/>
          </cell>
          <cell r="F444" t="str">
            <v/>
          </cell>
          <cell r="G444" t="str">
            <v/>
          </cell>
          <cell r="H444" t="str">
            <v/>
          </cell>
          <cell r="I444" t="str">
            <v/>
          </cell>
          <cell r="J444">
            <v>228610</v>
          </cell>
          <cell r="K444" t="str">
            <v/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</row>
        <row r="445">
          <cell r="B445">
            <v>228700</v>
          </cell>
          <cell r="C445" t="str">
            <v>NOT USED</v>
          </cell>
          <cell r="D445" t="str">
            <v>OTH NONCURENT LIAB NUCLEAR PLANT OBLIGATION COSTS</v>
          </cell>
          <cell r="E445" t="str">
            <v/>
          </cell>
          <cell r="F445" t="str">
            <v/>
          </cell>
          <cell r="G445" t="str">
            <v/>
          </cell>
          <cell r="H445" t="str">
            <v/>
          </cell>
          <cell r="I445" t="str">
            <v/>
          </cell>
          <cell r="J445" t="str">
            <v/>
          </cell>
          <cell r="K445" t="str">
            <v/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</row>
        <row r="446">
          <cell r="B446">
            <v>228992</v>
          </cell>
          <cell r="C446" t="str">
            <v>Not in RTBS</v>
          </cell>
          <cell r="D446" t="str">
            <v>ENVIRONMENTAL RESERVE RECLASS CURRENT</v>
          </cell>
          <cell r="E446" t="str">
            <v/>
          </cell>
          <cell r="F446" t="str">
            <v/>
          </cell>
          <cell r="G446" t="str">
            <v/>
          </cell>
          <cell r="H446" t="str">
            <v/>
          </cell>
          <cell r="I446" t="str">
            <v/>
          </cell>
          <cell r="J446">
            <v>228992</v>
          </cell>
          <cell r="K446" t="str">
            <v/>
          </cell>
          <cell r="L446">
            <v>-14649</v>
          </cell>
          <cell r="M446">
            <v>-14649</v>
          </cell>
          <cell r="N446">
            <v>-14649</v>
          </cell>
          <cell r="O446">
            <v>-14649</v>
          </cell>
          <cell r="P446">
            <v>-14649</v>
          </cell>
          <cell r="Q446">
            <v>-12753.5</v>
          </cell>
          <cell r="R446">
            <v>-12753.5</v>
          </cell>
          <cell r="S446">
            <v>-12753.5</v>
          </cell>
          <cell r="T446">
            <v>-12753.5</v>
          </cell>
          <cell r="U446">
            <v>-16981.738000000001</v>
          </cell>
          <cell r="V446">
            <v>-16981.738000000001</v>
          </cell>
          <cell r="W446">
            <v>-16981.738000000001</v>
          </cell>
          <cell r="X446">
            <v>-17541.47</v>
          </cell>
          <cell r="Y446">
            <v>-14720.87075</v>
          </cell>
        </row>
        <row r="447">
          <cell r="B447">
            <v>228993</v>
          </cell>
          <cell r="C447" t="str">
            <v>Not in RTBS</v>
          </cell>
          <cell r="D447" t="str">
            <v>ENVIRONMENTAL RESERVE RECLASS TO OFFSET 228992</v>
          </cell>
          <cell r="E447" t="str">
            <v/>
          </cell>
          <cell r="F447" t="str">
            <v/>
          </cell>
          <cell r="G447" t="str">
            <v/>
          </cell>
          <cell r="H447" t="str">
            <v/>
          </cell>
          <cell r="I447" t="str">
            <v/>
          </cell>
          <cell r="J447">
            <v>228993</v>
          </cell>
          <cell r="K447" t="str">
            <v/>
          </cell>
          <cell r="L447">
            <v>14649</v>
          </cell>
          <cell r="M447">
            <v>14649</v>
          </cell>
          <cell r="N447">
            <v>14649</v>
          </cell>
          <cell r="O447">
            <v>14649</v>
          </cell>
          <cell r="P447">
            <v>14649</v>
          </cell>
          <cell r="Q447">
            <v>12753.5</v>
          </cell>
          <cell r="R447">
            <v>12753.5</v>
          </cell>
          <cell r="S447">
            <v>12753.5</v>
          </cell>
          <cell r="T447">
            <v>12753.5</v>
          </cell>
          <cell r="U447">
            <v>16981.738000000001</v>
          </cell>
          <cell r="V447">
            <v>16981.738000000001</v>
          </cell>
          <cell r="W447">
            <v>16981.738000000001</v>
          </cell>
          <cell r="X447">
            <v>17541.47</v>
          </cell>
          <cell r="Y447">
            <v>14720.87075</v>
          </cell>
        </row>
        <row r="448">
          <cell r="B448">
            <v>229010</v>
          </cell>
          <cell r="C448" t="str">
            <v>NOT USED</v>
          </cell>
          <cell r="D448" t="str">
            <v>OTH NON-CUR LIAB-ACCUM PROV FOR RATE REFUND-ELEC</v>
          </cell>
          <cell r="E448" t="str">
            <v/>
          </cell>
          <cell r="F448" t="str">
            <v/>
          </cell>
          <cell r="G448" t="str">
            <v/>
          </cell>
          <cell r="H448" t="str">
            <v/>
          </cell>
          <cell r="I448" t="str">
            <v/>
          </cell>
          <cell r="J448" t="str">
            <v/>
          </cell>
          <cell r="K448" t="str">
            <v/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</row>
        <row r="449">
          <cell r="B449">
            <v>230010</v>
          </cell>
          <cell r="C449" t="str">
            <v>Not in RTBS</v>
          </cell>
          <cell r="D449" t="str">
            <v>OTH NONCURENT LIAB-ARO - ELEC</v>
          </cell>
          <cell r="E449" t="str">
            <v/>
          </cell>
          <cell r="F449" t="str">
            <v/>
          </cell>
          <cell r="G449" t="str">
            <v/>
          </cell>
          <cell r="H449" t="str">
            <v/>
          </cell>
          <cell r="I449" t="str">
            <v/>
          </cell>
          <cell r="J449">
            <v>230010</v>
          </cell>
          <cell r="K449" t="str">
            <v/>
          </cell>
          <cell r="L449">
            <v>-14315.361639999999</v>
          </cell>
          <cell r="M449">
            <v>-14407.342500000001</v>
          </cell>
          <cell r="N449">
            <v>-14499.75121</v>
          </cell>
          <cell r="O449">
            <v>-14592.589830000001</v>
          </cell>
          <cell r="P449">
            <v>-14685.86031</v>
          </cell>
          <cell r="Q449">
            <v>-14779.564700000001</v>
          </cell>
          <cell r="R449">
            <v>-14873.70499</v>
          </cell>
          <cell r="S449">
            <v>-14968.28321</v>
          </cell>
          <cell r="T449">
            <v>-15063.301390000001</v>
          </cell>
          <cell r="U449">
            <v>-15158.761640000001</v>
          </cell>
          <cell r="V449">
            <v>-15254.665950000001</v>
          </cell>
          <cell r="W449">
            <v>-15351.01641</v>
          </cell>
          <cell r="X449">
            <v>-15392.88912</v>
          </cell>
          <cell r="Y449">
            <v>-14874.080626999999</v>
          </cell>
        </row>
        <row r="450">
          <cell r="B450">
            <v>230030</v>
          </cell>
          <cell r="C450" t="str">
            <v>Not in RTBS</v>
          </cell>
          <cell r="D450" t="str">
            <v>OTH NONCURENT LIAB-ARO - GAS</v>
          </cell>
          <cell r="E450" t="str">
            <v/>
          </cell>
          <cell r="F450" t="str">
            <v/>
          </cell>
          <cell r="G450" t="str">
            <v/>
          </cell>
          <cell r="H450" t="str">
            <v/>
          </cell>
          <cell r="I450" t="str">
            <v/>
          </cell>
          <cell r="J450">
            <v>230030</v>
          </cell>
          <cell r="K450" t="str">
            <v/>
          </cell>
          <cell r="L450">
            <v>-2150.3862300000001</v>
          </cell>
          <cell r="M450">
            <v>-2159.6877599999998</v>
          </cell>
          <cell r="N450">
            <v>-2169.0295299999998</v>
          </cell>
          <cell r="O450">
            <v>-2178.4116800000002</v>
          </cell>
          <cell r="P450">
            <v>-2187.8343799999998</v>
          </cell>
          <cell r="Q450">
            <v>-2197.2978499999999</v>
          </cell>
          <cell r="R450">
            <v>-2206.8022999999998</v>
          </cell>
          <cell r="S450">
            <v>-2216.3479000000002</v>
          </cell>
          <cell r="T450">
            <v>-2225.9347400000001</v>
          </cell>
          <cell r="U450">
            <v>-2235.56304</v>
          </cell>
          <cell r="V450">
            <v>-2245.23299</v>
          </cell>
          <cell r="W450">
            <v>-2254.9448400000001</v>
          </cell>
          <cell r="X450">
            <v>-2092.2696099999998</v>
          </cell>
          <cell r="Y450">
            <v>-2199.8679109999998</v>
          </cell>
        </row>
        <row r="451">
          <cell r="B451">
            <v>231010</v>
          </cell>
          <cell r="C451" t="str">
            <v>CAP</v>
          </cell>
          <cell r="D451" t="str">
            <v>NOTES PAYABLE</v>
          </cell>
          <cell r="E451" t="str">
            <v/>
          </cell>
          <cell r="F451" t="str">
            <v/>
          </cell>
          <cell r="G451" t="str">
            <v/>
          </cell>
          <cell r="H451" t="str">
            <v/>
          </cell>
          <cell r="I451" t="str">
            <v/>
          </cell>
          <cell r="J451" t="str">
            <v/>
          </cell>
          <cell r="K451">
            <v>231010</v>
          </cell>
          <cell r="L451">
            <v>0</v>
          </cell>
          <cell r="M451">
            <v>0</v>
          </cell>
          <cell r="N451">
            <v>-19900</v>
          </cell>
          <cell r="O451">
            <v>-4900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-2066.666667</v>
          </cell>
        </row>
        <row r="452">
          <cell r="B452">
            <v>231150</v>
          </cell>
          <cell r="C452" t="str">
            <v>CAP</v>
          </cell>
          <cell r="D452" t="str">
            <v>NOTES PAYABLE-INTERCOMPANY (W/TRADING PARTNER)</v>
          </cell>
          <cell r="E452" t="str">
            <v/>
          </cell>
          <cell r="F452" t="str">
            <v/>
          </cell>
          <cell r="G452" t="str">
            <v/>
          </cell>
          <cell r="H452" t="str">
            <v/>
          </cell>
          <cell r="I452" t="str">
            <v/>
          </cell>
          <cell r="J452" t="str">
            <v/>
          </cell>
          <cell r="K452">
            <v>231150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-48100</v>
          </cell>
          <cell r="Q452">
            <v>-21300</v>
          </cell>
          <cell r="R452">
            <v>-5100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-6208.3333329999996</v>
          </cell>
        </row>
        <row r="453">
          <cell r="B453">
            <v>232010</v>
          </cell>
          <cell r="C453" t="str">
            <v>Working Capital</v>
          </cell>
          <cell r="D453" t="str">
            <v>ACCOUNTS PAYABLE - REGULAR</v>
          </cell>
          <cell r="E453" t="str">
            <v/>
          </cell>
          <cell r="F453" t="str">
            <v/>
          </cell>
          <cell r="G453" t="str">
            <v/>
          </cell>
          <cell r="H453" t="str">
            <v/>
          </cell>
          <cell r="I453">
            <v>232010</v>
          </cell>
          <cell r="J453" t="str">
            <v/>
          </cell>
          <cell r="K453" t="str">
            <v/>
          </cell>
          <cell r="L453">
            <v>-14718.34287</v>
          </cell>
          <cell r="M453">
            <v>-10671.21034</v>
          </cell>
          <cell r="N453">
            <v>-10793.69209</v>
          </cell>
          <cell r="O453">
            <v>-10416.703079999999</v>
          </cell>
          <cell r="P453">
            <v>-11908.79549</v>
          </cell>
          <cell r="Q453">
            <v>-9571.6810299999997</v>
          </cell>
          <cell r="R453">
            <v>-9339.1497999999992</v>
          </cell>
          <cell r="S453">
            <v>-9462.7087200000005</v>
          </cell>
          <cell r="T453">
            <v>-9717.5009399999999</v>
          </cell>
          <cell r="U453">
            <v>-9657.7368399999996</v>
          </cell>
          <cell r="V453">
            <v>-8935.5490800000007</v>
          </cell>
          <cell r="W453">
            <v>-18745.252130000001</v>
          </cell>
          <cell r="X453">
            <v>-16526.925080000001</v>
          </cell>
          <cell r="Y453">
            <v>-11236.884459999999</v>
          </cell>
        </row>
        <row r="454">
          <cell r="B454">
            <v>232011</v>
          </cell>
          <cell r="C454" t="str">
            <v>Working Capital</v>
          </cell>
          <cell r="D454" t="str">
            <v>ACCOUNT PAYABLE - MISCELLANEOUS</v>
          </cell>
          <cell r="E454" t="str">
            <v/>
          </cell>
          <cell r="F454" t="str">
            <v/>
          </cell>
          <cell r="G454" t="str">
            <v/>
          </cell>
          <cell r="H454" t="str">
            <v/>
          </cell>
          <cell r="I454">
            <v>232011</v>
          </cell>
          <cell r="J454" t="str">
            <v/>
          </cell>
          <cell r="K454" t="str">
            <v/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-6.2489999999999997E-2</v>
          </cell>
          <cell r="T454">
            <v>-6.2489999999999997E-2</v>
          </cell>
          <cell r="U454">
            <v>-6.2489999999999997E-2</v>
          </cell>
          <cell r="V454">
            <v>-6.2489999999999997E-2</v>
          </cell>
          <cell r="W454">
            <v>-6.2489999999999997E-2</v>
          </cell>
          <cell r="X454">
            <v>-6.2489999999999997E-2</v>
          </cell>
          <cell r="Y454">
            <v>-2.8641E-2</v>
          </cell>
        </row>
        <row r="455">
          <cell r="B455">
            <v>232012</v>
          </cell>
          <cell r="C455" t="str">
            <v>Working Capital</v>
          </cell>
          <cell r="D455" t="str">
            <v>A/P CONSIGNMENT PAYABLES</v>
          </cell>
          <cell r="E455" t="str">
            <v/>
          </cell>
          <cell r="F455" t="str">
            <v/>
          </cell>
          <cell r="G455" t="str">
            <v/>
          </cell>
          <cell r="H455" t="str">
            <v/>
          </cell>
          <cell r="I455">
            <v>232012</v>
          </cell>
          <cell r="J455" t="str">
            <v/>
          </cell>
          <cell r="K455" t="str">
            <v/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</row>
        <row r="456">
          <cell r="B456">
            <v>232014</v>
          </cell>
          <cell r="C456" t="str">
            <v>Working Capital</v>
          </cell>
          <cell r="D456" t="str">
            <v>ACCOUNT PAYABLE - BEGINNING BALANCE</v>
          </cell>
          <cell r="E456" t="str">
            <v/>
          </cell>
          <cell r="F456" t="str">
            <v/>
          </cell>
          <cell r="G456" t="str">
            <v/>
          </cell>
          <cell r="H456" t="str">
            <v/>
          </cell>
          <cell r="I456">
            <v>232014</v>
          </cell>
          <cell r="J456" t="str">
            <v/>
          </cell>
          <cell r="K456" t="str">
            <v/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</row>
        <row r="457">
          <cell r="B457">
            <v>232015</v>
          </cell>
          <cell r="C457" t="str">
            <v>Working Capital</v>
          </cell>
          <cell r="D457" t="str">
            <v>ACCOUNTS PAYABLE - ELECTRONIC ACCOUNTING RECLASS</v>
          </cell>
          <cell r="E457" t="str">
            <v/>
          </cell>
          <cell r="F457" t="str">
            <v/>
          </cell>
          <cell r="G457" t="str">
            <v/>
          </cell>
          <cell r="H457" t="str">
            <v/>
          </cell>
          <cell r="I457">
            <v>232015</v>
          </cell>
          <cell r="J457" t="str">
            <v/>
          </cell>
          <cell r="K457" t="str">
            <v/>
          </cell>
          <cell r="L457">
            <v>673.06895999999995</v>
          </cell>
          <cell r="M457">
            <v>86.955690000000004</v>
          </cell>
          <cell r="N457">
            <v>86.955690000000004</v>
          </cell>
          <cell r="O457">
            <v>86.955690000000004</v>
          </cell>
          <cell r="P457">
            <v>125.87709</v>
          </cell>
          <cell r="Q457">
            <v>136.81872999999999</v>
          </cell>
          <cell r="R457">
            <v>36.218809999999998</v>
          </cell>
          <cell r="S457">
            <v>0</v>
          </cell>
          <cell r="T457">
            <v>30.408750000000001</v>
          </cell>
          <cell r="U457">
            <v>67.804130000000001</v>
          </cell>
          <cell r="V457">
            <v>72.552779999999998</v>
          </cell>
          <cell r="W457">
            <v>59.274560000000001</v>
          </cell>
          <cell r="X457">
            <v>0</v>
          </cell>
          <cell r="Y457">
            <v>93.863033000000001</v>
          </cell>
        </row>
        <row r="458">
          <cell r="B458">
            <v>232020</v>
          </cell>
          <cell r="C458" t="str">
            <v>Working Capital</v>
          </cell>
          <cell r="D458" t="str">
            <v>ACCOUNTS PAYABLE - SUNDRIES</v>
          </cell>
          <cell r="E458" t="str">
            <v/>
          </cell>
          <cell r="F458" t="str">
            <v/>
          </cell>
          <cell r="G458" t="str">
            <v/>
          </cell>
          <cell r="H458" t="str">
            <v/>
          </cell>
          <cell r="I458">
            <v>232020</v>
          </cell>
          <cell r="J458" t="str">
            <v/>
          </cell>
          <cell r="K458" t="str">
            <v/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</row>
        <row r="459">
          <cell r="B459">
            <v>232021</v>
          </cell>
          <cell r="C459" t="str">
            <v>Working Capital</v>
          </cell>
          <cell r="D459" t="str">
            <v>ACCOUNTS PAYABLE - SUNDRIES-PURCHASED POWER</v>
          </cell>
          <cell r="E459" t="str">
            <v/>
          </cell>
          <cell r="F459" t="str">
            <v/>
          </cell>
          <cell r="G459" t="str">
            <v/>
          </cell>
          <cell r="H459" t="str">
            <v/>
          </cell>
          <cell r="I459">
            <v>232021</v>
          </cell>
          <cell r="J459" t="str">
            <v/>
          </cell>
          <cell r="K459" t="str">
            <v/>
          </cell>
          <cell r="L459">
            <v>-22163.15136</v>
          </cell>
          <cell r="M459">
            <v>-23015.070370000001</v>
          </cell>
          <cell r="N459">
            <v>-22433.464019999999</v>
          </cell>
          <cell r="O459">
            <v>-21433.882590000001</v>
          </cell>
          <cell r="P459">
            <v>-17340.146059999999</v>
          </cell>
          <cell r="Q459">
            <v>-9694.2525700000006</v>
          </cell>
          <cell r="R459">
            <v>-18170.744190000001</v>
          </cell>
          <cell r="S459">
            <v>-27045.66603</v>
          </cell>
          <cell r="T459">
            <v>-27065.697199999999</v>
          </cell>
          <cell r="U459">
            <v>-27154.975119999999</v>
          </cell>
          <cell r="V459">
            <v>-18641.146250000002</v>
          </cell>
          <cell r="W459">
            <v>-17350.866470000001</v>
          </cell>
          <cell r="X459">
            <v>-15059.557919999999</v>
          </cell>
          <cell r="Y459">
            <v>-20663.105458999999</v>
          </cell>
        </row>
        <row r="460">
          <cell r="B460">
            <v>232022</v>
          </cell>
          <cell r="C460" t="str">
            <v>Working Capital</v>
          </cell>
          <cell r="D460" t="str">
            <v>ACCOUNTS PAYABLE - SUNDRIES-PURCHASED GAS</v>
          </cell>
          <cell r="E460" t="str">
            <v/>
          </cell>
          <cell r="F460" t="str">
            <v/>
          </cell>
          <cell r="G460" t="str">
            <v/>
          </cell>
          <cell r="H460" t="str">
            <v/>
          </cell>
          <cell r="I460">
            <v>232022</v>
          </cell>
          <cell r="J460" t="str">
            <v/>
          </cell>
          <cell r="K460" t="str">
            <v/>
          </cell>
          <cell r="L460">
            <v>-18271.234710000001</v>
          </cell>
          <cell r="M460">
            <v>-16489.092690000001</v>
          </cell>
          <cell r="N460">
            <v>-13989.483840000001</v>
          </cell>
          <cell r="O460">
            <v>-13345.67453</v>
          </cell>
          <cell r="P460">
            <v>-17094.75101</v>
          </cell>
          <cell r="Q460">
            <v>-14013.32149</v>
          </cell>
          <cell r="R460">
            <v>-12146.341759999999</v>
          </cell>
          <cell r="S460">
            <v>-12008.818359999999</v>
          </cell>
          <cell r="T460">
            <v>-11378.00207</v>
          </cell>
          <cell r="U460">
            <v>-10015.739939999899</v>
          </cell>
          <cell r="V460">
            <v>-10201.340969999999</v>
          </cell>
          <cell r="W460">
            <v>-8554.7374299999992</v>
          </cell>
          <cell r="X460">
            <v>-9147.1817100000007</v>
          </cell>
          <cell r="Y460">
            <v>-12745.542692000001</v>
          </cell>
        </row>
        <row r="461">
          <cell r="B461">
            <v>232023</v>
          </cell>
          <cell r="C461" t="str">
            <v>Working Capital</v>
          </cell>
          <cell r="D461" t="str">
            <v>ACCOUNTS PAYABLE - SUNDRIES-SEPARATION ACCRUALS</v>
          </cell>
          <cell r="E461" t="str">
            <v/>
          </cell>
          <cell r="F461" t="str">
            <v/>
          </cell>
          <cell r="G461" t="str">
            <v/>
          </cell>
          <cell r="H461" t="str">
            <v/>
          </cell>
          <cell r="I461">
            <v>232023</v>
          </cell>
          <cell r="J461" t="str">
            <v/>
          </cell>
          <cell r="K461" t="str">
            <v/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-9.8369700000000009</v>
          </cell>
          <cell r="W461">
            <v>0</v>
          </cell>
          <cell r="X461">
            <v>0</v>
          </cell>
          <cell r="Y461">
            <v>-0.81974800000000003</v>
          </cell>
        </row>
        <row r="462">
          <cell r="B462">
            <v>232024</v>
          </cell>
          <cell r="C462" t="str">
            <v>Working Capital</v>
          </cell>
          <cell r="D462" t="str">
            <v>ACCOUNTS PAYABLE - ACCRUALS</v>
          </cell>
          <cell r="E462" t="str">
            <v/>
          </cell>
          <cell r="F462" t="str">
            <v/>
          </cell>
          <cell r="G462" t="str">
            <v/>
          </cell>
          <cell r="H462" t="str">
            <v/>
          </cell>
          <cell r="I462">
            <v>232024</v>
          </cell>
          <cell r="J462" t="str">
            <v/>
          </cell>
          <cell r="K462" t="str">
            <v/>
          </cell>
          <cell r="L462">
            <v>-15994.95542</v>
          </cell>
          <cell r="M462">
            <v>-1340.2412899999999</v>
          </cell>
          <cell r="N462">
            <v>-7297.1002799999997</v>
          </cell>
          <cell r="O462">
            <v>-4081.0250999999998</v>
          </cell>
          <cell r="P462">
            <v>-1346.8247100000001</v>
          </cell>
          <cell r="Q462">
            <v>-2279.3521700000001</v>
          </cell>
          <cell r="R462">
            <v>-2827.65717</v>
          </cell>
          <cell r="S462">
            <v>-4334.7436600000001</v>
          </cell>
          <cell r="T462">
            <v>-4893.9789199999996</v>
          </cell>
          <cell r="U462">
            <v>-5160.5930799999996</v>
          </cell>
          <cell r="V462">
            <v>-6037.8543399999999</v>
          </cell>
          <cell r="W462">
            <v>-9878.8169500000004</v>
          </cell>
          <cell r="X462">
            <v>-16357.49843</v>
          </cell>
          <cell r="Y462">
            <v>-5471.2012160000004</v>
          </cell>
        </row>
        <row r="463">
          <cell r="B463">
            <v>232025</v>
          </cell>
          <cell r="C463" t="str">
            <v>Working Capital</v>
          </cell>
          <cell r="D463" t="str">
            <v>ACCOUNTS PAYABLE - PAYROLL ACCRUALS</v>
          </cell>
          <cell r="E463" t="str">
            <v/>
          </cell>
          <cell r="F463" t="str">
            <v/>
          </cell>
          <cell r="G463" t="str">
            <v/>
          </cell>
          <cell r="H463" t="str">
            <v/>
          </cell>
          <cell r="I463">
            <v>232025</v>
          </cell>
          <cell r="J463" t="str">
            <v/>
          </cell>
          <cell r="K463" t="str">
            <v/>
          </cell>
          <cell r="L463">
            <v>-1407.5847799999999</v>
          </cell>
          <cell r="M463">
            <v>-1860.50522</v>
          </cell>
          <cell r="N463">
            <v>-1851.26668</v>
          </cell>
          <cell r="O463">
            <v>-2387.4538899999998</v>
          </cell>
          <cell r="P463">
            <v>-1145.6303</v>
          </cell>
          <cell r="Q463">
            <v>-1647.71992</v>
          </cell>
          <cell r="R463">
            <v>-2042.89644</v>
          </cell>
          <cell r="S463">
            <v>-1676.1435300000001</v>
          </cell>
          <cell r="T463">
            <v>-2222.8127800000002</v>
          </cell>
          <cell r="U463">
            <v>-1062.4361899999999</v>
          </cell>
          <cell r="V463">
            <v>-1453.5682200000001</v>
          </cell>
          <cell r="W463">
            <v>-1761.3127199999999</v>
          </cell>
          <cell r="X463">
            <v>-1492.2147199999999</v>
          </cell>
          <cell r="Y463">
            <v>-1713.47047</v>
          </cell>
        </row>
        <row r="464">
          <cell r="B464">
            <v>232026</v>
          </cell>
          <cell r="C464" t="str">
            <v>Working Capital</v>
          </cell>
          <cell r="D464" t="str">
            <v>ACCOUNTS PAYABLE - EPAYABLES</v>
          </cell>
          <cell r="E464" t="str">
            <v/>
          </cell>
          <cell r="F464" t="str">
            <v/>
          </cell>
          <cell r="G464" t="str">
            <v/>
          </cell>
          <cell r="H464" t="str">
            <v/>
          </cell>
          <cell r="I464">
            <v>232026</v>
          </cell>
          <cell r="J464" t="str">
            <v/>
          </cell>
          <cell r="K464" t="str">
            <v/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</row>
        <row r="465">
          <cell r="B465">
            <v>232029</v>
          </cell>
          <cell r="C465" t="str">
            <v>Not in RTBS</v>
          </cell>
          <cell r="D465" t="str">
            <v>TRANSFER GOODS RECEIPT CLEARING</v>
          </cell>
          <cell r="E465" t="str">
            <v/>
          </cell>
          <cell r="F465" t="str">
            <v/>
          </cell>
          <cell r="G465" t="str">
            <v/>
          </cell>
          <cell r="H465" t="str">
            <v/>
          </cell>
          <cell r="I465" t="str">
            <v/>
          </cell>
          <cell r="J465">
            <v>232029</v>
          </cell>
          <cell r="K465" t="str">
            <v/>
          </cell>
          <cell r="L465">
            <v>0</v>
          </cell>
          <cell r="M465">
            <v>0</v>
          </cell>
          <cell r="N465">
            <v>0</v>
          </cell>
          <cell r="O465">
            <v>-16624.413530000002</v>
          </cell>
          <cell r="P465">
            <v>0</v>
          </cell>
          <cell r="Q465">
            <v>0</v>
          </cell>
          <cell r="R465">
            <v>-20304.748739999999</v>
          </cell>
          <cell r="S465">
            <v>0</v>
          </cell>
          <cell r="T465">
            <v>0</v>
          </cell>
          <cell r="U465">
            <v>-20304.748739999999</v>
          </cell>
          <cell r="V465">
            <v>0</v>
          </cell>
          <cell r="W465">
            <v>0</v>
          </cell>
          <cell r="X465">
            <v>-52386.402430000002</v>
          </cell>
          <cell r="Y465">
            <v>-6952.259352</v>
          </cell>
        </row>
        <row r="466">
          <cell r="B466">
            <v>232030</v>
          </cell>
          <cell r="C466" t="str">
            <v>Working Capital</v>
          </cell>
          <cell r="D466" t="str">
            <v>ACCOUNTS PAYABLE - PAYROLL</v>
          </cell>
          <cell r="E466" t="str">
            <v/>
          </cell>
          <cell r="F466" t="str">
            <v/>
          </cell>
          <cell r="G466" t="str">
            <v/>
          </cell>
          <cell r="H466" t="str">
            <v/>
          </cell>
          <cell r="I466">
            <v>232030</v>
          </cell>
          <cell r="J466" t="str">
            <v/>
          </cell>
          <cell r="K466" t="str">
            <v/>
          </cell>
          <cell r="L466">
            <v>-1.0049999999999999</v>
          </cell>
          <cell r="M466">
            <v>0</v>
          </cell>
          <cell r="N466">
            <v>0</v>
          </cell>
          <cell r="O466">
            <v>-9.1127599999999997</v>
          </cell>
          <cell r="P466">
            <v>-9.1127599999999997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6.6430000000000003E-2</v>
          </cell>
          <cell r="Y466">
            <v>-1.5579000000000001</v>
          </cell>
        </row>
        <row r="467">
          <cell r="B467">
            <v>232040</v>
          </cell>
          <cell r="C467" t="str">
            <v>Working Capital</v>
          </cell>
          <cell r="D467" t="str">
            <v>ACCOUNTS PAYABLE- OUTSTANDING CHECKS</v>
          </cell>
          <cell r="E467" t="str">
            <v/>
          </cell>
          <cell r="F467" t="str">
            <v/>
          </cell>
          <cell r="G467" t="str">
            <v/>
          </cell>
          <cell r="H467" t="str">
            <v/>
          </cell>
          <cell r="I467">
            <v>232040</v>
          </cell>
          <cell r="J467" t="str">
            <v/>
          </cell>
          <cell r="K467" t="str">
            <v/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</row>
        <row r="468">
          <cell r="B468">
            <v>232050</v>
          </cell>
          <cell r="C468" t="str">
            <v>Working Capital</v>
          </cell>
          <cell r="D468" t="str">
            <v>PAYROLL DEDUCTIONS - YMCA</v>
          </cell>
          <cell r="E468" t="str">
            <v/>
          </cell>
          <cell r="F468" t="str">
            <v/>
          </cell>
          <cell r="G468" t="str">
            <v/>
          </cell>
          <cell r="H468" t="str">
            <v/>
          </cell>
          <cell r="I468">
            <v>232050</v>
          </cell>
          <cell r="J468" t="str">
            <v/>
          </cell>
          <cell r="K468" t="str">
            <v/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</row>
        <row r="469">
          <cell r="B469">
            <v>232060</v>
          </cell>
          <cell r="C469" t="str">
            <v>Working Capital</v>
          </cell>
          <cell r="D469" t="str">
            <v>PAYROLL DEDUCTIONS - UNITED WAY</v>
          </cell>
          <cell r="E469" t="str">
            <v/>
          </cell>
          <cell r="F469" t="str">
            <v/>
          </cell>
          <cell r="G469" t="str">
            <v/>
          </cell>
          <cell r="H469" t="str">
            <v/>
          </cell>
          <cell r="I469">
            <v>232060</v>
          </cell>
          <cell r="J469" t="str">
            <v/>
          </cell>
          <cell r="K469" t="str">
            <v/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</row>
        <row r="470">
          <cell r="B470">
            <v>232069</v>
          </cell>
          <cell r="C470" t="str">
            <v>Working Capital</v>
          </cell>
          <cell r="D470" t="str">
            <v>PAYROLL ADJUSTMENTS</v>
          </cell>
          <cell r="E470" t="str">
            <v/>
          </cell>
          <cell r="F470" t="str">
            <v/>
          </cell>
          <cell r="G470" t="str">
            <v/>
          </cell>
          <cell r="H470" t="str">
            <v/>
          </cell>
          <cell r="I470">
            <v>232069</v>
          </cell>
          <cell r="J470" t="str">
            <v/>
          </cell>
          <cell r="K470" t="str">
            <v/>
          </cell>
          <cell r="L470">
            <v>9.8206900000000008</v>
          </cell>
          <cell r="M470">
            <v>9.8206900000000008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-2.7303999999999999</v>
          </cell>
          <cell r="T470">
            <v>0</v>
          </cell>
          <cell r="U470">
            <v>0</v>
          </cell>
          <cell r="V470">
            <v>0</v>
          </cell>
          <cell r="W470">
            <v>0.38052000000000002</v>
          </cell>
          <cell r="X470">
            <v>7.4827899999999996</v>
          </cell>
          <cell r="Y470">
            <v>1.3435459999999999</v>
          </cell>
        </row>
        <row r="471">
          <cell r="B471">
            <v>232070</v>
          </cell>
          <cell r="C471" t="str">
            <v>Working Capital</v>
          </cell>
          <cell r="D471" t="str">
            <v>PAYROLL DEDUCTIONS - DEFAULT</v>
          </cell>
          <cell r="E471" t="str">
            <v/>
          </cell>
          <cell r="F471" t="str">
            <v/>
          </cell>
          <cell r="G471" t="str">
            <v/>
          </cell>
          <cell r="H471" t="str">
            <v/>
          </cell>
          <cell r="I471">
            <v>232070</v>
          </cell>
          <cell r="J471" t="str">
            <v/>
          </cell>
          <cell r="K471" t="str">
            <v/>
          </cell>
          <cell r="L471">
            <v>-7.3749999999999996E-2</v>
          </cell>
          <cell r="M471">
            <v>-7.3749999999999996E-2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-9.2189999999999998E-3</v>
          </cell>
        </row>
        <row r="472">
          <cell r="B472">
            <v>232080</v>
          </cell>
          <cell r="C472" t="str">
            <v>Working Capital</v>
          </cell>
          <cell r="D472" t="str">
            <v>PAYROLL DEDUCTIONS - BANKRUPTCY</v>
          </cell>
          <cell r="E472" t="str">
            <v/>
          </cell>
          <cell r="F472" t="str">
            <v/>
          </cell>
          <cell r="G472" t="str">
            <v/>
          </cell>
          <cell r="H472" t="str">
            <v/>
          </cell>
          <cell r="I472">
            <v>232080</v>
          </cell>
          <cell r="J472" t="str">
            <v/>
          </cell>
          <cell r="K472" t="str">
            <v/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</row>
        <row r="473">
          <cell r="B473">
            <v>232081</v>
          </cell>
          <cell r="C473" t="str">
            <v>Working Capital</v>
          </cell>
          <cell r="D473" t="str">
            <v>PAYROLL DEDUCTIONS - CREDITOR</v>
          </cell>
          <cell r="E473" t="str">
            <v/>
          </cell>
          <cell r="F473" t="str">
            <v/>
          </cell>
          <cell r="G473" t="str">
            <v/>
          </cell>
          <cell r="H473" t="str">
            <v/>
          </cell>
          <cell r="I473">
            <v>232081</v>
          </cell>
          <cell r="J473" t="str">
            <v/>
          </cell>
          <cell r="K473" t="str">
            <v/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</row>
        <row r="474">
          <cell r="B474">
            <v>232082</v>
          </cell>
          <cell r="C474" t="str">
            <v>Working Capital</v>
          </cell>
          <cell r="D474" t="str">
            <v>PAYROLL DEDUCTIONS - GAS AND ELECTRIC</v>
          </cell>
          <cell r="E474" t="str">
            <v/>
          </cell>
          <cell r="F474" t="str">
            <v/>
          </cell>
          <cell r="G474" t="str">
            <v/>
          </cell>
          <cell r="H474" t="str">
            <v/>
          </cell>
          <cell r="I474">
            <v>232082</v>
          </cell>
          <cell r="J474" t="str">
            <v/>
          </cell>
          <cell r="K474" t="str">
            <v/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</row>
        <row r="475">
          <cell r="B475">
            <v>232083</v>
          </cell>
          <cell r="C475" t="str">
            <v>Working Capital</v>
          </cell>
          <cell r="D475" t="str">
            <v>PAYROLL DEDUCTIONS - CHILD SUPPORT</v>
          </cell>
          <cell r="E475" t="str">
            <v/>
          </cell>
          <cell r="F475" t="str">
            <v/>
          </cell>
          <cell r="G475" t="str">
            <v/>
          </cell>
          <cell r="H475" t="str">
            <v/>
          </cell>
          <cell r="I475">
            <v>232083</v>
          </cell>
          <cell r="J475" t="str">
            <v/>
          </cell>
          <cell r="K475" t="str">
            <v/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</row>
        <row r="476">
          <cell r="B476">
            <v>232085</v>
          </cell>
          <cell r="C476" t="str">
            <v>Working Capital</v>
          </cell>
          <cell r="D476" t="str">
            <v>PAYROLL DEDUCTIONS - STATE LEVY</v>
          </cell>
          <cell r="E476" t="str">
            <v/>
          </cell>
          <cell r="F476" t="str">
            <v/>
          </cell>
          <cell r="G476" t="str">
            <v/>
          </cell>
          <cell r="H476" t="str">
            <v/>
          </cell>
          <cell r="I476">
            <v>232085</v>
          </cell>
          <cell r="J476" t="str">
            <v/>
          </cell>
          <cell r="K476" t="str">
            <v/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</row>
        <row r="477">
          <cell r="B477">
            <v>232087</v>
          </cell>
          <cell r="C477" t="str">
            <v>Working Capital</v>
          </cell>
          <cell r="D477" t="str">
            <v>PAYROLL DEDUCT-NON-UNION LONG TERM DISABILITY</v>
          </cell>
          <cell r="E477" t="str">
            <v/>
          </cell>
          <cell r="F477" t="str">
            <v/>
          </cell>
          <cell r="G477" t="str">
            <v/>
          </cell>
          <cell r="H477" t="str">
            <v/>
          </cell>
          <cell r="I477">
            <v>232087</v>
          </cell>
          <cell r="J477" t="str">
            <v/>
          </cell>
          <cell r="K477" t="str">
            <v/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</row>
        <row r="478">
          <cell r="B478">
            <v>232088</v>
          </cell>
          <cell r="C478" t="str">
            <v>Working Capital</v>
          </cell>
          <cell r="D478" t="str">
            <v>PAYROLL DEDUCT-UNION DUES &amp; FEES</v>
          </cell>
          <cell r="E478" t="str">
            <v/>
          </cell>
          <cell r="F478" t="str">
            <v/>
          </cell>
          <cell r="G478" t="str">
            <v/>
          </cell>
          <cell r="H478" t="str">
            <v/>
          </cell>
          <cell r="I478">
            <v>232088</v>
          </cell>
          <cell r="J478" t="str">
            <v/>
          </cell>
          <cell r="K478" t="str">
            <v/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</row>
        <row r="479">
          <cell r="B479">
            <v>232090</v>
          </cell>
          <cell r="C479" t="str">
            <v>Working Capital</v>
          </cell>
          <cell r="D479" t="str">
            <v>PAYROLL DEDUCTIONS - FINANCIAL PLANNING</v>
          </cell>
          <cell r="E479" t="str">
            <v/>
          </cell>
          <cell r="F479" t="str">
            <v/>
          </cell>
          <cell r="G479" t="str">
            <v/>
          </cell>
          <cell r="H479" t="str">
            <v/>
          </cell>
          <cell r="I479">
            <v>232090</v>
          </cell>
          <cell r="J479" t="str">
            <v/>
          </cell>
          <cell r="K479" t="str">
            <v/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</row>
        <row r="480">
          <cell r="B480">
            <v>232100</v>
          </cell>
          <cell r="C480" t="str">
            <v>Working Capital</v>
          </cell>
          <cell r="D480" t="str">
            <v>PAYROLL DEDUCTIONS - PARKING</v>
          </cell>
          <cell r="E480" t="str">
            <v/>
          </cell>
          <cell r="F480" t="str">
            <v/>
          </cell>
          <cell r="G480" t="str">
            <v/>
          </cell>
          <cell r="H480" t="str">
            <v/>
          </cell>
          <cell r="I480">
            <v>232100</v>
          </cell>
          <cell r="J480" t="str">
            <v/>
          </cell>
          <cell r="K480" t="str">
            <v/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</row>
        <row r="481">
          <cell r="B481">
            <v>232101</v>
          </cell>
          <cell r="C481" t="str">
            <v>Working Capital</v>
          </cell>
          <cell r="D481" t="str">
            <v>PAYROLL DEDUCTIONS - UNIFORM - GENERAL MAINTENANC</v>
          </cell>
          <cell r="E481" t="str">
            <v/>
          </cell>
          <cell r="F481" t="str">
            <v/>
          </cell>
          <cell r="G481" t="str">
            <v/>
          </cell>
          <cell r="H481" t="str">
            <v/>
          </cell>
          <cell r="I481">
            <v>232101</v>
          </cell>
          <cell r="J481" t="str">
            <v/>
          </cell>
          <cell r="K481" t="str">
            <v/>
          </cell>
          <cell r="L481">
            <v>-0.40248</v>
          </cell>
          <cell r="M481">
            <v>-0.43343999999999999</v>
          </cell>
          <cell r="N481">
            <v>-6.1920000000000003E-2</v>
          </cell>
          <cell r="O481">
            <v>-9.2880000000000004E-2</v>
          </cell>
          <cell r="P481">
            <v>-0.13158</v>
          </cell>
          <cell r="Q481">
            <v>-0.16253999999999999</v>
          </cell>
          <cell r="R481">
            <v>-0.19350000000000001</v>
          </cell>
          <cell r="S481">
            <v>-0.23219999999999999</v>
          </cell>
          <cell r="T481">
            <v>-0.26316000000000001</v>
          </cell>
          <cell r="U481">
            <v>-0.30186000000000002</v>
          </cell>
          <cell r="V481">
            <v>-0.33282</v>
          </cell>
          <cell r="W481">
            <v>-0.36377999999999999</v>
          </cell>
          <cell r="X481">
            <v>-0.40248</v>
          </cell>
          <cell r="Y481">
            <v>-0.24768000000000001</v>
          </cell>
        </row>
        <row r="482">
          <cell r="B482">
            <v>232102</v>
          </cell>
          <cell r="C482" t="str">
            <v>Working Capital</v>
          </cell>
          <cell r="D482" t="str">
            <v>PAYROLL DEDUCTIONS - UNIFORM - TRANSPORTATION</v>
          </cell>
          <cell r="E482" t="str">
            <v/>
          </cell>
          <cell r="F482" t="str">
            <v/>
          </cell>
          <cell r="G482" t="str">
            <v/>
          </cell>
          <cell r="H482" t="str">
            <v/>
          </cell>
          <cell r="I482">
            <v>232102</v>
          </cell>
          <cell r="J482" t="str">
            <v/>
          </cell>
          <cell r="K482" t="str">
            <v/>
          </cell>
          <cell r="L482">
            <v>-1.3036399999999999</v>
          </cell>
          <cell r="M482">
            <v>-1.4039200000000001</v>
          </cell>
          <cell r="N482">
            <v>-0.20055999999999999</v>
          </cell>
          <cell r="O482">
            <v>-0.30084</v>
          </cell>
          <cell r="P482">
            <v>-0.42619000000000001</v>
          </cell>
          <cell r="Q482">
            <v>-0.52646999999999999</v>
          </cell>
          <cell r="R482">
            <v>-0.62675000000000003</v>
          </cell>
          <cell r="S482">
            <v>-0.75209999999999999</v>
          </cell>
          <cell r="T482">
            <v>-0.85238000000000003</v>
          </cell>
          <cell r="U482">
            <v>-0.97772999999999999</v>
          </cell>
          <cell r="V482">
            <v>-0.85526000000000002</v>
          </cell>
          <cell r="W482">
            <v>-0.93574000000000002</v>
          </cell>
          <cell r="X482">
            <v>-1.03634</v>
          </cell>
          <cell r="Y482">
            <v>-0.752328</v>
          </cell>
        </row>
        <row r="483">
          <cell r="B483">
            <v>232104</v>
          </cell>
          <cell r="C483" t="str">
            <v>Working Capital</v>
          </cell>
          <cell r="D483" t="str">
            <v>PAYROLL DEDUCTIONS - TUITION PAYBACK</v>
          </cell>
          <cell r="E483" t="str">
            <v/>
          </cell>
          <cell r="F483" t="str">
            <v/>
          </cell>
          <cell r="G483" t="str">
            <v/>
          </cell>
          <cell r="H483" t="str">
            <v/>
          </cell>
          <cell r="I483">
            <v>232104</v>
          </cell>
          <cell r="J483" t="str">
            <v/>
          </cell>
          <cell r="K483" t="str">
            <v/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</row>
        <row r="484">
          <cell r="B484">
            <v>232110</v>
          </cell>
          <cell r="C484" t="str">
            <v>Working Capital</v>
          </cell>
          <cell r="D484" t="str">
            <v>PAYROLL DEDUCTIONS - PENSION HEALTHCARE</v>
          </cell>
          <cell r="E484" t="str">
            <v/>
          </cell>
          <cell r="F484" t="str">
            <v/>
          </cell>
          <cell r="G484" t="str">
            <v/>
          </cell>
          <cell r="H484" t="str">
            <v/>
          </cell>
          <cell r="I484">
            <v>232110</v>
          </cell>
          <cell r="J484" t="str">
            <v/>
          </cell>
          <cell r="K484" t="str">
            <v/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</row>
        <row r="485">
          <cell r="B485">
            <v>232115</v>
          </cell>
          <cell r="C485" t="str">
            <v>Working Capital</v>
          </cell>
          <cell r="D485" t="str">
            <v>PAYROLL DEDUCTIONS-401K/PSOP EMPLOYER CONTRIBUTIO</v>
          </cell>
          <cell r="E485" t="str">
            <v/>
          </cell>
          <cell r="F485" t="str">
            <v/>
          </cell>
          <cell r="G485" t="str">
            <v/>
          </cell>
          <cell r="H485" t="str">
            <v/>
          </cell>
          <cell r="I485">
            <v>232115</v>
          </cell>
          <cell r="J485" t="str">
            <v/>
          </cell>
          <cell r="K485" t="str">
            <v/>
          </cell>
          <cell r="L485">
            <v>0.18364</v>
          </cell>
          <cell r="M485">
            <v>0.18364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2.2955E-2</v>
          </cell>
        </row>
        <row r="486">
          <cell r="B486">
            <v>232120</v>
          </cell>
          <cell r="C486" t="str">
            <v>Working Capital</v>
          </cell>
          <cell r="D486" t="str">
            <v>PAYROLL DEDUCTIONS - SAVINGS PLUS PLAN (401K)</v>
          </cell>
          <cell r="E486" t="str">
            <v/>
          </cell>
          <cell r="F486" t="str">
            <v/>
          </cell>
          <cell r="G486" t="str">
            <v/>
          </cell>
          <cell r="H486" t="str">
            <v/>
          </cell>
          <cell r="I486">
            <v>232120</v>
          </cell>
          <cell r="J486" t="str">
            <v/>
          </cell>
          <cell r="K486" t="str">
            <v/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</row>
        <row r="487">
          <cell r="B487">
            <v>232130</v>
          </cell>
          <cell r="C487" t="str">
            <v>Working Capital</v>
          </cell>
          <cell r="D487" t="str">
            <v>PAYROLL DEDUCTIONS - FLEXCARE PLAN</v>
          </cell>
          <cell r="E487" t="str">
            <v/>
          </cell>
          <cell r="F487" t="str">
            <v/>
          </cell>
          <cell r="G487" t="str">
            <v/>
          </cell>
          <cell r="H487" t="str">
            <v/>
          </cell>
          <cell r="I487">
            <v>232130</v>
          </cell>
          <cell r="J487" t="str">
            <v/>
          </cell>
          <cell r="K487" t="str">
            <v/>
          </cell>
          <cell r="L487">
            <v>-62.298160000000003</v>
          </cell>
          <cell r="M487">
            <v>-63.131250000000001</v>
          </cell>
          <cell r="N487">
            <v>-47.353909999999999</v>
          </cell>
          <cell r="O487">
            <v>-37.11889</v>
          </cell>
          <cell r="P487">
            <v>-30.760960000000001</v>
          </cell>
          <cell r="Q487">
            <v>-33.220939999999999</v>
          </cell>
          <cell r="R487">
            <v>-44.03519</v>
          </cell>
          <cell r="S487">
            <v>-42.825859999999999</v>
          </cell>
          <cell r="T487">
            <v>-31.567049999999998</v>
          </cell>
          <cell r="U487">
            <v>-59.711820000000003</v>
          </cell>
          <cell r="V487">
            <v>-65.480500000000006</v>
          </cell>
          <cell r="W487">
            <v>-73.630160000000004</v>
          </cell>
          <cell r="X487">
            <v>-78.388779999999997</v>
          </cell>
          <cell r="Y487">
            <v>-49.931666999999997</v>
          </cell>
        </row>
        <row r="488">
          <cell r="B488">
            <v>232140</v>
          </cell>
          <cell r="C488" t="str">
            <v>Working Capital</v>
          </cell>
          <cell r="D488" t="str">
            <v>PAYROLL DEDUCTIONS -SAVINGS PLUS PLAN LOANS (401K</v>
          </cell>
          <cell r="E488" t="str">
            <v/>
          </cell>
          <cell r="F488" t="str">
            <v/>
          </cell>
          <cell r="G488" t="str">
            <v/>
          </cell>
          <cell r="H488" t="str">
            <v/>
          </cell>
          <cell r="I488">
            <v>232140</v>
          </cell>
          <cell r="J488" t="str">
            <v/>
          </cell>
          <cell r="K488" t="str">
            <v/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</row>
        <row r="489">
          <cell r="B489">
            <v>232160</v>
          </cell>
          <cell r="C489" t="str">
            <v>Working Capital</v>
          </cell>
          <cell r="D489" t="str">
            <v>PAYROLL DEDUCTIONS - FLEX DENTAL</v>
          </cell>
          <cell r="E489" t="str">
            <v/>
          </cell>
          <cell r="F489" t="str">
            <v/>
          </cell>
          <cell r="G489" t="str">
            <v/>
          </cell>
          <cell r="H489" t="str">
            <v/>
          </cell>
          <cell r="I489">
            <v>232160</v>
          </cell>
          <cell r="J489" t="str">
            <v/>
          </cell>
          <cell r="K489" t="str">
            <v/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</row>
        <row r="490">
          <cell r="B490">
            <v>232170</v>
          </cell>
          <cell r="C490" t="str">
            <v>Working Capital</v>
          </cell>
          <cell r="D490" t="str">
            <v>PAYROLL DEDUCTIONS - FLEX VISION</v>
          </cell>
          <cell r="E490" t="str">
            <v/>
          </cell>
          <cell r="F490" t="str">
            <v/>
          </cell>
          <cell r="G490" t="str">
            <v/>
          </cell>
          <cell r="H490" t="str">
            <v/>
          </cell>
          <cell r="I490">
            <v>232170</v>
          </cell>
          <cell r="J490" t="str">
            <v/>
          </cell>
          <cell r="K490" t="str">
            <v/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</row>
        <row r="491">
          <cell r="B491">
            <v>232180</v>
          </cell>
          <cell r="C491" t="str">
            <v>Working Capital</v>
          </cell>
          <cell r="D491" t="str">
            <v>PAYROLL DEDUCTIONS - FLEX HEALTH</v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  <cell r="I491">
            <v>232180</v>
          </cell>
          <cell r="J491" t="str">
            <v/>
          </cell>
          <cell r="K491" t="str">
            <v/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</row>
        <row r="492">
          <cell r="B492">
            <v>232190</v>
          </cell>
          <cell r="C492" t="str">
            <v>Working Capital</v>
          </cell>
          <cell r="D492" t="str">
            <v>PAYROLL DEDUCTIONS - ORDINARY LIFE INSURANCE</v>
          </cell>
          <cell r="E492" t="str">
            <v/>
          </cell>
          <cell r="F492" t="str">
            <v/>
          </cell>
          <cell r="G492" t="str">
            <v/>
          </cell>
          <cell r="H492" t="str">
            <v/>
          </cell>
          <cell r="I492">
            <v>232190</v>
          </cell>
          <cell r="J492" t="str">
            <v/>
          </cell>
          <cell r="K492" t="str">
            <v/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</row>
        <row r="493">
          <cell r="B493">
            <v>232191</v>
          </cell>
          <cell r="C493" t="str">
            <v>Working Capital</v>
          </cell>
          <cell r="D493" t="str">
            <v>PAYROLL DEDUCTIONS - OPTIONAL  LIFE INSURANCE</v>
          </cell>
          <cell r="E493" t="str">
            <v/>
          </cell>
          <cell r="F493" t="str">
            <v/>
          </cell>
          <cell r="G493" t="str">
            <v/>
          </cell>
          <cell r="H493" t="str">
            <v/>
          </cell>
          <cell r="I493">
            <v>232191</v>
          </cell>
          <cell r="J493" t="str">
            <v/>
          </cell>
          <cell r="K493" t="str">
            <v/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</row>
        <row r="494">
          <cell r="B494">
            <v>232192</v>
          </cell>
          <cell r="C494" t="str">
            <v>Working Capital</v>
          </cell>
          <cell r="D494" t="str">
            <v>PAYROLL DEDUCTIONS - DEPENDEND LIFE INS - SPOUSE</v>
          </cell>
          <cell r="E494" t="str">
            <v/>
          </cell>
          <cell r="F494" t="str">
            <v/>
          </cell>
          <cell r="G494" t="str">
            <v/>
          </cell>
          <cell r="H494" t="str">
            <v/>
          </cell>
          <cell r="I494">
            <v>232192</v>
          </cell>
          <cell r="J494" t="str">
            <v/>
          </cell>
          <cell r="K494" t="str">
            <v/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</row>
        <row r="495">
          <cell r="B495">
            <v>232193</v>
          </cell>
          <cell r="C495" t="str">
            <v>Working Capital</v>
          </cell>
          <cell r="D495" t="str">
            <v>PAYROLL DEDUCTIONS - DEPENDEND LIFE INS - CHILD</v>
          </cell>
          <cell r="E495" t="str">
            <v/>
          </cell>
          <cell r="F495" t="str">
            <v/>
          </cell>
          <cell r="G495" t="str">
            <v/>
          </cell>
          <cell r="H495" t="str">
            <v/>
          </cell>
          <cell r="I495">
            <v>232193</v>
          </cell>
          <cell r="J495" t="str">
            <v/>
          </cell>
          <cell r="K495" t="str">
            <v/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</row>
        <row r="496">
          <cell r="B496">
            <v>232197</v>
          </cell>
          <cell r="C496" t="str">
            <v>Working Capital</v>
          </cell>
          <cell r="D496" t="str">
            <v>PAYROLL DEDUCT-EMPLOYEE STK PURCHASE PLAN</v>
          </cell>
          <cell r="E496" t="str">
            <v/>
          </cell>
          <cell r="F496" t="str">
            <v/>
          </cell>
          <cell r="G496" t="str">
            <v/>
          </cell>
          <cell r="H496" t="str">
            <v/>
          </cell>
          <cell r="I496">
            <v>232197</v>
          </cell>
          <cell r="J496" t="str">
            <v/>
          </cell>
          <cell r="K496" t="str">
            <v/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</row>
        <row r="497">
          <cell r="B497">
            <v>232199</v>
          </cell>
          <cell r="C497" t="str">
            <v>Working Capital</v>
          </cell>
          <cell r="D497" t="str">
            <v>PAYROLL DEDUCT-VACATION BUY</v>
          </cell>
          <cell r="E497" t="str">
            <v/>
          </cell>
          <cell r="F497" t="str">
            <v/>
          </cell>
          <cell r="G497" t="str">
            <v/>
          </cell>
          <cell r="H497" t="str">
            <v/>
          </cell>
          <cell r="I497">
            <v>232199</v>
          </cell>
          <cell r="J497" t="str">
            <v/>
          </cell>
          <cell r="K497" t="str">
            <v/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</row>
        <row r="498">
          <cell r="B498">
            <v>232200</v>
          </cell>
          <cell r="C498" t="str">
            <v>Working Capital</v>
          </cell>
          <cell r="D498" t="str">
            <v>DIV  &amp; FRACT INT - TRUSTEE-NON NYS RESIDENTS</v>
          </cell>
          <cell r="E498" t="str">
            <v/>
          </cell>
          <cell r="F498" t="str">
            <v/>
          </cell>
          <cell r="G498" t="str">
            <v/>
          </cell>
          <cell r="H498" t="str">
            <v/>
          </cell>
          <cell r="I498">
            <v>232200</v>
          </cell>
          <cell r="J498" t="str">
            <v/>
          </cell>
          <cell r="K498" t="str">
            <v/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</row>
        <row r="499">
          <cell r="B499">
            <v>232210</v>
          </cell>
          <cell r="C499" t="str">
            <v>Working Capital</v>
          </cell>
          <cell r="D499" t="str">
            <v>PAYROLL DEDUCTIONS - OTHER HEALTH (DP)</v>
          </cell>
          <cell r="E499" t="str">
            <v/>
          </cell>
          <cell r="F499" t="str">
            <v/>
          </cell>
          <cell r="G499" t="str">
            <v/>
          </cell>
          <cell r="H499" t="str">
            <v/>
          </cell>
          <cell r="I499">
            <v>232210</v>
          </cell>
          <cell r="J499" t="str">
            <v/>
          </cell>
          <cell r="K499" t="str">
            <v/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</row>
        <row r="500">
          <cell r="B500">
            <v>232211</v>
          </cell>
          <cell r="C500" t="str">
            <v>Working Capital</v>
          </cell>
          <cell r="D500" t="str">
            <v>PAYROLL DEDUCTIONS - LONG TERM CARE</v>
          </cell>
          <cell r="E500" t="str">
            <v/>
          </cell>
          <cell r="F500" t="str">
            <v/>
          </cell>
          <cell r="G500" t="str">
            <v/>
          </cell>
          <cell r="H500" t="str">
            <v/>
          </cell>
          <cell r="I500">
            <v>232211</v>
          </cell>
          <cell r="J500" t="str">
            <v/>
          </cell>
          <cell r="K500" t="str">
            <v/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</row>
        <row r="501">
          <cell r="B501">
            <v>232212</v>
          </cell>
          <cell r="C501" t="str">
            <v>Working Capital</v>
          </cell>
          <cell r="D501" t="str">
            <v>PAYROLL DEDUCTIONS-DEFERRED COMPENSATION-PUTNAM</v>
          </cell>
          <cell r="E501" t="str">
            <v/>
          </cell>
          <cell r="F501" t="str">
            <v/>
          </cell>
          <cell r="G501" t="str">
            <v/>
          </cell>
          <cell r="H501" t="str">
            <v/>
          </cell>
          <cell r="I501">
            <v>232212</v>
          </cell>
          <cell r="J501" t="str">
            <v/>
          </cell>
          <cell r="K501" t="str">
            <v/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</row>
        <row r="502">
          <cell r="B502">
            <v>232220</v>
          </cell>
          <cell r="C502" t="str">
            <v>Working Capital</v>
          </cell>
          <cell r="D502" t="str">
            <v>RED CROSS/COMMUNITY HEATING FUND</v>
          </cell>
          <cell r="E502" t="str">
            <v/>
          </cell>
          <cell r="F502" t="str">
            <v/>
          </cell>
          <cell r="G502" t="str">
            <v/>
          </cell>
          <cell r="H502" t="str">
            <v/>
          </cell>
          <cell r="I502">
            <v>232220</v>
          </cell>
          <cell r="J502" t="str">
            <v/>
          </cell>
          <cell r="K502" t="str">
            <v/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</row>
        <row r="503">
          <cell r="B503">
            <v>232240</v>
          </cell>
          <cell r="C503" t="str">
            <v>Not in RTBS</v>
          </cell>
          <cell r="D503" t="str">
            <v>SERP RESTORATION PLAN</v>
          </cell>
          <cell r="E503" t="str">
            <v/>
          </cell>
          <cell r="F503" t="str">
            <v/>
          </cell>
          <cell r="G503" t="str">
            <v/>
          </cell>
          <cell r="H503" t="str">
            <v/>
          </cell>
          <cell r="I503" t="str">
            <v/>
          </cell>
          <cell r="J503">
            <v>232240</v>
          </cell>
          <cell r="K503" t="str">
            <v/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</row>
        <row r="504">
          <cell r="B504">
            <v>232260</v>
          </cell>
          <cell r="C504" t="str">
            <v>Working Capital</v>
          </cell>
          <cell r="D504" t="str">
            <v>ACCOUNTS PAYABLE - PAYROLL CLEARING</v>
          </cell>
          <cell r="E504" t="str">
            <v/>
          </cell>
          <cell r="F504" t="str">
            <v/>
          </cell>
          <cell r="G504" t="str">
            <v/>
          </cell>
          <cell r="H504" t="str">
            <v/>
          </cell>
          <cell r="I504">
            <v>232260</v>
          </cell>
          <cell r="J504" t="str">
            <v/>
          </cell>
          <cell r="K504" t="str">
            <v/>
          </cell>
          <cell r="L504">
            <v>0</v>
          </cell>
          <cell r="M504">
            <v>0</v>
          </cell>
          <cell r="N504">
            <v>-1.2912300000000001</v>
          </cell>
          <cell r="O504">
            <v>-1.2912300000000001</v>
          </cell>
          <cell r="P504">
            <v>-1.2912300000000001</v>
          </cell>
          <cell r="Q504">
            <v>-0.45201000000000002</v>
          </cell>
          <cell r="R504">
            <v>9.9022500000000004</v>
          </cell>
          <cell r="S504">
            <v>11.21871</v>
          </cell>
          <cell r="T504">
            <v>10.90225</v>
          </cell>
          <cell r="U504">
            <v>17.52148</v>
          </cell>
          <cell r="V504">
            <v>45.839219999999997</v>
          </cell>
          <cell r="W504">
            <v>-3.2415600000000002</v>
          </cell>
          <cell r="X504">
            <v>-4.3303599999999998</v>
          </cell>
          <cell r="Y504">
            <v>7.1376229999999996</v>
          </cell>
        </row>
        <row r="505">
          <cell r="B505">
            <v>232270</v>
          </cell>
          <cell r="C505" t="str">
            <v>Working Capital</v>
          </cell>
          <cell r="D505" t="str">
            <v>A/P-PAYMENT REQUEST CLEARING</v>
          </cell>
          <cell r="E505" t="str">
            <v/>
          </cell>
          <cell r="F505" t="str">
            <v/>
          </cell>
          <cell r="G505" t="str">
            <v/>
          </cell>
          <cell r="H505" t="str">
            <v/>
          </cell>
          <cell r="I505">
            <v>232270</v>
          </cell>
          <cell r="J505" t="str">
            <v/>
          </cell>
          <cell r="K505" t="str">
            <v/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-181.68404000000001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2009.74495</v>
          </cell>
          <cell r="X505">
            <v>-143.75</v>
          </cell>
          <cell r="Y505">
            <v>146.348826</v>
          </cell>
        </row>
        <row r="506">
          <cell r="B506">
            <v>232310</v>
          </cell>
          <cell r="C506" t="str">
            <v>Working Capital</v>
          </cell>
          <cell r="D506" t="str">
            <v>COAL/ FREIGHT/ DEMURRAGE</v>
          </cell>
          <cell r="E506" t="str">
            <v/>
          </cell>
          <cell r="F506" t="str">
            <v/>
          </cell>
          <cell r="G506" t="str">
            <v/>
          </cell>
          <cell r="H506" t="str">
            <v/>
          </cell>
          <cell r="I506">
            <v>232310</v>
          </cell>
          <cell r="J506" t="str">
            <v/>
          </cell>
          <cell r="K506" t="str">
            <v/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</row>
        <row r="507">
          <cell r="B507">
            <v>232315</v>
          </cell>
          <cell r="C507" t="str">
            <v>Working Capital</v>
          </cell>
          <cell r="D507" t="str">
            <v>COAL IN TRANSIT</v>
          </cell>
          <cell r="E507" t="str">
            <v/>
          </cell>
          <cell r="F507" t="str">
            <v/>
          </cell>
          <cell r="G507" t="str">
            <v/>
          </cell>
          <cell r="H507" t="str">
            <v/>
          </cell>
          <cell r="I507">
            <v>232315</v>
          </cell>
          <cell r="J507" t="str">
            <v/>
          </cell>
          <cell r="K507" t="str">
            <v/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</row>
        <row r="508">
          <cell r="B508">
            <v>232410</v>
          </cell>
          <cell r="C508" t="str">
            <v>Working Capital</v>
          </cell>
          <cell r="D508" t="str">
            <v>NUCLEAR WASTE DISPOSAL - DOE</v>
          </cell>
          <cell r="E508" t="str">
            <v/>
          </cell>
          <cell r="F508" t="str">
            <v/>
          </cell>
          <cell r="G508" t="str">
            <v/>
          </cell>
          <cell r="H508" t="str">
            <v/>
          </cell>
          <cell r="I508">
            <v>232410</v>
          </cell>
          <cell r="J508" t="str">
            <v/>
          </cell>
          <cell r="K508" t="str">
            <v/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</row>
        <row r="509">
          <cell r="B509">
            <v>232500</v>
          </cell>
          <cell r="C509" t="str">
            <v>Working Capital</v>
          </cell>
          <cell r="D509" t="str">
            <v>A/P-PAC FEDERAL</v>
          </cell>
          <cell r="E509" t="str">
            <v/>
          </cell>
          <cell r="F509" t="str">
            <v/>
          </cell>
          <cell r="G509" t="str">
            <v/>
          </cell>
          <cell r="H509" t="str">
            <v/>
          </cell>
          <cell r="I509">
            <v>232500</v>
          </cell>
          <cell r="J509" t="str">
            <v/>
          </cell>
          <cell r="K509" t="str">
            <v/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</row>
        <row r="510">
          <cell r="B510">
            <v>232507</v>
          </cell>
          <cell r="C510" t="str">
            <v>Working Capital</v>
          </cell>
          <cell r="D510" t="str">
            <v>A/P-SUPPLIER ISO REIMBURSEMENT LIABILITIES</v>
          </cell>
          <cell r="E510" t="str">
            <v/>
          </cell>
          <cell r="F510" t="str">
            <v/>
          </cell>
          <cell r="G510" t="str">
            <v/>
          </cell>
          <cell r="H510" t="str">
            <v/>
          </cell>
          <cell r="I510">
            <v>232507</v>
          </cell>
          <cell r="J510" t="str">
            <v/>
          </cell>
          <cell r="K510" t="str">
            <v/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</row>
        <row r="511">
          <cell r="B511">
            <v>232509</v>
          </cell>
          <cell r="C511" t="str">
            <v>Working Capital</v>
          </cell>
          <cell r="D511" t="str">
            <v>A/P-RETENTIONS-CONTRACTS</v>
          </cell>
          <cell r="E511" t="str">
            <v/>
          </cell>
          <cell r="F511" t="str">
            <v/>
          </cell>
          <cell r="G511" t="str">
            <v/>
          </cell>
          <cell r="H511" t="str">
            <v/>
          </cell>
          <cell r="I511">
            <v>232509</v>
          </cell>
          <cell r="J511" t="str">
            <v/>
          </cell>
          <cell r="K511" t="str">
            <v/>
          </cell>
          <cell r="L511">
            <v>-48.875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-2.0364580000000001</v>
          </cell>
        </row>
        <row r="512">
          <cell r="B512">
            <v>232515</v>
          </cell>
          <cell r="C512" t="str">
            <v>Working Capital</v>
          </cell>
          <cell r="D512" t="str">
            <v>A/P-WHOLESALE PURCHASED GAS</v>
          </cell>
          <cell r="E512" t="str">
            <v/>
          </cell>
          <cell r="F512" t="str">
            <v/>
          </cell>
          <cell r="G512" t="str">
            <v/>
          </cell>
          <cell r="H512" t="str">
            <v/>
          </cell>
          <cell r="I512">
            <v>232515</v>
          </cell>
          <cell r="J512" t="str">
            <v/>
          </cell>
          <cell r="K512" t="str">
            <v/>
          </cell>
          <cell r="L512">
            <v>-1378.4434200000001</v>
          </cell>
          <cell r="M512">
            <v>-284.09003999999999</v>
          </cell>
          <cell r="N512">
            <v>-213.15505999999999</v>
          </cell>
          <cell r="O512">
            <v>-298.35225000000003</v>
          </cell>
          <cell r="P512">
            <v>0</v>
          </cell>
          <cell r="Q512">
            <v>-406.25554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-16.234909999999999</v>
          </cell>
          <cell r="X512">
            <v>0</v>
          </cell>
          <cell r="Y512">
            <v>-158.94245900000001</v>
          </cell>
        </row>
        <row r="513">
          <cell r="B513">
            <v>232970</v>
          </cell>
          <cell r="C513" t="str">
            <v>Working Capital</v>
          </cell>
          <cell r="D513" t="str">
            <v>A/P-GR/IR-GGOODS RECEIPTS / INVOICE RECEIPTS</v>
          </cell>
          <cell r="E513">
            <v>0</v>
          </cell>
          <cell r="I513">
            <v>232970</v>
          </cell>
        </row>
        <row r="514">
          <cell r="B514">
            <v>234030</v>
          </cell>
          <cell r="C514" t="str">
            <v>Not in RTBS</v>
          </cell>
          <cell r="D514" t="str">
            <v>I/C DUE TO NYSEG</v>
          </cell>
          <cell r="E514" t="str">
            <v/>
          </cell>
          <cell r="F514" t="str">
            <v/>
          </cell>
          <cell r="G514" t="str">
            <v/>
          </cell>
          <cell r="H514" t="str">
            <v/>
          </cell>
          <cell r="I514" t="str">
            <v/>
          </cell>
          <cell r="J514">
            <v>234030</v>
          </cell>
          <cell r="K514" t="str">
            <v/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</row>
        <row r="515">
          <cell r="B515">
            <v>234050</v>
          </cell>
          <cell r="C515" t="str">
            <v>Not in RTBS</v>
          </cell>
          <cell r="D515" t="str">
            <v>A/P FR AFFILIATE-MANUAL PURCHASE GAS / POWER</v>
          </cell>
          <cell r="E515" t="str">
            <v/>
          </cell>
          <cell r="F515" t="str">
            <v/>
          </cell>
          <cell r="G515" t="str">
            <v/>
          </cell>
          <cell r="H515" t="str">
            <v/>
          </cell>
          <cell r="I515" t="str">
            <v/>
          </cell>
          <cell r="J515">
            <v>234050</v>
          </cell>
          <cell r="K515" t="str">
            <v/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</row>
        <row r="516">
          <cell r="B516">
            <v>234060</v>
          </cell>
          <cell r="C516" t="str">
            <v>Not in RTBS</v>
          </cell>
          <cell r="D516" t="str">
            <v>A/P TO AFFILIATE-AUTOMATIC CLEARING</v>
          </cell>
          <cell r="E516" t="str">
            <v/>
          </cell>
          <cell r="F516" t="str">
            <v/>
          </cell>
          <cell r="G516" t="str">
            <v/>
          </cell>
          <cell r="H516" t="str">
            <v/>
          </cell>
          <cell r="I516" t="str">
            <v/>
          </cell>
          <cell r="J516">
            <v>234060</v>
          </cell>
          <cell r="K516" t="str">
            <v/>
          </cell>
          <cell r="L516">
            <v>-5894.0375000000004</v>
          </cell>
          <cell r="M516">
            <v>-3817.3554800000002</v>
          </cell>
          <cell r="N516">
            <v>-6749.8365299999996</v>
          </cell>
          <cell r="O516">
            <v>-7091.9144299999998</v>
          </cell>
          <cell r="P516">
            <v>-5261.8116200000004</v>
          </cell>
          <cell r="Q516">
            <v>-7311.0082400000001</v>
          </cell>
          <cell r="R516">
            <v>-4132.8497900000002</v>
          </cell>
          <cell r="S516">
            <v>-5874.2622099999999</v>
          </cell>
          <cell r="T516">
            <v>-6419.8778400000001</v>
          </cell>
          <cell r="U516">
            <v>-9094.9529600000005</v>
          </cell>
          <cell r="V516">
            <v>-5973.4680500000004</v>
          </cell>
          <cell r="W516">
            <v>-5407.3197399999999</v>
          </cell>
          <cell r="X516">
            <v>-13372.7322</v>
          </cell>
          <cell r="Y516">
            <v>-6397.3368119999996</v>
          </cell>
        </row>
        <row r="517">
          <cell r="B517">
            <v>234070</v>
          </cell>
          <cell r="C517" t="str">
            <v>Not in RTBS</v>
          </cell>
          <cell r="D517" t="str">
            <v>A/P TO AFFILIATE-VENDOR RECONCILIATION</v>
          </cell>
          <cell r="E517" t="str">
            <v/>
          </cell>
          <cell r="F517" t="str">
            <v/>
          </cell>
          <cell r="G517" t="str">
            <v/>
          </cell>
          <cell r="H517" t="str">
            <v/>
          </cell>
          <cell r="I517" t="str">
            <v/>
          </cell>
          <cell r="J517">
            <v>234070</v>
          </cell>
          <cell r="K517" t="str">
            <v/>
          </cell>
          <cell r="L517">
            <v>-3968.84024</v>
          </cell>
          <cell r="M517">
            <v>-5514.5922499999997</v>
          </cell>
          <cell r="N517">
            <v>-4522.0299299999997</v>
          </cell>
          <cell r="O517">
            <v>-3961.3572300000001</v>
          </cell>
          <cell r="P517">
            <v>-3386.6741699999998</v>
          </cell>
          <cell r="Q517">
            <v>-2692.5565799999999</v>
          </cell>
          <cell r="R517">
            <v>-2682.2521700000002</v>
          </cell>
          <cell r="S517">
            <v>-2892.6436800000001</v>
          </cell>
          <cell r="T517">
            <v>-2546.2816699999998</v>
          </cell>
          <cell r="U517">
            <v>-2517.56691</v>
          </cell>
          <cell r="V517">
            <v>-2366.4488000000001</v>
          </cell>
          <cell r="W517">
            <v>-2168.2094999999999</v>
          </cell>
          <cell r="X517">
            <v>-2730.7620999999999</v>
          </cell>
          <cell r="Y517">
            <v>-3216.701172</v>
          </cell>
        </row>
        <row r="518">
          <cell r="B518">
            <v>234440</v>
          </cell>
          <cell r="C518" t="str">
            <v>Not in RTBS</v>
          </cell>
          <cell r="D518" t="str">
            <v>I/C DUE TO ENERGETIX - FIT</v>
          </cell>
          <cell r="E518" t="str">
            <v/>
          </cell>
          <cell r="F518" t="str">
            <v/>
          </cell>
          <cell r="G518" t="str">
            <v/>
          </cell>
          <cell r="H518" t="str">
            <v/>
          </cell>
          <cell r="I518" t="str">
            <v/>
          </cell>
          <cell r="J518">
            <v>234440</v>
          </cell>
          <cell r="K518" t="str">
            <v/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</row>
        <row r="519">
          <cell r="B519">
            <v>234441</v>
          </cell>
          <cell r="C519" t="str">
            <v>Not in RTBS</v>
          </cell>
          <cell r="D519" t="str">
            <v>I/C DUE TO ENERGETIX - SIT</v>
          </cell>
          <cell r="E519" t="str">
            <v/>
          </cell>
          <cell r="F519" t="str">
            <v/>
          </cell>
          <cell r="G519" t="str">
            <v/>
          </cell>
          <cell r="H519" t="str">
            <v/>
          </cell>
          <cell r="I519" t="str">
            <v/>
          </cell>
          <cell r="J519">
            <v>234441</v>
          </cell>
          <cell r="K519" t="str">
            <v/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</row>
        <row r="520">
          <cell r="B520">
            <v>234460</v>
          </cell>
          <cell r="C520" t="str">
            <v>Not in RTBS</v>
          </cell>
          <cell r="D520" t="str">
            <v>I/C DUE TO GRIFFITH - FIT</v>
          </cell>
          <cell r="E520" t="str">
            <v/>
          </cell>
          <cell r="F520" t="str">
            <v/>
          </cell>
          <cell r="G520" t="str">
            <v/>
          </cell>
          <cell r="H520" t="str">
            <v/>
          </cell>
          <cell r="I520" t="str">
            <v/>
          </cell>
          <cell r="J520">
            <v>234460</v>
          </cell>
          <cell r="K520" t="str">
            <v/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</row>
        <row r="521">
          <cell r="B521">
            <v>234465</v>
          </cell>
          <cell r="C521" t="str">
            <v>Not in RTBS</v>
          </cell>
          <cell r="D521" t="str">
            <v>I/C DUE TO GRIFFITH - MISCELLENEOUS</v>
          </cell>
          <cell r="E521" t="str">
            <v/>
          </cell>
          <cell r="F521" t="str">
            <v/>
          </cell>
          <cell r="G521" t="str">
            <v/>
          </cell>
          <cell r="H521" t="str">
            <v/>
          </cell>
          <cell r="I521" t="str">
            <v/>
          </cell>
          <cell r="J521">
            <v>234465</v>
          </cell>
          <cell r="K521" t="str">
            <v/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</row>
        <row r="522">
          <cell r="B522">
            <v>234470</v>
          </cell>
          <cell r="C522" t="str">
            <v>Not in RTBS</v>
          </cell>
          <cell r="D522" t="str">
            <v>I/C DUE TO BURNWELL - FIT</v>
          </cell>
          <cell r="E522" t="str">
            <v/>
          </cell>
          <cell r="F522" t="str">
            <v/>
          </cell>
          <cell r="G522" t="str">
            <v/>
          </cell>
          <cell r="H522" t="str">
            <v/>
          </cell>
          <cell r="I522" t="str">
            <v/>
          </cell>
          <cell r="J522">
            <v>234470</v>
          </cell>
          <cell r="K522" t="str">
            <v/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</row>
        <row r="523">
          <cell r="B523">
            <v>234471</v>
          </cell>
          <cell r="C523" t="str">
            <v>Not in RTBS</v>
          </cell>
          <cell r="D523" t="str">
            <v>I/C DUE TO BURNWELL - SIT</v>
          </cell>
          <cell r="E523" t="str">
            <v/>
          </cell>
          <cell r="F523" t="str">
            <v/>
          </cell>
          <cell r="G523" t="str">
            <v/>
          </cell>
          <cell r="H523" t="str">
            <v/>
          </cell>
          <cell r="I523" t="str">
            <v/>
          </cell>
          <cell r="J523">
            <v>234471</v>
          </cell>
          <cell r="K523" t="str">
            <v/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</row>
        <row r="524">
          <cell r="B524">
            <v>234900</v>
          </cell>
          <cell r="C524" t="str">
            <v>Not in RTBS</v>
          </cell>
          <cell r="D524" t="str">
            <v>I/C DUE TO EEMC - SERVICES</v>
          </cell>
          <cell r="E524" t="str">
            <v/>
          </cell>
          <cell r="F524" t="str">
            <v/>
          </cell>
          <cell r="G524" t="str">
            <v/>
          </cell>
          <cell r="H524" t="str">
            <v/>
          </cell>
          <cell r="I524" t="str">
            <v/>
          </cell>
          <cell r="J524">
            <v>234900</v>
          </cell>
          <cell r="K524" t="str">
            <v/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</row>
        <row r="525">
          <cell r="B525">
            <v>234910</v>
          </cell>
          <cell r="C525" t="str">
            <v>Not in RTBS</v>
          </cell>
          <cell r="D525" t="str">
            <v>I/C DUE TO NYSEG - SERVICES</v>
          </cell>
          <cell r="E525" t="str">
            <v/>
          </cell>
          <cell r="F525" t="str">
            <v/>
          </cell>
          <cell r="G525" t="str">
            <v/>
          </cell>
          <cell r="H525" t="str">
            <v/>
          </cell>
          <cell r="I525" t="str">
            <v/>
          </cell>
          <cell r="J525">
            <v>234910</v>
          </cell>
          <cell r="K525" t="str">
            <v/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</row>
        <row r="526">
          <cell r="B526">
            <v>234920</v>
          </cell>
          <cell r="C526" t="str">
            <v>Not in RTBS</v>
          </cell>
          <cell r="D526" t="str">
            <v>I/C DUE TO ENERGETIX - SC5 IMBALANCE</v>
          </cell>
          <cell r="E526" t="str">
            <v/>
          </cell>
          <cell r="F526" t="str">
            <v/>
          </cell>
          <cell r="G526" t="str">
            <v/>
          </cell>
          <cell r="H526" t="str">
            <v/>
          </cell>
          <cell r="I526" t="str">
            <v/>
          </cell>
          <cell r="J526">
            <v>234920</v>
          </cell>
          <cell r="K526" t="str">
            <v/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</row>
        <row r="527">
          <cell r="B527">
            <v>235000</v>
          </cell>
          <cell r="C527" t="str">
            <v>CAP</v>
          </cell>
          <cell r="D527" t="str">
            <v>CUSTOMER DEPOSITS</v>
          </cell>
          <cell r="E527" t="str">
            <v/>
          </cell>
          <cell r="F527" t="str">
            <v/>
          </cell>
          <cell r="G527" t="str">
            <v/>
          </cell>
          <cell r="H527" t="str">
            <v/>
          </cell>
          <cell r="I527" t="str">
            <v/>
          </cell>
          <cell r="J527" t="str">
            <v/>
          </cell>
          <cell r="K527">
            <v>235000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</row>
        <row r="528">
          <cell r="B528">
            <v>235010</v>
          </cell>
          <cell r="C528" t="str">
            <v>CAP</v>
          </cell>
          <cell r="D528" t="str">
            <v>CUSTOMER DEPOSITS (CCS)</v>
          </cell>
          <cell r="E528" t="str">
            <v/>
          </cell>
          <cell r="F528" t="str">
            <v/>
          </cell>
          <cell r="G528" t="str">
            <v/>
          </cell>
          <cell r="H528" t="str">
            <v/>
          </cell>
          <cell r="I528" t="str">
            <v/>
          </cell>
          <cell r="J528" t="str">
            <v/>
          </cell>
          <cell r="K528">
            <v>235010</v>
          </cell>
          <cell r="L528">
            <v>-5993.0249400000002</v>
          </cell>
          <cell r="M528">
            <v>-5946.7681000000002</v>
          </cell>
          <cell r="N528">
            <v>-5919.0601500000002</v>
          </cell>
          <cell r="O528">
            <v>-5885.7217300000002</v>
          </cell>
          <cell r="P528">
            <v>-5877.4566000000004</v>
          </cell>
          <cell r="Q528">
            <v>-5872.2983599999998</v>
          </cell>
          <cell r="R528">
            <v>-5850.4803899999997</v>
          </cell>
          <cell r="S528">
            <v>-5838.2252600000002</v>
          </cell>
          <cell r="T528">
            <v>-5813.9966299999996</v>
          </cell>
          <cell r="U528">
            <v>-5843.0646399999996</v>
          </cell>
          <cell r="V528">
            <v>-5791.6942499999996</v>
          </cell>
          <cell r="W528">
            <v>-5746.7587000000003</v>
          </cell>
          <cell r="X528">
            <v>-5726.2141700000002</v>
          </cell>
          <cell r="Y528">
            <v>-5853.7620299999999</v>
          </cell>
        </row>
        <row r="529">
          <cell r="B529">
            <v>236005</v>
          </cell>
          <cell r="C529" t="str">
            <v>Working Capital</v>
          </cell>
          <cell r="D529" t="str">
            <v>TAXES ACCRUED</v>
          </cell>
          <cell r="E529" t="str">
            <v/>
          </cell>
          <cell r="F529" t="str">
            <v/>
          </cell>
          <cell r="G529" t="str">
            <v/>
          </cell>
          <cell r="H529" t="str">
            <v/>
          </cell>
          <cell r="I529">
            <v>236005</v>
          </cell>
          <cell r="J529" t="str">
            <v/>
          </cell>
          <cell r="K529" t="str">
            <v/>
          </cell>
          <cell r="L529">
            <v>4088</v>
          </cell>
          <cell r="M529">
            <v>4088</v>
          </cell>
          <cell r="N529">
            <v>4088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91</v>
          </cell>
          <cell r="V529">
            <v>91</v>
          </cell>
          <cell r="W529">
            <v>91</v>
          </cell>
          <cell r="X529">
            <v>92</v>
          </cell>
          <cell r="Y529">
            <v>878.25</v>
          </cell>
        </row>
        <row r="530">
          <cell r="B530">
            <v>236006</v>
          </cell>
          <cell r="C530" t="str">
            <v>Working Capital</v>
          </cell>
          <cell r="D530" t="str">
            <v>TAXES ACCRUED - RECLASS OLO</v>
          </cell>
          <cell r="E530" t="str">
            <v/>
          </cell>
          <cell r="F530" t="str">
            <v/>
          </cell>
          <cell r="G530" t="str">
            <v/>
          </cell>
          <cell r="H530" t="str">
            <v/>
          </cell>
          <cell r="I530">
            <v>236006</v>
          </cell>
          <cell r="J530" t="str">
            <v/>
          </cell>
          <cell r="K530" t="str">
            <v/>
          </cell>
          <cell r="L530">
            <v>-4088</v>
          </cell>
          <cell r="M530">
            <v>-4088</v>
          </cell>
          <cell r="N530">
            <v>-4088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-91</v>
          </cell>
          <cell r="V530">
            <v>-91</v>
          </cell>
          <cell r="W530">
            <v>-91</v>
          </cell>
          <cell r="X530">
            <v>-92</v>
          </cell>
          <cell r="Y530">
            <v>-878.25</v>
          </cell>
        </row>
        <row r="531">
          <cell r="B531">
            <v>236007</v>
          </cell>
          <cell r="C531" t="str">
            <v>Working Capital</v>
          </cell>
          <cell r="D531" t="str">
            <v>TAXES ACCRUED-ELEC-FERC FIN 48 - INTEREST</v>
          </cell>
          <cell r="E531" t="str">
            <v/>
          </cell>
          <cell r="F531" t="str">
            <v/>
          </cell>
          <cell r="G531" t="str">
            <v/>
          </cell>
          <cell r="H531" t="str">
            <v/>
          </cell>
          <cell r="I531">
            <v>236007</v>
          </cell>
          <cell r="J531" t="str">
            <v/>
          </cell>
          <cell r="K531" t="str">
            <v/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</row>
        <row r="532">
          <cell r="B532">
            <v>236008</v>
          </cell>
          <cell r="C532" t="str">
            <v>SFAS-109</v>
          </cell>
          <cell r="D532" t="str">
            <v>TAXES ACCRUED-GAS-FERC FIN 48 - INTEREST</v>
          </cell>
          <cell r="E532" t="str">
            <v/>
          </cell>
          <cell r="F532" t="str">
            <v/>
          </cell>
          <cell r="G532" t="str">
            <v/>
          </cell>
          <cell r="H532">
            <v>236008</v>
          </cell>
          <cell r="I532" t="str">
            <v/>
          </cell>
          <cell r="J532" t="str">
            <v/>
          </cell>
          <cell r="K532" t="str">
            <v/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</row>
        <row r="533">
          <cell r="B533">
            <v>236009</v>
          </cell>
          <cell r="C533" t="str">
            <v>SFAS-109</v>
          </cell>
          <cell r="D533" t="str">
            <v>TAXES ACCRUED-ELEC-FERC FIN 48 - DEFERRED</v>
          </cell>
          <cell r="E533" t="str">
            <v/>
          </cell>
          <cell r="F533" t="str">
            <v/>
          </cell>
          <cell r="G533" t="str">
            <v/>
          </cell>
          <cell r="H533">
            <v>236009</v>
          </cell>
          <cell r="I533" t="str">
            <v/>
          </cell>
          <cell r="J533" t="str">
            <v/>
          </cell>
          <cell r="K533" t="str">
            <v/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</row>
        <row r="534">
          <cell r="B534">
            <v>236010</v>
          </cell>
          <cell r="C534" t="str">
            <v>Working Capital</v>
          </cell>
          <cell r="D534" t="str">
            <v>TAXES ACCRUED - FEDERAL/NYS UNEMPLOYMENT INS</v>
          </cell>
          <cell r="E534" t="str">
            <v/>
          </cell>
          <cell r="F534" t="str">
            <v/>
          </cell>
          <cell r="G534" t="str">
            <v/>
          </cell>
          <cell r="H534" t="str">
            <v/>
          </cell>
          <cell r="I534">
            <v>236010</v>
          </cell>
          <cell r="J534" t="str">
            <v/>
          </cell>
          <cell r="K534" t="str">
            <v/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</row>
        <row r="535">
          <cell r="B535">
            <v>236020</v>
          </cell>
          <cell r="C535" t="str">
            <v>Working Capital</v>
          </cell>
          <cell r="D535" t="str">
            <v>TAXES ACCRUED - EMPLOYER SOCIAL SECURITY</v>
          </cell>
          <cell r="E535" t="str">
            <v/>
          </cell>
          <cell r="F535" t="str">
            <v/>
          </cell>
          <cell r="G535" t="str">
            <v/>
          </cell>
          <cell r="H535" t="str">
            <v/>
          </cell>
          <cell r="I535">
            <v>236020</v>
          </cell>
          <cell r="J535" t="str">
            <v/>
          </cell>
          <cell r="K535" t="str">
            <v/>
          </cell>
          <cell r="L535">
            <v>-111.83736</v>
          </cell>
          <cell r="M535">
            <v>-111.83736</v>
          </cell>
          <cell r="N535">
            <v>-111.83736</v>
          </cell>
          <cell r="O535">
            <v>-27.179490000000001</v>
          </cell>
          <cell r="P535">
            <v>-36.239319999999999</v>
          </cell>
          <cell r="Q535">
            <v>-45.299149999999997</v>
          </cell>
          <cell r="R535">
            <v>-54.358980000000003</v>
          </cell>
          <cell r="S535">
            <v>-63.418810000000001</v>
          </cell>
          <cell r="T535">
            <v>-72.478639999999999</v>
          </cell>
          <cell r="U535">
            <v>-81.538470000000004</v>
          </cell>
          <cell r="V535">
            <v>-90.598299999999995</v>
          </cell>
          <cell r="W535">
            <v>-99.65813</v>
          </cell>
          <cell r="X535">
            <v>-108.71796000000001</v>
          </cell>
          <cell r="Y535">
            <v>-75.393473</v>
          </cell>
        </row>
        <row r="536">
          <cell r="B536">
            <v>236030</v>
          </cell>
          <cell r="C536" t="str">
            <v>Working Capital</v>
          </cell>
          <cell r="D536" t="str">
            <v>TAXES ACCRUED - FEDERAL HIGHWAY USE</v>
          </cell>
          <cell r="E536" t="str">
            <v/>
          </cell>
          <cell r="F536" t="str">
            <v/>
          </cell>
          <cell r="G536" t="str">
            <v/>
          </cell>
          <cell r="H536" t="str">
            <v/>
          </cell>
          <cell r="I536">
            <v>236030</v>
          </cell>
          <cell r="J536" t="str">
            <v/>
          </cell>
          <cell r="K536" t="str">
            <v/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16.431339999999999</v>
          </cell>
          <cell r="X536">
            <v>0</v>
          </cell>
          <cell r="Y536">
            <v>1.369278</v>
          </cell>
        </row>
        <row r="537">
          <cell r="B537">
            <v>236048</v>
          </cell>
          <cell r="C537" t="str">
            <v>Working Capital</v>
          </cell>
          <cell r="D537" t="str">
            <v>TAXES ACCRD-STATE UNEMPLOYMENT-ME</v>
          </cell>
          <cell r="E537" t="str">
            <v/>
          </cell>
          <cell r="F537" t="str">
            <v/>
          </cell>
          <cell r="G537" t="str">
            <v/>
          </cell>
          <cell r="H537" t="str">
            <v/>
          </cell>
          <cell r="I537">
            <v>236048</v>
          </cell>
          <cell r="J537" t="str">
            <v/>
          </cell>
          <cell r="K537" t="str">
            <v/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</row>
        <row r="538">
          <cell r="B538">
            <v>236060</v>
          </cell>
          <cell r="C538" t="str">
            <v>Working Capital</v>
          </cell>
          <cell r="D538" t="str">
            <v>TAXES ACCRUED - STATE HIGHWAY USE</v>
          </cell>
          <cell r="E538" t="str">
            <v/>
          </cell>
          <cell r="F538" t="str">
            <v/>
          </cell>
          <cell r="G538" t="str">
            <v/>
          </cell>
          <cell r="H538" t="str">
            <v/>
          </cell>
          <cell r="I538">
            <v>236060</v>
          </cell>
          <cell r="J538" t="str">
            <v/>
          </cell>
          <cell r="K538" t="str">
            <v/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</row>
        <row r="539">
          <cell r="B539">
            <v>236070</v>
          </cell>
          <cell r="C539" t="str">
            <v>Working Capital</v>
          </cell>
          <cell r="D539" t="str">
            <v>TAXES ACCRUED - EMPLOYER MEDICARE</v>
          </cell>
          <cell r="E539" t="str">
            <v/>
          </cell>
          <cell r="F539" t="str">
            <v/>
          </cell>
          <cell r="G539" t="str">
            <v/>
          </cell>
          <cell r="H539" t="str">
            <v/>
          </cell>
          <cell r="I539">
            <v>236070</v>
          </cell>
          <cell r="J539" t="str">
            <v/>
          </cell>
          <cell r="K539" t="str">
            <v/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</row>
        <row r="540">
          <cell r="B540">
            <v>236110</v>
          </cell>
          <cell r="C540" t="str">
            <v>Working Capital</v>
          </cell>
          <cell r="D540" t="str">
            <v>TAXES ACCRUED - REAL PROPERTY</v>
          </cell>
          <cell r="E540" t="str">
            <v/>
          </cell>
          <cell r="F540" t="str">
            <v/>
          </cell>
          <cell r="G540" t="str">
            <v/>
          </cell>
          <cell r="H540" t="str">
            <v/>
          </cell>
          <cell r="I540">
            <v>236110</v>
          </cell>
          <cell r="J540" t="str">
            <v/>
          </cell>
          <cell r="K540" t="str">
            <v/>
          </cell>
          <cell r="L540">
            <v>129.92124000000001</v>
          </cell>
          <cell r="M540">
            <v>141.16338999999999</v>
          </cell>
          <cell r="N540">
            <v>105.25444</v>
          </cell>
          <cell r="O540">
            <v>137.87567999999999</v>
          </cell>
          <cell r="P540">
            <v>153.83149</v>
          </cell>
          <cell r="Q540">
            <v>215.26141999999999</v>
          </cell>
          <cell r="R540">
            <v>240.31516999999999</v>
          </cell>
          <cell r="S540">
            <v>-2153.6561900000002</v>
          </cell>
          <cell r="T540">
            <v>-4723.3800199999996</v>
          </cell>
          <cell r="U540">
            <v>-474.75614999999999</v>
          </cell>
          <cell r="V540">
            <v>0</v>
          </cell>
          <cell r="W540">
            <v>0</v>
          </cell>
          <cell r="X540">
            <v>0</v>
          </cell>
          <cell r="Y540">
            <v>-524.42751299999998</v>
          </cell>
        </row>
        <row r="541">
          <cell r="B541">
            <v>236120</v>
          </cell>
          <cell r="C541" t="str">
            <v>Working Capital</v>
          </cell>
          <cell r="D541" t="str">
            <v>TAXES ACCRUED - SPECIAL FRANCHISE</v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  <cell r="I541">
            <v>236120</v>
          </cell>
          <cell r="J541" t="str">
            <v/>
          </cell>
          <cell r="K541" t="str">
            <v/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</row>
        <row r="542">
          <cell r="B542">
            <v>236130</v>
          </cell>
          <cell r="C542" t="str">
            <v>Working Capital</v>
          </cell>
          <cell r="D542" t="str">
            <v>TAXES ACCRUED - GROSS INCOME - CALEDONIA</v>
          </cell>
          <cell r="E542" t="str">
            <v/>
          </cell>
          <cell r="F542" t="str">
            <v/>
          </cell>
          <cell r="G542" t="str">
            <v/>
          </cell>
          <cell r="H542" t="str">
            <v/>
          </cell>
          <cell r="I542">
            <v>236130</v>
          </cell>
          <cell r="J542" t="str">
            <v/>
          </cell>
          <cell r="K542" t="str">
            <v/>
          </cell>
          <cell r="L542">
            <v>-8.6273900000000001</v>
          </cell>
          <cell r="M542">
            <v>-9.0884900000000002</v>
          </cell>
          <cell r="N542">
            <v>-1.4002399999999999</v>
          </cell>
          <cell r="O542">
            <v>-2.9423599999999999</v>
          </cell>
          <cell r="P542">
            <v>-4.2691699999999999</v>
          </cell>
          <cell r="Q542">
            <v>-5.3089000000000004</v>
          </cell>
          <cell r="R542">
            <v>-6.05769</v>
          </cell>
          <cell r="S542">
            <v>-6.5201099999999999</v>
          </cell>
          <cell r="T542">
            <v>-6.7881200000000002</v>
          </cell>
          <cell r="U542">
            <v>-7.0175299999999998</v>
          </cell>
          <cell r="V542">
            <v>-7.2481600000000004</v>
          </cell>
          <cell r="W542">
            <v>-7.7426500000000003</v>
          </cell>
          <cell r="X542">
            <v>-7.9919099999999998</v>
          </cell>
          <cell r="Y542">
            <v>-6.0577560000000004</v>
          </cell>
        </row>
        <row r="543">
          <cell r="B543">
            <v>236140</v>
          </cell>
          <cell r="C543" t="str">
            <v>Working Capital</v>
          </cell>
          <cell r="D543" t="str">
            <v>TAXES ACCRUED - GROSS INCOME - PERRY</v>
          </cell>
          <cell r="E543" t="str">
            <v/>
          </cell>
          <cell r="F543" t="str">
            <v/>
          </cell>
          <cell r="G543" t="str">
            <v/>
          </cell>
          <cell r="H543" t="str">
            <v/>
          </cell>
          <cell r="I543">
            <v>236140</v>
          </cell>
          <cell r="J543" t="str">
            <v/>
          </cell>
          <cell r="K543" t="str">
            <v/>
          </cell>
          <cell r="L543">
            <v>-4.3445400000000003</v>
          </cell>
          <cell r="M543">
            <v>-5.1089500000000001</v>
          </cell>
          <cell r="N543">
            <v>-7.7876300000000001</v>
          </cell>
          <cell r="O543">
            <v>0</v>
          </cell>
          <cell r="P543">
            <v>-2.02366</v>
          </cell>
          <cell r="Q543">
            <v>-3.8984899999999998</v>
          </cell>
          <cell r="R543">
            <v>-4.8387099999999998</v>
          </cell>
          <cell r="S543">
            <v>-5.5253199999999998</v>
          </cell>
          <cell r="T543">
            <v>-5.9445100000000002</v>
          </cell>
          <cell r="U543">
            <v>-6.3393499999999996</v>
          </cell>
          <cell r="V543">
            <v>-6.7717000000000001</v>
          </cell>
          <cell r="W543">
            <v>-7.3229600000000001</v>
          </cell>
          <cell r="X543">
            <v>-8.4508700000000001</v>
          </cell>
          <cell r="Y543">
            <v>-5.1632490000000004</v>
          </cell>
        </row>
        <row r="544">
          <cell r="B544">
            <v>236150</v>
          </cell>
          <cell r="C544" t="str">
            <v>Working Capital</v>
          </cell>
          <cell r="D544" t="str">
            <v>TAXES ACCRUED - GROSS INCOME - MERIDIAN</v>
          </cell>
          <cell r="E544" t="str">
            <v/>
          </cell>
          <cell r="F544" t="str">
            <v/>
          </cell>
          <cell r="G544" t="str">
            <v/>
          </cell>
          <cell r="H544" t="str">
            <v/>
          </cell>
          <cell r="I544">
            <v>236150</v>
          </cell>
          <cell r="J544" t="str">
            <v/>
          </cell>
          <cell r="K544" t="str">
            <v/>
          </cell>
          <cell r="L544">
            <v>-0.13123000000000001</v>
          </cell>
          <cell r="M544">
            <v>-0.18826999999999999</v>
          </cell>
          <cell r="N544">
            <v>-0.37018000000000001</v>
          </cell>
          <cell r="O544">
            <v>13.570069999999999</v>
          </cell>
          <cell r="P544">
            <v>-0.13813</v>
          </cell>
          <cell r="Q544">
            <v>-0.25663000000000002</v>
          </cell>
          <cell r="R544">
            <v>0</v>
          </cell>
          <cell r="S544">
            <v>-0.1236</v>
          </cell>
          <cell r="T544">
            <v>-0.23977000000000001</v>
          </cell>
          <cell r="U544">
            <v>0</v>
          </cell>
          <cell r="V544">
            <v>-0.10730000000000001</v>
          </cell>
          <cell r="W544">
            <v>-0.20346</v>
          </cell>
          <cell r="X544">
            <v>0</v>
          </cell>
          <cell r="Y544">
            <v>0.98975999999999997</v>
          </cell>
        </row>
        <row r="545">
          <cell r="B545">
            <v>236160</v>
          </cell>
          <cell r="C545" t="str">
            <v>Working Capital</v>
          </cell>
          <cell r="D545" t="str">
            <v>TAXES ACCRUED - GROSS INCOME - LEROY</v>
          </cell>
          <cell r="E545" t="str">
            <v/>
          </cell>
          <cell r="F545" t="str">
            <v/>
          </cell>
          <cell r="G545" t="str">
            <v/>
          </cell>
          <cell r="H545" t="str">
            <v/>
          </cell>
          <cell r="I545">
            <v>236160</v>
          </cell>
          <cell r="J545" t="str">
            <v/>
          </cell>
          <cell r="K545" t="str">
            <v/>
          </cell>
          <cell r="L545">
            <v>-7.1144600000000002</v>
          </cell>
          <cell r="M545">
            <v>-8.2904900000000001</v>
          </cell>
          <cell r="N545">
            <v>-11.358079999999999</v>
          </cell>
          <cell r="O545">
            <v>0</v>
          </cell>
          <cell r="P545">
            <v>-2.3732700000000002</v>
          </cell>
          <cell r="Q545">
            <v>-4.0309400000000002</v>
          </cell>
          <cell r="R545">
            <v>-5.4987599999999999</v>
          </cell>
          <cell r="S545">
            <v>-6.1739100000000002</v>
          </cell>
          <cell r="T545">
            <v>-6.68302</v>
          </cell>
          <cell r="U545">
            <v>-7.1279000000000003</v>
          </cell>
          <cell r="V545">
            <v>-7.6053699999999997</v>
          </cell>
          <cell r="W545">
            <v>-8.3165499999999994</v>
          </cell>
          <cell r="X545">
            <v>-9.2698599999999995</v>
          </cell>
          <cell r="Y545">
            <v>-6.3042040000000004</v>
          </cell>
        </row>
        <row r="546">
          <cell r="B546">
            <v>236180</v>
          </cell>
          <cell r="C546" t="str">
            <v>Working Capital</v>
          </cell>
          <cell r="D546" t="str">
            <v>TAXES ACCRUED - GROSS INCOME - WARSAW</v>
          </cell>
          <cell r="E546" t="str">
            <v/>
          </cell>
          <cell r="F546" t="str">
            <v/>
          </cell>
          <cell r="G546" t="str">
            <v/>
          </cell>
          <cell r="H546" t="str">
            <v/>
          </cell>
          <cell r="I546">
            <v>236180</v>
          </cell>
          <cell r="J546" t="str">
            <v/>
          </cell>
          <cell r="K546" t="str">
            <v/>
          </cell>
          <cell r="L546">
            <v>-3.8913500000000001</v>
          </cell>
          <cell r="M546">
            <v>-4.6818400000000002</v>
          </cell>
          <cell r="N546">
            <v>-6.9584200000000003</v>
          </cell>
          <cell r="O546">
            <v>0</v>
          </cell>
          <cell r="P546">
            <v>-1.9134599999999999</v>
          </cell>
          <cell r="Q546">
            <v>-3.18424</v>
          </cell>
          <cell r="R546">
            <v>-4.2371499999999997</v>
          </cell>
          <cell r="S546">
            <v>-4.7920100000000003</v>
          </cell>
          <cell r="T546">
            <v>-5.1216799999999996</v>
          </cell>
          <cell r="U546">
            <v>-5.4706200000000003</v>
          </cell>
          <cell r="V546">
            <v>-5.8100500000000004</v>
          </cell>
          <cell r="W546">
            <v>-6.38931</v>
          </cell>
          <cell r="X546">
            <v>-7.03078</v>
          </cell>
          <cell r="Y546">
            <v>-4.5016540000000003</v>
          </cell>
        </row>
        <row r="547">
          <cell r="B547">
            <v>236190</v>
          </cell>
          <cell r="C547" t="str">
            <v>Working Capital</v>
          </cell>
          <cell r="D547" t="str">
            <v>TAXES ACCRUED - UNBILLED REVENUE TAX</v>
          </cell>
          <cell r="E547" t="str">
            <v/>
          </cell>
          <cell r="F547" t="str">
            <v/>
          </cell>
          <cell r="G547" t="str">
            <v/>
          </cell>
          <cell r="H547" t="str">
            <v/>
          </cell>
          <cell r="I547">
            <v>236190</v>
          </cell>
          <cell r="J547" t="str">
            <v/>
          </cell>
          <cell r="K547" t="str">
            <v/>
          </cell>
          <cell r="L547">
            <v>-784.65601000000004</v>
          </cell>
          <cell r="M547">
            <v>-766.69737999999995</v>
          </cell>
          <cell r="N547">
            <v>-589.98964000000001</v>
          </cell>
          <cell r="O547">
            <v>-554.63963000000001</v>
          </cell>
          <cell r="P547">
            <v>-440.38353000000001</v>
          </cell>
          <cell r="Q547">
            <v>-442.11930999999998</v>
          </cell>
          <cell r="R547">
            <v>-1273.84833</v>
          </cell>
          <cell r="S547">
            <v>-486.21681999999998</v>
          </cell>
          <cell r="T547">
            <v>-653.22162000000003</v>
          </cell>
          <cell r="U547">
            <v>-536.02038000000005</v>
          </cell>
          <cell r="V547">
            <v>-582.36335999999994</v>
          </cell>
          <cell r="W547">
            <v>-669.09433999999999</v>
          </cell>
          <cell r="X547">
            <v>-492.79932000000002</v>
          </cell>
          <cell r="Y547">
            <v>-636.11016700000005</v>
          </cell>
        </row>
        <row r="548">
          <cell r="B548">
            <v>236200</v>
          </cell>
          <cell r="C548" t="str">
            <v>Working Capital</v>
          </cell>
          <cell r="D548" t="str">
            <v>TAXES ACCRUED - FEDERAL INCOME TAXES</v>
          </cell>
          <cell r="E548" t="str">
            <v/>
          </cell>
          <cell r="F548" t="str">
            <v/>
          </cell>
          <cell r="G548" t="str">
            <v/>
          </cell>
          <cell r="H548" t="str">
            <v/>
          </cell>
          <cell r="I548">
            <v>236200</v>
          </cell>
          <cell r="J548" t="str">
            <v/>
          </cell>
          <cell r="K548" t="str">
            <v/>
          </cell>
          <cell r="L548">
            <v>-19623.477800000001</v>
          </cell>
          <cell r="M548">
            <v>-22861.792720000001</v>
          </cell>
          <cell r="N548">
            <v>-22748.597460000001</v>
          </cell>
          <cell r="O548">
            <v>-18389.854510000001</v>
          </cell>
          <cell r="P548">
            <v>-17483.281859999999</v>
          </cell>
          <cell r="Q548">
            <v>-18779.157360000001</v>
          </cell>
          <cell r="R548">
            <v>-17067.310990000002</v>
          </cell>
          <cell r="S548">
            <v>-16605.94269</v>
          </cell>
          <cell r="T548">
            <v>-15746.333280000001</v>
          </cell>
          <cell r="U548">
            <v>102.15231</v>
          </cell>
          <cell r="V548">
            <v>3075.5308399999999</v>
          </cell>
          <cell r="W548">
            <v>2908.5566699999999</v>
          </cell>
          <cell r="X548">
            <v>-13088.90576</v>
          </cell>
          <cell r="Y548">
            <v>-13329.351903000001</v>
          </cell>
        </row>
        <row r="549">
          <cell r="B549">
            <v>236210</v>
          </cell>
          <cell r="C549" t="str">
            <v>Working Capital</v>
          </cell>
          <cell r="D549" t="str">
            <v>TAXES ACCRUED - GROSS INCOME STATE - OPERATING</v>
          </cell>
          <cell r="E549" t="str">
            <v/>
          </cell>
          <cell r="F549" t="str">
            <v/>
          </cell>
          <cell r="G549" t="str">
            <v/>
          </cell>
          <cell r="H549" t="str">
            <v/>
          </cell>
          <cell r="I549">
            <v>236210</v>
          </cell>
          <cell r="J549" t="str">
            <v/>
          </cell>
          <cell r="K549" t="str">
            <v/>
          </cell>
          <cell r="L549">
            <v>194.61098999999999</v>
          </cell>
          <cell r="M549">
            <v>-273.36680999999999</v>
          </cell>
          <cell r="N549">
            <v>-706.05813000000001</v>
          </cell>
          <cell r="O549">
            <v>411.15159</v>
          </cell>
          <cell r="P549">
            <v>57.83464</v>
          </cell>
          <cell r="Q549">
            <v>-258.47016000000002</v>
          </cell>
          <cell r="R549">
            <v>161.51275000000001</v>
          </cell>
          <cell r="S549">
            <v>-157.20323999999999</v>
          </cell>
          <cell r="T549">
            <v>-487.60327000000001</v>
          </cell>
          <cell r="U549">
            <v>168.07598999999999</v>
          </cell>
          <cell r="V549">
            <v>-116.36902000000001</v>
          </cell>
          <cell r="W549">
            <v>-3475.3153600000001</v>
          </cell>
          <cell r="X549">
            <v>-1766.53397</v>
          </cell>
          <cell r="Y549">
            <v>-455.14770900000002</v>
          </cell>
        </row>
        <row r="550">
          <cell r="B550">
            <v>236220</v>
          </cell>
          <cell r="C550" t="str">
            <v>Working Capital</v>
          </cell>
          <cell r="D550" t="str">
            <v>TAXES ACCRUED - GROSS INCOME STATE - OTHER</v>
          </cell>
          <cell r="E550" t="str">
            <v/>
          </cell>
          <cell r="F550" t="str">
            <v/>
          </cell>
          <cell r="G550" t="str">
            <v/>
          </cell>
          <cell r="H550" t="str">
            <v/>
          </cell>
          <cell r="I550">
            <v>236220</v>
          </cell>
          <cell r="J550" t="str">
            <v/>
          </cell>
          <cell r="K550" t="str">
            <v/>
          </cell>
          <cell r="L550">
            <v>-6.7581699999999998</v>
          </cell>
          <cell r="M550">
            <v>-581.07000000000005</v>
          </cell>
          <cell r="N550">
            <v>-684.02494000000002</v>
          </cell>
          <cell r="O550">
            <v>-649.02216999999996</v>
          </cell>
          <cell r="P550">
            <v>-537.77080000000001</v>
          </cell>
          <cell r="Q550">
            <v>-475.82972999999998</v>
          </cell>
          <cell r="R550">
            <v>-372.52814999999998</v>
          </cell>
          <cell r="S550">
            <v>-321.80885000000001</v>
          </cell>
          <cell r="T550">
            <v>-311.05401999999998</v>
          </cell>
          <cell r="U550">
            <v>-306.74363</v>
          </cell>
          <cell r="V550">
            <v>-299.52872000000002</v>
          </cell>
          <cell r="W550">
            <v>-301.72250000000003</v>
          </cell>
          <cell r="X550">
            <v>-349.29207000000002</v>
          </cell>
          <cell r="Y550">
            <v>-418.26071899999999</v>
          </cell>
        </row>
        <row r="551">
          <cell r="B551">
            <v>236240</v>
          </cell>
          <cell r="C551" t="str">
            <v>Working Capital</v>
          </cell>
          <cell r="D551" t="str">
            <v>TAXES ACCRUED - PA CAPITAL STOCKS TAX</v>
          </cell>
          <cell r="E551" t="str">
            <v/>
          </cell>
          <cell r="F551" t="str">
            <v/>
          </cell>
          <cell r="G551" t="str">
            <v/>
          </cell>
          <cell r="H551" t="str">
            <v/>
          </cell>
          <cell r="I551">
            <v>236240</v>
          </cell>
          <cell r="J551" t="str">
            <v/>
          </cell>
          <cell r="K551" t="str">
            <v/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</row>
        <row r="552">
          <cell r="B552">
            <v>236250</v>
          </cell>
          <cell r="C552" t="str">
            <v>Working Capital</v>
          </cell>
          <cell r="D552" t="str">
            <v>TAXES ACCRUED - PA NET INCOME TAX</v>
          </cell>
          <cell r="E552" t="str">
            <v/>
          </cell>
          <cell r="F552" t="str">
            <v/>
          </cell>
          <cell r="G552" t="str">
            <v/>
          </cell>
          <cell r="H552" t="str">
            <v/>
          </cell>
          <cell r="I552">
            <v>236250</v>
          </cell>
          <cell r="J552" t="str">
            <v/>
          </cell>
          <cell r="K552" t="str">
            <v/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</row>
        <row r="553">
          <cell r="B553">
            <v>236260</v>
          </cell>
          <cell r="C553" t="str">
            <v>Working Capital</v>
          </cell>
          <cell r="D553" t="str">
            <v>TAXES ACCRUED - NYS INCOME TAXES</v>
          </cell>
          <cell r="E553" t="str">
            <v/>
          </cell>
          <cell r="F553" t="str">
            <v/>
          </cell>
          <cell r="G553" t="str">
            <v/>
          </cell>
          <cell r="H553" t="str">
            <v/>
          </cell>
          <cell r="I553">
            <v>236260</v>
          </cell>
          <cell r="J553" t="str">
            <v/>
          </cell>
          <cell r="K553" t="str">
            <v/>
          </cell>
          <cell r="L553">
            <v>1457.8116399999999</v>
          </cell>
          <cell r="M553">
            <v>-50.507939999999998</v>
          </cell>
          <cell r="N553">
            <v>-492.54741999999999</v>
          </cell>
          <cell r="O553">
            <v>-4880.8882400000002</v>
          </cell>
          <cell r="P553">
            <v>-5317.8431700000001</v>
          </cell>
          <cell r="Q553">
            <v>-5720.1709000000001</v>
          </cell>
          <cell r="R553">
            <v>-5200.8691099999996</v>
          </cell>
          <cell r="S553">
            <v>-5641.3309600000002</v>
          </cell>
          <cell r="T553">
            <v>-5925.5706099999998</v>
          </cell>
          <cell r="U553">
            <v>-4673.3163699999996</v>
          </cell>
          <cell r="V553">
            <v>-4396.1985699999996</v>
          </cell>
          <cell r="W553">
            <v>-4698.1882400000004</v>
          </cell>
          <cell r="X553">
            <v>-1387.7092700000001</v>
          </cell>
          <cell r="Y553">
            <v>-3913.5316950000001</v>
          </cell>
        </row>
        <row r="554">
          <cell r="B554">
            <v>236310</v>
          </cell>
          <cell r="C554" t="str">
            <v>Working Capital</v>
          </cell>
          <cell r="D554" t="str">
            <v>TAXES ACCRUED - GROSS INCOME-ROCH OPERATING</v>
          </cell>
          <cell r="E554" t="str">
            <v/>
          </cell>
          <cell r="F554" t="str">
            <v/>
          </cell>
          <cell r="G554" t="str">
            <v/>
          </cell>
          <cell r="H554" t="str">
            <v/>
          </cell>
          <cell r="I554">
            <v>236310</v>
          </cell>
          <cell r="J554" t="str">
            <v/>
          </cell>
          <cell r="K554" t="str">
            <v/>
          </cell>
          <cell r="L554">
            <v>-232.92338000000001</v>
          </cell>
          <cell r="M554">
            <v>-409.60500999999999</v>
          </cell>
          <cell r="N554">
            <v>-1030.7818500000001</v>
          </cell>
          <cell r="O554">
            <v>0</v>
          </cell>
          <cell r="P554">
            <v>-487.32929000000001</v>
          </cell>
          <cell r="Q554">
            <v>-919.34910000000002</v>
          </cell>
          <cell r="R554">
            <v>0</v>
          </cell>
          <cell r="S554">
            <v>-290.28913</v>
          </cell>
          <cell r="T554">
            <v>-570.83834000000002</v>
          </cell>
          <cell r="U554">
            <v>0</v>
          </cell>
          <cell r="V554">
            <v>-270.41750999999999</v>
          </cell>
          <cell r="W554">
            <v>-542.43922999999995</v>
          </cell>
          <cell r="X554">
            <v>0</v>
          </cell>
          <cell r="Y554">
            <v>-386.45926300000002</v>
          </cell>
        </row>
        <row r="555">
          <cell r="B555">
            <v>236330</v>
          </cell>
          <cell r="C555" t="str">
            <v>Working Capital</v>
          </cell>
          <cell r="D555" t="str">
            <v>TAXES ACCRUED - STATE INSURANCE TAX</v>
          </cell>
          <cell r="E555" t="str">
            <v/>
          </cell>
          <cell r="F555" t="str">
            <v/>
          </cell>
          <cell r="G555" t="str">
            <v/>
          </cell>
          <cell r="H555" t="str">
            <v/>
          </cell>
          <cell r="I555">
            <v>236330</v>
          </cell>
          <cell r="J555" t="str">
            <v/>
          </cell>
          <cell r="K555" t="str">
            <v/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</row>
        <row r="556">
          <cell r="B556">
            <v>236340</v>
          </cell>
          <cell r="C556" t="str">
            <v>Working Capital</v>
          </cell>
          <cell r="D556" t="str">
            <v>TAXES ACCRUED - MICHIGAN SINGLE BUSINESS TAX</v>
          </cell>
          <cell r="E556" t="str">
            <v/>
          </cell>
          <cell r="F556" t="str">
            <v/>
          </cell>
          <cell r="G556" t="str">
            <v/>
          </cell>
          <cell r="H556" t="str">
            <v/>
          </cell>
          <cell r="I556">
            <v>236340</v>
          </cell>
          <cell r="J556" t="str">
            <v/>
          </cell>
          <cell r="K556" t="str">
            <v/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</row>
        <row r="557">
          <cell r="B557">
            <v>236410</v>
          </cell>
          <cell r="C557" t="str">
            <v>Working Capital</v>
          </cell>
          <cell r="D557" t="str">
            <v>TAXES ACCRUED - GROSS INCOME-CANANDAIGUA</v>
          </cell>
          <cell r="E557" t="str">
            <v/>
          </cell>
          <cell r="F557" t="str">
            <v/>
          </cell>
          <cell r="G557" t="str">
            <v/>
          </cell>
          <cell r="H557" t="str">
            <v/>
          </cell>
          <cell r="I557">
            <v>236410</v>
          </cell>
          <cell r="J557" t="str">
            <v/>
          </cell>
          <cell r="K557" t="str">
            <v/>
          </cell>
          <cell r="L557">
            <v>-4.8142500000000004</v>
          </cell>
          <cell r="M557">
            <v>-5.4544899999999998</v>
          </cell>
          <cell r="N557">
            <v>-11.218360000000001</v>
          </cell>
          <cell r="O557">
            <v>0</v>
          </cell>
          <cell r="P557">
            <v>-3.9296099999999998</v>
          </cell>
          <cell r="Q557">
            <v>-7.8636499999999998</v>
          </cell>
          <cell r="R557">
            <v>0</v>
          </cell>
          <cell r="S557">
            <v>-4.27182</v>
          </cell>
          <cell r="T557">
            <v>-8.8792500000000008</v>
          </cell>
          <cell r="U557">
            <v>0</v>
          </cell>
          <cell r="V557">
            <v>-4.3954599999999999</v>
          </cell>
          <cell r="W557">
            <v>-8.3714099999999991</v>
          </cell>
          <cell r="X557">
            <v>0</v>
          </cell>
          <cell r="Y557">
            <v>-4.7325980000000003</v>
          </cell>
        </row>
        <row r="558">
          <cell r="B558">
            <v>236420</v>
          </cell>
          <cell r="C558" t="str">
            <v>Working Capital</v>
          </cell>
          <cell r="D558" t="str">
            <v>TAXES ACCRUED - GROSS INCOME-EAST ROCHESTER</v>
          </cell>
          <cell r="E558" t="str">
            <v/>
          </cell>
          <cell r="F558" t="str">
            <v/>
          </cell>
          <cell r="G558" t="str">
            <v/>
          </cell>
          <cell r="H558" t="str">
            <v/>
          </cell>
          <cell r="I558">
            <v>236420</v>
          </cell>
          <cell r="J558" t="str">
            <v/>
          </cell>
          <cell r="K558" t="str">
            <v/>
          </cell>
          <cell r="L558">
            <v>-0.95047999999999999</v>
          </cell>
          <cell r="M558">
            <v>-2.3504700000000001</v>
          </cell>
          <cell r="N558">
            <v>-8.6333000000000002</v>
          </cell>
          <cell r="O558">
            <v>0</v>
          </cell>
          <cell r="P558">
            <v>-4.7367800000000004</v>
          </cell>
          <cell r="Q558">
            <v>-8.6310599999999997</v>
          </cell>
          <cell r="R558">
            <v>0</v>
          </cell>
          <cell r="S558">
            <v>-2.85663</v>
          </cell>
          <cell r="T558">
            <v>-5.7680899999999999</v>
          </cell>
          <cell r="U558">
            <v>0</v>
          </cell>
          <cell r="V558">
            <v>-2.6275900000000001</v>
          </cell>
          <cell r="W558">
            <v>-5.2328000000000001</v>
          </cell>
          <cell r="X558">
            <v>0</v>
          </cell>
          <cell r="Y558">
            <v>-3.442663</v>
          </cell>
        </row>
        <row r="559">
          <cell r="B559">
            <v>236430</v>
          </cell>
          <cell r="C559" t="str">
            <v>Working Capital</v>
          </cell>
          <cell r="D559" t="str">
            <v>TAXES ACCRUED - GROSS INCOME-FAIRPORT</v>
          </cell>
          <cell r="E559" t="str">
            <v/>
          </cell>
          <cell r="F559" t="str">
            <v/>
          </cell>
          <cell r="G559" t="str">
            <v/>
          </cell>
          <cell r="H559" t="str">
            <v/>
          </cell>
          <cell r="I559">
            <v>236430</v>
          </cell>
          <cell r="J559" t="str">
            <v/>
          </cell>
          <cell r="K559" t="str">
            <v/>
          </cell>
          <cell r="L559">
            <v>-0.42260999999999999</v>
          </cell>
          <cell r="M559">
            <v>-1.4026700000000001</v>
          </cell>
          <cell r="N559">
            <v>-3.9005299999999998</v>
          </cell>
          <cell r="O559">
            <v>-6.6830499999999997</v>
          </cell>
          <cell r="P559">
            <v>-2.08047</v>
          </cell>
          <cell r="Q559">
            <v>-3.6047500000000001</v>
          </cell>
          <cell r="R559">
            <v>0</v>
          </cell>
          <cell r="S559">
            <v>-0.61380999999999997</v>
          </cell>
          <cell r="T559">
            <v>-1.09677</v>
          </cell>
          <cell r="U559">
            <v>0</v>
          </cell>
          <cell r="V559">
            <v>-0.56233999999999995</v>
          </cell>
          <cell r="W559">
            <v>-1.2150099999999999</v>
          </cell>
          <cell r="X559">
            <v>0</v>
          </cell>
          <cell r="Y559">
            <v>-1.7808919999999999</v>
          </cell>
        </row>
        <row r="560">
          <cell r="B560">
            <v>236440</v>
          </cell>
          <cell r="C560" t="str">
            <v>Working Capital</v>
          </cell>
          <cell r="D560" t="str">
            <v>TAXES ACCRUED - GROSS INCOME-BROCKPORT</v>
          </cell>
          <cell r="E560" t="str">
            <v/>
          </cell>
          <cell r="F560" t="str">
            <v/>
          </cell>
          <cell r="G560" t="str">
            <v/>
          </cell>
          <cell r="H560" t="str">
            <v/>
          </cell>
          <cell r="I560">
            <v>236440</v>
          </cell>
          <cell r="J560" t="str">
            <v/>
          </cell>
          <cell r="K560" t="str">
            <v/>
          </cell>
          <cell r="L560">
            <v>0.30823</v>
          </cell>
          <cell r="M560">
            <v>-0.6734</v>
          </cell>
          <cell r="N560">
            <v>-3.3195800000000002</v>
          </cell>
          <cell r="O560">
            <v>-6.8870199999999997</v>
          </cell>
          <cell r="P560">
            <v>-2.3649800000000001</v>
          </cell>
          <cell r="Q560">
            <v>-4.31515</v>
          </cell>
          <cell r="R560">
            <v>0</v>
          </cell>
          <cell r="S560">
            <v>-0.78580000000000005</v>
          </cell>
          <cell r="T560">
            <v>-1.30599</v>
          </cell>
          <cell r="U560">
            <v>0</v>
          </cell>
          <cell r="V560">
            <v>-0.48736000000000002</v>
          </cell>
          <cell r="W560">
            <v>-1.1154900000000001</v>
          </cell>
          <cell r="X560">
            <v>0</v>
          </cell>
          <cell r="Y560">
            <v>-1.7583880000000001</v>
          </cell>
        </row>
        <row r="561">
          <cell r="B561">
            <v>236450</v>
          </cell>
          <cell r="C561" t="str">
            <v>Working Capital</v>
          </cell>
          <cell r="D561" t="str">
            <v>TAXES ACCRUED - GROSS INCOME-PITTSFORD</v>
          </cell>
          <cell r="E561" t="str">
            <v/>
          </cell>
          <cell r="F561" t="str">
            <v/>
          </cell>
          <cell r="G561" t="str">
            <v/>
          </cell>
          <cell r="H561" t="str">
            <v/>
          </cell>
          <cell r="I561">
            <v>236450</v>
          </cell>
          <cell r="J561" t="str">
            <v/>
          </cell>
          <cell r="K561" t="str">
            <v/>
          </cell>
          <cell r="L561">
            <v>-7.2263000000000002</v>
          </cell>
          <cell r="M561">
            <v>-7.7149599999999996</v>
          </cell>
          <cell r="N561">
            <v>-9.7981599999999993</v>
          </cell>
          <cell r="O561">
            <v>0</v>
          </cell>
          <cell r="P561">
            <v>-1.4482900000000001</v>
          </cell>
          <cell r="Q561">
            <v>-2.7533300000000001</v>
          </cell>
          <cell r="R561">
            <v>-3.6984499999999998</v>
          </cell>
          <cell r="S561">
            <v>-4.6500300000000001</v>
          </cell>
          <cell r="T561">
            <v>-5.6369999999999996</v>
          </cell>
          <cell r="U561">
            <v>-6.5853799999999998</v>
          </cell>
          <cell r="V561">
            <v>-7.47288</v>
          </cell>
          <cell r="W561">
            <v>-8.3904200000000007</v>
          </cell>
          <cell r="X561">
            <v>-9.5541</v>
          </cell>
          <cell r="Y561">
            <v>-5.5449250000000001</v>
          </cell>
        </row>
        <row r="562">
          <cell r="B562">
            <v>236460</v>
          </cell>
          <cell r="C562" t="str">
            <v>Working Capital</v>
          </cell>
          <cell r="D562" t="str">
            <v>TAXES ACCRUED - GROSS INCOME-HILTON</v>
          </cell>
          <cell r="E562" t="str">
            <v/>
          </cell>
          <cell r="F562" t="str">
            <v/>
          </cell>
          <cell r="G562" t="str">
            <v/>
          </cell>
          <cell r="H562" t="str">
            <v/>
          </cell>
          <cell r="I562">
            <v>236460</v>
          </cell>
          <cell r="J562" t="str">
            <v/>
          </cell>
          <cell r="K562" t="str">
            <v/>
          </cell>
          <cell r="L562">
            <v>-19.117519999999999</v>
          </cell>
          <cell r="M562">
            <v>-20.224530000000001</v>
          </cell>
          <cell r="N562">
            <v>-24.038830000000001</v>
          </cell>
          <cell r="O562">
            <v>-1E-4</v>
          </cell>
          <cell r="P562">
            <v>-3.1376300000000001</v>
          </cell>
          <cell r="Q562">
            <v>-5.7394600000000002</v>
          </cell>
          <cell r="R562">
            <v>-7.8008499999999996</v>
          </cell>
          <cell r="S562">
            <v>-9.8008900000000008</v>
          </cell>
          <cell r="T562">
            <v>-11.73901</v>
          </cell>
          <cell r="U562">
            <v>-13.710089999999999</v>
          </cell>
          <cell r="V562">
            <v>-15.632289999999999</v>
          </cell>
          <cell r="W562">
            <v>-17.391919999999999</v>
          </cell>
          <cell r="X562">
            <v>-19.492699999999999</v>
          </cell>
          <cell r="Y562">
            <v>-12.376726</v>
          </cell>
        </row>
        <row r="563">
          <cell r="B563">
            <v>236470</v>
          </cell>
          <cell r="C563" t="str">
            <v>Working Capital</v>
          </cell>
          <cell r="D563" t="str">
            <v>TAXES ACCRUED - GROSS INCOME-MT. MORRIS</v>
          </cell>
          <cell r="E563" t="str">
            <v/>
          </cell>
          <cell r="F563" t="str">
            <v/>
          </cell>
          <cell r="G563" t="str">
            <v/>
          </cell>
          <cell r="H563" t="str">
            <v/>
          </cell>
          <cell r="I563">
            <v>236470</v>
          </cell>
          <cell r="J563" t="str">
            <v/>
          </cell>
          <cell r="K563" t="str">
            <v/>
          </cell>
          <cell r="L563">
            <v>-27.175689999999999</v>
          </cell>
          <cell r="M563">
            <v>-28.068529999999999</v>
          </cell>
          <cell r="N563">
            <v>-3.4301499999999998</v>
          </cell>
          <cell r="O563">
            <v>-6.4494100000000003</v>
          </cell>
          <cell r="P563">
            <v>-8.9007000000000005</v>
          </cell>
          <cell r="Q563">
            <v>-10.987920000000001</v>
          </cell>
          <cell r="R563">
            <v>-12.63125</v>
          </cell>
          <cell r="S563">
            <v>-14.25399</v>
          </cell>
          <cell r="T563">
            <v>-15.884069999999999</v>
          </cell>
          <cell r="U563">
            <v>-17.42991</v>
          </cell>
          <cell r="V563">
            <v>-18.887350000000001</v>
          </cell>
          <cell r="W563">
            <v>-20.393730000000001</v>
          </cell>
          <cell r="X563">
            <v>-22.529019999999999</v>
          </cell>
          <cell r="Y563">
            <v>-15.18078</v>
          </cell>
        </row>
        <row r="564">
          <cell r="B564">
            <v>236490</v>
          </cell>
          <cell r="C564" t="str">
            <v>Working Capital</v>
          </cell>
          <cell r="D564" t="str">
            <v>TAXES ACCRUED - GROSS INCOME-NUNDA</v>
          </cell>
          <cell r="E564" t="str">
            <v/>
          </cell>
          <cell r="F564" t="str">
            <v/>
          </cell>
          <cell r="G564" t="str">
            <v/>
          </cell>
          <cell r="H564" t="str">
            <v/>
          </cell>
          <cell r="I564">
            <v>236490</v>
          </cell>
          <cell r="J564" t="str">
            <v/>
          </cell>
          <cell r="K564" t="str">
            <v/>
          </cell>
          <cell r="L564">
            <v>-6.4398499999999999</v>
          </cell>
          <cell r="M564">
            <v>-6.5104100000000003</v>
          </cell>
          <cell r="N564">
            <v>-0.68354000000000004</v>
          </cell>
          <cell r="O564">
            <v>-1.3351</v>
          </cell>
          <cell r="P564">
            <v>-1.8209200000000001</v>
          </cell>
          <cell r="Q564">
            <v>-2.30925</v>
          </cell>
          <cell r="R564">
            <v>-2.7862900000000002</v>
          </cell>
          <cell r="S564">
            <v>-3.2376299999999998</v>
          </cell>
          <cell r="T564">
            <v>-3.7254999999999998</v>
          </cell>
          <cell r="U564">
            <v>-4.2738500000000004</v>
          </cell>
          <cell r="V564">
            <v>-4.8063700000000003</v>
          </cell>
          <cell r="W564">
            <v>-5.4914699999999996</v>
          </cell>
          <cell r="X564">
            <v>-5.69076</v>
          </cell>
          <cell r="Y564">
            <v>-3.5871360000000001</v>
          </cell>
        </row>
        <row r="565">
          <cell r="B565">
            <v>236510</v>
          </cell>
          <cell r="C565" t="str">
            <v>Working Capital</v>
          </cell>
          <cell r="D565" t="str">
            <v>TAXES ACCRUED - GROSS INCOME-SCOTTSVILLE</v>
          </cell>
          <cell r="E565" t="str">
            <v/>
          </cell>
          <cell r="F565" t="str">
            <v/>
          </cell>
          <cell r="G565" t="str">
            <v/>
          </cell>
          <cell r="H565" t="str">
            <v/>
          </cell>
          <cell r="I565">
            <v>236510</v>
          </cell>
          <cell r="J565" t="str">
            <v/>
          </cell>
          <cell r="K565" t="str">
            <v/>
          </cell>
          <cell r="L565">
            <v>0.88351000000000002</v>
          </cell>
          <cell r="M565">
            <v>0.52098</v>
          </cell>
          <cell r="N565">
            <v>-0.61411000000000004</v>
          </cell>
          <cell r="O565">
            <v>0</v>
          </cell>
          <cell r="P565">
            <v>-1.06532</v>
          </cell>
          <cell r="Q565">
            <v>-1.92465</v>
          </cell>
          <cell r="R565">
            <v>0</v>
          </cell>
          <cell r="S565">
            <v>-0.38629000000000002</v>
          </cell>
          <cell r="T565">
            <v>-0.63517000000000001</v>
          </cell>
          <cell r="U565">
            <v>0</v>
          </cell>
          <cell r="V565">
            <v>-0.19949</v>
          </cell>
          <cell r="W565">
            <v>-0.50839000000000001</v>
          </cell>
          <cell r="X565">
            <v>0</v>
          </cell>
          <cell r="Y565">
            <v>-0.36422399999999999</v>
          </cell>
        </row>
        <row r="566">
          <cell r="B566">
            <v>236520</v>
          </cell>
          <cell r="C566" t="str">
            <v>Working Capital</v>
          </cell>
          <cell r="D566" t="str">
            <v>TAXES ACCRUED - GROSS INCOME-WOLCOTT</v>
          </cell>
          <cell r="E566" t="str">
            <v/>
          </cell>
          <cell r="F566" t="str">
            <v/>
          </cell>
          <cell r="G566" t="str">
            <v/>
          </cell>
          <cell r="H566" t="str">
            <v/>
          </cell>
          <cell r="I566">
            <v>236520</v>
          </cell>
          <cell r="J566" t="str">
            <v/>
          </cell>
          <cell r="K566" t="str">
            <v/>
          </cell>
          <cell r="L566">
            <v>-14.36652</v>
          </cell>
          <cell r="M566">
            <v>-14.67052</v>
          </cell>
          <cell r="N566">
            <v>-1.72787</v>
          </cell>
          <cell r="O566">
            <v>-3.21767</v>
          </cell>
          <cell r="P566">
            <v>-4.5509500000000003</v>
          </cell>
          <cell r="Q566">
            <v>-5.6415300000000004</v>
          </cell>
          <cell r="R566">
            <v>-6.4917299999999996</v>
          </cell>
          <cell r="S566">
            <v>-7.2555100000000001</v>
          </cell>
          <cell r="T566">
            <v>-8.0563500000000001</v>
          </cell>
          <cell r="U566">
            <v>-8.7512500000000006</v>
          </cell>
          <cell r="V566">
            <v>-9.5075900000000004</v>
          </cell>
          <cell r="W566">
            <v>-10.19617</v>
          </cell>
          <cell r="X566">
            <v>-11.165509999999999</v>
          </cell>
          <cell r="Y566">
            <v>-7.7360959999999999</v>
          </cell>
        </row>
        <row r="567">
          <cell r="B567">
            <v>236530</v>
          </cell>
          <cell r="C567" t="str">
            <v>Working Capital</v>
          </cell>
          <cell r="D567" t="str">
            <v>TAXES ACCRUED - GROSS INCOME-SODUS POINT</v>
          </cell>
          <cell r="E567" t="str">
            <v/>
          </cell>
          <cell r="F567" t="str">
            <v/>
          </cell>
          <cell r="G567" t="str">
            <v/>
          </cell>
          <cell r="H567" t="str">
            <v/>
          </cell>
          <cell r="I567">
            <v>236530</v>
          </cell>
          <cell r="J567" t="str">
            <v/>
          </cell>
          <cell r="K567" t="str">
            <v/>
          </cell>
          <cell r="L567">
            <v>-11.9786</v>
          </cell>
          <cell r="M567">
            <v>-12.21283</v>
          </cell>
          <cell r="N567">
            <v>-1.3749</v>
          </cell>
          <cell r="O567">
            <v>-2.6983000000000001</v>
          </cell>
          <cell r="P567">
            <v>-3.73367</v>
          </cell>
          <cell r="Q567">
            <v>-4.7438900000000004</v>
          </cell>
          <cell r="R567">
            <v>-5.5852599999999999</v>
          </cell>
          <cell r="S567">
            <v>-6.5181199999999997</v>
          </cell>
          <cell r="T567">
            <v>-7.4571399999999999</v>
          </cell>
          <cell r="U567">
            <v>-8.3850300000000004</v>
          </cell>
          <cell r="V567">
            <v>-9.2338500000000003</v>
          </cell>
          <cell r="W567">
            <v>-10.000159999999999</v>
          </cell>
          <cell r="X567">
            <v>-10.8772</v>
          </cell>
          <cell r="Y567">
            <v>-6.9475879999999997</v>
          </cell>
        </row>
        <row r="568">
          <cell r="B568">
            <v>236540</v>
          </cell>
          <cell r="C568" t="str">
            <v>Working Capital</v>
          </cell>
          <cell r="D568" t="str">
            <v>TAXES ACCRUED - GROSS INCOME-SHORTSVILLE</v>
          </cell>
          <cell r="E568" t="str">
            <v/>
          </cell>
          <cell r="F568" t="str">
            <v/>
          </cell>
          <cell r="G568" t="str">
            <v/>
          </cell>
          <cell r="H568" t="str">
            <v/>
          </cell>
          <cell r="I568">
            <v>236540</v>
          </cell>
          <cell r="J568" t="str">
            <v/>
          </cell>
          <cell r="K568" t="str">
            <v/>
          </cell>
          <cell r="L568">
            <v>-2.9894400000000001</v>
          </cell>
          <cell r="M568">
            <v>-3.1265299999999998</v>
          </cell>
          <cell r="N568">
            <v>-3.8040799999999999</v>
          </cell>
          <cell r="O568">
            <v>0</v>
          </cell>
          <cell r="P568">
            <v>-0.48159999999999997</v>
          </cell>
          <cell r="Q568">
            <v>-0.95489999999999997</v>
          </cell>
          <cell r="R568">
            <v>-1.40296</v>
          </cell>
          <cell r="S568">
            <v>-1.9353</v>
          </cell>
          <cell r="T568">
            <v>-2.5542199999999999</v>
          </cell>
          <cell r="U568">
            <v>-3.1351200000000001</v>
          </cell>
          <cell r="V568">
            <v>-3.6133600000000001</v>
          </cell>
          <cell r="W568">
            <v>-4.0654599999999999</v>
          </cell>
          <cell r="X568">
            <v>-4.57531</v>
          </cell>
          <cell r="Y568">
            <v>-2.4046590000000001</v>
          </cell>
        </row>
        <row r="569">
          <cell r="B569">
            <v>236550</v>
          </cell>
          <cell r="C569" t="str">
            <v>Working Capital</v>
          </cell>
          <cell r="D569" t="str">
            <v>TAXES ACCRUED - GROSS INCOME-MANCHESTER</v>
          </cell>
          <cell r="E569" t="str">
            <v/>
          </cell>
          <cell r="F569" t="str">
            <v/>
          </cell>
          <cell r="G569" t="str">
            <v/>
          </cell>
          <cell r="H569" t="str">
            <v/>
          </cell>
          <cell r="I569">
            <v>236550</v>
          </cell>
          <cell r="J569" t="str">
            <v/>
          </cell>
          <cell r="K569" t="str">
            <v/>
          </cell>
          <cell r="L569">
            <v>-8.7665400000000009</v>
          </cell>
          <cell r="M569">
            <v>-8.8758099999999995</v>
          </cell>
          <cell r="N569">
            <v>-9.6391200000000001</v>
          </cell>
          <cell r="O569">
            <v>0</v>
          </cell>
          <cell r="P569">
            <v>-0.54586999999999997</v>
          </cell>
          <cell r="Q569">
            <v>-1.14361</v>
          </cell>
          <cell r="R569">
            <v>-1.73333</v>
          </cell>
          <cell r="S569">
            <v>-2.2494499999999999</v>
          </cell>
          <cell r="T569">
            <v>-2.93343</v>
          </cell>
          <cell r="U569">
            <v>-3.60547</v>
          </cell>
          <cell r="V569">
            <v>-4.2194599999999998</v>
          </cell>
          <cell r="W569">
            <v>-4.7148399999999997</v>
          </cell>
          <cell r="X569">
            <v>-5.2304500000000003</v>
          </cell>
          <cell r="Y569">
            <v>-3.8882400000000001</v>
          </cell>
        </row>
        <row r="570">
          <cell r="B570">
            <v>236560</v>
          </cell>
          <cell r="C570" t="str">
            <v>Working Capital</v>
          </cell>
          <cell r="D570" t="str">
            <v>TAXES ACCRUED - GROSS INCOME-GENESEO</v>
          </cell>
          <cell r="E570" t="str">
            <v/>
          </cell>
          <cell r="F570" t="str">
            <v/>
          </cell>
          <cell r="G570" t="str">
            <v/>
          </cell>
          <cell r="H570" t="str">
            <v/>
          </cell>
          <cell r="I570">
            <v>236560</v>
          </cell>
          <cell r="J570" t="str">
            <v/>
          </cell>
          <cell r="K570" t="str">
            <v/>
          </cell>
          <cell r="L570">
            <v>-35.995829999999998</v>
          </cell>
          <cell r="M570">
            <v>-37.105580000000003</v>
          </cell>
          <cell r="N570">
            <v>-4.7774999999999999</v>
          </cell>
          <cell r="O570">
            <v>-9.5150900000000007</v>
          </cell>
          <cell r="P570">
            <v>-13.400069999999999</v>
          </cell>
          <cell r="Q570">
            <v>-16.609529999999999</v>
          </cell>
          <cell r="R570">
            <v>-19.18337</v>
          </cell>
          <cell r="S570">
            <v>-21.048279999999998</v>
          </cell>
          <cell r="T570">
            <v>-22.888639999999999</v>
          </cell>
          <cell r="U570">
            <v>-24.66292</v>
          </cell>
          <cell r="V570">
            <v>-26.403880000000001</v>
          </cell>
          <cell r="W570">
            <v>-28.246839999999999</v>
          </cell>
          <cell r="X570">
            <v>-30.349989999999998</v>
          </cell>
          <cell r="Y570">
            <v>-21.417884000000001</v>
          </cell>
        </row>
        <row r="571">
          <cell r="B571">
            <v>236570</v>
          </cell>
          <cell r="C571" t="str">
            <v>Working Capital</v>
          </cell>
          <cell r="D571" t="str">
            <v>TAXES ACCRUED - GROSS INCOME-LIVONIA</v>
          </cell>
          <cell r="E571" t="str">
            <v/>
          </cell>
          <cell r="F571" t="str">
            <v/>
          </cell>
          <cell r="G571" t="str">
            <v/>
          </cell>
          <cell r="H571" t="str">
            <v/>
          </cell>
          <cell r="I571">
            <v>236570</v>
          </cell>
          <cell r="J571" t="str">
            <v/>
          </cell>
          <cell r="K571" t="str">
            <v/>
          </cell>
          <cell r="L571">
            <v>1.197E-2</v>
          </cell>
          <cell r="M571">
            <v>-0.16553999999999999</v>
          </cell>
          <cell r="N571">
            <v>-0.97911000000000004</v>
          </cell>
          <cell r="O571">
            <v>-1.74532</v>
          </cell>
          <cell r="P571">
            <v>-2.3596400000000002</v>
          </cell>
          <cell r="Q571">
            <v>-2.9297200000000001</v>
          </cell>
          <cell r="R571">
            <v>0</v>
          </cell>
          <cell r="S571">
            <v>-0.23375000000000001</v>
          </cell>
          <cell r="T571">
            <v>-0.41517999999999999</v>
          </cell>
          <cell r="U571">
            <v>-0.56301000000000001</v>
          </cell>
          <cell r="V571">
            <v>-0.72701000000000005</v>
          </cell>
          <cell r="W571">
            <v>-0.92257</v>
          </cell>
          <cell r="X571">
            <v>0</v>
          </cell>
          <cell r="Y571">
            <v>-0.91957199999999994</v>
          </cell>
        </row>
        <row r="572">
          <cell r="B572">
            <v>236580</v>
          </cell>
          <cell r="C572" t="str">
            <v>Working Capital</v>
          </cell>
          <cell r="D572" t="str">
            <v>TAXES ACCRUED - GROSS INCOME-AVON</v>
          </cell>
          <cell r="E572" t="str">
            <v/>
          </cell>
          <cell r="F572" t="str">
            <v/>
          </cell>
          <cell r="G572" t="str">
            <v/>
          </cell>
          <cell r="H572" t="str">
            <v/>
          </cell>
          <cell r="I572">
            <v>236580</v>
          </cell>
          <cell r="J572" t="str">
            <v/>
          </cell>
          <cell r="K572" t="str">
            <v/>
          </cell>
          <cell r="L572">
            <v>-13.35525</v>
          </cell>
          <cell r="M572">
            <v>-13.8813</v>
          </cell>
          <cell r="N572">
            <v>-2.0690200000000001</v>
          </cell>
          <cell r="O572">
            <v>-4.2208800000000002</v>
          </cell>
          <cell r="P572">
            <v>-5.9093200000000001</v>
          </cell>
          <cell r="Q572">
            <v>-7.5147500000000003</v>
          </cell>
          <cell r="R572">
            <v>-8.3262400000000003</v>
          </cell>
          <cell r="S572">
            <v>-8.9426299999999994</v>
          </cell>
          <cell r="T572">
            <v>-9.3381000000000007</v>
          </cell>
          <cell r="U572">
            <v>-9.7268799999999995</v>
          </cell>
          <cell r="V572">
            <v>-10.077909999999999</v>
          </cell>
          <cell r="W572">
            <v>-10.536390000000001</v>
          </cell>
          <cell r="X572">
            <v>-11.322649999999999</v>
          </cell>
          <cell r="Y572">
            <v>-8.5735309999999991</v>
          </cell>
        </row>
        <row r="573">
          <cell r="B573">
            <v>236590</v>
          </cell>
          <cell r="C573" t="str">
            <v>Working Capital</v>
          </cell>
          <cell r="D573" t="str">
            <v>TAXES ACCRUED - GROSS INCOME-SODUS VILLAGE</v>
          </cell>
          <cell r="E573" t="str">
            <v/>
          </cell>
          <cell r="F573" t="str">
            <v/>
          </cell>
          <cell r="G573" t="str">
            <v/>
          </cell>
          <cell r="H573" t="str">
            <v/>
          </cell>
          <cell r="I573">
            <v>236590</v>
          </cell>
          <cell r="J573" t="str">
            <v/>
          </cell>
          <cell r="K573" t="str">
            <v/>
          </cell>
          <cell r="L573">
            <v>-0.24013999999999999</v>
          </cell>
          <cell r="M573">
            <v>-0.73294999999999999</v>
          </cell>
          <cell r="N573">
            <v>-2.3496899999999998</v>
          </cell>
          <cell r="O573">
            <v>-3.88042</v>
          </cell>
          <cell r="P573">
            <v>-5.2392799999999999</v>
          </cell>
          <cell r="Q573">
            <v>-6.2618</v>
          </cell>
          <cell r="R573">
            <v>0</v>
          </cell>
          <cell r="S573">
            <v>-0.70913000000000004</v>
          </cell>
          <cell r="T573">
            <v>-1.33043</v>
          </cell>
          <cell r="U573">
            <v>-1.92306</v>
          </cell>
          <cell r="V573">
            <v>-2.5439099999999999</v>
          </cell>
          <cell r="W573">
            <v>-3.1338200000000001</v>
          </cell>
          <cell r="X573">
            <v>0</v>
          </cell>
          <cell r="Y573">
            <v>-2.3520470000000002</v>
          </cell>
        </row>
        <row r="574">
          <cell r="B574">
            <v>236610</v>
          </cell>
          <cell r="C574" t="str">
            <v>Working Capital</v>
          </cell>
          <cell r="D574" t="str">
            <v>TAXES ACCRUED - GROSS INCOME-WEBSTER</v>
          </cell>
          <cell r="E574" t="str">
            <v/>
          </cell>
          <cell r="F574" t="str">
            <v/>
          </cell>
          <cell r="G574" t="str">
            <v/>
          </cell>
          <cell r="H574" t="str">
            <v/>
          </cell>
          <cell r="I574">
            <v>236610</v>
          </cell>
          <cell r="J574" t="str">
            <v/>
          </cell>
          <cell r="K574" t="str">
            <v/>
          </cell>
          <cell r="L574">
            <v>-31.334980000000002</v>
          </cell>
          <cell r="M574">
            <v>-32.085799999999999</v>
          </cell>
          <cell r="N574">
            <v>-3.9383900000000001</v>
          </cell>
          <cell r="O574">
            <v>-7.5217499999999999</v>
          </cell>
          <cell r="P574">
            <v>-10.563599999999999</v>
          </cell>
          <cell r="Q574">
            <v>-13.213760000000001</v>
          </cell>
          <cell r="R574">
            <v>-15.33492</v>
          </cell>
          <cell r="S574">
            <v>-17.419789999999999</v>
          </cell>
          <cell r="T574">
            <v>-19.578220000000002</v>
          </cell>
          <cell r="U574">
            <v>-21.673089999999998</v>
          </cell>
          <cell r="V574">
            <v>-23.735220000000002</v>
          </cell>
          <cell r="W574">
            <v>-25.62782</v>
          </cell>
          <cell r="X574">
            <v>-27.815760000000001</v>
          </cell>
          <cell r="Y574">
            <v>-18.355644000000002</v>
          </cell>
        </row>
        <row r="575">
          <cell r="B575">
            <v>236650</v>
          </cell>
          <cell r="C575" t="str">
            <v>Working Capital</v>
          </cell>
          <cell r="D575" t="str">
            <v>TAXES ACCRUED - GROSS INCOME-LEICESTER</v>
          </cell>
          <cell r="E575" t="str">
            <v/>
          </cell>
          <cell r="F575" t="str">
            <v/>
          </cell>
          <cell r="G575" t="str">
            <v/>
          </cell>
          <cell r="H575" t="str">
            <v/>
          </cell>
          <cell r="I575">
            <v>236650</v>
          </cell>
          <cell r="J575" t="str">
            <v/>
          </cell>
          <cell r="K575" t="str">
            <v/>
          </cell>
          <cell r="L575">
            <v>-2.10364</v>
          </cell>
          <cell r="M575">
            <v>-2.2338399999999998</v>
          </cell>
          <cell r="N575">
            <v>-0.38905000000000001</v>
          </cell>
          <cell r="O575">
            <v>-0.73538000000000003</v>
          </cell>
          <cell r="P575">
            <v>-0.95872999999999997</v>
          </cell>
          <cell r="Q575">
            <v>-1.17496</v>
          </cell>
          <cell r="R575">
            <v>-1.26675</v>
          </cell>
          <cell r="S575">
            <v>-1.3314600000000001</v>
          </cell>
          <cell r="T575">
            <v>-1.3822399999999999</v>
          </cell>
          <cell r="U575">
            <v>-1.43465</v>
          </cell>
          <cell r="V575">
            <v>-1.4922500000000001</v>
          </cell>
          <cell r="W575">
            <v>-1.5811200000000001</v>
          </cell>
          <cell r="X575">
            <v>-1.7574000000000001</v>
          </cell>
          <cell r="Y575">
            <v>-1.3259129999999999</v>
          </cell>
        </row>
        <row r="576">
          <cell r="B576">
            <v>236730</v>
          </cell>
          <cell r="C576" t="str">
            <v>Working Capital</v>
          </cell>
          <cell r="D576" t="str">
            <v>TAXES ACCRUED - STATE EXCISE</v>
          </cell>
          <cell r="E576" t="str">
            <v/>
          </cell>
          <cell r="F576" t="str">
            <v/>
          </cell>
          <cell r="G576" t="str">
            <v/>
          </cell>
          <cell r="H576" t="str">
            <v/>
          </cell>
          <cell r="I576">
            <v>236730</v>
          </cell>
          <cell r="J576" t="str">
            <v/>
          </cell>
          <cell r="K576" t="str">
            <v/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</row>
        <row r="577">
          <cell r="B577">
            <v>236740</v>
          </cell>
          <cell r="C577" t="str">
            <v>Working Capital</v>
          </cell>
          <cell r="D577" t="str">
            <v>TAXES ACCRUED - STATE HAZARDOUS WASTE</v>
          </cell>
          <cell r="E577" t="str">
            <v/>
          </cell>
          <cell r="F577" t="str">
            <v/>
          </cell>
          <cell r="G577" t="str">
            <v/>
          </cell>
          <cell r="H577" t="str">
            <v/>
          </cell>
          <cell r="I577">
            <v>236740</v>
          </cell>
          <cell r="J577" t="str">
            <v/>
          </cell>
          <cell r="K577" t="str">
            <v/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0.26579999999999998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2.215E-2</v>
          </cell>
        </row>
        <row r="578">
          <cell r="B578">
            <v>236810</v>
          </cell>
          <cell r="C578" t="str">
            <v>Working Capital</v>
          </cell>
          <cell r="D578" t="str">
            <v>TAXES ACCRUED - WATER POLLUTION</v>
          </cell>
          <cell r="E578" t="str">
            <v/>
          </cell>
          <cell r="F578" t="str">
            <v/>
          </cell>
          <cell r="G578" t="str">
            <v/>
          </cell>
          <cell r="H578" t="str">
            <v/>
          </cell>
          <cell r="I578">
            <v>236810</v>
          </cell>
          <cell r="J578" t="str">
            <v/>
          </cell>
          <cell r="K578" t="str">
            <v/>
          </cell>
          <cell r="L578">
            <v>0</v>
          </cell>
          <cell r="M578">
            <v>-27.309619999999999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-2.2758020000000001</v>
          </cell>
        </row>
        <row r="579">
          <cell r="B579">
            <v>236905</v>
          </cell>
          <cell r="C579" t="str">
            <v>Working Capital</v>
          </cell>
          <cell r="D579" t="str">
            <v>ACCOUNTS PAYABLE - PROPERTY TAX - RECONCILIATION</v>
          </cell>
          <cell r="E579" t="str">
            <v/>
          </cell>
          <cell r="F579" t="str">
            <v/>
          </cell>
          <cell r="G579" t="str">
            <v/>
          </cell>
          <cell r="H579" t="str">
            <v/>
          </cell>
          <cell r="I579">
            <v>236905</v>
          </cell>
          <cell r="J579" t="str">
            <v/>
          </cell>
          <cell r="K579" t="str">
            <v/>
          </cell>
          <cell r="L579">
            <v>-40.178240000000002</v>
          </cell>
          <cell r="M579">
            <v>-274.30085000000003</v>
          </cell>
          <cell r="N579">
            <v>-234.12261000000001</v>
          </cell>
          <cell r="O579">
            <v>-234.12261000000001</v>
          </cell>
          <cell r="P579">
            <v>-234.12261000000001</v>
          </cell>
          <cell r="Q579">
            <v>-234.12261000000001</v>
          </cell>
          <cell r="R579">
            <v>0</v>
          </cell>
          <cell r="S579">
            <v>0</v>
          </cell>
          <cell r="T579">
            <v>-22.252610000000001</v>
          </cell>
          <cell r="U579">
            <v>-22.252610000000001</v>
          </cell>
          <cell r="V579">
            <v>-22.252610000000001</v>
          </cell>
          <cell r="W579">
            <v>-22.252610000000001</v>
          </cell>
          <cell r="X579">
            <v>-22.252610000000001</v>
          </cell>
          <cell r="Y579">
            <v>-110.91809600000001</v>
          </cell>
        </row>
        <row r="580">
          <cell r="B580">
            <v>236910</v>
          </cell>
          <cell r="C580" t="str">
            <v>Working Capital</v>
          </cell>
          <cell r="D580" t="str">
            <v>TAXES ACCRUED - USE</v>
          </cell>
          <cell r="E580" t="str">
            <v/>
          </cell>
          <cell r="F580" t="str">
            <v/>
          </cell>
          <cell r="G580" t="str">
            <v/>
          </cell>
          <cell r="H580" t="str">
            <v/>
          </cell>
          <cell r="I580">
            <v>236910</v>
          </cell>
          <cell r="J580" t="str">
            <v/>
          </cell>
          <cell r="K580" t="str">
            <v/>
          </cell>
          <cell r="L580">
            <v>-898.07659999999998</v>
          </cell>
          <cell r="M580">
            <v>-1339.29844</v>
          </cell>
          <cell r="N580">
            <v>-443.03291000000002</v>
          </cell>
          <cell r="O580">
            <v>-152.38337000000001</v>
          </cell>
          <cell r="P580">
            <v>-365.96375999999998</v>
          </cell>
          <cell r="Q580">
            <v>-474.88652999999999</v>
          </cell>
          <cell r="R580">
            <v>-398.49446999999998</v>
          </cell>
          <cell r="S580">
            <v>-233.00655</v>
          </cell>
          <cell r="T580">
            <v>-684.73803999999996</v>
          </cell>
          <cell r="U580">
            <v>-609.44856000000004</v>
          </cell>
          <cell r="V580">
            <v>-1180.43471</v>
          </cell>
          <cell r="W580">
            <v>-471.13279999999997</v>
          </cell>
          <cell r="X580">
            <v>-1055.37672</v>
          </cell>
          <cell r="Y580">
            <v>-610.79556700000001</v>
          </cell>
        </row>
        <row r="581">
          <cell r="B581">
            <v>236920</v>
          </cell>
          <cell r="C581" t="str">
            <v>Working Capital</v>
          </cell>
          <cell r="D581" t="str">
            <v>TAXES ACCRD-STATE CORPORATION TAX</v>
          </cell>
          <cell r="E581" t="str">
            <v/>
          </cell>
          <cell r="F581" t="str">
            <v/>
          </cell>
          <cell r="G581" t="str">
            <v/>
          </cell>
          <cell r="H581" t="str">
            <v/>
          </cell>
          <cell r="I581">
            <v>236920</v>
          </cell>
          <cell r="J581" t="str">
            <v/>
          </cell>
          <cell r="K581" t="str">
            <v/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</row>
        <row r="582">
          <cell r="B582">
            <v>236951</v>
          </cell>
          <cell r="C582" t="str">
            <v>Working Capital</v>
          </cell>
          <cell r="D582" t="str">
            <v>RECLASS ACCRUED TAXES TO PREPAID (CURRENT LIAB)</v>
          </cell>
          <cell r="E582" t="str">
            <v/>
          </cell>
          <cell r="F582" t="str">
            <v/>
          </cell>
          <cell r="G582" t="str">
            <v/>
          </cell>
          <cell r="H582" t="str">
            <v/>
          </cell>
          <cell r="I582">
            <v>236951</v>
          </cell>
          <cell r="J582" t="str">
            <v/>
          </cell>
          <cell r="K582" t="str">
            <v/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</row>
        <row r="583">
          <cell r="B583">
            <v>236954</v>
          </cell>
          <cell r="C583" t="str">
            <v>Working Capital</v>
          </cell>
          <cell r="D583" t="str">
            <v>ACCRUED TAXES BEGINNING BALANCE</v>
          </cell>
          <cell r="E583" t="str">
            <v/>
          </cell>
          <cell r="F583" t="str">
            <v/>
          </cell>
          <cell r="G583" t="str">
            <v/>
          </cell>
          <cell r="H583" t="str">
            <v/>
          </cell>
          <cell r="I583">
            <v>236954</v>
          </cell>
          <cell r="J583" t="str">
            <v/>
          </cell>
          <cell r="K583" t="str">
            <v/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</row>
        <row r="584">
          <cell r="B584">
            <v>236960</v>
          </cell>
          <cell r="C584" t="str">
            <v>Working Capital</v>
          </cell>
          <cell r="D584" t="str">
            <v>TAXES ACCRD-HISTORY</v>
          </cell>
          <cell r="E584" t="str">
            <v/>
          </cell>
          <cell r="F584" t="str">
            <v/>
          </cell>
          <cell r="G584" t="str">
            <v/>
          </cell>
          <cell r="H584" t="str">
            <v/>
          </cell>
          <cell r="I584">
            <v>236960</v>
          </cell>
          <cell r="J584" t="str">
            <v/>
          </cell>
          <cell r="K584" t="str">
            <v/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</row>
        <row r="585">
          <cell r="B585">
            <v>237007</v>
          </cell>
          <cell r="C585" t="str">
            <v>Working Capital</v>
          </cell>
          <cell r="D585" t="str">
            <v>TAXES ACCRUED-ELEC-FERC FIN 48 - INTEREST</v>
          </cell>
          <cell r="E585" t="str">
            <v/>
          </cell>
          <cell r="F585" t="str">
            <v/>
          </cell>
          <cell r="G585" t="str">
            <v/>
          </cell>
          <cell r="H585" t="str">
            <v/>
          </cell>
          <cell r="I585">
            <v>237007</v>
          </cell>
          <cell r="J585" t="str">
            <v/>
          </cell>
          <cell r="K585" t="str">
            <v/>
          </cell>
          <cell r="L585">
            <v>-244</v>
          </cell>
          <cell r="M585">
            <v>-256</v>
          </cell>
          <cell r="N585">
            <v>-267</v>
          </cell>
          <cell r="O585">
            <v>-278</v>
          </cell>
          <cell r="P585">
            <v>-291</v>
          </cell>
          <cell r="Q585">
            <v>-303</v>
          </cell>
          <cell r="R585">
            <v>-323</v>
          </cell>
          <cell r="S585">
            <v>-337</v>
          </cell>
          <cell r="T585">
            <v>-353</v>
          </cell>
          <cell r="U585">
            <v>-368</v>
          </cell>
          <cell r="V585">
            <v>-382</v>
          </cell>
          <cell r="W585">
            <v>-393</v>
          </cell>
          <cell r="X585">
            <v>-340</v>
          </cell>
          <cell r="Y585">
            <v>-320.25</v>
          </cell>
        </row>
        <row r="586">
          <cell r="B586">
            <v>237008</v>
          </cell>
          <cell r="C586" t="str">
            <v>Working Capital</v>
          </cell>
          <cell r="D586" t="str">
            <v>TAXES ACCRUED-GAS-FERC FIN 48 - INTEREST</v>
          </cell>
          <cell r="E586" t="str">
            <v/>
          </cell>
          <cell r="F586" t="str">
            <v/>
          </cell>
          <cell r="G586" t="str">
            <v/>
          </cell>
          <cell r="H586" t="str">
            <v/>
          </cell>
          <cell r="I586">
            <v>237008</v>
          </cell>
          <cell r="J586" t="str">
            <v/>
          </cell>
          <cell r="K586" t="str">
            <v/>
          </cell>
          <cell r="L586">
            <v>-54</v>
          </cell>
          <cell r="M586">
            <v>-56</v>
          </cell>
          <cell r="N586">
            <v>-59</v>
          </cell>
          <cell r="O586">
            <v>-62</v>
          </cell>
          <cell r="P586">
            <v>-63</v>
          </cell>
          <cell r="Q586">
            <v>-66</v>
          </cell>
          <cell r="R586">
            <v>-70</v>
          </cell>
          <cell r="S586">
            <v>-74</v>
          </cell>
          <cell r="T586">
            <v>-77</v>
          </cell>
          <cell r="U586">
            <v>-80</v>
          </cell>
          <cell r="V586">
            <v>-83</v>
          </cell>
          <cell r="W586">
            <v>-85</v>
          </cell>
          <cell r="X586">
            <v>-238</v>
          </cell>
          <cell r="Y586">
            <v>-76.75</v>
          </cell>
        </row>
        <row r="587">
          <cell r="B587">
            <v>237099</v>
          </cell>
          <cell r="C587" t="str">
            <v>Working Capital</v>
          </cell>
          <cell r="D587" t="str">
            <v>INTERCOMPANY - INTEREST ACCRUED</v>
          </cell>
          <cell r="E587" t="str">
            <v/>
          </cell>
          <cell r="F587" t="str">
            <v/>
          </cell>
          <cell r="G587" t="str">
            <v/>
          </cell>
          <cell r="H587" t="str">
            <v/>
          </cell>
          <cell r="I587">
            <v>237099</v>
          </cell>
          <cell r="J587" t="str">
            <v/>
          </cell>
          <cell r="K587" t="str">
            <v/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-1.1857500000000001</v>
          </cell>
          <cell r="Q587">
            <v>-9.25488</v>
          </cell>
          <cell r="R587">
            <v>-1.1111500000000001</v>
          </cell>
          <cell r="S587">
            <v>-0.46272000000000002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-1.0012080000000001</v>
          </cell>
        </row>
        <row r="588">
          <cell r="B588">
            <v>237100</v>
          </cell>
          <cell r="C588" t="str">
            <v>Working Capital</v>
          </cell>
          <cell r="D588" t="str">
            <v>INTEREST ACCRUED - LONG TERM DEBT</v>
          </cell>
          <cell r="E588" t="str">
            <v/>
          </cell>
          <cell r="F588" t="str">
            <v/>
          </cell>
          <cell r="G588" t="str">
            <v/>
          </cell>
          <cell r="H588" t="str">
            <v/>
          </cell>
          <cell r="I588">
            <v>237100</v>
          </cell>
          <cell r="J588" t="str">
            <v/>
          </cell>
          <cell r="K588" t="str">
            <v/>
          </cell>
          <cell r="L588">
            <v>-11929.9722</v>
          </cell>
          <cell r="M588">
            <v>-6270.4458299999997</v>
          </cell>
          <cell r="N588">
            <v>-8203.7291700000005</v>
          </cell>
          <cell r="O588">
            <v>-8344.9097199999997</v>
          </cell>
          <cell r="P588">
            <v>-11579.215270000001</v>
          </cell>
          <cell r="Q588">
            <v>-14852.743049999999</v>
          </cell>
          <cell r="R588">
            <v>-11930.916660000001</v>
          </cell>
          <cell r="S588">
            <v>-5939.6263799999997</v>
          </cell>
          <cell r="T588">
            <v>-8898.7013800000004</v>
          </cell>
          <cell r="U588">
            <v>-9233.2152700000006</v>
          </cell>
          <cell r="V588">
            <v>-12911.633330000001</v>
          </cell>
          <cell r="W588">
            <v>-16592.001380000002</v>
          </cell>
          <cell r="X588">
            <v>-13563.555539999999</v>
          </cell>
          <cell r="Y588">
            <v>-10625.325108999999</v>
          </cell>
        </row>
        <row r="589">
          <cell r="B589">
            <v>237210</v>
          </cell>
          <cell r="C589" t="str">
            <v>Working Capital</v>
          </cell>
          <cell r="D589" t="str">
            <v>INTEREST ACCRUED - NOTES PAYABLE</v>
          </cell>
          <cell r="E589" t="str">
            <v/>
          </cell>
          <cell r="F589" t="str">
            <v/>
          </cell>
          <cell r="G589" t="str">
            <v/>
          </cell>
          <cell r="H589" t="str">
            <v/>
          </cell>
          <cell r="I589">
            <v>237210</v>
          </cell>
          <cell r="J589" t="str">
            <v/>
          </cell>
          <cell r="K589" t="str">
            <v/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</row>
        <row r="590">
          <cell r="B590">
            <v>237300</v>
          </cell>
          <cell r="C590" t="str">
            <v>Working Capital</v>
          </cell>
          <cell r="D590" t="str">
            <v>INTEREST ACCRUED - CUSTOMER DEPOSITS</v>
          </cell>
          <cell r="E590" t="str">
            <v/>
          </cell>
          <cell r="F590" t="str">
            <v/>
          </cell>
          <cell r="G590" t="str">
            <v/>
          </cell>
          <cell r="H590" t="str">
            <v/>
          </cell>
          <cell r="I590">
            <v>237300</v>
          </cell>
          <cell r="J590" t="str">
            <v/>
          </cell>
          <cell r="K590" t="str">
            <v/>
          </cell>
          <cell r="L590">
            <v>-24.411770000000001</v>
          </cell>
          <cell r="M590">
            <v>-32.33784</v>
          </cell>
          <cell r="N590">
            <v>-40.131540000000001</v>
          </cell>
          <cell r="O590">
            <v>-48.060209999999998</v>
          </cell>
          <cell r="P590">
            <v>-55.912210000000002</v>
          </cell>
          <cell r="Q590">
            <v>-63.746839999999999</v>
          </cell>
          <cell r="R590">
            <v>-71.540790000000001</v>
          </cell>
          <cell r="S590">
            <v>-79.330780000000004</v>
          </cell>
          <cell r="T590">
            <v>-87.023880000000005</v>
          </cell>
          <cell r="U590">
            <v>-94.871679999999998</v>
          </cell>
          <cell r="V590">
            <v>4.0999999999999999E-4</v>
          </cell>
          <cell r="W590">
            <v>-7.6608000000000001</v>
          </cell>
          <cell r="X590">
            <v>-15.296849999999999</v>
          </cell>
          <cell r="Y590">
            <v>-50.039206</v>
          </cell>
        </row>
        <row r="591">
          <cell r="B591">
            <v>237400</v>
          </cell>
          <cell r="C591" t="str">
            <v>Working Capital</v>
          </cell>
          <cell r="D591" t="str">
            <v>INTEREST ACCRUED - MISCELLANEOUS</v>
          </cell>
          <cell r="E591" t="str">
            <v/>
          </cell>
          <cell r="F591" t="str">
            <v/>
          </cell>
          <cell r="G591" t="str">
            <v/>
          </cell>
          <cell r="H591" t="str">
            <v/>
          </cell>
          <cell r="I591">
            <v>237400</v>
          </cell>
          <cell r="J591" t="str">
            <v/>
          </cell>
          <cell r="K591" t="str">
            <v/>
          </cell>
          <cell r="L591">
            <v>0</v>
          </cell>
          <cell r="M591">
            <v>0</v>
          </cell>
          <cell r="N591">
            <v>-1.4461200000000001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-0.12051000000000001</v>
          </cell>
        </row>
        <row r="592">
          <cell r="B592">
            <v>237401</v>
          </cell>
          <cell r="C592" t="str">
            <v>Working Capital</v>
          </cell>
          <cell r="D592" t="str">
            <v>INTEREST ACCRUED - HESS</v>
          </cell>
          <cell r="E592" t="str">
            <v/>
          </cell>
          <cell r="F592" t="str">
            <v/>
          </cell>
          <cell r="G592" t="str">
            <v/>
          </cell>
          <cell r="H592" t="str">
            <v/>
          </cell>
          <cell r="I592">
            <v>237401</v>
          </cell>
          <cell r="J592" t="str">
            <v/>
          </cell>
          <cell r="K592" t="str">
            <v/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</row>
        <row r="593">
          <cell r="B593">
            <v>237430</v>
          </cell>
          <cell r="C593" t="str">
            <v>Working Capital</v>
          </cell>
          <cell r="D593" t="str">
            <v>INTEREST ACCRD-SUPPLIER DEPOSIT-GAS</v>
          </cell>
          <cell r="E593" t="str">
            <v/>
          </cell>
          <cell r="F593" t="str">
            <v/>
          </cell>
          <cell r="G593" t="str">
            <v/>
          </cell>
          <cell r="H593" t="str">
            <v/>
          </cell>
          <cell r="I593">
            <v>237430</v>
          </cell>
          <cell r="J593" t="str">
            <v/>
          </cell>
          <cell r="K593" t="str">
            <v/>
          </cell>
          <cell r="L593">
            <v>-1.3734</v>
          </cell>
          <cell r="M593">
            <v>-1.46469</v>
          </cell>
          <cell r="N593">
            <v>-1.5559799999999999</v>
          </cell>
          <cell r="O593">
            <v>-0.90386999999999995</v>
          </cell>
          <cell r="P593">
            <v>-0.99516000000000004</v>
          </cell>
          <cell r="Q593">
            <v>-1.0864499999999999</v>
          </cell>
          <cell r="R593">
            <v>-1.17774</v>
          </cell>
          <cell r="S593">
            <v>-1.2690300000000001</v>
          </cell>
          <cell r="T593">
            <v>-0.73031999999999997</v>
          </cell>
          <cell r="U593">
            <v>-0.44468999999999997</v>
          </cell>
          <cell r="V593">
            <v>-0.49409999999999998</v>
          </cell>
          <cell r="W593">
            <v>-0.54351000000000005</v>
          </cell>
          <cell r="X593">
            <v>-0.59292</v>
          </cell>
          <cell r="Y593">
            <v>-0.97072499999999995</v>
          </cell>
        </row>
        <row r="594">
          <cell r="B594">
            <v>238199</v>
          </cell>
          <cell r="C594" t="str">
            <v>CAP</v>
          </cell>
          <cell r="D594" t="str">
            <v>INTERCOMPANY - DIVIDENDS PAYABLE</v>
          </cell>
          <cell r="E594" t="str">
            <v/>
          </cell>
          <cell r="F594" t="str">
            <v/>
          </cell>
          <cell r="G594" t="str">
            <v/>
          </cell>
          <cell r="H594" t="str">
            <v/>
          </cell>
          <cell r="I594" t="str">
            <v/>
          </cell>
          <cell r="J594" t="str">
            <v/>
          </cell>
          <cell r="K594">
            <v>238199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</row>
        <row r="595">
          <cell r="B595">
            <v>238200</v>
          </cell>
          <cell r="C595" t="str">
            <v>CAP</v>
          </cell>
          <cell r="D595" t="str">
            <v>DIVIDENDS PAYABLE - PREFERRED STOCK</v>
          </cell>
          <cell r="E595" t="str">
            <v/>
          </cell>
          <cell r="F595" t="str">
            <v/>
          </cell>
          <cell r="G595" t="str">
            <v/>
          </cell>
          <cell r="H595" t="str">
            <v/>
          </cell>
          <cell r="I595" t="str">
            <v/>
          </cell>
          <cell r="J595" t="str">
            <v/>
          </cell>
          <cell r="K595">
            <v>238200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</row>
        <row r="596">
          <cell r="B596">
            <v>241100</v>
          </cell>
          <cell r="C596" t="str">
            <v>Working Capital</v>
          </cell>
          <cell r="D596" t="str">
            <v>TAX COLLECTIONS PAYABLE - WITHHOLDING TAX</v>
          </cell>
          <cell r="E596" t="str">
            <v/>
          </cell>
          <cell r="F596" t="str">
            <v/>
          </cell>
          <cell r="G596" t="str">
            <v/>
          </cell>
          <cell r="H596" t="str">
            <v/>
          </cell>
          <cell r="I596">
            <v>241100</v>
          </cell>
          <cell r="J596" t="str">
            <v/>
          </cell>
          <cell r="K596" t="str">
            <v/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</row>
        <row r="597">
          <cell r="B597">
            <v>241200</v>
          </cell>
          <cell r="C597" t="str">
            <v>Working Capital</v>
          </cell>
          <cell r="D597" t="str">
            <v>TAX COLLECTIONS PAYABLE - FICA</v>
          </cell>
          <cell r="E597" t="str">
            <v/>
          </cell>
          <cell r="F597" t="str">
            <v/>
          </cell>
          <cell r="G597" t="str">
            <v/>
          </cell>
          <cell r="H597" t="str">
            <v/>
          </cell>
          <cell r="I597">
            <v>241200</v>
          </cell>
          <cell r="J597" t="str">
            <v/>
          </cell>
          <cell r="K597" t="str">
            <v/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</row>
        <row r="598">
          <cell r="B598">
            <v>241300</v>
          </cell>
          <cell r="C598" t="str">
            <v>Working Capital</v>
          </cell>
          <cell r="D598" t="str">
            <v>TAX COLLECTIONS PAYABLE - WITHHOLDING TAX-NYS</v>
          </cell>
          <cell r="E598" t="str">
            <v/>
          </cell>
          <cell r="F598" t="str">
            <v/>
          </cell>
          <cell r="G598" t="str">
            <v/>
          </cell>
          <cell r="H598" t="str">
            <v/>
          </cell>
          <cell r="I598">
            <v>241300</v>
          </cell>
          <cell r="J598" t="str">
            <v/>
          </cell>
          <cell r="K598" t="str">
            <v/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</row>
        <row r="599">
          <cell r="B599">
            <v>241400</v>
          </cell>
          <cell r="C599" t="str">
            <v>Working Capital</v>
          </cell>
          <cell r="D599" t="str">
            <v>TAX COLLECTIONS PAYABLE - STATE LOCAL SALES TAX</v>
          </cell>
          <cell r="E599" t="str">
            <v/>
          </cell>
          <cell r="F599" t="str">
            <v/>
          </cell>
          <cell r="G599" t="str">
            <v/>
          </cell>
          <cell r="H599" t="str">
            <v/>
          </cell>
          <cell r="I599">
            <v>241400</v>
          </cell>
          <cell r="J599" t="str">
            <v/>
          </cell>
          <cell r="K599" t="str">
            <v/>
          </cell>
          <cell r="L599">
            <v>41080.025979999999</v>
          </cell>
          <cell r="M599">
            <v>41825.61419</v>
          </cell>
          <cell r="N599">
            <v>42712.357550000001</v>
          </cell>
          <cell r="O599">
            <v>43544.277300000002</v>
          </cell>
          <cell r="P599">
            <v>44216.858829999997</v>
          </cell>
          <cell r="Q599">
            <v>44817.255539999998</v>
          </cell>
          <cell r="R599">
            <v>45334.597540000002</v>
          </cell>
          <cell r="S599">
            <v>45841.844369999999</v>
          </cell>
          <cell r="T599">
            <v>46416.097849999998</v>
          </cell>
          <cell r="U599">
            <v>46957.409240000001</v>
          </cell>
          <cell r="V599">
            <v>47450.367039999997</v>
          </cell>
          <cell r="W599">
            <v>47934.92987</v>
          </cell>
          <cell r="X599">
            <v>48469.904289999999</v>
          </cell>
          <cell r="Y599">
            <v>45152.214538</v>
          </cell>
        </row>
        <row r="600">
          <cell r="B600">
            <v>241401</v>
          </cell>
          <cell r="C600" t="str">
            <v>Working Capital</v>
          </cell>
          <cell r="D600" t="str">
            <v>TAX COLLECTIONS PAYABLE-BEGINNING BALANCE RECLASS</v>
          </cell>
          <cell r="E600" t="str">
            <v/>
          </cell>
          <cell r="F600" t="str">
            <v/>
          </cell>
          <cell r="G600" t="str">
            <v/>
          </cell>
          <cell r="H600" t="str">
            <v/>
          </cell>
          <cell r="I600">
            <v>241401</v>
          </cell>
          <cell r="J600" t="str">
            <v/>
          </cell>
          <cell r="K600" t="str">
            <v/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</row>
        <row r="601">
          <cell r="B601">
            <v>241410</v>
          </cell>
          <cell r="C601" t="str">
            <v>Working Capital</v>
          </cell>
          <cell r="D601" t="str">
            <v>TAX COLLECTIONS PAYABLE-STATE LOCAL SALES TAX-CCS</v>
          </cell>
          <cell r="E601" t="str">
            <v/>
          </cell>
          <cell r="F601" t="str">
            <v/>
          </cell>
          <cell r="G601" t="str">
            <v/>
          </cell>
          <cell r="H601" t="str">
            <v/>
          </cell>
          <cell r="I601">
            <v>241410</v>
          </cell>
          <cell r="J601" t="str">
            <v/>
          </cell>
          <cell r="K601" t="str">
            <v/>
          </cell>
          <cell r="L601">
            <v>-41155.132080000003</v>
          </cell>
          <cell r="M601">
            <v>-42048.204010000001</v>
          </cell>
          <cell r="N601">
            <v>-42879.75159</v>
          </cell>
          <cell r="O601">
            <v>-43553.159699999997</v>
          </cell>
          <cell r="P601">
            <v>-44154.69528</v>
          </cell>
          <cell r="Q601">
            <v>-44672.97219</v>
          </cell>
          <cell r="R601">
            <v>-45202.683669999999</v>
          </cell>
          <cell r="S601">
            <v>-45753.462160000003</v>
          </cell>
          <cell r="T601">
            <v>-46293.969640000003</v>
          </cell>
          <cell r="U601">
            <v>-46798.319770000002</v>
          </cell>
          <cell r="V601">
            <v>-47273.341800000002</v>
          </cell>
          <cell r="W601">
            <v>-47799.225740000002</v>
          </cell>
          <cell r="X601">
            <v>-48420.734689999997</v>
          </cell>
          <cell r="Y601">
            <v>-45101.476578000002</v>
          </cell>
        </row>
        <row r="602">
          <cell r="B602">
            <v>241500</v>
          </cell>
          <cell r="C602" t="str">
            <v>Working Capital</v>
          </cell>
          <cell r="D602" t="str">
            <v>TAX COLLECTIONS PAYABLE - STATE GAS IMPORT TAX</v>
          </cell>
          <cell r="E602" t="str">
            <v/>
          </cell>
          <cell r="F602" t="str">
            <v/>
          </cell>
          <cell r="G602" t="str">
            <v/>
          </cell>
          <cell r="H602" t="str">
            <v/>
          </cell>
          <cell r="I602">
            <v>241500</v>
          </cell>
          <cell r="J602" t="str">
            <v/>
          </cell>
          <cell r="K602" t="str">
            <v/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</row>
        <row r="603">
          <cell r="B603">
            <v>241700</v>
          </cell>
          <cell r="C603" t="str">
            <v>Working Capital</v>
          </cell>
          <cell r="D603" t="str">
            <v>TAX COLLECT PAYABLE-STATE PETROLEUM BUSINESS TAX</v>
          </cell>
          <cell r="E603" t="str">
            <v/>
          </cell>
          <cell r="F603" t="str">
            <v/>
          </cell>
          <cell r="G603" t="str">
            <v/>
          </cell>
          <cell r="H603" t="str">
            <v/>
          </cell>
          <cell r="I603">
            <v>241700</v>
          </cell>
          <cell r="J603" t="str">
            <v/>
          </cell>
          <cell r="K603" t="str">
            <v/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</row>
        <row r="604">
          <cell r="B604">
            <v>242010</v>
          </cell>
          <cell r="C604" t="str">
            <v>Working Capital</v>
          </cell>
          <cell r="D604" t="str">
            <v>MISC CUR &amp; ACCR LIAB - PAYROLL ACCRUED</v>
          </cell>
          <cell r="E604" t="str">
            <v/>
          </cell>
          <cell r="F604" t="str">
            <v/>
          </cell>
          <cell r="G604" t="str">
            <v/>
          </cell>
          <cell r="H604" t="str">
            <v/>
          </cell>
          <cell r="I604">
            <v>242010</v>
          </cell>
          <cell r="J604" t="str">
            <v/>
          </cell>
          <cell r="K604" t="str">
            <v/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</row>
        <row r="605">
          <cell r="B605">
            <v>242011</v>
          </cell>
          <cell r="C605" t="str">
            <v>Working Capital</v>
          </cell>
          <cell r="D605" t="str">
            <v>WORKERS COMP BEGINNING BALANCE</v>
          </cell>
          <cell r="E605" t="str">
            <v/>
          </cell>
          <cell r="F605" t="str">
            <v/>
          </cell>
          <cell r="G605" t="str">
            <v/>
          </cell>
          <cell r="H605" t="str">
            <v/>
          </cell>
          <cell r="I605">
            <v>242011</v>
          </cell>
          <cell r="J605" t="str">
            <v/>
          </cell>
          <cell r="K605" t="str">
            <v/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</row>
        <row r="606">
          <cell r="B606">
            <v>242020</v>
          </cell>
          <cell r="C606" t="str">
            <v>Working Capital</v>
          </cell>
          <cell r="D606" t="str">
            <v>MISC CUR &amp; ACCR LIAB - SYSTEMS BENEFIT CHARGE</v>
          </cell>
          <cell r="E606" t="str">
            <v/>
          </cell>
          <cell r="F606" t="str">
            <v/>
          </cell>
          <cell r="G606" t="str">
            <v/>
          </cell>
          <cell r="H606" t="str">
            <v/>
          </cell>
          <cell r="I606">
            <v>242020</v>
          </cell>
          <cell r="J606" t="str">
            <v/>
          </cell>
          <cell r="K606" t="str">
            <v/>
          </cell>
          <cell r="L606">
            <v>-1197.2382399999999</v>
          </cell>
          <cell r="M606">
            <v>-2059.18217</v>
          </cell>
          <cell r="N606">
            <v>-2415.8186799999999</v>
          </cell>
          <cell r="O606">
            <v>-2411.7689399999999</v>
          </cell>
          <cell r="P606">
            <v>-2410.57206</v>
          </cell>
          <cell r="Q606">
            <v>-2440.3010199999999</v>
          </cell>
          <cell r="R606">
            <v>-2440.1539400000001</v>
          </cell>
          <cell r="S606">
            <v>-2439.9541199999999</v>
          </cell>
          <cell r="T606">
            <v>-2439.7777599999999</v>
          </cell>
          <cell r="U606">
            <v>-2439.7388000000001</v>
          </cell>
          <cell r="V606">
            <v>-2439.5126399999999</v>
          </cell>
          <cell r="W606">
            <v>-2439.3270600000001</v>
          </cell>
          <cell r="X606">
            <v>-2439.0258100000001</v>
          </cell>
          <cell r="Y606">
            <v>-2349.5199349999998</v>
          </cell>
        </row>
        <row r="607">
          <cell r="B607">
            <v>242021</v>
          </cell>
          <cell r="C607" t="str">
            <v>Working Capital</v>
          </cell>
          <cell r="D607" t="str">
            <v>MISC CUR &amp; ACCR LIAB-RENEWABLE PORTFOLIO STANDARD</v>
          </cell>
          <cell r="E607" t="str">
            <v/>
          </cell>
          <cell r="F607" t="str">
            <v/>
          </cell>
          <cell r="G607" t="str">
            <v/>
          </cell>
          <cell r="H607" t="str">
            <v/>
          </cell>
          <cell r="I607">
            <v>242021</v>
          </cell>
          <cell r="J607" t="str">
            <v/>
          </cell>
          <cell r="K607" t="str">
            <v/>
          </cell>
          <cell r="L607">
            <v>-3143.3111600000002</v>
          </cell>
          <cell r="M607">
            <v>-4216.4474399999999</v>
          </cell>
          <cell r="N607">
            <v>-5176.3725599999998</v>
          </cell>
          <cell r="O607">
            <v>-3240.9340400000001</v>
          </cell>
          <cell r="P607">
            <v>-1213.3004699999999</v>
          </cell>
          <cell r="Q607">
            <v>-2231.0157599999998</v>
          </cell>
          <cell r="R607">
            <v>-3290.3935799999999</v>
          </cell>
          <cell r="S607">
            <v>-1595.86239</v>
          </cell>
          <cell r="T607">
            <v>-2746.9517300000002</v>
          </cell>
          <cell r="U607">
            <v>-3761.9775599999998</v>
          </cell>
          <cell r="V607">
            <v>-1718.6765399999999</v>
          </cell>
          <cell r="W607">
            <v>-2780.6881699999999</v>
          </cell>
          <cell r="X607">
            <v>-3944.52783</v>
          </cell>
          <cell r="Y607">
            <v>-2959.7116449999999</v>
          </cell>
        </row>
        <row r="608">
          <cell r="B608">
            <v>242022</v>
          </cell>
          <cell r="C608" t="str">
            <v>Working Capital</v>
          </cell>
          <cell r="D608" t="str">
            <v>CURRENT LIABILITY - EEPS</v>
          </cell>
          <cell r="E608" t="str">
            <v/>
          </cell>
          <cell r="F608" t="str">
            <v/>
          </cell>
          <cell r="G608" t="str">
            <v/>
          </cell>
          <cell r="H608" t="str">
            <v/>
          </cell>
          <cell r="I608">
            <v>242022</v>
          </cell>
          <cell r="J608" t="str">
            <v/>
          </cell>
          <cell r="K608" t="str">
            <v/>
          </cell>
          <cell r="L608">
            <v>-7748.4725200000003</v>
          </cell>
          <cell r="M608">
            <v>-10069.761130000001</v>
          </cell>
          <cell r="N608">
            <v>-10207.285599999999</v>
          </cell>
          <cell r="O608">
            <v>-8191.2539900000002</v>
          </cell>
          <cell r="P608">
            <v>-6849.9308300000002</v>
          </cell>
          <cell r="Q608">
            <v>-7110.8151799999996</v>
          </cell>
          <cell r="R608">
            <v>-7693.1914399999996</v>
          </cell>
          <cell r="S608">
            <v>-7182.6622200000002</v>
          </cell>
          <cell r="T608">
            <v>-7374.6557599999996</v>
          </cell>
          <cell r="U608">
            <v>-7777.2620100000004</v>
          </cell>
          <cell r="V608">
            <v>-6263.4008700000004</v>
          </cell>
          <cell r="W608">
            <v>-6624.1674800000001</v>
          </cell>
          <cell r="X608">
            <v>-6639.6396000000004</v>
          </cell>
          <cell r="Y608">
            <v>-7711.536881</v>
          </cell>
        </row>
        <row r="609">
          <cell r="B609">
            <v>242024</v>
          </cell>
          <cell r="C609" t="str">
            <v>Working Capital</v>
          </cell>
          <cell r="D609" t="str">
            <v>CURR &amp; ACCR LIABILITY-EEPS GAS</v>
          </cell>
          <cell r="E609" t="str">
            <v/>
          </cell>
          <cell r="F609" t="str">
            <v/>
          </cell>
          <cell r="G609" t="str">
            <v/>
          </cell>
          <cell r="H609" t="str">
            <v/>
          </cell>
          <cell r="I609">
            <v>242024</v>
          </cell>
          <cell r="J609" t="str">
            <v/>
          </cell>
          <cell r="K609" t="str">
            <v/>
          </cell>
          <cell r="L609">
            <v>0</v>
          </cell>
          <cell r="M609">
            <v>39.509140000000002</v>
          </cell>
          <cell r="N609">
            <v>-887.26142000000004</v>
          </cell>
          <cell r="O609">
            <v>-852.67192999999997</v>
          </cell>
          <cell r="P609">
            <v>-635.35961999999995</v>
          </cell>
          <cell r="Q609">
            <v>-893.73278000000005</v>
          </cell>
          <cell r="R609">
            <v>-1150.13087</v>
          </cell>
          <cell r="S609">
            <v>-807.34421999999995</v>
          </cell>
          <cell r="T609">
            <v>-643.82196999999996</v>
          </cell>
          <cell r="U609">
            <v>-723.57623000000001</v>
          </cell>
          <cell r="V609">
            <v>-220.57543999999999</v>
          </cell>
          <cell r="W609">
            <v>-570.86739999999998</v>
          </cell>
          <cell r="X609">
            <v>-1663.82584</v>
          </cell>
          <cell r="Y609">
            <v>-681.47880499999997</v>
          </cell>
        </row>
        <row r="610">
          <cell r="B610">
            <v>242030</v>
          </cell>
          <cell r="C610" t="str">
            <v>Working Capital</v>
          </cell>
          <cell r="D610" t="str">
            <v>MISC CUR &amp; ACCR LIAB - PERFORMANCE PLUS PLAN</v>
          </cell>
          <cell r="E610" t="str">
            <v/>
          </cell>
          <cell r="F610" t="str">
            <v/>
          </cell>
          <cell r="G610" t="str">
            <v/>
          </cell>
          <cell r="H610" t="str">
            <v/>
          </cell>
          <cell r="I610">
            <v>242030</v>
          </cell>
          <cell r="J610" t="str">
            <v/>
          </cell>
          <cell r="K610" t="str">
            <v/>
          </cell>
          <cell r="L610">
            <v>-1851.8579999999999</v>
          </cell>
          <cell r="M610">
            <v>-1970.287</v>
          </cell>
          <cell r="N610">
            <v>-2088.7159999999999</v>
          </cell>
          <cell r="O610">
            <v>-355.28699999999998</v>
          </cell>
          <cell r="P610">
            <v>-473.71600000000001</v>
          </cell>
          <cell r="Q610">
            <v>-592.14499999999998</v>
          </cell>
          <cell r="R610">
            <v>-710.57399999999996</v>
          </cell>
          <cell r="S610">
            <v>-829.00300000000004</v>
          </cell>
          <cell r="T610">
            <v>-947.43200000000002</v>
          </cell>
          <cell r="U610">
            <v>-1065.8610000000001</v>
          </cell>
          <cell r="V610">
            <v>-1184.29</v>
          </cell>
          <cell r="W610">
            <v>-1302.7190000000001</v>
          </cell>
          <cell r="X610">
            <v>-1924.12211</v>
          </cell>
          <cell r="Y610">
            <v>-1117.3350049999999</v>
          </cell>
        </row>
        <row r="611">
          <cell r="B611">
            <v>242035</v>
          </cell>
          <cell r="C611" t="str">
            <v>Not in RTBS</v>
          </cell>
          <cell r="D611" t="str">
            <v>MISC CUR&amp;ACCRD LIAB-STK OPTION AWARD PLAN</v>
          </cell>
          <cell r="E611" t="str">
            <v/>
          </cell>
          <cell r="F611" t="str">
            <v/>
          </cell>
          <cell r="G611" t="str">
            <v/>
          </cell>
          <cell r="H611" t="str">
            <v/>
          </cell>
          <cell r="I611" t="str">
            <v/>
          </cell>
          <cell r="J611">
            <v>242035</v>
          </cell>
          <cell r="K611" t="str">
            <v/>
          </cell>
          <cell r="L611">
            <v>-111.34871</v>
          </cell>
          <cell r="M611">
            <v>-128.59452999999999</v>
          </cell>
          <cell r="N611">
            <v>-136.04614000000001</v>
          </cell>
          <cell r="O611">
            <v>-140.74009000000001</v>
          </cell>
          <cell r="P611">
            <v>-155.62727000000001</v>
          </cell>
          <cell r="Q611">
            <v>-153.55355</v>
          </cell>
          <cell r="R611">
            <v>-159.59020000000001</v>
          </cell>
          <cell r="S611">
            <v>-151.14758</v>
          </cell>
          <cell r="T611">
            <v>-196.46176</v>
          </cell>
          <cell r="U611">
            <v>-321.73570000000001</v>
          </cell>
          <cell r="V611">
            <v>-355.21487000000002</v>
          </cell>
          <cell r="W611">
            <v>-413.90667999999999</v>
          </cell>
          <cell r="X611">
            <v>-424.92158999999998</v>
          </cell>
          <cell r="Y611">
            <v>-215.062793</v>
          </cell>
        </row>
        <row r="612">
          <cell r="B612">
            <v>242060</v>
          </cell>
          <cell r="C612" t="str">
            <v>Working Capital</v>
          </cell>
          <cell r="D612" t="str">
            <v>MISC CUR &amp; ACCR LIAB - EQUAL PAYMENT PLAN</v>
          </cell>
          <cell r="E612" t="str">
            <v/>
          </cell>
          <cell r="F612" t="str">
            <v/>
          </cell>
          <cell r="G612" t="str">
            <v/>
          </cell>
          <cell r="H612" t="str">
            <v/>
          </cell>
          <cell r="I612">
            <v>242060</v>
          </cell>
          <cell r="J612" t="str">
            <v/>
          </cell>
          <cell r="K612" t="str">
            <v/>
          </cell>
          <cell r="L612">
            <v>-12534.398740000001</v>
          </cell>
          <cell r="M612">
            <v>-8700.9203899999993</v>
          </cell>
          <cell r="N612">
            <v>-6286.3776699999999</v>
          </cell>
          <cell r="O612">
            <v>-6019.6163500000002</v>
          </cell>
          <cell r="P612">
            <v>-5279.9856</v>
          </cell>
          <cell r="Q612">
            <v>-5380.8082400000003</v>
          </cell>
          <cell r="R612">
            <v>-5376.6967000000004</v>
          </cell>
          <cell r="S612">
            <v>-5428.81369</v>
          </cell>
          <cell r="T612">
            <v>-6296.7135099999996</v>
          </cell>
          <cell r="U612">
            <v>-6532.6362099999997</v>
          </cell>
          <cell r="V612">
            <v>-7728.0173699999996</v>
          </cell>
          <cell r="W612">
            <v>-8690.3101600000009</v>
          </cell>
          <cell r="X612">
            <v>-9575.3230100000001</v>
          </cell>
          <cell r="Y612">
            <v>-6897.97973</v>
          </cell>
        </row>
        <row r="613">
          <cell r="B613">
            <v>242070</v>
          </cell>
          <cell r="C613" t="str">
            <v>Not in RTBS</v>
          </cell>
          <cell r="D613" t="str">
            <v>MISC CUR &amp; ACCR LIAB - EXECUTIVE INCENTIVE PLAN</v>
          </cell>
          <cell r="E613" t="str">
            <v/>
          </cell>
          <cell r="F613" t="str">
            <v/>
          </cell>
          <cell r="G613" t="str">
            <v/>
          </cell>
          <cell r="H613" t="str">
            <v/>
          </cell>
          <cell r="I613" t="str">
            <v/>
          </cell>
          <cell r="J613">
            <v>242070</v>
          </cell>
          <cell r="K613" t="str">
            <v/>
          </cell>
          <cell r="L613">
            <v>-708.99995999999999</v>
          </cell>
          <cell r="M613">
            <v>-735.89595999999995</v>
          </cell>
          <cell r="N613">
            <v>-762.79196000000002</v>
          </cell>
          <cell r="O613">
            <v>-80.688000000000002</v>
          </cell>
          <cell r="P613">
            <v>-107.584</v>
          </cell>
          <cell r="Q613">
            <v>-134.47999999999999</v>
          </cell>
          <cell r="R613">
            <v>-161.376</v>
          </cell>
          <cell r="S613">
            <v>-188.27199999999999</v>
          </cell>
          <cell r="T613">
            <v>-215.16800000000001</v>
          </cell>
          <cell r="U613">
            <v>-242.06399999999999</v>
          </cell>
          <cell r="V613">
            <v>-268.95999999999998</v>
          </cell>
          <cell r="W613">
            <v>-295.85599999999999</v>
          </cell>
          <cell r="X613">
            <v>-476.78287999999998</v>
          </cell>
          <cell r="Y613">
            <v>-315.50227799999999</v>
          </cell>
        </row>
        <row r="614">
          <cell r="B614">
            <v>242080</v>
          </cell>
          <cell r="C614" t="str">
            <v>Working Capital</v>
          </cell>
          <cell r="D614" t="str">
            <v>MISC CUR &amp; ACCR LIAB - GAS TRANSP CUSTOMERS</v>
          </cell>
          <cell r="E614" t="str">
            <v/>
          </cell>
          <cell r="F614" t="str">
            <v/>
          </cell>
          <cell r="G614" t="str">
            <v/>
          </cell>
          <cell r="H614" t="str">
            <v/>
          </cell>
          <cell r="I614">
            <v>242080</v>
          </cell>
          <cell r="J614" t="str">
            <v/>
          </cell>
          <cell r="K614" t="str">
            <v/>
          </cell>
          <cell r="L614">
            <v>-229.86266000000001</v>
          </cell>
          <cell r="M614">
            <v>47.25506</v>
          </cell>
          <cell r="N614">
            <v>311.20137999999997</v>
          </cell>
          <cell r="O614">
            <v>215.24969999999999</v>
          </cell>
          <cell r="P614">
            <v>-446.52118000000002</v>
          </cell>
          <cell r="Q614">
            <v>438.60676999999998</v>
          </cell>
          <cell r="R614">
            <v>136.79447999999999</v>
          </cell>
          <cell r="S614">
            <v>8.9504599999999996</v>
          </cell>
          <cell r="T614">
            <v>-34.220930000000003</v>
          </cell>
          <cell r="U614">
            <v>-193.19468000000001</v>
          </cell>
          <cell r="V614">
            <v>-63.318170000000002</v>
          </cell>
          <cell r="W614">
            <v>-156.94832</v>
          </cell>
          <cell r="X614">
            <v>-230.68538000000001</v>
          </cell>
          <cell r="Y614">
            <v>2.7983790000000002</v>
          </cell>
        </row>
        <row r="615">
          <cell r="B615">
            <v>242090</v>
          </cell>
          <cell r="C615" t="str">
            <v>Working Capital</v>
          </cell>
          <cell r="D615" t="str">
            <v>MISC CUR &amp; ACCR LIAB - MISCELLANEOUS</v>
          </cell>
          <cell r="E615" t="str">
            <v/>
          </cell>
          <cell r="F615" t="str">
            <v/>
          </cell>
          <cell r="G615" t="str">
            <v/>
          </cell>
          <cell r="H615" t="str">
            <v/>
          </cell>
          <cell r="I615">
            <v>242090</v>
          </cell>
          <cell r="J615" t="str">
            <v/>
          </cell>
          <cell r="K615" t="str">
            <v/>
          </cell>
          <cell r="L615">
            <v>-739.75879999999995</v>
          </cell>
          <cell r="M615">
            <v>-773.51526000000001</v>
          </cell>
          <cell r="N615">
            <v>-812.37171999999998</v>
          </cell>
          <cell r="O615">
            <v>-811.98122000000001</v>
          </cell>
          <cell r="P615">
            <v>-621.36371999999994</v>
          </cell>
          <cell r="Q615">
            <v>-581.34076000000005</v>
          </cell>
          <cell r="R615">
            <v>-652.09371999999996</v>
          </cell>
          <cell r="S615">
            <v>-652.47572000000002</v>
          </cell>
          <cell r="T615">
            <v>-720.20025999999996</v>
          </cell>
          <cell r="U615">
            <v>-730.12325999999996</v>
          </cell>
          <cell r="V615">
            <v>-729.44326000000001</v>
          </cell>
          <cell r="W615">
            <v>-1118.19001</v>
          </cell>
          <cell r="X615">
            <v>-2010.2352599999999</v>
          </cell>
          <cell r="Y615">
            <v>-798.17466200000001</v>
          </cell>
        </row>
        <row r="616">
          <cell r="B616">
            <v>242091</v>
          </cell>
          <cell r="C616" t="str">
            <v>Working Capital</v>
          </cell>
          <cell r="D616" t="str">
            <v>MISC CUR &amp; ACCR LIAB-EDRP CURTAILMENT PAYMENTS</v>
          </cell>
          <cell r="E616" t="str">
            <v/>
          </cell>
          <cell r="F616" t="str">
            <v/>
          </cell>
          <cell r="G616" t="str">
            <v/>
          </cell>
          <cell r="H616" t="str">
            <v/>
          </cell>
          <cell r="I616">
            <v>242091</v>
          </cell>
          <cell r="J616" t="str">
            <v/>
          </cell>
          <cell r="K616" t="str">
            <v/>
          </cell>
          <cell r="L616">
            <v>4.6526500000000004</v>
          </cell>
          <cell r="M616">
            <v>4.6504000000000003</v>
          </cell>
          <cell r="N616">
            <v>4.6504000000000003</v>
          </cell>
          <cell r="O616">
            <v>4.6504000000000003</v>
          </cell>
          <cell r="P616">
            <v>4.6504000000000003</v>
          </cell>
          <cell r="Q616">
            <v>4.6504000000000003</v>
          </cell>
          <cell r="R616">
            <v>4.6237300000000001</v>
          </cell>
          <cell r="S616">
            <v>4.6237300000000001</v>
          </cell>
          <cell r="T616">
            <v>4.6237300000000001</v>
          </cell>
          <cell r="U616">
            <v>4.6237300000000001</v>
          </cell>
          <cell r="V616">
            <v>4.6237300000000001</v>
          </cell>
          <cell r="W616">
            <v>4.0399900000000004</v>
          </cell>
          <cell r="X616">
            <v>4.0399900000000004</v>
          </cell>
          <cell r="Y616">
            <v>4.5630800000000002</v>
          </cell>
        </row>
        <row r="617">
          <cell r="B617">
            <v>242100</v>
          </cell>
          <cell r="C617" t="str">
            <v>RTBS</v>
          </cell>
          <cell r="D617" t="str">
            <v>MISC CUR &amp; ACCR LIAB - URANIUM ENRICHMENT FUND</v>
          </cell>
          <cell r="E617" t="str">
            <v/>
          </cell>
          <cell r="F617" t="str">
            <v/>
          </cell>
          <cell r="G617">
            <v>242100</v>
          </cell>
          <cell r="H617" t="str">
            <v/>
          </cell>
          <cell r="I617" t="str">
            <v/>
          </cell>
          <cell r="J617" t="str">
            <v/>
          </cell>
          <cell r="K617" t="str">
            <v/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</row>
        <row r="618">
          <cell r="B618">
            <v>242165</v>
          </cell>
          <cell r="C618" t="str">
            <v>Not in RTBS</v>
          </cell>
          <cell r="D618" t="str">
            <v>MISC CUR&amp;ACCRD LIAB-COMPREHENSIVE INCENTIVES</v>
          </cell>
          <cell r="E618" t="str">
            <v/>
          </cell>
          <cell r="F618" t="str">
            <v/>
          </cell>
          <cell r="G618" t="str">
            <v/>
          </cell>
          <cell r="H618" t="str">
            <v/>
          </cell>
          <cell r="I618" t="str">
            <v/>
          </cell>
          <cell r="J618">
            <v>242165</v>
          </cell>
          <cell r="K618" t="str">
            <v/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</row>
        <row r="619">
          <cell r="B619">
            <v>242170</v>
          </cell>
          <cell r="C619" t="str">
            <v>NOT USED</v>
          </cell>
          <cell r="D619" t="str">
            <v>MISC CUR &amp; ACCR LIAB - SEVERANCE-MERGER</v>
          </cell>
          <cell r="E619" t="str">
            <v/>
          </cell>
          <cell r="F619" t="str">
            <v/>
          </cell>
          <cell r="G619" t="str">
            <v/>
          </cell>
          <cell r="H619" t="str">
            <v/>
          </cell>
          <cell r="I619" t="str">
            <v/>
          </cell>
          <cell r="J619" t="str">
            <v/>
          </cell>
          <cell r="K619" t="str">
            <v/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</row>
        <row r="620">
          <cell r="B620">
            <v>242180</v>
          </cell>
          <cell r="C620" t="str">
            <v>Not in RTBS</v>
          </cell>
          <cell r="D620" t="str">
            <v>MISC CUR &amp; ACCR LIAB - NM2 D&amp;D</v>
          </cell>
          <cell r="E620" t="str">
            <v/>
          </cell>
          <cell r="F620" t="str">
            <v/>
          </cell>
          <cell r="G620" t="str">
            <v/>
          </cell>
          <cell r="H620" t="str">
            <v/>
          </cell>
          <cell r="I620" t="str">
            <v/>
          </cell>
          <cell r="J620">
            <v>242180</v>
          </cell>
          <cell r="K620" t="str">
            <v/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</row>
        <row r="621">
          <cell r="B621">
            <v>242190</v>
          </cell>
          <cell r="C621" t="str">
            <v>Not in RTBS</v>
          </cell>
          <cell r="D621" t="str">
            <v>MISC CUR &amp; ACCR LIAB - DEMOBILIZATION</v>
          </cell>
          <cell r="E621" t="str">
            <v/>
          </cell>
          <cell r="F621" t="str">
            <v/>
          </cell>
          <cell r="G621" t="str">
            <v/>
          </cell>
          <cell r="H621" t="str">
            <v/>
          </cell>
          <cell r="I621" t="str">
            <v/>
          </cell>
          <cell r="J621">
            <v>242190</v>
          </cell>
          <cell r="K621" t="str">
            <v/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</row>
        <row r="622">
          <cell r="B622">
            <v>242245</v>
          </cell>
          <cell r="C622" t="str">
            <v>RTBS</v>
          </cell>
          <cell r="D622" t="str">
            <v>0000242245 MISC CUR &amp; ACCRD LIAB-OPEB FAS 158 - CURRENT</v>
          </cell>
          <cell r="E622" t="str">
            <v/>
          </cell>
          <cell r="F622" t="str">
            <v/>
          </cell>
          <cell r="G622">
            <v>242245</v>
          </cell>
          <cell r="H622" t="str">
            <v/>
          </cell>
          <cell r="I622" t="str">
            <v/>
          </cell>
          <cell r="J622" t="str">
            <v/>
          </cell>
          <cell r="K622" t="str">
            <v/>
          </cell>
          <cell r="L622">
            <v>-6500.7820000000002</v>
          </cell>
          <cell r="M622">
            <v>-6500.7820000000002</v>
          </cell>
          <cell r="N622">
            <v>-6500.7820000000002</v>
          </cell>
          <cell r="O622">
            <v>-6500.7820000000002</v>
          </cell>
          <cell r="P622">
            <v>-6500.7820000000002</v>
          </cell>
          <cell r="Q622">
            <v>-6500.7820000000002</v>
          </cell>
          <cell r="R622">
            <v>-6500.7820000000002</v>
          </cell>
          <cell r="S622">
            <v>-6500.7820000000002</v>
          </cell>
          <cell r="T622">
            <v>-6500.7820000000002</v>
          </cell>
          <cell r="U622">
            <v>-6500.7820000000002</v>
          </cell>
          <cell r="V622">
            <v>-6500.7820000000002</v>
          </cell>
          <cell r="W622">
            <v>-6500.7820000000002</v>
          </cell>
          <cell r="X622">
            <v>-6500.7820000000002</v>
          </cell>
          <cell r="Y622">
            <v>-6500.7820000000002</v>
          </cell>
        </row>
        <row r="623">
          <cell r="B623">
            <v>242250</v>
          </cell>
          <cell r="C623" t="str">
            <v>Working Capital</v>
          </cell>
          <cell r="D623" t="str">
            <v>MISC CUR&amp;ACCRD LIAB-ESCHEATABLE PROP</v>
          </cell>
          <cell r="E623" t="str">
            <v/>
          </cell>
          <cell r="F623" t="str">
            <v/>
          </cell>
          <cell r="G623" t="str">
            <v/>
          </cell>
          <cell r="H623" t="str">
            <v/>
          </cell>
          <cell r="I623">
            <v>242250</v>
          </cell>
          <cell r="J623" t="str">
            <v/>
          </cell>
          <cell r="K623" t="str">
            <v/>
          </cell>
          <cell r="L623">
            <v>10.77444</v>
          </cell>
          <cell r="M623">
            <v>10.77444</v>
          </cell>
          <cell r="N623">
            <v>10.77444</v>
          </cell>
          <cell r="O623">
            <v>10.77444</v>
          </cell>
          <cell r="P623">
            <v>10.77444</v>
          </cell>
          <cell r="Q623">
            <v>10.77444</v>
          </cell>
          <cell r="R623">
            <v>10.77444</v>
          </cell>
          <cell r="S623">
            <v>10.77444</v>
          </cell>
          <cell r="T623">
            <v>10.77444</v>
          </cell>
          <cell r="U623">
            <v>10.77444</v>
          </cell>
          <cell r="V623">
            <v>10.806990000000001</v>
          </cell>
          <cell r="W623">
            <v>10.806990000000001</v>
          </cell>
          <cell r="X623">
            <v>10.806990000000001</v>
          </cell>
          <cell r="Y623">
            <v>10.781221</v>
          </cell>
        </row>
        <row r="624">
          <cell r="B624">
            <v>242260</v>
          </cell>
          <cell r="C624" t="str">
            <v>Working Capital</v>
          </cell>
          <cell r="D624" t="str">
            <v>MISC CUR &amp; ACCRD LIAB-ENERGY PROVIDER</v>
          </cell>
          <cell r="E624" t="str">
            <v/>
          </cell>
          <cell r="F624" t="str">
            <v/>
          </cell>
          <cell r="G624" t="str">
            <v/>
          </cell>
          <cell r="H624" t="str">
            <v/>
          </cell>
          <cell r="I624">
            <v>242260</v>
          </cell>
          <cell r="J624" t="str">
            <v/>
          </cell>
          <cell r="K624" t="str">
            <v/>
          </cell>
          <cell r="L624">
            <v>-1807.9956</v>
          </cell>
          <cell r="M624">
            <v>-1931.3128099999999</v>
          </cell>
          <cell r="N624">
            <v>-3434.8014699999999</v>
          </cell>
          <cell r="O624">
            <v>-1534.72622</v>
          </cell>
          <cell r="P624">
            <v>-1941.9569899999999</v>
          </cell>
          <cell r="Q624">
            <v>-1180.4674399999999</v>
          </cell>
          <cell r="R624">
            <v>-1251.6326200000001</v>
          </cell>
          <cell r="S624">
            <v>-1946.3897899999999</v>
          </cell>
          <cell r="T624">
            <v>-1237.51151</v>
          </cell>
          <cell r="U624">
            <v>-1148.95469</v>
          </cell>
          <cell r="V624">
            <v>-1334.8874900000001</v>
          </cell>
          <cell r="W624">
            <v>-1948.5289399999999</v>
          </cell>
          <cell r="X624">
            <v>-1526.23243</v>
          </cell>
          <cell r="Y624">
            <v>-1713.1903319999999</v>
          </cell>
        </row>
        <row r="625">
          <cell r="B625">
            <v>242355</v>
          </cell>
          <cell r="C625" t="str">
            <v>NOT USED</v>
          </cell>
          <cell r="D625" t="str">
            <v>MISC CUR&amp;ACCRD LIAB-GINNA SALE REFUNDS</v>
          </cell>
          <cell r="E625" t="str">
            <v/>
          </cell>
          <cell r="F625" t="str">
            <v/>
          </cell>
          <cell r="G625" t="str">
            <v/>
          </cell>
          <cell r="H625" t="str">
            <v/>
          </cell>
          <cell r="I625" t="str">
            <v/>
          </cell>
          <cell r="J625" t="str">
            <v/>
          </cell>
          <cell r="K625" t="str">
            <v/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3.9050000000000001E-2</v>
          </cell>
          <cell r="Y625">
            <v>1.627E-3</v>
          </cell>
        </row>
        <row r="626">
          <cell r="B626">
            <v>242356</v>
          </cell>
          <cell r="C626" t="str">
            <v>Working Capital</v>
          </cell>
          <cell r="D626" t="str">
            <v>MISC CUR&amp;ACCRD LIAB-REFUNDS</v>
          </cell>
          <cell r="E626" t="str">
            <v/>
          </cell>
          <cell r="F626" t="str">
            <v/>
          </cell>
          <cell r="G626" t="str">
            <v/>
          </cell>
          <cell r="H626" t="str">
            <v/>
          </cell>
          <cell r="I626">
            <v>242356</v>
          </cell>
          <cell r="J626" t="str">
            <v/>
          </cell>
          <cell r="K626" t="str">
            <v/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</row>
        <row r="627">
          <cell r="B627">
            <v>242390</v>
          </cell>
          <cell r="C627" t="str">
            <v>Working Capital</v>
          </cell>
          <cell r="D627" t="str">
            <v>MISC CUR&amp;ACCRD LIAB-PAY IN LIEU OF VACATION</v>
          </cell>
          <cell r="E627" t="str">
            <v/>
          </cell>
          <cell r="F627" t="str">
            <v/>
          </cell>
          <cell r="G627" t="str">
            <v/>
          </cell>
          <cell r="H627" t="str">
            <v/>
          </cell>
          <cell r="I627">
            <v>242390</v>
          </cell>
          <cell r="J627" t="str">
            <v/>
          </cell>
          <cell r="K627" t="str">
            <v/>
          </cell>
          <cell r="L627">
            <v>-2750</v>
          </cell>
          <cell r="M627">
            <v>-2750</v>
          </cell>
          <cell r="N627">
            <v>-2750</v>
          </cell>
          <cell r="O627">
            <v>-2750</v>
          </cell>
          <cell r="P627">
            <v>-2750</v>
          </cell>
          <cell r="Q627">
            <v>-2750</v>
          </cell>
          <cell r="R627">
            <v>-2750</v>
          </cell>
          <cell r="S627">
            <v>-2750</v>
          </cell>
          <cell r="T627">
            <v>-2750</v>
          </cell>
          <cell r="U627">
            <v>-2750</v>
          </cell>
          <cell r="V627">
            <v>-2750</v>
          </cell>
          <cell r="W627">
            <v>-2750</v>
          </cell>
          <cell r="X627">
            <v>-2750</v>
          </cell>
          <cell r="Y627">
            <v>-2750</v>
          </cell>
        </row>
        <row r="628">
          <cell r="B628">
            <v>242440</v>
          </cell>
          <cell r="C628" t="str">
            <v>Working Capital</v>
          </cell>
          <cell r="D628" t="str">
            <v>MISC CUR&amp;ACCRD LIAB-PROJECT SHARE</v>
          </cell>
          <cell r="E628" t="str">
            <v/>
          </cell>
          <cell r="F628" t="str">
            <v/>
          </cell>
          <cell r="G628" t="str">
            <v/>
          </cell>
          <cell r="H628" t="str">
            <v/>
          </cell>
          <cell r="I628">
            <v>242440</v>
          </cell>
          <cell r="J628" t="str">
            <v/>
          </cell>
          <cell r="K628" t="str">
            <v/>
          </cell>
          <cell r="L628">
            <v>-8.4707100000000004</v>
          </cell>
          <cell r="M628">
            <v>-8.2413699999999999</v>
          </cell>
          <cell r="N628">
            <v>-8.3648699999999998</v>
          </cell>
          <cell r="O628">
            <v>-8.4005700000000001</v>
          </cell>
          <cell r="P628">
            <v>-10.99554</v>
          </cell>
          <cell r="Q628">
            <v>-8.3293999999999997</v>
          </cell>
          <cell r="R628">
            <v>-8.3177299999999992</v>
          </cell>
          <cell r="S628">
            <v>-8.0747199999999992</v>
          </cell>
          <cell r="T628">
            <v>-8.4093499999999999</v>
          </cell>
          <cell r="U628">
            <v>-8.2603399999999993</v>
          </cell>
          <cell r="V628">
            <v>-8.3942099999999993</v>
          </cell>
          <cell r="W628">
            <v>-8.4738900000000008</v>
          </cell>
          <cell r="X628">
            <v>-8.5184700000000007</v>
          </cell>
          <cell r="Y628">
            <v>-8.5630480000000002</v>
          </cell>
        </row>
        <row r="629">
          <cell r="B629">
            <v>242460</v>
          </cell>
          <cell r="C629" t="str">
            <v>Working Capital</v>
          </cell>
          <cell r="D629" t="str">
            <v>MISC CUR&amp;ACCRD LIAB-GIFT CERTIFICATE-UTIL SERVICE</v>
          </cell>
          <cell r="E629" t="str">
            <v/>
          </cell>
          <cell r="F629" t="str">
            <v/>
          </cell>
          <cell r="G629" t="str">
            <v/>
          </cell>
          <cell r="H629" t="str">
            <v/>
          </cell>
          <cell r="I629">
            <v>242460</v>
          </cell>
          <cell r="J629" t="str">
            <v/>
          </cell>
          <cell r="K629" t="str">
            <v/>
          </cell>
          <cell r="L629">
            <v>-0.3306</v>
          </cell>
          <cell r="M629">
            <v>0.36075000000000002</v>
          </cell>
          <cell r="N629">
            <v>-0.58394999999999997</v>
          </cell>
          <cell r="O629">
            <v>-0.54400000000000004</v>
          </cell>
          <cell r="P629">
            <v>-0.40905000000000002</v>
          </cell>
          <cell r="Q629">
            <v>-0.39910000000000001</v>
          </cell>
          <cell r="R629">
            <v>8.9999999999999998E-4</v>
          </cell>
          <cell r="S629">
            <v>8.9999999999999998E-4</v>
          </cell>
          <cell r="T629">
            <v>5.0900000000000001E-2</v>
          </cell>
          <cell r="U629">
            <v>0.15090000000000001</v>
          </cell>
          <cell r="V629">
            <v>0.15090000000000001</v>
          </cell>
          <cell r="W629">
            <v>0.1759</v>
          </cell>
          <cell r="X629">
            <v>-0.39874999999999999</v>
          </cell>
          <cell r="Y629">
            <v>-0.117469</v>
          </cell>
        </row>
        <row r="630">
          <cell r="B630">
            <v>242500</v>
          </cell>
          <cell r="C630" t="str">
            <v>Working Capital</v>
          </cell>
          <cell r="D630" t="str">
            <v>MISC CUR &amp; ACCR LIAB - HEDGED ACTIVITY-ELECTRIC</v>
          </cell>
          <cell r="E630" t="str">
            <v/>
          </cell>
          <cell r="F630" t="str">
            <v/>
          </cell>
          <cell r="G630" t="str">
            <v/>
          </cell>
          <cell r="H630" t="str">
            <v/>
          </cell>
          <cell r="I630">
            <v>242500</v>
          </cell>
          <cell r="J630" t="str">
            <v/>
          </cell>
          <cell r="K630" t="str">
            <v/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</row>
        <row r="631">
          <cell r="B631">
            <v>242520</v>
          </cell>
          <cell r="C631" t="str">
            <v>Working Capital</v>
          </cell>
          <cell r="D631" t="str">
            <v>MISC CUR &amp; ACCR LIAB - TCC AUCTION</v>
          </cell>
          <cell r="E631" t="str">
            <v/>
          </cell>
          <cell r="F631" t="str">
            <v/>
          </cell>
          <cell r="G631" t="str">
            <v/>
          </cell>
          <cell r="H631" t="str">
            <v/>
          </cell>
          <cell r="I631">
            <v>242520</v>
          </cell>
          <cell r="J631" t="str">
            <v/>
          </cell>
          <cell r="K631" t="str">
            <v/>
          </cell>
          <cell r="L631">
            <v>-334.39663000000002</v>
          </cell>
          <cell r="M631">
            <v>-283.24554000000001</v>
          </cell>
          <cell r="N631">
            <v>-232.09444999999999</v>
          </cell>
          <cell r="O631">
            <v>-180.94336000000001</v>
          </cell>
          <cell r="P631">
            <v>-129.79227</v>
          </cell>
          <cell r="Q631">
            <v>-147.46878000000001</v>
          </cell>
          <cell r="R631">
            <v>-126.65555999999999</v>
          </cell>
          <cell r="S631">
            <v>-105.84233999999999</v>
          </cell>
          <cell r="T631">
            <v>-85.029120000000006</v>
          </cell>
          <cell r="U631">
            <v>-64.215900000000005</v>
          </cell>
          <cell r="V631">
            <v>-43.402679999999997</v>
          </cell>
          <cell r="W631">
            <v>-52.266539999999999</v>
          </cell>
          <cell r="X631">
            <v>-45.518470000000001</v>
          </cell>
          <cell r="Y631">
            <v>-136.742841</v>
          </cell>
        </row>
        <row r="632">
          <cell r="B632">
            <v>242550</v>
          </cell>
          <cell r="C632" t="str">
            <v>Working Capital</v>
          </cell>
          <cell r="D632" t="str">
            <v>MISC CUR &amp; ACCR LIAB - HEDGED ACTIVITY-GAS</v>
          </cell>
          <cell r="E632" t="str">
            <v/>
          </cell>
          <cell r="F632" t="str">
            <v/>
          </cell>
          <cell r="G632" t="str">
            <v/>
          </cell>
          <cell r="H632" t="str">
            <v/>
          </cell>
          <cell r="I632">
            <v>242550</v>
          </cell>
          <cell r="J632" t="str">
            <v/>
          </cell>
          <cell r="K632" t="str">
            <v/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</row>
        <row r="633">
          <cell r="B633">
            <v>242710</v>
          </cell>
          <cell r="C633" t="str">
            <v>NOT USED</v>
          </cell>
          <cell r="D633" t="str">
            <v>MISC CUR &amp; ACCRD LIAB-CTA-EMPL SEVERANCE PROGRAM</v>
          </cell>
          <cell r="E633" t="str">
            <v/>
          </cell>
          <cell r="F633" t="str">
            <v/>
          </cell>
          <cell r="G633" t="str">
            <v/>
          </cell>
          <cell r="H633" t="str">
            <v/>
          </cell>
          <cell r="I633" t="str">
            <v/>
          </cell>
          <cell r="J633" t="str">
            <v/>
          </cell>
          <cell r="K633" t="str">
            <v/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</row>
        <row r="634">
          <cell r="B634">
            <v>245401</v>
          </cell>
          <cell r="C634" t="str">
            <v>Not in RTBS</v>
          </cell>
          <cell r="D634" t="str">
            <v>OTH NONCUR LIAB-OTHER DERIVATIVES</v>
          </cell>
          <cell r="E634" t="str">
            <v/>
          </cell>
          <cell r="F634" t="str">
            <v/>
          </cell>
          <cell r="G634" t="str">
            <v/>
          </cell>
          <cell r="H634" t="str">
            <v/>
          </cell>
          <cell r="I634" t="str">
            <v/>
          </cell>
          <cell r="J634">
            <v>245401</v>
          </cell>
          <cell r="K634" t="str">
            <v/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-655.43</v>
          </cell>
          <cell r="Q634">
            <v>-695.59</v>
          </cell>
          <cell r="R634">
            <v>-1997.46</v>
          </cell>
          <cell r="S634">
            <v>-2961.59</v>
          </cell>
          <cell r="T634">
            <v>-3311.93</v>
          </cell>
          <cell r="U634">
            <v>-4772.2673800000002</v>
          </cell>
          <cell r="V634">
            <v>-4499.1689200000001</v>
          </cell>
          <cell r="W634">
            <v>-6206.0047299999997</v>
          </cell>
          <cell r="X634">
            <v>-7920.5856999999996</v>
          </cell>
          <cell r="Y634">
            <v>-2421.6444900000001</v>
          </cell>
        </row>
        <row r="635">
          <cell r="B635">
            <v>245410</v>
          </cell>
          <cell r="C635" t="str">
            <v>Not in RTBS</v>
          </cell>
          <cell r="D635" t="str">
            <v>OTH NONCUR LIAB-DERIVATIVE LIAB-ELECTRIC HEDGE</v>
          </cell>
          <cell r="E635" t="str">
            <v/>
          </cell>
          <cell r="F635" t="str">
            <v/>
          </cell>
          <cell r="G635" t="str">
            <v/>
          </cell>
          <cell r="H635" t="str">
            <v/>
          </cell>
          <cell r="I635" t="str">
            <v/>
          </cell>
          <cell r="J635">
            <v>245410</v>
          </cell>
          <cell r="K635" t="str">
            <v/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</row>
        <row r="636">
          <cell r="B636">
            <v>245411</v>
          </cell>
          <cell r="C636" t="str">
            <v>Not in RTBS</v>
          </cell>
          <cell r="D636" t="str">
            <v>OTH NONCUR LIAB-DERIVATIVE LIAB-ELECTRIC HEDGE</v>
          </cell>
          <cell r="E636" t="str">
            <v/>
          </cell>
          <cell r="F636" t="str">
            <v/>
          </cell>
          <cell r="G636" t="str">
            <v/>
          </cell>
          <cell r="H636" t="str">
            <v/>
          </cell>
          <cell r="I636" t="str">
            <v/>
          </cell>
          <cell r="J636">
            <v>245411</v>
          </cell>
          <cell r="K636" t="str">
            <v/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</row>
        <row r="637">
          <cell r="B637">
            <v>245420</v>
          </cell>
          <cell r="C637" t="str">
            <v>Not in RTBS</v>
          </cell>
          <cell r="D637" t="str">
            <v>OTH NONCUR LIAB-DERIVATIVE LIAB-GAS HEDGE</v>
          </cell>
          <cell r="E637" t="str">
            <v/>
          </cell>
          <cell r="F637" t="str">
            <v/>
          </cell>
          <cell r="G637" t="str">
            <v/>
          </cell>
          <cell r="H637" t="str">
            <v/>
          </cell>
          <cell r="I637" t="str">
            <v/>
          </cell>
          <cell r="J637">
            <v>245420</v>
          </cell>
          <cell r="K637" t="str">
            <v/>
          </cell>
          <cell r="L637">
            <v>-7444.98</v>
          </cell>
          <cell r="M637">
            <v>-5533.42</v>
          </cell>
          <cell r="N637">
            <v>-6094.9</v>
          </cell>
          <cell r="O637">
            <v>-2521.85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-1489.3883330000001</v>
          </cell>
        </row>
        <row r="638">
          <cell r="B638">
            <v>245451</v>
          </cell>
          <cell r="C638" t="str">
            <v>Not in RTBS</v>
          </cell>
          <cell r="D638" t="str">
            <v>OTH NONCUR LIAB-HEDGE-SWAP</v>
          </cell>
          <cell r="E638" t="str">
            <v/>
          </cell>
          <cell r="F638" t="str">
            <v/>
          </cell>
          <cell r="G638" t="str">
            <v/>
          </cell>
          <cell r="H638" t="str">
            <v/>
          </cell>
          <cell r="I638" t="str">
            <v/>
          </cell>
          <cell r="J638">
            <v>245451</v>
          </cell>
          <cell r="K638" t="str">
            <v/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</row>
        <row r="639">
          <cell r="B639">
            <v>245990</v>
          </cell>
          <cell r="C639" t="str">
            <v>Not in RTBS</v>
          </cell>
          <cell r="D639" t="str">
            <v>RECLASS - DERIVATIVE LIABILITY - SHORT TERM</v>
          </cell>
          <cell r="E639" t="str">
            <v/>
          </cell>
          <cell r="F639" t="str">
            <v/>
          </cell>
          <cell r="G639" t="str">
            <v/>
          </cell>
          <cell r="H639" t="str">
            <v/>
          </cell>
          <cell r="I639" t="str">
            <v/>
          </cell>
          <cell r="J639">
            <v>245990</v>
          </cell>
          <cell r="K639" t="str">
            <v/>
          </cell>
          <cell r="L639">
            <v>5.85</v>
          </cell>
          <cell r="M639">
            <v>31.23</v>
          </cell>
          <cell r="N639">
            <v>69.760000000000005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8.6595829999999996</v>
          </cell>
        </row>
        <row r="640">
          <cell r="B640">
            <v>245991</v>
          </cell>
          <cell r="C640" t="str">
            <v>Not in RTBS</v>
          </cell>
          <cell r="D640" t="str">
            <v>RECLASS - DERIVATIVE LIABILITY - LONG TERM</v>
          </cell>
          <cell r="E640" t="str">
            <v/>
          </cell>
          <cell r="F640" t="str">
            <v/>
          </cell>
          <cell r="G640" t="str">
            <v/>
          </cell>
          <cell r="H640" t="str">
            <v/>
          </cell>
          <cell r="I640" t="str">
            <v/>
          </cell>
          <cell r="J640">
            <v>245991</v>
          </cell>
          <cell r="K640" t="str">
            <v/>
          </cell>
          <cell r="L640">
            <v>-5.85</v>
          </cell>
          <cell r="M640">
            <v>-31.23</v>
          </cell>
          <cell r="N640">
            <v>-69.760000000000005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-8.6595829999999996</v>
          </cell>
        </row>
        <row r="641">
          <cell r="B641">
            <v>245992</v>
          </cell>
          <cell r="C641" t="str">
            <v>Not in RTBS</v>
          </cell>
          <cell r="D641" t="str">
            <v>DERIVATIVE LIABILITY - LONG TERM</v>
          </cell>
          <cell r="E641" t="str">
            <v/>
          </cell>
          <cell r="F641" t="str">
            <v/>
          </cell>
          <cell r="G641" t="str">
            <v/>
          </cell>
          <cell r="H641" t="str">
            <v/>
          </cell>
          <cell r="I641" t="str">
            <v/>
          </cell>
          <cell r="J641">
            <v>245992</v>
          </cell>
          <cell r="K641" t="str">
            <v/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-29.992000000000001</v>
          </cell>
          <cell r="S641">
            <v>-62.387999999999998</v>
          </cell>
          <cell r="T641">
            <v>-34.606000000000002</v>
          </cell>
          <cell r="U641">
            <v>-185.51400000000001</v>
          </cell>
          <cell r="V641">
            <v>-267.27</v>
          </cell>
          <cell r="W641">
            <v>-434.67</v>
          </cell>
          <cell r="X641">
            <v>-698.4</v>
          </cell>
          <cell r="Y641">
            <v>-113.636667</v>
          </cell>
        </row>
        <row r="642">
          <cell r="B642">
            <v>253005</v>
          </cell>
          <cell r="C642" t="str">
            <v>Roll Fwd Sched</v>
          </cell>
          <cell r="D642" t="str">
            <v>OTHER LIABILITIES-CUSTOMERS DOWNPAYMENTS (WMS)</v>
          </cell>
          <cell r="E642">
            <v>1</v>
          </cell>
          <cell r="F642">
            <v>253005</v>
          </cell>
          <cell r="G642" t="str">
            <v/>
          </cell>
          <cell r="H642" t="str">
            <v/>
          </cell>
          <cell r="I642" t="str">
            <v/>
          </cell>
          <cell r="J642" t="str">
            <v/>
          </cell>
          <cell r="K642" t="str">
            <v/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</row>
        <row r="643">
          <cell r="B643">
            <v>253006</v>
          </cell>
          <cell r="C643" t="str">
            <v>Roll Fwd Sched</v>
          </cell>
          <cell r="D643" t="str">
            <v>ADVANCE PAYMENTS FROM SD</v>
          </cell>
          <cell r="E643">
            <v>1</v>
          </cell>
          <cell r="F643">
            <v>253006</v>
          </cell>
          <cell r="G643" t="str">
            <v/>
          </cell>
          <cell r="H643" t="str">
            <v/>
          </cell>
          <cell r="I643" t="str">
            <v/>
          </cell>
          <cell r="J643" t="str">
            <v/>
          </cell>
          <cell r="K643" t="str">
            <v/>
          </cell>
          <cell r="L643">
            <v>-372.55383</v>
          </cell>
          <cell r="M643">
            <v>-357.69610999999998</v>
          </cell>
          <cell r="N643">
            <v>-245.83963</v>
          </cell>
          <cell r="O643">
            <v>-75.341300000000004</v>
          </cell>
          <cell r="P643">
            <v>-126.18854</v>
          </cell>
          <cell r="Q643">
            <v>-139.27021999999999</v>
          </cell>
          <cell r="R643">
            <v>-64.922110000000004</v>
          </cell>
          <cell r="S643">
            <v>-78.188310000000001</v>
          </cell>
          <cell r="T643">
            <v>-82.380870000000002</v>
          </cell>
          <cell r="U643">
            <v>-160.46575000000001</v>
          </cell>
          <cell r="V643">
            <v>-124.13284</v>
          </cell>
          <cell r="W643">
            <v>-502.87347999999997</v>
          </cell>
          <cell r="X643">
            <v>-3993.7897200000002</v>
          </cell>
          <cell r="Y643">
            <v>-345.03924499999999</v>
          </cell>
        </row>
        <row r="644">
          <cell r="B644">
            <v>253010</v>
          </cell>
          <cell r="C644" t="str">
            <v>Roll Fwd Sched</v>
          </cell>
          <cell r="D644" t="str">
            <v>DEF CREDITS - OSWEGO CARRYING CHARGE</v>
          </cell>
          <cell r="E644">
            <v>1</v>
          </cell>
          <cell r="F644">
            <v>253010</v>
          </cell>
          <cell r="G644" t="str">
            <v/>
          </cell>
          <cell r="H644" t="str">
            <v/>
          </cell>
          <cell r="I644" t="str">
            <v/>
          </cell>
          <cell r="J644">
            <v>253010</v>
          </cell>
          <cell r="K644" t="str">
            <v/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</row>
        <row r="645">
          <cell r="B645">
            <v>253030</v>
          </cell>
          <cell r="C645" t="str">
            <v>Roll Fwd Sched</v>
          </cell>
          <cell r="D645" t="str">
            <v>DEF CREDITS - UNCLAIMED WAGES &amp; REFUNDS</v>
          </cell>
          <cell r="E645">
            <v>3</v>
          </cell>
          <cell r="F645">
            <v>253030</v>
          </cell>
          <cell r="G645" t="str">
            <v/>
          </cell>
          <cell r="H645" t="str">
            <v/>
          </cell>
          <cell r="I645" t="str">
            <v/>
          </cell>
          <cell r="J645" t="str">
            <v/>
          </cell>
          <cell r="K645" t="str">
            <v/>
          </cell>
          <cell r="L645">
            <v>107.49715999999999</v>
          </cell>
          <cell r="M645">
            <v>107.49715999999999</v>
          </cell>
          <cell r="N645">
            <v>107.49715999999999</v>
          </cell>
          <cell r="O645">
            <v>107.49715999999999</v>
          </cell>
          <cell r="P645">
            <v>107.49715999999999</v>
          </cell>
          <cell r="Q645">
            <v>107.49715999999999</v>
          </cell>
          <cell r="R645">
            <v>107.49715999999999</v>
          </cell>
          <cell r="S645">
            <v>107.49715999999999</v>
          </cell>
          <cell r="T645">
            <v>107.49715999999999</v>
          </cell>
          <cell r="U645">
            <v>107.49715999999999</v>
          </cell>
          <cell r="V645">
            <v>107.49715999999999</v>
          </cell>
          <cell r="W645">
            <v>107.49715999999999</v>
          </cell>
          <cell r="X645">
            <v>107.49715999999999</v>
          </cell>
          <cell r="Y645">
            <v>107.49715999999999</v>
          </cell>
        </row>
        <row r="646">
          <cell r="B646">
            <v>253040</v>
          </cell>
          <cell r="C646" t="str">
            <v>Roll Fwd Sched</v>
          </cell>
          <cell r="D646" t="str">
            <v>DEF CREDITS - MISCELLANEOUS - OTHER</v>
          </cell>
          <cell r="E646">
            <v>49</v>
          </cell>
          <cell r="F646">
            <v>253040</v>
          </cell>
          <cell r="G646" t="str">
            <v/>
          </cell>
          <cell r="H646" t="str">
            <v/>
          </cell>
          <cell r="I646" t="str">
            <v/>
          </cell>
          <cell r="J646" t="str">
            <v/>
          </cell>
          <cell r="K646" t="str">
            <v/>
          </cell>
          <cell r="L646">
            <v>-193.98755</v>
          </cell>
          <cell r="M646">
            <v>-186.60135</v>
          </cell>
          <cell r="N646">
            <v>-485.86716000000001</v>
          </cell>
          <cell r="O646">
            <v>-529.46716000000004</v>
          </cell>
          <cell r="P646">
            <v>-507.66716000000002</v>
          </cell>
          <cell r="Q646">
            <v>-453.42734999999999</v>
          </cell>
          <cell r="R646">
            <v>-457.36484999999999</v>
          </cell>
          <cell r="S646">
            <v>-457.36484999999999</v>
          </cell>
          <cell r="T646">
            <v>-485.50585000000001</v>
          </cell>
          <cell r="U646">
            <v>-637.36365000000001</v>
          </cell>
          <cell r="V646">
            <v>-637.36365000000001</v>
          </cell>
          <cell r="W646">
            <v>-162.64365000000001</v>
          </cell>
          <cell r="X646">
            <v>-116.92314</v>
          </cell>
          <cell r="Y646">
            <v>-429.67433499999999</v>
          </cell>
        </row>
        <row r="647">
          <cell r="B647">
            <v>253042</v>
          </cell>
          <cell r="C647" t="str">
            <v>Roll Fwd Sched</v>
          </cell>
          <cell r="D647" t="str">
            <v>DEF CREDITS-DARS INSURANCE PREMIUMS &amp; WARRANTIES</v>
          </cell>
          <cell r="E647">
            <v>1</v>
          </cell>
          <cell r="F647">
            <v>253042</v>
          </cell>
          <cell r="G647" t="str">
            <v/>
          </cell>
          <cell r="H647" t="str">
            <v/>
          </cell>
          <cell r="I647" t="str">
            <v/>
          </cell>
          <cell r="J647" t="str">
            <v/>
          </cell>
          <cell r="K647" t="str">
            <v/>
          </cell>
          <cell r="L647">
            <v>-8.6303800000000006</v>
          </cell>
          <cell r="M647">
            <v>-8.6303800000000006</v>
          </cell>
          <cell r="N647">
            <v>-8.6303800000000006</v>
          </cell>
          <cell r="O647">
            <v>-9.2623700000000007</v>
          </cell>
          <cell r="P647">
            <v>-9.2623700000000007</v>
          </cell>
          <cell r="Q647">
            <v>-9.2623700000000007</v>
          </cell>
          <cell r="R647">
            <v>-8.6303800000000006</v>
          </cell>
          <cell r="S647">
            <v>-9.5245999999999995</v>
          </cell>
          <cell r="T647">
            <v>-9.6806099999999997</v>
          </cell>
          <cell r="U647">
            <v>-8.6303800000000006</v>
          </cell>
          <cell r="V647">
            <v>-9.0626800000000003</v>
          </cell>
          <cell r="W647">
            <v>-9.0626800000000003</v>
          </cell>
          <cell r="X647">
            <v>-8.6303800000000006</v>
          </cell>
          <cell r="Y647">
            <v>-9.0224650000000004</v>
          </cell>
        </row>
        <row r="648">
          <cell r="B648">
            <v>253043</v>
          </cell>
          <cell r="C648" t="str">
            <v>Roll Fwd Sched</v>
          </cell>
          <cell r="D648" t="str">
            <v>DEF CREDITS-LINE EXT REALLOCATION/DIP (WMS)</v>
          </cell>
          <cell r="E648">
            <v>1</v>
          </cell>
          <cell r="F648">
            <v>253043</v>
          </cell>
          <cell r="G648" t="str">
            <v/>
          </cell>
          <cell r="H648" t="str">
            <v/>
          </cell>
          <cell r="I648" t="str">
            <v/>
          </cell>
          <cell r="J648" t="str">
            <v/>
          </cell>
          <cell r="K648" t="str">
            <v/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</row>
        <row r="649">
          <cell r="B649">
            <v>253080</v>
          </cell>
          <cell r="C649" t="str">
            <v>Roll Fwd Sched</v>
          </cell>
          <cell r="D649" t="str">
            <v>DEF CREDITS - PURCH GAS ADJS-SUPP REFUND</v>
          </cell>
          <cell r="E649">
            <v>1</v>
          </cell>
          <cell r="F649">
            <v>253080</v>
          </cell>
          <cell r="G649" t="str">
            <v/>
          </cell>
          <cell r="H649" t="str">
            <v/>
          </cell>
          <cell r="I649" t="str">
            <v/>
          </cell>
          <cell r="J649">
            <v>253080</v>
          </cell>
          <cell r="K649" t="str">
            <v/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</row>
        <row r="650">
          <cell r="B650">
            <v>253091</v>
          </cell>
          <cell r="C650" t="str">
            <v>Roll Fwd Sched</v>
          </cell>
          <cell r="D650" t="str">
            <v>OTH DEF CREDITS-DERIVATIVE LIABILITES</v>
          </cell>
          <cell r="E650">
            <v>2</v>
          </cell>
          <cell r="F650">
            <v>253091</v>
          </cell>
          <cell r="G650" t="str">
            <v/>
          </cell>
          <cell r="H650" t="str">
            <v/>
          </cell>
          <cell r="I650" t="str">
            <v/>
          </cell>
          <cell r="J650" t="str">
            <v/>
          </cell>
          <cell r="K650" t="str">
            <v/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</row>
        <row r="651">
          <cell r="B651">
            <v>253140</v>
          </cell>
          <cell r="C651" t="str">
            <v>Roll Fwd Sched</v>
          </cell>
          <cell r="D651" t="str">
            <v>DEF CREDITS - UNIDENTIFIED CASH RECEIPTS</v>
          </cell>
          <cell r="E651">
            <v>1</v>
          </cell>
          <cell r="F651">
            <v>253140</v>
          </cell>
          <cell r="G651" t="str">
            <v/>
          </cell>
          <cell r="H651" t="str">
            <v/>
          </cell>
          <cell r="I651" t="str">
            <v/>
          </cell>
          <cell r="J651" t="str">
            <v/>
          </cell>
          <cell r="K651" t="str">
            <v/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</row>
        <row r="652">
          <cell r="B652">
            <v>253150</v>
          </cell>
          <cell r="C652" t="str">
            <v>Roll Fwd Sched</v>
          </cell>
          <cell r="D652" t="str">
            <v>DEF CREDITS - MISC CASHIERS REFUNDS</v>
          </cell>
          <cell r="E652">
            <v>1</v>
          </cell>
          <cell r="F652">
            <v>253150</v>
          </cell>
          <cell r="G652" t="str">
            <v/>
          </cell>
          <cell r="H652" t="str">
            <v/>
          </cell>
          <cell r="I652">
            <v>253150</v>
          </cell>
          <cell r="J652" t="str">
            <v/>
          </cell>
          <cell r="K652" t="str">
            <v/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</row>
        <row r="653">
          <cell r="B653">
            <v>253160</v>
          </cell>
          <cell r="C653" t="str">
            <v>Roll Fwd Sched</v>
          </cell>
          <cell r="D653" t="str">
            <v>DEF CREDITS-PROV-STEAM SERVICE TERMINATION</v>
          </cell>
          <cell r="E653">
            <v>1</v>
          </cell>
          <cell r="F653">
            <v>253160</v>
          </cell>
          <cell r="G653" t="str">
            <v/>
          </cell>
          <cell r="H653" t="str">
            <v/>
          </cell>
          <cell r="I653" t="str">
            <v/>
          </cell>
          <cell r="J653">
            <v>253160</v>
          </cell>
          <cell r="K653" t="str">
            <v/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</row>
        <row r="654">
          <cell r="B654">
            <v>253230</v>
          </cell>
          <cell r="C654" t="str">
            <v>Roll Fwd Sched</v>
          </cell>
          <cell r="D654" t="str">
            <v>OTHER DEFERRED CREDITS - PENSION LIABILITY</v>
          </cell>
          <cell r="E654">
            <v>2</v>
          </cell>
          <cell r="F654">
            <v>253230</v>
          </cell>
          <cell r="G654" t="str">
            <v/>
          </cell>
          <cell r="H654" t="str">
            <v/>
          </cell>
          <cell r="I654" t="str">
            <v/>
          </cell>
          <cell r="J654" t="str">
            <v/>
          </cell>
          <cell r="K654" t="str">
            <v/>
          </cell>
          <cell r="L654">
            <v>-81.826999999999998</v>
          </cell>
          <cell r="M654">
            <v>-81.826999999999998</v>
          </cell>
          <cell r="N654">
            <v>-81.826999999999998</v>
          </cell>
          <cell r="O654">
            <v>-81.826999999999998</v>
          </cell>
          <cell r="P654">
            <v>-81.826999999999998</v>
          </cell>
          <cell r="Q654">
            <v>-81.826999999999998</v>
          </cell>
          <cell r="R654">
            <v>-81.826999999999998</v>
          </cell>
          <cell r="S654">
            <v>-81.826999999999998</v>
          </cell>
          <cell r="T654">
            <v>-81.826999999999998</v>
          </cell>
          <cell r="U654">
            <v>-81.826999999999998</v>
          </cell>
          <cell r="V654">
            <v>-81.826999999999998</v>
          </cell>
          <cell r="W654">
            <v>-81.826999999999998</v>
          </cell>
          <cell r="X654">
            <v>0</v>
          </cell>
          <cell r="Y654">
            <v>-78.417541999999997</v>
          </cell>
        </row>
        <row r="655">
          <cell r="B655">
            <v>253290</v>
          </cell>
          <cell r="C655" t="str">
            <v>Roll Fwd Sched</v>
          </cell>
          <cell r="D655" t="str">
            <v>DEF CREDITS - GINNA OUTAGE ACCRUAL</v>
          </cell>
          <cell r="E655" t="str">
            <v/>
          </cell>
          <cell r="F655">
            <v>253290</v>
          </cell>
          <cell r="G655" t="str">
            <v/>
          </cell>
          <cell r="H655" t="str">
            <v/>
          </cell>
          <cell r="I655" t="str">
            <v/>
          </cell>
          <cell r="J655" t="str">
            <v/>
          </cell>
          <cell r="K655" t="str">
            <v/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</row>
        <row r="656">
          <cell r="B656">
            <v>253300</v>
          </cell>
          <cell r="C656" t="str">
            <v>Roll Fwd Sched</v>
          </cell>
          <cell r="D656" t="str">
            <v>DEF CREDITS - MONROE CTY CONDUIT OCCUPANCY LIC</v>
          </cell>
          <cell r="E656">
            <v>1</v>
          </cell>
          <cell r="F656">
            <v>253300</v>
          </cell>
          <cell r="G656" t="str">
            <v/>
          </cell>
          <cell r="H656" t="str">
            <v/>
          </cell>
          <cell r="I656" t="str">
            <v/>
          </cell>
          <cell r="J656" t="str">
            <v/>
          </cell>
          <cell r="K656" t="str">
            <v/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</row>
        <row r="657">
          <cell r="B657">
            <v>253340</v>
          </cell>
          <cell r="C657" t="str">
            <v>Roll Fwd Sched</v>
          </cell>
          <cell r="D657" t="str">
            <v>OTHER DEFERRED CREDITS - SERP/SRBP</v>
          </cell>
          <cell r="E657">
            <v>3</v>
          </cell>
          <cell r="F657">
            <v>253340</v>
          </cell>
          <cell r="G657" t="str">
            <v/>
          </cell>
          <cell r="H657" t="str">
            <v/>
          </cell>
          <cell r="I657" t="str">
            <v/>
          </cell>
          <cell r="J657" t="str">
            <v/>
          </cell>
          <cell r="K657" t="str">
            <v/>
          </cell>
          <cell r="L657">
            <v>-14126.69796</v>
          </cell>
          <cell r="M657">
            <v>-14189.520619999999</v>
          </cell>
          <cell r="N657">
            <v>-14252.343279999999</v>
          </cell>
          <cell r="O657">
            <v>-13960.38557</v>
          </cell>
          <cell r="P657">
            <v>-14023.20823</v>
          </cell>
          <cell r="Q657">
            <v>-14052.034669999999</v>
          </cell>
          <cell r="R657">
            <v>-13752.738240000001</v>
          </cell>
          <cell r="S657">
            <v>-13808.76166</v>
          </cell>
          <cell r="T657">
            <v>-13864.78508</v>
          </cell>
          <cell r="U657">
            <v>-13576.47127</v>
          </cell>
          <cell r="V657">
            <v>-13632.49469</v>
          </cell>
          <cell r="W657">
            <v>-13688.518110000001</v>
          </cell>
          <cell r="X657">
            <v>-13939.14248</v>
          </cell>
          <cell r="Y657">
            <v>-13902.848470000001</v>
          </cell>
        </row>
        <row r="658">
          <cell r="B658">
            <v>253341</v>
          </cell>
          <cell r="C658" t="str">
            <v>Roll Fwd Sched</v>
          </cell>
          <cell r="D658" t="str">
            <v>OTH DEF CREDITS-DEFERRED COMPENSATION</v>
          </cell>
          <cell r="E658">
            <v>1</v>
          </cell>
          <cell r="F658">
            <v>253341</v>
          </cell>
          <cell r="G658" t="str">
            <v/>
          </cell>
          <cell r="H658" t="str">
            <v/>
          </cell>
          <cell r="I658" t="str">
            <v/>
          </cell>
          <cell r="J658" t="str">
            <v/>
          </cell>
          <cell r="K658" t="str">
            <v/>
          </cell>
          <cell r="L658">
            <v>-654.57667000000004</v>
          </cell>
          <cell r="M658">
            <v>-655.73837000000003</v>
          </cell>
          <cell r="N658">
            <v>-593.64954999999998</v>
          </cell>
          <cell r="O658">
            <v>-669.54327999999998</v>
          </cell>
          <cell r="P658">
            <v>-671.29547000000002</v>
          </cell>
          <cell r="Q658">
            <v>-672.50851</v>
          </cell>
          <cell r="R658">
            <v>-678.71966999999995</v>
          </cell>
          <cell r="S658">
            <v>-679.93271000000004</v>
          </cell>
          <cell r="T658">
            <v>-680.53922999999998</v>
          </cell>
          <cell r="U658">
            <v>-612.93208000000004</v>
          </cell>
          <cell r="V658">
            <v>-612.93208000000004</v>
          </cell>
          <cell r="W658">
            <v>-612.93208000000004</v>
          </cell>
          <cell r="X658">
            <v>-652.3347</v>
          </cell>
          <cell r="Y658">
            <v>-649.51489300000003</v>
          </cell>
        </row>
        <row r="659">
          <cell r="B659">
            <v>253355</v>
          </cell>
          <cell r="C659" t="str">
            <v>Roll Fwd Sched</v>
          </cell>
          <cell r="D659" t="str">
            <v>OTH DEF CREDITS-RATE CASE ISSUES</v>
          </cell>
          <cell r="E659">
            <v>1</v>
          </cell>
          <cell r="F659">
            <v>253355</v>
          </cell>
          <cell r="G659" t="str">
            <v/>
          </cell>
          <cell r="H659" t="str">
            <v/>
          </cell>
          <cell r="I659" t="str">
            <v/>
          </cell>
          <cell r="J659" t="str">
            <v/>
          </cell>
          <cell r="K659" t="str">
            <v/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</row>
        <row r="660">
          <cell r="B660">
            <v>253520</v>
          </cell>
          <cell r="C660" t="str">
            <v>Roll Fwd Sched</v>
          </cell>
          <cell r="D660" t="str">
            <v>DEF CREDITS - FERC 636 TRANSITION COSTS</v>
          </cell>
          <cell r="E660">
            <v>2</v>
          </cell>
          <cell r="F660">
            <v>253520</v>
          </cell>
          <cell r="G660" t="str">
            <v/>
          </cell>
          <cell r="H660" t="str">
            <v/>
          </cell>
          <cell r="I660" t="str">
            <v/>
          </cell>
          <cell r="J660" t="str">
            <v/>
          </cell>
          <cell r="K660" t="str">
            <v/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</row>
        <row r="661">
          <cell r="B661">
            <v>253560</v>
          </cell>
          <cell r="C661" t="str">
            <v>Roll Fwd Sched</v>
          </cell>
          <cell r="D661" t="str">
            <v>DEF CREDITS - FAS 112 POSTEMPL BEN LIAB</v>
          </cell>
          <cell r="E661">
            <v>2</v>
          </cell>
          <cell r="F661">
            <v>253560</v>
          </cell>
          <cell r="G661" t="str">
            <v/>
          </cell>
          <cell r="H661" t="str">
            <v/>
          </cell>
          <cell r="I661" t="str">
            <v/>
          </cell>
          <cell r="J661" t="str">
            <v/>
          </cell>
          <cell r="K661" t="str">
            <v/>
          </cell>
          <cell r="L661">
            <v>-3375.1013200000002</v>
          </cell>
          <cell r="M661">
            <v>-3375.1013200000002</v>
          </cell>
          <cell r="N661">
            <v>-3375.1013200000002</v>
          </cell>
          <cell r="O661">
            <v>-3375.1013200000002</v>
          </cell>
          <cell r="P661">
            <v>-3375.1013200000002</v>
          </cell>
          <cell r="Q661">
            <v>-3375.1013200000002</v>
          </cell>
          <cell r="R661">
            <v>-3375.1013200000002</v>
          </cell>
          <cell r="S661">
            <v>-3375.1013200000002</v>
          </cell>
          <cell r="T661">
            <v>-3625.74685</v>
          </cell>
          <cell r="U661">
            <v>-3687.24379</v>
          </cell>
          <cell r="V661">
            <v>-3706.9611300000001</v>
          </cell>
          <cell r="W661">
            <v>-3746.5672300000001</v>
          </cell>
          <cell r="X661">
            <v>-2915.7299499999999</v>
          </cell>
          <cell r="Y661">
            <v>-3461.470323</v>
          </cell>
        </row>
        <row r="662">
          <cell r="B662">
            <v>253561</v>
          </cell>
          <cell r="C662" t="str">
            <v>Roll Fwd Sched</v>
          </cell>
          <cell r="D662" t="str">
            <v>DEF CREDITS - FAS 112 POSTEMPL BEN LIAB</v>
          </cell>
          <cell r="E662">
            <v>0</v>
          </cell>
        </row>
        <row r="663">
          <cell r="B663">
            <v>253660</v>
          </cell>
          <cell r="C663" t="str">
            <v>Roll Fwd Sched</v>
          </cell>
          <cell r="D663" t="str">
            <v>DEF CREDITS - NM2 TRANSMISSION CONGESTION CONTRAC</v>
          </cell>
          <cell r="E663">
            <v>1</v>
          </cell>
          <cell r="F663">
            <v>253660</v>
          </cell>
          <cell r="G663" t="str">
            <v/>
          </cell>
          <cell r="H663" t="str">
            <v/>
          </cell>
          <cell r="I663" t="str">
            <v/>
          </cell>
          <cell r="J663" t="str">
            <v/>
          </cell>
          <cell r="K663" t="str">
            <v/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</row>
        <row r="664">
          <cell r="B664">
            <v>253720</v>
          </cell>
          <cell r="C664" t="str">
            <v>Roll Fwd Sched</v>
          </cell>
          <cell r="D664" t="str">
            <v>DEF CREDITS - SERP/SRBP - RABBI TRUST</v>
          </cell>
          <cell r="E664">
            <v>1</v>
          </cell>
          <cell r="F664">
            <v>253720</v>
          </cell>
          <cell r="G664" t="str">
            <v/>
          </cell>
          <cell r="H664" t="str">
            <v/>
          </cell>
          <cell r="I664" t="str">
            <v/>
          </cell>
          <cell r="J664" t="str">
            <v/>
          </cell>
          <cell r="K664" t="str">
            <v/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</row>
        <row r="665">
          <cell r="B665">
            <v>253800</v>
          </cell>
          <cell r="C665" t="str">
            <v>Roll Fwd Sched</v>
          </cell>
          <cell r="D665" t="str">
            <v>OTHER DEFERRED CREDITS - IEE STOCK OPTION</v>
          </cell>
          <cell r="E665">
            <v>3</v>
          </cell>
          <cell r="F665">
            <v>253800</v>
          </cell>
          <cell r="G665" t="str">
            <v/>
          </cell>
          <cell r="H665" t="str">
            <v/>
          </cell>
          <cell r="I665" t="str">
            <v/>
          </cell>
          <cell r="J665" t="str">
            <v/>
          </cell>
          <cell r="K665" t="str">
            <v/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</row>
        <row r="666">
          <cell r="B666">
            <v>253910</v>
          </cell>
          <cell r="C666" t="str">
            <v>Roll Fwd Sched</v>
          </cell>
          <cell r="D666" t="str">
            <v>OTHER DEF CREDITS-PRE CAP ASSET INSTALLATION-ELEC</v>
          </cell>
          <cell r="E666">
            <v>1</v>
          </cell>
          <cell r="F666">
            <v>253910</v>
          </cell>
          <cell r="G666" t="str">
            <v/>
          </cell>
          <cell r="H666" t="str">
            <v/>
          </cell>
          <cell r="I666" t="str">
            <v/>
          </cell>
          <cell r="J666" t="str">
            <v/>
          </cell>
          <cell r="K666" t="str">
            <v/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</row>
        <row r="667">
          <cell r="B667">
            <v>253930</v>
          </cell>
          <cell r="C667" t="str">
            <v>Roll Fwd Sched</v>
          </cell>
          <cell r="D667" t="str">
            <v>OTHER DEF CREDITS-PRE CAP ASSET INSTALLATION-GAS</v>
          </cell>
          <cell r="E667">
            <v>1</v>
          </cell>
          <cell r="F667">
            <v>253930</v>
          </cell>
          <cell r="G667" t="str">
            <v/>
          </cell>
          <cell r="H667" t="str">
            <v/>
          </cell>
          <cell r="I667" t="str">
            <v/>
          </cell>
          <cell r="J667" t="str">
            <v/>
          </cell>
          <cell r="K667" t="str">
            <v/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</row>
        <row r="668">
          <cell r="B668">
            <v>254010</v>
          </cell>
          <cell r="C668" t="str">
            <v>Roll Fwd Sched</v>
          </cell>
          <cell r="D668" t="str">
            <v>OTH REG LIAB - OTHER</v>
          </cell>
          <cell r="E668">
            <v>72</v>
          </cell>
          <cell r="F668">
            <v>254010</v>
          </cell>
          <cell r="G668" t="str">
            <v/>
          </cell>
          <cell r="H668" t="str">
            <v/>
          </cell>
          <cell r="I668" t="str">
            <v/>
          </cell>
          <cell r="J668" t="str">
            <v/>
          </cell>
          <cell r="K668" t="str">
            <v/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</row>
        <row r="669">
          <cell r="B669">
            <v>254012</v>
          </cell>
          <cell r="C669" t="str">
            <v>Roll Fwd Sched</v>
          </cell>
          <cell r="D669" t="str">
            <v>OTH REG LIAB - EXCESS EARNINGS (ESM)</v>
          </cell>
          <cell r="E669">
            <v>13</v>
          </cell>
          <cell r="F669">
            <v>254012</v>
          </cell>
          <cell r="G669" t="str">
            <v/>
          </cell>
          <cell r="H669" t="str">
            <v/>
          </cell>
          <cell r="I669" t="str">
            <v/>
          </cell>
          <cell r="J669" t="str">
            <v/>
          </cell>
          <cell r="K669" t="str">
            <v/>
          </cell>
          <cell r="L669">
            <v>0</v>
          </cell>
          <cell r="M669">
            <v>0</v>
          </cell>
          <cell r="N669">
            <v>0</v>
          </cell>
          <cell r="O669">
            <v>-2650</v>
          </cell>
          <cell r="P669">
            <v>-2650</v>
          </cell>
          <cell r="Q669">
            <v>-2650</v>
          </cell>
          <cell r="R669">
            <v>-2650</v>
          </cell>
          <cell r="S669">
            <v>-3620</v>
          </cell>
          <cell r="T669">
            <v>-3620</v>
          </cell>
          <cell r="U669">
            <v>-3620</v>
          </cell>
          <cell r="V669">
            <v>-7620</v>
          </cell>
          <cell r="W669">
            <v>-7620</v>
          </cell>
          <cell r="X669">
            <v>-8241</v>
          </cell>
          <cell r="Y669">
            <v>-3401.708333</v>
          </cell>
        </row>
        <row r="670">
          <cell r="B670">
            <v>254013</v>
          </cell>
          <cell r="C670" t="str">
            <v>Roll Fwd Sched</v>
          </cell>
          <cell r="D670" t="str">
            <v>OTH REG LIAB -OTHER POST EMPLOYMENT BENEFIT (OPEB</v>
          </cell>
          <cell r="E670">
            <v>1</v>
          </cell>
          <cell r="F670">
            <v>254013</v>
          </cell>
          <cell r="G670" t="str">
            <v/>
          </cell>
          <cell r="H670" t="str">
            <v/>
          </cell>
          <cell r="I670" t="str">
            <v/>
          </cell>
          <cell r="J670" t="str">
            <v/>
          </cell>
          <cell r="K670" t="str">
            <v/>
          </cell>
          <cell r="L670">
            <v>-634.11923999999999</v>
          </cell>
          <cell r="M670">
            <v>-738.86923999999999</v>
          </cell>
          <cell r="N670">
            <v>-843.61923999999999</v>
          </cell>
          <cell r="O670">
            <v>-948.36923999999999</v>
          </cell>
          <cell r="P670">
            <v>-1053.11924</v>
          </cell>
          <cell r="Q670">
            <v>-1057.91299</v>
          </cell>
          <cell r="R670">
            <v>-1142.67174</v>
          </cell>
          <cell r="S670">
            <v>-1227.43049</v>
          </cell>
          <cell r="T670">
            <v>-1312.1892399999999</v>
          </cell>
          <cell r="U670">
            <v>-1396.9479899999999</v>
          </cell>
          <cell r="V670">
            <v>-1481.7067400000001</v>
          </cell>
          <cell r="W670">
            <v>-1566.46549</v>
          </cell>
          <cell r="X670">
            <v>-1755.80224</v>
          </cell>
          <cell r="Y670">
            <v>-1163.6885319999999</v>
          </cell>
        </row>
        <row r="671">
          <cell r="B671">
            <v>254015</v>
          </cell>
          <cell r="C671" t="str">
            <v>Roll Fwd Sched</v>
          </cell>
          <cell r="D671" t="str">
            <v>OTH REG LIAB - PGA ITEMS - OTHER - GAS</v>
          </cell>
          <cell r="E671">
            <v>2</v>
          </cell>
          <cell r="F671">
            <v>254015</v>
          </cell>
          <cell r="G671" t="str">
            <v/>
          </cell>
          <cell r="H671" t="str">
            <v/>
          </cell>
          <cell r="I671" t="str">
            <v/>
          </cell>
          <cell r="J671" t="str">
            <v/>
          </cell>
          <cell r="K671" t="str">
            <v/>
          </cell>
          <cell r="L671">
            <v>-2788.5101500000001</v>
          </cell>
          <cell r="M671">
            <v>-5311.6076899999998</v>
          </cell>
          <cell r="N671">
            <v>-7882.7742399999997</v>
          </cell>
          <cell r="O671">
            <v>-8321.9299300000002</v>
          </cell>
          <cell r="P671">
            <v>-8143.4670400000005</v>
          </cell>
          <cell r="Q671">
            <v>-7755.7340100000001</v>
          </cell>
          <cell r="R671">
            <v>-5464.3128200000001</v>
          </cell>
          <cell r="S671">
            <v>-3193.87021</v>
          </cell>
          <cell r="T671">
            <v>-2230.7987800000001</v>
          </cell>
          <cell r="U671">
            <v>-923.80093999999997</v>
          </cell>
          <cell r="V671">
            <v>-849.73018000000002</v>
          </cell>
          <cell r="W671">
            <v>-729.26755000000003</v>
          </cell>
          <cell r="X671">
            <v>-660.83948999999996</v>
          </cell>
          <cell r="Y671">
            <v>-4377.6640180000004</v>
          </cell>
        </row>
        <row r="672">
          <cell r="B672">
            <v>254016</v>
          </cell>
          <cell r="C672" t="str">
            <v>Roll Fwd Sched</v>
          </cell>
          <cell r="D672" t="str">
            <v>OTH REG LIAB - MISC - ELECTRIC</v>
          </cell>
          <cell r="E672">
            <v>34</v>
          </cell>
          <cell r="F672">
            <v>254016</v>
          </cell>
          <cell r="G672" t="str">
            <v/>
          </cell>
          <cell r="H672" t="str">
            <v/>
          </cell>
          <cell r="I672" t="str">
            <v/>
          </cell>
          <cell r="J672" t="str">
            <v/>
          </cell>
          <cell r="K672" t="str">
            <v/>
          </cell>
          <cell r="L672">
            <v>-33398.959450000002</v>
          </cell>
          <cell r="M672">
            <v>-39286.090210000002</v>
          </cell>
          <cell r="N672">
            <v>-33854.839200000002</v>
          </cell>
          <cell r="O672">
            <v>-28649.871050000002</v>
          </cell>
          <cell r="P672">
            <v>-29530.735680000002</v>
          </cell>
          <cell r="Q672">
            <v>-29491.973170000001</v>
          </cell>
          <cell r="R672">
            <v>-28732.31623</v>
          </cell>
          <cell r="S672">
            <v>-28973.635160000002</v>
          </cell>
          <cell r="T672">
            <v>-27793.94442</v>
          </cell>
          <cell r="U672">
            <v>-28986.964309999999</v>
          </cell>
          <cell r="V672">
            <v>-29340.41995</v>
          </cell>
          <cell r="W672">
            <v>-44911.653100000003</v>
          </cell>
          <cell r="X672">
            <v>-41290.009910000001</v>
          </cell>
          <cell r="Y672">
            <v>-32241.410596999998</v>
          </cell>
        </row>
        <row r="673">
          <cell r="B673">
            <v>254017</v>
          </cell>
          <cell r="C673" t="str">
            <v>Roll Fwd Sched</v>
          </cell>
          <cell r="D673" t="str">
            <v>OTH REG LIAB - MISC - GAS</v>
          </cell>
          <cell r="E673">
            <v>51</v>
          </cell>
          <cell r="F673">
            <v>254017</v>
          </cell>
          <cell r="G673" t="str">
            <v/>
          </cell>
          <cell r="H673" t="str">
            <v/>
          </cell>
          <cell r="I673" t="str">
            <v/>
          </cell>
          <cell r="J673" t="str">
            <v/>
          </cell>
          <cell r="K673" t="str">
            <v/>
          </cell>
          <cell r="L673">
            <v>-11856.25952</v>
          </cell>
          <cell r="M673">
            <v>-12843.620699999999</v>
          </cell>
          <cell r="N673">
            <v>-13877.013849999999</v>
          </cell>
          <cell r="O673">
            <v>-14430.95212</v>
          </cell>
          <cell r="P673">
            <v>-14607.3842</v>
          </cell>
          <cell r="Q673">
            <v>-15068.340410000001</v>
          </cell>
          <cell r="R673">
            <v>-14724.910879999999</v>
          </cell>
          <cell r="S673">
            <v>-14360.18168</v>
          </cell>
          <cell r="T673">
            <v>-12725.798419999999</v>
          </cell>
          <cell r="U673">
            <v>-12380.042659999999</v>
          </cell>
          <cell r="V673">
            <v>-12475.543390000001</v>
          </cell>
          <cell r="W673">
            <v>-12045.426530000001</v>
          </cell>
          <cell r="X673">
            <v>-12524.91425</v>
          </cell>
          <cell r="Y673">
            <v>-13477.483477</v>
          </cell>
        </row>
        <row r="674">
          <cell r="B674">
            <v>254020</v>
          </cell>
          <cell r="C674" t="str">
            <v>Roll Fwd Sched</v>
          </cell>
          <cell r="D674" t="str">
            <v>OTH REG LIAB - REG TAX LIAB-OTHER</v>
          </cell>
          <cell r="E674">
            <v>2</v>
          </cell>
          <cell r="F674">
            <v>254020</v>
          </cell>
          <cell r="G674" t="str">
            <v/>
          </cell>
          <cell r="H674">
            <v>254020</v>
          </cell>
          <cell r="I674" t="str">
            <v/>
          </cell>
          <cell r="J674" t="str">
            <v/>
          </cell>
          <cell r="K674" t="str">
            <v/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</row>
        <row r="675">
          <cell r="B675">
            <v>254025</v>
          </cell>
          <cell r="C675" t="str">
            <v>Roll Fwd Sched</v>
          </cell>
          <cell r="D675" t="str">
            <v>OTH REG LIAB - ECONOMIC DEVELOPMENT - ELECTRIC</v>
          </cell>
          <cell r="E675">
            <v>5</v>
          </cell>
          <cell r="F675">
            <v>254025</v>
          </cell>
          <cell r="G675" t="str">
            <v/>
          </cell>
          <cell r="H675" t="str">
            <v/>
          </cell>
          <cell r="I675" t="str">
            <v/>
          </cell>
          <cell r="J675" t="str">
            <v/>
          </cell>
          <cell r="K675" t="str">
            <v/>
          </cell>
          <cell r="L675">
            <v>-17718.06554</v>
          </cell>
          <cell r="M675">
            <v>-17645.499739999999</v>
          </cell>
          <cell r="N675">
            <v>-17622.017820000001</v>
          </cell>
          <cell r="O675">
            <v>-17576.341840000001</v>
          </cell>
          <cell r="P675">
            <v>-18368.44514</v>
          </cell>
          <cell r="Q675">
            <v>-18129.94283</v>
          </cell>
          <cell r="R675">
            <v>-18113.211869999999</v>
          </cell>
          <cell r="S675">
            <v>-18189.194920000002</v>
          </cell>
          <cell r="T675">
            <v>-17829.459169999998</v>
          </cell>
          <cell r="U675">
            <v>-17708.838070000002</v>
          </cell>
          <cell r="V675">
            <v>-17780.800190000002</v>
          </cell>
          <cell r="W675">
            <v>-17687.0713</v>
          </cell>
          <cell r="X675">
            <v>-16088.90713</v>
          </cell>
          <cell r="Y675">
            <v>-17796.192435000001</v>
          </cell>
        </row>
        <row r="676">
          <cell r="B676">
            <v>254026</v>
          </cell>
          <cell r="C676" t="str">
            <v>Roll Fwd Sched</v>
          </cell>
          <cell r="D676" t="str">
            <v>OTH REG LIAB - ECONOMIC DEVELOPMENT-GAS</v>
          </cell>
          <cell r="E676">
            <v>1</v>
          </cell>
          <cell r="F676">
            <v>254026</v>
          </cell>
          <cell r="G676" t="str">
            <v/>
          </cell>
          <cell r="H676" t="str">
            <v/>
          </cell>
          <cell r="I676" t="str">
            <v/>
          </cell>
          <cell r="J676" t="str">
            <v/>
          </cell>
          <cell r="K676" t="str">
            <v/>
          </cell>
          <cell r="L676">
            <v>-28.860019999999999</v>
          </cell>
          <cell r="M676">
            <v>-18.109349999999999</v>
          </cell>
          <cell r="N676">
            <v>-16.221820000000001</v>
          </cell>
          <cell r="O676">
            <v>-22.208590000000001</v>
          </cell>
          <cell r="P676">
            <v>-110.01531</v>
          </cell>
          <cell r="Q676">
            <v>-127.16792</v>
          </cell>
          <cell r="R676">
            <v>-135.50291999999999</v>
          </cell>
          <cell r="S676">
            <v>-154.0067</v>
          </cell>
          <cell r="T676">
            <v>-171.87370000000001</v>
          </cell>
          <cell r="U676">
            <v>-190.55548999999999</v>
          </cell>
          <cell r="V676">
            <v>-208.99393000000001</v>
          </cell>
          <cell r="W676">
            <v>-226.90769</v>
          </cell>
          <cell r="X676">
            <v>-244.00540000000001</v>
          </cell>
          <cell r="Y676">
            <v>-126.499678</v>
          </cell>
        </row>
        <row r="677">
          <cell r="B677">
            <v>254030</v>
          </cell>
          <cell r="C677" t="str">
            <v>Roll Fwd Sched</v>
          </cell>
          <cell r="D677" t="str">
            <v>OTH REG LIAB - REG TAX LIABILITIES - DEPRECIATION</v>
          </cell>
          <cell r="E677">
            <v>2</v>
          </cell>
          <cell r="F677">
            <v>254030</v>
          </cell>
          <cell r="G677" t="str">
            <v/>
          </cell>
          <cell r="H677">
            <v>254030</v>
          </cell>
          <cell r="I677" t="str">
            <v/>
          </cell>
          <cell r="J677" t="str">
            <v/>
          </cell>
          <cell r="K677" t="str">
            <v/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</row>
        <row r="678">
          <cell r="B678">
            <v>254040</v>
          </cell>
          <cell r="C678" t="str">
            <v>Roll Fwd Sched</v>
          </cell>
          <cell r="D678" t="str">
            <v>OTH REG LIAB - ACCUM DEFERRED INC TAX - FIXED ASS</v>
          </cell>
          <cell r="E678">
            <v>2</v>
          </cell>
          <cell r="F678">
            <v>254040</v>
          </cell>
          <cell r="G678" t="str">
            <v/>
          </cell>
          <cell r="H678">
            <v>254040</v>
          </cell>
          <cell r="I678" t="str">
            <v/>
          </cell>
          <cell r="J678" t="str">
            <v/>
          </cell>
          <cell r="K678" t="str">
            <v/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</row>
        <row r="679">
          <cell r="B679">
            <v>254050</v>
          </cell>
          <cell r="C679" t="str">
            <v>Roll Fwd Sched</v>
          </cell>
          <cell r="D679" t="str">
            <v>OTH REG LIAB - ACCUM DEFERRED INC TAX-FEDERAL</v>
          </cell>
          <cell r="E679">
            <v>2</v>
          </cell>
          <cell r="F679">
            <v>254050</v>
          </cell>
          <cell r="G679" t="str">
            <v/>
          </cell>
          <cell r="H679">
            <v>254050</v>
          </cell>
          <cell r="I679" t="str">
            <v/>
          </cell>
          <cell r="J679" t="str">
            <v/>
          </cell>
          <cell r="K679" t="str">
            <v/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</row>
        <row r="680">
          <cell r="B680">
            <v>254070</v>
          </cell>
          <cell r="C680" t="str">
            <v>Roll Fwd Sched</v>
          </cell>
          <cell r="D680" t="str">
            <v>OTH REG LIAB- NYS INCOME TAX/GRT DIFFERENCES</v>
          </cell>
          <cell r="E680">
            <v>4</v>
          </cell>
          <cell r="F680">
            <v>254070</v>
          </cell>
          <cell r="G680" t="str">
            <v/>
          </cell>
          <cell r="H680" t="str">
            <v/>
          </cell>
          <cell r="I680" t="str">
            <v/>
          </cell>
          <cell r="J680" t="str">
            <v/>
          </cell>
          <cell r="K680" t="str">
            <v/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</row>
        <row r="681">
          <cell r="B681">
            <v>254080</v>
          </cell>
          <cell r="C681" t="str">
            <v>Roll Fwd Sched</v>
          </cell>
          <cell r="D681" t="str">
            <v>OTH REG LIAB - COB2 EARNINGS REQUIREMENT</v>
          </cell>
          <cell r="E681" t="str">
            <v/>
          </cell>
          <cell r="F681">
            <v>254080</v>
          </cell>
          <cell r="G681" t="str">
            <v/>
          </cell>
          <cell r="H681" t="str">
            <v/>
          </cell>
          <cell r="I681" t="str">
            <v/>
          </cell>
          <cell r="J681" t="str">
            <v/>
          </cell>
          <cell r="K681" t="str">
            <v/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</row>
        <row r="682">
          <cell r="B682">
            <v>254085</v>
          </cell>
          <cell r="C682" t="str">
            <v>Roll Fwd Sched</v>
          </cell>
          <cell r="D682" t="str">
            <v>OTH REG LIAB - GAS HEDGES (GAINS)</v>
          </cell>
          <cell r="E682">
            <v>1</v>
          </cell>
          <cell r="F682">
            <v>254085</v>
          </cell>
          <cell r="G682" t="str">
            <v/>
          </cell>
          <cell r="H682" t="str">
            <v/>
          </cell>
          <cell r="I682" t="str">
            <v/>
          </cell>
          <cell r="J682" t="str">
            <v/>
          </cell>
          <cell r="K682" t="str">
            <v/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</row>
        <row r="683">
          <cell r="B683">
            <v>254090</v>
          </cell>
          <cell r="C683" t="str">
            <v>Roll Fwd Sched</v>
          </cell>
          <cell r="D683" t="str">
            <v>OTH REG LIAB - FAS 109 NYS TRANS ADJUSTMENT</v>
          </cell>
          <cell r="E683">
            <v>2</v>
          </cell>
          <cell r="F683">
            <v>254090</v>
          </cell>
          <cell r="G683" t="str">
            <v/>
          </cell>
          <cell r="H683">
            <v>254090</v>
          </cell>
          <cell r="I683" t="str">
            <v/>
          </cell>
          <cell r="J683" t="str">
            <v/>
          </cell>
          <cell r="K683" t="str">
            <v/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</row>
        <row r="684">
          <cell r="B684">
            <v>254110</v>
          </cell>
          <cell r="C684" t="str">
            <v>Roll Fwd Sched</v>
          </cell>
          <cell r="D684" t="str">
            <v>OTH REG LIAB - SYSTEMS BENEFITS CHARGES</v>
          </cell>
          <cell r="E684" t="str">
            <v/>
          </cell>
          <cell r="F684">
            <v>254110</v>
          </cell>
          <cell r="G684" t="str">
            <v/>
          </cell>
          <cell r="H684" t="str">
            <v/>
          </cell>
          <cell r="I684" t="str">
            <v/>
          </cell>
          <cell r="J684" t="str">
            <v/>
          </cell>
          <cell r="K684" t="str">
            <v/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</row>
        <row r="685">
          <cell r="B685">
            <v>254115</v>
          </cell>
          <cell r="C685" t="str">
            <v>Roll Fwd Sched</v>
          </cell>
          <cell r="D685" t="str">
            <v>OTH REG LIAB - PURCHASE OF RECEIVABLES-ELECTRIC</v>
          </cell>
          <cell r="E685">
            <v>1</v>
          </cell>
          <cell r="F685">
            <v>254115</v>
          </cell>
          <cell r="G685" t="str">
            <v/>
          </cell>
          <cell r="H685" t="str">
            <v/>
          </cell>
          <cell r="I685" t="str">
            <v/>
          </cell>
          <cell r="J685" t="str">
            <v/>
          </cell>
          <cell r="K685" t="str">
            <v/>
          </cell>
          <cell r="L685">
            <v>-103.73799</v>
          </cell>
          <cell r="M685">
            <v>-120.96965</v>
          </cell>
          <cell r="N685">
            <v>-121.30112</v>
          </cell>
          <cell r="O685">
            <v>-2.7720699999999998</v>
          </cell>
          <cell r="P685">
            <v>13.166130000000001</v>
          </cell>
          <cell r="Q685">
            <v>23.4816</v>
          </cell>
          <cell r="R685">
            <v>85.964420000000004</v>
          </cell>
          <cell r="S685">
            <v>3.8681999999999999</v>
          </cell>
          <cell r="T685">
            <v>-22.723299999999998</v>
          </cell>
          <cell r="U685">
            <v>-58.550840000000001</v>
          </cell>
          <cell r="V685">
            <v>-40.368189999999998</v>
          </cell>
          <cell r="W685">
            <v>-13.75877</v>
          </cell>
          <cell r="X685">
            <v>0.30839</v>
          </cell>
          <cell r="Y685">
            <v>-25.473199000000001</v>
          </cell>
        </row>
        <row r="686">
          <cell r="B686">
            <v>254116</v>
          </cell>
          <cell r="C686" t="str">
            <v>Roll Fwd Sched</v>
          </cell>
          <cell r="D686" t="str">
            <v>OTH REG LIAB - PURCHASE OF RECEIVABLES-GAS</v>
          </cell>
          <cell r="E686">
            <v>3</v>
          </cell>
          <cell r="F686">
            <v>254116</v>
          </cell>
          <cell r="G686" t="str">
            <v/>
          </cell>
          <cell r="H686" t="str">
            <v/>
          </cell>
          <cell r="I686" t="str">
            <v/>
          </cell>
          <cell r="J686" t="str">
            <v/>
          </cell>
          <cell r="K686" t="str">
            <v/>
          </cell>
          <cell r="L686">
            <v>-1917.3010899999999</v>
          </cell>
          <cell r="M686">
            <v>-1914.0950399999999</v>
          </cell>
          <cell r="N686">
            <v>-1907.21424</v>
          </cell>
          <cell r="O686">
            <v>-1891.9540500000001</v>
          </cell>
          <cell r="P686">
            <v>-1831.8877</v>
          </cell>
          <cell r="Q686">
            <v>-1740.11382</v>
          </cell>
          <cell r="R686">
            <v>-1599.5200400000001</v>
          </cell>
          <cell r="S686">
            <v>-1486.4835700000001</v>
          </cell>
          <cell r="T686">
            <v>-1348.39021</v>
          </cell>
          <cell r="U686">
            <v>-1213.86913</v>
          </cell>
          <cell r="V686">
            <v>-1078.9318000000001</v>
          </cell>
          <cell r="W686">
            <v>-964.64648999999997</v>
          </cell>
          <cell r="X686">
            <v>-881.37855999999999</v>
          </cell>
          <cell r="Y686">
            <v>-1531.3704929999999</v>
          </cell>
        </row>
        <row r="687">
          <cell r="B687">
            <v>254150</v>
          </cell>
          <cell r="C687" t="str">
            <v>NOT USED</v>
          </cell>
          <cell r="D687" t="str">
            <v>OTH REG LIAB - COST TO ACHIEVE/COST SAVINGS</v>
          </cell>
          <cell r="E687" t="str">
            <v/>
          </cell>
          <cell r="F687" t="str">
            <v/>
          </cell>
          <cell r="G687" t="str">
            <v/>
          </cell>
          <cell r="H687" t="str">
            <v/>
          </cell>
          <cell r="I687" t="str">
            <v/>
          </cell>
          <cell r="J687" t="str">
            <v/>
          </cell>
          <cell r="K687" t="str">
            <v/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</row>
        <row r="688">
          <cell r="B688">
            <v>254171</v>
          </cell>
          <cell r="C688" t="str">
            <v>Roll Fwd Sched</v>
          </cell>
          <cell r="D688" t="str">
            <v>OTHER REGULATORY LIAB-STORM COSTS RESERVE</v>
          </cell>
          <cell r="E688">
            <v>1</v>
          </cell>
          <cell r="F688">
            <v>254171</v>
          </cell>
          <cell r="G688" t="str">
            <v/>
          </cell>
          <cell r="H688" t="str">
            <v/>
          </cell>
          <cell r="I688" t="str">
            <v/>
          </cell>
          <cell r="J688" t="str">
            <v/>
          </cell>
          <cell r="K688" t="str">
            <v/>
          </cell>
          <cell r="L688">
            <v>-2128.0041099999999</v>
          </cell>
          <cell r="M688">
            <v>-2320.7417099999998</v>
          </cell>
          <cell r="N688">
            <v>-2544.47363</v>
          </cell>
          <cell r="O688">
            <v>-2769.4888700000001</v>
          </cell>
          <cell r="P688">
            <v>-2958.7883499999998</v>
          </cell>
          <cell r="Q688">
            <v>-3186.1516099999999</v>
          </cell>
          <cell r="R688">
            <v>-3414.8033999999998</v>
          </cell>
          <cell r="S688">
            <v>-3644.7510200000002</v>
          </cell>
          <cell r="T688">
            <v>-3876.0018100000002</v>
          </cell>
          <cell r="U688">
            <v>-4108.5631599999997</v>
          </cell>
          <cell r="V688">
            <v>-4342.4424900000004</v>
          </cell>
          <cell r="W688">
            <v>-4577.6472700000004</v>
          </cell>
          <cell r="X688">
            <v>-4814.1850199999999</v>
          </cell>
          <cell r="Y688">
            <v>-3434.57899</v>
          </cell>
        </row>
        <row r="689">
          <cell r="B689">
            <v>254203</v>
          </cell>
          <cell r="C689" t="str">
            <v>Roll Fwd Sched</v>
          </cell>
          <cell r="D689" t="str">
            <v>OTH REG LIAB - PENSION - FAS158</v>
          </cell>
          <cell r="E689">
            <v>1</v>
          </cell>
          <cell r="F689">
            <v>254203</v>
          </cell>
          <cell r="G689" t="str">
            <v/>
          </cell>
          <cell r="H689" t="str">
            <v/>
          </cell>
          <cell r="I689" t="str">
            <v/>
          </cell>
          <cell r="J689" t="str">
            <v/>
          </cell>
          <cell r="K689" t="str">
            <v/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</row>
        <row r="690">
          <cell r="B690">
            <v>254210</v>
          </cell>
          <cell r="C690" t="str">
            <v>Roll Fwd Sched</v>
          </cell>
          <cell r="D690" t="str">
            <v>OTH REGULATORY LIAB-DEF UNBILLED REVENUE</v>
          </cell>
          <cell r="E690">
            <v>1</v>
          </cell>
          <cell r="F690">
            <v>254210</v>
          </cell>
          <cell r="G690" t="str">
            <v/>
          </cell>
          <cell r="H690" t="str">
            <v/>
          </cell>
          <cell r="I690" t="str">
            <v/>
          </cell>
          <cell r="J690" t="str">
            <v/>
          </cell>
          <cell r="K690" t="str">
            <v/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</row>
        <row r="691">
          <cell r="B691">
            <v>254220</v>
          </cell>
          <cell r="C691" t="str">
            <v>Roll Fwd Sched</v>
          </cell>
          <cell r="D691" t="str">
            <v>OTH REGULATORY LIAB-UNFUNDED FUTURE INC TAXES</v>
          </cell>
          <cell r="E691" t="str">
            <v/>
          </cell>
          <cell r="F691">
            <v>254220</v>
          </cell>
          <cell r="G691" t="str">
            <v/>
          </cell>
          <cell r="H691">
            <v>254220</v>
          </cell>
          <cell r="I691" t="str">
            <v/>
          </cell>
          <cell r="J691" t="str">
            <v/>
          </cell>
          <cell r="K691" t="str">
            <v/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</row>
        <row r="692">
          <cell r="B692">
            <v>254230</v>
          </cell>
          <cell r="C692" t="str">
            <v>Roll Fwd Sched</v>
          </cell>
          <cell r="D692" t="str">
            <v>OTH REGULATORY LIAB-EXCESS DEF INC TAXES</v>
          </cell>
          <cell r="E692" t="str">
            <v/>
          </cell>
          <cell r="F692">
            <v>254230</v>
          </cell>
          <cell r="G692" t="str">
            <v/>
          </cell>
          <cell r="H692">
            <v>254230</v>
          </cell>
          <cell r="I692" t="str">
            <v/>
          </cell>
          <cell r="J692" t="str">
            <v/>
          </cell>
          <cell r="K692" t="str">
            <v/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</row>
        <row r="693">
          <cell r="B693">
            <v>254266</v>
          </cell>
          <cell r="C693" t="str">
            <v>Roll Fwd Sched</v>
          </cell>
          <cell r="D693" t="str">
            <v>OTH REGULATORY LIAB-DSO ELECTRIC HEDGES (GAINS)</v>
          </cell>
          <cell r="E693">
            <v>2</v>
          </cell>
          <cell r="F693">
            <v>254266</v>
          </cell>
          <cell r="G693" t="str">
            <v/>
          </cell>
          <cell r="H693" t="str">
            <v/>
          </cell>
          <cell r="I693" t="str">
            <v/>
          </cell>
          <cell r="J693" t="str">
            <v/>
          </cell>
          <cell r="K693" t="str">
            <v/>
          </cell>
          <cell r="N693">
            <v>-1.3260000000000001</v>
          </cell>
          <cell r="O693">
            <v>-13.5</v>
          </cell>
          <cell r="P693">
            <v>-33.78</v>
          </cell>
          <cell r="Q693">
            <v>0</v>
          </cell>
          <cell r="R693">
            <v>0</v>
          </cell>
          <cell r="S693">
            <v>-43.552</v>
          </cell>
          <cell r="T693">
            <v>-106.348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-16.542166999999999</v>
          </cell>
        </row>
        <row r="694">
          <cell r="B694">
            <v>254270</v>
          </cell>
          <cell r="C694" t="str">
            <v>Roll Fwd Sched</v>
          </cell>
          <cell r="D694" t="str">
            <v>OTH REGULATORY LIAB-SALE OF GENERATION ASSETS GAI</v>
          </cell>
          <cell r="E694">
            <v>69</v>
          </cell>
          <cell r="F694">
            <v>254270</v>
          </cell>
          <cell r="G694" t="str">
            <v/>
          </cell>
          <cell r="H694" t="str">
            <v/>
          </cell>
          <cell r="I694" t="str">
            <v/>
          </cell>
          <cell r="J694" t="str">
            <v/>
          </cell>
          <cell r="K694" t="str">
            <v/>
          </cell>
          <cell r="L694">
            <v>-8202.8460599999999</v>
          </cell>
          <cell r="M694">
            <v>-8004.7526200000002</v>
          </cell>
          <cell r="N694">
            <v>-7807.3783899999999</v>
          </cell>
          <cell r="O694">
            <v>-7735.3380399999996</v>
          </cell>
          <cell r="P694">
            <v>-7946.4655199999997</v>
          </cell>
          <cell r="Q694">
            <v>-7755.7832600000002</v>
          </cell>
          <cell r="R694">
            <v>-8371.2173899999998</v>
          </cell>
          <cell r="S694">
            <v>-8188.47253</v>
          </cell>
          <cell r="T694">
            <v>-8013.1688199999999</v>
          </cell>
          <cell r="U694">
            <v>-7977.1492900000003</v>
          </cell>
          <cell r="V694">
            <v>-7795.3178799999996</v>
          </cell>
          <cell r="W694">
            <v>-7614.2978400000002</v>
          </cell>
          <cell r="X694">
            <v>-7424.0783499999998</v>
          </cell>
          <cell r="Y694">
            <v>-7918.5669820000003</v>
          </cell>
        </row>
        <row r="695">
          <cell r="B695">
            <v>254275</v>
          </cell>
          <cell r="C695" t="str">
            <v>Roll Fwd Sched</v>
          </cell>
          <cell r="D695" t="str">
            <v>PBA-IBERDROLA MERGER ELECTRIC</v>
          </cell>
          <cell r="E695">
            <v>1</v>
          </cell>
          <cell r="F695">
            <v>254275</v>
          </cell>
          <cell r="G695" t="str">
            <v/>
          </cell>
          <cell r="H695" t="str">
            <v/>
          </cell>
          <cell r="I695" t="str">
            <v/>
          </cell>
          <cell r="J695" t="str">
            <v/>
          </cell>
          <cell r="K695" t="str">
            <v/>
          </cell>
          <cell r="L695">
            <v>-62852.993569999999</v>
          </cell>
          <cell r="M695">
            <v>-62019.660239999997</v>
          </cell>
          <cell r="N695">
            <v>-61186.326910000003</v>
          </cell>
          <cell r="O695">
            <v>-60352.993580000002</v>
          </cell>
          <cell r="P695">
            <v>-59519.660250000001</v>
          </cell>
          <cell r="Q695">
            <v>-58686.32692</v>
          </cell>
          <cell r="R695">
            <v>-57852.993589999998</v>
          </cell>
          <cell r="S695">
            <v>-57019.660259999997</v>
          </cell>
          <cell r="T695">
            <v>-56186.326930000003</v>
          </cell>
          <cell r="U695">
            <v>-55769.660259999997</v>
          </cell>
          <cell r="V695">
            <v>-55352.993589999998</v>
          </cell>
          <cell r="W695">
            <v>-54936.32692</v>
          </cell>
          <cell r="X695">
            <v>-54519.660250000001</v>
          </cell>
          <cell r="Y695">
            <v>-58130.771363</v>
          </cell>
        </row>
        <row r="696">
          <cell r="B696">
            <v>254276</v>
          </cell>
          <cell r="C696" t="str">
            <v>Roll Fwd Sched</v>
          </cell>
          <cell r="D696" t="str">
            <v>PBA-IBERDROLA MERGER GAS</v>
          </cell>
          <cell r="E696">
            <v>1</v>
          </cell>
          <cell r="F696">
            <v>254276</v>
          </cell>
          <cell r="G696" t="str">
            <v/>
          </cell>
          <cell r="H696" t="str">
            <v/>
          </cell>
          <cell r="I696" t="str">
            <v/>
          </cell>
          <cell r="J696" t="str">
            <v/>
          </cell>
          <cell r="K696" t="str">
            <v/>
          </cell>
          <cell r="L696">
            <v>-26468.32</v>
          </cell>
          <cell r="M696">
            <v>-25051.653330000001</v>
          </cell>
          <cell r="N696">
            <v>-23634.986659999999</v>
          </cell>
          <cell r="O696">
            <v>-22218.31999</v>
          </cell>
          <cell r="P696">
            <v>-20801.653320000001</v>
          </cell>
          <cell r="Q696">
            <v>-19384.986649999999</v>
          </cell>
          <cell r="R696">
            <v>-17968.31998</v>
          </cell>
          <cell r="S696">
            <v>-16551.653310000002</v>
          </cell>
          <cell r="T696">
            <v>-15134.986639999999</v>
          </cell>
          <cell r="U696">
            <v>-14272.486639999999</v>
          </cell>
          <cell r="V696">
            <v>-13409.986639999999</v>
          </cell>
          <cell r="W696">
            <v>-12547.486639999999</v>
          </cell>
          <cell r="X696">
            <v>-11684.986639999999</v>
          </cell>
          <cell r="Y696">
            <v>-18337.764426999998</v>
          </cell>
        </row>
        <row r="697">
          <cell r="B697">
            <v>254640</v>
          </cell>
          <cell r="C697" t="str">
            <v>Roll Fwd Sched</v>
          </cell>
          <cell r="D697" t="str">
            <v>OTH REGULATORY LIAB-GAS CONTRACTOR LITIGATION</v>
          </cell>
          <cell r="E697" t="str">
            <v/>
          </cell>
          <cell r="F697">
            <v>254640</v>
          </cell>
          <cell r="G697" t="str">
            <v/>
          </cell>
          <cell r="H697" t="str">
            <v/>
          </cell>
          <cell r="I697" t="str">
            <v/>
          </cell>
          <cell r="J697" t="str">
            <v/>
          </cell>
          <cell r="K697" t="str">
            <v/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</row>
        <row r="698">
          <cell r="B698">
            <v>254660</v>
          </cell>
          <cell r="C698" t="str">
            <v>Roll Fwd Sched</v>
          </cell>
          <cell r="D698" t="str">
            <v>OTHER REGULATORY LIABILITIES - GINNA OUTAGE COSTS</v>
          </cell>
          <cell r="E698" t="str">
            <v/>
          </cell>
          <cell r="F698">
            <v>254660</v>
          </cell>
          <cell r="G698" t="str">
            <v/>
          </cell>
          <cell r="H698" t="str">
            <v/>
          </cell>
          <cell r="I698" t="str">
            <v/>
          </cell>
          <cell r="J698" t="str">
            <v/>
          </cell>
          <cell r="K698" t="str">
            <v/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</row>
        <row r="699">
          <cell r="B699">
            <v>254670</v>
          </cell>
          <cell r="C699" t="str">
            <v>Roll Fwd Sched</v>
          </cell>
          <cell r="D699" t="str">
            <v>OTHER REG LIAB-ASSET RETIREMENT OBLIGATION GAS</v>
          </cell>
          <cell r="E699">
            <v>2</v>
          </cell>
          <cell r="F699">
            <v>254670</v>
          </cell>
          <cell r="G699" t="str">
            <v/>
          </cell>
          <cell r="H699" t="str">
            <v/>
          </cell>
          <cell r="I699" t="str">
            <v/>
          </cell>
          <cell r="J699" t="str">
            <v/>
          </cell>
          <cell r="K699" t="str">
            <v/>
          </cell>
          <cell r="L699">
            <v>-1418.3524</v>
          </cell>
          <cell r="M699">
            <v>-1415.66804</v>
          </cell>
          <cell r="N699">
            <v>-1412.97315</v>
          </cell>
          <cell r="O699">
            <v>-1410.2677200000001</v>
          </cell>
          <cell r="P699">
            <v>-1407.5516700000001</v>
          </cell>
          <cell r="Q699">
            <v>-1404.8249699999999</v>
          </cell>
          <cell r="R699">
            <v>-1402.0875900000001</v>
          </cell>
          <cell r="S699">
            <v>-1399.3394499999999</v>
          </cell>
          <cell r="T699">
            <v>-1396.5805399999999</v>
          </cell>
          <cell r="U699">
            <v>-1393.81078</v>
          </cell>
          <cell r="V699">
            <v>-1391.0301400000001</v>
          </cell>
          <cell r="W699">
            <v>-1388.23856</v>
          </cell>
          <cell r="X699">
            <v>-1416.4810199999999</v>
          </cell>
          <cell r="Y699">
            <v>-1403.315777</v>
          </cell>
        </row>
        <row r="700">
          <cell r="B700">
            <v>254680</v>
          </cell>
          <cell r="C700" t="str">
            <v>Roll Fwd Sched</v>
          </cell>
          <cell r="D700" t="str">
            <v>OTH REGULATORY LIAB-PASGA2</v>
          </cell>
          <cell r="E700">
            <v>1</v>
          </cell>
          <cell r="F700">
            <v>254680</v>
          </cell>
          <cell r="G700" t="str">
            <v/>
          </cell>
          <cell r="H700" t="str">
            <v/>
          </cell>
          <cell r="I700" t="str">
            <v/>
          </cell>
          <cell r="J700" t="str">
            <v/>
          </cell>
          <cell r="K700" t="str">
            <v/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</row>
        <row r="701">
          <cell r="B701">
            <v>254690</v>
          </cell>
          <cell r="C701" t="str">
            <v>Roll Fwd Sched</v>
          </cell>
          <cell r="D701" t="str">
            <v>OTH REGULATORY LIAB-BEE BEE DECOMMISSIONING</v>
          </cell>
          <cell r="E701">
            <v>1</v>
          </cell>
          <cell r="F701">
            <v>254690</v>
          </cell>
          <cell r="G701" t="str">
            <v/>
          </cell>
          <cell r="H701" t="str">
            <v/>
          </cell>
          <cell r="I701" t="str">
            <v/>
          </cell>
          <cell r="J701" t="str">
            <v/>
          </cell>
          <cell r="K701" t="str">
            <v/>
          </cell>
          <cell r="L701">
            <v>-12544.66618</v>
          </cell>
          <cell r="M701">
            <v>-12590.66871</v>
          </cell>
          <cell r="N701">
            <v>-12598.37732</v>
          </cell>
          <cell r="O701">
            <v>-12598.37732</v>
          </cell>
          <cell r="P701">
            <v>-12598.37732</v>
          </cell>
          <cell r="Q701">
            <v>-12598.37732</v>
          </cell>
          <cell r="R701">
            <v>-12598.37732</v>
          </cell>
          <cell r="S701">
            <v>-12598.249169999999</v>
          </cell>
          <cell r="T701">
            <v>-12597.650519999999</v>
          </cell>
          <cell r="U701">
            <v>-12597.056350000001</v>
          </cell>
          <cell r="V701">
            <v>-12594.915000000001</v>
          </cell>
          <cell r="W701">
            <v>-12558.36231</v>
          </cell>
          <cell r="X701">
            <v>-12509.961600000001</v>
          </cell>
          <cell r="Y701">
            <v>-12588.008545999999</v>
          </cell>
        </row>
        <row r="702">
          <cell r="B702">
            <v>254901</v>
          </cell>
          <cell r="C702" t="str">
            <v>Roll Fwd Sched</v>
          </cell>
          <cell r="D702" t="str">
            <v>EXCESS FEDERAL DIT NCR ITEMS-ELECTRIC</v>
          </cell>
          <cell r="E702">
            <v>2</v>
          </cell>
          <cell r="F702">
            <v>254901</v>
          </cell>
          <cell r="G702" t="str">
            <v/>
          </cell>
          <cell r="H702" t="str">
            <v/>
          </cell>
          <cell r="I702" t="str">
            <v/>
          </cell>
          <cell r="J702" t="str">
            <v/>
          </cell>
          <cell r="K702" t="str">
            <v/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</row>
        <row r="703">
          <cell r="B703">
            <v>254903</v>
          </cell>
          <cell r="C703" t="str">
            <v>Roll Fwd Sched</v>
          </cell>
          <cell r="D703" t="str">
            <v>EXCESS FEDERAL DIT NON NCR ITEMS-ELECTRIC</v>
          </cell>
          <cell r="E703">
            <v>3</v>
          </cell>
          <cell r="F703">
            <v>254903</v>
          </cell>
          <cell r="G703" t="str">
            <v/>
          </cell>
          <cell r="H703" t="str">
            <v/>
          </cell>
          <cell r="I703" t="str">
            <v/>
          </cell>
          <cell r="J703" t="str">
            <v/>
          </cell>
          <cell r="K703" t="str">
            <v/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</row>
        <row r="704">
          <cell r="B704">
            <v>254904</v>
          </cell>
          <cell r="C704" t="str">
            <v>Roll Fwd Sched</v>
          </cell>
          <cell r="D704" t="str">
            <v>EXCESS FEDERAL DIT NON NCR ITEMS-GAS</v>
          </cell>
          <cell r="E704">
            <v>3</v>
          </cell>
          <cell r="F704">
            <v>254904</v>
          </cell>
          <cell r="G704" t="str">
            <v/>
          </cell>
          <cell r="H704" t="str">
            <v/>
          </cell>
          <cell r="I704" t="str">
            <v/>
          </cell>
          <cell r="J704" t="str">
            <v/>
          </cell>
          <cell r="K704" t="str">
            <v/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</row>
        <row r="705">
          <cell r="B705">
            <v>254905</v>
          </cell>
          <cell r="C705" t="str">
            <v>Roll Fwd Sched</v>
          </cell>
          <cell r="D705" t="str">
            <v>EXCESS STATE DIT NCR ITEMS-ELECTRIC</v>
          </cell>
          <cell r="E705">
            <v>2</v>
          </cell>
          <cell r="F705">
            <v>254905</v>
          </cell>
          <cell r="G705" t="str">
            <v/>
          </cell>
          <cell r="H705" t="str">
            <v/>
          </cell>
          <cell r="I705" t="str">
            <v/>
          </cell>
          <cell r="J705" t="str">
            <v/>
          </cell>
          <cell r="K705" t="str">
            <v/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</row>
        <row r="706">
          <cell r="B706">
            <v>254907</v>
          </cell>
          <cell r="C706" t="str">
            <v>Roll Fwd Sched</v>
          </cell>
          <cell r="D706" t="str">
            <v>EXCESS STATE DIT NON NCR ITEMS-ELECTRIC</v>
          </cell>
          <cell r="E706">
            <v>3</v>
          </cell>
          <cell r="F706">
            <v>254907</v>
          </cell>
          <cell r="G706" t="str">
            <v/>
          </cell>
          <cell r="H706" t="str">
            <v/>
          </cell>
          <cell r="I706" t="str">
            <v/>
          </cell>
          <cell r="J706" t="str">
            <v/>
          </cell>
          <cell r="K706" t="str">
            <v/>
          </cell>
          <cell r="L706">
            <v>-608.93908999999996</v>
          </cell>
          <cell r="M706">
            <v>-592.02409999999998</v>
          </cell>
          <cell r="N706">
            <v>-575.10913000000005</v>
          </cell>
          <cell r="O706">
            <v>-558.19413999999995</v>
          </cell>
          <cell r="P706">
            <v>-541.27917000000002</v>
          </cell>
          <cell r="Q706">
            <v>-524.36419000000001</v>
          </cell>
          <cell r="R706">
            <v>-507.44920000000002</v>
          </cell>
          <cell r="S706">
            <v>-490.53422999999998</v>
          </cell>
          <cell r="T706">
            <v>-473.61925000000002</v>
          </cell>
          <cell r="U706">
            <v>-456.70427000000001</v>
          </cell>
          <cell r="V706">
            <v>-439.78928999999999</v>
          </cell>
          <cell r="W706">
            <v>-422.87432000000001</v>
          </cell>
          <cell r="X706">
            <v>-405.95933000000002</v>
          </cell>
          <cell r="Y706">
            <v>-507.449208</v>
          </cell>
        </row>
        <row r="707">
          <cell r="B707">
            <v>254908</v>
          </cell>
          <cell r="C707" t="str">
            <v>Roll Fwd Sched</v>
          </cell>
          <cell r="D707" t="str">
            <v>EXCESS STATE DIT NON NCR ITEMS-GAS</v>
          </cell>
          <cell r="E707">
            <v>4</v>
          </cell>
          <cell r="F707">
            <v>254908</v>
          </cell>
          <cell r="G707" t="str">
            <v/>
          </cell>
          <cell r="H707" t="str">
            <v/>
          </cell>
          <cell r="I707" t="str">
            <v/>
          </cell>
          <cell r="J707" t="str">
            <v/>
          </cell>
          <cell r="K707" t="str">
            <v/>
          </cell>
          <cell r="L707">
            <v>-249.26399000000001</v>
          </cell>
          <cell r="M707">
            <v>-242.33999</v>
          </cell>
          <cell r="N707">
            <v>-235.41598999999999</v>
          </cell>
          <cell r="O707">
            <v>-228.49198000000001</v>
          </cell>
          <cell r="P707">
            <v>-221.56798000000001</v>
          </cell>
          <cell r="Q707">
            <v>-214.64397</v>
          </cell>
          <cell r="R707">
            <v>-207.71996999999999</v>
          </cell>
          <cell r="S707">
            <v>-200.79596000000001</v>
          </cell>
          <cell r="T707">
            <v>-193.87196</v>
          </cell>
          <cell r="U707">
            <v>-186.94795999999999</v>
          </cell>
          <cell r="V707">
            <v>-180.02395000000001</v>
          </cell>
          <cell r="W707">
            <v>-173.09995000000001</v>
          </cell>
          <cell r="X707">
            <v>-166.17594</v>
          </cell>
          <cell r="Y707">
            <v>-207.71996899999999</v>
          </cell>
        </row>
        <row r="708">
          <cell r="B708">
            <v>254994</v>
          </cell>
          <cell r="C708" t="str">
            <v>Roll Fwd Sched</v>
          </cell>
          <cell r="D708" t="str">
            <v>RECLASS OTH REG LIAB-ASGA-ELEC (WITH ACCT 254995)</v>
          </cell>
          <cell r="E708">
            <v>1</v>
          </cell>
          <cell r="F708">
            <v>254994</v>
          </cell>
          <cell r="G708" t="str">
            <v/>
          </cell>
          <cell r="H708">
            <v>254994</v>
          </cell>
          <cell r="I708" t="str">
            <v/>
          </cell>
          <cell r="J708" t="str">
            <v/>
          </cell>
          <cell r="K708" t="str">
            <v/>
          </cell>
          <cell r="L708">
            <v>3.79E-3</v>
          </cell>
          <cell r="M708">
            <v>3.79E-3</v>
          </cell>
          <cell r="N708">
            <v>3.79E-3</v>
          </cell>
          <cell r="O708">
            <v>3.79E-3</v>
          </cell>
          <cell r="P708">
            <v>3.79E-3</v>
          </cell>
          <cell r="Q708">
            <v>3.79E-3</v>
          </cell>
          <cell r="R708">
            <v>3.79E-3</v>
          </cell>
          <cell r="S708">
            <v>3.79E-3</v>
          </cell>
          <cell r="T708">
            <v>3.79E-3</v>
          </cell>
          <cell r="U708">
            <v>3.79E-3</v>
          </cell>
          <cell r="V708">
            <v>3.79E-3</v>
          </cell>
          <cell r="W708">
            <v>3.79E-3</v>
          </cell>
          <cell r="X708">
            <v>3.79E-3</v>
          </cell>
          <cell r="Y708">
            <v>3.79E-3</v>
          </cell>
        </row>
        <row r="709">
          <cell r="B709">
            <v>254995</v>
          </cell>
          <cell r="C709" t="str">
            <v>Roll Fwd Sched</v>
          </cell>
          <cell r="D709" t="str">
            <v>RECLASS OTH REG LIAB-ASGA-ELEC (WITH ACCT 254994)</v>
          </cell>
          <cell r="E709">
            <v>1</v>
          </cell>
          <cell r="F709">
            <v>254995</v>
          </cell>
          <cell r="G709" t="str">
            <v/>
          </cell>
          <cell r="H709">
            <v>254995</v>
          </cell>
          <cell r="I709" t="str">
            <v/>
          </cell>
          <cell r="J709" t="str">
            <v/>
          </cell>
          <cell r="K709" t="str">
            <v/>
          </cell>
          <cell r="L709">
            <v>-3.79E-3</v>
          </cell>
          <cell r="M709">
            <v>-3.79E-3</v>
          </cell>
          <cell r="N709">
            <v>-3.79E-3</v>
          </cell>
          <cell r="O709">
            <v>-3.79E-3</v>
          </cell>
          <cell r="P709">
            <v>-3.79E-3</v>
          </cell>
          <cell r="Q709">
            <v>-3.79E-3</v>
          </cell>
          <cell r="R709">
            <v>-3.79E-3</v>
          </cell>
          <cell r="S709">
            <v>-3.79E-3</v>
          </cell>
          <cell r="T709">
            <v>-3.79E-3</v>
          </cell>
          <cell r="U709">
            <v>-3.79E-3</v>
          </cell>
          <cell r="V709">
            <v>-3.79E-3</v>
          </cell>
          <cell r="W709">
            <v>-3.79E-3</v>
          </cell>
          <cell r="X709">
            <v>-3.79E-3</v>
          </cell>
          <cell r="Y709">
            <v>-3.79E-3</v>
          </cell>
        </row>
        <row r="710">
          <cell r="B710">
            <v>254996</v>
          </cell>
          <cell r="C710" t="str">
            <v>Roll Fwd Sched</v>
          </cell>
          <cell r="D710" t="str">
            <v>OTH REG LIAB-UNFUNDED FUTURE FED IT-ELEC</v>
          </cell>
          <cell r="E710">
            <v>1</v>
          </cell>
          <cell r="F710">
            <v>254996</v>
          </cell>
          <cell r="G710" t="str">
            <v/>
          </cell>
          <cell r="H710">
            <v>254996</v>
          </cell>
          <cell r="I710" t="str">
            <v/>
          </cell>
          <cell r="J710" t="str">
            <v/>
          </cell>
          <cell r="K710" t="str">
            <v/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</row>
        <row r="711">
          <cell r="B711">
            <v>255000</v>
          </cell>
          <cell r="C711" t="str">
            <v>Roll Fwd Sched</v>
          </cell>
          <cell r="D711" t="str">
            <v>ACCUM DEFERRED INVESTMENT TAX CREDIT</v>
          </cell>
          <cell r="E711" t="str">
            <v/>
          </cell>
          <cell r="F711">
            <v>255000</v>
          </cell>
          <cell r="G711" t="str">
            <v/>
          </cell>
          <cell r="H711" t="str">
            <v/>
          </cell>
          <cell r="I711" t="str">
            <v/>
          </cell>
          <cell r="J711" t="str">
            <v/>
          </cell>
          <cell r="K711" t="str">
            <v/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</row>
        <row r="712">
          <cell r="B712">
            <v>255100</v>
          </cell>
          <cell r="C712" t="str">
            <v>Roll Fwd Sched</v>
          </cell>
          <cell r="D712" t="str">
            <v>ACCUMULATED DEF INVEST TAX CREDITS-ELECTRIC</v>
          </cell>
          <cell r="E712" t="str">
            <v/>
          </cell>
          <cell r="F712">
            <v>255100</v>
          </cell>
          <cell r="G712" t="str">
            <v/>
          </cell>
          <cell r="H712" t="str">
            <v/>
          </cell>
          <cell r="I712" t="str">
            <v/>
          </cell>
          <cell r="J712" t="str">
            <v/>
          </cell>
          <cell r="K712" t="str">
            <v/>
          </cell>
          <cell r="L712">
            <v>-1773.9934499999999</v>
          </cell>
          <cell r="M712">
            <v>-1734.5767800000001</v>
          </cell>
          <cell r="N712">
            <v>-1695.16011</v>
          </cell>
          <cell r="O712">
            <v>-1655.74344</v>
          </cell>
          <cell r="P712">
            <v>-1616.3267699999999</v>
          </cell>
          <cell r="Q712">
            <v>-1531.9101000000001</v>
          </cell>
          <cell r="R712">
            <v>-1537.49343</v>
          </cell>
          <cell r="S712">
            <v>-1498.0768</v>
          </cell>
          <cell r="T712">
            <v>-1458.66013</v>
          </cell>
          <cell r="U712">
            <v>-1419.2434599999999</v>
          </cell>
          <cell r="V712">
            <v>-1379.8267900000001</v>
          </cell>
          <cell r="W712">
            <v>-1340.41012</v>
          </cell>
          <cell r="X712">
            <v>-1300.9934499999999</v>
          </cell>
          <cell r="Y712">
            <v>-1533.7434479999999</v>
          </cell>
        </row>
        <row r="713">
          <cell r="B713">
            <v>255200</v>
          </cell>
          <cell r="C713" t="str">
            <v>Roll Fwd Sched</v>
          </cell>
          <cell r="D713" t="str">
            <v>ACCUMULATED DEF INVEST TAX CREDITS-GAS</v>
          </cell>
          <cell r="E713" t="str">
            <v/>
          </cell>
          <cell r="F713">
            <v>255200</v>
          </cell>
          <cell r="G713" t="str">
            <v/>
          </cell>
          <cell r="H713" t="str">
            <v/>
          </cell>
          <cell r="I713" t="str">
            <v/>
          </cell>
          <cell r="J713" t="str">
            <v/>
          </cell>
          <cell r="K713" t="str">
            <v/>
          </cell>
          <cell r="L713">
            <v>-875.54490999999996</v>
          </cell>
          <cell r="M713">
            <v>-856.29490999999996</v>
          </cell>
          <cell r="N713">
            <v>-837.04490999999996</v>
          </cell>
          <cell r="O713">
            <v>-817.79490999999996</v>
          </cell>
          <cell r="P713">
            <v>-798.54490999999996</v>
          </cell>
          <cell r="Q713">
            <v>-779.29490999999996</v>
          </cell>
          <cell r="R713">
            <v>-760.04490999999996</v>
          </cell>
          <cell r="S713">
            <v>-740.79490999999996</v>
          </cell>
          <cell r="T713">
            <v>-721.54490999999996</v>
          </cell>
          <cell r="U713">
            <v>-702.29490999999996</v>
          </cell>
          <cell r="V713">
            <v>-683.04490999999996</v>
          </cell>
          <cell r="W713">
            <v>-663.79490999999996</v>
          </cell>
          <cell r="X713">
            <v>-644.54490999999996</v>
          </cell>
          <cell r="Y713">
            <v>-760.04490999999996</v>
          </cell>
        </row>
        <row r="714">
          <cell r="B714">
            <v>282000</v>
          </cell>
          <cell r="C714" t="str">
            <v>Roll Fwd Sched</v>
          </cell>
          <cell r="D714" t="str">
            <v>ACCUM DEF INC TAXES - LIBERALIZED DEPRECIATION</v>
          </cell>
          <cell r="E714" t="str">
            <v/>
          </cell>
          <cell r="F714">
            <v>282000</v>
          </cell>
          <cell r="G714" t="str">
            <v/>
          </cell>
          <cell r="H714" t="str">
            <v/>
          </cell>
          <cell r="I714" t="str">
            <v/>
          </cell>
          <cell r="J714" t="str">
            <v/>
          </cell>
          <cell r="K714" t="str">
            <v/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</row>
        <row r="715">
          <cell r="B715">
            <v>282010</v>
          </cell>
          <cell r="C715" t="str">
            <v>Roll Fwd Sched</v>
          </cell>
          <cell r="D715" t="str">
            <v>ACCUM DEF INC TAXES - STATE</v>
          </cell>
          <cell r="E715" t="str">
            <v/>
          </cell>
          <cell r="F715">
            <v>282010</v>
          </cell>
          <cell r="G715" t="str">
            <v/>
          </cell>
          <cell r="H715" t="str">
            <v/>
          </cell>
          <cell r="I715" t="str">
            <v/>
          </cell>
          <cell r="J715" t="str">
            <v/>
          </cell>
          <cell r="K715" t="str">
            <v/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</row>
        <row r="716">
          <cell r="B716">
            <v>282110</v>
          </cell>
          <cell r="C716" t="str">
            <v>SFAS-109</v>
          </cell>
          <cell r="D716" t="str">
            <v>ACCUM DEF INC TAXES - FIT-DEPRECIATION &amp; OTHER</v>
          </cell>
          <cell r="E716" t="str">
            <v/>
          </cell>
          <cell r="F716" t="str">
            <v/>
          </cell>
          <cell r="G716" t="str">
            <v/>
          </cell>
          <cell r="H716">
            <v>282110</v>
          </cell>
          <cell r="I716" t="str">
            <v/>
          </cell>
          <cell r="J716" t="str">
            <v/>
          </cell>
          <cell r="K716" t="str">
            <v/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</row>
        <row r="717">
          <cell r="B717">
            <v>282120</v>
          </cell>
          <cell r="C717" t="str">
            <v>SFAS-109</v>
          </cell>
          <cell r="D717" t="str">
            <v>ACCUM DEF INC TAXES - FIXED ASSETS</v>
          </cell>
          <cell r="E717" t="str">
            <v/>
          </cell>
          <cell r="F717" t="str">
            <v/>
          </cell>
          <cell r="G717" t="str">
            <v/>
          </cell>
          <cell r="H717">
            <v>282120</v>
          </cell>
          <cell r="I717" t="str">
            <v/>
          </cell>
          <cell r="J717" t="str">
            <v/>
          </cell>
          <cell r="K717" t="str">
            <v/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</row>
        <row r="718">
          <cell r="B718">
            <v>282161</v>
          </cell>
          <cell r="C718" t="str">
            <v>Roll Fwd Sched</v>
          </cell>
          <cell r="D718" t="str">
            <v>ACCUM DEF INC TAX-FAS 109 FEDERAL -OTH PROP - ELE</v>
          </cell>
          <cell r="E718" t="str">
            <v/>
          </cell>
          <cell r="F718">
            <v>282161</v>
          </cell>
          <cell r="G718" t="str">
            <v/>
          </cell>
          <cell r="H718">
            <v>282161</v>
          </cell>
          <cell r="I718" t="str">
            <v/>
          </cell>
          <cell r="J718" t="str">
            <v/>
          </cell>
          <cell r="K718" t="str">
            <v/>
          </cell>
          <cell r="L718">
            <v>-36723.546990000003</v>
          </cell>
          <cell r="M718">
            <v>-36349.014210000001</v>
          </cell>
          <cell r="N718">
            <v>-36897.802190000002</v>
          </cell>
          <cell r="O718">
            <v>-37166.718670000002</v>
          </cell>
          <cell r="P718">
            <v>-36910.716209999999</v>
          </cell>
          <cell r="Q718">
            <v>-37164.285830000001</v>
          </cell>
          <cell r="R718">
            <v>-37255.965770000003</v>
          </cell>
          <cell r="S718">
            <v>-37336.943630000002</v>
          </cell>
          <cell r="T718">
            <v>-37390.783320000002</v>
          </cell>
          <cell r="U718">
            <v>-38183.121019999999</v>
          </cell>
          <cell r="V718">
            <v>-38005.195879999999</v>
          </cell>
          <cell r="W718">
            <v>-21433.683209999999</v>
          </cell>
          <cell r="X718">
            <v>-29635.774799999999</v>
          </cell>
          <cell r="Y718">
            <v>-35606.157570000003</v>
          </cell>
        </row>
        <row r="719">
          <cell r="B719">
            <v>282162</v>
          </cell>
          <cell r="C719" t="str">
            <v>Roll Fwd Sched</v>
          </cell>
          <cell r="D719" t="str">
            <v>ACCUM DEF INC TAX-FAS 109 FEDERAL - OTH PROP - GA</v>
          </cell>
          <cell r="E719" t="str">
            <v/>
          </cell>
          <cell r="F719">
            <v>282162</v>
          </cell>
          <cell r="G719" t="str">
            <v/>
          </cell>
          <cell r="H719">
            <v>282162</v>
          </cell>
          <cell r="I719" t="str">
            <v/>
          </cell>
          <cell r="J719" t="str">
            <v/>
          </cell>
          <cell r="K719" t="str">
            <v/>
          </cell>
          <cell r="L719">
            <v>-18362.302370000001</v>
          </cell>
          <cell r="M719">
            <v>-18276.3171</v>
          </cell>
          <cell r="N719">
            <v>-18188.754929999999</v>
          </cell>
          <cell r="O719">
            <v>-18143.885460000001</v>
          </cell>
          <cell r="P719">
            <v>-18071.672900000001</v>
          </cell>
          <cell r="Q719">
            <v>-18013.70851</v>
          </cell>
          <cell r="R719">
            <v>-17911.819749999999</v>
          </cell>
          <cell r="S719">
            <v>-17823.010569999999</v>
          </cell>
          <cell r="T719">
            <v>-17769.469099999998</v>
          </cell>
          <cell r="U719">
            <v>-17742.235349999999</v>
          </cell>
          <cell r="V719">
            <v>-17674.804349999999</v>
          </cell>
          <cell r="W719">
            <v>-17570.681219999999</v>
          </cell>
          <cell r="X719">
            <v>-16595.447939999998</v>
          </cell>
          <cell r="Y719">
            <v>-17888.769532999999</v>
          </cell>
        </row>
        <row r="720">
          <cell r="B720">
            <v>282170</v>
          </cell>
          <cell r="C720" t="str">
            <v>SFAS-109</v>
          </cell>
          <cell r="D720" t="str">
            <v>ACCUM DEF INC TAXES - NYS FAS 109 LIBERAL DEPR</v>
          </cell>
          <cell r="E720" t="str">
            <v/>
          </cell>
          <cell r="F720" t="str">
            <v/>
          </cell>
          <cell r="G720" t="str">
            <v/>
          </cell>
          <cell r="H720">
            <v>282170</v>
          </cell>
          <cell r="I720" t="str">
            <v/>
          </cell>
          <cell r="J720" t="str">
            <v/>
          </cell>
          <cell r="K720" t="str">
            <v/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</row>
        <row r="721">
          <cell r="B721">
            <v>282171</v>
          </cell>
          <cell r="C721" t="str">
            <v>Roll Fwd Sched</v>
          </cell>
          <cell r="D721" t="str">
            <v>ACCUM DEF INC TAX-FAS 109 STATE -OTH PROP - ELEC</v>
          </cell>
          <cell r="E721" t="str">
            <v/>
          </cell>
          <cell r="F721">
            <v>282171</v>
          </cell>
          <cell r="G721" t="str">
            <v/>
          </cell>
          <cell r="H721">
            <v>282171</v>
          </cell>
          <cell r="I721" t="str">
            <v/>
          </cell>
          <cell r="J721" t="str">
            <v/>
          </cell>
          <cell r="K721" t="str">
            <v/>
          </cell>
          <cell r="L721">
            <v>-11253.820369999999</v>
          </cell>
          <cell r="M721">
            <v>-11212.425999999999</v>
          </cell>
          <cell r="N721">
            <v>-11369.341549999999</v>
          </cell>
          <cell r="O721">
            <v>-11470.250169999999</v>
          </cell>
          <cell r="P721">
            <v>-11457.789870000001</v>
          </cell>
          <cell r="Q721">
            <v>-11540.350899999999</v>
          </cell>
          <cell r="R721">
            <v>-11608.19289</v>
          </cell>
          <cell r="S721">
            <v>-11667.46753</v>
          </cell>
          <cell r="T721">
            <v>-11716.83092</v>
          </cell>
          <cell r="U721">
            <v>-11952.96581</v>
          </cell>
          <cell r="V721">
            <v>-12015.07314</v>
          </cell>
          <cell r="W721">
            <v>-11700.52599</v>
          </cell>
          <cell r="X721">
            <v>-11831.41094</v>
          </cell>
          <cell r="Y721">
            <v>-11604.485869</v>
          </cell>
        </row>
        <row r="722">
          <cell r="B722">
            <v>282172</v>
          </cell>
          <cell r="C722" t="str">
            <v>Roll Fwd Sched</v>
          </cell>
          <cell r="D722" t="str">
            <v>ACCUM DEF INC TAX - FAS 109 STATE - OTH PROP - GA</v>
          </cell>
          <cell r="E722" t="str">
            <v/>
          </cell>
          <cell r="F722">
            <v>282172</v>
          </cell>
          <cell r="G722" t="str">
            <v/>
          </cell>
          <cell r="H722">
            <v>282172</v>
          </cell>
          <cell r="I722" t="str">
            <v/>
          </cell>
          <cell r="J722" t="str">
            <v/>
          </cell>
          <cell r="K722" t="str">
            <v/>
          </cell>
          <cell r="L722">
            <v>-5725.2928400000001</v>
          </cell>
          <cell r="M722">
            <v>-5736.5963700000002</v>
          </cell>
          <cell r="N722">
            <v>-5745.0231700000004</v>
          </cell>
          <cell r="O722">
            <v>-5765.4812300000003</v>
          </cell>
          <cell r="P722">
            <v>-5780.68703</v>
          </cell>
          <cell r="Q722">
            <v>-5799.3806199999999</v>
          </cell>
          <cell r="R722">
            <v>-5812.6820299999999</v>
          </cell>
          <cell r="S722">
            <v>-5824.8013300000002</v>
          </cell>
          <cell r="T722">
            <v>-5841.76145</v>
          </cell>
          <cell r="U722">
            <v>-5936.3041800000001</v>
          </cell>
          <cell r="V722">
            <v>-5952.6090100000001</v>
          </cell>
          <cell r="W722">
            <v>-5961.2711600000002</v>
          </cell>
          <cell r="X722">
            <v>-5960.06826</v>
          </cell>
          <cell r="Y722">
            <v>-5833.2731780000004</v>
          </cell>
        </row>
        <row r="723">
          <cell r="B723">
            <v>282200</v>
          </cell>
          <cell r="C723" t="str">
            <v>Roll Fwd Sched</v>
          </cell>
          <cell r="D723" t="str">
            <v>ACCUM DEF INC TAX-OTH PROP-FEDERAL-ELECTRIC</v>
          </cell>
          <cell r="E723" t="str">
            <v/>
          </cell>
          <cell r="F723">
            <v>282200</v>
          </cell>
          <cell r="G723" t="str">
            <v/>
          </cell>
          <cell r="H723">
            <v>282200</v>
          </cell>
          <cell r="I723" t="str">
            <v/>
          </cell>
          <cell r="J723" t="str">
            <v/>
          </cell>
          <cell r="K723" t="str">
            <v/>
          </cell>
          <cell r="L723">
            <v>-136021.34419</v>
          </cell>
          <cell r="M723">
            <v>-139161.40538000001</v>
          </cell>
          <cell r="N723">
            <v>-142404.56615999999</v>
          </cell>
          <cell r="O723">
            <v>-145507.39864999999</v>
          </cell>
          <cell r="P723">
            <v>-148594.82500000001</v>
          </cell>
          <cell r="Q723">
            <v>-149603.98710999999</v>
          </cell>
          <cell r="R723">
            <v>-152190.10227</v>
          </cell>
          <cell r="S723">
            <v>-154947.41740000001</v>
          </cell>
          <cell r="T723">
            <v>-157524.50915</v>
          </cell>
          <cell r="U723">
            <v>-175762.98272</v>
          </cell>
          <cell r="V723">
            <v>-172056.03320000001</v>
          </cell>
          <cell r="W723">
            <v>-175169.3475</v>
          </cell>
          <cell r="X723">
            <v>-176640.47813</v>
          </cell>
          <cell r="Y723">
            <v>-155771.123808</v>
          </cell>
        </row>
        <row r="724">
          <cell r="B724">
            <v>282210</v>
          </cell>
          <cell r="C724" t="str">
            <v>Roll Fwd Sched</v>
          </cell>
          <cell r="D724" t="str">
            <v>ACCUM DEF INC TAX-OTH PROP-FEDERAL-GAS</v>
          </cell>
          <cell r="E724" t="str">
            <v/>
          </cell>
          <cell r="F724">
            <v>282210</v>
          </cell>
          <cell r="G724" t="str">
            <v/>
          </cell>
          <cell r="H724" t="str">
            <v/>
          </cell>
          <cell r="I724" t="str">
            <v/>
          </cell>
          <cell r="J724" t="str">
            <v/>
          </cell>
          <cell r="K724" t="str">
            <v/>
          </cell>
          <cell r="L724">
            <v>-68312.496020000006</v>
          </cell>
          <cell r="M724">
            <v>-69387.600409999999</v>
          </cell>
          <cell r="N724">
            <v>-70462.669930000004</v>
          </cell>
          <cell r="O724">
            <v>-71538.614509999999</v>
          </cell>
          <cell r="P724">
            <v>-72615.184160000004</v>
          </cell>
          <cell r="Q724">
            <v>-73319.696890000007</v>
          </cell>
          <cell r="R724">
            <v>-74315.082290000006</v>
          </cell>
          <cell r="S724">
            <v>-75314.543420000002</v>
          </cell>
          <cell r="T724">
            <v>-76310.359200000006</v>
          </cell>
          <cell r="U724">
            <v>-79821.131080000006</v>
          </cell>
          <cell r="V724">
            <v>-77938.933189999996</v>
          </cell>
          <cell r="W724">
            <v>-78929.922739999995</v>
          </cell>
          <cell r="X724">
            <v>-80249.550759999998</v>
          </cell>
          <cell r="Y724">
            <v>-74519.563433999996</v>
          </cell>
        </row>
        <row r="725">
          <cell r="B725">
            <v>282240</v>
          </cell>
          <cell r="C725" t="str">
            <v>Roll Fwd Sched</v>
          </cell>
          <cell r="D725" t="str">
            <v>ACCUM DEF INC TAX-OTH PROP-STATE-ELECTRIC</v>
          </cell>
          <cell r="E725" t="str">
            <v/>
          </cell>
          <cell r="F725">
            <v>282240</v>
          </cell>
          <cell r="G725" t="str">
            <v/>
          </cell>
          <cell r="H725" t="str">
            <v/>
          </cell>
          <cell r="I725" t="str">
            <v/>
          </cell>
          <cell r="J725" t="str">
            <v/>
          </cell>
          <cell r="K725" t="str">
            <v/>
          </cell>
          <cell r="L725">
            <v>-9356.3495600000006</v>
          </cell>
          <cell r="M725">
            <v>-9465.0251100000005</v>
          </cell>
          <cell r="N725">
            <v>-9599.5206999999991</v>
          </cell>
          <cell r="O725">
            <v>-9698.2680700000001</v>
          </cell>
          <cell r="P725">
            <v>-9792.3985499999999</v>
          </cell>
          <cell r="Q725">
            <v>-9946.9607699999997</v>
          </cell>
          <cell r="R725">
            <v>-10026.84122</v>
          </cell>
          <cell r="S725">
            <v>-10150.33548</v>
          </cell>
          <cell r="T725">
            <v>-10238.461370000001</v>
          </cell>
          <cell r="U725">
            <v>-11677.77449</v>
          </cell>
          <cell r="V725">
            <v>-10519.55378</v>
          </cell>
          <cell r="W725">
            <v>-10604.329369999999</v>
          </cell>
          <cell r="X725">
            <v>-10104.75517</v>
          </cell>
          <cell r="Y725">
            <v>-10120.835106</v>
          </cell>
        </row>
        <row r="726">
          <cell r="B726">
            <v>282250</v>
          </cell>
          <cell r="C726" t="str">
            <v>Roll Fwd Sched</v>
          </cell>
          <cell r="D726" t="str">
            <v>ACCUM DEF INC TAX-OTH PROP-STATE-GAS</v>
          </cell>
          <cell r="E726" t="str">
            <v/>
          </cell>
          <cell r="F726">
            <v>282250</v>
          </cell>
          <cell r="G726" t="str">
            <v/>
          </cell>
          <cell r="H726" t="str">
            <v/>
          </cell>
          <cell r="I726" t="str">
            <v/>
          </cell>
          <cell r="J726" t="str">
            <v/>
          </cell>
          <cell r="K726" t="str">
            <v/>
          </cell>
          <cell r="L726">
            <v>-4130.0527199999997</v>
          </cell>
          <cell r="M726">
            <v>-4165.9873600000001</v>
          </cell>
          <cell r="N726">
            <v>-4204.4467800000002</v>
          </cell>
          <cell r="O726">
            <v>-4240.3884399999997</v>
          </cell>
          <cell r="P726">
            <v>-4275.7482</v>
          </cell>
          <cell r="Q726">
            <v>-4312.5817900000002</v>
          </cell>
          <cell r="R726">
            <v>-4342.2569700000004</v>
          </cell>
          <cell r="S726">
            <v>-4376.8602700000001</v>
          </cell>
          <cell r="T726">
            <v>-4413.5278699999999</v>
          </cell>
          <cell r="U726">
            <v>-4944.9842900000003</v>
          </cell>
          <cell r="V726">
            <v>-4501.9692500000001</v>
          </cell>
          <cell r="W726">
            <v>-4537.2056599999996</v>
          </cell>
          <cell r="X726">
            <v>-4431.69866</v>
          </cell>
          <cell r="Y726">
            <v>-4383.0693810000002</v>
          </cell>
        </row>
        <row r="727">
          <cell r="B727">
            <v>283000</v>
          </cell>
          <cell r="C727" t="str">
            <v>Roll Fwd Sched</v>
          </cell>
          <cell r="D727" t="str">
            <v>ACCUM DEF INC TAXES - OTHER</v>
          </cell>
          <cell r="E727" t="str">
            <v/>
          </cell>
          <cell r="F727">
            <v>283000</v>
          </cell>
          <cell r="G727" t="str">
            <v/>
          </cell>
          <cell r="H727" t="str">
            <v/>
          </cell>
          <cell r="I727" t="str">
            <v/>
          </cell>
          <cell r="J727" t="str">
            <v/>
          </cell>
          <cell r="K727" t="str">
            <v/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</row>
        <row r="728">
          <cell r="B728">
            <v>283007</v>
          </cell>
          <cell r="C728" t="str">
            <v>Roll Fwd Sched</v>
          </cell>
          <cell r="D728" t="str">
            <v>ACCUM DEFERRED INC TAXES-FEDERAL-CURRENT-GAS</v>
          </cell>
          <cell r="E728" t="str">
            <v/>
          </cell>
          <cell r="F728">
            <v>283007</v>
          </cell>
          <cell r="G728" t="str">
            <v/>
          </cell>
          <cell r="H728" t="str">
            <v/>
          </cell>
          <cell r="I728" t="str">
            <v/>
          </cell>
          <cell r="J728" t="str">
            <v/>
          </cell>
          <cell r="K728" t="str">
            <v/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</row>
        <row r="729">
          <cell r="B729">
            <v>283010</v>
          </cell>
          <cell r="C729" t="str">
            <v>Roll Fwd Sched</v>
          </cell>
          <cell r="D729" t="str">
            <v>ACCUM DEF INC TAXES - STATE</v>
          </cell>
          <cell r="E729" t="str">
            <v/>
          </cell>
          <cell r="F729">
            <v>283010</v>
          </cell>
          <cell r="G729" t="str">
            <v/>
          </cell>
          <cell r="H729" t="str">
            <v/>
          </cell>
          <cell r="I729" t="str">
            <v/>
          </cell>
          <cell r="J729" t="str">
            <v/>
          </cell>
          <cell r="K729" t="str">
            <v/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</row>
        <row r="730">
          <cell r="B730">
            <v>283015</v>
          </cell>
          <cell r="C730" t="str">
            <v>Roll Fwd Sched</v>
          </cell>
          <cell r="D730" t="str">
            <v>RECLASS-INCOME TAXES-FEDERAL-CURRENT-GAS</v>
          </cell>
          <cell r="E730" t="str">
            <v/>
          </cell>
          <cell r="F730">
            <v>283015</v>
          </cell>
          <cell r="G730" t="str">
            <v/>
          </cell>
          <cell r="H730" t="str">
            <v/>
          </cell>
          <cell r="I730" t="str">
            <v/>
          </cell>
          <cell r="J730" t="str">
            <v/>
          </cell>
          <cell r="K730" t="str">
            <v/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</row>
        <row r="731">
          <cell r="B731">
            <v>283017</v>
          </cell>
          <cell r="C731" t="str">
            <v>Roll Fwd Sched</v>
          </cell>
          <cell r="D731" t="str">
            <v>ACCUM DEFERRED INC TAXES-STATE-CURRENT-GAS</v>
          </cell>
          <cell r="E731" t="str">
            <v/>
          </cell>
          <cell r="F731">
            <v>283017</v>
          </cell>
          <cell r="G731" t="str">
            <v/>
          </cell>
          <cell r="H731" t="str">
            <v/>
          </cell>
          <cell r="I731" t="str">
            <v/>
          </cell>
          <cell r="J731" t="str">
            <v/>
          </cell>
          <cell r="K731" t="str">
            <v/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</row>
        <row r="732">
          <cell r="B732">
            <v>283019</v>
          </cell>
          <cell r="C732" t="str">
            <v>Roll Fwd Sched</v>
          </cell>
          <cell r="D732" t="str">
            <v>RECLASS-INCOME TAXES-STATE-CURRENT-GAS</v>
          </cell>
          <cell r="E732" t="str">
            <v/>
          </cell>
          <cell r="F732">
            <v>283019</v>
          </cell>
          <cell r="G732" t="str">
            <v/>
          </cell>
          <cell r="H732" t="str">
            <v/>
          </cell>
          <cell r="I732" t="str">
            <v/>
          </cell>
          <cell r="J732" t="str">
            <v/>
          </cell>
          <cell r="K732" t="str">
            <v/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</row>
        <row r="733">
          <cell r="B733">
            <v>283120</v>
          </cell>
          <cell r="C733" t="str">
            <v>SFAS-109</v>
          </cell>
          <cell r="D733" t="str">
            <v>ACCUM DEF INC TAXES - WATER</v>
          </cell>
          <cell r="E733" t="str">
            <v/>
          </cell>
          <cell r="F733" t="str">
            <v/>
          </cell>
          <cell r="G733" t="str">
            <v/>
          </cell>
          <cell r="H733">
            <v>283120</v>
          </cell>
          <cell r="I733" t="str">
            <v/>
          </cell>
          <cell r="J733" t="str">
            <v/>
          </cell>
          <cell r="K733" t="str">
            <v/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</row>
        <row r="734">
          <cell r="B734">
            <v>283140</v>
          </cell>
          <cell r="C734" t="str">
            <v>SFAS-109</v>
          </cell>
          <cell r="D734" t="str">
            <v>ACCUM DEF INC TAXES - PROPERTY TAX-FEDERAL</v>
          </cell>
          <cell r="E734" t="str">
            <v/>
          </cell>
          <cell r="F734" t="str">
            <v/>
          </cell>
          <cell r="G734" t="str">
            <v/>
          </cell>
          <cell r="H734">
            <v>283140</v>
          </cell>
          <cell r="I734" t="str">
            <v/>
          </cell>
          <cell r="J734" t="str">
            <v/>
          </cell>
          <cell r="K734" t="str">
            <v/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</row>
        <row r="735">
          <cell r="B735">
            <v>283160</v>
          </cell>
          <cell r="C735" t="str">
            <v>SFAS-109</v>
          </cell>
          <cell r="D735" t="str">
            <v>ACCUM DEF INC TAXES - NINE MILE DEFERRAL</v>
          </cell>
          <cell r="E735" t="str">
            <v/>
          </cell>
          <cell r="F735" t="str">
            <v/>
          </cell>
          <cell r="G735" t="str">
            <v/>
          </cell>
          <cell r="H735">
            <v>283160</v>
          </cell>
          <cell r="I735" t="str">
            <v/>
          </cell>
          <cell r="J735" t="str">
            <v/>
          </cell>
          <cell r="K735" t="str">
            <v/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</row>
        <row r="736">
          <cell r="B736">
            <v>283161</v>
          </cell>
          <cell r="C736" t="str">
            <v>SFAS-109</v>
          </cell>
          <cell r="D736" t="str">
            <v>ACCUM DEF INC TAXES -FAS 109-OTHER-FEDERAL-ELEC</v>
          </cell>
          <cell r="E736" t="str">
            <v/>
          </cell>
          <cell r="F736" t="str">
            <v/>
          </cell>
          <cell r="G736" t="str">
            <v/>
          </cell>
          <cell r="H736">
            <v>283161</v>
          </cell>
          <cell r="I736" t="str">
            <v/>
          </cell>
          <cell r="J736" t="str">
            <v/>
          </cell>
          <cell r="K736" t="str">
            <v/>
          </cell>
          <cell r="L736">
            <v>-13062.105670000001</v>
          </cell>
          <cell r="M736">
            <v>-12947.18835</v>
          </cell>
          <cell r="N736">
            <v>-12832.271059999999</v>
          </cell>
          <cell r="O736">
            <v>-12717.3537</v>
          </cell>
          <cell r="P736">
            <v>-12602.43635</v>
          </cell>
          <cell r="Q736">
            <v>-12487.519050000001</v>
          </cell>
          <cell r="R736">
            <v>-12372.60174</v>
          </cell>
          <cell r="S736">
            <v>-12257.684380000001</v>
          </cell>
          <cell r="T736">
            <v>-12142.76707</v>
          </cell>
          <cell r="U736">
            <v>-12281.650739999999</v>
          </cell>
          <cell r="V736">
            <v>-12438.642470000001</v>
          </cell>
          <cell r="W736">
            <v>-12298.78615</v>
          </cell>
          <cell r="X736">
            <v>-13068.513360000001</v>
          </cell>
          <cell r="Y736">
            <v>-12537.017548</v>
          </cell>
        </row>
        <row r="737">
          <cell r="B737">
            <v>283162</v>
          </cell>
          <cell r="C737" t="str">
            <v>SFAS-109</v>
          </cell>
          <cell r="D737" t="str">
            <v>ACCUM DEF INC TAXES -FAS 109-OTHER-FEDERAL-GAS</v>
          </cell>
          <cell r="E737" t="str">
            <v/>
          </cell>
          <cell r="F737" t="str">
            <v/>
          </cell>
          <cell r="G737" t="str">
            <v/>
          </cell>
          <cell r="H737">
            <v>283162</v>
          </cell>
          <cell r="I737" t="str">
            <v/>
          </cell>
          <cell r="J737" t="str">
            <v/>
          </cell>
          <cell r="K737" t="str">
            <v/>
          </cell>
          <cell r="L737">
            <v>-1023.8362100000001</v>
          </cell>
          <cell r="M737">
            <v>-1023.83617</v>
          </cell>
          <cell r="N737">
            <v>-1023.83619</v>
          </cell>
          <cell r="O737">
            <v>-1023.83617</v>
          </cell>
          <cell r="P737">
            <v>-1023.8362</v>
          </cell>
          <cell r="Q737">
            <v>-1023.83617</v>
          </cell>
          <cell r="R737">
            <v>-1023.83618</v>
          </cell>
          <cell r="S737">
            <v>-1023.83619</v>
          </cell>
          <cell r="T737">
            <v>-1023.83619</v>
          </cell>
          <cell r="U737">
            <v>-1024.9751799999999</v>
          </cell>
          <cell r="V737">
            <v>-1024.9751699999999</v>
          </cell>
          <cell r="W737">
            <v>-1024.9751699999999</v>
          </cell>
          <cell r="X737">
            <v>-1312.85437</v>
          </cell>
          <cell r="Y737">
            <v>-1036.163356</v>
          </cell>
        </row>
        <row r="738">
          <cell r="B738">
            <v>283170</v>
          </cell>
          <cell r="C738" t="str">
            <v>SFAS-109</v>
          </cell>
          <cell r="D738" t="str">
            <v>ACCUM DEF INC TAXES - NYS FAS 109-OTHER</v>
          </cell>
          <cell r="E738" t="str">
            <v/>
          </cell>
          <cell r="F738" t="str">
            <v/>
          </cell>
          <cell r="G738" t="str">
            <v/>
          </cell>
          <cell r="H738">
            <v>283170</v>
          </cell>
          <cell r="I738" t="str">
            <v/>
          </cell>
          <cell r="J738" t="str">
            <v/>
          </cell>
          <cell r="K738" t="str">
            <v/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</row>
        <row r="739">
          <cell r="B739">
            <v>283171</v>
          </cell>
          <cell r="C739" t="str">
            <v>SFAS-109</v>
          </cell>
          <cell r="D739" t="str">
            <v>ACCUM DEF INC TAXES -FAS 109-OTHER-STATE-ELECTRIC</v>
          </cell>
          <cell r="E739" t="str">
            <v/>
          </cell>
          <cell r="F739" t="str">
            <v/>
          </cell>
          <cell r="G739" t="str">
            <v/>
          </cell>
          <cell r="H739">
            <v>283171</v>
          </cell>
          <cell r="I739" t="str">
            <v/>
          </cell>
          <cell r="J739" t="str">
            <v/>
          </cell>
          <cell r="K739" t="str">
            <v/>
          </cell>
          <cell r="L739">
            <v>4200.83446</v>
          </cell>
          <cell r="M739">
            <v>4194.6154800000004</v>
          </cell>
          <cell r="N739">
            <v>4188.3964999999998</v>
          </cell>
          <cell r="O739">
            <v>4182.1774299999997</v>
          </cell>
          <cell r="P739">
            <v>4175.9584800000002</v>
          </cell>
          <cell r="Q739">
            <v>4169.7394700000004</v>
          </cell>
          <cell r="R739">
            <v>4163.5204599999997</v>
          </cell>
          <cell r="S739">
            <v>4157.3014499999999</v>
          </cell>
          <cell r="T739">
            <v>4151.0824599999996</v>
          </cell>
          <cell r="U739">
            <v>4053.6534799999999</v>
          </cell>
          <cell r="V739">
            <v>4047.4344900000001</v>
          </cell>
          <cell r="W739">
            <v>3969.9625000000001</v>
          </cell>
          <cell r="X739">
            <v>3792.5165499999998</v>
          </cell>
          <cell r="Y739">
            <v>4120.876475</v>
          </cell>
        </row>
        <row r="740">
          <cell r="B740">
            <v>283172</v>
          </cell>
          <cell r="C740" t="str">
            <v>SFAS-109</v>
          </cell>
          <cell r="D740" t="str">
            <v>ACCUM DEF INC TAXES -FAS 109-OTHER-STATE-GAS</v>
          </cell>
          <cell r="E740" t="str">
            <v/>
          </cell>
          <cell r="F740" t="str">
            <v/>
          </cell>
          <cell r="G740" t="str">
            <v/>
          </cell>
          <cell r="H740">
            <v>283172</v>
          </cell>
          <cell r="I740" t="str">
            <v/>
          </cell>
          <cell r="J740" t="str">
            <v/>
          </cell>
          <cell r="K740" t="str">
            <v/>
          </cell>
          <cell r="L740">
            <v>2895.94679</v>
          </cell>
          <cell r="M740">
            <v>2895.9467500000001</v>
          </cell>
          <cell r="N740">
            <v>2895.94677</v>
          </cell>
          <cell r="O740">
            <v>2895.9468000000002</v>
          </cell>
          <cell r="P740">
            <v>2895.94677</v>
          </cell>
          <cell r="Q740">
            <v>2895.9467500000001</v>
          </cell>
          <cell r="R740">
            <v>2895.94677</v>
          </cell>
          <cell r="S740">
            <v>2895.9468099999999</v>
          </cell>
          <cell r="T740">
            <v>2895.9467800000002</v>
          </cell>
          <cell r="U740">
            <v>2895.40877</v>
          </cell>
          <cell r="V740">
            <v>2895.4087199999999</v>
          </cell>
          <cell r="W740">
            <v>2895.4088000000002</v>
          </cell>
          <cell r="X740">
            <v>2840.2637800000002</v>
          </cell>
          <cell r="Y740">
            <v>2893.4921479999998</v>
          </cell>
        </row>
        <row r="741">
          <cell r="B741">
            <v>283200</v>
          </cell>
          <cell r="C741" t="str">
            <v>Roll Fwd Sched</v>
          </cell>
          <cell r="D741" t="str">
            <v>ACCUM DEF INC TAX-OTH-FEDERAL-ELECTRIC</v>
          </cell>
          <cell r="E741" t="str">
            <v/>
          </cell>
          <cell r="F741">
            <v>283200</v>
          </cell>
          <cell r="G741" t="str">
            <v/>
          </cell>
          <cell r="H741" t="str">
            <v/>
          </cell>
          <cell r="I741" t="str">
            <v/>
          </cell>
          <cell r="J741" t="str">
            <v/>
          </cell>
          <cell r="K741" t="str">
            <v/>
          </cell>
          <cell r="L741">
            <v>-19930.979329999998</v>
          </cell>
          <cell r="M741">
            <v>-20153.951389999998</v>
          </cell>
          <cell r="N741">
            <v>-20376.923470000002</v>
          </cell>
          <cell r="O741">
            <v>-20599.895530000002</v>
          </cell>
          <cell r="P741">
            <v>-20822.867600000001</v>
          </cell>
          <cell r="Q741">
            <v>-21045.839680000001</v>
          </cell>
          <cell r="R741">
            <v>-21269.684600000001</v>
          </cell>
          <cell r="S741">
            <v>-21326.567080000001</v>
          </cell>
          <cell r="T741">
            <v>-21478.072660000002</v>
          </cell>
          <cell r="U741">
            <v>-18442.24613</v>
          </cell>
          <cell r="V741">
            <v>-25430.337009999999</v>
          </cell>
          <cell r="W741">
            <v>-25606.587899999999</v>
          </cell>
          <cell r="X741">
            <v>-22055.73947</v>
          </cell>
          <cell r="Y741">
            <v>-21462.194371000001</v>
          </cell>
        </row>
        <row r="742">
          <cell r="B742">
            <v>283210</v>
          </cell>
          <cell r="C742" t="str">
            <v>Roll Fwd Sched</v>
          </cell>
          <cell r="D742" t="str">
            <v>ACCUM DEF INC TAX-OTH-FEDERAL-GAS</v>
          </cell>
          <cell r="E742" t="str">
            <v/>
          </cell>
          <cell r="F742">
            <v>283210</v>
          </cell>
          <cell r="G742" t="str">
            <v/>
          </cell>
          <cell r="H742" t="str">
            <v/>
          </cell>
          <cell r="I742" t="str">
            <v/>
          </cell>
          <cell r="J742" t="str">
            <v/>
          </cell>
          <cell r="K742" t="str">
            <v/>
          </cell>
          <cell r="L742">
            <v>1786.82053</v>
          </cell>
          <cell r="M742">
            <v>1773.5856699999999</v>
          </cell>
          <cell r="N742">
            <v>1760.5921599999999</v>
          </cell>
          <cell r="O742">
            <v>1836.3221799999999</v>
          </cell>
          <cell r="P742">
            <v>1823.7031400000001</v>
          </cell>
          <cell r="Q742">
            <v>1810.9844599999999</v>
          </cell>
          <cell r="R742">
            <v>1798.18941</v>
          </cell>
          <cell r="S742">
            <v>1815.64924</v>
          </cell>
          <cell r="T742">
            <v>1831.20976</v>
          </cell>
          <cell r="U742">
            <v>3173.35151</v>
          </cell>
          <cell r="V742">
            <v>322.33499</v>
          </cell>
          <cell r="W742">
            <v>326.21534000000003</v>
          </cell>
          <cell r="X742">
            <v>605.20450000000005</v>
          </cell>
          <cell r="Y742">
            <v>1622.345865</v>
          </cell>
        </row>
        <row r="743">
          <cell r="B743">
            <v>283300</v>
          </cell>
          <cell r="C743" t="str">
            <v>Roll Fwd Sched</v>
          </cell>
          <cell r="D743" t="str">
            <v>ACCUM DEF INC TAX-OTH-FEDERAL-ELECTRIC-NONOP</v>
          </cell>
          <cell r="E743" t="str">
            <v/>
          </cell>
          <cell r="F743">
            <v>283300</v>
          </cell>
          <cell r="G743" t="str">
            <v/>
          </cell>
          <cell r="H743" t="str">
            <v/>
          </cell>
          <cell r="I743" t="str">
            <v/>
          </cell>
          <cell r="J743" t="str">
            <v/>
          </cell>
          <cell r="K743" t="str">
            <v/>
          </cell>
          <cell r="L743">
            <v>-420.34699999999998</v>
          </cell>
          <cell r="M743">
            <v>-420.34699999999998</v>
          </cell>
          <cell r="N743">
            <v>-420.34699999999998</v>
          </cell>
          <cell r="O743">
            <v>-420.34699999999998</v>
          </cell>
          <cell r="P743">
            <v>-420.34699999999998</v>
          </cell>
          <cell r="Q743">
            <v>-420.34699999999998</v>
          </cell>
          <cell r="R743">
            <v>-420.34699999999998</v>
          </cell>
          <cell r="S743">
            <v>-420.34699999999998</v>
          </cell>
          <cell r="T743">
            <v>-420.34699999999998</v>
          </cell>
          <cell r="U743">
            <v>-420.34699999999998</v>
          </cell>
          <cell r="V743">
            <v>-420.34699999999998</v>
          </cell>
          <cell r="W743">
            <v>-420.34699999999998</v>
          </cell>
          <cell r="X743">
            <v>-420.34699999999998</v>
          </cell>
          <cell r="Y743">
            <v>-420.34699999999998</v>
          </cell>
        </row>
        <row r="744">
          <cell r="B744">
            <v>283310</v>
          </cell>
          <cell r="C744" t="str">
            <v>Roll Fwd Sched</v>
          </cell>
          <cell r="D744" t="str">
            <v>ACCUM DEF INC TAX-OTH-FEDERAL-GAS-NONOP</v>
          </cell>
          <cell r="E744" t="str">
            <v/>
          </cell>
          <cell r="F744">
            <v>283310</v>
          </cell>
          <cell r="G744" t="str">
            <v/>
          </cell>
          <cell r="H744" t="str">
            <v/>
          </cell>
          <cell r="I744" t="str">
            <v/>
          </cell>
          <cell r="J744" t="str">
            <v/>
          </cell>
          <cell r="K744" t="str">
            <v/>
          </cell>
          <cell r="L744">
            <v>-175.815</v>
          </cell>
          <cell r="M744">
            <v>-175.815</v>
          </cell>
          <cell r="N744">
            <v>-175.815</v>
          </cell>
          <cell r="O744">
            <v>-175.815</v>
          </cell>
          <cell r="P744">
            <v>-175.815</v>
          </cell>
          <cell r="Q744">
            <v>-175.815</v>
          </cell>
          <cell r="R744">
            <v>-175.815</v>
          </cell>
          <cell r="S744">
            <v>-175.815</v>
          </cell>
          <cell r="T744">
            <v>-175.815</v>
          </cell>
          <cell r="U744">
            <v>-175.815</v>
          </cell>
          <cell r="V744">
            <v>-175.815</v>
          </cell>
          <cell r="W744">
            <v>-175.815</v>
          </cell>
          <cell r="X744">
            <v>-175.815</v>
          </cell>
          <cell r="Y744">
            <v>-175.815</v>
          </cell>
        </row>
        <row r="745">
          <cell r="B745">
            <v>283400</v>
          </cell>
          <cell r="C745" t="str">
            <v>Roll Fwd Sched</v>
          </cell>
          <cell r="D745" t="str">
            <v>ACCUM DEF INC TAX-OTH-STATE-ELECTRIC</v>
          </cell>
          <cell r="E745" t="str">
            <v/>
          </cell>
          <cell r="F745">
            <v>283400</v>
          </cell>
          <cell r="G745" t="str">
            <v/>
          </cell>
          <cell r="H745" t="str">
            <v/>
          </cell>
          <cell r="I745" t="str">
            <v/>
          </cell>
          <cell r="J745" t="str">
            <v/>
          </cell>
          <cell r="K745" t="str">
            <v/>
          </cell>
          <cell r="L745">
            <v>-4655.8144300000004</v>
          </cell>
          <cell r="M745">
            <v>-4707.4869200000003</v>
          </cell>
          <cell r="N745">
            <v>-4759.1594100000002</v>
          </cell>
          <cell r="O745">
            <v>-4810.8319000000001</v>
          </cell>
          <cell r="P745">
            <v>-4862.5043900000001</v>
          </cell>
          <cell r="Q745">
            <v>-4914.1768899999997</v>
          </cell>
          <cell r="R745">
            <v>-4966.0399799999996</v>
          </cell>
          <cell r="S745">
            <v>-4981.4450200000001</v>
          </cell>
          <cell r="T745">
            <v>-5017.5120399999996</v>
          </cell>
          <cell r="U745">
            <v>-4478.1450299999997</v>
          </cell>
          <cell r="V745">
            <v>-5761.4805900000001</v>
          </cell>
          <cell r="W745">
            <v>-5802.9510200000004</v>
          </cell>
          <cell r="X745">
            <v>-5038.5675700000002</v>
          </cell>
          <cell r="Y745">
            <v>-4992.4103489999998</v>
          </cell>
        </row>
        <row r="746">
          <cell r="B746">
            <v>283410</v>
          </cell>
          <cell r="C746" t="str">
            <v>Roll Fwd Sched</v>
          </cell>
          <cell r="D746" t="str">
            <v>ACCUM DEF INC TAX-OTH-STATE-GAS</v>
          </cell>
          <cell r="E746" t="str">
            <v/>
          </cell>
          <cell r="F746">
            <v>283410</v>
          </cell>
          <cell r="G746" t="str">
            <v/>
          </cell>
          <cell r="H746" t="str">
            <v/>
          </cell>
          <cell r="I746" t="str">
            <v/>
          </cell>
          <cell r="J746" t="str">
            <v/>
          </cell>
          <cell r="K746" t="str">
            <v/>
          </cell>
          <cell r="L746">
            <v>113.70902</v>
          </cell>
          <cell r="M746">
            <v>110.28888999999999</v>
          </cell>
          <cell r="N746">
            <v>106.92146</v>
          </cell>
          <cell r="O746">
            <v>122.92777</v>
          </cell>
          <cell r="P746">
            <v>119.64211</v>
          </cell>
          <cell r="Q746">
            <v>116.3347</v>
          </cell>
          <cell r="R746">
            <v>113.01061</v>
          </cell>
          <cell r="S746">
            <v>116.29299</v>
          </cell>
          <cell r="T746">
            <v>119.16065</v>
          </cell>
          <cell r="U746">
            <v>393.392</v>
          </cell>
          <cell r="V746">
            <v>-80.917209999999997</v>
          </cell>
          <cell r="W746">
            <v>-80.600049999999996</v>
          </cell>
          <cell r="X746">
            <v>-22.783840000000001</v>
          </cell>
          <cell r="Y746">
            <v>100.15970900000001</v>
          </cell>
        </row>
        <row r="747">
          <cell r="B747">
            <v>283420</v>
          </cell>
          <cell r="C747" t="str">
            <v>Roll Fwd Sched</v>
          </cell>
          <cell r="D747" t="str">
            <v>ACCUM DEF INC TAX-OTH-STATE-ELECTRIC-NONOP</v>
          </cell>
          <cell r="E747" t="str">
            <v/>
          </cell>
          <cell r="F747">
            <v>283420</v>
          </cell>
          <cell r="G747" t="str">
            <v/>
          </cell>
          <cell r="H747" t="str">
            <v/>
          </cell>
          <cell r="I747" t="str">
            <v/>
          </cell>
          <cell r="J747" t="str">
            <v/>
          </cell>
          <cell r="K747" t="str">
            <v/>
          </cell>
          <cell r="L747">
            <v>-11.82</v>
          </cell>
          <cell r="M747">
            <v>-11.82</v>
          </cell>
          <cell r="N747">
            <v>-11.82</v>
          </cell>
          <cell r="O747">
            <v>-11.82</v>
          </cell>
          <cell r="P747">
            <v>-11.82</v>
          </cell>
          <cell r="Q747">
            <v>-11.82</v>
          </cell>
          <cell r="R747">
            <v>-11.82</v>
          </cell>
          <cell r="S747">
            <v>-11.82</v>
          </cell>
          <cell r="T747">
            <v>-11.82</v>
          </cell>
          <cell r="U747">
            <v>-11.82</v>
          </cell>
          <cell r="V747">
            <v>-11.82</v>
          </cell>
          <cell r="W747">
            <v>-11.82</v>
          </cell>
          <cell r="X747">
            <v>-11.82</v>
          </cell>
          <cell r="Y747">
            <v>-11.82</v>
          </cell>
        </row>
        <row r="748">
          <cell r="B748">
            <v>283430</v>
          </cell>
          <cell r="C748" t="str">
            <v>Roll Fwd Sched</v>
          </cell>
          <cell r="D748" t="str">
            <v>ACCUM DEF INC TAX-OTH-STATE-GAS-NONOP</v>
          </cell>
          <cell r="E748" t="str">
            <v/>
          </cell>
          <cell r="F748">
            <v>283430</v>
          </cell>
          <cell r="G748" t="str">
            <v/>
          </cell>
          <cell r="H748" t="str">
            <v/>
          </cell>
          <cell r="I748" t="str">
            <v/>
          </cell>
          <cell r="J748" t="str">
            <v/>
          </cell>
          <cell r="K748" t="str">
            <v/>
          </cell>
          <cell r="L748">
            <v>-6.3630000000000004</v>
          </cell>
          <cell r="M748">
            <v>-6.3630000000000004</v>
          </cell>
          <cell r="N748">
            <v>-6.3630000000000004</v>
          </cell>
          <cell r="O748">
            <v>-6.3630000000000004</v>
          </cell>
          <cell r="P748">
            <v>-6.3630000000000004</v>
          </cell>
          <cell r="Q748">
            <v>-6.3630000000000004</v>
          </cell>
          <cell r="R748">
            <v>-6.3630000000000004</v>
          </cell>
          <cell r="S748">
            <v>-6.3630000000000004</v>
          </cell>
          <cell r="T748">
            <v>-6.3630000000000004</v>
          </cell>
          <cell r="U748">
            <v>-6.3630000000000004</v>
          </cell>
          <cell r="V748">
            <v>-6.3630000000000004</v>
          </cell>
          <cell r="W748">
            <v>-6.3630000000000004</v>
          </cell>
          <cell r="X748">
            <v>-6.3630000000000004</v>
          </cell>
          <cell r="Y748">
            <v>-6.3630000000000004</v>
          </cell>
        </row>
        <row r="749">
          <cell r="B749">
            <v>283500</v>
          </cell>
          <cell r="C749" t="str">
            <v>Roll Fwd Sched</v>
          </cell>
          <cell r="D749" t="str">
            <v>ADIT-OTH-REG-FEDERAL-ELECTRIC</v>
          </cell>
          <cell r="E749" t="str">
            <v/>
          </cell>
          <cell r="F749">
            <v>283500</v>
          </cell>
          <cell r="G749" t="str">
            <v/>
          </cell>
          <cell r="H749" t="str">
            <v/>
          </cell>
          <cell r="I749" t="str">
            <v/>
          </cell>
          <cell r="J749" t="str">
            <v/>
          </cell>
          <cell r="K749" t="str">
            <v/>
          </cell>
          <cell r="L749">
            <v>-89191.96286</v>
          </cell>
          <cell r="M749">
            <v>-87353.633000000002</v>
          </cell>
          <cell r="N749">
            <v>-87464.497820000004</v>
          </cell>
          <cell r="O749">
            <v>-85770.694730000003</v>
          </cell>
          <cell r="P749">
            <v>-85131.660619999995</v>
          </cell>
          <cell r="Q749">
            <v>-83432.593009999997</v>
          </cell>
          <cell r="R749">
            <v>-82240.176229999997</v>
          </cell>
          <cell r="S749">
            <v>-80432.232369999998</v>
          </cell>
          <cell r="T749">
            <v>-78714.900769999993</v>
          </cell>
          <cell r="U749">
            <v>-78303.43535</v>
          </cell>
          <cell r="V749">
            <v>-77594.090530000001</v>
          </cell>
          <cell r="W749">
            <v>-74951.112380000006</v>
          </cell>
          <cell r="X749">
            <v>-79283.849359999993</v>
          </cell>
          <cell r="Y749">
            <v>-82135.577743000002</v>
          </cell>
        </row>
        <row r="750">
          <cell r="B750">
            <v>283505</v>
          </cell>
          <cell r="C750" t="str">
            <v>SFAS-109</v>
          </cell>
          <cell r="D750" t="str">
            <v>ADIT-FAS 109 GROSSUP-FEDERAL ELECTRIC</v>
          </cell>
          <cell r="E750" t="str">
            <v/>
          </cell>
          <cell r="F750" t="str">
            <v/>
          </cell>
          <cell r="G750" t="str">
            <v/>
          </cell>
          <cell r="H750">
            <v>283505</v>
          </cell>
          <cell r="I750" t="str">
            <v/>
          </cell>
          <cell r="J750" t="str">
            <v/>
          </cell>
          <cell r="K750" t="str">
            <v/>
          </cell>
          <cell r="L750">
            <v>-39012.020989999997</v>
          </cell>
          <cell r="M750">
            <v>-38774.953249999999</v>
          </cell>
          <cell r="N750">
            <v>-39141.840510000002</v>
          </cell>
          <cell r="O750">
            <v>-39327.870159999999</v>
          </cell>
          <cell r="P750">
            <v>-39170.206270000002</v>
          </cell>
          <cell r="Q750">
            <v>-39353.842700000001</v>
          </cell>
          <cell r="R750">
            <v>-39410.882180000001</v>
          </cell>
          <cell r="S750">
            <v>-39473.295720000002</v>
          </cell>
          <cell r="T750">
            <v>-39515.759700000002</v>
          </cell>
          <cell r="U750">
            <v>-40242.218439999997</v>
          </cell>
          <cell r="V750">
            <v>-40313.160609999999</v>
          </cell>
          <cell r="W750">
            <v>-26640.41634</v>
          </cell>
          <cell r="X750">
            <v>-31446.95379</v>
          </cell>
          <cell r="Y750">
            <v>-38049.494439000002</v>
          </cell>
        </row>
        <row r="751">
          <cell r="B751">
            <v>283506</v>
          </cell>
          <cell r="C751" t="str">
            <v>SFAS-109</v>
          </cell>
          <cell r="D751" t="str">
            <v>ADIT-FAS 109 GROSSUP-FEDERAL GAS</v>
          </cell>
          <cell r="E751" t="str">
            <v/>
          </cell>
          <cell r="F751" t="str">
            <v/>
          </cell>
          <cell r="G751" t="str">
            <v/>
          </cell>
          <cell r="H751">
            <v>283506</v>
          </cell>
          <cell r="I751" t="str">
            <v/>
          </cell>
          <cell r="J751" t="str">
            <v/>
          </cell>
          <cell r="K751" t="str">
            <v/>
          </cell>
          <cell r="L751">
            <v>-12399.867130000001</v>
          </cell>
          <cell r="M751">
            <v>-12366.3914</v>
          </cell>
          <cell r="N751">
            <v>-12330.51758</v>
          </cell>
          <cell r="O751">
            <v>-12324.110420000001</v>
          </cell>
          <cell r="P751">
            <v>-12300.151980000001</v>
          </cell>
          <cell r="Q751">
            <v>-12285.74368</v>
          </cell>
          <cell r="R751">
            <v>-12244.780269999999</v>
          </cell>
          <cell r="S751">
            <v>-12210.2232</v>
          </cell>
          <cell r="T751">
            <v>-12197.26304</v>
          </cell>
          <cell r="U751">
            <v>-12241.14687</v>
          </cell>
          <cell r="V751">
            <v>-12220.35491</v>
          </cell>
          <cell r="W751">
            <v>-12175.822340000001</v>
          </cell>
          <cell r="X751">
            <v>-11841.49188</v>
          </cell>
          <cell r="Y751">
            <v>-12251.4321</v>
          </cell>
        </row>
        <row r="752">
          <cell r="B752">
            <v>283510</v>
          </cell>
          <cell r="C752" t="str">
            <v>Roll Fwd Sched</v>
          </cell>
          <cell r="D752" t="str">
            <v>ADIT-OTH-REG-FEDERAL-GAS</v>
          </cell>
          <cell r="E752" t="str">
            <v/>
          </cell>
          <cell r="F752">
            <v>283510</v>
          </cell>
          <cell r="G752" t="str">
            <v/>
          </cell>
          <cell r="H752" t="str">
            <v/>
          </cell>
          <cell r="I752" t="str">
            <v/>
          </cell>
          <cell r="J752" t="str">
            <v/>
          </cell>
          <cell r="K752" t="str">
            <v/>
          </cell>
          <cell r="L752">
            <v>-35451.891340000002</v>
          </cell>
          <cell r="M752">
            <v>-34118.241430000002</v>
          </cell>
          <cell r="N752">
            <v>-34090.177929999998</v>
          </cell>
          <cell r="O752">
            <v>-32635.01683</v>
          </cell>
          <cell r="P752">
            <v>-32002.952590000001</v>
          </cell>
          <cell r="Q752">
            <v>-32000.834589999999</v>
          </cell>
          <cell r="R752">
            <v>-32170.97365</v>
          </cell>
          <cell r="S752">
            <v>-32116.455750000001</v>
          </cell>
          <cell r="T752">
            <v>-31062.34101</v>
          </cell>
          <cell r="U752">
            <v>-31464.8940799999</v>
          </cell>
          <cell r="V752">
            <v>-31054.655119999999</v>
          </cell>
          <cell r="W752">
            <v>-30736.19411</v>
          </cell>
          <cell r="X752">
            <v>-33328.215640000002</v>
          </cell>
          <cell r="Y752">
            <v>-32320.232548</v>
          </cell>
        </row>
        <row r="753">
          <cell r="B753">
            <v>283515</v>
          </cell>
          <cell r="C753" t="str">
            <v>SFAS-109</v>
          </cell>
          <cell r="D753" t="str">
            <v>ADIT-FAS 109 GROSSUP-STATE ELECTRIC</v>
          </cell>
          <cell r="E753" t="str">
            <v/>
          </cell>
          <cell r="F753" t="str">
            <v/>
          </cell>
          <cell r="G753" t="str">
            <v/>
          </cell>
          <cell r="H753">
            <v>283515</v>
          </cell>
          <cell r="I753" t="str">
            <v/>
          </cell>
          <cell r="J753" t="str">
            <v/>
          </cell>
          <cell r="K753" t="str">
            <v/>
          </cell>
          <cell r="L753">
            <v>-3395.4392499999999</v>
          </cell>
          <cell r="M753">
            <v>-3329.5440800000001</v>
          </cell>
          <cell r="N753">
            <v>-3395.5290100000002</v>
          </cell>
          <cell r="O753">
            <v>-3422.02169</v>
          </cell>
          <cell r="P753">
            <v>-3373.4652500000002</v>
          </cell>
          <cell r="Q753">
            <v>-3395.9962</v>
          </cell>
          <cell r="R753">
            <v>-3397.76172</v>
          </cell>
          <cell r="S753">
            <v>-3397.2615300000002</v>
          </cell>
          <cell r="T753">
            <v>-3392.4051199999999</v>
          </cell>
          <cell r="U753">
            <v>-3327.1487299999999</v>
          </cell>
          <cell r="V753">
            <v>-3328.5108500000001</v>
          </cell>
          <cell r="W753">
            <v>-1451.1038000000001</v>
          </cell>
          <cell r="X753">
            <v>-2737.58761</v>
          </cell>
          <cell r="Y753">
            <v>-3189.771784</v>
          </cell>
        </row>
        <row r="754">
          <cell r="B754">
            <v>283516</v>
          </cell>
          <cell r="C754" t="str">
            <v>SFAS-109</v>
          </cell>
          <cell r="D754" t="str">
            <v>ADIT-FAS 109 GROSSUP-STATE GAS</v>
          </cell>
          <cell r="E754" t="str">
            <v/>
          </cell>
          <cell r="F754" t="str">
            <v/>
          </cell>
          <cell r="G754" t="str">
            <v/>
          </cell>
          <cell r="H754">
            <v>283516</v>
          </cell>
          <cell r="I754" t="str">
            <v/>
          </cell>
          <cell r="J754" t="str">
            <v/>
          </cell>
          <cell r="K754" t="str">
            <v/>
          </cell>
          <cell r="L754">
            <v>-1083.33431</v>
          </cell>
          <cell r="M754">
            <v>-1074.55333</v>
          </cell>
          <cell r="N754">
            <v>-1065.24866</v>
          </cell>
          <cell r="O754">
            <v>-1062.3784000000001</v>
          </cell>
          <cell r="P754">
            <v>-1055.6756</v>
          </cell>
          <cell r="Q754">
            <v>-1051.0582099999999</v>
          </cell>
          <cell r="R754">
            <v>-1040.6422</v>
          </cell>
          <cell r="S754">
            <v>-1031.62508</v>
          </cell>
          <cell r="T754">
            <v>-1027.3239100000001</v>
          </cell>
          <cell r="U754">
            <v>-1035.4352100000001</v>
          </cell>
          <cell r="V754">
            <v>-1029.42383</v>
          </cell>
          <cell r="W754">
            <v>-983.26813000000004</v>
          </cell>
          <cell r="X754">
            <v>-908.79226000000006</v>
          </cell>
          <cell r="Y754">
            <v>-1037.7246540000001</v>
          </cell>
        </row>
        <row r="755">
          <cell r="B755">
            <v>283550</v>
          </cell>
          <cell r="C755" t="str">
            <v>Roll Fwd Sched</v>
          </cell>
          <cell r="D755" t="str">
            <v>ADIT-OTH-REG-STATE-ELECTRIC</v>
          </cell>
          <cell r="E755" t="str">
            <v/>
          </cell>
          <cell r="F755">
            <v>283550</v>
          </cell>
          <cell r="G755" t="str">
            <v/>
          </cell>
          <cell r="H755" t="str">
            <v/>
          </cell>
          <cell r="I755" t="str">
            <v/>
          </cell>
          <cell r="J755" t="str">
            <v/>
          </cell>
          <cell r="K755" t="str">
            <v/>
          </cell>
          <cell r="L755">
            <v>-16585.82271</v>
          </cell>
          <cell r="M755">
            <v>-16293.38984</v>
          </cell>
          <cell r="N755">
            <v>-16426.584579999999</v>
          </cell>
          <cell r="O755">
            <v>-16165.71067</v>
          </cell>
          <cell r="P755">
            <v>-16135.156929999999</v>
          </cell>
          <cell r="Q755">
            <v>-15873.133449999999</v>
          </cell>
          <cell r="R755">
            <v>-15721.74265</v>
          </cell>
          <cell r="S755">
            <v>-15435.944869999999</v>
          </cell>
          <cell r="T755">
            <v>-15169.93326</v>
          </cell>
          <cell r="U755">
            <v>-15188.901669999999</v>
          </cell>
          <cell r="V755">
            <v>-15142.994839999999</v>
          </cell>
          <cell r="W755">
            <v>-14674.858319999999</v>
          </cell>
          <cell r="X755">
            <v>-15729.944310000001</v>
          </cell>
          <cell r="Y755">
            <v>-15698.852883</v>
          </cell>
        </row>
        <row r="756">
          <cell r="B756">
            <v>283560</v>
          </cell>
          <cell r="C756" t="str">
            <v>Roll Fwd Sched</v>
          </cell>
          <cell r="D756" t="str">
            <v>ADIT-OTH-REG-STATE-GAS</v>
          </cell>
          <cell r="E756" t="str">
            <v/>
          </cell>
          <cell r="F756">
            <v>283560</v>
          </cell>
          <cell r="G756" t="str">
            <v/>
          </cell>
          <cell r="H756" t="str">
            <v/>
          </cell>
          <cell r="I756" t="str">
            <v/>
          </cell>
          <cell r="J756" t="str">
            <v/>
          </cell>
          <cell r="K756" t="str">
            <v/>
          </cell>
          <cell r="L756">
            <v>-7668.6297100000002</v>
          </cell>
          <cell r="M756">
            <v>-7377.4129000000003</v>
          </cell>
          <cell r="N756">
            <v>-7371.2849399999996</v>
          </cell>
          <cell r="O756">
            <v>-7053.5348599999998</v>
          </cell>
          <cell r="P756">
            <v>-6915.5168299999996</v>
          </cell>
          <cell r="Q756">
            <v>-6915.0543399999997</v>
          </cell>
          <cell r="R756">
            <v>-6952.20604</v>
          </cell>
          <cell r="S756">
            <v>-6940.3014700000003</v>
          </cell>
          <cell r="T756">
            <v>-6710.12417</v>
          </cell>
          <cell r="U756">
            <v>-6798.1958000000004</v>
          </cell>
          <cell r="V756">
            <v>-6708.61571</v>
          </cell>
          <cell r="W756">
            <v>-6639.0763299999999</v>
          </cell>
          <cell r="X756">
            <v>-7205.0721100000001</v>
          </cell>
          <cell r="Y756">
            <v>-6984.8478580000001</v>
          </cell>
        </row>
        <row r="757">
          <cell r="B757">
            <v>283883</v>
          </cell>
          <cell r="C757" t="str">
            <v>Roll Fwd Sched</v>
          </cell>
          <cell r="D757" t="str">
            <v>TAXES ACCRUED-GAS-GAAP FIN 48 - DEFERRED</v>
          </cell>
          <cell r="E757" t="str">
            <v/>
          </cell>
          <cell r="F757">
            <v>283883</v>
          </cell>
          <cell r="G757" t="str">
            <v/>
          </cell>
          <cell r="H757">
            <v>283883</v>
          </cell>
          <cell r="I757" t="str">
            <v/>
          </cell>
          <cell r="J757" t="str">
            <v/>
          </cell>
          <cell r="K757" t="str">
            <v/>
          </cell>
          <cell r="L757">
            <v>-3205</v>
          </cell>
          <cell r="M757">
            <v>-3205</v>
          </cell>
          <cell r="N757">
            <v>-3205</v>
          </cell>
          <cell r="O757">
            <v>-3205</v>
          </cell>
          <cell r="P757">
            <v>-3205</v>
          </cell>
          <cell r="Q757">
            <v>-3205</v>
          </cell>
          <cell r="R757">
            <v>-3205</v>
          </cell>
          <cell r="S757">
            <v>-3205</v>
          </cell>
          <cell r="T757">
            <v>-3205</v>
          </cell>
          <cell r="U757">
            <v>-3205</v>
          </cell>
          <cell r="V757">
            <v>-3205</v>
          </cell>
          <cell r="W757">
            <v>-3205</v>
          </cell>
          <cell r="X757">
            <v>0</v>
          </cell>
          <cell r="Y757">
            <v>-3071.458333</v>
          </cell>
        </row>
        <row r="758">
          <cell r="B758">
            <v>283884</v>
          </cell>
          <cell r="C758" t="str">
            <v>Roll Fwd Sched</v>
          </cell>
          <cell r="D758" t="str">
            <v>TAXES ACCRUED-ELEC-FERC FIN 48 - DEFERRED</v>
          </cell>
          <cell r="E758" t="str">
            <v/>
          </cell>
          <cell r="F758">
            <v>283884</v>
          </cell>
          <cell r="G758" t="str">
            <v/>
          </cell>
          <cell r="H758">
            <v>283884</v>
          </cell>
          <cell r="I758" t="str">
            <v/>
          </cell>
          <cell r="J758" t="str">
            <v/>
          </cell>
          <cell r="K758" t="str">
            <v/>
          </cell>
          <cell r="L758">
            <v>-704</v>
          </cell>
          <cell r="M758">
            <v>-704</v>
          </cell>
          <cell r="N758">
            <v>-704</v>
          </cell>
          <cell r="O758">
            <v>-704</v>
          </cell>
          <cell r="P758">
            <v>-704</v>
          </cell>
          <cell r="Q758">
            <v>-704</v>
          </cell>
          <cell r="R758">
            <v>-704</v>
          </cell>
          <cell r="S758">
            <v>-704</v>
          </cell>
          <cell r="T758">
            <v>-704</v>
          </cell>
          <cell r="U758">
            <v>-704</v>
          </cell>
          <cell r="V758">
            <v>-704</v>
          </cell>
          <cell r="W758">
            <v>-704</v>
          </cell>
          <cell r="X758">
            <v>-704</v>
          </cell>
          <cell r="Y758">
            <v>-704</v>
          </cell>
        </row>
        <row r="759">
          <cell r="B759">
            <v>283983</v>
          </cell>
          <cell r="C759" t="str">
            <v>Roll Fwd Sched</v>
          </cell>
          <cell r="D759" t="str">
            <v>TAXES ACCRUED-ELEC-FERC FIN 48 - DEFERRED</v>
          </cell>
          <cell r="E759" t="str">
            <v/>
          </cell>
          <cell r="F759">
            <v>283983</v>
          </cell>
          <cell r="G759" t="str">
            <v/>
          </cell>
          <cell r="H759">
            <v>283983</v>
          </cell>
          <cell r="I759" t="str">
            <v/>
          </cell>
          <cell r="J759" t="str">
            <v/>
          </cell>
          <cell r="K759" t="str">
            <v/>
          </cell>
          <cell r="L759">
            <v>3205</v>
          </cell>
          <cell r="M759">
            <v>3205</v>
          </cell>
          <cell r="N759">
            <v>3205</v>
          </cell>
          <cell r="O759">
            <v>3205</v>
          </cell>
          <cell r="P759">
            <v>3205</v>
          </cell>
          <cell r="Q759">
            <v>3205</v>
          </cell>
          <cell r="R759">
            <v>3205</v>
          </cell>
          <cell r="S759">
            <v>3205</v>
          </cell>
          <cell r="T759">
            <v>3205</v>
          </cell>
          <cell r="U759">
            <v>3205</v>
          </cell>
          <cell r="V759">
            <v>3205</v>
          </cell>
          <cell r="W759">
            <v>3205</v>
          </cell>
          <cell r="X759">
            <v>0</v>
          </cell>
          <cell r="Y759">
            <v>3071.458333</v>
          </cell>
        </row>
        <row r="760">
          <cell r="B760">
            <v>283984</v>
          </cell>
          <cell r="C760" t="str">
            <v>Roll Fwd Sched</v>
          </cell>
          <cell r="D760" t="str">
            <v>TAXES ACCRUED-GAS-FERC FIN 48 - DEFERRED</v>
          </cell>
          <cell r="E760" t="str">
            <v/>
          </cell>
          <cell r="F760">
            <v>283984</v>
          </cell>
          <cell r="G760" t="str">
            <v/>
          </cell>
          <cell r="H760">
            <v>283984</v>
          </cell>
          <cell r="I760" t="str">
            <v/>
          </cell>
          <cell r="J760" t="str">
            <v/>
          </cell>
          <cell r="K760" t="str">
            <v/>
          </cell>
          <cell r="L760">
            <v>704</v>
          </cell>
          <cell r="M760">
            <v>704</v>
          </cell>
          <cell r="N760">
            <v>704</v>
          </cell>
          <cell r="O760">
            <v>704</v>
          </cell>
          <cell r="P760">
            <v>704</v>
          </cell>
          <cell r="Q760">
            <v>704</v>
          </cell>
          <cell r="R760">
            <v>704</v>
          </cell>
          <cell r="S760">
            <v>704</v>
          </cell>
          <cell r="T760">
            <v>704</v>
          </cell>
          <cell r="U760">
            <v>704</v>
          </cell>
          <cell r="V760">
            <v>704</v>
          </cell>
          <cell r="W760">
            <v>704</v>
          </cell>
          <cell r="X760">
            <v>704</v>
          </cell>
          <cell r="Y760">
            <v>704</v>
          </cell>
        </row>
        <row r="761">
          <cell r="B761">
            <v>283986</v>
          </cell>
          <cell r="C761" t="str">
            <v>Roll Fwd Sched</v>
          </cell>
          <cell r="D761" t="str">
            <v>RECLASS-ACCUM DEFER INC TX-FED-CURRENT-ELECTRIC</v>
          </cell>
          <cell r="E761" t="str">
            <v/>
          </cell>
          <cell r="F761">
            <v>283986</v>
          </cell>
          <cell r="G761" t="str">
            <v/>
          </cell>
          <cell r="H761" t="str">
            <v/>
          </cell>
          <cell r="I761" t="str">
            <v/>
          </cell>
          <cell r="J761" t="str">
            <v/>
          </cell>
          <cell r="K761" t="str">
            <v/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</row>
        <row r="762">
          <cell r="B762">
            <v>283987</v>
          </cell>
          <cell r="C762" t="str">
            <v>Roll Fwd Sched</v>
          </cell>
          <cell r="D762" t="str">
            <v>RECLASS-ACCUM DEFER INC TX-FED-CURRENT-GAS</v>
          </cell>
          <cell r="E762" t="str">
            <v/>
          </cell>
          <cell r="F762">
            <v>283987</v>
          </cell>
          <cell r="G762" t="str">
            <v/>
          </cell>
          <cell r="H762" t="str">
            <v/>
          </cell>
          <cell r="I762" t="str">
            <v/>
          </cell>
          <cell r="J762" t="str">
            <v/>
          </cell>
          <cell r="K762" t="str">
            <v/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</row>
        <row r="763">
          <cell r="B763">
            <v>283988</v>
          </cell>
          <cell r="C763" t="str">
            <v>Roll Fwd Sched</v>
          </cell>
          <cell r="D763" t="str">
            <v>RECLASS-ACCUM DEFER INC TX-STATE-CURRENT-ELECTRIC</v>
          </cell>
          <cell r="E763" t="str">
            <v/>
          </cell>
          <cell r="F763">
            <v>283988</v>
          </cell>
          <cell r="G763" t="str">
            <v/>
          </cell>
          <cell r="H763" t="str">
            <v/>
          </cell>
          <cell r="I763" t="str">
            <v/>
          </cell>
          <cell r="J763" t="str">
            <v/>
          </cell>
          <cell r="K763" t="str">
            <v/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</row>
        <row r="764">
          <cell r="B764">
            <v>283989</v>
          </cell>
          <cell r="C764" t="str">
            <v>Roll Fwd Sched</v>
          </cell>
          <cell r="D764" t="str">
            <v>RECLASS-ACCUM DEFER INC TX-STATE-CURRENT-GAS</v>
          </cell>
          <cell r="E764" t="str">
            <v/>
          </cell>
          <cell r="F764">
            <v>283989</v>
          </cell>
          <cell r="G764" t="str">
            <v/>
          </cell>
          <cell r="H764" t="str">
            <v/>
          </cell>
          <cell r="I764" t="str">
            <v/>
          </cell>
          <cell r="J764" t="str">
            <v/>
          </cell>
          <cell r="K764" t="str">
            <v/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</row>
        <row r="765">
          <cell r="B765">
            <v>283990</v>
          </cell>
          <cell r="C765" t="str">
            <v>SFAS-109</v>
          </cell>
          <cell r="D765" t="str">
            <v>RECLASS-OTHER REG LIAB-ADIT-ELEC (WITH ACCT 28399</v>
          </cell>
          <cell r="E765" t="str">
            <v/>
          </cell>
          <cell r="F765" t="str">
            <v/>
          </cell>
          <cell r="G765" t="str">
            <v/>
          </cell>
          <cell r="H765">
            <v>283990</v>
          </cell>
          <cell r="I765" t="str">
            <v/>
          </cell>
          <cell r="J765" t="str">
            <v/>
          </cell>
          <cell r="K765" t="str">
            <v/>
          </cell>
          <cell r="L765">
            <v>-21180.91561</v>
          </cell>
          <cell r="M765">
            <v>-21180.91561</v>
          </cell>
          <cell r="N765">
            <v>-21180.91561</v>
          </cell>
          <cell r="O765">
            <v>-21180.91561</v>
          </cell>
          <cell r="P765">
            <v>-21180.91561</v>
          </cell>
          <cell r="Q765">
            <v>-21180.91561</v>
          </cell>
          <cell r="R765">
            <v>-21180.91561</v>
          </cell>
          <cell r="S765">
            <v>-21180.91561</v>
          </cell>
          <cell r="T765">
            <v>-21180.91561</v>
          </cell>
          <cell r="U765">
            <v>-21180.91561</v>
          </cell>
          <cell r="V765">
            <v>-21180.91561</v>
          </cell>
          <cell r="W765">
            <v>-21180.91561</v>
          </cell>
          <cell r="X765">
            <v>-21180.91561</v>
          </cell>
          <cell r="Y765">
            <v>-21180.91561</v>
          </cell>
        </row>
        <row r="766">
          <cell r="B766">
            <v>283991</v>
          </cell>
          <cell r="C766" t="str">
            <v>SFAS-109</v>
          </cell>
          <cell r="D766" t="str">
            <v>RECLASS-OTH REG LIAB-ADIT-ELEC (W/ ACCT 283990)</v>
          </cell>
          <cell r="E766" t="str">
            <v/>
          </cell>
          <cell r="F766" t="str">
            <v/>
          </cell>
          <cell r="G766" t="str">
            <v/>
          </cell>
          <cell r="H766">
            <v>283991</v>
          </cell>
          <cell r="I766" t="str">
            <v/>
          </cell>
          <cell r="J766" t="str">
            <v/>
          </cell>
          <cell r="K766" t="str">
            <v/>
          </cell>
          <cell r="L766">
            <v>21180.915059999999</v>
          </cell>
          <cell r="M766">
            <v>21180.915059999999</v>
          </cell>
          <cell r="N766">
            <v>21180.915059999999</v>
          </cell>
          <cell r="O766">
            <v>21180.915059999999</v>
          </cell>
          <cell r="P766">
            <v>21180.915059999999</v>
          </cell>
          <cell r="Q766">
            <v>21180.915059999999</v>
          </cell>
          <cell r="R766">
            <v>21180.915059999999</v>
          </cell>
          <cell r="S766">
            <v>21180.915059999999</v>
          </cell>
          <cell r="T766">
            <v>21180.915059999999</v>
          </cell>
          <cell r="U766">
            <v>21180.915059999999</v>
          </cell>
          <cell r="V766">
            <v>21180.915059999999</v>
          </cell>
          <cell r="W766">
            <v>21180.915059999999</v>
          </cell>
          <cell r="X766">
            <v>21180.915059999999</v>
          </cell>
          <cell r="Y766">
            <v>21180.915059999999</v>
          </cell>
        </row>
        <row r="767">
          <cell r="B767">
            <v>283992</v>
          </cell>
          <cell r="C767" t="str">
            <v>SFAS-109</v>
          </cell>
          <cell r="D767" t="str">
            <v>RECLASS-OTH REG LIAB-ADIT-GAS (W/ ACCT 283993)</v>
          </cell>
          <cell r="E767" t="str">
            <v/>
          </cell>
          <cell r="F767" t="str">
            <v/>
          </cell>
          <cell r="G767" t="str">
            <v/>
          </cell>
          <cell r="H767">
            <v>283992</v>
          </cell>
          <cell r="I767" t="str">
            <v/>
          </cell>
          <cell r="J767" t="str">
            <v/>
          </cell>
          <cell r="K767" t="str">
            <v/>
          </cell>
          <cell r="L767">
            <v>2851.5479799999998</v>
          </cell>
          <cell r="M767">
            <v>2851.5479799999998</v>
          </cell>
          <cell r="N767">
            <v>2851.5479799999998</v>
          </cell>
          <cell r="O767">
            <v>2851.5479799999998</v>
          </cell>
          <cell r="P767">
            <v>2851.5479799999998</v>
          </cell>
          <cell r="Q767">
            <v>2851.5479799999998</v>
          </cell>
          <cell r="R767">
            <v>2851.5479799999998</v>
          </cell>
          <cell r="S767">
            <v>2851.5479799999998</v>
          </cell>
          <cell r="T767">
            <v>2851.5479799999998</v>
          </cell>
          <cell r="U767">
            <v>2851.5479799999998</v>
          </cell>
          <cell r="V767">
            <v>2851.5479799999998</v>
          </cell>
          <cell r="W767">
            <v>2851.5479799999998</v>
          </cell>
          <cell r="X767">
            <v>2851.5479799999998</v>
          </cell>
          <cell r="Y767">
            <v>2851.5479799999998</v>
          </cell>
        </row>
        <row r="768">
          <cell r="B768">
            <v>283993</v>
          </cell>
          <cell r="C768" t="str">
            <v>SFAS-109</v>
          </cell>
          <cell r="D768" t="str">
            <v>RECLASS-OTH REG LIAB-ADIT-GAS (W/ ACCT 283992)</v>
          </cell>
          <cell r="E768" t="str">
            <v/>
          </cell>
          <cell r="F768" t="str">
            <v/>
          </cell>
          <cell r="G768" t="str">
            <v/>
          </cell>
          <cell r="H768">
            <v>283993</v>
          </cell>
          <cell r="I768" t="str">
            <v/>
          </cell>
          <cell r="J768" t="str">
            <v/>
          </cell>
          <cell r="K768" t="str">
            <v/>
          </cell>
          <cell r="L768">
            <v>-2851.5480200000002</v>
          </cell>
          <cell r="M768">
            <v>-2851.5480200000002</v>
          </cell>
          <cell r="N768">
            <v>-2851.5480200000002</v>
          </cell>
          <cell r="O768">
            <v>-2851.5480200000002</v>
          </cell>
          <cell r="P768">
            <v>-2851.5480200000002</v>
          </cell>
          <cell r="Q768">
            <v>-2851.5480200000002</v>
          </cell>
          <cell r="R768">
            <v>-2851.5480200000002</v>
          </cell>
          <cell r="S768">
            <v>-2851.5480200000002</v>
          </cell>
          <cell r="T768">
            <v>-2851.5480200000002</v>
          </cell>
          <cell r="U768">
            <v>-2851.5480200000002</v>
          </cell>
          <cell r="V768">
            <v>-2851.5480200000002</v>
          </cell>
          <cell r="W768">
            <v>-2851.5480200000002</v>
          </cell>
          <cell r="X768">
            <v>-2851.5480200000002</v>
          </cell>
          <cell r="Y768">
            <v>-2851.5480200000002</v>
          </cell>
        </row>
        <row r="769">
          <cell r="B769">
            <v>299999</v>
          </cell>
          <cell r="C769" t="str">
            <v>Not in RTBS</v>
          </cell>
          <cell r="D769" t="str">
            <v>INTERFACE-CLEARING</v>
          </cell>
          <cell r="E769" t="str">
            <v/>
          </cell>
          <cell r="F769" t="str">
            <v/>
          </cell>
          <cell r="G769" t="str">
            <v/>
          </cell>
          <cell r="H769" t="str">
            <v/>
          </cell>
          <cell r="I769" t="str">
            <v/>
          </cell>
          <cell r="J769">
            <v>299999</v>
          </cell>
          <cell r="K769" t="str">
            <v/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</row>
        <row r="770">
          <cell r="B770">
            <v>407300</v>
          </cell>
          <cell r="C770" t="str">
            <v>NOT USED</v>
          </cell>
          <cell r="D770" t="str">
            <v>REGULATORY DEBITS - ELECTRIC</v>
          </cell>
          <cell r="E770" t="str">
            <v/>
          </cell>
          <cell r="F770" t="str">
            <v/>
          </cell>
          <cell r="G770" t="str">
            <v/>
          </cell>
          <cell r="H770" t="str">
            <v/>
          </cell>
          <cell r="I770" t="str">
            <v/>
          </cell>
          <cell r="J770" t="str">
            <v/>
          </cell>
          <cell r="K770" t="str">
            <v/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</row>
        <row r="771">
          <cell r="B771">
            <v>407303</v>
          </cell>
          <cell r="C771" t="str">
            <v>NOT USED</v>
          </cell>
          <cell r="D771" t="str">
            <v>REGULATORY DEBITS - ELECTRIC - O&amp;M</v>
          </cell>
          <cell r="E771" t="str">
            <v/>
          </cell>
          <cell r="F771" t="str">
            <v/>
          </cell>
          <cell r="G771" t="str">
            <v/>
          </cell>
          <cell r="H771" t="str">
            <v/>
          </cell>
          <cell r="I771" t="str">
            <v/>
          </cell>
          <cell r="J771" t="str">
            <v/>
          </cell>
          <cell r="K771" t="str">
            <v/>
          </cell>
          <cell r="L771">
            <v>1025.02476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42.709364999999998</v>
          </cell>
        </row>
        <row r="772">
          <cell r="B772">
            <v>407310</v>
          </cell>
          <cell r="C772" t="str">
            <v>NOT USED</v>
          </cell>
          <cell r="D772" t="str">
            <v>REGULATORY DEBITS - GAS</v>
          </cell>
          <cell r="E772" t="str">
            <v/>
          </cell>
          <cell r="F772" t="str">
            <v/>
          </cell>
          <cell r="G772" t="str">
            <v/>
          </cell>
          <cell r="H772" t="str">
            <v/>
          </cell>
          <cell r="I772" t="str">
            <v/>
          </cell>
          <cell r="J772" t="str">
            <v/>
          </cell>
          <cell r="K772" t="str">
            <v/>
          </cell>
          <cell r="L772">
            <v>519.62211000000002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21.650921</v>
          </cell>
        </row>
        <row r="773">
          <cell r="B773">
            <v>407402</v>
          </cell>
          <cell r="C773" t="str">
            <v>NOT USED</v>
          </cell>
          <cell r="D773" t="str">
            <v>REGULATORY CREDITS - ELECTRIC-PURCHASED POWER</v>
          </cell>
          <cell r="E773" t="str">
            <v/>
          </cell>
          <cell r="F773" t="str">
            <v/>
          </cell>
          <cell r="G773" t="str">
            <v/>
          </cell>
          <cell r="H773" t="str">
            <v/>
          </cell>
          <cell r="I773" t="str">
            <v/>
          </cell>
          <cell r="J773" t="str">
            <v/>
          </cell>
          <cell r="K773" t="str">
            <v/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</row>
        <row r="774">
          <cell r="B774">
            <v>407403</v>
          </cell>
          <cell r="C774" t="str">
            <v>NOT USED</v>
          </cell>
          <cell r="D774" t="str">
            <v>REGULATORY CREDITS - ELECTRIC - O&amp;M</v>
          </cell>
          <cell r="E774" t="str">
            <v/>
          </cell>
          <cell r="F774" t="str">
            <v/>
          </cell>
          <cell r="G774" t="str">
            <v/>
          </cell>
          <cell r="H774" t="str">
            <v/>
          </cell>
          <cell r="I774" t="str">
            <v/>
          </cell>
          <cell r="J774" t="str">
            <v/>
          </cell>
          <cell r="K774" t="str">
            <v/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</row>
        <row r="775">
          <cell r="B775">
            <v>411710</v>
          </cell>
          <cell r="C775" t="str">
            <v>NOT USED</v>
          </cell>
          <cell r="D775" t="str">
            <v>LOSSES FR DISP OF UTILITY PHFFU-ELEC</v>
          </cell>
          <cell r="E775" t="str">
            <v/>
          </cell>
          <cell r="F775" t="str">
            <v/>
          </cell>
          <cell r="G775" t="str">
            <v/>
          </cell>
          <cell r="H775" t="str">
            <v/>
          </cell>
          <cell r="I775" t="str">
            <v/>
          </cell>
          <cell r="J775" t="str">
            <v/>
          </cell>
          <cell r="K775" t="str">
            <v/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</row>
        <row r="776">
          <cell r="B776">
            <v>415000</v>
          </cell>
          <cell r="C776" t="str">
            <v>NOT USED</v>
          </cell>
          <cell r="D776" t="str">
            <v>REVENUE FROM MERCHANDISING</v>
          </cell>
          <cell r="E776" t="str">
            <v/>
          </cell>
          <cell r="F776" t="str">
            <v/>
          </cell>
          <cell r="G776" t="str">
            <v/>
          </cell>
          <cell r="H776" t="str">
            <v/>
          </cell>
          <cell r="I776" t="str">
            <v/>
          </cell>
          <cell r="J776" t="str">
            <v/>
          </cell>
          <cell r="K776" t="str">
            <v/>
          </cell>
          <cell r="L776">
            <v>-12.8714</v>
          </cell>
          <cell r="M776">
            <v>-1.06335</v>
          </cell>
          <cell r="N776">
            <v>-2.1267</v>
          </cell>
          <cell r="O776">
            <v>-2.1892499999999999</v>
          </cell>
          <cell r="P776">
            <v>-2.24485</v>
          </cell>
          <cell r="Q776">
            <v>-2.3143500000000001</v>
          </cell>
          <cell r="R776">
            <v>-2.3769</v>
          </cell>
          <cell r="S776">
            <v>-2.4325000000000001</v>
          </cell>
          <cell r="T776">
            <v>-2.5019999999999998</v>
          </cell>
          <cell r="U776">
            <v>-2.5645500000000001</v>
          </cell>
          <cell r="V776">
            <v>-2.6271</v>
          </cell>
          <cell r="W776">
            <v>-2.6896499999999999</v>
          </cell>
          <cell r="X776">
            <v>-1.6679999999999999</v>
          </cell>
          <cell r="Y776">
            <v>-2.700075</v>
          </cell>
        </row>
        <row r="777">
          <cell r="B777">
            <v>417000</v>
          </cell>
          <cell r="C777" t="str">
            <v>NOT USED</v>
          </cell>
          <cell r="D777" t="str">
            <v>REVENUES OF NONUTILITY OPERATIONS</v>
          </cell>
          <cell r="E777" t="str">
            <v/>
          </cell>
          <cell r="F777" t="str">
            <v/>
          </cell>
          <cell r="G777" t="str">
            <v/>
          </cell>
          <cell r="H777" t="str">
            <v/>
          </cell>
          <cell r="I777" t="str">
            <v/>
          </cell>
          <cell r="J777" t="str">
            <v/>
          </cell>
          <cell r="K777" t="str">
            <v/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</row>
        <row r="778">
          <cell r="B778">
            <v>417099</v>
          </cell>
          <cell r="C778" t="str">
            <v>NOT USED</v>
          </cell>
          <cell r="D778" t="str">
            <v>NON UTILITY REVENUES - INTERCOMPANY</v>
          </cell>
          <cell r="E778" t="str">
            <v/>
          </cell>
          <cell r="F778" t="str">
            <v/>
          </cell>
          <cell r="G778" t="str">
            <v/>
          </cell>
          <cell r="H778" t="str">
            <v/>
          </cell>
          <cell r="I778" t="str">
            <v/>
          </cell>
          <cell r="J778" t="str">
            <v/>
          </cell>
          <cell r="K778" t="str">
            <v/>
          </cell>
          <cell r="L778">
            <v>-1029.2888399999999</v>
          </cell>
          <cell r="M778">
            <v>-85.774069999999995</v>
          </cell>
          <cell r="N778">
            <v>-171.54813999999999</v>
          </cell>
          <cell r="O778">
            <v>-257.32220999999998</v>
          </cell>
          <cell r="P778">
            <v>-343.09627999999998</v>
          </cell>
          <cell r="Q778">
            <v>-428.87034999999997</v>
          </cell>
          <cell r="R778">
            <v>-514.64441999999997</v>
          </cell>
          <cell r="S778">
            <v>-600.41849000000002</v>
          </cell>
          <cell r="T778">
            <v>-686.19255999999996</v>
          </cell>
          <cell r="U778">
            <v>-771.96663000000001</v>
          </cell>
          <cell r="V778">
            <v>-857.74069999999995</v>
          </cell>
          <cell r="W778">
            <v>-943.51477</v>
          </cell>
          <cell r="X778">
            <v>-1029.2888399999999</v>
          </cell>
          <cell r="Y778">
            <v>-557.53145500000005</v>
          </cell>
        </row>
        <row r="779">
          <cell r="B779">
            <v>418000</v>
          </cell>
          <cell r="C779" t="str">
            <v>NOT USED</v>
          </cell>
          <cell r="D779" t="str">
            <v>NONOP RENTAL INC</v>
          </cell>
          <cell r="E779" t="str">
            <v/>
          </cell>
          <cell r="F779" t="str">
            <v/>
          </cell>
          <cell r="G779" t="str">
            <v/>
          </cell>
          <cell r="H779" t="str">
            <v/>
          </cell>
          <cell r="I779" t="str">
            <v/>
          </cell>
          <cell r="J779" t="str">
            <v/>
          </cell>
          <cell r="K779" t="str">
            <v/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</row>
        <row r="780">
          <cell r="B780">
            <v>418010</v>
          </cell>
          <cell r="C780" t="str">
            <v>NOT USED</v>
          </cell>
          <cell r="D780" t="str">
            <v>NONOP RENTAL INC-PROP DEPR EXP</v>
          </cell>
          <cell r="E780" t="str">
            <v/>
          </cell>
          <cell r="F780" t="str">
            <v/>
          </cell>
          <cell r="G780" t="str">
            <v/>
          </cell>
          <cell r="H780" t="str">
            <v/>
          </cell>
          <cell r="I780" t="str">
            <v/>
          </cell>
          <cell r="J780" t="str">
            <v/>
          </cell>
          <cell r="K780" t="str">
            <v/>
          </cell>
          <cell r="L780">
            <v>30.25752</v>
          </cell>
          <cell r="M780">
            <v>2.5214599999999998</v>
          </cell>
          <cell r="N780">
            <v>5.0429199999999996</v>
          </cell>
          <cell r="O780">
            <v>7.5643799999999999</v>
          </cell>
          <cell r="P780">
            <v>10.085839999999999</v>
          </cell>
          <cell r="Q780">
            <v>12.6073</v>
          </cell>
          <cell r="R780">
            <v>15.12876</v>
          </cell>
          <cell r="S780">
            <v>17.650220000000001</v>
          </cell>
          <cell r="T780">
            <v>20.171679999999999</v>
          </cell>
          <cell r="U780">
            <v>22.69314</v>
          </cell>
          <cell r="V780">
            <v>25.214600000000001</v>
          </cell>
          <cell r="W780">
            <v>27.736059999999998</v>
          </cell>
          <cell r="X780">
            <v>30.25752</v>
          </cell>
          <cell r="Y780">
            <v>16.389489999999999</v>
          </cell>
        </row>
        <row r="781">
          <cell r="B781">
            <v>419010</v>
          </cell>
          <cell r="C781" t="str">
            <v>NOT USED</v>
          </cell>
          <cell r="D781" t="str">
            <v>MISCELLANEOUS DIVIDEND INCOME</v>
          </cell>
          <cell r="E781" t="str">
            <v/>
          </cell>
          <cell r="F781" t="str">
            <v/>
          </cell>
          <cell r="G781" t="str">
            <v/>
          </cell>
          <cell r="H781" t="str">
            <v/>
          </cell>
          <cell r="I781" t="str">
            <v/>
          </cell>
          <cell r="J781" t="str">
            <v/>
          </cell>
          <cell r="K781" t="str">
            <v/>
          </cell>
          <cell r="L781">
            <v>-6.8320000000000006E-2</v>
          </cell>
          <cell r="M781">
            <v>-0.60916999999999999</v>
          </cell>
          <cell r="N781">
            <v>-0.61036999999999997</v>
          </cell>
          <cell r="O781">
            <v>-0.61036999999999997</v>
          </cell>
          <cell r="P781">
            <v>-0.61180999999999996</v>
          </cell>
          <cell r="Q781">
            <v>-0.61180999999999996</v>
          </cell>
          <cell r="R781">
            <v>-0.61180999999999996</v>
          </cell>
          <cell r="S781">
            <v>-0.61324999999999996</v>
          </cell>
          <cell r="T781">
            <v>-0.61324999999999996</v>
          </cell>
          <cell r="U781">
            <v>-0.61738999999999999</v>
          </cell>
          <cell r="V781">
            <v>-0.61738999999999999</v>
          </cell>
          <cell r="W781">
            <v>-0.61738999999999999</v>
          </cell>
          <cell r="X781">
            <v>-0.78512999999999999</v>
          </cell>
          <cell r="Y781">
            <v>-0.59756100000000001</v>
          </cell>
        </row>
        <row r="782">
          <cell r="B782">
            <v>419020</v>
          </cell>
          <cell r="C782" t="str">
            <v>NOT USED</v>
          </cell>
          <cell r="D782" t="str">
            <v>MISCELLANEOUS INTEREST INC -  SECURITIES OWNED</v>
          </cell>
          <cell r="E782" t="str">
            <v/>
          </cell>
          <cell r="F782" t="str">
            <v/>
          </cell>
          <cell r="G782" t="str">
            <v/>
          </cell>
          <cell r="H782" t="str">
            <v/>
          </cell>
          <cell r="I782" t="str">
            <v/>
          </cell>
          <cell r="J782" t="str">
            <v/>
          </cell>
          <cell r="K782" t="str">
            <v/>
          </cell>
          <cell r="L782">
            <v>-142.42536999999999</v>
          </cell>
          <cell r="M782">
            <v>-25.181629999999998</v>
          </cell>
          <cell r="N782">
            <v>-30.45552</v>
          </cell>
          <cell r="O782">
            <v>-31.732710000000001</v>
          </cell>
          <cell r="P782">
            <v>-33.722909999999999</v>
          </cell>
          <cell r="Q782">
            <v>-33.722909999999999</v>
          </cell>
          <cell r="R782">
            <v>-33.722909999999999</v>
          </cell>
          <cell r="S782">
            <v>-35.269979999999997</v>
          </cell>
          <cell r="T782">
            <v>-42.922829999999998</v>
          </cell>
          <cell r="U782">
            <v>-52.204500000000003</v>
          </cell>
          <cell r="V782">
            <v>-54.334789999999998</v>
          </cell>
          <cell r="W782">
            <v>-63.22927</v>
          </cell>
          <cell r="X782">
            <v>-84.242670000000004</v>
          </cell>
          <cell r="Y782">
            <v>-45.819498000000003</v>
          </cell>
        </row>
        <row r="783">
          <cell r="B783">
            <v>419040</v>
          </cell>
          <cell r="C783" t="str">
            <v>NOT USED</v>
          </cell>
          <cell r="D783" t="str">
            <v>MISCELLANEOUS INTEREST REVENUES</v>
          </cell>
          <cell r="E783" t="str">
            <v/>
          </cell>
          <cell r="F783" t="str">
            <v/>
          </cell>
          <cell r="G783" t="str">
            <v/>
          </cell>
          <cell r="H783" t="str">
            <v/>
          </cell>
          <cell r="I783" t="str">
            <v/>
          </cell>
          <cell r="J783" t="str">
            <v/>
          </cell>
          <cell r="K783" t="str">
            <v/>
          </cell>
          <cell r="L783">
            <v>-134.31720000000001</v>
          </cell>
          <cell r="M783">
            <v>-15.58358</v>
          </cell>
          <cell r="N783">
            <v>-24.072320000000001</v>
          </cell>
          <cell r="O783">
            <v>-27.026489999999999</v>
          </cell>
          <cell r="P783">
            <v>-28.633189999999999</v>
          </cell>
          <cell r="Q783">
            <v>-34.542720000000003</v>
          </cell>
          <cell r="R783">
            <v>-43.084359999999997</v>
          </cell>
          <cell r="S783">
            <v>-47.394539999999999</v>
          </cell>
          <cell r="T783">
            <v>-51.788159999999998</v>
          </cell>
          <cell r="U783">
            <v>-53.87388</v>
          </cell>
          <cell r="V783">
            <v>-63.413139999999999</v>
          </cell>
          <cell r="W783">
            <v>-76.49503</v>
          </cell>
          <cell r="X783">
            <v>-83.458370000000002</v>
          </cell>
          <cell r="Y783">
            <v>-47.8996</v>
          </cell>
        </row>
        <row r="784">
          <cell r="B784">
            <v>419051</v>
          </cell>
          <cell r="C784" t="str">
            <v>NOT USED</v>
          </cell>
          <cell r="D784" t="str">
            <v>INT&amp;DIV INC-TAX EXEMPT</v>
          </cell>
          <cell r="E784" t="str">
            <v/>
          </cell>
          <cell r="F784" t="str">
            <v/>
          </cell>
          <cell r="G784" t="str">
            <v/>
          </cell>
          <cell r="H784" t="str">
            <v/>
          </cell>
          <cell r="I784" t="str">
            <v/>
          </cell>
          <cell r="J784" t="str">
            <v/>
          </cell>
          <cell r="K784" t="str">
            <v/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</row>
        <row r="785">
          <cell r="B785">
            <v>419055</v>
          </cell>
          <cell r="C785" t="str">
            <v>NOT USED</v>
          </cell>
          <cell r="D785" t="str">
            <v>INT&amp;DIV INC-NON QUALIFIED &amp; DIRECTORS TRUST</v>
          </cell>
          <cell r="E785" t="str">
            <v/>
          </cell>
          <cell r="F785" t="str">
            <v/>
          </cell>
          <cell r="G785" t="str">
            <v/>
          </cell>
          <cell r="H785" t="str">
            <v/>
          </cell>
          <cell r="I785" t="str">
            <v/>
          </cell>
          <cell r="J785" t="str">
            <v/>
          </cell>
          <cell r="K785" t="str">
            <v/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</row>
        <row r="786">
          <cell r="B786">
            <v>419060</v>
          </cell>
          <cell r="C786" t="str">
            <v>NOT USED</v>
          </cell>
          <cell r="D786" t="str">
            <v>STORM DEFERRAL INTEREST INCOME</v>
          </cell>
          <cell r="E786" t="str">
            <v/>
          </cell>
          <cell r="F786" t="str">
            <v/>
          </cell>
          <cell r="G786" t="str">
            <v/>
          </cell>
          <cell r="H786" t="str">
            <v/>
          </cell>
          <cell r="I786" t="str">
            <v/>
          </cell>
          <cell r="J786" t="str">
            <v/>
          </cell>
          <cell r="K786" t="str">
            <v/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</row>
        <row r="787">
          <cell r="B787">
            <v>419099</v>
          </cell>
          <cell r="C787" t="str">
            <v>NOT USED</v>
          </cell>
          <cell r="D787" t="str">
            <v>INTERCO INTEREST INCOME-CAPITAL TRUST</v>
          </cell>
          <cell r="E787" t="str">
            <v/>
          </cell>
          <cell r="F787" t="str">
            <v/>
          </cell>
          <cell r="G787" t="str">
            <v/>
          </cell>
          <cell r="H787" t="str">
            <v/>
          </cell>
          <cell r="I787" t="str">
            <v/>
          </cell>
          <cell r="J787" t="str">
            <v/>
          </cell>
          <cell r="K787" t="str">
            <v/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</row>
        <row r="788">
          <cell r="B788">
            <v>419101</v>
          </cell>
          <cell r="C788" t="str">
            <v>NOT USED</v>
          </cell>
          <cell r="D788" t="str">
            <v>ALLOWANCE FOR FUNDS DURING CONST - EQUITY-ELECTRI</v>
          </cell>
          <cell r="E788" t="str">
            <v/>
          </cell>
          <cell r="F788" t="str">
            <v/>
          </cell>
          <cell r="G788" t="str">
            <v/>
          </cell>
          <cell r="H788" t="str">
            <v/>
          </cell>
          <cell r="I788" t="str">
            <v/>
          </cell>
          <cell r="J788" t="str">
            <v/>
          </cell>
          <cell r="K788" t="str">
            <v/>
          </cell>
          <cell r="L788">
            <v>-1711.0784000000001</v>
          </cell>
          <cell r="M788">
            <v>-217.68011999999999</v>
          </cell>
          <cell r="N788">
            <v>-438.03654999999998</v>
          </cell>
          <cell r="O788">
            <v>-669.70272999999997</v>
          </cell>
          <cell r="P788">
            <v>-903.95614999999998</v>
          </cell>
          <cell r="Q788">
            <v>-1103.8924</v>
          </cell>
          <cell r="R788">
            <v>-1436.66084</v>
          </cell>
          <cell r="S788">
            <v>-1760.8909000000001</v>
          </cell>
          <cell r="T788">
            <v>-2082.5050000000001</v>
          </cell>
          <cell r="U788">
            <v>-3758.0331099999999</v>
          </cell>
          <cell r="V788">
            <v>-4301.80116</v>
          </cell>
          <cell r="W788">
            <v>-4885.0225200000004</v>
          </cell>
          <cell r="X788">
            <v>-5541.1627500000004</v>
          </cell>
          <cell r="Y788">
            <v>-2098.6918380000002</v>
          </cell>
        </row>
        <row r="789">
          <cell r="B789">
            <v>419103</v>
          </cell>
          <cell r="C789" t="str">
            <v>NOT USED</v>
          </cell>
          <cell r="D789" t="str">
            <v>ALLOWANCE FOR FUNDS DURING CONST - EQUITY-GAS</v>
          </cell>
          <cell r="E789" t="str">
            <v/>
          </cell>
          <cell r="F789" t="str">
            <v/>
          </cell>
          <cell r="G789" t="str">
            <v/>
          </cell>
          <cell r="H789" t="str">
            <v/>
          </cell>
          <cell r="I789" t="str">
            <v/>
          </cell>
          <cell r="J789" t="str">
            <v/>
          </cell>
          <cell r="K789" t="str">
            <v/>
          </cell>
          <cell r="L789">
            <v>-53.864849999999997</v>
          </cell>
          <cell r="M789">
            <v>-1.97462</v>
          </cell>
          <cell r="N789">
            <v>-3.4299599999999999</v>
          </cell>
          <cell r="O789">
            <v>-4.8615399999999998</v>
          </cell>
          <cell r="P789">
            <v>-6.2831700000000001</v>
          </cell>
          <cell r="Q789">
            <v>-7.37331</v>
          </cell>
          <cell r="R789">
            <v>-20.217479999999998</v>
          </cell>
          <cell r="S789">
            <v>-38.746070000000003</v>
          </cell>
          <cell r="T789">
            <v>-59.933509999999998</v>
          </cell>
          <cell r="U789">
            <v>-241.58568</v>
          </cell>
          <cell r="V789">
            <v>-281.90857</v>
          </cell>
          <cell r="W789">
            <v>-323.43151999999998</v>
          </cell>
          <cell r="X789">
            <v>-370.76988</v>
          </cell>
          <cell r="Y789">
            <v>-100.17189999999999</v>
          </cell>
        </row>
        <row r="790">
          <cell r="B790">
            <v>421000</v>
          </cell>
          <cell r="C790" t="str">
            <v>NOT USED</v>
          </cell>
          <cell r="D790" t="str">
            <v>MISCELLANEOUS NON-OPERATING INCOME-COMMON</v>
          </cell>
          <cell r="E790" t="str">
            <v/>
          </cell>
          <cell r="F790" t="str">
            <v/>
          </cell>
          <cell r="G790" t="str">
            <v/>
          </cell>
          <cell r="H790" t="str">
            <v/>
          </cell>
          <cell r="I790" t="str">
            <v/>
          </cell>
          <cell r="J790" t="str">
            <v/>
          </cell>
          <cell r="K790" t="str">
            <v/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</row>
        <row r="791">
          <cell r="B791">
            <v>421001</v>
          </cell>
          <cell r="C791" t="str">
            <v>NOT USED</v>
          </cell>
          <cell r="D791" t="str">
            <v>MISCELLANEOUS NON-OPERATING INCOME-ELECTRIC</v>
          </cell>
          <cell r="E791" t="str">
            <v/>
          </cell>
          <cell r="F791" t="str">
            <v/>
          </cell>
          <cell r="G791" t="str">
            <v/>
          </cell>
          <cell r="H791" t="str">
            <v/>
          </cell>
          <cell r="I791" t="str">
            <v/>
          </cell>
          <cell r="J791" t="str">
            <v/>
          </cell>
          <cell r="K791" t="str">
            <v/>
          </cell>
          <cell r="L791">
            <v>141.61138</v>
          </cell>
          <cell r="M791">
            <v>23.125</v>
          </cell>
          <cell r="N791">
            <v>46.25</v>
          </cell>
          <cell r="O791">
            <v>16.824639999999999</v>
          </cell>
          <cell r="P791">
            <v>16.824639999999999</v>
          </cell>
          <cell r="Q791">
            <v>16.824639999999999</v>
          </cell>
          <cell r="R791">
            <v>20.14339</v>
          </cell>
          <cell r="S791">
            <v>20.14339</v>
          </cell>
          <cell r="T791">
            <v>20.14339</v>
          </cell>
          <cell r="U791">
            <v>-24.74776</v>
          </cell>
          <cell r="V791">
            <v>-24.74776</v>
          </cell>
          <cell r="W791">
            <v>-24.74776</v>
          </cell>
          <cell r="X791">
            <v>1.4155800000000001</v>
          </cell>
          <cell r="Y791">
            <v>14.795774</v>
          </cell>
        </row>
        <row r="792">
          <cell r="B792">
            <v>421002</v>
          </cell>
          <cell r="C792" t="str">
            <v>NOT USED</v>
          </cell>
          <cell r="D792" t="str">
            <v>MISCELLANEOUS NON-OPERATING INCOME-GAS</v>
          </cell>
          <cell r="E792" t="str">
            <v/>
          </cell>
          <cell r="F792" t="str">
            <v/>
          </cell>
          <cell r="G792" t="str">
            <v/>
          </cell>
          <cell r="H792" t="str">
            <v/>
          </cell>
          <cell r="I792" t="str">
            <v/>
          </cell>
          <cell r="J792" t="str">
            <v/>
          </cell>
          <cell r="K792" t="str">
            <v/>
          </cell>
          <cell r="L792">
            <v>-236.94845000000001</v>
          </cell>
          <cell r="M792">
            <v>-65.45</v>
          </cell>
          <cell r="N792">
            <v>-130.9</v>
          </cell>
          <cell r="O792">
            <v>8.5136699999999994</v>
          </cell>
          <cell r="P792">
            <v>8.5136699999999994</v>
          </cell>
          <cell r="Q792">
            <v>8.5136699999999994</v>
          </cell>
          <cell r="R792">
            <v>10.19304</v>
          </cell>
          <cell r="S792">
            <v>10.19304</v>
          </cell>
          <cell r="T792">
            <v>10.19304</v>
          </cell>
          <cell r="U792">
            <v>-12.522959999999999</v>
          </cell>
          <cell r="V792">
            <v>-12.522959999999999</v>
          </cell>
          <cell r="W792">
            <v>-12.522959999999999</v>
          </cell>
          <cell r="X792">
            <v>0.71631999999999996</v>
          </cell>
          <cell r="Y792">
            <v>-24.659568</v>
          </cell>
        </row>
        <row r="793">
          <cell r="B793">
            <v>421003</v>
          </cell>
          <cell r="C793" t="str">
            <v>NOT USED</v>
          </cell>
          <cell r="D793" t="str">
            <v>SERP ADJ-OID FOR FERC VS O&amp;M IN GAAP-ELECTRIC</v>
          </cell>
          <cell r="E793" t="str">
            <v/>
          </cell>
          <cell r="F793" t="str">
            <v/>
          </cell>
          <cell r="G793" t="str">
            <v/>
          </cell>
          <cell r="H793" t="str">
            <v/>
          </cell>
          <cell r="I793" t="str">
            <v/>
          </cell>
          <cell r="J793" t="str">
            <v/>
          </cell>
          <cell r="K793" t="str">
            <v/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</row>
        <row r="794">
          <cell r="B794">
            <v>421004</v>
          </cell>
          <cell r="C794" t="str">
            <v>NOT USED</v>
          </cell>
          <cell r="D794" t="str">
            <v>SERP ADJ-OID FOR FERC VS O&amp;M IN GAAP-GAS</v>
          </cell>
          <cell r="E794" t="str">
            <v/>
          </cell>
          <cell r="F794" t="str">
            <v/>
          </cell>
          <cell r="G794" t="str">
            <v/>
          </cell>
          <cell r="H794" t="str">
            <v/>
          </cell>
          <cell r="I794" t="str">
            <v/>
          </cell>
          <cell r="J794" t="str">
            <v/>
          </cell>
          <cell r="K794" t="str">
            <v/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</row>
        <row r="795">
          <cell r="B795">
            <v>421080</v>
          </cell>
          <cell r="C795" t="str">
            <v>NOT USED</v>
          </cell>
          <cell r="D795" t="str">
            <v>MISC NONOP INC-CARRYING COST-ELECTRIC</v>
          </cell>
          <cell r="E795" t="str">
            <v/>
          </cell>
          <cell r="F795" t="str">
            <v/>
          </cell>
          <cell r="G795" t="str">
            <v/>
          </cell>
          <cell r="H795" t="str">
            <v/>
          </cell>
          <cell r="I795" t="str">
            <v/>
          </cell>
          <cell r="J795" t="str">
            <v/>
          </cell>
          <cell r="K795" t="str">
            <v/>
          </cell>
          <cell r="L795">
            <v>-4342.1564500000004</v>
          </cell>
          <cell r="M795">
            <v>-152.77036000000001</v>
          </cell>
          <cell r="N795">
            <v>-296.80399</v>
          </cell>
          <cell r="O795">
            <v>-436.29351000000003</v>
          </cell>
          <cell r="P795">
            <v>-595.07177999999999</v>
          </cell>
          <cell r="Q795">
            <v>-747.99734999999998</v>
          </cell>
          <cell r="R795">
            <v>-890.58108000000004</v>
          </cell>
          <cell r="S795">
            <v>-1018.77302</v>
          </cell>
          <cell r="T795">
            <v>-1081.778</v>
          </cell>
          <cell r="U795">
            <v>-1209.65428</v>
          </cell>
          <cell r="V795">
            <v>-1370.5702200000001</v>
          </cell>
          <cell r="W795">
            <v>-1500.88572</v>
          </cell>
          <cell r="X795">
            <v>-1632.09672</v>
          </cell>
          <cell r="Y795">
            <v>-1024.0254910000001</v>
          </cell>
        </row>
        <row r="796">
          <cell r="B796">
            <v>421081</v>
          </cell>
          <cell r="C796" t="str">
            <v>NOT USED</v>
          </cell>
          <cell r="D796" t="str">
            <v>MISC NONOP INC-CARRYING COST-GAS</v>
          </cell>
          <cell r="E796" t="str">
            <v/>
          </cell>
          <cell r="F796" t="str">
            <v/>
          </cell>
          <cell r="G796" t="str">
            <v/>
          </cell>
          <cell r="H796" t="str">
            <v/>
          </cell>
          <cell r="I796" t="str">
            <v/>
          </cell>
          <cell r="J796" t="str">
            <v/>
          </cell>
          <cell r="K796" t="str">
            <v/>
          </cell>
          <cell r="L796">
            <v>-2385.6770999999999</v>
          </cell>
          <cell r="M796">
            <v>-114.13648999999999</v>
          </cell>
          <cell r="N796">
            <v>-217.21513999999999</v>
          </cell>
          <cell r="O796">
            <v>-325.18059</v>
          </cell>
          <cell r="P796">
            <v>-439.21588000000003</v>
          </cell>
          <cell r="Q796">
            <v>-549.40314000000001</v>
          </cell>
          <cell r="R796">
            <v>-655.27931999999998</v>
          </cell>
          <cell r="S796">
            <v>-757.79129</v>
          </cell>
          <cell r="T796">
            <v>-860.00166000000002</v>
          </cell>
          <cell r="U796">
            <v>-969.72073999999998</v>
          </cell>
          <cell r="V796">
            <v>-1106.83482</v>
          </cell>
          <cell r="W796">
            <v>-1217.8173999999999</v>
          </cell>
          <cell r="X796">
            <v>-1421.1286299999999</v>
          </cell>
          <cell r="Y796">
            <v>-759.66661099999999</v>
          </cell>
        </row>
        <row r="797">
          <cell r="B797">
            <v>421121</v>
          </cell>
          <cell r="C797" t="str">
            <v>NOT USED</v>
          </cell>
          <cell r="D797" t="str">
            <v>GAIN ON DISPOSITION OF PROPERTY - ELECTRIC</v>
          </cell>
          <cell r="E797" t="str">
            <v/>
          </cell>
          <cell r="F797" t="str">
            <v/>
          </cell>
          <cell r="G797" t="str">
            <v/>
          </cell>
          <cell r="H797" t="str">
            <v/>
          </cell>
          <cell r="I797" t="str">
            <v/>
          </cell>
          <cell r="J797" t="str">
            <v/>
          </cell>
          <cell r="K797" t="str">
            <v/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</row>
        <row r="798">
          <cell r="B798">
            <v>421125</v>
          </cell>
          <cell r="C798" t="str">
            <v>NOT USED</v>
          </cell>
          <cell r="D798" t="str">
            <v>GAIN ON SALE OF GENERATION ASSETS</v>
          </cell>
          <cell r="E798" t="str">
            <v/>
          </cell>
          <cell r="F798" t="str">
            <v/>
          </cell>
          <cell r="G798" t="str">
            <v/>
          </cell>
          <cell r="H798" t="str">
            <v/>
          </cell>
          <cell r="I798" t="str">
            <v/>
          </cell>
          <cell r="J798" t="str">
            <v/>
          </cell>
          <cell r="K798" t="str">
            <v/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</row>
        <row r="799">
          <cell r="B799">
            <v>421126</v>
          </cell>
          <cell r="C799" t="str">
            <v>NOT USED</v>
          </cell>
          <cell r="D799" t="str">
            <v>DEFERRAL OF ASSET SALE GAIN</v>
          </cell>
          <cell r="E799" t="str">
            <v/>
          </cell>
          <cell r="F799" t="str">
            <v/>
          </cell>
          <cell r="G799" t="str">
            <v/>
          </cell>
          <cell r="H799" t="str">
            <v/>
          </cell>
          <cell r="I799" t="str">
            <v/>
          </cell>
          <cell r="J799" t="str">
            <v/>
          </cell>
          <cell r="K799" t="str">
            <v/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</row>
        <row r="800">
          <cell r="B800">
            <v>421221</v>
          </cell>
          <cell r="C800" t="str">
            <v>NOT USED</v>
          </cell>
          <cell r="D800" t="str">
            <v>LOSS ON DISPOSITION OF PROPERTY - ELECTRIC</v>
          </cell>
          <cell r="E800" t="str">
            <v/>
          </cell>
          <cell r="F800" t="str">
            <v/>
          </cell>
          <cell r="G800" t="str">
            <v/>
          </cell>
          <cell r="H800" t="str">
            <v/>
          </cell>
          <cell r="I800" t="str">
            <v/>
          </cell>
          <cell r="J800" t="str">
            <v/>
          </cell>
          <cell r="K800" t="str">
            <v/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</row>
        <row r="801">
          <cell r="B801">
            <v>421240</v>
          </cell>
          <cell r="C801" t="str">
            <v>NOT USED</v>
          </cell>
          <cell r="D801" t="str">
            <v>LOSS ON HEDGED ACTIVITY</v>
          </cell>
          <cell r="E801" t="str">
            <v/>
          </cell>
          <cell r="F801" t="str">
            <v/>
          </cell>
          <cell r="G801" t="str">
            <v/>
          </cell>
          <cell r="H801" t="str">
            <v/>
          </cell>
          <cell r="I801" t="str">
            <v/>
          </cell>
          <cell r="J801" t="str">
            <v/>
          </cell>
          <cell r="K801" t="str">
            <v/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</row>
        <row r="802">
          <cell r="B802">
            <v>421500</v>
          </cell>
          <cell r="C802" t="str">
            <v>NOT USED</v>
          </cell>
          <cell r="D802" t="str">
            <v>GAIN ON INSTRUMENTS-ELECTRIC</v>
          </cell>
          <cell r="E802" t="str">
            <v/>
          </cell>
          <cell r="F802" t="str">
            <v/>
          </cell>
          <cell r="G802" t="str">
            <v/>
          </cell>
          <cell r="H802" t="str">
            <v/>
          </cell>
          <cell r="I802" t="str">
            <v/>
          </cell>
          <cell r="J802" t="str">
            <v/>
          </cell>
          <cell r="K802" t="str">
            <v/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</row>
        <row r="803">
          <cell r="B803">
            <v>421502</v>
          </cell>
          <cell r="C803" t="str">
            <v>NOT USED</v>
          </cell>
          <cell r="D803" t="str">
            <v>GAIN ON INSTRUMENTS-GAS</v>
          </cell>
          <cell r="E803" t="str">
            <v/>
          </cell>
          <cell r="F803" t="str">
            <v/>
          </cell>
          <cell r="G803" t="str">
            <v/>
          </cell>
          <cell r="H803" t="str">
            <v/>
          </cell>
          <cell r="I803" t="str">
            <v/>
          </cell>
          <cell r="J803" t="str">
            <v/>
          </cell>
          <cell r="K803" t="str">
            <v/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</row>
        <row r="804">
          <cell r="B804">
            <v>422000</v>
          </cell>
          <cell r="C804" t="str">
            <v>NOT USED</v>
          </cell>
          <cell r="D804" t="str">
            <v>REVENUE ENHANCEMENT BILLING</v>
          </cell>
          <cell r="E804" t="str">
            <v/>
          </cell>
          <cell r="F804" t="str">
            <v/>
          </cell>
          <cell r="G804" t="str">
            <v/>
          </cell>
          <cell r="H804" t="str">
            <v/>
          </cell>
          <cell r="I804" t="str">
            <v/>
          </cell>
          <cell r="J804" t="str">
            <v/>
          </cell>
          <cell r="K804" t="str">
            <v/>
          </cell>
          <cell r="L804">
            <v>-722.07946000000004</v>
          </cell>
          <cell r="M804">
            <v>-28.380790000000001</v>
          </cell>
          <cell r="N804">
            <v>-90.237790000000004</v>
          </cell>
          <cell r="O804">
            <v>-241.89895000000001</v>
          </cell>
          <cell r="P804">
            <v>-291.42525999999998</v>
          </cell>
          <cell r="Q804">
            <v>-324.98709000000002</v>
          </cell>
          <cell r="R804">
            <v>-349.82071999999999</v>
          </cell>
          <cell r="S804">
            <v>-381.18239</v>
          </cell>
          <cell r="T804">
            <v>-405.64258999999998</v>
          </cell>
          <cell r="U804">
            <v>-452.12860999999998</v>
          </cell>
          <cell r="V804">
            <v>-491.61214999999999</v>
          </cell>
          <cell r="W804">
            <v>-514.16988000000003</v>
          </cell>
          <cell r="X804">
            <v>-728.41918999999996</v>
          </cell>
          <cell r="Y804">
            <v>-358.06129499999997</v>
          </cell>
        </row>
        <row r="805">
          <cell r="B805">
            <v>423000</v>
          </cell>
          <cell r="C805" t="str">
            <v>NOT USED</v>
          </cell>
          <cell r="D805" t="str">
            <v>GAS REVENUE ENHANCEMENT/DAMAGE BILLING REV</v>
          </cell>
          <cell r="E805" t="str">
            <v/>
          </cell>
          <cell r="F805" t="str">
            <v/>
          </cell>
          <cell r="G805" t="str">
            <v/>
          </cell>
          <cell r="H805" t="str">
            <v/>
          </cell>
          <cell r="I805" t="str">
            <v/>
          </cell>
          <cell r="J805" t="str">
            <v/>
          </cell>
          <cell r="K805" t="str">
            <v/>
          </cell>
          <cell r="L805">
            <v>-53.643120000000003</v>
          </cell>
          <cell r="M805">
            <v>-11.654260000000001</v>
          </cell>
          <cell r="N805">
            <v>-24.240670000000001</v>
          </cell>
          <cell r="O805">
            <v>-30.130990000000001</v>
          </cell>
          <cell r="P805">
            <v>-34.061799999999998</v>
          </cell>
          <cell r="Q805">
            <v>-39.488199999999999</v>
          </cell>
          <cell r="R805">
            <v>-59.746200000000002</v>
          </cell>
          <cell r="S805">
            <v>-71.341049999999996</v>
          </cell>
          <cell r="T805">
            <v>-90.479179999999999</v>
          </cell>
          <cell r="U805">
            <v>-112.41058</v>
          </cell>
          <cell r="V805">
            <v>-139.84761</v>
          </cell>
          <cell r="W805">
            <v>-149.29803000000001</v>
          </cell>
          <cell r="X805">
            <v>-173.57624999999999</v>
          </cell>
          <cell r="Y805">
            <v>-73.025688000000002</v>
          </cell>
        </row>
        <row r="806">
          <cell r="B806">
            <v>426500</v>
          </cell>
          <cell r="C806" t="str">
            <v>NOT USED</v>
          </cell>
          <cell r="D806" t="str">
            <v>LOSS ON INSTRUMENTS - ELECTRIC</v>
          </cell>
          <cell r="E806" t="str">
            <v/>
          </cell>
          <cell r="F806" t="str">
            <v/>
          </cell>
          <cell r="G806" t="str">
            <v/>
          </cell>
          <cell r="H806" t="str">
            <v/>
          </cell>
          <cell r="I806" t="str">
            <v/>
          </cell>
          <cell r="J806" t="str">
            <v/>
          </cell>
          <cell r="K806" t="str">
            <v/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</row>
        <row r="807">
          <cell r="B807">
            <v>431099</v>
          </cell>
          <cell r="C807" t="str">
            <v>NOT USED</v>
          </cell>
          <cell r="D807" t="str">
            <v>INTERCOMPANY INTEREST EXPENSE</v>
          </cell>
          <cell r="E807" t="str">
            <v/>
          </cell>
          <cell r="F807" t="str">
            <v/>
          </cell>
          <cell r="G807" t="str">
            <v/>
          </cell>
          <cell r="H807" t="str">
            <v/>
          </cell>
          <cell r="I807" t="str">
            <v/>
          </cell>
          <cell r="J807" t="str">
            <v/>
          </cell>
          <cell r="K807" t="str">
            <v/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1.1857500000000001</v>
          </cell>
          <cell r="Q807">
            <v>10.440630000000001</v>
          </cell>
          <cell r="R807">
            <v>11.551780000000001</v>
          </cell>
          <cell r="S807">
            <v>12.0145</v>
          </cell>
          <cell r="T807">
            <v>12.0145</v>
          </cell>
          <cell r="U807">
            <v>12.0145</v>
          </cell>
          <cell r="V807">
            <v>12.0145</v>
          </cell>
          <cell r="W807">
            <v>12.0145</v>
          </cell>
          <cell r="X807">
            <v>12.0145</v>
          </cell>
          <cell r="Y807">
            <v>7.4381589999999997</v>
          </cell>
        </row>
        <row r="808">
          <cell r="B808">
            <v>432001</v>
          </cell>
          <cell r="C808" t="str">
            <v>NOT USED</v>
          </cell>
          <cell r="D808" t="str">
            <v>ALLOWANCE FOR FUNDS DURING CONST - DEBT-ELECTRIC</v>
          </cell>
          <cell r="E808" t="str">
            <v/>
          </cell>
          <cell r="F808" t="str">
            <v/>
          </cell>
          <cell r="G808" t="str">
            <v/>
          </cell>
          <cell r="H808" t="str">
            <v/>
          </cell>
          <cell r="I808" t="str">
            <v/>
          </cell>
          <cell r="J808" t="str">
            <v/>
          </cell>
          <cell r="K808" t="str">
            <v/>
          </cell>
          <cell r="L808">
            <v>-1245.21084</v>
          </cell>
          <cell r="M808">
            <v>-175.40733</v>
          </cell>
          <cell r="N808">
            <v>-352.97127</v>
          </cell>
          <cell r="O808">
            <v>-539.64152000000001</v>
          </cell>
          <cell r="P808">
            <v>-728.08213000000001</v>
          </cell>
          <cell r="Q808">
            <v>-890.59676999999999</v>
          </cell>
          <cell r="R808">
            <v>-1161.0816500000001</v>
          </cell>
          <cell r="S808">
            <v>-1424.62807</v>
          </cell>
          <cell r="T808">
            <v>-1686.04775</v>
          </cell>
          <cell r="U808">
            <v>-2969.4818599999999</v>
          </cell>
          <cell r="V808">
            <v>-3386.0250999999998</v>
          </cell>
          <cell r="W808">
            <v>-3832.7914300000002</v>
          </cell>
          <cell r="X808">
            <v>-4401.3930399999999</v>
          </cell>
          <cell r="Y808">
            <v>-1664.1714019999999</v>
          </cell>
        </row>
        <row r="809">
          <cell r="B809">
            <v>432003</v>
          </cell>
          <cell r="C809" t="str">
            <v>NOT USED</v>
          </cell>
          <cell r="D809" t="str">
            <v>ALLOWANCE FOR FUNDS DURING CONST - DEBT-GAS</v>
          </cell>
          <cell r="E809" t="str">
            <v/>
          </cell>
          <cell r="F809" t="str">
            <v/>
          </cell>
          <cell r="G809" t="str">
            <v/>
          </cell>
          <cell r="H809" t="str">
            <v/>
          </cell>
          <cell r="I809" t="str">
            <v/>
          </cell>
          <cell r="J809" t="str">
            <v/>
          </cell>
          <cell r="K809" t="str">
            <v/>
          </cell>
          <cell r="L809">
            <v>-42.822240000000001</v>
          </cell>
          <cell r="M809">
            <v>-1.59114</v>
          </cell>
          <cell r="N809">
            <v>-2.7638500000000001</v>
          </cell>
          <cell r="O809">
            <v>-3.9174000000000002</v>
          </cell>
          <cell r="P809">
            <v>-5.0629400000000002</v>
          </cell>
          <cell r="Q809">
            <v>-5.94902</v>
          </cell>
          <cell r="R809">
            <v>-16.3887</v>
          </cell>
          <cell r="S809">
            <v>-31.449400000000001</v>
          </cell>
          <cell r="T809">
            <v>-48.671939999999999</v>
          </cell>
          <cell r="U809">
            <v>-185.19557</v>
          </cell>
          <cell r="V809">
            <v>-216.08410000000001</v>
          </cell>
          <cell r="W809">
            <v>-247.89214000000001</v>
          </cell>
          <cell r="X809">
            <v>-289.01420000000002</v>
          </cell>
          <cell r="Y809">
            <v>-77.573701999999997</v>
          </cell>
        </row>
        <row r="810">
          <cell r="B810">
            <v>439010</v>
          </cell>
          <cell r="C810" t="str">
            <v>NOT USED</v>
          </cell>
          <cell r="D810" t="str">
            <v>Preferred Dividends Adj.</v>
          </cell>
          <cell r="E810" t="str">
            <v/>
          </cell>
          <cell r="F810" t="str">
            <v/>
          </cell>
          <cell r="G810" t="str">
            <v/>
          </cell>
          <cell r="H810" t="str">
            <v/>
          </cell>
          <cell r="I810" t="str">
            <v/>
          </cell>
          <cell r="J810" t="str">
            <v/>
          </cell>
          <cell r="K810" t="str">
            <v/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</row>
        <row r="811">
          <cell r="B811">
            <v>440100</v>
          </cell>
          <cell r="C811" t="str">
            <v>NOT USED</v>
          </cell>
          <cell r="D811" t="str">
            <v>ELEC REVENUE - RESIDENTIAL-REGULAR</v>
          </cell>
          <cell r="E811" t="str">
            <v/>
          </cell>
          <cell r="F811" t="str">
            <v/>
          </cell>
          <cell r="G811" t="str">
            <v/>
          </cell>
          <cell r="H811" t="str">
            <v/>
          </cell>
          <cell r="I811" t="str">
            <v/>
          </cell>
          <cell r="J811" t="str">
            <v/>
          </cell>
          <cell r="K811" t="str">
            <v/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</row>
        <row r="812">
          <cell r="B812">
            <v>440120</v>
          </cell>
          <cell r="C812" t="str">
            <v>NOT USED</v>
          </cell>
          <cell r="D812" t="str">
            <v>ELEC REVENUE - FIXED - RESIDENTIAL-DELIVERY</v>
          </cell>
          <cell r="E812" t="str">
            <v/>
          </cell>
          <cell r="F812" t="str">
            <v/>
          </cell>
          <cell r="G812" t="str">
            <v/>
          </cell>
          <cell r="H812" t="str">
            <v/>
          </cell>
          <cell r="I812" t="str">
            <v/>
          </cell>
          <cell r="J812" t="str">
            <v/>
          </cell>
          <cell r="K812" t="str">
            <v/>
          </cell>
          <cell r="L812">
            <v>-113726.44379</v>
          </cell>
          <cell r="M812">
            <v>-11614.276</v>
          </cell>
          <cell r="N812">
            <v>-22693.172129999999</v>
          </cell>
          <cell r="O812">
            <v>-33210.041729999997</v>
          </cell>
          <cell r="P812">
            <v>-43416.950920000003</v>
          </cell>
          <cell r="Q812">
            <v>-53126.423170000002</v>
          </cell>
          <cell r="R812">
            <v>-63602.097049999997</v>
          </cell>
          <cell r="S812">
            <v>-74845.724090000003</v>
          </cell>
          <cell r="T812">
            <v>-86015.829830000002</v>
          </cell>
          <cell r="U812">
            <v>-97183.600619999997</v>
          </cell>
          <cell r="V812">
            <v>-107584.81002999999</v>
          </cell>
          <cell r="W812">
            <v>-117658.803</v>
          </cell>
          <cell r="X812">
            <v>-128351.12417</v>
          </cell>
          <cell r="Y812">
            <v>-69332.542713000003</v>
          </cell>
        </row>
        <row r="813">
          <cell r="B813">
            <v>440125</v>
          </cell>
          <cell r="C813" t="str">
            <v>NOT USED</v>
          </cell>
          <cell r="D813" t="str">
            <v>ELEC REV-FIXED-RESIDENTIAL-UNBILLED DELIVERY</v>
          </cell>
          <cell r="E813" t="str">
            <v/>
          </cell>
          <cell r="F813" t="str">
            <v/>
          </cell>
          <cell r="G813" t="str">
            <v/>
          </cell>
          <cell r="H813" t="str">
            <v/>
          </cell>
          <cell r="I813" t="str">
            <v/>
          </cell>
          <cell r="J813" t="str">
            <v/>
          </cell>
          <cell r="K813" t="str">
            <v/>
          </cell>
          <cell r="L813">
            <v>1584.9449999999999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66.039375000000007</v>
          </cell>
        </row>
        <row r="814">
          <cell r="B814">
            <v>440128</v>
          </cell>
          <cell r="C814" t="str">
            <v>NOT USED</v>
          </cell>
          <cell r="D814" t="str">
            <v>ELEC REV-RESIDENTIAL-DELIVERY CHARGE-RETAIL ACCES</v>
          </cell>
          <cell r="E814" t="str">
            <v/>
          </cell>
          <cell r="F814" t="str">
            <v/>
          </cell>
          <cell r="G814" t="str">
            <v/>
          </cell>
          <cell r="H814" t="str">
            <v/>
          </cell>
          <cell r="I814" t="str">
            <v/>
          </cell>
          <cell r="J814" t="str">
            <v/>
          </cell>
          <cell r="K814" t="str">
            <v/>
          </cell>
          <cell r="L814">
            <v>-30083.46617</v>
          </cell>
          <cell r="M814">
            <v>-3622.1039999999998</v>
          </cell>
          <cell r="N814">
            <v>-7042.2765300000001</v>
          </cell>
          <cell r="O814">
            <v>-10526.96459</v>
          </cell>
          <cell r="P814">
            <v>-13853.22135</v>
          </cell>
          <cell r="Q814">
            <v>-17089.942190000002</v>
          </cell>
          <cell r="R814">
            <v>-20622.960459999998</v>
          </cell>
          <cell r="S814">
            <v>-24472.579519999999</v>
          </cell>
          <cell r="T814">
            <v>-28341.433059999999</v>
          </cell>
          <cell r="U814">
            <v>-32220.694200000002</v>
          </cell>
          <cell r="V814">
            <v>-35771.13781</v>
          </cell>
          <cell r="W814">
            <v>-39265.345390000002</v>
          </cell>
          <cell r="X814">
            <v>-43024.020120000001</v>
          </cell>
          <cell r="Y814">
            <v>-22448.533520000001</v>
          </cell>
        </row>
        <row r="815">
          <cell r="B815">
            <v>440130</v>
          </cell>
          <cell r="C815" t="str">
            <v>NOT USED</v>
          </cell>
          <cell r="D815" t="str">
            <v>ELEC REVENUE - FIXED - RESIDENTIAL-COMMODITY</v>
          </cell>
          <cell r="E815" t="str">
            <v/>
          </cell>
          <cell r="F815" t="str">
            <v/>
          </cell>
          <cell r="G815" t="str">
            <v/>
          </cell>
          <cell r="H815" t="str">
            <v/>
          </cell>
          <cell r="I815" t="str">
            <v/>
          </cell>
          <cell r="J815" t="str">
            <v/>
          </cell>
          <cell r="K815" t="str">
            <v/>
          </cell>
          <cell r="L815">
            <v>-111126.5952</v>
          </cell>
          <cell r="M815">
            <v>-11651.407149999999</v>
          </cell>
          <cell r="N815">
            <v>-21496.561089999999</v>
          </cell>
          <cell r="O815">
            <v>-29091.68967</v>
          </cell>
          <cell r="P815">
            <v>-37065.218249999998</v>
          </cell>
          <cell r="Q815">
            <v>-43899.364220000003</v>
          </cell>
          <cell r="R815">
            <v>-52063.573360000002</v>
          </cell>
          <cell r="S815">
            <v>-62194.647799999999</v>
          </cell>
          <cell r="T815">
            <v>-71876.604869999996</v>
          </cell>
          <cell r="U815">
            <v>-80258.727039999998</v>
          </cell>
          <cell r="V815">
            <v>-87566.133260000002</v>
          </cell>
          <cell r="W815">
            <v>-95157.532319999998</v>
          </cell>
          <cell r="X815">
            <v>-103135.52514</v>
          </cell>
          <cell r="Y815">
            <v>-58287.709932999998</v>
          </cell>
        </row>
        <row r="816">
          <cell r="B816">
            <v>440135</v>
          </cell>
          <cell r="C816" t="str">
            <v>NOT USED</v>
          </cell>
          <cell r="D816" t="str">
            <v>ELEC REV-FIXED-RESIDENTIAL-UNBILLED COMMODITY</v>
          </cell>
          <cell r="E816" t="str">
            <v/>
          </cell>
          <cell r="F816" t="str">
            <v/>
          </cell>
          <cell r="G816" t="str">
            <v/>
          </cell>
          <cell r="H816" t="str">
            <v/>
          </cell>
          <cell r="I816" t="str">
            <v/>
          </cell>
          <cell r="J816" t="str">
            <v/>
          </cell>
          <cell r="K816" t="str">
            <v/>
          </cell>
          <cell r="L816">
            <v>2616.2719999999999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109.01133299999999</v>
          </cell>
        </row>
        <row r="817">
          <cell r="B817">
            <v>440138</v>
          </cell>
          <cell r="C817" t="str">
            <v>NOT USED</v>
          </cell>
          <cell r="D817" t="str">
            <v>ELEC REV-RESIDENTIAL-SUPPLY CHARGE-RETAIL ACCESS</v>
          </cell>
          <cell r="E817" t="str">
            <v/>
          </cell>
          <cell r="F817" t="str">
            <v/>
          </cell>
          <cell r="G817" t="str">
            <v/>
          </cell>
          <cell r="H817" t="str">
            <v/>
          </cell>
          <cell r="I817" t="str">
            <v/>
          </cell>
          <cell r="J817" t="str">
            <v/>
          </cell>
          <cell r="K817" t="str">
            <v/>
          </cell>
          <cell r="L817">
            <v>-20.24757</v>
          </cell>
          <cell r="M817">
            <v>0</v>
          </cell>
          <cell r="N817">
            <v>0</v>
          </cell>
          <cell r="O817">
            <v>7.1389999999999995E-2</v>
          </cell>
          <cell r="P817">
            <v>7.1389999999999995E-2</v>
          </cell>
          <cell r="Q817">
            <v>7.1389999999999995E-2</v>
          </cell>
          <cell r="R817">
            <v>7.1389999999999995E-2</v>
          </cell>
          <cell r="S817">
            <v>7.1389999999999995E-2</v>
          </cell>
          <cell r="T817">
            <v>7.1389999999999995E-2</v>
          </cell>
          <cell r="U817">
            <v>8.0140000000000003E-2</v>
          </cell>
          <cell r="V817">
            <v>7.1389999999999995E-2</v>
          </cell>
          <cell r="W817">
            <v>7.1389999999999995E-2</v>
          </cell>
          <cell r="X817">
            <v>7.1389999999999995E-2</v>
          </cell>
          <cell r="Y817">
            <v>-0.78640200000000005</v>
          </cell>
        </row>
        <row r="818">
          <cell r="B818">
            <v>440140</v>
          </cell>
          <cell r="C818" t="str">
            <v>NOT USED</v>
          </cell>
          <cell r="D818" t="str">
            <v>ELEC REVENUE-FIXED-RESIDENTIAL-TRANSITION CHARGE</v>
          </cell>
          <cell r="E818" t="str">
            <v/>
          </cell>
          <cell r="F818" t="str">
            <v/>
          </cell>
          <cell r="G818" t="str">
            <v/>
          </cell>
          <cell r="H818" t="str">
            <v/>
          </cell>
          <cell r="I818" t="str">
            <v/>
          </cell>
          <cell r="J818" t="str">
            <v/>
          </cell>
          <cell r="K818" t="str">
            <v/>
          </cell>
          <cell r="L818">
            <v>-2395.1656800000001</v>
          </cell>
          <cell r="M818">
            <v>305.00817000000001</v>
          </cell>
          <cell r="N818">
            <v>1887.30178</v>
          </cell>
          <cell r="O818">
            <v>4225.9045599999999</v>
          </cell>
          <cell r="P818">
            <v>6200.0778399999999</v>
          </cell>
          <cell r="Q818">
            <v>7360.1585100000002</v>
          </cell>
          <cell r="R818">
            <v>8106.2118499999997</v>
          </cell>
          <cell r="S818">
            <v>8715.1283500000009</v>
          </cell>
          <cell r="T818">
            <v>8986.4868499999993</v>
          </cell>
          <cell r="U818">
            <v>9405.7965999999997</v>
          </cell>
          <cell r="V818">
            <v>10876.176359999999</v>
          </cell>
          <cell r="W818">
            <v>12503.41937</v>
          </cell>
          <cell r="X818">
            <v>13486.79689</v>
          </cell>
          <cell r="Y818">
            <v>7009.7904870000002</v>
          </cell>
        </row>
        <row r="819">
          <cell r="B819">
            <v>440142</v>
          </cell>
          <cell r="C819" t="str">
            <v>NOT USED</v>
          </cell>
          <cell r="D819" t="str">
            <v>ELEC REV-RESIDENTIAL-BILLING CHARGE-MFC COMMODITY</v>
          </cell>
          <cell r="E819" t="str">
            <v/>
          </cell>
          <cell r="F819" t="str">
            <v/>
          </cell>
          <cell r="G819" t="str">
            <v/>
          </cell>
          <cell r="H819" t="str">
            <v/>
          </cell>
          <cell r="I819" t="str">
            <v/>
          </cell>
          <cell r="J819" t="str">
            <v/>
          </cell>
          <cell r="K819" t="str">
            <v/>
          </cell>
          <cell r="L819">
            <v>-439.66548</v>
          </cell>
          <cell r="M819">
            <v>-226.88853</v>
          </cell>
          <cell r="N819">
            <v>-398.19844000000001</v>
          </cell>
          <cell r="O819">
            <v>-526.29061999999999</v>
          </cell>
          <cell r="P819">
            <v>-678.04404</v>
          </cell>
          <cell r="Q819">
            <v>-802.66584</v>
          </cell>
          <cell r="R819">
            <v>-928.62651000000005</v>
          </cell>
          <cell r="S819">
            <v>-1090.3621499999999</v>
          </cell>
          <cell r="T819">
            <v>-1242.3442299999999</v>
          </cell>
          <cell r="U819">
            <v>-1404.0457699999999</v>
          </cell>
          <cell r="V819">
            <v>-1574.2992400000001</v>
          </cell>
          <cell r="W819">
            <v>-1743.0431599999999</v>
          </cell>
          <cell r="X819">
            <v>-1915.76675</v>
          </cell>
          <cell r="Y819">
            <v>-982.71038699999997</v>
          </cell>
        </row>
        <row r="820">
          <cell r="B820">
            <v>440143</v>
          </cell>
          <cell r="C820" t="str">
            <v>NOT USED</v>
          </cell>
          <cell r="D820" t="str">
            <v>ELEC REV-RESIDENTIAL-BILLING CHARGE-MFC DELIVERY</v>
          </cell>
          <cell r="E820" t="str">
            <v/>
          </cell>
          <cell r="F820" t="str">
            <v/>
          </cell>
          <cell r="G820" t="str">
            <v/>
          </cell>
          <cell r="H820" t="str">
            <v/>
          </cell>
          <cell r="I820" t="str">
            <v/>
          </cell>
          <cell r="J820" t="str">
            <v/>
          </cell>
          <cell r="K820" t="str">
            <v/>
          </cell>
          <cell r="L820">
            <v>-1978.14753</v>
          </cell>
          <cell r="M820">
            <v>-886.05183</v>
          </cell>
          <cell r="N820">
            <v>-1697.0336</v>
          </cell>
          <cell r="O820">
            <v>-2433.78397</v>
          </cell>
          <cell r="P820">
            <v>-3127.8902899999998</v>
          </cell>
          <cell r="Q820">
            <v>-3753.7777000000001</v>
          </cell>
          <cell r="R820">
            <v>-4488.83565</v>
          </cell>
          <cell r="S820">
            <v>-5333.3679499999998</v>
          </cell>
          <cell r="T820">
            <v>-6171.8586400000004</v>
          </cell>
          <cell r="U820">
            <v>-6962.7130900000002</v>
          </cell>
          <cell r="V820">
            <v>-7606.7550899999997</v>
          </cell>
          <cell r="W820">
            <v>-8218.7871799999994</v>
          </cell>
          <cell r="X820">
            <v>-8901.4899600000008</v>
          </cell>
          <cell r="Y820">
            <v>-4676.7228109999996</v>
          </cell>
        </row>
        <row r="821">
          <cell r="B821">
            <v>440148</v>
          </cell>
          <cell r="C821" t="str">
            <v>NOT USED</v>
          </cell>
          <cell r="D821" t="str">
            <v>ELEC REV-RESIDENTIAL-TRANSITION CHRG-RETAIL ACCES</v>
          </cell>
          <cell r="E821" t="str">
            <v/>
          </cell>
          <cell r="F821" t="str">
            <v/>
          </cell>
          <cell r="G821" t="str">
            <v/>
          </cell>
          <cell r="H821" t="str">
            <v/>
          </cell>
          <cell r="I821" t="str">
            <v/>
          </cell>
          <cell r="J821" t="str">
            <v/>
          </cell>
          <cell r="K821" t="str">
            <v/>
          </cell>
          <cell r="L821">
            <v>-757.62606000000005</v>
          </cell>
          <cell r="M821">
            <v>99.7166</v>
          </cell>
          <cell r="N821">
            <v>605.78062</v>
          </cell>
          <cell r="O821">
            <v>1432.7867699999999</v>
          </cell>
          <cell r="P821">
            <v>2124.6795900000002</v>
          </cell>
          <cell r="Q821">
            <v>2552.9656599999998</v>
          </cell>
          <cell r="R821">
            <v>2826.7837800000002</v>
          </cell>
          <cell r="S821">
            <v>3054.8151600000001</v>
          </cell>
          <cell r="T821">
            <v>3159.7167199999999</v>
          </cell>
          <cell r="U821">
            <v>3316.08437</v>
          </cell>
          <cell r="V821">
            <v>3855.6498200000001</v>
          </cell>
          <cell r="W821">
            <v>4471.17058</v>
          </cell>
          <cell r="X821">
            <v>4846.7671700000001</v>
          </cell>
          <cell r="Y821">
            <v>2462.060019</v>
          </cell>
        </row>
        <row r="822">
          <cell r="B822">
            <v>440149</v>
          </cell>
          <cell r="C822" t="str">
            <v>NOT USED</v>
          </cell>
          <cell r="D822" t="str">
            <v>ELEC REV-RESIDENTIAL-EEPS</v>
          </cell>
          <cell r="E822" t="str">
            <v/>
          </cell>
          <cell r="F822" t="str">
            <v/>
          </cell>
          <cell r="G822" t="str">
            <v/>
          </cell>
          <cell r="H822" t="str">
            <v/>
          </cell>
          <cell r="I822" t="str">
            <v/>
          </cell>
          <cell r="J822" t="str">
            <v/>
          </cell>
          <cell r="K822" t="str">
            <v/>
          </cell>
          <cell r="L822">
            <v>-3241.7360100000001</v>
          </cell>
          <cell r="M822">
            <v>-323.52542999999997</v>
          </cell>
          <cell r="N822">
            <v>-636.72838000000002</v>
          </cell>
          <cell r="O822">
            <v>-937.14425000000006</v>
          </cell>
          <cell r="P822">
            <v>-1219.7763299999999</v>
          </cell>
          <cell r="Q822">
            <v>-1474.65652</v>
          </cell>
          <cell r="R822">
            <v>-1774.0838100000001</v>
          </cell>
          <cell r="S822">
            <v>-2117.8455300000001</v>
          </cell>
          <cell r="T822">
            <v>-2459.1579200000001</v>
          </cell>
          <cell r="U822">
            <v>-2789.3168099999998</v>
          </cell>
          <cell r="V822">
            <v>-3065.6627600000002</v>
          </cell>
          <cell r="W822">
            <v>-3331.0051899999999</v>
          </cell>
          <cell r="X822">
            <v>-3630.2433700000001</v>
          </cell>
          <cell r="Y822">
            <v>-1963.7410520000001</v>
          </cell>
        </row>
        <row r="823">
          <cell r="B823">
            <v>440150</v>
          </cell>
          <cell r="C823" t="str">
            <v>NOT USED</v>
          </cell>
          <cell r="D823" t="str">
            <v>ELEC REV-FIXED-RESIDENTIAL-SYSTEM BENEFIT CHARGES</v>
          </cell>
          <cell r="E823" t="str">
            <v/>
          </cell>
          <cell r="F823" t="str">
            <v/>
          </cell>
          <cell r="G823" t="str">
            <v/>
          </cell>
          <cell r="H823" t="str">
            <v/>
          </cell>
          <cell r="I823" t="str">
            <v/>
          </cell>
          <cell r="J823" t="str">
            <v/>
          </cell>
          <cell r="K823" t="str">
            <v/>
          </cell>
          <cell r="L823">
            <v>-1705.31161</v>
          </cell>
          <cell r="M823">
            <v>-261.61721999999997</v>
          </cell>
          <cell r="N823">
            <v>-382.38137999999998</v>
          </cell>
          <cell r="O823">
            <v>-378.40861999999998</v>
          </cell>
          <cell r="P823">
            <v>-377.63918999999999</v>
          </cell>
          <cell r="Q823">
            <v>-377.38001000000003</v>
          </cell>
          <cell r="R823">
            <v>-377.32735000000002</v>
          </cell>
          <cell r="S823">
            <v>-377.20542</v>
          </cell>
          <cell r="T823">
            <v>-377.10597999999999</v>
          </cell>
          <cell r="U823">
            <v>-377.06830000000002</v>
          </cell>
          <cell r="V823">
            <v>-377.08136999999999</v>
          </cell>
          <cell r="W823">
            <v>-377.02044999999998</v>
          </cell>
          <cell r="X823">
            <v>-376.95447999999999</v>
          </cell>
          <cell r="Y823">
            <v>-423.447361</v>
          </cell>
        </row>
        <row r="824">
          <cell r="B824">
            <v>440151</v>
          </cell>
          <cell r="C824" t="str">
            <v>NOT USED</v>
          </cell>
          <cell r="D824" t="str">
            <v>ELEC REV-FIXED-RESIDENTIAL-RETAIL ACCESS SURCHARG</v>
          </cell>
          <cell r="E824" t="str">
            <v/>
          </cell>
          <cell r="F824" t="str">
            <v/>
          </cell>
          <cell r="G824" t="str">
            <v/>
          </cell>
          <cell r="H824" t="str">
            <v/>
          </cell>
          <cell r="I824" t="str">
            <v/>
          </cell>
          <cell r="J824" t="str">
            <v/>
          </cell>
          <cell r="K824" t="str">
            <v/>
          </cell>
          <cell r="L824">
            <v>-4821.2612499999996</v>
          </cell>
          <cell r="M824">
            <v>0.18984000000000001</v>
          </cell>
          <cell r="N824">
            <v>-2.078E-2</v>
          </cell>
          <cell r="O824">
            <v>0.24301</v>
          </cell>
          <cell r="P824">
            <v>0.37907000000000002</v>
          </cell>
          <cell r="Q824">
            <v>0.34046999999999999</v>
          </cell>
          <cell r="R824">
            <v>0.24246000000000001</v>
          </cell>
          <cell r="S824">
            <v>0.44192999999999999</v>
          </cell>
          <cell r="T824">
            <v>0.53946000000000005</v>
          </cell>
          <cell r="U824">
            <v>0.52639000000000002</v>
          </cell>
          <cell r="V824">
            <v>0.51681999999999995</v>
          </cell>
          <cell r="W824">
            <v>0.54132000000000002</v>
          </cell>
          <cell r="X824">
            <v>0.57404999999999995</v>
          </cell>
          <cell r="Y824">
            <v>-200.53363400000001</v>
          </cell>
        </row>
        <row r="825">
          <cell r="B825">
            <v>440152</v>
          </cell>
          <cell r="C825" t="str">
            <v>NOT USED</v>
          </cell>
          <cell r="D825" t="str">
            <v>ELEC REVENUE - RESIDENTIAL-SUPPLY RECONCILIATION</v>
          </cell>
          <cell r="E825" t="str">
            <v/>
          </cell>
          <cell r="F825" t="str">
            <v/>
          </cell>
          <cell r="G825" t="str">
            <v/>
          </cell>
          <cell r="H825" t="str">
            <v/>
          </cell>
          <cell r="I825" t="str">
            <v/>
          </cell>
          <cell r="J825" t="str">
            <v/>
          </cell>
          <cell r="K825" t="str">
            <v/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</row>
        <row r="826">
          <cell r="B826">
            <v>440153</v>
          </cell>
          <cell r="C826" t="str">
            <v>NOT USED</v>
          </cell>
          <cell r="D826" t="str">
            <v>ELEC REV-RESIDENTIAL-SURCHARGE RETAIL ACCESS</v>
          </cell>
          <cell r="E826" t="str">
            <v/>
          </cell>
          <cell r="F826" t="str">
            <v/>
          </cell>
          <cell r="G826" t="str">
            <v/>
          </cell>
          <cell r="H826" t="str">
            <v/>
          </cell>
          <cell r="I826" t="str">
            <v/>
          </cell>
          <cell r="J826" t="str">
            <v/>
          </cell>
          <cell r="K826" t="str">
            <v/>
          </cell>
          <cell r="L826">
            <v>-1411.12501</v>
          </cell>
          <cell r="M826">
            <v>-150.90719999999999</v>
          </cell>
          <cell r="N826">
            <v>-288.14452</v>
          </cell>
          <cell r="O826">
            <v>-422.29757999999998</v>
          </cell>
          <cell r="P826">
            <v>-546.44277999999997</v>
          </cell>
          <cell r="Q826">
            <v>-662.94502</v>
          </cell>
          <cell r="R826">
            <v>-800.55478000000005</v>
          </cell>
          <cell r="S826">
            <v>-960.76787000000002</v>
          </cell>
          <cell r="T826">
            <v>-1122.62718</v>
          </cell>
          <cell r="U826">
            <v>-1136.63221</v>
          </cell>
          <cell r="V826">
            <v>-1012.69276</v>
          </cell>
          <cell r="W826">
            <v>-892.64260999999999</v>
          </cell>
          <cell r="X826">
            <v>-751.14455999999996</v>
          </cell>
          <cell r="Y826">
            <v>-756.48244099999999</v>
          </cell>
        </row>
        <row r="827">
          <cell r="B827">
            <v>440154</v>
          </cell>
          <cell r="C827" t="str">
            <v>NOT USED</v>
          </cell>
          <cell r="D827" t="str">
            <v>ELEC REV-RESIDENTIAL-SURCHARGE FULL SERVICE</v>
          </cell>
          <cell r="E827" t="str">
            <v/>
          </cell>
          <cell r="F827" t="str">
            <v/>
          </cell>
          <cell r="G827" t="str">
            <v/>
          </cell>
          <cell r="H827" t="str">
            <v/>
          </cell>
          <cell r="I827" t="str">
            <v/>
          </cell>
          <cell r="J827" t="str">
            <v/>
          </cell>
          <cell r="K827" t="str">
            <v/>
          </cell>
          <cell r="L827">
            <v>-4500.6414500000001</v>
          </cell>
          <cell r="M827">
            <v>-453.83960999999999</v>
          </cell>
          <cell r="N827">
            <v>-869.18339000000003</v>
          </cell>
          <cell r="O827">
            <v>-1246.67536</v>
          </cell>
          <cell r="P827">
            <v>-1602.1934200000001</v>
          </cell>
          <cell r="Q827">
            <v>-1922.9757400000001</v>
          </cell>
          <cell r="R827">
            <v>-2299.8110099999999</v>
          </cell>
          <cell r="S827">
            <v>-2732.77574</v>
          </cell>
          <cell r="T827">
            <v>-3162.5769</v>
          </cell>
          <cell r="U827">
            <v>-3180.7388000000001</v>
          </cell>
          <cell r="V827">
            <v>-2840.7582699999998</v>
          </cell>
          <cell r="W827">
            <v>-2508.3646699999999</v>
          </cell>
          <cell r="X827">
            <v>-2121.6772799999999</v>
          </cell>
          <cell r="Y827">
            <v>-2177.5876899999998</v>
          </cell>
        </row>
        <row r="828">
          <cell r="B828">
            <v>440158</v>
          </cell>
          <cell r="C828" t="str">
            <v>NOT USED</v>
          </cell>
          <cell r="D828" t="str">
            <v>ELEC REV-RESIDENT-SYSTEM BENEFI CHRG-RETAIL ACCES</v>
          </cell>
          <cell r="E828" t="str">
            <v/>
          </cell>
          <cell r="F828" t="str">
            <v/>
          </cell>
          <cell r="G828" t="str">
            <v/>
          </cell>
          <cell r="H828" t="str">
            <v/>
          </cell>
          <cell r="I828" t="str">
            <v/>
          </cell>
          <cell r="J828" t="str">
            <v/>
          </cell>
          <cell r="K828" t="str">
            <v/>
          </cell>
          <cell r="L828">
            <v>-535.32704999999999</v>
          </cell>
          <cell r="M828">
            <v>-86.961410000000001</v>
          </cell>
          <cell r="N828">
            <v>-128.77593999999999</v>
          </cell>
          <cell r="O828">
            <v>-128.25274999999999</v>
          </cell>
          <cell r="P828">
            <v>-127.9306</v>
          </cell>
          <cell r="Q828">
            <v>-127.83158</v>
          </cell>
          <cell r="R828">
            <v>-127.76759</v>
          </cell>
          <cell r="S828">
            <v>-127.69889000000001</v>
          </cell>
          <cell r="T828">
            <v>-127.67748</v>
          </cell>
          <cell r="U828">
            <v>-127.66573</v>
          </cell>
          <cell r="V828">
            <v>-127.65336000000001</v>
          </cell>
          <cell r="W828">
            <v>-127.65172</v>
          </cell>
          <cell r="X828">
            <v>-127.65971</v>
          </cell>
          <cell r="Y828">
            <v>-141.44670300000001</v>
          </cell>
        </row>
        <row r="829">
          <cell r="B829">
            <v>440159</v>
          </cell>
          <cell r="C829" t="str">
            <v>NOT USED</v>
          </cell>
          <cell r="D829" t="str">
            <v>ELEC REV-RESIDENT-EEPS-RETAIL ACCESS</v>
          </cell>
          <cell r="E829" t="str">
            <v/>
          </cell>
          <cell r="F829" t="str">
            <v/>
          </cell>
          <cell r="G829" t="str">
            <v/>
          </cell>
          <cell r="H829" t="str">
            <v/>
          </cell>
          <cell r="I829" t="str">
            <v/>
          </cell>
          <cell r="J829" t="str">
            <v/>
          </cell>
          <cell r="K829" t="str">
            <v/>
          </cell>
          <cell r="L829">
            <v>-1014.56384</v>
          </cell>
          <cell r="M829">
            <v>-107.53713</v>
          </cell>
          <cell r="N829">
            <v>-210.85039</v>
          </cell>
          <cell r="O829">
            <v>-317.68421000000001</v>
          </cell>
          <cell r="P829">
            <v>-416.50454999999999</v>
          </cell>
          <cell r="Q829">
            <v>-509.16284000000002</v>
          </cell>
          <cell r="R829">
            <v>-618.56917999999996</v>
          </cell>
          <cell r="S829">
            <v>-745.94637999999998</v>
          </cell>
          <cell r="T829">
            <v>-874.63265000000001</v>
          </cell>
          <cell r="U829">
            <v>-1000.2781199999999</v>
          </cell>
          <cell r="V829">
            <v>-1103.7636</v>
          </cell>
          <cell r="W829">
            <v>-1203.21126</v>
          </cell>
          <cell r="X829">
            <v>-1316.1952000000001</v>
          </cell>
          <cell r="Y829">
            <v>-689.45998599999996</v>
          </cell>
        </row>
        <row r="830">
          <cell r="B830">
            <v>440160</v>
          </cell>
          <cell r="C830" t="str">
            <v>NOT USED</v>
          </cell>
          <cell r="D830" t="str">
            <v>ELEC REV-RESIDENTIAL-RENEWABLE PORTFOLIO CHARGE</v>
          </cell>
          <cell r="E830" t="str">
            <v/>
          </cell>
          <cell r="F830" t="str">
            <v/>
          </cell>
          <cell r="G830" t="str">
            <v/>
          </cell>
          <cell r="H830" t="str">
            <v/>
          </cell>
          <cell r="I830" t="str">
            <v/>
          </cell>
          <cell r="J830" t="str">
            <v/>
          </cell>
          <cell r="K830" t="str">
            <v/>
          </cell>
          <cell r="L830">
            <v>-2450.3861299999999</v>
          </cell>
          <cell r="M830">
            <v>-332.53554000000003</v>
          </cell>
          <cell r="N830">
            <v>-637.07885999999996</v>
          </cell>
          <cell r="O830">
            <v>-913.62728000000004</v>
          </cell>
          <cell r="P830">
            <v>-1174.1405199999999</v>
          </cell>
          <cell r="Q830">
            <v>-1409.10312</v>
          </cell>
          <cell r="R830">
            <v>-1685.0999200000001</v>
          </cell>
          <cell r="S830">
            <v>-2002.0668599999999</v>
          </cell>
          <cell r="T830">
            <v>-2316.7734999999998</v>
          </cell>
          <cell r="U830">
            <v>-2621.1879600000002</v>
          </cell>
          <cell r="V830">
            <v>-2893.4569999999999</v>
          </cell>
          <cell r="W830">
            <v>-3169.4979699999999</v>
          </cell>
          <cell r="X830">
            <v>-3480.42164</v>
          </cell>
          <cell r="Y830">
            <v>-1843.3310349999999</v>
          </cell>
        </row>
        <row r="831">
          <cell r="B831">
            <v>440168</v>
          </cell>
          <cell r="C831" t="str">
            <v>NOT USED</v>
          </cell>
          <cell r="D831" t="str">
            <v>EL REV-RESIDENT-RENEWABLE PORTFOLIO-RETAIL ACCESS</v>
          </cell>
          <cell r="E831" t="str">
            <v/>
          </cell>
          <cell r="F831" t="str">
            <v/>
          </cell>
          <cell r="G831" t="str">
            <v/>
          </cell>
          <cell r="H831" t="str">
            <v/>
          </cell>
          <cell r="I831" t="str">
            <v/>
          </cell>
          <cell r="J831" t="str">
            <v/>
          </cell>
          <cell r="K831" t="str">
            <v/>
          </cell>
          <cell r="L831">
            <v>-768.92098999999996</v>
          </cell>
          <cell r="M831">
            <v>-110.53577</v>
          </cell>
          <cell r="N831">
            <v>-211.27345</v>
          </cell>
          <cell r="O831">
            <v>-309.75094999999999</v>
          </cell>
          <cell r="P831">
            <v>-400.83816000000002</v>
          </cell>
          <cell r="Q831">
            <v>-486.26844</v>
          </cell>
          <cell r="R831">
            <v>-587.15866000000005</v>
          </cell>
          <cell r="S831">
            <v>-704.60910000000001</v>
          </cell>
          <cell r="T831">
            <v>-823.25615000000005</v>
          </cell>
          <cell r="U831">
            <v>-939.10691999999995</v>
          </cell>
          <cell r="V831">
            <v>-1040.82844</v>
          </cell>
          <cell r="W831">
            <v>-1144.25802</v>
          </cell>
          <cell r="X831">
            <v>-1261.6323299999999</v>
          </cell>
          <cell r="Y831">
            <v>-647.76339299999995</v>
          </cell>
        </row>
        <row r="832">
          <cell r="B832">
            <v>440173</v>
          </cell>
          <cell r="C832" t="str">
            <v>NOT USED</v>
          </cell>
          <cell r="D832" t="str">
            <v>ELEC REVENUE-FIXED-RESIDENTIAL-DELIVERY GRT</v>
          </cell>
          <cell r="E832" t="str">
            <v/>
          </cell>
          <cell r="F832" t="str">
            <v/>
          </cell>
          <cell r="G832" t="str">
            <v/>
          </cell>
          <cell r="H832" t="str">
            <v/>
          </cell>
          <cell r="I832" t="str">
            <v/>
          </cell>
          <cell r="J832" t="str">
            <v/>
          </cell>
          <cell r="K832" t="str">
            <v/>
          </cell>
          <cell r="L832">
            <v>-4394.8388800000002</v>
          </cell>
          <cell r="M832">
            <v>-433.72001999999998</v>
          </cell>
          <cell r="N832">
            <v>-799.96693000000005</v>
          </cell>
          <cell r="O832">
            <v>-1117.03397</v>
          </cell>
          <cell r="P832">
            <v>-1432.8015399999999</v>
          </cell>
          <cell r="Q832">
            <v>-1756.0853199999999</v>
          </cell>
          <cell r="R832">
            <v>-2123.39777</v>
          </cell>
          <cell r="S832">
            <v>-2525.3798299999999</v>
          </cell>
          <cell r="T832">
            <v>-2938.0015600000002</v>
          </cell>
          <cell r="U832">
            <v>-3332.48171</v>
          </cell>
          <cell r="V832">
            <v>-3649.0794299999998</v>
          </cell>
          <cell r="W832">
            <v>-3950.3625299999999</v>
          </cell>
          <cell r="X832">
            <v>-4296.0859</v>
          </cell>
          <cell r="Y832">
            <v>-2366.9810830000001</v>
          </cell>
        </row>
        <row r="833">
          <cell r="B833">
            <v>440174</v>
          </cell>
          <cell r="C833" t="str">
            <v>NOT USED</v>
          </cell>
          <cell r="D833" t="str">
            <v>ELEC REVENUE-FIXED-RESIDENTIAL-COMMODITY-GRT</v>
          </cell>
          <cell r="E833" t="str">
            <v/>
          </cell>
          <cell r="F833" t="str">
            <v/>
          </cell>
          <cell r="G833" t="str">
            <v/>
          </cell>
          <cell r="H833" t="str">
            <v/>
          </cell>
          <cell r="I833" t="str">
            <v/>
          </cell>
          <cell r="J833" t="str">
            <v/>
          </cell>
          <cell r="K833" t="str">
            <v/>
          </cell>
          <cell r="L833">
            <v>-724.27009999999996</v>
          </cell>
          <cell r="M833">
            <v>-84.706289999999996</v>
          </cell>
          <cell r="N833">
            <v>-159.79173</v>
          </cell>
          <cell r="O833">
            <v>-216.86239</v>
          </cell>
          <cell r="P833">
            <v>-276.74707999999998</v>
          </cell>
          <cell r="Q833">
            <v>-325.86788000000001</v>
          </cell>
          <cell r="R833">
            <v>-379.92847999999998</v>
          </cell>
          <cell r="S833">
            <v>-444.11880000000002</v>
          </cell>
          <cell r="T833">
            <v>-506.53773999999999</v>
          </cell>
          <cell r="U833">
            <v>-562.65697999999998</v>
          </cell>
          <cell r="V833">
            <v>-613.56497000000002</v>
          </cell>
          <cell r="W833">
            <v>-667.43715999999995</v>
          </cell>
          <cell r="X833">
            <v>-724.65192000000002</v>
          </cell>
          <cell r="Y833">
            <v>-413.55670900000001</v>
          </cell>
        </row>
        <row r="834">
          <cell r="B834">
            <v>440320</v>
          </cell>
          <cell r="C834" t="str">
            <v>NOT USED</v>
          </cell>
          <cell r="D834" t="str">
            <v>ELEC REVENUE - VARIABLE - RESIDENTIAL-DELIVERY</v>
          </cell>
          <cell r="E834" t="str">
            <v/>
          </cell>
          <cell r="F834" t="str">
            <v/>
          </cell>
          <cell r="G834" t="str">
            <v/>
          </cell>
          <cell r="H834" t="str">
            <v/>
          </cell>
          <cell r="I834" t="str">
            <v/>
          </cell>
          <cell r="J834" t="str">
            <v/>
          </cell>
          <cell r="K834" t="str">
            <v/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</row>
        <row r="835">
          <cell r="B835">
            <v>440325</v>
          </cell>
          <cell r="C835" t="str">
            <v>NOT USED</v>
          </cell>
          <cell r="D835" t="str">
            <v>ELEC REV-VARIABLE-RESIDENTIAL-UNBILLED DELIVERY</v>
          </cell>
          <cell r="E835" t="str">
            <v/>
          </cell>
          <cell r="F835" t="str">
            <v/>
          </cell>
          <cell r="G835" t="str">
            <v/>
          </cell>
          <cell r="H835" t="str">
            <v/>
          </cell>
          <cell r="I835" t="str">
            <v/>
          </cell>
          <cell r="J835" t="str">
            <v/>
          </cell>
          <cell r="K835" t="str">
            <v/>
          </cell>
          <cell r="L835">
            <v>-3205.2876999999999</v>
          </cell>
          <cell r="M835">
            <v>366.89102000000003</v>
          </cell>
          <cell r="N835">
            <v>1234.8034700000001</v>
          </cell>
          <cell r="O835">
            <v>1286.0798299999999</v>
          </cell>
          <cell r="P835">
            <v>1840.4539600000001</v>
          </cell>
          <cell r="Q835">
            <v>946.84569999999997</v>
          </cell>
          <cell r="R835">
            <v>855.97324000000003</v>
          </cell>
          <cell r="S835">
            <v>-944.62428</v>
          </cell>
          <cell r="T835">
            <v>-77.565960000000004</v>
          </cell>
          <cell r="U835">
            <v>1104.9716900000001</v>
          </cell>
          <cell r="V835">
            <v>1263.3979099999999</v>
          </cell>
          <cell r="W835">
            <v>1010.06276</v>
          </cell>
          <cell r="X835">
            <v>369.77713</v>
          </cell>
          <cell r="Y835">
            <v>622.46117100000004</v>
          </cell>
        </row>
        <row r="836">
          <cell r="B836">
            <v>440330</v>
          </cell>
          <cell r="C836" t="str">
            <v>NOT USED</v>
          </cell>
          <cell r="D836" t="str">
            <v>ELEC REVENUE - VARIABLE - RESIDENTIAL-COMMODITY</v>
          </cell>
          <cell r="E836" t="str">
            <v/>
          </cell>
          <cell r="F836" t="str">
            <v/>
          </cell>
          <cell r="G836" t="str">
            <v/>
          </cell>
          <cell r="H836" t="str">
            <v/>
          </cell>
          <cell r="I836" t="str">
            <v/>
          </cell>
          <cell r="J836" t="str">
            <v/>
          </cell>
          <cell r="K836" t="str">
            <v/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</row>
        <row r="837">
          <cell r="B837">
            <v>440335</v>
          </cell>
          <cell r="C837" t="str">
            <v>NOT USED</v>
          </cell>
          <cell r="D837" t="str">
            <v>ELEC REV-VARIABLE-RESIDENTIAL-UNBILLED COMMODITY</v>
          </cell>
          <cell r="E837" t="str">
            <v/>
          </cell>
          <cell r="F837" t="str">
            <v/>
          </cell>
          <cell r="G837" t="str">
            <v/>
          </cell>
          <cell r="H837" t="str">
            <v/>
          </cell>
          <cell r="I837" t="str">
            <v/>
          </cell>
          <cell r="J837" t="str">
            <v/>
          </cell>
          <cell r="K837" t="str">
            <v/>
          </cell>
          <cell r="L837">
            <v>-1380.1848500000001</v>
          </cell>
          <cell r="M837">
            <v>-689.55791999999997</v>
          </cell>
          <cell r="N837">
            <v>3503.5883199999998</v>
          </cell>
          <cell r="O837">
            <v>2748.4017899999999</v>
          </cell>
          <cell r="P837">
            <v>3129.3185699999999</v>
          </cell>
          <cell r="Q837">
            <v>2116.2538500000001</v>
          </cell>
          <cell r="R837">
            <v>1155.38861</v>
          </cell>
          <cell r="S837">
            <v>-974.85681</v>
          </cell>
          <cell r="T837">
            <v>81.647660000000002</v>
          </cell>
          <cell r="U837">
            <v>2182.0835699999998</v>
          </cell>
          <cell r="V837">
            <v>2361.0549599999999</v>
          </cell>
          <cell r="W837">
            <v>1668.01892</v>
          </cell>
          <cell r="X837">
            <v>1051.16498</v>
          </cell>
          <cell r="Y837">
            <v>1426.402632</v>
          </cell>
        </row>
        <row r="838">
          <cell r="B838">
            <v>440340</v>
          </cell>
          <cell r="C838" t="str">
            <v>NOT USED</v>
          </cell>
          <cell r="D838" t="str">
            <v>ELEC REV-VARIABLE-RESIDENTIAL-TRANSITION CHARGE</v>
          </cell>
          <cell r="E838" t="str">
            <v/>
          </cell>
          <cell r="F838" t="str">
            <v/>
          </cell>
          <cell r="G838" t="str">
            <v/>
          </cell>
          <cell r="H838" t="str">
            <v/>
          </cell>
          <cell r="I838" t="str">
            <v/>
          </cell>
          <cell r="J838" t="str">
            <v/>
          </cell>
          <cell r="K838" t="str">
            <v/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</row>
        <row r="839">
          <cell r="B839">
            <v>440350</v>
          </cell>
          <cell r="C839" t="str">
            <v>NOT USED</v>
          </cell>
          <cell r="D839" t="str">
            <v>ELEC REV-VARIABLE-RESIDENTIAL-SYSTEM BENEFIT CHRG</v>
          </cell>
          <cell r="E839" t="str">
            <v/>
          </cell>
          <cell r="F839" t="str">
            <v/>
          </cell>
          <cell r="G839" t="str">
            <v/>
          </cell>
          <cell r="H839" t="str">
            <v/>
          </cell>
          <cell r="I839" t="str">
            <v/>
          </cell>
          <cell r="J839" t="str">
            <v/>
          </cell>
          <cell r="K839" t="str">
            <v/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</row>
        <row r="840">
          <cell r="B840">
            <v>440351</v>
          </cell>
          <cell r="C840" t="str">
            <v>NOT USED</v>
          </cell>
          <cell r="D840" t="str">
            <v>ELEC REV-VARI-RESIDENTIAL-RETAIL ACCESS SURCHARGE</v>
          </cell>
          <cell r="E840" t="str">
            <v/>
          </cell>
          <cell r="F840" t="str">
            <v/>
          </cell>
          <cell r="G840" t="str">
            <v/>
          </cell>
          <cell r="H840" t="str">
            <v/>
          </cell>
          <cell r="I840" t="str">
            <v/>
          </cell>
          <cell r="J840" t="str">
            <v/>
          </cell>
          <cell r="K840" t="str">
            <v/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</row>
        <row r="841">
          <cell r="B841">
            <v>440373</v>
          </cell>
          <cell r="C841" t="str">
            <v>NOT USED</v>
          </cell>
          <cell r="D841" t="str">
            <v>ELEC REVENUE-VARIABLE-RESIDENTIAL-DELIVERY GRT</v>
          </cell>
          <cell r="E841" t="str">
            <v/>
          </cell>
          <cell r="F841" t="str">
            <v/>
          </cell>
          <cell r="G841" t="str">
            <v/>
          </cell>
          <cell r="H841" t="str">
            <v/>
          </cell>
          <cell r="I841" t="str">
            <v/>
          </cell>
          <cell r="J841" t="str">
            <v/>
          </cell>
          <cell r="K841" t="str">
            <v/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</row>
        <row r="842">
          <cell r="B842">
            <v>440374</v>
          </cell>
          <cell r="C842" t="str">
            <v>NOT USED</v>
          </cell>
          <cell r="D842" t="str">
            <v>ELEC REVENUE-VARIABLE-RESIDENTIAL-COMMODITY-GRT</v>
          </cell>
          <cell r="E842" t="str">
            <v/>
          </cell>
          <cell r="F842" t="str">
            <v/>
          </cell>
          <cell r="G842" t="str">
            <v/>
          </cell>
          <cell r="H842" t="str">
            <v/>
          </cell>
          <cell r="I842" t="str">
            <v/>
          </cell>
          <cell r="J842" t="str">
            <v/>
          </cell>
          <cell r="K842" t="str">
            <v/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</row>
        <row r="843">
          <cell r="B843">
            <v>440500</v>
          </cell>
          <cell r="C843" t="str">
            <v>NOT USED</v>
          </cell>
          <cell r="D843" t="str">
            <v>ELEC REVENUE - RETAIL-UNBILLED</v>
          </cell>
          <cell r="E843" t="str">
            <v/>
          </cell>
          <cell r="F843" t="str">
            <v/>
          </cell>
          <cell r="G843" t="str">
            <v/>
          </cell>
          <cell r="H843" t="str">
            <v/>
          </cell>
          <cell r="I843" t="str">
            <v/>
          </cell>
          <cell r="J843" t="str">
            <v/>
          </cell>
          <cell r="K843" t="str">
            <v/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</row>
        <row r="844">
          <cell r="B844">
            <v>440520</v>
          </cell>
          <cell r="C844" t="str">
            <v>NOT USED</v>
          </cell>
          <cell r="D844" t="str">
            <v>ELEC REVENUE - ESCO - RESIDENTIAL-DELIVERY</v>
          </cell>
          <cell r="E844" t="str">
            <v/>
          </cell>
          <cell r="F844" t="str">
            <v/>
          </cell>
          <cell r="G844" t="str">
            <v/>
          </cell>
          <cell r="H844" t="str">
            <v/>
          </cell>
          <cell r="I844" t="str">
            <v/>
          </cell>
          <cell r="J844" t="str">
            <v/>
          </cell>
          <cell r="K844" t="str">
            <v/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</row>
        <row r="845">
          <cell r="B845">
            <v>440525</v>
          </cell>
          <cell r="C845" t="str">
            <v>NOT USED</v>
          </cell>
          <cell r="D845" t="str">
            <v>ELEC REV-ESCO-RESIDENTIAL-UNBILLED DELIVERY</v>
          </cell>
          <cell r="E845" t="str">
            <v/>
          </cell>
          <cell r="F845" t="str">
            <v/>
          </cell>
          <cell r="G845" t="str">
            <v/>
          </cell>
          <cell r="H845" t="str">
            <v/>
          </cell>
          <cell r="I845" t="str">
            <v/>
          </cell>
          <cell r="J845" t="str">
            <v/>
          </cell>
          <cell r="K845" t="str">
            <v/>
          </cell>
          <cell r="L845">
            <v>-782.56899999999996</v>
          </cell>
          <cell r="M845">
            <v>56.808999999999997</v>
          </cell>
          <cell r="N845">
            <v>280.21199999999999</v>
          </cell>
          <cell r="O845">
            <v>248.94900000000001</v>
          </cell>
          <cell r="P845">
            <v>400.03300000000002</v>
          </cell>
          <cell r="Q845">
            <v>80.748999999999995</v>
          </cell>
          <cell r="R845">
            <v>50.984960000000001</v>
          </cell>
          <cell r="S845">
            <v>-540.07109000000003</v>
          </cell>
          <cell r="T845">
            <v>-295.13229000000001</v>
          </cell>
          <cell r="U845">
            <v>82.336680000000001</v>
          </cell>
          <cell r="V845">
            <v>131.50355999999999</v>
          </cell>
          <cell r="W845">
            <v>37.075960000000002</v>
          </cell>
          <cell r="X845">
            <v>-190.58452</v>
          </cell>
          <cell r="Y845">
            <v>3.906085</v>
          </cell>
        </row>
        <row r="846">
          <cell r="B846">
            <v>440535</v>
          </cell>
          <cell r="C846" t="str">
            <v>NOT USED</v>
          </cell>
          <cell r="D846" t="str">
            <v>ELEC REV-RESIDENTIAL-EPO UNBILLED TRANSITION</v>
          </cell>
          <cell r="E846" t="str">
            <v/>
          </cell>
          <cell r="F846" t="str">
            <v/>
          </cell>
          <cell r="G846" t="str">
            <v/>
          </cell>
          <cell r="H846" t="str">
            <v/>
          </cell>
          <cell r="I846" t="str">
            <v/>
          </cell>
          <cell r="J846" t="str">
            <v/>
          </cell>
          <cell r="K846" t="str">
            <v/>
          </cell>
          <cell r="L846">
            <v>229.71199999999999</v>
          </cell>
          <cell r="M846">
            <v>92.802000000000007</v>
          </cell>
          <cell r="N846">
            <v>423.02600000000001</v>
          </cell>
          <cell r="O846">
            <v>400.01600000000002</v>
          </cell>
          <cell r="P846">
            <v>298.97500000000002</v>
          </cell>
          <cell r="Q846">
            <v>162.89699999999999</v>
          </cell>
          <cell r="R846">
            <v>138.74091000000001</v>
          </cell>
          <cell r="S846">
            <v>116.9006</v>
          </cell>
          <cell r="T846">
            <v>14.00098</v>
          </cell>
          <cell r="U846">
            <v>145.57935000000001</v>
          </cell>
          <cell r="V846">
            <v>487.48916000000003</v>
          </cell>
          <cell r="W846">
            <v>283.80207999999999</v>
          </cell>
          <cell r="X846">
            <v>180.71086</v>
          </cell>
          <cell r="Y846">
            <v>230.786709</v>
          </cell>
        </row>
        <row r="847">
          <cell r="B847">
            <v>440540</v>
          </cell>
          <cell r="C847" t="str">
            <v>NOT USED</v>
          </cell>
          <cell r="D847" t="str">
            <v>ELEC REV-ESCO-RESIDENTIAL-TRANSITION CHARGE</v>
          </cell>
          <cell r="E847" t="str">
            <v/>
          </cell>
          <cell r="F847" t="str">
            <v/>
          </cell>
          <cell r="G847" t="str">
            <v/>
          </cell>
          <cell r="H847" t="str">
            <v/>
          </cell>
          <cell r="I847" t="str">
            <v/>
          </cell>
          <cell r="J847" t="str">
            <v/>
          </cell>
          <cell r="K847" t="str">
            <v/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</row>
        <row r="848">
          <cell r="B848">
            <v>440550</v>
          </cell>
          <cell r="C848" t="str">
            <v>NOT USED</v>
          </cell>
          <cell r="D848" t="str">
            <v>ELEC REV-ESCO-RESIDENTIAL-SYSTEM BENEFIT CHRGE</v>
          </cell>
          <cell r="E848" t="str">
            <v/>
          </cell>
          <cell r="F848" t="str">
            <v/>
          </cell>
          <cell r="G848" t="str">
            <v/>
          </cell>
          <cell r="H848" t="str">
            <v/>
          </cell>
          <cell r="I848" t="str">
            <v/>
          </cell>
          <cell r="J848" t="str">
            <v/>
          </cell>
          <cell r="K848" t="str">
            <v/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</row>
        <row r="849">
          <cell r="B849">
            <v>440551</v>
          </cell>
          <cell r="C849" t="str">
            <v>NOT USED</v>
          </cell>
          <cell r="D849" t="str">
            <v>ELEC REV-ESCO-RESIDENTIAL-RETAIL ACCESS SURCHARGE</v>
          </cell>
          <cell r="E849" t="str">
            <v/>
          </cell>
          <cell r="F849" t="str">
            <v/>
          </cell>
          <cell r="G849" t="str">
            <v/>
          </cell>
          <cell r="H849" t="str">
            <v/>
          </cell>
          <cell r="I849" t="str">
            <v/>
          </cell>
          <cell r="J849" t="str">
            <v/>
          </cell>
          <cell r="K849" t="str">
            <v/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</row>
        <row r="850">
          <cell r="B850">
            <v>440552</v>
          </cell>
          <cell r="C850" t="str">
            <v>NOT USED</v>
          </cell>
          <cell r="D850" t="str">
            <v>ELEC REV-ESCO-RESIDENTIAL-RETAIL ACCESS CREDIT</v>
          </cell>
          <cell r="E850" t="str">
            <v/>
          </cell>
          <cell r="F850" t="str">
            <v/>
          </cell>
          <cell r="G850" t="str">
            <v/>
          </cell>
          <cell r="H850" t="str">
            <v/>
          </cell>
          <cell r="I850" t="str">
            <v/>
          </cell>
          <cell r="J850" t="str">
            <v/>
          </cell>
          <cell r="K850" t="str">
            <v/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</row>
        <row r="851">
          <cell r="B851">
            <v>440573</v>
          </cell>
          <cell r="C851" t="str">
            <v>NOT USED</v>
          </cell>
          <cell r="D851" t="str">
            <v>ELEC REVENUE-ESCO-RESIDENTIAL-DELIVERY GRT</v>
          </cell>
          <cell r="E851" t="str">
            <v/>
          </cell>
          <cell r="F851" t="str">
            <v/>
          </cell>
          <cell r="G851" t="str">
            <v/>
          </cell>
          <cell r="H851" t="str">
            <v/>
          </cell>
          <cell r="I851" t="str">
            <v/>
          </cell>
          <cell r="J851" t="str">
            <v/>
          </cell>
          <cell r="K851" t="str">
            <v/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</row>
        <row r="852">
          <cell r="B852">
            <v>440620</v>
          </cell>
          <cell r="C852" t="str">
            <v>NOT USED</v>
          </cell>
          <cell r="D852" t="str">
            <v>ELEC REV-ESCO W/SUPPLY ADJUST-RESIDENTIAL-DELIVER</v>
          </cell>
          <cell r="E852" t="str">
            <v/>
          </cell>
          <cell r="F852" t="str">
            <v/>
          </cell>
          <cell r="G852" t="str">
            <v/>
          </cell>
          <cell r="H852" t="str">
            <v/>
          </cell>
          <cell r="I852" t="str">
            <v/>
          </cell>
          <cell r="J852" t="str">
            <v/>
          </cell>
          <cell r="K852" t="str">
            <v/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</row>
        <row r="853">
          <cell r="B853">
            <v>440625</v>
          </cell>
          <cell r="C853" t="str">
            <v>NOT USED</v>
          </cell>
          <cell r="D853" t="str">
            <v>EL REV-ESCO W/SUP ADJUST-RESIDENTIAL-UNBLD DELVRY</v>
          </cell>
          <cell r="E853" t="str">
            <v/>
          </cell>
          <cell r="F853" t="str">
            <v/>
          </cell>
          <cell r="G853" t="str">
            <v/>
          </cell>
          <cell r="H853" t="str">
            <v/>
          </cell>
          <cell r="I853" t="str">
            <v/>
          </cell>
          <cell r="J853" t="str">
            <v/>
          </cell>
          <cell r="K853" t="str">
            <v/>
          </cell>
          <cell r="L853">
            <v>37.389000000000003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1.5578749999999999</v>
          </cell>
        </row>
        <row r="854">
          <cell r="B854">
            <v>440630</v>
          </cell>
          <cell r="C854" t="str">
            <v>NOT USED</v>
          </cell>
          <cell r="D854" t="str">
            <v>EL REV-ESCO W/SUPPLY ADJUST-RESIDENTIAL-COMMODITY</v>
          </cell>
          <cell r="E854" t="str">
            <v/>
          </cell>
          <cell r="F854" t="str">
            <v/>
          </cell>
          <cell r="G854" t="str">
            <v/>
          </cell>
          <cell r="H854" t="str">
            <v/>
          </cell>
          <cell r="I854" t="str">
            <v/>
          </cell>
          <cell r="J854" t="str">
            <v/>
          </cell>
          <cell r="K854" t="str">
            <v/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</row>
        <row r="855">
          <cell r="B855">
            <v>440635</v>
          </cell>
          <cell r="C855" t="str">
            <v>NOT USED</v>
          </cell>
          <cell r="D855" t="str">
            <v>EL REV-ESCO W/SUP ADJUST-RESIDENTIAL-UNBLD COMMDT</v>
          </cell>
          <cell r="E855" t="str">
            <v/>
          </cell>
          <cell r="F855" t="str">
            <v/>
          </cell>
          <cell r="G855" t="str">
            <v/>
          </cell>
          <cell r="H855" t="str">
            <v/>
          </cell>
          <cell r="I855" t="str">
            <v/>
          </cell>
          <cell r="J855" t="str">
            <v/>
          </cell>
          <cell r="K855" t="str">
            <v/>
          </cell>
          <cell r="L855">
            <v>30.715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1.279792</v>
          </cell>
        </row>
        <row r="856">
          <cell r="B856">
            <v>440640</v>
          </cell>
          <cell r="C856" t="str">
            <v>NOT USED</v>
          </cell>
          <cell r="D856" t="str">
            <v>EL REV-ESCO W/SUPPLY ADJUST-RES-TRANSITION CHARGE</v>
          </cell>
          <cell r="E856" t="str">
            <v/>
          </cell>
          <cell r="F856" t="str">
            <v/>
          </cell>
          <cell r="G856" t="str">
            <v/>
          </cell>
          <cell r="H856" t="str">
            <v/>
          </cell>
          <cell r="I856" t="str">
            <v/>
          </cell>
          <cell r="J856" t="str">
            <v/>
          </cell>
          <cell r="K856" t="str">
            <v/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</row>
        <row r="857">
          <cell r="B857">
            <v>440645</v>
          </cell>
          <cell r="C857" t="str">
            <v>NOT USED</v>
          </cell>
          <cell r="D857" t="str">
            <v>E-UNBILLED-RESIDENTIAL-DELIVERY GROSS RECEIPTS TA</v>
          </cell>
          <cell r="E857" t="str">
            <v/>
          </cell>
          <cell r="F857" t="str">
            <v/>
          </cell>
          <cell r="G857" t="str">
            <v/>
          </cell>
          <cell r="H857" t="str">
            <v/>
          </cell>
          <cell r="I857" t="str">
            <v/>
          </cell>
          <cell r="J857" t="str">
            <v/>
          </cell>
          <cell r="K857" t="str">
            <v/>
          </cell>
          <cell r="L857">
            <v>-34.543999999999997</v>
          </cell>
          <cell r="M857">
            <v>22.530999999999999</v>
          </cell>
          <cell r="N857">
            <v>88.956000000000003</v>
          </cell>
          <cell r="O857">
            <v>86.37</v>
          </cell>
          <cell r="P857">
            <v>95.236000000000004</v>
          </cell>
          <cell r="Q857">
            <v>47.253</v>
          </cell>
          <cell r="R857">
            <v>41.383249999999997</v>
          </cell>
          <cell r="S857">
            <v>-28.205269999999999</v>
          </cell>
          <cell r="T857">
            <v>-181.1677</v>
          </cell>
          <cell r="U857">
            <v>-87.135660000000001</v>
          </cell>
          <cell r="V857">
            <v>-66.747249999999994</v>
          </cell>
          <cell r="W857">
            <v>-103.43203</v>
          </cell>
          <cell r="X857">
            <v>-130.37114</v>
          </cell>
          <cell r="Y857">
            <v>-13.951352999999999</v>
          </cell>
        </row>
        <row r="858">
          <cell r="B858">
            <v>440650</v>
          </cell>
          <cell r="C858" t="str">
            <v>NOT USED</v>
          </cell>
          <cell r="D858" t="str">
            <v>EL REV-ESCO W/SUPPLY ADJUST-RESIDENTIAL-SBC</v>
          </cell>
          <cell r="E858" t="str">
            <v/>
          </cell>
          <cell r="F858" t="str">
            <v/>
          </cell>
          <cell r="G858" t="str">
            <v/>
          </cell>
          <cell r="H858" t="str">
            <v/>
          </cell>
          <cell r="I858" t="str">
            <v/>
          </cell>
          <cell r="J858" t="str">
            <v/>
          </cell>
          <cell r="K858" t="str">
            <v/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</row>
        <row r="859">
          <cell r="B859">
            <v>440651</v>
          </cell>
          <cell r="C859" t="str">
            <v>NOT USED</v>
          </cell>
          <cell r="D859" t="str">
            <v>EL REV-ESCO W/SUPPLY ADJUST-RESIDENTIAL-RAS</v>
          </cell>
          <cell r="E859" t="str">
            <v/>
          </cell>
          <cell r="F859" t="str">
            <v/>
          </cell>
          <cell r="G859" t="str">
            <v/>
          </cell>
          <cell r="H859" t="str">
            <v/>
          </cell>
          <cell r="I859" t="str">
            <v/>
          </cell>
          <cell r="J859" t="str">
            <v/>
          </cell>
          <cell r="K859" t="str">
            <v/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</row>
        <row r="860">
          <cell r="B860">
            <v>440652</v>
          </cell>
          <cell r="C860" t="str">
            <v>NOT USED</v>
          </cell>
          <cell r="D860" t="str">
            <v>EL REV-ESCO W/SUPPLY ADJUST-RESIDENTIAL-RAC</v>
          </cell>
          <cell r="E860" t="str">
            <v/>
          </cell>
          <cell r="F860" t="str">
            <v/>
          </cell>
          <cell r="G860" t="str">
            <v/>
          </cell>
          <cell r="H860" t="str">
            <v/>
          </cell>
          <cell r="I860" t="str">
            <v/>
          </cell>
          <cell r="J860" t="str">
            <v/>
          </cell>
          <cell r="K860" t="str">
            <v/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</row>
        <row r="861">
          <cell r="B861">
            <v>440653</v>
          </cell>
          <cell r="C861" t="str">
            <v>NOT USED</v>
          </cell>
          <cell r="D861" t="str">
            <v>EL REV-ESCO W/SUPPLY ADJUST-RESIDENTIAL-MBBC</v>
          </cell>
          <cell r="E861" t="str">
            <v/>
          </cell>
          <cell r="F861" t="str">
            <v/>
          </cell>
          <cell r="G861" t="str">
            <v/>
          </cell>
          <cell r="H861" t="str">
            <v/>
          </cell>
          <cell r="I861" t="str">
            <v/>
          </cell>
          <cell r="J861" t="str">
            <v/>
          </cell>
          <cell r="K861" t="str">
            <v/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</row>
        <row r="862">
          <cell r="B862">
            <v>440655</v>
          </cell>
          <cell r="C862" t="str">
            <v>NOT USED</v>
          </cell>
          <cell r="D862" t="str">
            <v>E-UNBILL-RESIDENTIAL-COMMODITY GROSS RECEIPTS TAX</v>
          </cell>
          <cell r="E862" t="str">
            <v/>
          </cell>
          <cell r="F862" t="str">
            <v/>
          </cell>
          <cell r="G862" t="str">
            <v/>
          </cell>
          <cell r="H862" t="str">
            <v/>
          </cell>
          <cell r="I862" t="str">
            <v/>
          </cell>
          <cell r="J862" t="str">
            <v/>
          </cell>
          <cell r="K862" t="str">
            <v/>
          </cell>
          <cell r="L862">
            <v>4.1449999999999996</v>
          </cell>
          <cell r="M862">
            <v>-10.186999999999999</v>
          </cell>
          <cell r="N862">
            <v>22.651</v>
          </cell>
          <cell r="O862">
            <v>16.213000000000001</v>
          </cell>
          <cell r="P862">
            <v>22.792999999999999</v>
          </cell>
          <cell r="Q862">
            <v>16.408999999999999</v>
          </cell>
          <cell r="R862">
            <v>7.5813199999999998</v>
          </cell>
          <cell r="S862">
            <v>-12.77319</v>
          </cell>
          <cell r="T862">
            <v>-5.6845600000000003</v>
          </cell>
          <cell r="U862">
            <v>12.82023</v>
          </cell>
          <cell r="V862">
            <v>6.2426199999999996</v>
          </cell>
          <cell r="W862">
            <v>4.1898600000000004</v>
          </cell>
          <cell r="X862">
            <v>8.3669999999999994E-2</v>
          </cell>
          <cell r="Y862">
            <v>6.8641350000000001</v>
          </cell>
        </row>
        <row r="863">
          <cell r="B863">
            <v>440673</v>
          </cell>
          <cell r="C863" t="str">
            <v>NOT USED</v>
          </cell>
          <cell r="D863" t="str">
            <v>ELEC REV-ESCO W/SUPPLY ADJUST-RESIDNT-DELIVERY GR</v>
          </cell>
          <cell r="E863" t="str">
            <v/>
          </cell>
          <cell r="F863" t="str">
            <v/>
          </cell>
          <cell r="G863" t="str">
            <v/>
          </cell>
          <cell r="H863" t="str">
            <v/>
          </cell>
          <cell r="I863" t="str">
            <v/>
          </cell>
          <cell r="J863" t="str">
            <v/>
          </cell>
          <cell r="K863" t="str">
            <v/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</row>
        <row r="864">
          <cell r="B864">
            <v>442100</v>
          </cell>
          <cell r="C864" t="str">
            <v>NOT USED</v>
          </cell>
          <cell r="D864" t="str">
            <v>ELEC REVENUE - COMMERCIAL-REGULAR</v>
          </cell>
          <cell r="E864" t="str">
            <v/>
          </cell>
          <cell r="F864" t="str">
            <v/>
          </cell>
          <cell r="G864" t="str">
            <v/>
          </cell>
          <cell r="H864" t="str">
            <v/>
          </cell>
          <cell r="I864" t="str">
            <v/>
          </cell>
          <cell r="J864" t="str">
            <v/>
          </cell>
          <cell r="K864" t="str">
            <v/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</row>
        <row r="865">
          <cell r="B865">
            <v>442110</v>
          </cell>
          <cell r="C865" t="str">
            <v>NOT USED</v>
          </cell>
          <cell r="D865" t="str">
            <v>ELEC REVENUE-COMMERCIAL-ECON DEVELOPMNT CREDIT</v>
          </cell>
          <cell r="E865" t="str">
            <v/>
          </cell>
          <cell r="F865" t="str">
            <v/>
          </cell>
          <cell r="G865" t="str">
            <v/>
          </cell>
          <cell r="H865" t="str">
            <v/>
          </cell>
          <cell r="I865" t="str">
            <v/>
          </cell>
          <cell r="J865" t="str">
            <v/>
          </cell>
          <cell r="K865" t="str">
            <v/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</row>
        <row r="866">
          <cell r="B866">
            <v>442120</v>
          </cell>
          <cell r="C866" t="str">
            <v>NOT USED</v>
          </cell>
          <cell r="D866" t="str">
            <v>ELEC REVENUE -FIXED - COMMERCIAL-DELIVERY</v>
          </cell>
          <cell r="E866" t="str">
            <v/>
          </cell>
          <cell r="F866" t="str">
            <v/>
          </cell>
          <cell r="G866" t="str">
            <v/>
          </cell>
          <cell r="H866" t="str">
            <v/>
          </cell>
          <cell r="I866" t="str">
            <v/>
          </cell>
          <cell r="J866" t="str">
            <v/>
          </cell>
          <cell r="K866" t="str">
            <v/>
          </cell>
          <cell r="L866">
            <v>-25737.69657</v>
          </cell>
          <cell r="M866">
            <v>-2481.1587199999999</v>
          </cell>
          <cell r="N866">
            <v>-4954.49521</v>
          </cell>
          <cell r="O866">
            <v>-7334.5431799999997</v>
          </cell>
          <cell r="P866">
            <v>-9664.7610700000005</v>
          </cell>
          <cell r="Q866">
            <v>-11992.550950000001</v>
          </cell>
          <cell r="R866">
            <v>-14505.776529999999</v>
          </cell>
          <cell r="S866">
            <v>-17108.578379999999</v>
          </cell>
          <cell r="T866">
            <v>-19710.286800000002</v>
          </cell>
          <cell r="U866">
            <v>-22327.99841</v>
          </cell>
          <cell r="V866">
            <v>-24879.248960000001</v>
          </cell>
          <cell r="W866">
            <v>-27234.500960000001</v>
          </cell>
          <cell r="X866">
            <v>-29648.048129999999</v>
          </cell>
          <cell r="Y866">
            <v>-15823.897627</v>
          </cell>
        </row>
        <row r="867">
          <cell r="B867">
            <v>442125</v>
          </cell>
          <cell r="C867" t="str">
            <v>NOT USED</v>
          </cell>
          <cell r="D867" t="str">
            <v>ELEC REVENUE-FIXED-COMMERCIAL-UNBILLED DELIVERY</v>
          </cell>
          <cell r="E867" t="str">
            <v/>
          </cell>
          <cell r="F867" t="str">
            <v/>
          </cell>
          <cell r="G867" t="str">
            <v/>
          </cell>
          <cell r="H867" t="str">
            <v/>
          </cell>
          <cell r="I867" t="str">
            <v/>
          </cell>
          <cell r="J867" t="str">
            <v/>
          </cell>
          <cell r="K867" t="str">
            <v/>
          </cell>
          <cell r="L867">
            <v>121.187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5.0494579999999996</v>
          </cell>
        </row>
        <row r="868">
          <cell r="B868">
            <v>442128</v>
          </cell>
          <cell r="C868" t="str">
            <v>NOT USED</v>
          </cell>
          <cell r="D868" t="str">
            <v>ELEC REV-COMMERCIAL-DELIVERY CHARGE-RETAIL ACCESS</v>
          </cell>
          <cell r="E868" t="str">
            <v/>
          </cell>
          <cell r="F868" t="str">
            <v/>
          </cell>
          <cell r="G868" t="str">
            <v/>
          </cell>
          <cell r="H868" t="str">
            <v/>
          </cell>
          <cell r="I868" t="str">
            <v/>
          </cell>
          <cell r="J868" t="str">
            <v/>
          </cell>
          <cell r="K868" t="str">
            <v/>
          </cell>
          <cell r="L868">
            <v>-48768.570099999997</v>
          </cell>
          <cell r="M868">
            <v>-5783.6174000000001</v>
          </cell>
          <cell r="N868">
            <v>-11507.555189999999</v>
          </cell>
          <cell r="O868">
            <v>-17270.690259999999</v>
          </cell>
          <cell r="P868">
            <v>-23154.708460000002</v>
          </cell>
          <cell r="Q868">
            <v>-29303.837049999998</v>
          </cell>
          <cell r="R868">
            <v>-36102.26238</v>
          </cell>
          <cell r="S868">
            <v>-43186.583850000003</v>
          </cell>
          <cell r="T868">
            <v>-50391.647010000001</v>
          </cell>
          <cell r="U868">
            <v>-57125.310700000002</v>
          </cell>
          <cell r="V868">
            <v>-63655.069889999999</v>
          </cell>
          <cell r="W868">
            <v>-69622.816789999997</v>
          </cell>
          <cell r="X868">
            <v>-75492.576639999999</v>
          </cell>
          <cell r="Y868">
            <v>-39102.889363000002</v>
          </cell>
        </row>
        <row r="869">
          <cell r="B869">
            <v>442130</v>
          </cell>
          <cell r="C869" t="str">
            <v>NOT USED</v>
          </cell>
          <cell r="D869" t="str">
            <v>ELECTRIC REVENUE - FIXED - COMMERCIAL-COMMODITY</v>
          </cell>
          <cell r="E869" t="str">
            <v/>
          </cell>
          <cell r="F869" t="str">
            <v/>
          </cell>
          <cell r="G869" t="str">
            <v/>
          </cell>
          <cell r="H869" t="str">
            <v/>
          </cell>
          <cell r="I869" t="str">
            <v/>
          </cell>
          <cell r="J869" t="str">
            <v/>
          </cell>
          <cell r="K869" t="str">
            <v/>
          </cell>
          <cell r="L869">
            <v>-30892.248909999998</v>
          </cell>
          <cell r="M869">
            <v>-3030.4452900000001</v>
          </cell>
          <cell r="N869">
            <v>-5558.6051799999996</v>
          </cell>
          <cell r="O869">
            <v>-7179.1433200000001</v>
          </cell>
          <cell r="P869">
            <v>-9016.2571200000002</v>
          </cell>
          <cell r="Q869">
            <v>-10820.066510000001</v>
          </cell>
          <cell r="R869">
            <v>-13070.82071</v>
          </cell>
          <cell r="S869">
            <v>-15635.86354</v>
          </cell>
          <cell r="T869">
            <v>-18092.692609999998</v>
          </cell>
          <cell r="U869">
            <v>-20069.195909999999</v>
          </cell>
          <cell r="V869">
            <v>-21921.84865</v>
          </cell>
          <cell r="W869">
            <v>-23757.25765</v>
          </cell>
          <cell r="X869">
            <v>-25667.689170000001</v>
          </cell>
          <cell r="Y869">
            <v>-14702.680461</v>
          </cell>
        </row>
        <row r="870">
          <cell r="B870">
            <v>442131</v>
          </cell>
          <cell r="C870" t="str">
            <v>NOT USED</v>
          </cell>
          <cell r="D870" t="str">
            <v>ELEC REV-FPO SPECIAL CONTRACT-COMMERCIAL-COMMODIT</v>
          </cell>
          <cell r="E870" t="str">
            <v/>
          </cell>
          <cell r="F870" t="str">
            <v/>
          </cell>
          <cell r="G870" t="str">
            <v/>
          </cell>
          <cell r="H870" t="str">
            <v/>
          </cell>
          <cell r="I870" t="str">
            <v/>
          </cell>
          <cell r="J870" t="str">
            <v/>
          </cell>
          <cell r="K870" t="str">
            <v/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</row>
        <row r="871">
          <cell r="B871">
            <v>442135</v>
          </cell>
          <cell r="C871" t="str">
            <v>NOT USED</v>
          </cell>
          <cell r="D871" t="str">
            <v>ELEC REVENUE-FIXED-COMMERCIAL-UNBILLED COMMODITY</v>
          </cell>
          <cell r="E871" t="str">
            <v/>
          </cell>
          <cell r="F871" t="str">
            <v/>
          </cell>
          <cell r="G871" t="str">
            <v/>
          </cell>
          <cell r="H871" t="str">
            <v/>
          </cell>
          <cell r="I871" t="str">
            <v/>
          </cell>
          <cell r="J871" t="str">
            <v/>
          </cell>
          <cell r="K871" t="str">
            <v/>
          </cell>
          <cell r="L871">
            <v>226.87700000000001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9.4532080000000001</v>
          </cell>
        </row>
        <row r="872">
          <cell r="B872">
            <v>442138</v>
          </cell>
          <cell r="C872" t="str">
            <v>NOT USED</v>
          </cell>
          <cell r="D872" t="str">
            <v>ELEC REV-COMMERCIAL-SUPPLY CHARGE-RETAIL ACCESS</v>
          </cell>
          <cell r="E872" t="str">
            <v/>
          </cell>
          <cell r="F872" t="str">
            <v/>
          </cell>
          <cell r="G872" t="str">
            <v/>
          </cell>
          <cell r="H872" t="str">
            <v/>
          </cell>
          <cell r="I872" t="str">
            <v/>
          </cell>
          <cell r="J872" t="str">
            <v/>
          </cell>
          <cell r="K872" t="str">
            <v/>
          </cell>
          <cell r="L872">
            <v>-9.5950600000000001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-0.39979399999999998</v>
          </cell>
        </row>
        <row r="873">
          <cell r="B873">
            <v>442140</v>
          </cell>
          <cell r="C873" t="str">
            <v>NOT USED</v>
          </cell>
          <cell r="D873" t="str">
            <v>ELEC REV-FIXED-COMMERCIAL-TRANSITION CHARGE</v>
          </cell>
          <cell r="E873" t="str">
            <v/>
          </cell>
          <cell r="F873" t="str">
            <v/>
          </cell>
          <cell r="G873" t="str">
            <v/>
          </cell>
          <cell r="H873" t="str">
            <v/>
          </cell>
          <cell r="I873" t="str">
            <v/>
          </cell>
          <cell r="J873" t="str">
            <v/>
          </cell>
          <cell r="K873" t="str">
            <v/>
          </cell>
          <cell r="L873">
            <v>-6097.2665699999998</v>
          </cell>
          <cell r="M873">
            <v>-4.8327600000000004</v>
          </cell>
          <cell r="N873">
            <v>209.53637000000001</v>
          </cell>
          <cell r="O873">
            <v>436.74399</v>
          </cell>
          <cell r="P873">
            <v>562.54960000000005</v>
          </cell>
          <cell r="Q873">
            <v>565.84082999999998</v>
          </cell>
          <cell r="R873">
            <v>472.89917000000003</v>
          </cell>
          <cell r="S873">
            <v>302.50421</v>
          </cell>
          <cell r="T873">
            <v>71.781409999999994</v>
          </cell>
          <cell r="U873">
            <v>-160.37918999999999</v>
          </cell>
          <cell r="V873">
            <v>-166.07683</v>
          </cell>
          <cell r="W873">
            <v>-95.294650000000004</v>
          </cell>
          <cell r="X873">
            <v>-122.95484</v>
          </cell>
          <cell r="Y873">
            <v>-76.236546000000004</v>
          </cell>
        </row>
        <row r="874">
          <cell r="B874">
            <v>442142</v>
          </cell>
          <cell r="C874" t="str">
            <v>NOT USED</v>
          </cell>
          <cell r="D874" t="str">
            <v>ELEC REV-COMMERCIAL-BILLING CHARGE-MFC COMMODITY</v>
          </cell>
          <cell r="E874" t="str">
            <v/>
          </cell>
          <cell r="F874" t="str">
            <v/>
          </cell>
          <cell r="G874" t="str">
            <v/>
          </cell>
          <cell r="H874" t="str">
            <v/>
          </cell>
          <cell r="I874" t="str">
            <v/>
          </cell>
          <cell r="J874" t="str">
            <v/>
          </cell>
          <cell r="K874" t="str">
            <v/>
          </cell>
          <cell r="L874">
            <v>-37.878270000000001</v>
          </cell>
          <cell r="M874">
            <v>-17.889089999999999</v>
          </cell>
          <cell r="N874">
            <v>-32.871310000000001</v>
          </cell>
          <cell r="O874">
            <v>-45.453989999999997</v>
          </cell>
          <cell r="P874">
            <v>-59.892270000000003</v>
          </cell>
          <cell r="Q874">
            <v>-70.518680000000003</v>
          </cell>
          <cell r="R874">
            <v>-79.98733</v>
          </cell>
          <cell r="S874">
            <v>-92.015649999999994</v>
          </cell>
          <cell r="T874">
            <v>-103.93675</v>
          </cell>
          <cell r="U874">
            <v>-117.44166</v>
          </cell>
          <cell r="V874">
            <v>-134.90253000000001</v>
          </cell>
          <cell r="W874">
            <v>-153.02768</v>
          </cell>
          <cell r="X874">
            <v>-171.72621000000001</v>
          </cell>
          <cell r="Y874">
            <v>-84.394931999999997</v>
          </cell>
        </row>
        <row r="875">
          <cell r="B875">
            <v>442143</v>
          </cell>
          <cell r="C875" t="str">
            <v>NOT USED</v>
          </cell>
          <cell r="D875" t="str">
            <v>ELEC REV-COMMERCIAL-BILLING CHARGE-MFC DELIVERY</v>
          </cell>
          <cell r="E875" t="str">
            <v/>
          </cell>
          <cell r="F875" t="str">
            <v/>
          </cell>
          <cell r="G875" t="str">
            <v/>
          </cell>
          <cell r="H875" t="str">
            <v/>
          </cell>
          <cell r="I875" t="str">
            <v/>
          </cell>
          <cell r="J875" t="str">
            <v/>
          </cell>
          <cell r="K875" t="str">
            <v/>
          </cell>
          <cell r="L875">
            <v>-519.27371000000005</v>
          </cell>
          <cell r="M875">
            <v>-214.14180999999999</v>
          </cell>
          <cell r="N875">
            <v>-418.15947999999997</v>
          </cell>
          <cell r="O875">
            <v>-611.26566000000003</v>
          </cell>
          <cell r="P875">
            <v>-794.21920999999998</v>
          </cell>
          <cell r="Q875">
            <v>-963.91494999999998</v>
          </cell>
          <cell r="R875">
            <v>-1161.2790500000001</v>
          </cell>
          <cell r="S875">
            <v>-1375.5279</v>
          </cell>
          <cell r="T875">
            <v>-1584.59557</v>
          </cell>
          <cell r="U875">
            <v>-1789.1590900000001</v>
          </cell>
          <cell r="V875">
            <v>-1968.9009100000001</v>
          </cell>
          <cell r="W875">
            <v>-2134.6932499999998</v>
          </cell>
          <cell r="X875">
            <v>-2314.3992199999998</v>
          </cell>
          <cell r="Y875">
            <v>-1202.7244450000001</v>
          </cell>
        </row>
        <row r="876">
          <cell r="B876">
            <v>442148</v>
          </cell>
          <cell r="C876" t="str">
            <v>NOT USED</v>
          </cell>
          <cell r="D876" t="str">
            <v>ELEC REV-COMMERCIAL-TRANSITION CHRG-RETAIL ACCESS</v>
          </cell>
          <cell r="E876" t="str">
            <v/>
          </cell>
          <cell r="F876" t="str">
            <v/>
          </cell>
          <cell r="G876" t="str">
            <v/>
          </cell>
          <cell r="H876" t="str">
            <v/>
          </cell>
          <cell r="I876" t="str">
            <v/>
          </cell>
          <cell r="J876" t="str">
            <v/>
          </cell>
          <cell r="K876" t="str">
            <v/>
          </cell>
          <cell r="L876">
            <v>-21547.640810000001</v>
          </cell>
          <cell r="M876">
            <v>124.00682999999999</v>
          </cell>
          <cell r="N876">
            <v>993.38418999999999</v>
          </cell>
          <cell r="O876">
            <v>1845.7723000000001</v>
          </cell>
          <cell r="P876">
            <v>2295.7237500000001</v>
          </cell>
          <cell r="Q876">
            <v>2230.4007200000001</v>
          </cell>
          <cell r="R876">
            <v>1799.6350199999999</v>
          </cell>
          <cell r="S876">
            <v>1039.6529800000001</v>
          </cell>
          <cell r="T876">
            <v>-9.2329699999999999</v>
          </cell>
          <cell r="U876">
            <v>-891.01383999999996</v>
          </cell>
          <cell r="V876">
            <v>-728.14549</v>
          </cell>
          <cell r="W876">
            <v>-532.33321999999998</v>
          </cell>
          <cell r="X876">
            <v>-667.74748</v>
          </cell>
          <cell r="Y876">
            <v>-244.98698999999999</v>
          </cell>
        </row>
        <row r="877">
          <cell r="B877">
            <v>442149</v>
          </cell>
          <cell r="C877" t="str">
            <v>NOT USED</v>
          </cell>
          <cell r="D877" t="str">
            <v>ELEC REV-COMMERCIAL-EEPS</v>
          </cell>
          <cell r="E877" t="str">
            <v/>
          </cell>
          <cell r="F877" t="str">
            <v/>
          </cell>
          <cell r="G877" t="str">
            <v/>
          </cell>
          <cell r="H877" t="str">
            <v/>
          </cell>
          <cell r="I877" t="str">
            <v/>
          </cell>
          <cell r="J877" t="str">
            <v/>
          </cell>
          <cell r="K877" t="str">
            <v/>
          </cell>
          <cell r="L877">
            <v>-913.42061999999999</v>
          </cell>
          <cell r="M877">
            <v>-80.661709999999999</v>
          </cell>
          <cell r="N877">
            <v>-162.45687000000001</v>
          </cell>
          <cell r="O877">
            <v>-243.9922</v>
          </cell>
          <cell r="P877">
            <v>-320.97723000000002</v>
          </cell>
          <cell r="Q877">
            <v>-392.28268000000003</v>
          </cell>
          <cell r="R877">
            <v>-475.11245000000002</v>
          </cell>
          <cell r="S877">
            <v>-564.90461000000005</v>
          </cell>
          <cell r="T877">
            <v>-652.46812999999997</v>
          </cell>
          <cell r="U877">
            <v>-740.67845</v>
          </cell>
          <cell r="V877">
            <v>-820.39175</v>
          </cell>
          <cell r="W877">
            <v>-894.30259000000001</v>
          </cell>
          <cell r="X877">
            <v>-975.47293000000002</v>
          </cell>
          <cell r="Y877">
            <v>-524.38962000000004</v>
          </cell>
        </row>
        <row r="878">
          <cell r="B878">
            <v>442150</v>
          </cell>
          <cell r="C878" t="str">
            <v>NOT USED</v>
          </cell>
          <cell r="D878" t="str">
            <v>ELEC REV-FIXED-COMMERCIAL-SYSTEM BENEFIT CHARGES</v>
          </cell>
          <cell r="E878" t="str">
            <v/>
          </cell>
          <cell r="F878" t="str">
            <v/>
          </cell>
          <cell r="G878" t="str">
            <v/>
          </cell>
          <cell r="H878" t="str">
            <v/>
          </cell>
          <cell r="I878" t="str">
            <v/>
          </cell>
          <cell r="J878" t="str">
            <v/>
          </cell>
          <cell r="K878" t="str">
            <v/>
          </cell>
          <cell r="L878">
            <v>-477.84550999999999</v>
          </cell>
          <cell r="M878">
            <v>-65.267080000000007</v>
          </cell>
          <cell r="N878">
            <v>-96.641580000000005</v>
          </cell>
          <cell r="O878">
            <v>-96.503699999999995</v>
          </cell>
          <cell r="P878">
            <v>-96.493489999999994</v>
          </cell>
          <cell r="Q878">
            <v>-96.460390000000004</v>
          </cell>
          <cell r="R878">
            <v>-96.445310000000006</v>
          </cell>
          <cell r="S878">
            <v>-96.435199999999995</v>
          </cell>
          <cell r="T878">
            <v>-96.381770000000003</v>
          </cell>
          <cell r="U878">
            <v>-96.389570000000006</v>
          </cell>
          <cell r="V878">
            <v>-96.407610000000005</v>
          </cell>
          <cell r="W878">
            <v>-96.411109999999994</v>
          </cell>
          <cell r="X878">
            <v>-96.411500000000004</v>
          </cell>
          <cell r="Y878">
            <v>-109.74711000000001</v>
          </cell>
        </row>
        <row r="879">
          <cell r="B879">
            <v>442151</v>
          </cell>
          <cell r="C879" t="str">
            <v>NOT USED</v>
          </cell>
          <cell r="D879" t="str">
            <v>ELEC REV-FIXED-COMMERCIAL-RETAIL ACCESS SURCHARGE</v>
          </cell>
          <cell r="E879" t="str">
            <v/>
          </cell>
          <cell r="F879" t="str">
            <v/>
          </cell>
          <cell r="G879" t="str">
            <v/>
          </cell>
          <cell r="H879" t="str">
            <v/>
          </cell>
          <cell r="I879" t="str">
            <v/>
          </cell>
          <cell r="J879" t="str">
            <v/>
          </cell>
          <cell r="K879" t="str">
            <v/>
          </cell>
          <cell r="L879">
            <v>-4672.3629499999997</v>
          </cell>
          <cell r="M879">
            <v>0.16375999999999999</v>
          </cell>
          <cell r="N879">
            <v>0.22044</v>
          </cell>
          <cell r="O879">
            <v>0.14951</v>
          </cell>
          <cell r="P879">
            <v>0.13585</v>
          </cell>
          <cell r="Q879">
            <v>0.15060000000000001</v>
          </cell>
          <cell r="R879">
            <v>0.13866999999999999</v>
          </cell>
          <cell r="S879">
            <v>0.16100999999999999</v>
          </cell>
          <cell r="T879">
            <v>0.28722999999999999</v>
          </cell>
          <cell r="U879">
            <v>0.24840999999999999</v>
          </cell>
          <cell r="V879">
            <v>0.65347999999999995</v>
          </cell>
          <cell r="W879">
            <v>0.24929000000000001</v>
          </cell>
          <cell r="X879">
            <v>0.65137</v>
          </cell>
          <cell r="Y879">
            <v>-194.441462</v>
          </cell>
        </row>
        <row r="880">
          <cell r="B880">
            <v>442152</v>
          </cell>
          <cell r="C880" t="str">
            <v>NOT USED</v>
          </cell>
          <cell r="D880" t="str">
            <v>ELEC REVENUE - COMMERCIAL-SUPPLY RECONCILIATION</v>
          </cell>
          <cell r="E880" t="str">
            <v/>
          </cell>
          <cell r="F880" t="str">
            <v/>
          </cell>
          <cell r="G880" t="str">
            <v/>
          </cell>
          <cell r="H880" t="str">
            <v/>
          </cell>
          <cell r="I880" t="str">
            <v/>
          </cell>
          <cell r="J880" t="str">
            <v/>
          </cell>
          <cell r="K880" t="str">
            <v/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</row>
        <row r="881">
          <cell r="B881">
            <v>442153</v>
          </cell>
          <cell r="C881" t="str">
            <v>NOT USED</v>
          </cell>
          <cell r="D881" t="str">
            <v>ELEC REV-COMMERCIAL-SURCHARGE RETAIL ACCESS</v>
          </cell>
          <cell r="E881" t="str">
            <v/>
          </cell>
          <cell r="F881" t="str">
            <v/>
          </cell>
          <cell r="G881" t="str">
            <v/>
          </cell>
          <cell r="H881" t="str">
            <v/>
          </cell>
          <cell r="I881" t="str">
            <v/>
          </cell>
          <cell r="J881" t="str">
            <v/>
          </cell>
          <cell r="K881" t="str">
            <v/>
          </cell>
          <cell r="L881">
            <v>-3828.1717199999998</v>
          </cell>
          <cell r="M881">
            <v>-321.8141</v>
          </cell>
          <cell r="N881">
            <v>-634.40219999999999</v>
          </cell>
          <cell r="O881">
            <v>-946.28346999999997</v>
          </cell>
          <cell r="P881">
            <v>-1262.6863800000001</v>
          </cell>
          <cell r="Q881">
            <v>-1587.62014</v>
          </cell>
          <cell r="R881">
            <v>-1953.86022</v>
          </cell>
          <cell r="S881">
            <v>-2341.62021</v>
          </cell>
          <cell r="T881">
            <v>-2736.7726400000001</v>
          </cell>
          <cell r="U881">
            <v>-3096.14921</v>
          </cell>
          <cell r="V881">
            <v>-3433.5112600000002</v>
          </cell>
          <cell r="W881">
            <v>-3696.74478</v>
          </cell>
          <cell r="X881">
            <v>-3933.6488100000001</v>
          </cell>
          <cell r="Y881">
            <v>-2157.6979059999999</v>
          </cell>
        </row>
        <row r="882">
          <cell r="B882">
            <v>442154</v>
          </cell>
          <cell r="C882" t="str">
            <v>NOT USED</v>
          </cell>
          <cell r="D882" t="str">
            <v>ELEC REV-COMMERCIAL-SURCHARGE FULL SERVICE</v>
          </cell>
          <cell r="E882" t="str">
            <v/>
          </cell>
          <cell r="F882" t="str">
            <v/>
          </cell>
          <cell r="G882" t="str">
            <v/>
          </cell>
          <cell r="H882" t="str">
            <v/>
          </cell>
          <cell r="I882" t="str">
            <v/>
          </cell>
          <cell r="J882" t="str">
            <v/>
          </cell>
          <cell r="K882" t="str">
            <v/>
          </cell>
          <cell r="L882">
            <v>-1323.0486800000001</v>
          </cell>
          <cell r="M882">
            <v>-114.44589000000001</v>
          </cell>
          <cell r="N882">
            <v>-226.64895999999999</v>
          </cell>
          <cell r="O882">
            <v>-334.77060999999998</v>
          </cell>
          <cell r="P882">
            <v>-437.84062</v>
          </cell>
          <cell r="Q882">
            <v>-534.58195000000001</v>
          </cell>
          <cell r="R882">
            <v>-644.34226999999998</v>
          </cell>
          <cell r="S882">
            <v>-762.29315999999994</v>
          </cell>
          <cell r="T882">
            <v>-879.00468999999998</v>
          </cell>
          <cell r="U882">
            <v>-994.49125000000004</v>
          </cell>
          <cell r="V882">
            <v>-1100.77331</v>
          </cell>
          <cell r="W882">
            <v>-1191.3366100000001</v>
          </cell>
          <cell r="X882">
            <v>-1277.7162699999999</v>
          </cell>
          <cell r="Y882">
            <v>-710.07598299999995</v>
          </cell>
        </row>
        <row r="883">
          <cell r="B883">
            <v>442158</v>
          </cell>
          <cell r="C883" t="str">
            <v>NOT USED</v>
          </cell>
          <cell r="D883" t="str">
            <v>ELEC REV-COMMERCIAL-SYSTEM BENEFIT CHRG-RTL ACCES</v>
          </cell>
          <cell r="E883" t="str">
            <v/>
          </cell>
          <cell r="F883" t="str">
            <v/>
          </cell>
          <cell r="G883" t="str">
            <v/>
          </cell>
          <cell r="H883" t="str">
            <v/>
          </cell>
          <cell r="I883" t="str">
            <v/>
          </cell>
          <cell r="J883" t="str">
            <v/>
          </cell>
          <cell r="K883" t="str">
            <v/>
          </cell>
          <cell r="L883">
            <v>-1720.1954499999999</v>
          </cell>
          <cell r="M883">
            <v>-237.24459999999999</v>
          </cell>
          <cell r="N883">
            <v>-319.56905</v>
          </cell>
          <cell r="O883">
            <v>-320.0847</v>
          </cell>
          <cell r="P883">
            <v>-320.09228000000002</v>
          </cell>
          <cell r="Q883">
            <v>-320.07037000000003</v>
          </cell>
          <cell r="R883">
            <v>-320.06644</v>
          </cell>
          <cell r="S883">
            <v>-320.06941999999998</v>
          </cell>
          <cell r="T883">
            <v>-320.06858999999997</v>
          </cell>
          <cell r="U883">
            <v>-320.07126</v>
          </cell>
          <cell r="V883">
            <v>-319.82636000000002</v>
          </cell>
          <cell r="W883">
            <v>-320.07100000000003</v>
          </cell>
          <cell r="X883">
            <v>-319.82733999999999</v>
          </cell>
          <cell r="Y883">
            <v>-371.43712199999999</v>
          </cell>
        </row>
        <row r="884">
          <cell r="B884">
            <v>442159</v>
          </cell>
          <cell r="C884" t="str">
            <v>NOT USED</v>
          </cell>
          <cell r="D884" t="str">
            <v>ELEC REV-COMMERCIAL-EEPS-RETAIL ACCESS</v>
          </cell>
          <cell r="E884" t="str">
            <v/>
          </cell>
          <cell r="F884" t="str">
            <v/>
          </cell>
          <cell r="G884" t="str">
            <v/>
          </cell>
          <cell r="H884" t="str">
            <v/>
          </cell>
          <cell r="I884" t="str">
            <v/>
          </cell>
          <cell r="J884" t="str">
            <v/>
          </cell>
          <cell r="K884" t="str">
            <v/>
          </cell>
          <cell r="L884">
            <v>-3250.7569400000002</v>
          </cell>
          <cell r="M884">
            <v>-293.41989999999998</v>
          </cell>
          <cell r="N884">
            <v>-591.92642999999998</v>
          </cell>
          <cell r="O884">
            <v>-896.19505000000004</v>
          </cell>
          <cell r="P884">
            <v>-1200.933</v>
          </cell>
          <cell r="Q884">
            <v>-1496.0768599999999</v>
          </cell>
          <cell r="R884">
            <v>-1835.02097</v>
          </cell>
          <cell r="S884">
            <v>-2203.1931500000001</v>
          </cell>
          <cell r="T884">
            <v>-2570.0409800000002</v>
          </cell>
          <cell r="U884">
            <v>-2907.6565999999998</v>
          </cell>
          <cell r="V884">
            <v>-3226.2893600000002</v>
          </cell>
          <cell r="W884">
            <v>-3521.3245999999999</v>
          </cell>
          <cell r="X884">
            <v>-3821.8446899999999</v>
          </cell>
          <cell r="Y884">
            <v>-2023.1981430000001</v>
          </cell>
        </row>
        <row r="885">
          <cell r="B885">
            <v>442160</v>
          </cell>
          <cell r="C885" t="str">
            <v>NOT USED</v>
          </cell>
          <cell r="D885" t="str">
            <v>ELEC REV-COMMERCIAL-RENEWABLE PORTFOLIO CHARGE</v>
          </cell>
          <cell r="E885" t="str">
            <v/>
          </cell>
          <cell r="F885" t="str">
            <v/>
          </cell>
          <cell r="G885" t="str">
            <v/>
          </cell>
          <cell r="H885" t="str">
            <v/>
          </cell>
          <cell r="I885" t="str">
            <v/>
          </cell>
          <cell r="J885" t="str">
            <v/>
          </cell>
          <cell r="K885" t="str">
            <v/>
          </cell>
          <cell r="L885">
            <v>-687.04369999999994</v>
          </cell>
          <cell r="M885">
            <v>-82.942170000000004</v>
          </cell>
          <cell r="N885">
            <v>-162.47735</v>
          </cell>
          <cell r="O885">
            <v>-237.63526999999999</v>
          </cell>
          <cell r="P885">
            <v>-308.61293999999998</v>
          </cell>
          <cell r="Q885">
            <v>-374.35385000000002</v>
          </cell>
          <cell r="R885">
            <v>-450.71773000000002</v>
          </cell>
          <cell r="S885">
            <v>-533.50973999999997</v>
          </cell>
          <cell r="T885">
            <v>-614.26651000000004</v>
          </cell>
          <cell r="U885">
            <v>-695.59294</v>
          </cell>
          <cell r="V885">
            <v>-773.90905999999995</v>
          </cell>
          <cell r="W885">
            <v>-850.66646000000003</v>
          </cell>
          <cell r="X885">
            <v>-934.96433999999999</v>
          </cell>
          <cell r="Y885">
            <v>-491.30733700000002</v>
          </cell>
        </row>
        <row r="886">
          <cell r="B886">
            <v>442168</v>
          </cell>
          <cell r="C886" t="str">
            <v>NOT USED</v>
          </cell>
          <cell r="D886" t="str">
            <v>ELEC REV-COMMERCIAL-RENEWABLE PORTFOLIO-RETAIL AC</v>
          </cell>
          <cell r="E886" t="str">
            <v/>
          </cell>
          <cell r="F886" t="str">
            <v/>
          </cell>
          <cell r="G886" t="str">
            <v/>
          </cell>
          <cell r="H886" t="str">
            <v/>
          </cell>
          <cell r="I886" t="str">
            <v/>
          </cell>
          <cell r="J886" t="str">
            <v/>
          </cell>
          <cell r="K886" t="str">
            <v/>
          </cell>
          <cell r="L886">
            <v>-2464.3042399999999</v>
          </cell>
          <cell r="M886">
            <v>-301.56849</v>
          </cell>
          <cell r="N886">
            <v>-587.56296999999995</v>
          </cell>
          <cell r="O886">
            <v>-868.15254000000004</v>
          </cell>
          <cell r="P886">
            <v>-1149.12103</v>
          </cell>
          <cell r="Q886">
            <v>-1421.2445700000001</v>
          </cell>
          <cell r="R886">
            <v>-1733.7505799999999</v>
          </cell>
          <cell r="S886">
            <v>-2073.2071000000001</v>
          </cell>
          <cell r="T886">
            <v>-2411.4425200000001</v>
          </cell>
          <cell r="U886">
            <v>-2722.7264399999999</v>
          </cell>
          <cell r="V886">
            <v>-3040.9568199999999</v>
          </cell>
          <cell r="W886">
            <v>-3347.17182</v>
          </cell>
          <cell r="X886">
            <v>-3659.3989200000001</v>
          </cell>
          <cell r="Y886">
            <v>-1893.229705</v>
          </cell>
        </row>
        <row r="887">
          <cell r="B887">
            <v>442173</v>
          </cell>
          <cell r="C887" t="str">
            <v>NOT USED</v>
          </cell>
          <cell r="D887" t="str">
            <v>ELEC REVENUE-FIXED-COMMERCIAL-DELIVERY GRT</v>
          </cell>
          <cell r="E887" t="str">
            <v/>
          </cell>
          <cell r="F887" t="str">
            <v/>
          </cell>
          <cell r="G887" t="str">
            <v/>
          </cell>
          <cell r="H887" t="str">
            <v/>
          </cell>
          <cell r="I887" t="str">
            <v/>
          </cell>
          <cell r="J887" t="str">
            <v/>
          </cell>
          <cell r="K887" t="str">
            <v/>
          </cell>
          <cell r="L887">
            <v>-338.20431000000002</v>
          </cell>
          <cell r="M887">
            <v>-26.271080000000001</v>
          </cell>
          <cell r="N887">
            <v>-50.289270000000002</v>
          </cell>
          <cell r="O887">
            <v>-72.431899999999999</v>
          </cell>
          <cell r="P887">
            <v>-94.923670000000001</v>
          </cell>
          <cell r="Q887">
            <v>-118.54792999999999</v>
          </cell>
          <cell r="R887">
            <v>-145.21961999999999</v>
          </cell>
          <cell r="S887">
            <v>-172.74118999999999</v>
          </cell>
          <cell r="T887">
            <v>-201.02800999999999</v>
          </cell>
          <cell r="U887">
            <v>-229.94208</v>
          </cell>
          <cell r="V887">
            <v>-255.84907000000001</v>
          </cell>
          <cell r="W887">
            <v>-278.19815</v>
          </cell>
          <cell r="X887">
            <v>-303.18815999999998</v>
          </cell>
          <cell r="Y887">
            <v>-163.84485000000001</v>
          </cell>
        </row>
        <row r="888">
          <cell r="B888">
            <v>442174</v>
          </cell>
          <cell r="C888" t="str">
            <v>NOT USED</v>
          </cell>
          <cell r="D888" t="str">
            <v>ELEC REVENUE-FIXED-COMMERCIAL-COMMODITY GRT</v>
          </cell>
          <cell r="E888" t="str">
            <v/>
          </cell>
          <cell r="F888" t="str">
            <v/>
          </cell>
          <cell r="G888" t="str">
            <v/>
          </cell>
          <cell r="H888" t="str">
            <v/>
          </cell>
          <cell r="I888" t="str">
            <v/>
          </cell>
          <cell r="J888" t="str">
            <v/>
          </cell>
          <cell r="K888" t="str">
            <v/>
          </cell>
          <cell r="L888">
            <v>-289.70303000000001</v>
          </cell>
          <cell r="M888">
            <v>-28.577770000000001</v>
          </cell>
          <cell r="N888">
            <v>-53.09272</v>
          </cell>
          <cell r="O888">
            <v>-69.112660000000005</v>
          </cell>
          <cell r="P888">
            <v>-87.200919999999996</v>
          </cell>
          <cell r="Q888">
            <v>-105.05306</v>
          </cell>
          <cell r="R888">
            <v>-127.08633</v>
          </cell>
          <cell r="S888">
            <v>-151.09649999999999</v>
          </cell>
          <cell r="T888">
            <v>-174.98142000000001</v>
          </cell>
          <cell r="U888">
            <v>-194.93553</v>
          </cell>
          <cell r="V888">
            <v>-212.95227</v>
          </cell>
          <cell r="W888">
            <v>-230.12797</v>
          </cell>
          <cell r="X888">
            <v>-248.83394999999999</v>
          </cell>
          <cell r="Y888">
            <v>-141.95713699999999</v>
          </cell>
        </row>
        <row r="889">
          <cell r="B889">
            <v>442250</v>
          </cell>
          <cell r="C889" t="str">
            <v>NOT USED</v>
          </cell>
          <cell r="D889" t="str">
            <v>ELEC REVENUE - INDUSTRIAL-SYSTEM BENEFIT CHARGES</v>
          </cell>
          <cell r="E889" t="str">
            <v/>
          </cell>
          <cell r="F889" t="str">
            <v/>
          </cell>
          <cell r="G889" t="str">
            <v/>
          </cell>
          <cell r="H889" t="str">
            <v/>
          </cell>
          <cell r="I889" t="str">
            <v/>
          </cell>
          <cell r="J889" t="str">
            <v/>
          </cell>
          <cell r="K889" t="str">
            <v/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</row>
        <row r="890">
          <cell r="B890">
            <v>442251</v>
          </cell>
          <cell r="C890" t="str">
            <v>NOT USED</v>
          </cell>
          <cell r="D890" t="str">
            <v>ELEC REVENUE-INDUSTRIAL-RETAIL ACCESS SURCHARGE</v>
          </cell>
          <cell r="E890" t="str">
            <v/>
          </cell>
          <cell r="F890" t="str">
            <v/>
          </cell>
          <cell r="G890" t="str">
            <v/>
          </cell>
          <cell r="H890" t="str">
            <v/>
          </cell>
          <cell r="I890" t="str">
            <v/>
          </cell>
          <cell r="J890" t="str">
            <v/>
          </cell>
          <cell r="K890" t="str">
            <v/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</row>
        <row r="891">
          <cell r="B891">
            <v>442252</v>
          </cell>
          <cell r="C891" t="str">
            <v>NOT USED</v>
          </cell>
          <cell r="D891" t="str">
            <v>ELEC REVENUE - INDUSTRIAL-SUPPLY RECONCILIATION</v>
          </cell>
          <cell r="E891" t="str">
            <v/>
          </cell>
          <cell r="F891" t="str">
            <v/>
          </cell>
          <cell r="G891" t="str">
            <v/>
          </cell>
          <cell r="H891" t="str">
            <v/>
          </cell>
          <cell r="I891" t="str">
            <v/>
          </cell>
          <cell r="J891" t="str">
            <v/>
          </cell>
          <cell r="K891" t="str">
            <v/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</row>
        <row r="892">
          <cell r="B892">
            <v>442320</v>
          </cell>
          <cell r="C892" t="str">
            <v>NOT USED</v>
          </cell>
          <cell r="D892" t="str">
            <v>ELEC REVENUE -VARIABLE - COMMERCIAL-DELIVERY</v>
          </cell>
          <cell r="E892" t="str">
            <v/>
          </cell>
          <cell r="F892" t="str">
            <v/>
          </cell>
          <cell r="G892" t="str">
            <v/>
          </cell>
          <cell r="H892" t="str">
            <v/>
          </cell>
          <cell r="I892" t="str">
            <v/>
          </cell>
          <cell r="J892" t="str">
            <v/>
          </cell>
          <cell r="K892" t="str">
            <v/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</row>
        <row r="893">
          <cell r="B893">
            <v>442325</v>
          </cell>
          <cell r="C893" t="str">
            <v>NOT USED</v>
          </cell>
          <cell r="D893" t="str">
            <v>ELEC REVENUE-VARIABLE-COMMERCIAL-UNBILLED DELIVER</v>
          </cell>
          <cell r="E893" t="str">
            <v/>
          </cell>
          <cell r="F893" t="str">
            <v/>
          </cell>
          <cell r="G893" t="str">
            <v/>
          </cell>
          <cell r="H893" t="str">
            <v/>
          </cell>
          <cell r="I893" t="str">
            <v/>
          </cell>
          <cell r="J893" t="str">
            <v/>
          </cell>
          <cell r="K893" t="str">
            <v/>
          </cell>
          <cell r="L893">
            <v>-389.90490999999997</v>
          </cell>
          <cell r="M893">
            <v>-47.217320000000001</v>
          </cell>
          <cell r="N893">
            <v>97.763030000000001</v>
          </cell>
          <cell r="O893">
            <v>19.171040000000001</v>
          </cell>
          <cell r="P893">
            <v>189.453</v>
          </cell>
          <cell r="Q893">
            <v>-94.112089999999995</v>
          </cell>
          <cell r="R893">
            <v>44.300089999999997</v>
          </cell>
          <cell r="S893">
            <v>-322.5455</v>
          </cell>
          <cell r="T893">
            <v>-340.11883</v>
          </cell>
          <cell r="U893">
            <v>-201.14657</v>
          </cell>
          <cell r="V893">
            <v>-141.97606999999999</v>
          </cell>
          <cell r="W893">
            <v>-21.056809999999999</v>
          </cell>
          <cell r="X893">
            <v>-83.185289999999995</v>
          </cell>
          <cell r="Y893">
            <v>-87.835927999999996</v>
          </cell>
        </row>
        <row r="894">
          <cell r="B894">
            <v>442330</v>
          </cell>
          <cell r="C894" t="str">
            <v>NOT USED</v>
          </cell>
          <cell r="D894" t="str">
            <v>ELECTRIC REVENUE -VARIABLE - COMMERCIAL-COMMODITY</v>
          </cell>
          <cell r="E894" t="str">
            <v/>
          </cell>
          <cell r="F894" t="str">
            <v/>
          </cell>
          <cell r="G894" t="str">
            <v/>
          </cell>
          <cell r="H894" t="str">
            <v/>
          </cell>
          <cell r="I894" t="str">
            <v/>
          </cell>
          <cell r="J894" t="str">
            <v/>
          </cell>
          <cell r="K894" t="str">
            <v/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</row>
        <row r="895">
          <cell r="B895">
            <v>442335</v>
          </cell>
          <cell r="C895" t="str">
            <v>NOT USED</v>
          </cell>
          <cell r="D895" t="str">
            <v>ELEC REV-VARIABLE-COMMERCIAL-UNBILLED COMMODITY</v>
          </cell>
          <cell r="E895" t="str">
            <v/>
          </cell>
          <cell r="F895" t="str">
            <v/>
          </cell>
          <cell r="G895" t="str">
            <v/>
          </cell>
          <cell r="H895" t="str">
            <v/>
          </cell>
          <cell r="I895" t="str">
            <v/>
          </cell>
          <cell r="J895" t="str">
            <v/>
          </cell>
          <cell r="K895" t="str">
            <v/>
          </cell>
          <cell r="L895">
            <v>-264.50402000000003</v>
          </cell>
          <cell r="M895">
            <v>-311.19938999999999</v>
          </cell>
          <cell r="N895">
            <v>1032.56411</v>
          </cell>
          <cell r="O895">
            <v>679.29651000000001</v>
          </cell>
          <cell r="P895">
            <v>647.26844000000006</v>
          </cell>
          <cell r="Q895">
            <v>257.95301999999998</v>
          </cell>
          <cell r="R895">
            <v>367.65757000000002</v>
          </cell>
          <cell r="S895">
            <v>-360.95060999999998</v>
          </cell>
          <cell r="T895">
            <v>118.17272</v>
          </cell>
          <cell r="U895">
            <v>341.06365</v>
          </cell>
          <cell r="V895">
            <v>507.96949999999998</v>
          </cell>
          <cell r="W895">
            <v>460.53035</v>
          </cell>
          <cell r="X895">
            <v>468.76195000000001</v>
          </cell>
          <cell r="Y895">
            <v>320.20456999999999</v>
          </cell>
        </row>
        <row r="896">
          <cell r="B896">
            <v>442340</v>
          </cell>
          <cell r="C896" t="str">
            <v>NOT USED</v>
          </cell>
          <cell r="D896" t="str">
            <v>ELEC REV-VARIABLE-COMMERCIAL-TRANSITION CHARGE</v>
          </cell>
          <cell r="E896" t="str">
            <v/>
          </cell>
          <cell r="F896" t="str">
            <v/>
          </cell>
          <cell r="G896" t="str">
            <v/>
          </cell>
          <cell r="H896" t="str">
            <v/>
          </cell>
          <cell r="I896" t="str">
            <v/>
          </cell>
          <cell r="J896" t="str">
            <v/>
          </cell>
          <cell r="K896" t="str">
            <v/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</row>
        <row r="897">
          <cell r="B897">
            <v>442350</v>
          </cell>
          <cell r="C897" t="str">
            <v>NOT USED</v>
          </cell>
          <cell r="D897" t="str">
            <v>ELEC RV-VARIABLE-COMMERCIAL-SYSTEM BENEFIT CHARGE</v>
          </cell>
          <cell r="E897" t="str">
            <v/>
          </cell>
          <cell r="F897" t="str">
            <v/>
          </cell>
          <cell r="G897" t="str">
            <v/>
          </cell>
          <cell r="H897" t="str">
            <v/>
          </cell>
          <cell r="I897" t="str">
            <v/>
          </cell>
          <cell r="J897" t="str">
            <v/>
          </cell>
          <cell r="K897" t="str">
            <v/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</row>
        <row r="898">
          <cell r="B898">
            <v>442351</v>
          </cell>
          <cell r="C898" t="str">
            <v>NOT USED</v>
          </cell>
          <cell r="D898" t="str">
            <v>ELC RV-VARIABLE-COMMERCIAL-RETAIL ACCESS SURCHARG</v>
          </cell>
          <cell r="E898" t="str">
            <v/>
          </cell>
          <cell r="F898" t="str">
            <v/>
          </cell>
          <cell r="G898" t="str">
            <v/>
          </cell>
          <cell r="H898" t="str">
            <v/>
          </cell>
          <cell r="I898" t="str">
            <v/>
          </cell>
          <cell r="J898" t="str">
            <v/>
          </cell>
          <cell r="K898" t="str">
            <v/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</row>
        <row r="899">
          <cell r="B899">
            <v>442373</v>
          </cell>
          <cell r="C899" t="str">
            <v>NOT USED</v>
          </cell>
          <cell r="D899" t="str">
            <v>ELEC REVENUE-VARIABLE-COMMERCIAL-DELIVERY GRT</v>
          </cell>
          <cell r="E899" t="str">
            <v/>
          </cell>
          <cell r="F899" t="str">
            <v/>
          </cell>
          <cell r="G899" t="str">
            <v/>
          </cell>
          <cell r="H899" t="str">
            <v/>
          </cell>
          <cell r="I899" t="str">
            <v/>
          </cell>
          <cell r="J899" t="str">
            <v/>
          </cell>
          <cell r="K899" t="str">
            <v/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</row>
        <row r="900">
          <cell r="B900">
            <v>442374</v>
          </cell>
          <cell r="C900" t="str">
            <v>NOT USED</v>
          </cell>
          <cell r="D900" t="str">
            <v>ELEC REVENUE-VARIABLE-COMMERCIAL-COMMODITY GRT</v>
          </cell>
          <cell r="E900" t="str">
            <v/>
          </cell>
          <cell r="F900" t="str">
            <v/>
          </cell>
          <cell r="G900" t="str">
            <v/>
          </cell>
          <cell r="H900" t="str">
            <v/>
          </cell>
          <cell r="I900" t="str">
            <v/>
          </cell>
          <cell r="J900" t="str">
            <v/>
          </cell>
          <cell r="K900" t="str">
            <v/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</row>
        <row r="901">
          <cell r="B901">
            <v>442400</v>
          </cell>
          <cell r="C901" t="str">
            <v>NOT USED</v>
          </cell>
          <cell r="D901" t="str">
            <v>ELEC REVENUE - INDUSTRIAL-REGULAR</v>
          </cell>
          <cell r="E901" t="str">
            <v/>
          </cell>
          <cell r="F901" t="str">
            <v/>
          </cell>
          <cell r="G901" t="str">
            <v/>
          </cell>
          <cell r="H901" t="str">
            <v/>
          </cell>
          <cell r="I901" t="str">
            <v/>
          </cell>
          <cell r="J901" t="str">
            <v/>
          </cell>
          <cell r="K901" t="str">
            <v/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</row>
        <row r="902">
          <cell r="B902">
            <v>442410</v>
          </cell>
          <cell r="C902" t="str">
            <v>NOT USED</v>
          </cell>
          <cell r="D902" t="str">
            <v>ELEC REVENUE-INDUSTRIAL-ECON DEVELOPMNT CREDIT</v>
          </cell>
          <cell r="E902" t="str">
            <v/>
          </cell>
          <cell r="F902" t="str">
            <v/>
          </cell>
          <cell r="G902" t="str">
            <v/>
          </cell>
          <cell r="H902" t="str">
            <v/>
          </cell>
          <cell r="I902" t="str">
            <v/>
          </cell>
          <cell r="J902" t="str">
            <v/>
          </cell>
          <cell r="K902" t="str">
            <v/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</row>
        <row r="903">
          <cell r="B903">
            <v>442520</v>
          </cell>
          <cell r="C903" t="str">
            <v>NOT USED</v>
          </cell>
          <cell r="D903" t="str">
            <v>ELEC REVENUE - ESCO - COMMERCIAL-DELIVERY</v>
          </cell>
          <cell r="E903" t="str">
            <v/>
          </cell>
          <cell r="F903" t="str">
            <v/>
          </cell>
          <cell r="G903" t="str">
            <v/>
          </cell>
          <cell r="H903" t="str">
            <v/>
          </cell>
          <cell r="I903" t="str">
            <v/>
          </cell>
          <cell r="J903" t="str">
            <v/>
          </cell>
          <cell r="K903" t="str">
            <v/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</row>
        <row r="904">
          <cell r="B904">
            <v>442525</v>
          </cell>
          <cell r="C904" t="str">
            <v>NOT USED</v>
          </cell>
          <cell r="D904" t="str">
            <v>ELEC REVENUE-ESCO-COMMERCIAL-UNBILLED DELIVERY</v>
          </cell>
          <cell r="E904" t="str">
            <v/>
          </cell>
          <cell r="F904" t="str">
            <v/>
          </cell>
          <cell r="G904" t="str">
            <v/>
          </cell>
          <cell r="H904" t="str">
            <v/>
          </cell>
          <cell r="I904" t="str">
            <v/>
          </cell>
          <cell r="J904" t="str">
            <v/>
          </cell>
          <cell r="K904" t="str">
            <v/>
          </cell>
          <cell r="L904">
            <v>-879.90668000000005</v>
          </cell>
          <cell r="M904">
            <v>-184.18341000000001</v>
          </cell>
          <cell r="N904">
            <v>219.12582</v>
          </cell>
          <cell r="O904">
            <v>86.485889999999998</v>
          </cell>
          <cell r="P904">
            <v>385.24786</v>
          </cell>
          <cell r="Q904">
            <v>-287.43509</v>
          </cell>
          <cell r="R904">
            <v>-85.370149999999995</v>
          </cell>
          <cell r="S904">
            <v>-823.98887000000002</v>
          </cell>
          <cell r="T904">
            <v>-906.05255</v>
          </cell>
          <cell r="U904">
            <v>-489.41714000000002</v>
          </cell>
          <cell r="V904">
            <v>-255.57286999999999</v>
          </cell>
          <cell r="W904">
            <v>215.35569000000001</v>
          </cell>
          <cell r="X904">
            <v>-34.87144</v>
          </cell>
          <cell r="Y904">
            <v>-215.26615699999999</v>
          </cell>
        </row>
        <row r="905">
          <cell r="B905">
            <v>442535</v>
          </cell>
          <cell r="C905" t="str">
            <v>NOT USED</v>
          </cell>
          <cell r="D905" t="str">
            <v>ELEC REV-COMMERCIAL-EPO UNBILLED TRANSITION</v>
          </cell>
          <cell r="E905" t="str">
            <v/>
          </cell>
          <cell r="F905" t="str">
            <v/>
          </cell>
          <cell r="G905" t="str">
            <v/>
          </cell>
          <cell r="H905" t="str">
            <v/>
          </cell>
          <cell r="I905" t="str">
            <v/>
          </cell>
          <cell r="J905" t="str">
            <v/>
          </cell>
          <cell r="K905" t="str">
            <v/>
          </cell>
          <cell r="L905">
            <v>342.95567999999997</v>
          </cell>
          <cell r="M905">
            <v>479.50706000000002</v>
          </cell>
          <cell r="N905">
            <v>610.83982000000003</v>
          </cell>
          <cell r="O905">
            <v>543.38721999999996</v>
          </cell>
          <cell r="P905">
            <v>360.24059999999997</v>
          </cell>
          <cell r="Q905">
            <v>162.42081999999999</v>
          </cell>
          <cell r="R905">
            <v>77.538340000000005</v>
          </cell>
          <cell r="S905">
            <v>-84.948989999999995</v>
          </cell>
          <cell r="T905">
            <v>-227.34548000000001</v>
          </cell>
          <cell r="U905">
            <v>-48.180320000000002</v>
          </cell>
          <cell r="V905">
            <v>488.01859999999999</v>
          </cell>
          <cell r="W905">
            <v>260.93491</v>
          </cell>
          <cell r="X905">
            <v>179.14148</v>
          </cell>
          <cell r="Y905">
            <v>240.28843000000001</v>
          </cell>
        </row>
        <row r="906">
          <cell r="B906">
            <v>442540</v>
          </cell>
          <cell r="C906" t="str">
            <v>NOT USED</v>
          </cell>
          <cell r="D906" t="str">
            <v>ELEC REV-ESCO-COMMERCIAL-TRANSITION CHARGE</v>
          </cell>
          <cell r="E906" t="str">
            <v/>
          </cell>
          <cell r="F906" t="str">
            <v/>
          </cell>
          <cell r="G906" t="str">
            <v/>
          </cell>
          <cell r="H906" t="str">
            <v/>
          </cell>
          <cell r="I906" t="str">
            <v/>
          </cell>
          <cell r="J906" t="str">
            <v/>
          </cell>
          <cell r="K906" t="str">
            <v/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</row>
        <row r="907">
          <cell r="B907">
            <v>442541</v>
          </cell>
          <cell r="C907" t="str">
            <v>NOT USED</v>
          </cell>
          <cell r="D907" t="str">
            <v>EL REV-EPO SPECIAL CONTRACT-COMRCL TRANSITION CHR</v>
          </cell>
          <cell r="E907" t="str">
            <v/>
          </cell>
          <cell r="F907" t="str">
            <v/>
          </cell>
          <cell r="G907" t="str">
            <v/>
          </cell>
          <cell r="H907" t="str">
            <v/>
          </cell>
          <cell r="I907" t="str">
            <v/>
          </cell>
          <cell r="J907" t="str">
            <v/>
          </cell>
          <cell r="K907" t="str">
            <v/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</row>
        <row r="908">
          <cell r="B908">
            <v>442550</v>
          </cell>
          <cell r="C908" t="str">
            <v>NOT USED</v>
          </cell>
          <cell r="D908" t="str">
            <v>ELEC RV- ESCO -COMMERCIAL-SYSTEM BENEFIT CHARGES</v>
          </cell>
          <cell r="E908" t="str">
            <v/>
          </cell>
          <cell r="F908" t="str">
            <v/>
          </cell>
          <cell r="G908" t="str">
            <v/>
          </cell>
          <cell r="H908" t="str">
            <v/>
          </cell>
          <cell r="I908" t="str">
            <v/>
          </cell>
          <cell r="J908" t="str">
            <v/>
          </cell>
          <cell r="K908" t="str">
            <v/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</row>
        <row r="909">
          <cell r="B909">
            <v>442551</v>
          </cell>
          <cell r="C909" t="str">
            <v>NOT USED</v>
          </cell>
          <cell r="D909" t="str">
            <v>ELC RV- ESCO -COMMERCIAL-RETAIL ACCESS SURCHARGE</v>
          </cell>
          <cell r="E909" t="str">
            <v/>
          </cell>
          <cell r="F909" t="str">
            <v/>
          </cell>
          <cell r="G909" t="str">
            <v/>
          </cell>
          <cell r="H909" t="str">
            <v/>
          </cell>
          <cell r="I909" t="str">
            <v/>
          </cell>
          <cell r="J909" t="str">
            <v/>
          </cell>
          <cell r="K909" t="str">
            <v/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</row>
        <row r="910">
          <cell r="B910">
            <v>442552</v>
          </cell>
          <cell r="C910" t="str">
            <v>NOT USED</v>
          </cell>
          <cell r="D910" t="str">
            <v>ELC RV- ESCO -COMMERCIAL-RETAIL ACCESS CREDIT</v>
          </cell>
          <cell r="E910" t="str">
            <v/>
          </cell>
          <cell r="F910" t="str">
            <v/>
          </cell>
          <cell r="G910" t="str">
            <v/>
          </cell>
          <cell r="H910" t="str">
            <v/>
          </cell>
          <cell r="I910" t="str">
            <v/>
          </cell>
          <cell r="J910" t="str">
            <v/>
          </cell>
          <cell r="K910" t="str">
            <v/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</row>
        <row r="911">
          <cell r="B911">
            <v>442573</v>
          </cell>
          <cell r="C911" t="str">
            <v>NOT USED</v>
          </cell>
          <cell r="D911" t="str">
            <v>ELEC REVENUE-ESCO-COMMERCIAL-DELIVERY GRT</v>
          </cell>
          <cell r="E911" t="str">
            <v/>
          </cell>
          <cell r="F911" t="str">
            <v/>
          </cell>
          <cell r="G911" t="str">
            <v/>
          </cell>
          <cell r="H911" t="str">
            <v/>
          </cell>
          <cell r="I911" t="str">
            <v/>
          </cell>
          <cell r="J911" t="str">
            <v/>
          </cell>
          <cell r="K911" t="str">
            <v/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</row>
        <row r="912">
          <cell r="B912">
            <v>442620</v>
          </cell>
          <cell r="C912" t="str">
            <v>NOT USED</v>
          </cell>
          <cell r="D912" t="str">
            <v>ELEC REVENUE-ESCO W/ SUP ADJ-COMMERCIAL-DELIVERY</v>
          </cell>
          <cell r="E912" t="str">
            <v/>
          </cell>
          <cell r="F912" t="str">
            <v/>
          </cell>
          <cell r="G912" t="str">
            <v/>
          </cell>
          <cell r="H912" t="str">
            <v/>
          </cell>
          <cell r="I912" t="str">
            <v/>
          </cell>
          <cell r="J912" t="str">
            <v/>
          </cell>
          <cell r="K912" t="str">
            <v/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</row>
        <row r="913">
          <cell r="B913">
            <v>442625</v>
          </cell>
          <cell r="C913" t="str">
            <v>NOT USED</v>
          </cell>
          <cell r="D913" t="str">
            <v>ELEC REV-ESCO W/ SUP ADJ-COMMRCIAL-UNBILD DELIVER</v>
          </cell>
          <cell r="E913" t="str">
            <v/>
          </cell>
          <cell r="F913" t="str">
            <v/>
          </cell>
          <cell r="G913" t="str">
            <v/>
          </cell>
          <cell r="H913" t="str">
            <v/>
          </cell>
          <cell r="I913" t="str">
            <v/>
          </cell>
          <cell r="J913" t="str">
            <v/>
          </cell>
          <cell r="K913" t="str">
            <v/>
          </cell>
          <cell r="L913">
            <v>20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0.83333299999999999</v>
          </cell>
        </row>
        <row r="914">
          <cell r="B914">
            <v>442630</v>
          </cell>
          <cell r="C914" t="str">
            <v>NOT USED</v>
          </cell>
          <cell r="D914" t="str">
            <v>ELEC REVENUE-ESCO W/ SUP ADJ-COMMERCIAL-COMMODITY</v>
          </cell>
          <cell r="E914" t="str">
            <v/>
          </cell>
          <cell r="F914" t="str">
            <v/>
          </cell>
          <cell r="G914" t="str">
            <v/>
          </cell>
          <cell r="H914" t="str">
            <v/>
          </cell>
          <cell r="I914" t="str">
            <v/>
          </cell>
          <cell r="J914" t="str">
            <v/>
          </cell>
          <cell r="K914" t="str">
            <v/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</row>
        <row r="915">
          <cell r="B915">
            <v>442631</v>
          </cell>
          <cell r="C915" t="str">
            <v>NOT USED</v>
          </cell>
          <cell r="D915" t="str">
            <v>EL REV-EOSA SPECIAL CONTRACTS-COMMERCIAL-COMMODIT</v>
          </cell>
          <cell r="E915" t="str">
            <v/>
          </cell>
          <cell r="F915" t="str">
            <v/>
          </cell>
          <cell r="G915" t="str">
            <v/>
          </cell>
          <cell r="H915" t="str">
            <v/>
          </cell>
          <cell r="I915" t="str">
            <v/>
          </cell>
          <cell r="J915" t="str">
            <v/>
          </cell>
          <cell r="K915" t="str">
            <v/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</row>
        <row r="916">
          <cell r="B916">
            <v>442635</v>
          </cell>
          <cell r="C916" t="str">
            <v>NOT USED</v>
          </cell>
          <cell r="D916" t="str">
            <v>ELEC REVENUE-ESCO W/ SUP ADJ-COMMRCIAL-UNBLD CMDT</v>
          </cell>
          <cell r="E916" t="str">
            <v/>
          </cell>
          <cell r="F916" t="str">
            <v/>
          </cell>
          <cell r="G916" t="str">
            <v/>
          </cell>
          <cell r="H916" t="str">
            <v/>
          </cell>
          <cell r="I916" t="str">
            <v/>
          </cell>
          <cell r="J916" t="str">
            <v/>
          </cell>
          <cell r="K916" t="str">
            <v/>
          </cell>
          <cell r="L916">
            <v>14.239000000000001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0.59329200000000004</v>
          </cell>
        </row>
        <row r="917">
          <cell r="B917">
            <v>442640</v>
          </cell>
          <cell r="C917" t="str">
            <v>NOT USED</v>
          </cell>
          <cell r="D917" t="str">
            <v>ELEC REV-ESCO W/SUP ADJ-COMMERCIAL-TRANSITION CHR</v>
          </cell>
          <cell r="E917" t="str">
            <v/>
          </cell>
          <cell r="F917" t="str">
            <v/>
          </cell>
          <cell r="G917" t="str">
            <v/>
          </cell>
          <cell r="H917" t="str">
            <v/>
          </cell>
          <cell r="I917" t="str">
            <v/>
          </cell>
          <cell r="J917" t="str">
            <v/>
          </cell>
          <cell r="K917" t="str">
            <v/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</row>
        <row r="918">
          <cell r="B918">
            <v>442645</v>
          </cell>
          <cell r="C918" t="str">
            <v>NOT USED</v>
          </cell>
          <cell r="D918" t="str">
            <v>E-UNBILLED-COMMERCIAL-DELIVERY GROSS RECEIPTS TAX</v>
          </cell>
          <cell r="E918" t="str">
            <v/>
          </cell>
          <cell r="F918" t="str">
            <v/>
          </cell>
          <cell r="G918" t="str">
            <v/>
          </cell>
          <cell r="H918" t="str">
            <v/>
          </cell>
          <cell r="I918" t="str">
            <v/>
          </cell>
          <cell r="J918" t="str">
            <v/>
          </cell>
          <cell r="K918" t="str">
            <v/>
          </cell>
          <cell r="L918">
            <v>-1.2609999999999999</v>
          </cell>
          <cell r="M918">
            <v>1.254</v>
          </cell>
          <cell r="N918">
            <v>3.2280000000000002</v>
          </cell>
          <cell r="O918">
            <v>2.1909999999999998</v>
          </cell>
          <cell r="P918">
            <v>3.1520000000000001</v>
          </cell>
          <cell r="Q918">
            <v>-0.36199999999999999</v>
          </cell>
          <cell r="R918">
            <v>0.73043999999999998</v>
          </cell>
          <cell r="S918">
            <v>-3.5472899999999998</v>
          </cell>
          <cell r="T918">
            <v>-2.7586900000000001</v>
          </cell>
          <cell r="U918">
            <v>-0.98011999999999999</v>
          </cell>
          <cell r="V918">
            <v>1.5042500000000001</v>
          </cell>
          <cell r="W918">
            <v>1.76485</v>
          </cell>
          <cell r="X918">
            <v>0.96741999999999995</v>
          </cell>
          <cell r="Y918">
            <v>0.502471</v>
          </cell>
        </row>
        <row r="919">
          <cell r="B919">
            <v>442650</v>
          </cell>
          <cell r="C919" t="str">
            <v>NOT USED</v>
          </cell>
          <cell r="D919" t="str">
            <v>ELEC REVENUE-ESCO W/ SUP ADJ-COMMERCIAL-SBC</v>
          </cell>
          <cell r="E919" t="str">
            <v/>
          </cell>
          <cell r="F919" t="str">
            <v/>
          </cell>
          <cell r="G919" t="str">
            <v/>
          </cell>
          <cell r="H919" t="str">
            <v/>
          </cell>
          <cell r="I919" t="str">
            <v/>
          </cell>
          <cell r="J919" t="str">
            <v/>
          </cell>
          <cell r="K919" t="str">
            <v/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</row>
        <row r="920">
          <cell r="B920">
            <v>442651</v>
          </cell>
          <cell r="C920" t="str">
            <v>NOT USED</v>
          </cell>
          <cell r="D920" t="str">
            <v>ELEC REVENUE-ESCO W/ SUP ADJ-COMMERCIAL-RAS</v>
          </cell>
          <cell r="E920" t="str">
            <v/>
          </cell>
          <cell r="F920" t="str">
            <v/>
          </cell>
          <cell r="G920" t="str">
            <v/>
          </cell>
          <cell r="H920" t="str">
            <v/>
          </cell>
          <cell r="I920" t="str">
            <v/>
          </cell>
          <cell r="J920" t="str">
            <v/>
          </cell>
          <cell r="K920" t="str">
            <v/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</row>
        <row r="921">
          <cell r="B921">
            <v>442652</v>
          </cell>
          <cell r="C921" t="str">
            <v>NOT USED</v>
          </cell>
          <cell r="D921" t="str">
            <v>ELEC REVENUE-ESCO W/ SUP ADJ-COMMERCIAL-RAC</v>
          </cell>
          <cell r="E921" t="str">
            <v/>
          </cell>
          <cell r="F921" t="str">
            <v/>
          </cell>
          <cell r="G921" t="str">
            <v/>
          </cell>
          <cell r="H921" t="str">
            <v/>
          </cell>
          <cell r="I921" t="str">
            <v/>
          </cell>
          <cell r="J921" t="str">
            <v/>
          </cell>
          <cell r="K921" t="str">
            <v/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</row>
        <row r="922">
          <cell r="B922">
            <v>442653</v>
          </cell>
          <cell r="C922" t="str">
            <v>NOT USED</v>
          </cell>
          <cell r="D922" t="str">
            <v>ELEC REVENUE-ESCO W/ SUP ADJ-COMMERCIAL-MBBC</v>
          </cell>
          <cell r="E922" t="str">
            <v/>
          </cell>
          <cell r="F922" t="str">
            <v/>
          </cell>
          <cell r="G922" t="str">
            <v/>
          </cell>
          <cell r="H922" t="str">
            <v/>
          </cell>
          <cell r="I922" t="str">
            <v/>
          </cell>
          <cell r="J922" t="str">
            <v/>
          </cell>
          <cell r="K922" t="str">
            <v/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</row>
        <row r="923">
          <cell r="B923">
            <v>442655</v>
          </cell>
          <cell r="C923" t="str">
            <v>NOT USED</v>
          </cell>
          <cell r="D923" t="str">
            <v>E-UNBILLED-COMMERCIAL-COMMODITY GROSS RECEIPTS TA</v>
          </cell>
          <cell r="E923" t="str">
            <v/>
          </cell>
          <cell r="F923" t="str">
            <v/>
          </cell>
          <cell r="G923" t="str">
            <v/>
          </cell>
          <cell r="H923" t="str">
            <v/>
          </cell>
          <cell r="I923" t="str">
            <v/>
          </cell>
          <cell r="J923" t="str">
            <v/>
          </cell>
          <cell r="K923" t="str">
            <v/>
          </cell>
          <cell r="L923">
            <v>-1.772</v>
          </cell>
          <cell r="M923">
            <v>-4.8029999999999999</v>
          </cell>
          <cell r="N923">
            <v>7.9630000000000001</v>
          </cell>
          <cell r="O923">
            <v>4.7240000000000002</v>
          </cell>
          <cell r="P923">
            <v>5.1310000000000002</v>
          </cell>
          <cell r="Q923">
            <v>1.984</v>
          </cell>
          <cell r="R923">
            <v>3.3478500000000002</v>
          </cell>
          <cell r="S923">
            <v>-3.22052</v>
          </cell>
          <cell r="T923">
            <v>0.56069000000000002</v>
          </cell>
          <cell r="U923">
            <v>2.3649300000000002</v>
          </cell>
          <cell r="V923">
            <v>1.96234</v>
          </cell>
          <cell r="W923">
            <v>2.5370499999999998</v>
          </cell>
          <cell r="X923">
            <v>2.8496700000000001</v>
          </cell>
          <cell r="Y923">
            <v>1.9241809999999999</v>
          </cell>
        </row>
        <row r="924">
          <cell r="B924">
            <v>442673</v>
          </cell>
          <cell r="C924" t="str">
            <v>NOT USED</v>
          </cell>
          <cell r="D924" t="str">
            <v>ELEC REV-ESCO W/ SUP ADJ-COMMERCIAL-DELIVERY GRT</v>
          </cell>
          <cell r="E924" t="str">
            <v/>
          </cell>
          <cell r="F924" t="str">
            <v/>
          </cell>
          <cell r="G924" t="str">
            <v/>
          </cell>
          <cell r="H924" t="str">
            <v/>
          </cell>
          <cell r="I924" t="str">
            <v/>
          </cell>
          <cell r="J924" t="str">
            <v/>
          </cell>
          <cell r="K924" t="str">
            <v/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</row>
        <row r="925">
          <cell r="B925">
            <v>443120</v>
          </cell>
          <cell r="C925" t="str">
            <v>NOT USED</v>
          </cell>
          <cell r="D925" t="str">
            <v>ELEC REVENUE-FIXED-INDUSTRIAL-DELIVERY</v>
          </cell>
          <cell r="E925" t="str">
            <v/>
          </cell>
          <cell r="F925" t="str">
            <v/>
          </cell>
          <cell r="G925" t="str">
            <v/>
          </cell>
          <cell r="H925" t="str">
            <v/>
          </cell>
          <cell r="I925" t="str">
            <v/>
          </cell>
          <cell r="J925" t="str">
            <v/>
          </cell>
          <cell r="K925" t="str">
            <v/>
          </cell>
          <cell r="L925">
            <v>-6313.9570299999996</v>
          </cell>
          <cell r="M925">
            <v>-600.16047000000003</v>
          </cell>
          <cell r="N925">
            <v>-1210.3490999999999</v>
          </cell>
          <cell r="O925">
            <v>-1821.64176</v>
          </cell>
          <cell r="P925">
            <v>-2403.0196299999998</v>
          </cell>
          <cell r="Q925">
            <v>-2978.8211299999998</v>
          </cell>
          <cell r="R925">
            <v>-3511.85313</v>
          </cell>
          <cell r="S925">
            <v>-4072.1768299999999</v>
          </cell>
          <cell r="T925">
            <v>-4461.9991900000005</v>
          </cell>
          <cell r="U925">
            <v>-5029.2406600000004</v>
          </cell>
          <cell r="V925">
            <v>-5613.1019200000001</v>
          </cell>
          <cell r="W925">
            <v>-6091.8207400000001</v>
          </cell>
          <cell r="X925">
            <v>-6589.3350799999998</v>
          </cell>
          <cell r="Y925">
            <v>-3687.1525510000001</v>
          </cell>
        </row>
        <row r="926">
          <cell r="B926">
            <v>443125</v>
          </cell>
          <cell r="C926" t="str">
            <v>NOT USED</v>
          </cell>
          <cell r="D926" t="str">
            <v>ELEC REV-FIXED-INDUSTRIAL-UNBILLED-DELIVERY</v>
          </cell>
          <cell r="E926" t="str">
            <v/>
          </cell>
          <cell r="F926" t="str">
            <v/>
          </cell>
          <cell r="G926" t="str">
            <v/>
          </cell>
          <cell r="H926" t="str">
            <v/>
          </cell>
          <cell r="I926" t="str">
            <v/>
          </cell>
          <cell r="J926" t="str">
            <v/>
          </cell>
          <cell r="K926" t="str">
            <v/>
          </cell>
          <cell r="L926">
            <v>23.277000000000001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0.96987500000000004</v>
          </cell>
        </row>
        <row r="927">
          <cell r="B927">
            <v>443128</v>
          </cell>
          <cell r="C927" t="str">
            <v>NOT USED</v>
          </cell>
          <cell r="D927" t="str">
            <v>ELEC REV-INDUSTRIAL-DELIVERY CHARGE-RETAIL ACCESS</v>
          </cell>
          <cell r="E927" t="str">
            <v/>
          </cell>
          <cell r="F927" t="str">
            <v/>
          </cell>
          <cell r="G927" t="str">
            <v/>
          </cell>
          <cell r="H927" t="str">
            <v/>
          </cell>
          <cell r="I927" t="str">
            <v/>
          </cell>
          <cell r="J927" t="str">
            <v/>
          </cell>
          <cell r="K927" t="str">
            <v/>
          </cell>
          <cell r="L927">
            <v>-14876.62644</v>
          </cell>
          <cell r="M927">
            <v>-2201.88</v>
          </cell>
          <cell r="N927">
            <v>-4428.7974599999998</v>
          </cell>
          <cell r="O927">
            <v>-6695.6533300000001</v>
          </cell>
          <cell r="P927">
            <v>-9039.0072999999993</v>
          </cell>
          <cell r="Q927">
            <v>-11631.177890000001</v>
          </cell>
          <cell r="R927">
            <v>-14349.795749999999</v>
          </cell>
          <cell r="S927">
            <v>-17094.16835</v>
          </cell>
          <cell r="T927">
            <v>-19777.111099999998</v>
          </cell>
          <cell r="U927">
            <v>-22424.657719999999</v>
          </cell>
          <cell r="V927">
            <v>-25002.67743</v>
          </cell>
          <cell r="W927">
            <v>-27470.80673</v>
          </cell>
          <cell r="X927">
            <v>-29806.18074</v>
          </cell>
          <cell r="Y927">
            <v>-15204.761388000001</v>
          </cell>
        </row>
        <row r="928">
          <cell r="B928">
            <v>443130</v>
          </cell>
          <cell r="C928" t="str">
            <v>NOT USED</v>
          </cell>
          <cell r="D928" t="str">
            <v>ELEC REVENUE-FIXED-INDUSTRIAL-COMMODITY</v>
          </cell>
          <cell r="E928" t="str">
            <v/>
          </cell>
          <cell r="F928" t="str">
            <v/>
          </cell>
          <cell r="G928" t="str">
            <v/>
          </cell>
          <cell r="H928" t="str">
            <v/>
          </cell>
          <cell r="I928" t="str">
            <v/>
          </cell>
          <cell r="J928" t="str">
            <v/>
          </cell>
          <cell r="K928" t="str">
            <v/>
          </cell>
          <cell r="L928">
            <v>-17204.89183</v>
          </cell>
          <cell r="M928">
            <v>-1201.8388</v>
          </cell>
          <cell r="N928">
            <v>-1953.7601</v>
          </cell>
          <cell r="O928">
            <v>-2712.68048</v>
          </cell>
          <cell r="P928">
            <v>-3683.0162700000001</v>
          </cell>
          <cell r="Q928">
            <v>-4660.9741100000001</v>
          </cell>
          <cell r="R928">
            <v>-5495.5315499999997</v>
          </cell>
          <cell r="S928">
            <v>-6399.1375900000003</v>
          </cell>
          <cell r="T928">
            <v>-7247.9052799999999</v>
          </cell>
          <cell r="U928">
            <v>-7995.0754699999998</v>
          </cell>
          <cell r="V928">
            <v>-8942.5088699999997</v>
          </cell>
          <cell r="W928">
            <v>-9599.7345000000005</v>
          </cell>
          <cell r="X928">
            <v>-10164.36067</v>
          </cell>
          <cell r="Y928">
            <v>-6131.3991059999998</v>
          </cell>
        </row>
        <row r="929">
          <cell r="B929">
            <v>443131</v>
          </cell>
          <cell r="C929" t="str">
            <v>NOT USED</v>
          </cell>
          <cell r="D929" t="str">
            <v>ELEC REV-FPO SPECIAL CONTRACT-INDUSTRIAL COMMODIT</v>
          </cell>
          <cell r="E929" t="str">
            <v/>
          </cell>
          <cell r="F929" t="str">
            <v/>
          </cell>
          <cell r="G929" t="str">
            <v/>
          </cell>
          <cell r="H929" t="str">
            <v/>
          </cell>
          <cell r="I929" t="str">
            <v/>
          </cell>
          <cell r="J929" t="str">
            <v/>
          </cell>
          <cell r="K929" t="str">
            <v/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</row>
        <row r="930">
          <cell r="B930">
            <v>443135</v>
          </cell>
          <cell r="C930" t="str">
            <v>NOT USED</v>
          </cell>
          <cell r="D930" t="str">
            <v>ELEC REV-FIXED-INDUSTRIAL-UNBILLED-COMMODITY</v>
          </cell>
          <cell r="E930" t="str">
            <v/>
          </cell>
          <cell r="F930" t="str">
            <v/>
          </cell>
          <cell r="G930" t="str">
            <v/>
          </cell>
          <cell r="H930" t="str">
            <v/>
          </cell>
          <cell r="I930" t="str">
            <v/>
          </cell>
          <cell r="J930" t="str">
            <v/>
          </cell>
          <cell r="K930" t="str">
            <v/>
          </cell>
          <cell r="L930">
            <v>65.269000000000005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2.7195420000000001</v>
          </cell>
        </row>
        <row r="931">
          <cell r="B931">
            <v>443138</v>
          </cell>
          <cell r="C931" t="str">
            <v>NOT USED</v>
          </cell>
          <cell r="D931" t="str">
            <v>ELEC REV-INDUSTRIAL-SUPPLY CHARGE-RETAIL ACCESS</v>
          </cell>
          <cell r="E931" t="str">
            <v/>
          </cell>
          <cell r="F931" t="str">
            <v/>
          </cell>
          <cell r="G931" t="str">
            <v/>
          </cell>
          <cell r="H931" t="str">
            <v/>
          </cell>
          <cell r="I931" t="str">
            <v/>
          </cell>
          <cell r="J931" t="str">
            <v/>
          </cell>
          <cell r="K931" t="str">
            <v/>
          </cell>
          <cell r="L931">
            <v>-4.6240000000000003E-2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-1.9269999999999999E-3</v>
          </cell>
        </row>
        <row r="932">
          <cell r="B932">
            <v>443140</v>
          </cell>
          <cell r="C932" t="str">
            <v>NOT USED</v>
          </cell>
          <cell r="D932" t="str">
            <v>ELEC REVENUE-FIXED-INDUSTRIAL-TRANSITION CHARGE</v>
          </cell>
          <cell r="E932" t="str">
            <v/>
          </cell>
          <cell r="F932" t="str">
            <v/>
          </cell>
          <cell r="G932" t="str">
            <v/>
          </cell>
          <cell r="H932" t="str">
            <v/>
          </cell>
          <cell r="I932" t="str">
            <v/>
          </cell>
          <cell r="J932" t="str">
            <v/>
          </cell>
          <cell r="K932" t="str">
            <v/>
          </cell>
          <cell r="L932">
            <v>-3539.3531800000001</v>
          </cell>
          <cell r="M932">
            <v>28.491579999999999</v>
          </cell>
          <cell r="N932">
            <v>128.86895999999999</v>
          </cell>
          <cell r="O932">
            <v>232.84707</v>
          </cell>
          <cell r="P932">
            <v>283.53555999999998</v>
          </cell>
          <cell r="Q932">
            <v>265.24027000000001</v>
          </cell>
          <cell r="R932">
            <v>222.27491000000001</v>
          </cell>
          <cell r="S932">
            <v>155.25353999999999</v>
          </cell>
          <cell r="T932">
            <v>53.408639999999998</v>
          </cell>
          <cell r="U932">
            <v>-33.655439999999999</v>
          </cell>
          <cell r="V932">
            <v>15.72855</v>
          </cell>
          <cell r="W932">
            <v>29.436530000000001</v>
          </cell>
          <cell r="X932">
            <v>17.76708</v>
          </cell>
          <cell r="Y932">
            <v>-31.613572999999999</v>
          </cell>
        </row>
        <row r="933">
          <cell r="B933">
            <v>443142</v>
          </cell>
          <cell r="C933" t="str">
            <v>NOT USED</v>
          </cell>
          <cell r="D933" t="str">
            <v>ELEC REV-INDUSTRIAL-BILLING CHARGE-MFC COMMODITY</v>
          </cell>
          <cell r="E933" t="str">
            <v/>
          </cell>
          <cell r="F933" t="str">
            <v/>
          </cell>
          <cell r="G933" t="str">
            <v/>
          </cell>
          <cell r="H933" t="str">
            <v/>
          </cell>
          <cell r="I933" t="str">
            <v/>
          </cell>
          <cell r="J933" t="str">
            <v/>
          </cell>
          <cell r="K933" t="str">
            <v/>
          </cell>
          <cell r="L933">
            <v>-8.5607399999999991</v>
          </cell>
          <cell r="M933">
            <v>-2.1580900000000001</v>
          </cell>
          <cell r="N933">
            <v>-4.1628800000000004</v>
          </cell>
          <cell r="O933">
            <v>-6.73482</v>
          </cell>
          <cell r="P933">
            <v>-10.05072</v>
          </cell>
          <cell r="Q933">
            <v>-11.689500000000001</v>
          </cell>
          <cell r="R933">
            <v>-13.01538</v>
          </cell>
          <cell r="S933">
            <v>-14.58184</v>
          </cell>
          <cell r="T933">
            <v>-16.458739999999999</v>
          </cell>
          <cell r="U933">
            <v>-18.740359999999999</v>
          </cell>
          <cell r="V933">
            <v>-24.937840000000001</v>
          </cell>
          <cell r="W933">
            <v>-29.06278</v>
          </cell>
          <cell r="X933">
            <v>-32.702620000000003</v>
          </cell>
          <cell r="Y933">
            <v>-14.352053</v>
          </cell>
        </row>
        <row r="934">
          <cell r="B934">
            <v>443143</v>
          </cell>
          <cell r="C934" t="str">
            <v>NOT USED</v>
          </cell>
          <cell r="D934" t="str">
            <v>ELEC REV-INDUSTRIAL-BILLING CHARGE-MFC DELIVERY</v>
          </cell>
          <cell r="E934" t="str">
            <v/>
          </cell>
          <cell r="F934" t="str">
            <v/>
          </cell>
          <cell r="G934" t="str">
            <v/>
          </cell>
          <cell r="H934" t="str">
            <v/>
          </cell>
          <cell r="I934" t="str">
            <v/>
          </cell>
          <cell r="J934" t="str">
            <v/>
          </cell>
          <cell r="K934" t="str">
            <v/>
          </cell>
          <cell r="L934">
            <v>-313.8023</v>
          </cell>
          <cell r="M934">
            <v>-83.569270000000003</v>
          </cell>
          <cell r="N934">
            <v>-166.03487999999999</v>
          </cell>
          <cell r="O934">
            <v>-260.69184999999999</v>
          </cell>
          <cell r="P934">
            <v>-362.36673999999999</v>
          </cell>
          <cell r="Q934">
            <v>-457.51737000000003</v>
          </cell>
          <cell r="R934">
            <v>-534.51913000000002</v>
          </cell>
          <cell r="S934">
            <v>-612.33389</v>
          </cell>
          <cell r="T934">
            <v>-696.93753000000004</v>
          </cell>
          <cell r="U934">
            <v>-778.17071999999996</v>
          </cell>
          <cell r="V934">
            <v>-875.60212999999999</v>
          </cell>
          <cell r="W934">
            <v>-938.31727999999998</v>
          </cell>
          <cell r="X934">
            <v>-995.51670000000001</v>
          </cell>
          <cell r="Y934">
            <v>-535.060024</v>
          </cell>
        </row>
        <row r="935">
          <cell r="B935">
            <v>443148</v>
          </cell>
          <cell r="C935" t="str">
            <v>NOT USED</v>
          </cell>
          <cell r="D935" t="str">
            <v>ELEC REV-INDUSTRIAL-TRANSITION CHRG-RETAIL ACCESS</v>
          </cell>
          <cell r="E935" t="str">
            <v/>
          </cell>
          <cell r="F935" t="str">
            <v/>
          </cell>
          <cell r="G935" t="str">
            <v/>
          </cell>
          <cell r="H935" t="str">
            <v/>
          </cell>
          <cell r="I935" t="str">
            <v/>
          </cell>
          <cell r="J935" t="str">
            <v/>
          </cell>
          <cell r="K935" t="str">
            <v/>
          </cell>
          <cell r="L935">
            <v>-11815.89306</v>
          </cell>
          <cell r="M935">
            <v>67.858230000000006</v>
          </cell>
          <cell r="N935">
            <v>513.34751000000006</v>
          </cell>
          <cell r="O935">
            <v>979.67778999999996</v>
          </cell>
          <cell r="P935">
            <v>1222.21181</v>
          </cell>
          <cell r="Q935">
            <v>1194.0468599999999</v>
          </cell>
          <cell r="R935">
            <v>942.72582</v>
          </cell>
          <cell r="S935">
            <v>549.05397000000005</v>
          </cell>
          <cell r="T935">
            <v>-13.240830000000001</v>
          </cell>
          <cell r="U935">
            <v>-507.19690000000003</v>
          </cell>
          <cell r="V935">
            <v>-406.22027000000003</v>
          </cell>
          <cell r="W935">
            <v>-296.93378000000001</v>
          </cell>
          <cell r="X935">
            <v>-370.17570000000001</v>
          </cell>
          <cell r="Y935">
            <v>-153.975348</v>
          </cell>
        </row>
        <row r="936">
          <cell r="B936">
            <v>443149</v>
          </cell>
          <cell r="C936" t="str">
            <v>NOT USED</v>
          </cell>
          <cell r="D936" t="str">
            <v>ELEC REVENUE-INDUSTRIAL-EEPS</v>
          </cell>
          <cell r="E936" t="str">
            <v/>
          </cell>
          <cell r="F936" t="str">
            <v/>
          </cell>
          <cell r="G936" t="str">
            <v/>
          </cell>
          <cell r="H936" t="str">
            <v/>
          </cell>
          <cell r="I936" t="str">
            <v/>
          </cell>
          <cell r="J936" t="str">
            <v/>
          </cell>
          <cell r="K936" t="str">
            <v/>
          </cell>
          <cell r="L936">
            <v>-548.71172999999999</v>
          </cell>
          <cell r="M936">
            <v>-32.554470000000002</v>
          </cell>
          <cell r="N936">
            <v>-67.210549999999998</v>
          </cell>
          <cell r="O936">
            <v>-107.95183</v>
          </cell>
          <cell r="P936">
            <v>-150.70536000000001</v>
          </cell>
          <cell r="Q936">
            <v>-190.91829999999999</v>
          </cell>
          <cell r="R936">
            <v>-224.11899</v>
          </cell>
          <cell r="S936">
            <v>-257.74083999999999</v>
          </cell>
          <cell r="T936">
            <v>-294.02478000000002</v>
          </cell>
          <cell r="U936">
            <v>-330.36326000000003</v>
          </cell>
          <cell r="V936">
            <v>-373.96915999999999</v>
          </cell>
          <cell r="W936">
            <v>-402.91539999999998</v>
          </cell>
          <cell r="X936">
            <v>-429.76679999999999</v>
          </cell>
          <cell r="Y936">
            <v>-243.47601700000001</v>
          </cell>
        </row>
        <row r="937">
          <cell r="B937">
            <v>443150</v>
          </cell>
          <cell r="C937" t="str">
            <v>NOT USED</v>
          </cell>
          <cell r="D937" t="str">
            <v>ELEC REVENUE-FIXED-INDUSTRIAL-SBC</v>
          </cell>
          <cell r="E937" t="str">
            <v/>
          </cell>
          <cell r="F937" t="str">
            <v/>
          </cell>
          <cell r="G937" t="str">
            <v/>
          </cell>
          <cell r="H937" t="str">
            <v/>
          </cell>
          <cell r="I937" t="str">
            <v/>
          </cell>
          <cell r="J937" t="str">
            <v/>
          </cell>
          <cell r="K937" t="str">
            <v/>
          </cell>
          <cell r="L937">
            <v>-287.26974000000001</v>
          </cell>
          <cell r="M937">
            <v>-26.32283</v>
          </cell>
          <cell r="N937">
            <v>-33.295960000000001</v>
          </cell>
          <cell r="O937">
            <v>-33.350540000000002</v>
          </cell>
          <cell r="P937">
            <v>-33.294229999999999</v>
          </cell>
          <cell r="Q937">
            <v>-33.292940000000002</v>
          </cell>
          <cell r="R937">
            <v>-33.281689999999998</v>
          </cell>
          <cell r="S937">
            <v>-33.281689999999998</v>
          </cell>
          <cell r="T937">
            <v>-33.281689999999998</v>
          </cell>
          <cell r="U937">
            <v>-33.281689999999998</v>
          </cell>
          <cell r="V937">
            <v>-33.281689999999998</v>
          </cell>
          <cell r="W937">
            <v>-33.281689999999998</v>
          </cell>
          <cell r="X937">
            <v>-33.281689999999998</v>
          </cell>
          <cell r="Y937">
            <v>-43.293529999999997</v>
          </cell>
        </row>
        <row r="938">
          <cell r="B938">
            <v>443151</v>
          </cell>
          <cell r="C938" t="str">
            <v>NOT USED</v>
          </cell>
          <cell r="D938" t="str">
            <v>ELEC REVENUE-FIXED-INDUSTRIAL-RAS</v>
          </cell>
          <cell r="E938" t="str">
            <v/>
          </cell>
          <cell r="F938" t="str">
            <v/>
          </cell>
          <cell r="G938" t="str">
            <v/>
          </cell>
          <cell r="H938" t="str">
            <v/>
          </cell>
          <cell r="I938" t="str">
            <v/>
          </cell>
          <cell r="J938" t="str">
            <v/>
          </cell>
          <cell r="K938" t="str">
            <v/>
          </cell>
          <cell r="L938">
            <v>-2542.6471799999999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-105.94363300000001</v>
          </cell>
        </row>
        <row r="939">
          <cell r="B939">
            <v>443153</v>
          </cell>
          <cell r="C939" t="str">
            <v>NOT USED</v>
          </cell>
          <cell r="D939" t="str">
            <v>ELEC REVENUE-INDUSTRIAL-SURCHARGE RETAIL ACCESS</v>
          </cell>
          <cell r="E939" t="str">
            <v/>
          </cell>
          <cell r="F939" t="str">
            <v/>
          </cell>
          <cell r="G939" t="str">
            <v/>
          </cell>
          <cell r="H939" t="str">
            <v/>
          </cell>
          <cell r="I939" t="str">
            <v/>
          </cell>
          <cell r="J939" t="str">
            <v/>
          </cell>
          <cell r="K939" t="str">
            <v/>
          </cell>
          <cell r="L939">
            <v>-1888.74281</v>
          </cell>
          <cell r="M939">
            <v>-152.74043</v>
          </cell>
          <cell r="N939">
            <v>-307.20843000000002</v>
          </cell>
          <cell r="O939">
            <v>-463.25967000000003</v>
          </cell>
          <cell r="P939">
            <v>-627.61568</v>
          </cell>
          <cell r="Q939">
            <v>-807.53449999999998</v>
          </cell>
          <cell r="R939">
            <v>-998.87293</v>
          </cell>
          <cell r="S939">
            <v>-1192.46298</v>
          </cell>
          <cell r="T939">
            <v>-1382.76775</v>
          </cell>
          <cell r="U939">
            <v>-1567.8540599999999</v>
          </cell>
          <cell r="V939">
            <v>-1745.6471300000001</v>
          </cell>
          <cell r="W939">
            <v>-1882.22894</v>
          </cell>
          <cell r="X939">
            <v>-1999.3931299999999</v>
          </cell>
          <cell r="Y939">
            <v>-1089.355039</v>
          </cell>
        </row>
        <row r="940">
          <cell r="B940">
            <v>443154</v>
          </cell>
          <cell r="C940" t="str">
            <v>NOT USED</v>
          </cell>
          <cell r="D940" t="str">
            <v>ELEC REVENUE-INDUSTRIAL-SURCHARGE FULL SERVICE</v>
          </cell>
          <cell r="E940" t="str">
            <v/>
          </cell>
          <cell r="F940" t="str">
            <v/>
          </cell>
          <cell r="G940" t="str">
            <v/>
          </cell>
          <cell r="H940" t="str">
            <v/>
          </cell>
          <cell r="I940" t="str">
            <v/>
          </cell>
          <cell r="J940" t="str">
            <v/>
          </cell>
          <cell r="K940" t="str">
            <v/>
          </cell>
          <cell r="L940">
            <v>-744.55694000000005</v>
          </cell>
          <cell r="M940">
            <v>-51.205689999999997</v>
          </cell>
          <cell r="N940">
            <v>-101.75778</v>
          </cell>
          <cell r="O940">
            <v>-151.99071000000001</v>
          </cell>
          <cell r="P940">
            <v>-199.76824999999999</v>
          </cell>
          <cell r="Q940">
            <v>-248.68478999999999</v>
          </cell>
          <cell r="R940">
            <v>-299.14593000000002</v>
          </cell>
          <cell r="S940">
            <v>-350.70715000000001</v>
          </cell>
          <cell r="T940">
            <v>-401.18691000000001</v>
          </cell>
          <cell r="U940">
            <v>-450.95407999999998</v>
          </cell>
          <cell r="V940">
            <v>-499.73604999999998</v>
          </cell>
          <cell r="W940">
            <v>-540.40351999999996</v>
          </cell>
          <cell r="X940">
            <v>-580.44857999999999</v>
          </cell>
          <cell r="Y940">
            <v>-329.83696800000001</v>
          </cell>
        </row>
        <row r="941">
          <cell r="B941">
            <v>443158</v>
          </cell>
          <cell r="C941" t="str">
            <v>NOT USED</v>
          </cell>
          <cell r="D941" t="str">
            <v>ELEC REV-INDUSTRIAL-SYSTEM BENEFIT CHRG-RETAIL AC</v>
          </cell>
          <cell r="E941" t="str">
            <v/>
          </cell>
          <cell r="F941" t="str">
            <v/>
          </cell>
          <cell r="G941" t="str">
            <v/>
          </cell>
          <cell r="H941" t="str">
            <v/>
          </cell>
          <cell r="I941" t="str">
            <v/>
          </cell>
          <cell r="J941" t="str">
            <v/>
          </cell>
          <cell r="K941" t="str">
            <v/>
          </cell>
          <cell r="L941">
            <v>-910.4171</v>
          </cell>
          <cell r="M941">
            <v>-118.30727</v>
          </cell>
          <cell r="N941">
            <v>-162.32433</v>
          </cell>
          <cell r="O941">
            <v>-162.3605</v>
          </cell>
          <cell r="P941">
            <v>-162.3605</v>
          </cell>
          <cell r="Q941">
            <v>-162.3605</v>
          </cell>
          <cell r="R941">
            <v>-162.3605</v>
          </cell>
          <cell r="S941">
            <v>-162.3605</v>
          </cell>
          <cell r="T941">
            <v>-162.3605</v>
          </cell>
          <cell r="U941">
            <v>-162.3605</v>
          </cell>
          <cell r="V941">
            <v>-162.3605</v>
          </cell>
          <cell r="W941">
            <v>-162.3605</v>
          </cell>
          <cell r="X941">
            <v>-162.3605</v>
          </cell>
          <cell r="Y941">
            <v>-189.85540800000001</v>
          </cell>
        </row>
        <row r="942">
          <cell r="B942">
            <v>443159</v>
          </cell>
          <cell r="C942" t="str">
            <v>NOT USED</v>
          </cell>
          <cell r="D942" t="str">
            <v>ELEC REV-INDUSTRIAL-EEPS-RETAIL ACCESS</v>
          </cell>
          <cell r="E942" t="str">
            <v/>
          </cell>
          <cell r="F942" t="str">
            <v/>
          </cell>
          <cell r="G942" t="str">
            <v/>
          </cell>
          <cell r="H942" t="str">
            <v/>
          </cell>
          <cell r="I942" t="str">
            <v/>
          </cell>
          <cell r="J942" t="str">
            <v/>
          </cell>
          <cell r="K942" t="str">
            <v/>
          </cell>
          <cell r="L942">
            <v>-1722.13355</v>
          </cell>
          <cell r="M942">
            <v>-146.31559999999999</v>
          </cell>
          <cell r="N942">
            <v>-301.78136000000001</v>
          </cell>
          <cell r="O942">
            <v>-469.34176000000002</v>
          </cell>
          <cell r="P942">
            <v>-630.95189000000005</v>
          </cell>
          <cell r="Q942">
            <v>-808.49035000000003</v>
          </cell>
          <cell r="R942">
            <v>-1006.20434</v>
          </cell>
          <cell r="S942">
            <v>-1198.73307</v>
          </cell>
          <cell r="T942">
            <v>-1395.87913</v>
          </cell>
          <cell r="U942">
            <v>-1586.89373</v>
          </cell>
          <cell r="V942">
            <v>-1767.2090599999999</v>
          </cell>
          <cell r="W942">
            <v>-1932.74542</v>
          </cell>
          <cell r="X942">
            <v>-2093.82035</v>
          </cell>
          <cell r="Y942">
            <v>-1096.043555</v>
          </cell>
        </row>
        <row r="943">
          <cell r="B943">
            <v>443160</v>
          </cell>
          <cell r="C943" t="str">
            <v>NOT USED</v>
          </cell>
          <cell r="D943" t="str">
            <v>ELEC REV-INDUSTRIAL-RENEWABLE PORTFOLIO CHARGE</v>
          </cell>
          <cell r="E943" t="str">
            <v/>
          </cell>
          <cell r="F943" t="str">
            <v/>
          </cell>
          <cell r="G943" t="str">
            <v/>
          </cell>
          <cell r="H943" t="str">
            <v/>
          </cell>
          <cell r="I943" t="str">
            <v/>
          </cell>
          <cell r="J943" t="str">
            <v/>
          </cell>
          <cell r="K943" t="str">
            <v/>
          </cell>
          <cell r="L943">
            <v>-412.46330999999998</v>
          </cell>
          <cell r="M943">
            <v>-33.458570000000002</v>
          </cell>
          <cell r="N943">
            <v>-66.323319999999995</v>
          </cell>
          <cell r="O943">
            <v>-103.89359</v>
          </cell>
          <cell r="P943">
            <v>-143.30448000000001</v>
          </cell>
          <cell r="Q943">
            <v>-180.38050999999999</v>
          </cell>
          <cell r="R943">
            <v>-210.98996</v>
          </cell>
          <cell r="S943">
            <v>-241.98916</v>
          </cell>
          <cell r="T943">
            <v>-275.44247000000001</v>
          </cell>
          <cell r="U943">
            <v>-308.94625000000002</v>
          </cell>
          <cell r="V943">
            <v>-353.18104</v>
          </cell>
          <cell r="W943">
            <v>-383.24043</v>
          </cell>
          <cell r="X943">
            <v>-411.12909000000002</v>
          </cell>
          <cell r="Y943">
            <v>-226.07883200000001</v>
          </cell>
        </row>
        <row r="944">
          <cell r="B944">
            <v>443168</v>
          </cell>
          <cell r="C944" t="str">
            <v>NOT USED</v>
          </cell>
          <cell r="D944" t="str">
            <v>ELEC REV-INDUSTRIAL-RENEWABLE PORTFOLIO-RETAIL AC</v>
          </cell>
          <cell r="E944" t="str">
            <v/>
          </cell>
          <cell r="F944" t="str">
            <v/>
          </cell>
          <cell r="G944" t="str">
            <v/>
          </cell>
          <cell r="H944" t="str">
            <v/>
          </cell>
          <cell r="I944" t="str">
            <v/>
          </cell>
          <cell r="J944" t="str">
            <v/>
          </cell>
          <cell r="K944" t="str">
            <v/>
          </cell>
          <cell r="L944">
            <v>-1304.04483</v>
          </cell>
          <cell r="M944">
            <v>-150.37997999999999</v>
          </cell>
          <cell r="N944">
            <v>-299.47739999999999</v>
          </cell>
          <cell r="O944">
            <v>-453.97183999999999</v>
          </cell>
          <cell r="P944">
            <v>-602.97528</v>
          </cell>
          <cell r="Q944">
            <v>-766.66477999999995</v>
          </cell>
          <cell r="R944">
            <v>-948.95541000000003</v>
          </cell>
          <cell r="S944">
            <v>-1126.4657199999999</v>
          </cell>
          <cell r="T944">
            <v>-1308.23317</v>
          </cell>
          <cell r="U944">
            <v>-1484.3472099999999</v>
          </cell>
          <cell r="V944">
            <v>-1664.7282499999999</v>
          </cell>
          <cell r="W944">
            <v>-1836.6308899999999</v>
          </cell>
          <cell r="X944">
            <v>-2003.90238</v>
          </cell>
          <cell r="Y944">
            <v>-1024.733628</v>
          </cell>
        </row>
        <row r="945">
          <cell r="B945">
            <v>443173</v>
          </cell>
          <cell r="C945" t="str">
            <v>NOT USED</v>
          </cell>
          <cell r="D945" t="str">
            <v>ELEC REV-FIXED-INDUSTRIAL-DELIVERY GRT</v>
          </cell>
          <cell r="E945" t="str">
            <v/>
          </cell>
          <cell r="F945" t="str">
            <v/>
          </cell>
          <cell r="G945" t="str">
            <v/>
          </cell>
          <cell r="H945" t="str">
            <v/>
          </cell>
          <cell r="I945" t="str">
            <v/>
          </cell>
          <cell r="J945" t="str">
            <v/>
          </cell>
          <cell r="K945" t="str">
            <v/>
          </cell>
          <cell r="L945">
            <v>-254.81610000000001</v>
          </cell>
          <cell r="M945">
            <v>-13.31983</v>
          </cell>
          <cell r="N945">
            <v>-25.50553</v>
          </cell>
          <cell r="O945">
            <v>-37.98066</v>
          </cell>
          <cell r="P945">
            <v>-51.894260000000003</v>
          </cell>
          <cell r="Q945">
            <v>-67.075429999999997</v>
          </cell>
          <cell r="R945">
            <v>-80.578440000000001</v>
          </cell>
          <cell r="S945">
            <v>-95.125389999999996</v>
          </cell>
          <cell r="T945">
            <v>-111.04676000000001</v>
          </cell>
          <cell r="U945">
            <v>-126.45095000000001</v>
          </cell>
          <cell r="V945">
            <v>-139.80715000000001</v>
          </cell>
          <cell r="W945">
            <v>-151.09854999999999</v>
          </cell>
          <cell r="X945">
            <v>-162.49754999999999</v>
          </cell>
          <cell r="Y945">
            <v>-92.378315000000001</v>
          </cell>
        </row>
        <row r="946">
          <cell r="B946">
            <v>443174</v>
          </cell>
          <cell r="C946" t="str">
            <v>NOT USED</v>
          </cell>
          <cell r="D946" t="str">
            <v>ELEC REV-FIXED-INDUSTRIAL-COMMODITY GRT</v>
          </cell>
          <cell r="E946" t="str">
            <v/>
          </cell>
          <cell r="F946" t="str">
            <v/>
          </cell>
          <cell r="G946" t="str">
            <v/>
          </cell>
          <cell r="H946" t="str">
            <v/>
          </cell>
          <cell r="I946" t="str">
            <v/>
          </cell>
          <cell r="J946" t="str">
            <v/>
          </cell>
          <cell r="K946" t="str">
            <v/>
          </cell>
          <cell r="L946">
            <v>-369.34107</v>
          </cell>
          <cell r="M946">
            <v>-21.704139999999999</v>
          </cell>
          <cell r="N946">
            <v>-35.965220000000002</v>
          </cell>
          <cell r="O946">
            <v>-53.140430000000002</v>
          </cell>
          <cell r="P946">
            <v>-77.693160000000006</v>
          </cell>
          <cell r="Q946">
            <v>-101.58834</v>
          </cell>
          <cell r="R946">
            <v>-119.04746</v>
          </cell>
          <cell r="S946">
            <v>-137.18618000000001</v>
          </cell>
          <cell r="T946">
            <v>-155.15468000000001</v>
          </cell>
          <cell r="U946">
            <v>-171.57284999999999</v>
          </cell>
          <cell r="V946">
            <v>-194.43845999999999</v>
          </cell>
          <cell r="W946">
            <v>-208.26661999999999</v>
          </cell>
          <cell r="X946">
            <v>-218.65555000000001</v>
          </cell>
          <cell r="Y946">
            <v>-130.81298799999999</v>
          </cell>
        </row>
        <row r="947">
          <cell r="B947">
            <v>443320</v>
          </cell>
          <cell r="C947" t="str">
            <v>NOT USED</v>
          </cell>
          <cell r="D947" t="str">
            <v>ELEC REVENUE-VARIABLE-INDUSTRIAL-DELIVERY</v>
          </cell>
          <cell r="E947" t="str">
            <v/>
          </cell>
          <cell r="F947" t="str">
            <v/>
          </cell>
          <cell r="G947" t="str">
            <v/>
          </cell>
          <cell r="H947" t="str">
            <v/>
          </cell>
          <cell r="I947" t="str">
            <v/>
          </cell>
          <cell r="J947" t="str">
            <v/>
          </cell>
          <cell r="K947" t="str">
            <v/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</row>
        <row r="948">
          <cell r="B948">
            <v>443325</v>
          </cell>
          <cell r="C948" t="str">
            <v>NOT USED</v>
          </cell>
          <cell r="D948" t="str">
            <v>ELEC REV-VARIABLE-INDUSTRIAL-UNBILLED-DELIVERY</v>
          </cell>
          <cell r="E948" t="str">
            <v/>
          </cell>
          <cell r="F948" t="str">
            <v/>
          </cell>
          <cell r="G948" t="str">
            <v/>
          </cell>
          <cell r="H948" t="str">
            <v/>
          </cell>
          <cell r="I948" t="str">
            <v/>
          </cell>
          <cell r="J948" t="str">
            <v/>
          </cell>
          <cell r="K948" t="str">
            <v/>
          </cell>
          <cell r="L948">
            <v>-21.02261</v>
          </cell>
          <cell r="M948">
            <v>-68.223240000000004</v>
          </cell>
          <cell r="N948">
            <v>-18.689779999999999</v>
          </cell>
          <cell r="O948">
            <v>-6.9445800000000002</v>
          </cell>
          <cell r="P948">
            <v>4.02555</v>
          </cell>
          <cell r="Q948">
            <v>-52.363390000000003</v>
          </cell>
          <cell r="R948">
            <v>-44.324019999999997</v>
          </cell>
          <cell r="S948">
            <v>-83.544390000000007</v>
          </cell>
          <cell r="T948">
            <v>-101.63864</v>
          </cell>
          <cell r="U948">
            <v>-73.446820000000002</v>
          </cell>
          <cell r="V948">
            <v>-60.591450000000002</v>
          </cell>
          <cell r="W948">
            <v>-42.363770000000002</v>
          </cell>
          <cell r="X948">
            <v>-19.808219999999999</v>
          </cell>
          <cell r="Y948">
            <v>-47.376662000000003</v>
          </cell>
        </row>
        <row r="949">
          <cell r="B949">
            <v>443330</v>
          </cell>
          <cell r="C949" t="str">
            <v>NOT USED</v>
          </cell>
          <cell r="D949" t="str">
            <v>ELEC REVENUE-VARIABLE-INDUSTRIAL-COMMODITY</v>
          </cell>
          <cell r="E949" t="str">
            <v/>
          </cell>
          <cell r="F949" t="str">
            <v/>
          </cell>
          <cell r="G949" t="str">
            <v/>
          </cell>
          <cell r="H949" t="str">
            <v/>
          </cell>
          <cell r="I949" t="str">
            <v/>
          </cell>
          <cell r="J949" t="str">
            <v/>
          </cell>
          <cell r="K949" t="str">
            <v/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</row>
        <row r="950">
          <cell r="B950">
            <v>443331</v>
          </cell>
          <cell r="C950" t="str">
            <v>NOT USED</v>
          </cell>
          <cell r="D950" t="str">
            <v>ELEC REV-VPO SPECIAL CONTRACT-INDUSTRIAL COMMODIT</v>
          </cell>
          <cell r="E950" t="str">
            <v/>
          </cell>
          <cell r="F950" t="str">
            <v/>
          </cell>
          <cell r="G950" t="str">
            <v/>
          </cell>
          <cell r="H950" t="str">
            <v/>
          </cell>
          <cell r="I950" t="str">
            <v/>
          </cell>
          <cell r="J950" t="str">
            <v/>
          </cell>
          <cell r="K950" t="str">
            <v/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</row>
        <row r="951">
          <cell r="B951">
            <v>443335</v>
          </cell>
          <cell r="C951" t="str">
            <v>NOT USED</v>
          </cell>
          <cell r="D951" t="str">
            <v>ELEC REV-VARIABLE-INDUSTRIAL-UNBILLED-COMMODITY</v>
          </cell>
          <cell r="E951" t="str">
            <v/>
          </cell>
          <cell r="F951" t="str">
            <v/>
          </cell>
          <cell r="G951" t="str">
            <v/>
          </cell>
          <cell r="H951" t="str">
            <v/>
          </cell>
          <cell r="I951" t="str">
            <v/>
          </cell>
          <cell r="J951" t="str">
            <v/>
          </cell>
          <cell r="K951" t="str">
            <v/>
          </cell>
          <cell r="L951">
            <v>-13.29434</v>
          </cell>
          <cell r="M951">
            <v>-104.49324</v>
          </cell>
          <cell r="N951">
            <v>284.30392000000001</v>
          </cell>
          <cell r="O951">
            <v>214.69206</v>
          </cell>
          <cell r="P951">
            <v>209.18244000000001</v>
          </cell>
          <cell r="Q951">
            <v>103.23934</v>
          </cell>
          <cell r="R951">
            <v>117.99569</v>
          </cell>
          <cell r="S951">
            <v>22.016069999999999</v>
          </cell>
          <cell r="T951">
            <v>100.34491</v>
          </cell>
          <cell r="U951">
            <v>131.22332</v>
          </cell>
          <cell r="V951">
            <v>177.75172000000001</v>
          </cell>
          <cell r="W951">
            <v>165.38648000000001</v>
          </cell>
          <cell r="X951">
            <v>206.30491000000001</v>
          </cell>
          <cell r="Y951">
            <v>126.512333</v>
          </cell>
        </row>
        <row r="952">
          <cell r="B952">
            <v>443340</v>
          </cell>
          <cell r="C952" t="str">
            <v>NOT USED</v>
          </cell>
          <cell r="D952" t="str">
            <v>ELEC REVENUE-VARIABLE-INDUSTRIAL-TRANSITION CHARG</v>
          </cell>
          <cell r="E952" t="str">
            <v/>
          </cell>
          <cell r="F952" t="str">
            <v/>
          </cell>
          <cell r="G952" t="str">
            <v/>
          </cell>
          <cell r="H952" t="str">
            <v/>
          </cell>
          <cell r="I952" t="str">
            <v/>
          </cell>
          <cell r="J952" t="str">
            <v/>
          </cell>
          <cell r="K952" t="str">
            <v/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</row>
        <row r="953">
          <cell r="B953">
            <v>443350</v>
          </cell>
          <cell r="C953" t="str">
            <v>NOT USED</v>
          </cell>
          <cell r="D953" t="str">
            <v>ELEC REVENUE-VARIABLE-INDUSTRIAL-SBC</v>
          </cell>
          <cell r="E953" t="str">
            <v/>
          </cell>
          <cell r="F953" t="str">
            <v/>
          </cell>
          <cell r="G953" t="str">
            <v/>
          </cell>
          <cell r="H953" t="str">
            <v/>
          </cell>
          <cell r="I953" t="str">
            <v/>
          </cell>
          <cell r="J953" t="str">
            <v/>
          </cell>
          <cell r="K953" t="str">
            <v/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</row>
        <row r="954">
          <cell r="B954">
            <v>443351</v>
          </cell>
          <cell r="C954" t="str">
            <v>NOT USED</v>
          </cell>
          <cell r="D954" t="str">
            <v>ELEC REVENUE-VARIABLE-INDUSTRIAL-RAS</v>
          </cell>
          <cell r="E954" t="str">
            <v/>
          </cell>
          <cell r="F954" t="str">
            <v/>
          </cell>
          <cell r="G954" t="str">
            <v/>
          </cell>
          <cell r="H954" t="str">
            <v/>
          </cell>
          <cell r="I954" t="str">
            <v/>
          </cell>
          <cell r="J954" t="str">
            <v/>
          </cell>
          <cell r="K954" t="str">
            <v/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</row>
        <row r="955">
          <cell r="B955">
            <v>443373</v>
          </cell>
          <cell r="C955" t="str">
            <v>NOT USED</v>
          </cell>
          <cell r="D955" t="str">
            <v>ELEC REV-VARIABLE-INDUSTRIAL-DELIVERY GRT</v>
          </cell>
          <cell r="E955" t="str">
            <v/>
          </cell>
          <cell r="F955" t="str">
            <v/>
          </cell>
          <cell r="G955" t="str">
            <v/>
          </cell>
          <cell r="H955" t="str">
            <v/>
          </cell>
          <cell r="I955" t="str">
            <v/>
          </cell>
          <cell r="J955" t="str">
            <v/>
          </cell>
          <cell r="K955" t="str">
            <v/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</row>
        <row r="956">
          <cell r="B956">
            <v>443374</v>
          </cell>
          <cell r="C956" t="str">
            <v>NOT USED</v>
          </cell>
          <cell r="D956" t="str">
            <v>ELEC REV-VARIABLE-INDUSTRIAL-COMMODITY GRT</v>
          </cell>
          <cell r="E956" t="str">
            <v/>
          </cell>
          <cell r="F956" t="str">
            <v/>
          </cell>
          <cell r="G956" t="str">
            <v/>
          </cell>
          <cell r="H956" t="str">
            <v/>
          </cell>
          <cell r="I956" t="str">
            <v/>
          </cell>
          <cell r="J956" t="str">
            <v/>
          </cell>
          <cell r="K956" t="str">
            <v/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</row>
        <row r="957">
          <cell r="B957">
            <v>443520</v>
          </cell>
          <cell r="C957" t="str">
            <v>NOT USED</v>
          </cell>
          <cell r="D957" t="str">
            <v>ELEC REVENUE- ESCO -INDUSTRIAL-DELIVERY</v>
          </cell>
          <cell r="E957" t="str">
            <v/>
          </cell>
          <cell r="F957" t="str">
            <v/>
          </cell>
          <cell r="G957" t="str">
            <v/>
          </cell>
          <cell r="H957" t="str">
            <v/>
          </cell>
          <cell r="I957" t="str">
            <v/>
          </cell>
          <cell r="J957" t="str">
            <v/>
          </cell>
          <cell r="K957" t="str">
            <v/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</row>
        <row r="958">
          <cell r="B958">
            <v>443525</v>
          </cell>
          <cell r="C958" t="str">
            <v>NOT USED</v>
          </cell>
          <cell r="D958" t="str">
            <v>ELEC REV- ESCO -INDUSTRIAL-UNBILLED-DELIVERY</v>
          </cell>
          <cell r="E958" t="str">
            <v/>
          </cell>
          <cell r="F958" t="str">
            <v/>
          </cell>
          <cell r="G958" t="str">
            <v/>
          </cell>
          <cell r="H958" t="str">
            <v/>
          </cell>
          <cell r="I958" t="str">
            <v/>
          </cell>
          <cell r="J958" t="str">
            <v/>
          </cell>
          <cell r="K958" t="str">
            <v/>
          </cell>
          <cell r="L958">
            <v>-717.33799999999997</v>
          </cell>
          <cell r="M958">
            <v>225.273</v>
          </cell>
          <cell r="N958">
            <v>302.90294</v>
          </cell>
          <cell r="O958">
            <v>260.67500000000001</v>
          </cell>
          <cell r="P958">
            <v>205.03586000000001</v>
          </cell>
          <cell r="Q958">
            <v>197.30600000000001</v>
          </cell>
          <cell r="R958">
            <v>24.711359999999999</v>
          </cell>
          <cell r="S958">
            <v>504.10388999999998</v>
          </cell>
          <cell r="T958">
            <v>-127.83768999999999</v>
          </cell>
          <cell r="U958">
            <v>-80.129930000000002</v>
          </cell>
          <cell r="V958">
            <v>329.79529000000002</v>
          </cell>
          <cell r="W958">
            <v>243.56734</v>
          </cell>
          <cell r="X958">
            <v>423.37842999999998</v>
          </cell>
          <cell r="Y958">
            <v>161.53527299999999</v>
          </cell>
        </row>
        <row r="959">
          <cell r="B959">
            <v>443535</v>
          </cell>
          <cell r="C959" t="str">
            <v>NOT USED</v>
          </cell>
          <cell r="D959" t="str">
            <v>ELEC REV-INDUSTRIAL-EPO UNBILLED TRANSITION</v>
          </cell>
          <cell r="E959" t="str">
            <v/>
          </cell>
          <cell r="F959" t="str">
            <v/>
          </cell>
          <cell r="G959" t="str">
            <v/>
          </cell>
          <cell r="H959" t="str">
            <v/>
          </cell>
          <cell r="I959" t="str">
            <v/>
          </cell>
          <cell r="J959" t="str">
            <v/>
          </cell>
          <cell r="K959" t="str">
            <v/>
          </cell>
          <cell r="L959">
            <v>234.75200000000001</v>
          </cell>
          <cell r="M959">
            <v>269.92200000000003</v>
          </cell>
          <cell r="N959">
            <v>353.14692000000002</v>
          </cell>
          <cell r="O959">
            <v>310.17700000000002</v>
          </cell>
          <cell r="P959">
            <v>221.66372000000001</v>
          </cell>
          <cell r="Q959">
            <v>105.443</v>
          </cell>
          <cell r="R959">
            <v>44.050339999999998</v>
          </cell>
          <cell r="S959">
            <v>63.928359999999998</v>
          </cell>
          <cell r="T959">
            <v>-90.51397</v>
          </cell>
          <cell r="U959">
            <v>-18.684979999999999</v>
          </cell>
          <cell r="V959">
            <v>249.26801</v>
          </cell>
          <cell r="W959">
            <v>152.8648</v>
          </cell>
          <cell r="X959">
            <v>121.83013</v>
          </cell>
          <cell r="Y959">
            <v>153.29635500000001</v>
          </cell>
        </row>
        <row r="960">
          <cell r="B960">
            <v>443540</v>
          </cell>
          <cell r="C960" t="str">
            <v>NOT USED</v>
          </cell>
          <cell r="D960" t="str">
            <v>ELEC REVENUE- ESCO -INDUSTRIAL-TRANSITION CHARGE</v>
          </cell>
          <cell r="E960" t="str">
            <v/>
          </cell>
          <cell r="F960" t="str">
            <v/>
          </cell>
          <cell r="G960" t="str">
            <v/>
          </cell>
          <cell r="H960" t="str">
            <v/>
          </cell>
          <cell r="I960" t="str">
            <v/>
          </cell>
          <cell r="J960" t="str">
            <v/>
          </cell>
          <cell r="K960" t="str">
            <v/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</row>
        <row r="961">
          <cell r="B961">
            <v>443541</v>
          </cell>
          <cell r="C961" t="str">
            <v>NOT USED</v>
          </cell>
          <cell r="D961" t="str">
            <v>EL RV-EPO SPEC CONTRACT-INDUSTRIAL-TRANSITION CHR</v>
          </cell>
          <cell r="E961" t="str">
            <v/>
          </cell>
          <cell r="F961" t="str">
            <v/>
          </cell>
          <cell r="G961" t="str">
            <v/>
          </cell>
          <cell r="H961" t="str">
            <v/>
          </cell>
          <cell r="I961" t="str">
            <v/>
          </cell>
          <cell r="J961" t="str">
            <v/>
          </cell>
          <cell r="K961" t="str">
            <v/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</row>
        <row r="962">
          <cell r="B962">
            <v>443550</v>
          </cell>
          <cell r="C962" t="str">
            <v>NOT USED</v>
          </cell>
          <cell r="D962" t="str">
            <v>ELEC REVENUE- ESCO -INDUSTRIAL-SBC</v>
          </cell>
          <cell r="E962" t="str">
            <v/>
          </cell>
          <cell r="F962" t="str">
            <v/>
          </cell>
          <cell r="G962" t="str">
            <v/>
          </cell>
          <cell r="H962" t="str">
            <v/>
          </cell>
          <cell r="I962" t="str">
            <v/>
          </cell>
          <cell r="J962" t="str">
            <v/>
          </cell>
          <cell r="K962" t="str">
            <v/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</row>
        <row r="963">
          <cell r="B963">
            <v>443551</v>
          </cell>
          <cell r="C963" t="str">
            <v>NOT USED</v>
          </cell>
          <cell r="D963" t="str">
            <v>ELEC REVENUE- ESCO -INDUSTRIAL-RAS</v>
          </cell>
          <cell r="E963" t="str">
            <v/>
          </cell>
          <cell r="F963" t="str">
            <v/>
          </cell>
          <cell r="G963" t="str">
            <v/>
          </cell>
          <cell r="H963" t="str">
            <v/>
          </cell>
          <cell r="I963" t="str">
            <v/>
          </cell>
          <cell r="J963" t="str">
            <v/>
          </cell>
          <cell r="K963" t="str">
            <v/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</row>
        <row r="964">
          <cell r="B964">
            <v>443552</v>
          </cell>
          <cell r="C964" t="str">
            <v>NOT USED</v>
          </cell>
          <cell r="D964" t="str">
            <v>ELEC REVENUE- ESCO -INDUSTRIAL-RAC</v>
          </cell>
          <cell r="E964" t="str">
            <v/>
          </cell>
          <cell r="F964" t="str">
            <v/>
          </cell>
          <cell r="G964" t="str">
            <v/>
          </cell>
          <cell r="H964" t="str">
            <v/>
          </cell>
          <cell r="I964" t="str">
            <v/>
          </cell>
          <cell r="J964" t="str">
            <v/>
          </cell>
          <cell r="K964" t="str">
            <v/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</row>
        <row r="965">
          <cell r="B965">
            <v>443573</v>
          </cell>
          <cell r="C965" t="str">
            <v>NOT USED</v>
          </cell>
          <cell r="D965" t="str">
            <v>ELEC REV- ESCO -INDUSTRIAL-DELIVERY GRT</v>
          </cell>
          <cell r="E965" t="str">
            <v/>
          </cell>
          <cell r="F965" t="str">
            <v/>
          </cell>
          <cell r="G965" t="str">
            <v/>
          </cell>
          <cell r="H965" t="str">
            <v/>
          </cell>
          <cell r="I965" t="str">
            <v/>
          </cell>
          <cell r="J965" t="str">
            <v/>
          </cell>
          <cell r="K965" t="str">
            <v/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</row>
        <row r="966">
          <cell r="B966">
            <v>443620</v>
          </cell>
          <cell r="C966" t="str">
            <v>NOT USED</v>
          </cell>
          <cell r="D966" t="str">
            <v>ELEC REV-ESCO W/SUPPLY ADJUST-INDUSTRIAL-DELIVERY</v>
          </cell>
          <cell r="E966" t="str">
            <v/>
          </cell>
          <cell r="F966" t="str">
            <v/>
          </cell>
          <cell r="G966" t="str">
            <v/>
          </cell>
          <cell r="H966" t="str">
            <v/>
          </cell>
          <cell r="I966" t="str">
            <v/>
          </cell>
          <cell r="J966" t="str">
            <v/>
          </cell>
          <cell r="K966" t="str">
            <v/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</row>
        <row r="967">
          <cell r="B967">
            <v>443625</v>
          </cell>
          <cell r="C967" t="str">
            <v>NOT USED</v>
          </cell>
          <cell r="D967" t="str">
            <v>EL REV-ESCO W/SUP ADJ-INDUSTRIAL-UNBILLED-DELIVER</v>
          </cell>
          <cell r="E967" t="str">
            <v/>
          </cell>
          <cell r="F967" t="str">
            <v/>
          </cell>
          <cell r="G967" t="str">
            <v/>
          </cell>
          <cell r="H967" t="str">
            <v/>
          </cell>
          <cell r="I967" t="str">
            <v/>
          </cell>
          <cell r="J967" t="str">
            <v/>
          </cell>
          <cell r="K967" t="str">
            <v/>
          </cell>
          <cell r="L967">
            <v>5.5E-2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2.2920000000000002E-3</v>
          </cell>
        </row>
        <row r="968">
          <cell r="B968">
            <v>443630</v>
          </cell>
          <cell r="C968" t="str">
            <v>NOT USED</v>
          </cell>
          <cell r="D968" t="str">
            <v>ELEC REV-ESCO W/SUPPLY ADJUST-INDUSTRIAL-COMMODIT</v>
          </cell>
          <cell r="E968" t="str">
            <v/>
          </cell>
          <cell r="F968" t="str">
            <v/>
          </cell>
          <cell r="G968" t="str">
            <v/>
          </cell>
          <cell r="H968" t="str">
            <v/>
          </cell>
          <cell r="I968" t="str">
            <v/>
          </cell>
          <cell r="J968" t="str">
            <v/>
          </cell>
          <cell r="K968" t="str">
            <v/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</row>
        <row r="969">
          <cell r="B969">
            <v>443635</v>
          </cell>
          <cell r="C969" t="str">
            <v>NOT USED</v>
          </cell>
          <cell r="D969" t="str">
            <v>EL REV-ESCO W/SUP ADJ-INDUSTRIAL-UNBILLED-COMODIT</v>
          </cell>
          <cell r="E969" t="str">
            <v/>
          </cell>
          <cell r="F969" t="str">
            <v/>
          </cell>
          <cell r="G969" t="str">
            <v/>
          </cell>
          <cell r="H969" t="str">
            <v/>
          </cell>
          <cell r="I969" t="str">
            <v/>
          </cell>
          <cell r="J969" t="str">
            <v/>
          </cell>
          <cell r="K969" t="str">
            <v/>
          </cell>
          <cell r="L969">
            <v>0.10100000000000001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4.2079999999999999E-3</v>
          </cell>
        </row>
        <row r="970">
          <cell r="B970">
            <v>443640</v>
          </cell>
          <cell r="C970" t="str">
            <v>NOT USED</v>
          </cell>
          <cell r="D970" t="str">
            <v>ELEC REV-ESCO W/SUP ADJ-INDUSTRIAL-TRANSITION CHR</v>
          </cell>
          <cell r="E970" t="str">
            <v/>
          </cell>
          <cell r="F970" t="str">
            <v/>
          </cell>
          <cell r="G970" t="str">
            <v/>
          </cell>
          <cell r="H970" t="str">
            <v/>
          </cell>
          <cell r="I970" t="str">
            <v/>
          </cell>
          <cell r="J970" t="str">
            <v/>
          </cell>
          <cell r="K970" t="str">
            <v/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</row>
        <row r="971">
          <cell r="B971">
            <v>443645</v>
          </cell>
          <cell r="C971" t="str">
            <v>NOT USED</v>
          </cell>
          <cell r="D971" t="str">
            <v>E-UNBILLED-INDUSTRIAL-DELIVERY GROSS RECEIPTS TAX</v>
          </cell>
          <cell r="E971" t="str">
            <v/>
          </cell>
          <cell r="F971" t="str">
            <v/>
          </cell>
          <cell r="G971" t="str">
            <v/>
          </cell>
          <cell r="H971" t="str">
            <v/>
          </cell>
          <cell r="I971" t="str">
            <v/>
          </cell>
          <cell r="J971" t="str">
            <v/>
          </cell>
          <cell r="K971" t="str">
            <v/>
          </cell>
          <cell r="L971">
            <v>0.55000000000000004</v>
          </cell>
          <cell r="M971">
            <v>-0.24</v>
          </cell>
          <cell r="N971">
            <v>0.373</v>
          </cell>
          <cell r="O971">
            <v>0.39700000000000002</v>
          </cell>
          <cell r="P971">
            <v>0.34699999999999998</v>
          </cell>
          <cell r="Q971">
            <v>-0.36799999999999999</v>
          </cell>
          <cell r="R971">
            <v>-0.36135</v>
          </cell>
          <cell r="S971">
            <v>-0.84335000000000004</v>
          </cell>
          <cell r="T971">
            <v>-0.85324</v>
          </cell>
          <cell r="U971">
            <v>-0.48901</v>
          </cell>
          <cell r="V971">
            <v>6.694E-2</v>
          </cell>
          <cell r="W971">
            <v>1.391E-2</v>
          </cell>
          <cell r="X971">
            <v>0.18393000000000001</v>
          </cell>
          <cell r="Y971">
            <v>-0.13251099999999999</v>
          </cell>
        </row>
        <row r="972">
          <cell r="B972">
            <v>443650</v>
          </cell>
          <cell r="C972" t="str">
            <v>NOT USED</v>
          </cell>
          <cell r="D972" t="str">
            <v>ELEC REV-ESCO W/SUPPLY ADJUST-INDUSTRIAL-SBC</v>
          </cell>
          <cell r="E972" t="str">
            <v/>
          </cell>
          <cell r="F972" t="str">
            <v/>
          </cell>
          <cell r="G972" t="str">
            <v/>
          </cell>
          <cell r="H972" t="str">
            <v/>
          </cell>
          <cell r="I972" t="str">
            <v/>
          </cell>
          <cell r="J972" t="str">
            <v/>
          </cell>
          <cell r="K972" t="str">
            <v/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</row>
        <row r="973">
          <cell r="B973">
            <v>443651</v>
          </cell>
          <cell r="C973" t="str">
            <v>NOT USED</v>
          </cell>
          <cell r="D973" t="str">
            <v>ELEC REV-ESCO W/SUPPLY ADJUST-INDUSTRIAL-RAS</v>
          </cell>
          <cell r="E973" t="str">
            <v/>
          </cell>
          <cell r="F973" t="str">
            <v/>
          </cell>
          <cell r="G973" t="str">
            <v/>
          </cell>
          <cell r="H973" t="str">
            <v/>
          </cell>
          <cell r="I973" t="str">
            <v/>
          </cell>
          <cell r="J973" t="str">
            <v/>
          </cell>
          <cell r="K973" t="str">
            <v/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</row>
        <row r="974">
          <cell r="B974">
            <v>443652</v>
          </cell>
          <cell r="C974" t="str">
            <v>NOT USED</v>
          </cell>
          <cell r="D974" t="str">
            <v>ELEC REV-ESCO W/SUPPLY ADJUST-INDUSTRIAL-RAC</v>
          </cell>
          <cell r="E974" t="str">
            <v/>
          </cell>
          <cell r="F974" t="str">
            <v/>
          </cell>
          <cell r="G974" t="str">
            <v/>
          </cell>
          <cell r="H974" t="str">
            <v/>
          </cell>
          <cell r="I974" t="str">
            <v/>
          </cell>
          <cell r="J974" t="str">
            <v/>
          </cell>
          <cell r="K974" t="str">
            <v/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</row>
        <row r="975">
          <cell r="B975">
            <v>443653</v>
          </cell>
          <cell r="C975" t="str">
            <v>NOT USED</v>
          </cell>
          <cell r="D975" t="str">
            <v>ELEC REV-ESCO W/SUPPLY ADJUST-INDUSTRIAL-MBBC</v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  <cell r="I975" t="str">
            <v/>
          </cell>
          <cell r="J975" t="str">
            <v/>
          </cell>
          <cell r="K975" t="str">
            <v/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</row>
        <row r="976">
          <cell r="B976">
            <v>443655</v>
          </cell>
          <cell r="C976" t="str">
            <v>NOT USED</v>
          </cell>
          <cell r="D976" t="str">
            <v>E-UNBILLED-INDUSTRIAL-COMMODITY GROSS RECEIPTS TA</v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  <cell r="I976" t="str">
            <v/>
          </cell>
          <cell r="J976" t="str">
            <v/>
          </cell>
          <cell r="K976" t="str">
            <v/>
          </cell>
          <cell r="L976">
            <v>-1.2E-2</v>
          </cell>
          <cell r="M976">
            <v>-1.4710000000000001</v>
          </cell>
          <cell r="N976">
            <v>2.2570000000000001</v>
          </cell>
          <cell r="O976">
            <v>1.659</v>
          </cell>
          <cell r="P976">
            <v>1.764</v>
          </cell>
          <cell r="Q976">
            <v>0.871</v>
          </cell>
          <cell r="R976">
            <v>1.0902400000000001</v>
          </cell>
          <cell r="S976">
            <v>0.23363999999999999</v>
          </cell>
          <cell r="T976">
            <v>0.83992999999999995</v>
          </cell>
          <cell r="U976">
            <v>1.0605500000000001</v>
          </cell>
          <cell r="V976">
            <v>1.0925499999999999</v>
          </cell>
          <cell r="W976">
            <v>1.1785699999999999</v>
          </cell>
          <cell r="X976">
            <v>1.6620699999999999</v>
          </cell>
          <cell r="Y976">
            <v>0.95004299999999997</v>
          </cell>
        </row>
        <row r="977">
          <cell r="B977">
            <v>443673</v>
          </cell>
          <cell r="C977" t="str">
            <v>NOT USED</v>
          </cell>
          <cell r="D977" t="str">
            <v>ELEC REV-ESCO W/SUP ADJ-INDUSTRIAL-DELIVERY GRT</v>
          </cell>
          <cell r="E977" t="str">
            <v/>
          </cell>
          <cell r="F977" t="str">
            <v/>
          </cell>
          <cell r="G977" t="str">
            <v/>
          </cell>
          <cell r="H977" t="str">
            <v/>
          </cell>
          <cell r="I977" t="str">
            <v/>
          </cell>
          <cell r="J977" t="str">
            <v/>
          </cell>
          <cell r="K977" t="str">
            <v/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</row>
        <row r="978">
          <cell r="B978">
            <v>444000</v>
          </cell>
          <cell r="C978" t="str">
            <v>NOT USED</v>
          </cell>
          <cell r="D978" t="str">
            <v>ELEC REVENUE - STREET LIGHTING-REGULAR</v>
          </cell>
          <cell r="E978" t="str">
            <v/>
          </cell>
          <cell r="F978" t="str">
            <v/>
          </cell>
          <cell r="G978" t="str">
            <v/>
          </cell>
          <cell r="H978" t="str">
            <v/>
          </cell>
          <cell r="I978" t="str">
            <v/>
          </cell>
          <cell r="J978" t="str">
            <v/>
          </cell>
          <cell r="K978" t="str">
            <v/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</row>
        <row r="979">
          <cell r="B979">
            <v>444120</v>
          </cell>
          <cell r="C979" t="str">
            <v>NOT USED</v>
          </cell>
          <cell r="D979" t="str">
            <v>ELECTRIC REVENUE-FIXED-STREET LIGHTING-DELIVERY</v>
          </cell>
          <cell r="E979" t="str">
            <v/>
          </cell>
          <cell r="F979" t="str">
            <v/>
          </cell>
          <cell r="G979" t="str">
            <v/>
          </cell>
          <cell r="H979" t="str">
            <v/>
          </cell>
          <cell r="I979" t="str">
            <v/>
          </cell>
          <cell r="J979" t="str">
            <v/>
          </cell>
          <cell r="K979" t="str">
            <v/>
          </cell>
          <cell r="L979">
            <v>1552.8791200000001</v>
          </cell>
          <cell r="M979">
            <v>-26.598240000000001</v>
          </cell>
          <cell r="N979">
            <v>-85.823800000000006</v>
          </cell>
          <cell r="O979">
            <v>-132.66095999999999</v>
          </cell>
          <cell r="P979">
            <v>-215.33413999999999</v>
          </cell>
          <cell r="Q979">
            <v>-297.77305999999999</v>
          </cell>
          <cell r="R979">
            <v>-379.66804000000002</v>
          </cell>
          <cell r="S979">
            <v>-461.76116999999999</v>
          </cell>
          <cell r="T979">
            <v>-542.38941</v>
          </cell>
          <cell r="U979">
            <v>-624.31691999999998</v>
          </cell>
          <cell r="V979">
            <v>-712.49117999999999</v>
          </cell>
          <cell r="W979">
            <v>-796.54173000000003</v>
          </cell>
          <cell r="X979">
            <v>-879.50012000000004</v>
          </cell>
          <cell r="Y979">
            <v>-328.22242899999998</v>
          </cell>
        </row>
        <row r="980">
          <cell r="B980">
            <v>444128</v>
          </cell>
          <cell r="C980" t="str">
            <v>NOT USED</v>
          </cell>
          <cell r="D980" t="str">
            <v>ELEC REV-ST LIGHTING-DELIVERY CHARGE-RETAIL ACCES</v>
          </cell>
          <cell r="E980" t="str">
            <v/>
          </cell>
          <cell r="F980" t="str">
            <v/>
          </cell>
          <cell r="G980" t="str">
            <v/>
          </cell>
          <cell r="H980" t="str">
            <v/>
          </cell>
          <cell r="I980" t="str">
            <v/>
          </cell>
          <cell r="J980" t="str">
            <v/>
          </cell>
          <cell r="K980" t="str">
            <v/>
          </cell>
          <cell r="L980">
            <v>-5813.5732799999996</v>
          </cell>
          <cell r="M980">
            <v>-387.46904000000001</v>
          </cell>
          <cell r="N980">
            <v>-776.20645999999999</v>
          </cell>
          <cell r="O980">
            <v>-1154.9343799999999</v>
          </cell>
          <cell r="P980">
            <v>-1515.66662</v>
          </cell>
          <cell r="Q980">
            <v>-1870.8683599999999</v>
          </cell>
          <cell r="R980">
            <v>-2219.3151499999999</v>
          </cell>
          <cell r="S980">
            <v>-2572.2154500000001</v>
          </cell>
          <cell r="T980">
            <v>-2933.8355499999998</v>
          </cell>
          <cell r="U980">
            <v>-3315.6148800000001</v>
          </cell>
          <cell r="V980">
            <v>-3713.5769599999999</v>
          </cell>
          <cell r="W980">
            <v>-4119.2734099999998</v>
          </cell>
          <cell r="X980">
            <v>-4543.5678799999996</v>
          </cell>
          <cell r="Y980">
            <v>-2479.7955700000002</v>
          </cell>
        </row>
        <row r="981">
          <cell r="B981">
            <v>444130</v>
          </cell>
          <cell r="C981" t="str">
            <v>NOT USED</v>
          </cell>
          <cell r="D981" t="str">
            <v>ELECTRIC REVENUE-FIXED-STREET LIGHTING-COMMODITY</v>
          </cell>
          <cell r="E981" t="str">
            <v/>
          </cell>
          <cell r="F981" t="str">
            <v/>
          </cell>
          <cell r="G981" t="str">
            <v/>
          </cell>
          <cell r="H981" t="str">
            <v/>
          </cell>
          <cell r="I981" t="str">
            <v/>
          </cell>
          <cell r="J981" t="str">
            <v/>
          </cell>
          <cell r="K981" t="str">
            <v/>
          </cell>
          <cell r="L981">
            <v>-360.27535999999998</v>
          </cell>
          <cell r="M981">
            <v>-25.3459</v>
          </cell>
          <cell r="N981">
            <v>-41.556460000000001</v>
          </cell>
          <cell r="O981">
            <v>-44.82535</v>
          </cell>
          <cell r="P981">
            <v>-79.270989999999998</v>
          </cell>
          <cell r="Q981">
            <v>-106.61451</v>
          </cell>
          <cell r="R981">
            <v>-137.03691000000001</v>
          </cell>
          <cell r="S981">
            <v>-167.38332</v>
          </cell>
          <cell r="T981">
            <v>-197.50960000000001</v>
          </cell>
          <cell r="U981">
            <v>-225.97128000000001</v>
          </cell>
          <cell r="V981">
            <v>-265.35057999999998</v>
          </cell>
          <cell r="W981">
            <v>-303.73532</v>
          </cell>
          <cell r="X981">
            <v>-342.11000999999999</v>
          </cell>
          <cell r="Y981">
            <v>-162.14940899999999</v>
          </cell>
        </row>
        <row r="982">
          <cell r="B982">
            <v>444138</v>
          </cell>
          <cell r="C982" t="str">
            <v>NOT USED</v>
          </cell>
          <cell r="D982" t="str">
            <v>ELEC REV-ST LIGHTING-SUPPLY CHARGE-RETAIL ACCESS</v>
          </cell>
          <cell r="E982" t="str">
            <v/>
          </cell>
          <cell r="F982" t="str">
            <v/>
          </cell>
          <cell r="G982" t="str">
            <v/>
          </cell>
          <cell r="H982" t="str">
            <v/>
          </cell>
          <cell r="I982" t="str">
            <v/>
          </cell>
          <cell r="J982" t="str">
            <v/>
          </cell>
          <cell r="K982" t="str">
            <v/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</row>
        <row r="983">
          <cell r="B983">
            <v>444140</v>
          </cell>
          <cell r="C983" t="str">
            <v>NOT USED</v>
          </cell>
          <cell r="D983" t="str">
            <v>ELEC REV-FIXED-STREET LIGHTING-TRANSITION CHARGE</v>
          </cell>
          <cell r="E983" t="str">
            <v/>
          </cell>
          <cell r="F983" t="str">
            <v/>
          </cell>
          <cell r="G983" t="str">
            <v/>
          </cell>
          <cell r="H983" t="str">
            <v/>
          </cell>
          <cell r="I983" t="str">
            <v/>
          </cell>
          <cell r="J983" t="str">
            <v/>
          </cell>
          <cell r="K983" t="str">
            <v/>
          </cell>
          <cell r="L983">
            <v>-91.270510000000002</v>
          </cell>
          <cell r="M983">
            <v>2.7707999999999999</v>
          </cell>
          <cell r="N983">
            <v>7.5129900000000003</v>
          </cell>
          <cell r="O983">
            <v>11.022270000000001</v>
          </cell>
          <cell r="P983">
            <v>12.21618</v>
          </cell>
          <cell r="Q983">
            <v>11.302670000000001</v>
          </cell>
          <cell r="R983">
            <v>9.5337200000000006</v>
          </cell>
          <cell r="S983">
            <v>6.8179800000000004</v>
          </cell>
          <cell r="T983">
            <v>2.8772500000000001</v>
          </cell>
          <cell r="U983">
            <v>-0.17027999999999999</v>
          </cell>
          <cell r="V983">
            <v>2.6219600000000001</v>
          </cell>
          <cell r="W983">
            <v>2.59239</v>
          </cell>
          <cell r="X983">
            <v>1.52912</v>
          </cell>
          <cell r="Y983">
            <v>2.0189360000000001</v>
          </cell>
        </row>
        <row r="984">
          <cell r="B984">
            <v>444142</v>
          </cell>
          <cell r="C984" t="str">
            <v>NOT USED</v>
          </cell>
          <cell r="D984" t="str">
            <v>ELEC REV-STREETLIGHTING-BILLING CHG-MFC COMMODITY</v>
          </cell>
          <cell r="E984" t="str">
            <v/>
          </cell>
          <cell r="F984" t="str">
            <v/>
          </cell>
          <cell r="G984" t="str">
            <v/>
          </cell>
          <cell r="H984" t="str">
            <v/>
          </cell>
          <cell r="I984" t="str">
            <v/>
          </cell>
          <cell r="J984" t="str">
            <v/>
          </cell>
          <cell r="K984" t="str">
            <v/>
          </cell>
          <cell r="L984">
            <v>-2.5943700000000001</v>
          </cell>
          <cell r="M984">
            <v>-0.99848999999999999</v>
          </cell>
          <cell r="N984">
            <v>-1.5359100000000001</v>
          </cell>
          <cell r="O984">
            <v>-2.1855199999999999</v>
          </cell>
          <cell r="P984">
            <v>-2.93771</v>
          </cell>
          <cell r="Q984">
            <v>-3.4033699999999998</v>
          </cell>
          <cell r="R984">
            <v>-3.9284400000000002</v>
          </cell>
          <cell r="S984">
            <v>-4.4915599999999998</v>
          </cell>
          <cell r="T984">
            <v>-5.0082100000000001</v>
          </cell>
          <cell r="U984">
            <v>-5.7542999999999997</v>
          </cell>
          <cell r="V984">
            <v>-6.6747199999999998</v>
          </cell>
          <cell r="W984">
            <v>-7.5786899999999999</v>
          </cell>
          <cell r="X984">
            <v>-8.4131499999999999</v>
          </cell>
          <cell r="Y984">
            <v>-4.1667230000000002</v>
          </cell>
        </row>
        <row r="985">
          <cell r="B985">
            <v>444143</v>
          </cell>
          <cell r="C985" t="str">
            <v>NOT USED</v>
          </cell>
          <cell r="D985" t="str">
            <v>ELEC REV-ST LIGHTING-BILLING CHARGE-MFC DELIVERY</v>
          </cell>
          <cell r="E985" t="str">
            <v/>
          </cell>
          <cell r="F985" t="str">
            <v/>
          </cell>
          <cell r="G985" t="str">
            <v/>
          </cell>
          <cell r="H985" t="str">
            <v/>
          </cell>
          <cell r="I985" t="str">
            <v/>
          </cell>
          <cell r="J985" t="str">
            <v/>
          </cell>
          <cell r="K985" t="str">
            <v/>
          </cell>
          <cell r="L985">
            <v>-11.45551</v>
          </cell>
          <cell r="M985">
            <v>-3.7634699999999999</v>
          </cell>
          <cell r="N985">
            <v>-7.2110099999999999</v>
          </cell>
          <cell r="O985">
            <v>-10.59563</v>
          </cell>
          <cell r="P985">
            <v>-13.691280000000001</v>
          </cell>
          <cell r="Q985">
            <v>-16.647400000000001</v>
          </cell>
          <cell r="R985">
            <v>-19.455079999999999</v>
          </cell>
          <cell r="S985">
            <v>-22.346450000000001</v>
          </cell>
          <cell r="T985">
            <v>-25.412120000000002</v>
          </cell>
          <cell r="U985">
            <v>-28.463349999999998</v>
          </cell>
          <cell r="V985">
            <v>-31.760280000000002</v>
          </cell>
          <cell r="W985">
            <v>-35.100749999999998</v>
          </cell>
          <cell r="X985">
            <v>-38.630409999999998</v>
          </cell>
          <cell r="Y985">
            <v>-19.957481999999999</v>
          </cell>
        </row>
        <row r="986">
          <cell r="B986">
            <v>444148</v>
          </cell>
          <cell r="C986" t="str">
            <v>NOT USED</v>
          </cell>
          <cell r="D986" t="str">
            <v>ELEC REV-ST LIGHTING-TRANSITION CHRG-RETAIL ACCES</v>
          </cell>
          <cell r="E986" t="str">
            <v/>
          </cell>
          <cell r="F986" t="str">
            <v/>
          </cell>
          <cell r="G986" t="str">
            <v/>
          </cell>
          <cell r="H986" t="str">
            <v/>
          </cell>
          <cell r="I986" t="str">
            <v/>
          </cell>
          <cell r="J986" t="str">
            <v/>
          </cell>
          <cell r="K986" t="str">
            <v/>
          </cell>
          <cell r="L986">
            <v>-371.70911000000001</v>
          </cell>
          <cell r="M986">
            <v>15.53243</v>
          </cell>
          <cell r="N986">
            <v>37.699509999999997</v>
          </cell>
          <cell r="O986">
            <v>53.484850000000002</v>
          </cell>
          <cell r="P986">
            <v>58.41854</v>
          </cell>
          <cell r="Q986">
            <v>54.778669999999998</v>
          </cell>
          <cell r="R986">
            <v>48.185650000000003</v>
          </cell>
          <cell r="S986">
            <v>37.68544</v>
          </cell>
          <cell r="T986">
            <v>21.458929999999999</v>
          </cell>
          <cell r="U986">
            <v>8.1680399999999995</v>
          </cell>
          <cell r="V986">
            <v>21.403300000000002</v>
          </cell>
          <cell r="W986">
            <v>21.253730000000001</v>
          </cell>
          <cell r="X986">
            <v>15.83606</v>
          </cell>
          <cell r="Y986">
            <v>16.677714000000002</v>
          </cell>
        </row>
        <row r="987">
          <cell r="B987">
            <v>444149</v>
          </cell>
          <cell r="C987" t="str">
            <v>NOT USED</v>
          </cell>
          <cell r="D987" t="str">
            <v>ELEC REVENUE-STREET LIGHTING-EEPS</v>
          </cell>
          <cell r="E987" t="str">
            <v/>
          </cell>
          <cell r="F987" t="str">
            <v/>
          </cell>
          <cell r="G987" t="str">
            <v/>
          </cell>
          <cell r="H987" t="str">
            <v/>
          </cell>
          <cell r="I987" t="str">
            <v/>
          </cell>
          <cell r="J987" t="str">
            <v/>
          </cell>
          <cell r="K987" t="str">
            <v/>
          </cell>
          <cell r="L987">
            <v>-14.41361</v>
          </cell>
          <cell r="M987">
            <v>-1.3745700000000001</v>
          </cell>
          <cell r="N987">
            <v>-2.7778800000000001</v>
          </cell>
          <cell r="O987">
            <v>-4.1559600000000003</v>
          </cell>
          <cell r="P987">
            <v>-5.4162299999999997</v>
          </cell>
          <cell r="Q987">
            <v>-6.61972</v>
          </cell>
          <cell r="R987">
            <v>-7.7627699999999997</v>
          </cell>
          <cell r="S987">
            <v>-8.9400300000000001</v>
          </cell>
          <cell r="T987">
            <v>-10.188040000000001</v>
          </cell>
          <cell r="U987">
            <v>-11.49634</v>
          </cell>
          <cell r="V987">
            <v>-12.91004</v>
          </cell>
          <cell r="W987">
            <v>-14.37369</v>
          </cell>
          <cell r="X987">
            <v>-15.920199999999999</v>
          </cell>
          <cell r="Y987">
            <v>-8.4318480000000005</v>
          </cell>
        </row>
        <row r="988">
          <cell r="B988">
            <v>444150</v>
          </cell>
          <cell r="C988" t="str">
            <v>NOT USED</v>
          </cell>
          <cell r="D988" t="str">
            <v>ELECTRIC REVENUE-FIXED-STREET LIGHTING-SBC</v>
          </cell>
          <cell r="E988" t="str">
            <v/>
          </cell>
          <cell r="F988" t="str">
            <v/>
          </cell>
          <cell r="G988" t="str">
            <v/>
          </cell>
          <cell r="H988" t="str">
            <v/>
          </cell>
          <cell r="I988" t="str">
            <v/>
          </cell>
          <cell r="J988" t="str">
            <v/>
          </cell>
          <cell r="K988" t="str">
            <v/>
          </cell>
          <cell r="L988">
            <v>-7.9302999999999999</v>
          </cell>
          <cell r="M988">
            <v>-1.11148</v>
          </cell>
          <cell r="N988">
            <v>-1.1132500000000001</v>
          </cell>
          <cell r="O988">
            <v>-1.1132500000000001</v>
          </cell>
          <cell r="P988">
            <v>-1.1132500000000001</v>
          </cell>
          <cell r="Q988">
            <v>-1.1137699999999999</v>
          </cell>
          <cell r="R988">
            <v>-1.1137699999999999</v>
          </cell>
          <cell r="S988">
            <v>-1.1137699999999999</v>
          </cell>
          <cell r="T988">
            <v>-1.1137699999999999</v>
          </cell>
          <cell r="U988">
            <v>-1.1137699999999999</v>
          </cell>
          <cell r="V988">
            <v>-1.1137699999999999</v>
          </cell>
          <cell r="W988">
            <v>-1.1137699999999999</v>
          </cell>
          <cell r="X988">
            <v>-1.1137699999999999</v>
          </cell>
          <cell r="Y988">
            <v>-1.3974709999999999</v>
          </cell>
        </row>
        <row r="989">
          <cell r="B989">
            <v>444151</v>
          </cell>
          <cell r="C989" t="str">
            <v>NOT USED</v>
          </cell>
          <cell r="D989" t="str">
            <v>ELECTRIC REVENUE-FIXED-STREET LIGHTING-RAS</v>
          </cell>
          <cell r="E989" t="str">
            <v/>
          </cell>
          <cell r="F989" t="str">
            <v/>
          </cell>
          <cell r="G989" t="str">
            <v/>
          </cell>
          <cell r="H989" t="str">
            <v/>
          </cell>
          <cell r="I989" t="str">
            <v/>
          </cell>
          <cell r="J989" t="str">
            <v/>
          </cell>
          <cell r="K989" t="str">
            <v/>
          </cell>
          <cell r="L989">
            <v>-75.929670000000002</v>
          </cell>
          <cell r="M989">
            <v>0</v>
          </cell>
          <cell r="N989">
            <v>0</v>
          </cell>
          <cell r="O989">
            <v>0</v>
          </cell>
          <cell r="P989">
            <v>3.5899999999999999E-3</v>
          </cell>
          <cell r="Q989">
            <v>3.5899999999999999E-3</v>
          </cell>
          <cell r="R989">
            <v>3.5899999999999999E-3</v>
          </cell>
          <cell r="S989">
            <v>3.5899999999999999E-3</v>
          </cell>
          <cell r="T989">
            <v>3.5899999999999999E-3</v>
          </cell>
          <cell r="U989">
            <v>3.5899999999999999E-3</v>
          </cell>
          <cell r="V989">
            <v>3.5899999999999999E-3</v>
          </cell>
          <cell r="W989">
            <v>3.5899999999999999E-3</v>
          </cell>
          <cell r="X989">
            <v>3.5899999999999999E-3</v>
          </cell>
          <cell r="Y989">
            <v>-3.1611929999999999</v>
          </cell>
        </row>
        <row r="990">
          <cell r="B990">
            <v>444153</v>
          </cell>
          <cell r="C990" t="str">
            <v>NOT USED</v>
          </cell>
          <cell r="D990" t="str">
            <v>ELECT REVENUE-ST LIGHTING-SURCHARGE RETAIL ACCESS</v>
          </cell>
          <cell r="E990" t="str">
            <v/>
          </cell>
          <cell r="F990" t="str">
            <v/>
          </cell>
          <cell r="G990" t="str">
            <v/>
          </cell>
          <cell r="H990" t="str">
            <v/>
          </cell>
          <cell r="I990" t="str">
            <v/>
          </cell>
          <cell r="J990" t="str">
            <v/>
          </cell>
          <cell r="K990" t="str">
            <v/>
          </cell>
          <cell r="L990">
            <v>-176.15467000000001</v>
          </cell>
          <cell r="M990">
            <v>-14.70327</v>
          </cell>
          <cell r="N990">
            <v>-30.409079999999999</v>
          </cell>
          <cell r="O990">
            <v>-45.284910000000004</v>
          </cell>
          <cell r="P990">
            <v>-57.744689999999999</v>
          </cell>
          <cell r="Q990">
            <v>-69.076520000000002</v>
          </cell>
          <cell r="R990">
            <v>-79.265919999999994</v>
          </cell>
          <cell r="S990">
            <v>-90.161649999999995</v>
          </cell>
          <cell r="T990">
            <v>-102.46417</v>
          </cell>
          <cell r="U990">
            <v>-116.12493000000001</v>
          </cell>
          <cell r="V990">
            <v>-132.15729999999999</v>
          </cell>
          <cell r="W990">
            <v>-149.34774999999999</v>
          </cell>
          <cell r="X990">
            <v>-168.13972000000001</v>
          </cell>
          <cell r="Y990">
            <v>-88.240615000000005</v>
          </cell>
        </row>
        <row r="991">
          <cell r="B991">
            <v>444154</v>
          </cell>
          <cell r="C991" t="str">
            <v>NOT USED</v>
          </cell>
          <cell r="D991" t="str">
            <v>ELECTRIC REVENUE-ST LIGHTING-SURCHARGE FULL SERVI</v>
          </cell>
          <cell r="E991" t="str">
            <v/>
          </cell>
          <cell r="F991" t="str">
            <v/>
          </cell>
          <cell r="G991" t="str">
            <v/>
          </cell>
          <cell r="H991" t="str">
            <v/>
          </cell>
          <cell r="I991" t="str">
            <v/>
          </cell>
          <cell r="J991" t="str">
            <v/>
          </cell>
          <cell r="K991" t="str">
            <v/>
          </cell>
          <cell r="L991">
            <v>-39.630949999999999</v>
          </cell>
          <cell r="M991">
            <v>-3.66716</v>
          </cell>
          <cell r="N991">
            <v>-7.02623</v>
          </cell>
          <cell r="O991">
            <v>-10.32419</v>
          </cell>
          <cell r="P991">
            <v>-13.34065</v>
          </cell>
          <cell r="Q991">
            <v>-16.221409999999999</v>
          </cell>
          <cell r="R991">
            <v>-18.95759</v>
          </cell>
          <cell r="S991">
            <v>-21.775670000000002</v>
          </cell>
          <cell r="T991">
            <v>-24.76324</v>
          </cell>
          <cell r="U991">
            <v>-27.894839999999999</v>
          </cell>
          <cell r="V991">
            <v>-31.278829999999999</v>
          </cell>
          <cell r="W991">
            <v>-34.782389999999999</v>
          </cell>
          <cell r="X991">
            <v>-38.484299999999998</v>
          </cell>
          <cell r="Y991">
            <v>-20.757484999999999</v>
          </cell>
        </row>
        <row r="992">
          <cell r="B992">
            <v>444158</v>
          </cell>
          <cell r="C992" t="str">
            <v>NOT USED</v>
          </cell>
          <cell r="D992" t="str">
            <v>EL REV-ST LIGHTING-SYSTEM BENEFIT CHRG-RETL ACCES</v>
          </cell>
          <cell r="E992" t="str">
            <v/>
          </cell>
          <cell r="F992" t="str">
            <v/>
          </cell>
          <cell r="G992" t="str">
            <v/>
          </cell>
          <cell r="H992" t="str">
            <v/>
          </cell>
          <cell r="I992" t="str">
            <v/>
          </cell>
          <cell r="J992" t="str">
            <v/>
          </cell>
          <cell r="K992" t="str">
            <v/>
          </cell>
          <cell r="L992">
            <v>-36.413699999999999</v>
          </cell>
          <cell r="M992">
            <v>-4.4544899999999998</v>
          </cell>
          <cell r="N992">
            <v>-4.4574100000000003</v>
          </cell>
          <cell r="O992">
            <v>-4.4574100000000003</v>
          </cell>
          <cell r="P992">
            <v>-4.4353300000000004</v>
          </cell>
          <cell r="Q992">
            <v>-4.4353300000000004</v>
          </cell>
          <cell r="R992">
            <v>-4.4353300000000004</v>
          </cell>
          <cell r="S992">
            <v>-4.4353300000000004</v>
          </cell>
          <cell r="T992">
            <v>-4.4353300000000004</v>
          </cell>
          <cell r="U992">
            <v>-4.4353300000000004</v>
          </cell>
          <cell r="V992">
            <v>-4.4353300000000004</v>
          </cell>
          <cell r="W992">
            <v>-4.4353300000000004</v>
          </cell>
          <cell r="X992">
            <v>-4.4353300000000004</v>
          </cell>
          <cell r="Y992">
            <v>-5.7730389999999998</v>
          </cell>
        </row>
        <row r="993">
          <cell r="B993">
            <v>444159</v>
          </cell>
          <cell r="C993" t="str">
            <v>NOT USED</v>
          </cell>
          <cell r="D993" t="str">
            <v>ELEC REV-ST LIGHTING-EEPS-RETAIL ACCESS</v>
          </cell>
          <cell r="E993" t="str">
            <v/>
          </cell>
          <cell r="F993" t="str">
            <v/>
          </cell>
          <cell r="G993" t="str">
            <v/>
          </cell>
          <cell r="H993" t="str">
            <v/>
          </cell>
          <cell r="I993" t="str">
            <v/>
          </cell>
          <cell r="J993" t="str">
            <v/>
          </cell>
          <cell r="K993" t="str">
            <v/>
          </cell>
          <cell r="L993">
            <v>-63.932450000000003</v>
          </cell>
          <cell r="M993">
            <v>-5.5089399999999999</v>
          </cell>
          <cell r="N993">
            <v>-12.06831</v>
          </cell>
          <cell r="O993">
            <v>-18.281330000000001</v>
          </cell>
          <cell r="P993">
            <v>-23.488700000000001</v>
          </cell>
          <cell r="Q993">
            <v>-28.221489999999999</v>
          </cell>
          <cell r="R993">
            <v>-32.477020000000003</v>
          </cell>
          <cell r="S993">
            <v>-37.0276</v>
          </cell>
          <cell r="T993">
            <v>-42.16574</v>
          </cell>
          <cell r="U993">
            <v>-47.871630000000003</v>
          </cell>
          <cell r="V993">
            <v>-54.567970000000003</v>
          </cell>
          <cell r="W993">
            <v>-61.748260000000002</v>
          </cell>
          <cell r="X993">
            <v>-69.597830000000002</v>
          </cell>
          <cell r="Y993">
            <v>-35.849344000000002</v>
          </cell>
        </row>
        <row r="994">
          <cell r="B994">
            <v>444160</v>
          </cell>
          <cell r="C994" t="str">
            <v>NOT USED</v>
          </cell>
          <cell r="D994" t="str">
            <v>EL REV-ST LIGHTING-RENEWABLE PORTFOLIO CHARGE</v>
          </cell>
          <cell r="E994" t="str">
            <v/>
          </cell>
          <cell r="F994" t="str">
            <v/>
          </cell>
          <cell r="G994" t="str">
            <v/>
          </cell>
          <cell r="H994" t="str">
            <v/>
          </cell>
          <cell r="I994" t="str">
            <v/>
          </cell>
          <cell r="J994" t="str">
            <v/>
          </cell>
          <cell r="K994" t="str">
            <v/>
          </cell>
          <cell r="L994">
            <v>-11.191660000000001</v>
          </cell>
          <cell r="M994">
            <v>-1.4128099999999999</v>
          </cell>
          <cell r="N994">
            <v>-2.7069299999999998</v>
          </cell>
          <cell r="O994">
            <v>-3.9774500000000002</v>
          </cell>
          <cell r="P994">
            <v>-5.1396199999999999</v>
          </cell>
          <cell r="Q994">
            <v>-6.2492799999999997</v>
          </cell>
          <cell r="R994">
            <v>-7.3032899999999996</v>
          </cell>
          <cell r="S994">
            <v>-8.3886199999999995</v>
          </cell>
          <cell r="T994">
            <v>-9.5395299999999992</v>
          </cell>
          <cell r="U994">
            <v>-10.74578</v>
          </cell>
          <cell r="V994">
            <v>-12.213789999999999</v>
          </cell>
          <cell r="W994">
            <v>-13.7338</v>
          </cell>
          <cell r="X994">
            <v>-15.33989</v>
          </cell>
          <cell r="Y994">
            <v>-7.889723</v>
          </cell>
        </row>
        <row r="995">
          <cell r="B995">
            <v>444168</v>
          </cell>
          <cell r="C995" t="str">
            <v>NOT USED</v>
          </cell>
          <cell r="D995" t="str">
            <v>EL REV-ST LIGHTING-RENEWABLE PORTFOLIO-RETAIL ACC</v>
          </cell>
          <cell r="E995" t="str">
            <v/>
          </cell>
          <cell r="F995" t="str">
            <v/>
          </cell>
          <cell r="G995" t="str">
            <v/>
          </cell>
          <cell r="H995" t="str">
            <v/>
          </cell>
          <cell r="I995" t="str">
            <v/>
          </cell>
          <cell r="J995" t="str">
            <v/>
          </cell>
          <cell r="K995" t="str">
            <v/>
          </cell>
          <cell r="L995">
            <v>-50.83775</v>
          </cell>
          <cell r="M995">
            <v>-5.6616999999999997</v>
          </cell>
          <cell r="N995">
            <v>-11.709540000000001</v>
          </cell>
          <cell r="O995">
            <v>-17.437889999999999</v>
          </cell>
          <cell r="P995">
            <v>-22.23678</v>
          </cell>
          <cell r="Q995">
            <v>-26.60033</v>
          </cell>
          <cell r="R995">
            <v>-30.524069999999998</v>
          </cell>
          <cell r="S995">
            <v>-34.719790000000003</v>
          </cell>
          <cell r="T995">
            <v>-39.457360000000001</v>
          </cell>
          <cell r="U995">
            <v>-44.718119999999999</v>
          </cell>
          <cell r="V995">
            <v>-51.671900000000001</v>
          </cell>
          <cell r="W995">
            <v>-59.128399999999999</v>
          </cell>
          <cell r="X995">
            <v>-67.274479999999997</v>
          </cell>
          <cell r="Y995">
            <v>-33.576833000000001</v>
          </cell>
        </row>
        <row r="996">
          <cell r="B996">
            <v>444173</v>
          </cell>
          <cell r="C996" t="str">
            <v>NOT USED</v>
          </cell>
          <cell r="D996" t="str">
            <v>ELEC REVENUE-FIXED-STREET LIGHTING-DELIVERY GRT</v>
          </cell>
          <cell r="E996" t="str">
            <v/>
          </cell>
          <cell r="F996" t="str">
            <v/>
          </cell>
          <cell r="G996" t="str">
            <v/>
          </cell>
          <cell r="H996" t="str">
            <v/>
          </cell>
          <cell r="I996" t="str">
            <v/>
          </cell>
          <cell r="J996" t="str">
            <v/>
          </cell>
          <cell r="K996" t="str">
            <v/>
          </cell>
          <cell r="L996">
            <v>-3.47384</v>
          </cell>
          <cell r="M996">
            <v>-0.26550000000000001</v>
          </cell>
          <cell r="N996">
            <v>-0.51827999999999996</v>
          </cell>
          <cell r="O996">
            <v>-0.77556999999999998</v>
          </cell>
          <cell r="P996">
            <v>-1.0406500000000001</v>
          </cell>
          <cell r="Q996">
            <v>-1.31592</v>
          </cell>
          <cell r="R996">
            <v>-1.5906499999999999</v>
          </cell>
          <cell r="S996">
            <v>-1.8696699999999999</v>
          </cell>
          <cell r="T996">
            <v>-2.1549299999999998</v>
          </cell>
          <cell r="U996">
            <v>-2.4445299999999999</v>
          </cell>
          <cell r="V996">
            <v>-2.7116099999999999</v>
          </cell>
          <cell r="W996">
            <v>-2.9914399999999999</v>
          </cell>
          <cell r="X996">
            <v>-3.29128</v>
          </cell>
          <cell r="Y996">
            <v>-1.755109</v>
          </cell>
        </row>
        <row r="997">
          <cell r="B997">
            <v>444174</v>
          </cell>
          <cell r="C997" t="str">
            <v>NOT USED</v>
          </cell>
          <cell r="D997" t="str">
            <v>ELEC REVENUE-FIXED-STREET LIGHTING-COMMODITY GRT</v>
          </cell>
          <cell r="E997" t="str">
            <v/>
          </cell>
          <cell r="F997" t="str">
            <v/>
          </cell>
          <cell r="G997" t="str">
            <v/>
          </cell>
          <cell r="H997" t="str">
            <v/>
          </cell>
          <cell r="I997" t="str">
            <v/>
          </cell>
          <cell r="J997" t="str">
            <v/>
          </cell>
          <cell r="K997" t="str">
            <v/>
          </cell>
          <cell r="L997">
            <v>-1.77607</v>
          </cell>
          <cell r="M997">
            <v>-0.21970000000000001</v>
          </cell>
          <cell r="N997">
            <v>-0.36059999999999998</v>
          </cell>
          <cell r="O997">
            <v>-0.52866999999999997</v>
          </cell>
          <cell r="P997">
            <v>-0.69396000000000002</v>
          </cell>
          <cell r="Q997">
            <v>-0.82937000000000005</v>
          </cell>
          <cell r="R997">
            <v>-0.98133999999999999</v>
          </cell>
          <cell r="S997">
            <v>-1.1312599999999999</v>
          </cell>
          <cell r="T997">
            <v>-1.27661</v>
          </cell>
          <cell r="U997">
            <v>-1.41333</v>
          </cell>
          <cell r="V997">
            <v>-1.5926100000000001</v>
          </cell>
          <cell r="W997">
            <v>-1.7657700000000001</v>
          </cell>
          <cell r="X997">
            <v>-1.93889</v>
          </cell>
          <cell r="Y997">
            <v>-1.054225</v>
          </cell>
        </row>
        <row r="998">
          <cell r="B998">
            <v>444320</v>
          </cell>
          <cell r="C998" t="str">
            <v>NOT USED</v>
          </cell>
          <cell r="D998" t="str">
            <v>ELECTRIC REVENUE-VARIABLE-STREET LIGHTING-DELIVER</v>
          </cell>
          <cell r="E998" t="str">
            <v/>
          </cell>
          <cell r="F998" t="str">
            <v/>
          </cell>
          <cell r="G998" t="str">
            <v/>
          </cell>
          <cell r="H998" t="str">
            <v/>
          </cell>
          <cell r="I998" t="str">
            <v/>
          </cell>
          <cell r="J998" t="str">
            <v/>
          </cell>
          <cell r="K998" t="str">
            <v/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</row>
        <row r="999">
          <cell r="B999">
            <v>444330</v>
          </cell>
          <cell r="C999" t="str">
            <v>NOT USED</v>
          </cell>
          <cell r="D999" t="str">
            <v>ELEC REVENUE-VARIABLE-STREET LIGHTING-COMMODITY</v>
          </cell>
          <cell r="E999" t="str">
            <v/>
          </cell>
          <cell r="F999" t="str">
            <v/>
          </cell>
          <cell r="G999" t="str">
            <v/>
          </cell>
          <cell r="H999" t="str">
            <v/>
          </cell>
          <cell r="I999" t="str">
            <v/>
          </cell>
          <cell r="J999" t="str">
            <v/>
          </cell>
          <cell r="K999" t="str">
            <v/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</row>
        <row r="1000">
          <cell r="B1000">
            <v>444340</v>
          </cell>
          <cell r="C1000" t="str">
            <v>NOT USED</v>
          </cell>
          <cell r="D1000" t="str">
            <v>ELEC REV-VARIABLE-ST LIGHTING-TRANSITION CHARGE</v>
          </cell>
          <cell r="E1000" t="str">
            <v/>
          </cell>
          <cell r="F1000" t="str">
            <v/>
          </cell>
          <cell r="G1000" t="str">
            <v/>
          </cell>
          <cell r="H1000" t="str">
            <v/>
          </cell>
          <cell r="I1000" t="str">
            <v/>
          </cell>
          <cell r="J1000" t="str">
            <v/>
          </cell>
          <cell r="K1000" t="str">
            <v/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</row>
        <row r="1001">
          <cell r="B1001">
            <v>444350</v>
          </cell>
          <cell r="C1001" t="str">
            <v>NOT USED</v>
          </cell>
          <cell r="D1001" t="str">
            <v>ELECTRIC REVENUE-VARIABLE-STREET LIGHTING-SBC</v>
          </cell>
          <cell r="E1001" t="str">
            <v/>
          </cell>
          <cell r="F1001" t="str">
            <v/>
          </cell>
          <cell r="G1001" t="str">
            <v/>
          </cell>
          <cell r="H1001" t="str">
            <v/>
          </cell>
          <cell r="I1001" t="str">
            <v/>
          </cell>
          <cell r="J1001" t="str">
            <v/>
          </cell>
          <cell r="K1001" t="str">
            <v/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</row>
        <row r="1002">
          <cell r="B1002">
            <v>444351</v>
          </cell>
          <cell r="C1002" t="str">
            <v>NOT USED</v>
          </cell>
          <cell r="D1002" t="str">
            <v>ELECTRIC REVENUE-VARIABLE-STREET LIGHTING-RAS</v>
          </cell>
          <cell r="E1002" t="str">
            <v/>
          </cell>
          <cell r="F1002" t="str">
            <v/>
          </cell>
          <cell r="G1002" t="str">
            <v/>
          </cell>
          <cell r="H1002" t="str">
            <v/>
          </cell>
          <cell r="I1002" t="str">
            <v/>
          </cell>
          <cell r="J1002" t="str">
            <v/>
          </cell>
          <cell r="K1002" t="str">
            <v/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</row>
        <row r="1003">
          <cell r="B1003">
            <v>444373</v>
          </cell>
          <cell r="C1003" t="str">
            <v>NOT USED</v>
          </cell>
          <cell r="D1003" t="str">
            <v>ELEC REVENUE-VARIABLE-STREET LIGHTING-DELIVERY GR</v>
          </cell>
          <cell r="E1003" t="str">
            <v/>
          </cell>
          <cell r="F1003" t="str">
            <v/>
          </cell>
          <cell r="G1003" t="str">
            <v/>
          </cell>
          <cell r="H1003" t="str">
            <v/>
          </cell>
          <cell r="I1003" t="str">
            <v/>
          </cell>
          <cell r="J1003" t="str">
            <v/>
          </cell>
          <cell r="K1003" t="str">
            <v/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</row>
        <row r="1004">
          <cell r="B1004">
            <v>444374</v>
          </cell>
          <cell r="C1004" t="str">
            <v>NOT USED</v>
          </cell>
          <cell r="D1004" t="str">
            <v>ELEC REVENUE-VARIABLE-ST LIGHTING-COMMODITY GRT</v>
          </cell>
          <cell r="E1004" t="str">
            <v/>
          </cell>
          <cell r="F1004" t="str">
            <v/>
          </cell>
          <cell r="G1004" t="str">
            <v/>
          </cell>
          <cell r="H1004" t="str">
            <v/>
          </cell>
          <cell r="I1004" t="str">
            <v/>
          </cell>
          <cell r="J1004" t="str">
            <v/>
          </cell>
          <cell r="K1004" t="str">
            <v/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</row>
        <row r="1005">
          <cell r="B1005">
            <v>445100</v>
          </cell>
          <cell r="C1005" t="str">
            <v>NOT USED</v>
          </cell>
          <cell r="D1005" t="str">
            <v>ELEC REVENUE - MUNICIPAL-REGULAR</v>
          </cell>
          <cell r="E1005" t="str">
            <v/>
          </cell>
          <cell r="F1005" t="str">
            <v/>
          </cell>
          <cell r="G1005" t="str">
            <v/>
          </cell>
          <cell r="H1005" t="str">
            <v/>
          </cell>
          <cell r="I1005" t="str">
            <v/>
          </cell>
          <cell r="J1005" t="str">
            <v/>
          </cell>
          <cell r="K1005" t="str">
            <v/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</row>
        <row r="1006">
          <cell r="B1006">
            <v>445120</v>
          </cell>
          <cell r="C1006" t="str">
            <v>NOT USED</v>
          </cell>
          <cell r="D1006" t="str">
            <v>ELECTRIC REVENUE-FIXED-MUNICIPAL-DELIVERY</v>
          </cell>
          <cell r="E1006" t="str">
            <v/>
          </cell>
          <cell r="F1006" t="str">
            <v/>
          </cell>
          <cell r="G1006" t="str">
            <v/>
          </cell>
          <cell r="H1006" t="str">
            <v/>
          </cell>
          <cell r="I1006" t="str">
            <v/>
          </cell>
          <cell r="J1006" t="str">
            <v/>
          </cell>
          <cell r="K1006" t="str">
            <v/>
          </cell>
          <cell r="L1006">
            <v>-2085.8538800000001</v>
          </cell>
          <cell r="M1006">
            <v>-238.58993000000001</v>
          </cell>
          <cell r="N1006">
            <v>-472.41088999999999</v>
          </cell>
          <cell r="O1006">
            <v>-699.37967000000003</v>
          </cell>
          <cell r="P1006">
            <v>-925.64099999999996</v>
          </cell>
          <cell r="Q1006">
            <v>-1140.04385</v>
          </cell>
          <cell r="R1006">
            <v>-1353.5128199999999</v>
          </cell>
          <cell r="S1006">
            <v>-1564.0754400000001</v>
          </cell>
          <cell r="T1006">
            <v>-1769.4419499999999</v>
          </cell>
          <cell r="U1006">
            <v>-1974.18604</v>
          </cell>
          <cell r="V1006">
            <v>-2200.4176200000002</v>
          </cell>
          <cell r="W1006">
            <v>-2374.7060900000001</v>
          </cell>
          <cell r="X1006">
            <v>-2569.18786</v>
          </cell>
          <cell r="Y1006">
            <v>-1419.9938480000001</v>
          </cell>
        </row>
        <row r="1007">
          <cell r="B1007">
            <v>445125</v>
          </cell>
          <cell r="C1007" t="str">
            <v>NOT USED</v>
          </cell>
          <cell r="D1007" t="str">
            <v>ELECTRIC REVENUE-FIXED-MUNICIPAL-UNBILLED DELIVER</v>
          </cell>
          <cell r="E1007" t="str">
            <v/>
          </cell>
          <cell r="F1007" t="str">
            <v/>
          </cell>
          <cell r="G1007" t="str">
            <v/>
          </cell>
          <cell r="H1007" t="str">
            <v/>
          </cell>
          <cell r="I1007" t="str">
            <v/>
          </cell>
          <cell r="J1007" t="str">
            <v/>
          </cell>
          <cell r="K1007" t="str">
            <v/>
          </cell>
          <cell r="L1007">
            <v>4.5789999999999997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0.19079199999999999</v>
          </cell>
        </row>
        <row r="1008">
          <cell r="B1008">
            <v>445128</v>
          </cell>
          <cell r="C1008" t="str">
            <v>NOT USED</v>
          </cell>
          <cell r="D1008" t="str">
            <v>ELEC REV-MUNICIPAL-DELIVERY CHARGE-RETAIL ACCESS</v>
          </cell>
          <cell r="E1008" t="str">
            <v/>
          </cell>
          <cell r="F1008" t="str">
            <v/>
          </cell>
          <cell r="G1008" t="str">
            <v/>
          </cell>
          <cell r="H1008" t="str">
            <v/>
          </cell>
          <cell r="I1008" t="str">
            <v/>
          </cell>
          <cell r="J1008" t="str">
            <v/>
          </cell>
          <cell r="K1008" t="str">
            <v/>
          </cell>
          <cell r="L1008">
            <v>-10875.16885</v>
          </cell>
          <cell r="M1008">
            <v>-1326.1240499999999</v>
          </cell>
          <cell r="N1008">
            <v>-2660.0198700000001</v>
          </cell>
          <cell r="O1008">
            <v>-3999.5365999999999</v>
          </cell>
          <cell r="P1008">
            <v>-5349.5338400000001</v>
          </cell>
          <cell r="Q1008">
            <v>-6818.1213200000002</v>
          </cell>
          <cell r="R1008">
            <v>-8346.0385499999993</v>
          </cell>
          <cell r="S1008">
            <v>-9883.2153500000004</v>
          </cell>
          <cell r="T1008">
            <v>-11319.186610000001</v>
          </cell>
          <cell r="U1008">
            <v>-12797.988799999999</v>
          </cell>
          <cell r="V1008">
            <v>-14374.544029999999</v>
          </cell>
          <cell r="W1008">
            <v>-15797.65259</v>
          </cell>
          <cell r="X1008">
            <v>-17205.487550000002</v>
          </cell>
          <cell r="Y1008">
            <v>-8892.6908170000006</v>
          </cell>
        </row>
        <row r="1009">
          <cell r="B1009">
            <v>445130</v>
          </cell>
          <cell r="C1009" t="str">
            <v>NOT USED</v>
          </cell>
          <cell r="D1009" t="str">
            <v>ELECTRIC REVENUE-FIXED-MUNICIPAL-COMMODITY</v>
          </cell>
          <cell r="E1009" t="str">
            <v/>
          </cell>
          <cell r="F1009" t="str">
            <v/>
          </cell>
          <cell r="G1009" t="str">
            <v/>
          </cell>
          <cell r="H1009" t="str">
            <v/>
          </cell>
          <cell r="I1009" t="str">
            <v/>
          </cell>
          <cell r="J1009" t="str">
            <v/>
          </cell>
          <cell r="K1009" t="str">
            <v/>
          </cell>
          <cell r="L1009">
            <v>-4033.6138299999998</v>
          </cell>
          <cell r="M1009">
            <v>-439.19430999999997</v>
          </cell>
          <cell r="N1009">
            <v>-793.28471999999999</v>
          </cell>
          <cell r="O1009">
            <v>-1007.16349</v>
          </cell>
          <cell r="P1009">
            <v>-1256.7257099999999</v>
          </cell>
          <cell r="Q1009">
            <v>-1494.74801</v>
          </cell>
          <cell r="R1009">
            <v>-1771.99414</v>
          </cell>
          <cell r="S1009">
            <v>-2069.1104500000001</v>
          </cell>
          <cell r="T1009">
            <v>-2345.18093</v>
          </cell>
          <cell r="U1009">
            <v>-2561.0956000000001</v>
          </cell>
          <cell r="V1009">
            <v>-2787.43968</v>
          </cell>
          <cell r="W1009">
            <v>-2975.9442600000002</v>
          </cell>
          <cell r="X1009">
            <v>-3190.41662</v>
          </cell>
          <cell r="Y1009">
            <v>-1926.158044</v>
          </cell>
        </row>
        <row r="1010">
          <cell r="B1010">
            <v>445131</v>
          </cell>
          <cell r="C1010" t="str">
            <v>NOT USED</v>
          </cell>
          <cell r="D1010" t="str">
            <v>ELEC REVENUE-FPO SPEC CONTRACT-MUNICIPAL-COMMODIT</v>
          </cell>
          <cell r="E1010" t="str">
            <v/>
          </cell>
          <cell r="F1010" t="str">
            <v/>
          </cell>
          <cell r="G1010" t="str">
            <v/>
          </cell>
          <cell r="H1010" t="str">
            <v/>
          </cell>
          <cell r="I1010" t="str">
            <v/>
          </cell>
          <cell r="J1010" t="str">
            <v/>
          </cell>
          <cell r="K1010" t="str">
            <v/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</row>
        <row r="1011">
          <cell r="B1011">
            <v>445135</v>
          </cell>
          <cell r="C1011" t="str">
            <v>NOT USED</v>
          </cell>
          <cell r="D1011" t="str">
            <v>ELEC REVENUE-FIXED-MUNICIPAL-UNBILLED COMMODITY</v>
          </cell>
          <cell r="E1011" t="str">
            <v/>
          </cell>
          <cell r="F1011" t="str">
            <v/>
          </cell>
          <cell r="G1011" t="str">
            <v/>
          </cell>
          <cell r="H1011" t="str">
            <v/>
          </cell>
          <cell r="I1011" t="str">
            <v/>
          </cell>
          <cell r="J1011" t="str">
            <v/>
          </cell>
          <cell r="K1011" t="str">
            <v/>
          </cell>
          <cell r="L1011">
            <v>17.405999999999999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0.72524999999999995</v>
          </cell>
        </row>
        <row r="1012">
          <cell r="B1012">
            <v>445138</v>
          </cell>
          <cell r="C1012" t="str">
            <v>NOT USED</v>
          </cell>
          <cell r="D1012" t="str">
            <v>ELEC REV-MUNICIPAL-SUPPLY CHARGE-RETAIL ACCESS</v>
          </cell>
          <cell r="E1012" t="str">
            <v/>
          </cell>
          <cell r="F1012" t="str">
            <v/>
          </cell>
          <cell r="G1012" t="str">
            <v/>
          </cell>
          <cell r="H1012" t="str">
            <v/>
          </cell>
          <cell r="I1012" t="str">
            <v/>
          </cell>
          <cell r="J1012" t="str">
            <v/>
          </cell>
          <cell r="K1012" t="str">
            <v/>
          </cell>
          <cell r="L1012">
            <v>-0.14399000000000001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-6.0000000000000001E-3</v>
          </cell>
        </row>
        <row r="1013">
          <cell r="B1013">
            <v>445140</v>
          </cell>
          <cell r="C1013" t="str">
            <v>NOT USED</v>
          </cell>
          <cell r="D1013" t="str">
            <v>ELEC REVENUE-FIXED-MUNICIPAL-TRANSITION CHARGE</v>
          </cell>
          <cell r="E1013" t="str">
            <v/>
          </cell>
          <cell r="F1013" t="str">
            <v/>
          </cell>
          <cell r="G1013" t="str">
            <v/>
          </cell>
          <cell r="H1013" t="str">
            <v/>
          </cell>
          <cell r="I1013" t="str">
            <v/>
          </cell>
          <cell r="J1013" t="str">
            <v/>
          </cell>
          <cell r="K1013" t="str">
            <v/>
          </cell>
          <cell r="L1013">
            <v>-799.23368000000005</v>
          </cell>
          <cell r="M1013">
            <v>-1.0207200000000001</v>
          </cell>
          <cell r="N1013">
            <v>29.835319999999999</v>
          </cell>
          <cell r="O1013">
            <v>62.41874</v>
          </cell>
          <cell r="P1013">
            <v>80.350030000000004</v>
          </cell>
          <cell r="Q1013">
            <v>80.89725</v>
          </cell>
          <cell r="R1013">
            <v>69.037000000000006</v>
          </cell>
          <cell r="S1013">
            <v>49.070639999999997</v>
          </cell>
          <cell r="T1013">
            <v>22.306329999999999</v>
          </cell>
          <cell r="U1013">
            <v>-4.3034299999999996</v>
          </cell>
          <cell r="V1013">
            <v>-3.6419899999999998</v>
          </cell>
          <cell r="W1013">
            <v>2.7197800000000001</v>
          </cell>
          <cell r="X1013">
            <v>-0.60982999999999998</v>
          </cell>
          <cell r="Y1013">
            <v>-1.0210669999999999</v>
          </cell>
        </row>
        <row r="1014">
          <cell r="B1014">
            <v>445142</v>
          </cell>
          <cell r="C1014" t="str">
            <v>NOT USED</v>
          </cell>
          <cell r="D1014" t="str">
            <v>ELEC REV-MUNICIPAL-BILLING CHARGE-MFC COMMODITY</v>
          </cell>
          <cell r="E1014" t="str">
            <v/>
          </cell>
          <cell r="F1014" t="str">
            <v/>
          </cell>
          <cell r="G1014" t="str">
            <v/>
          </cell>
          <cell r="H1014" t="str">
            <v/>
          </cell>
          <cell r="I1014" t="str">
            <v/>
          </cell>
          <cell r="J1014" t="str">
            <v/>
          </cell>
          <cell r="K1014" t="str">
            <v/>
          </cell>
          <cell r="L1014">
            <v>-2.81488</v>
          </cell>
          <cell r="M1014">
            <v>-1.29878</v>
          </cell>
          <cell r="N1014">
            <v>-2.3831199999999999</v>
          </cell>
          <cell r="O1014">
            <v>-3.3734600000000001</v>
          </cell>
          <cell r="P1014">
            <v>-4.4915000000000003</v>
          </cell>
          <cell r="Q1014">
            <v>-5.2399899999999997</v>
          </cell>
          <cell r="R1014">
            <v>-5.7918000000000003</v>
          </cell>
          <cell r="S1014">
            <v>-6.4864499999999996</v>
          </cell>
          <cell r="T1014">
            <v>-7.1939900000000003</v>
          </cell>
          <cell r="U1014">
            <v>-8.0256399999999992</v>
          </cell>
          <cell r="V1014">
            <v>-9.4531899999999993</v>
          </cell>
          <cell r="W1014">
            <v>-10.86321</v>
          </cell>
          <cell r="X1014">
            <v>-12.450979999999999</v>
          </cell>
          <cell r="Y1014">
            <v>-6.0195049999999997</v>
          </cell>
        </row>
        <row r="1015">
          <cell r="B1015">
            <v>445143</v>
          </cell>
          <cell r="C1015" t="str">
            <v>NOT USED</v>
          </cell>
          <cell r="D1015" t="str">
            <v>ELEC REV-MUNICIPAL-BILLING CHARGE-MFC DELIVERY</v>
          </cell>
          <cell r="E1015" t="str">
            <v/>
          </cell>
          <cell r="F1015" t="str">
            <v/>
          </cell>
          <cell r="G1015" t="str">
            <v/>
          </cell>
          <cell r="H1015" t="str">
            <v/>
          </cell>
          <cell r="I1015" t="str">
            <v/>
          </cell>
          <cell r="J1015" t="str">
            <v/>
          </cell>
          <cell r="K1015" t="str">
            <v/>
          </cell>
          <cell r="L1015">
            <v>-72.085930000000005</v>
          </cell>
          <cell r="M1015">
            <v>-30.6709</v>
          </cell>
          <cell r="N1015">
            <v>-59.761659999999999</v>
          </cell>
          <cell r="O1015">
            <v>-87.241399999999999</v>
          </cell>
          <cell r="P1015">
            <v>-113.28082999999999</v>
          </cell>
          <cell r="Q1015">
            <v>-135.93404000000001</v>
          </cell>
          <cell r="R1015">
            <v>-160.42563999999999</v>
          </cell>
          <cell r="S1015">
            <v>-185.27583000000001</v>
          </cell>
          <cell r="T1015">
            <v>-209.23121</v>
          </cell>
          <cell r="U1015">
            <v>-232.36016000000001</v>
          </cell>
          <cell r="V1015">
            <v>-254.92404999999999</v>
          </cell>
          <cell r="W1015">
            <v>-272.35023999999999</v>
          </cell>
          <cell r="X1015">
            <v>-293.05408999999997</v>
          </cell>
          <cell r="Y1015">
            <v>-160.335498</v>
          </cell>
        </row>
        <row r="1016">
          <cell r="B1016">
            <v>445148</v>
          </cell>
          <cell r="C1016" t="str">
            <v>NOT USED</v>
          </cell>
          <cell r="D1016" t="str">
            <v>ELEC REV-MUNICIPAL-TRANSITION CHRG-RETAIL ACCESS</v>
          </cell>
          <cell r="E1016" t="str">
            <v/>
          </cell>
          <cell r="F1016" t="str">
            <v/>
          </cell>
          <cell r="G1016" t="str">
            <v/>
          </cell>
          <cell r="H1016" t="str">
            <v/>
          </cell>
          <cell r="I1016" t="str">
            <v/>
          </cell>
          <cell r="J1016" t="str">
            <v/>
          </cell>
          <cell r="K1016" t="str">
            <v/>
          </cell>
          <cell r="L1016">
            <v>-4894.6496699999998</v>
          </cell>
          <cell r="M1016">
            <v>-7.3207500000000003</v>
          </cell>
          <cell r="N1016">
            <v>171.92597000000001</v>
          </cell>
          <cell r="O1016">
            <v>371.11977000000002</v>
          </cell>
          <cell r="P1016">
            <v>488.02096</v>
          </cell>
          <cell r="Q1016">
            <v>489.87236999999999</v>
          </cell>
          <cell r="R1016">
            <v>404.60527999999999</v>
          </cell>
          <cell r="S1016">
            <v>250.76623000000001</v>
          </cell>
          <cell r="T1016">
            <v>58.822499999999998</v>
          </cell>
          <cell r="U1016">
            <v>-132.29282000000001</v>
          </cell>
          <cell r="V1016">
            <v>-139.22447</v>
          </cell>
          <cell r="W1016">
            <v>-76.898240000000001</v>
          </cell>
          <cell r="X1016">
            <v>-103.03086</v>
          </cell>
          <cell r="Y1016">
            <v>-51.620289</v>
          </cell>
        </row>
        <row r="1017">
          <cell r="B1017">
            <v>445149</v>
          </cell>
          <cell r="C1017" t="str">
            <v>NOT USED</v>
          </cell>
          <cell r="D1017" t="str">
            <v>ELEC REVENUE-MUNICIPAL-EEPS</v>
          </cell>
          <cell r="E1017" t="str">
            <v/>
          </cell>
          <cell r="F1017" t="str">
            <v/>
          </cell>
          <cell r="G1017" t="str">
            <v/>
          </cell>
          <cell r="H1017" t="str">
            <v/>
          </cell>
          <cell r="I1017" t="str">
            <v/>
          </cell>
          <cell r="J1017" t="str">
            <v/>
          </cell>
          <cell r="K1017" t="str">
            <v/>
          </cell>
          <cell r="L1017">
            <v>-116.7456</v>
          </cell>
          <cell r="M1017">
            <v>-11.202059999999999</v>
          </cell>
          <cell r="N1017">
            <v>-22.44333</v>
          </cell>
          <cell r="O1017">
            <v>-33.632330000000003</v>
          </cell>
          <cell r="P1017">
            <v>-44.234110000000001</v>
          </cell>
          <cell r="Q1017">
            <v>-53.457009999999997</v>
          </cell>
          <cell r="R1017">
            <v>-63.428519999999999</v>
          </cell>
          <cell r="S1017">
            <v>-73.54589</v>
          </cell>
          <cell r="T1017">
            <v>-83.299319999999994</v>
          </cell>
          <cell r="U1017">
            <v>-92.952209999999994</v>
          </cell>
          <cell r="V1017">
            <v>-102.62824999999999</v>
          </cell>
          <cell r="W1017">
            <v>-110.19271000000001</v>
          </cell>
          <cell r="X1017">
            <v>-119.26421000000001</v>
          </cell>
          <cell r="Y1017">
            <v>-67.418386999999996</v>
          </cell>
        </row>
        <row r="1018">
          <cell r="B1018">
            <v>445150</v>
          </cell>
          <cell r="C1018" t="str">
            <v>NOT USED</v>
          </cell>
          <cell r="D1018" t="str">
            <v>ELEC REVENUE-FIXED-MUNICIPAL-SYSTEM BENEFIT CHARG</v>
          </cell>
          <cell r="E1018" t="str">
            <v/>
          </cell>
          <cell r="F1018" t="str">
            <v/>
          </cell>
          <cell r="G1018" t="str">
            <v/>
          </cell>
          <cell r="H1018" t="str">
            <v/>
          </cell>
          <cell r="I1018" t="str">
            <v/>
          </cell>
          <cell r="J1018" t="str">
            <v/>
          </cell>
          <cell r="K1018" t="str">
            <v/>
          </cell>
          <cell r="L1018">
            <v>-61.52223</v>
          </cell>
          <cell r="M1018">
            <v>-9.0578000000000003</v>
          </cell>
          <cell r="N1018">
            <v>-13.305350000000001</v>
          </cell>
          <cell r="O1018">
            <v>-13.30109</v>
          </cell>
          <cell r="P1018">
            <v>-13.300700000000001</v>
          </cell>
          <cell r="Q1018">
            <v>-13.30031</v>
          </cell>
          <cell r="R1018">
            <v>-13.3003</v>
          </cell>
          <cell r="S1018">
            <v>-13.3003</v>
          </cell>
          <cell r="T1018">
            <v>-13.299049999999999</v>
          </cell>
          <cell r="U1018">
            <v>-13.299049999999999</v>
          </cell>
          <cell r="V1018">
            <v>-13.299049999999999</v>
          </cell>
          <cell r="W1018">
            <v>-13.299049999999999</v>
          </cell>
          <cell r="X1018">
            <v>-13.299049999999999</v>
          </cell>
          <cell r="Y1018">
            <v>-14.956058000000001</v>
          </cell>
        </row>
        <row r="1019">
          <cell r="B1019">
            <v>445151</v>
          </cell>
          <cell r="C1019" t="str">
            <v>NOT USED</v>
          </cell>
          <cell r="D1019" t="str">
            <v>ELEC REV-FIXED-MUNICIPAL-RETAIL ACCESS SURCHARGE</v>
          </cell>
          <cell r="E1019" t="str">
            <v/>
          </cell>
          <cell r="F1019" t="str">
            <v/>
          </cell>
          <cell r="G1019" t="str">
            <v/>
          </cell>
          <cell r="H1019" t="str">
            <v/>
          </cell>
          <cell r="I1019" t="str">
            <v/>
          </cell>
          <cell r="J1019" t="str">
            <v/>
          </cell>
          <cell r="K1019" t="str">
            <v/>
          </cell>
          <cell r="L1019">
            <v>-922.72080000000005</v>
          </cell>
          <cell r="M1019">
            <v>3.0000000000000001E-5</v>
          </cell>
          <cell r="N1019">
            <v>3.0000000000000001E-5</v>
          </cell>
          <cell r="O1019">
            <v>2.232E-2</v>
          </cell>
          <cell r="P1019">
            <v>3.6299999999999999E-2</v>
          </cell>
          <cell r="Q1019">
            <v>3.6420000000000001E-2</v>
          </cell>
          <cell r="R1019">
            <v>3.6420000000000001E-2</v>
          </cell>
          <cell r="S1019">
            <v>3.6420000000000001E-2</v>
          </cell>
          <cell r="T1019">
            <v>3.635E-2</v>
          </cell>
          <cell r="U1019">
            <v>3.635E-2</v>
          </cell>
          <cell r="V1019">
            <v>3.635E-2</v>
          </cell>
          <cell r="W1019">
            <v>3.635E-2</v>
          </cell>
          <cell r="X1019">
            <v>3.635E-2</v>
          </cell>
          <cell r="Y1019">
            <v>-38.419074000000002</v>
          </cell>
        </row>
        <row r="1020">
          <cell r="B1020">
            <v>445152</v>
          </cell>
          <cell r="C1020" t="str">
            <v>NOT USED</v>
          </cell>
          <cell r="D1020" t="str">
            <v>ELEC REVENUE-MUNICIPAL-SUPPLY RECONCILIATION</v>
          </cell>
          <cell r="E1020" t="str">
            <v/>
          </cell>
          <cell r="F1020" t="str">
            <v/>
          </cell>
          <cell r="G1020" t="str">
            <v/>
          </cell>
          <cell r="H1020" t="str">
            <v/>
          </cell>
          <cell r="I1020" t="str">
            <v/>
          </cell>
          <cell r="J1020" t="str">
            <v/>
          </cell>
          <cell r="K1020" t="str">
            <v/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</row>
        <row r="1021">
          <cell r="B1021">
            <v>445153</v>
          </cell>
          <cell r="C1021" t="str">
            <v>NOT USED</v>
          </cell>
          <cell r="D1021" t="str">
            <v>EL REV-PUBLIC AUTHORITY SURCHARGE RETAIL ACCESS</v>
          </cell>
          <cell r="E1021" t="str">
            <v/>
          </cell>
          <cell r="F1021" t="str">
            <v/>
          </cell>
          <cell r="G1021" t="str">
            <v/>
          </cell>
          <cell r="H1021" t="str">
            <v/>
          </cell>
          <cell r="I1021" t="str">
            <v/>
          </cell>
          <cell r="J1021" t="str">
            <v/>
          </cell>
          <cell r="K1021" t="str">
            <v/>
          </cell>
          <cell r="L1021">
            <v>-925.45051999999998</v>
          </cell>
          <cell r="M1021">
            <v>-76.831540000000004</v>
          </cell>
          <cell r="N1021">
            <v>-153.75807</v>
          </cell>
          <cell r="O1021">
            <v>-231.75337999999999</v>
          </cell>
          <cell r="P1021">
            <v>-308.68081999999998</v>
          </cell>
          <cell r="Q1021">
            <v>-394.18565000000001</v>
          </cell>
          <cell r="R1021">
            <v>-481.81668000000002</v>
          </cell>
          <cell r="S1021">
            <v>-571.88049000000001</v>
          </cell>
          <cell r="T1021">
            <v>-655.74087999999995</v>
          </cell>
          <cell r="U1021">
            <v>-739.77578000000005</v>
          </cell>
          <cell r="V1021">
            <v>-828.01039000000003</v>
          </cell>
          <cell r="W1021">
            <v>-900.84974999999997</v>
          </cell>
          <cell r="X1021">
            <v>-964.05898999999999</v>
          </cell>
          <cell r="Y1021">
            <v>-524.00318200000004</v>
          </cell>
        </row>
        <row r="1022">
          <cell r="B1022">
            <v>445154</v>
          </cell>
          <cell r="C1022" t="str">
            <v>NOT USED</v>
          </cell>
          <cell r="D1022" t="str">
            <v>EL REV-PUBLIC AUTHORITY SURCHARGE FULL SERVICE</v>
          </cell>
          <cell r="E1022" t="str">
            <v/>
          </cell>
          <cell r="F1022" t="str">
            <v/>
          </cell>
          <cell r="G1022" t="str">
            <v/>
          </cell>
          <cell r="H1022" t="str">
            <v/>
          </cell>
          <cell r="I1022" t="str">
            <v/>
          </cell>
          <cell r="J1022" t="str">
            <v/>
          </cell>
          <cell r="K1022" t="str">
            <v/>
          </cell>
          <cell r="L1022">
            <v>-146.19602</v>
          </cell>
          <cell r="M1022">
            <v>-12.844799999999999</v>
          </cell>
          <cell r="N1022">
            <v>-25.309090000000001</v>
          </cell>
          <cell r="O1022">
            <v>-37.39143</v>
          </cell>
          <cell r="P1022">
            <v>-49.230910000000002</v>
          </cell>
          <cell r="Q1022">
            <v>-60.245750000000001</v>
          </cell>
          <cell r="R1022">
            <v>-71.505120000000005</v>
          </cell>
          <cell r="S1022">
            <v>-82.397620000000003</v>
          </cell>
          <cell r="T1022">
            <v>-92.99342</v>
          </cell>
          <cell r="U1022">
            <v>-103.44094</v>
          </cell>
          <cell r="V1022">
            <v>-114.65276</v>
          </cell>
          <cell r="W1022">
            <v>-122.93875</v>
          </cell>
          <cell r="X1022">
            <v>-131.04838000000001</v>
          </cell>
          <cell r="Y1022">
            <v>-75.964399</v>
          </cell>
        </row>
        <row r="1023">
          <cell r="B1023">
            <v>445158</v>
          </cell>
          <cell r="C1023" t="str">
            <v>NOT USED</v>
          </cell>
          <cell r="D1023" t="str">
            <v>ELEC REV-MUNICIPAL-SYSTEM BENEFIT CHRG-RTL ACCESS</v>
          </cell>
          <cell r="E1023" t="str">
            <v/>
          </cell>
          <cell r="F1023" t="str">
            <v/>
          </cell>
          <cell r="G1023" t="str">
            <v/>
          </cell>
          <cell r="H1023" t="str">
            <v/>
          </cell>
          <cell r="I1023" t="str">
            <v/>
          </cell>
          <cell r="J1023" t="str">
            <v/>
          </cell>
          <cell r="K1023" t="str">
            <v/>
          </cell>
          <cell r="L1023">
            <v>-368.37477000000001</v>
          </cell>
          <cell r="M1023">
            <v>-51.59975</v>
          </cell>
          <cell r="N1023">
            <v>-76.716189999999997</v>
          </cell>
          <cell r="O1023">
            <v>-76.698139999999995</v>
          </cell>
          <cell r="P1023">
            <v>-76.674250000000001</v>
          </cell>
          <cell r="Q1023">
            <v>-76.67971</v>
          </cell>
          <cell r="R1023">
            <v>-76.679550000000006</v>
          </cell>
          <cell r="S1023">
            <v>-76.677490000000006</v>
          </cell>
          <cell r="T1023">
            <v>-76.677490000000006</v>
          </cell>
          <cell r="U1023">
            <v>-76.677490000000006</v>
          </cell>
          <cell r="V1023">
            <v>-76.677490000000006</v>
          </cell>
          <cell r="W1023">
            <v>-76.677490000000006</v>
          </cell>
          <cell r="X1023">
            <v>-76.677490000000006</v>
          </cell>
          <cell r="Y1023">
            <v>-86.746763999999999</v>
          </cell>
        </row>
        <row r="1024">
          <cell r="B1024">
            <v>445159</v>
          </cell>
          <cell r="C1024" t="str">
            <v>NOT USED</v>
          </cell>
          <cell r="D1024" t="str">
            <v>ELEC REV-MUNICIPAL-EEPS-RETAIL ACCESS</v>
          </cell>
          <cell r="E1024" t="str">
            <v/>
          </cell>
          <cell r="F1024" t="str">
            <v/>
          </cell>
          <cell r="G1024" t="str">
            <v/>
          </cell>
          <cell r="H1024" t="str">
            <v/>
          </cell>
          <cell r="I1024" t="str">
            <v/>
          </cell>
          <cell r="J1024" t="str">
            <v/>
          </cell>
          <cell r="K1024" t="str">
            <v/>
          </cell>
          <cell r="L1024">
            <v>-699.41758000000004</v>
          </cell>
          <cell r="M1024">
            <v>-63.816020000000002</v>
          </cell>
          <cell r="N1024">
            <v>-129.32971000000001</v>
          </cell>
          <cell r="O1024">
            <v>-197.48983000000001</v>
          </cell>
          <cell r="P1024">
            <v>-265.09611999999998</v>
          </cell>
          <cell r="Q1024">
            <v>-330.15910000000002</v>
          </cell>
          <cell r="R1024">
            <v>-402.22224</v>
          </cell>
          <cell r="S1024">
            <v>-479.86874999999998</v>
          </cell>
          <cell r="T1024">
            <v>-549.66735000000006</v>
          </cell>
          <cell r="U1024">
            <v>-619.54241999999999</v>
          </cell>
          <cell r="V1024">
            <v>-690.79255000000001</v>
          </cell>
          <cell r="W1024">
            <v>-754.85473999999999</v>
          </cell>
          <cell r="X1024">
            <v>-824.53229999999996</v>
          </cell>
          <cell r="Y1024">
            <v>-437.067814</v>
          </cell>
        </row>
        <row r="1025">
          <cell r="B1025">
            <v>445160</v>
          </cell>
          <cell r="C1025" t="str">
            <v>NOT USED</v>
          </cell>
          <cell r="D1025" t="str">
            <v>EL REV-MUNICIPAL-RENEWABLE PORTFOLIO CHARGE</v>
          </cell>
          <cell r="E1025" t="str">
            <v/>
          </cell>
          <cell r="F1025" t="str">
            <v/>
          </cell>
          <cell r="G1025" t="str">
            <v/>
          </cell>
          <cell r="H1025" t="str">
            <v/>
          </cell>
          <cell r="I1025" t="str">
            <v/>
          </cell>
          <cell r="J1025" t="str">
            <v/>
          </cell>
          <cell r="K1025" t="str">
            <v/>
          </cell>
          <cell r="L1025">
            <v>-88.185299999999998</v>
          </cell>
          <cell r="M1025">
            <v>-11.51336</v>
          </cell>
          <cell r="N1025">
            <v>-22.433420000000002</v>
          </cell>
          <cell r="O1025">
            <v>-32.748869999999997</v>
          </cell>
          <cell r="P1025">
            <v>-42.523650000000004</v>
          </cell>
          <cell r="Q1025">
            <v>-51.027090000000001</v>
          </cell>
          <cell r="R1025">
            <v>-60.220799999999997</v>
          </cell>
          <cell r="S1025">
            <v>-69.549109999999999</v>
          </cell>
          <cell r="T1025">
            <v>-78.541510000000002</v>
          </cell>
          <cell r="U1025">
            <v>-87.441360000000003</v>
          </cell>
          <cell r="V1025">
            <v>-96.989620000000002</v>
          </cell>
          <cell r="W1025">
            <v>-104.84569</v>
          </cell>
          <cell r="X1025">
            <v>-114.26564999999999</v>
          </cell>
          <cell r="Y1025">
            <v>-63.254995999999998</v>
          </cell>
        </row>
        <row r="1026">
          <cell r="B1026">
            <v>445168</v>
          </cell>
          <cell r="C1026" t="str">
            <v>NOT USED</v>
          </cell>
          <cell r="D1026" t="str">
            <v>ELEC REV-MUNICIPAL-RENEWABLE PORTFOLIO-RETAIL ACC</v>
          </cell>
          <cell r="E1026" t="str">
            <v/>
          </cell>
          <cell r="F1026" t="str">
            <v/>
          </cell>
          <cell r="G1026" t="str">
            <v/>
          </cell>
          <cell r="H1026" t="str">
            <v/>
          </cell>
          <cell r="I1026" t="str">
            <v/>
          </cell>
          <cell r="J1026" t="str">
            <v/>
          </cell>
          <cell r="K1026" t="str">
            <v/>
          </cell>
          <cell r="L1026">
            <v>-527.89044000000001</v>
          </cell>
          <cell r="M1026">
            <v>-65.588759999999994</v>
          </cell>
          <cell r="N1026">
            <v>-129.27824000000001</v>
          </cell>
          <cell r="O1026">
            <v>-192.12419</v>
          </cell>
          <cell r="P1026">
            <v>-254.45662999999999</v>
          </cell>
          <cell r="Q1026">
            <v>-314.44497000000001</v>
          </cell>
          <cell r="R1026">
            <v>-380.88673</v>
          </cell>
          <cell r="S1026">
            <v>-452.47579999999999</v>
          </cell>
          <cell r="T1026">
            <v>-516.82952</v>
          </cell>
          <cell r="U1026">
            <v>-581.25364000000002</v>
          </cell>
          <cell r="V1026">
            <v>-651.25106000000005</v>
          </cell>
          <cell r="W1026">
            <v>-717.78363999999999</v>
          </cell>
          <cell r="X1026">
            <v>-790.06730000000005</v>
          </cell>
          <cell r="Y1026">
            <v>-409.61267099999998</v>
          </cell>
        </row>
        <row r="1027">
          <cell r="B1027">
            <v>445173</v>
          </cell>
          <cell r="C1027" t="str">
            <v>NOT USED</v>
          </cell>
          <cell r="D1027" t="str">
            <v>ELECTRIC REVENUE-FIXED-MUNICIPAL-DELIVERY GRT</v>
          </cell>
          <cell r="E1027" t="str">
            <v/>
          </cell>
          <cell r="F1027" t="str">
            <v/>
          </cell>
          <cell r="G1027" t="str">
            <v/>
          </cell>
          <cell r="H1027" t="str">
            <v/>
          </cell>
          <cell r="I1027" t="str">
            <v/>
          </cell>
          <cell r="J1027" t="str">
            <v/>
          </cell>
          <cell r="K1027" t="str">
            <v/>
          </cell>
          <cell r="L1027">
            <v>-38.087040000000002</v>
          </cell>
          <cell r="M1027">
            <v>-2.9275699999999998</v>
          </cell>
          <cell r="N1027">
            <v>-5.3419100000000004</v>
          </cell>
          <cell r="O1027">
            <v>-7.52379</v>
          </cell>
          <cell r="P1027">
            <v>-9.7767999999999997</v>
          </cell>
          <cell r="Q1027">
            <v>-12.076890000000001</v>
          </cell>
          <cell r="R1027">
            <v>-14.403280000000001</v>
          </cell>
          <cell r="S1027">
            <v>-16.736840000000001</v>
          </cell>
          <cell r="T1027">
            <v>-19.177129999999998</v>
          </cell>
          <cell r="U1027">
            <v>-21.588039999999999</v>
          </cell>
          <cell r="V1027">
            <v>-24.06429</v>
          </cell>
          <cell r="W1027">
            <v>-25.697569999999999</v>
          </cell>
          <cell r="X1027">
            <v>-27.684539999999998</v>
          </cell>
          <cell r="Y1027">
            <v>-16.016658</v>
          </cell>
        </row>
        <row r="1028">
          <cell r="B1028">
            <v>445174</v>
          </cell>
          <cell r="C1028" t="str">
            <v>NOT USED</v>
          </cell>
          <cell r="D1028" t="str">
            <v>ELECTRIC REVENUE-FIXED-MUNICIPAL-COMMODITY GRT</v>
          </cell>
          <cell r="E1028" t="str">
            <v/>
          </cell>
          <cell r="F1028" t="str">
            <v/>
          </cell>
          <cell r="G1028" t="str">
            <v/>
          </cell>
          <cell r="H1028" t="str">
            <v/>
          </cell>
          <cell r="I1028" t="str">
            <v/>
          </cell>
          <cell r="J1028" t="str">
            <v/>
          </cell>
          <cell r="K1028" t="str">
            <v/>
          </cell>
          <cell r="L1028">
            <v>-49.044759999999997</v>
          </cell>
          <cell r="M1028">
            <v>-5.11435</v>
          </cell>
          <cell r="N1028">
            <v>-9.9325700000000001</v>
          </cell>
          <cell r="O1028">
            <v>-12.433870000000001</v>
          </cell>
          <cell r="P1028">
            <v>-15.53938</v>
          </cell>
          <cell r="Q1028">
            <v>-18.324780000000001</v>
          </cell>
          <cell r="R1028">
            <v>-21.169889999999999</v>
          </cell>
          <cell r="S1028">
            <v>-24.31016</v>
          </cell>
          <cell r="T1028">
            <v>-27.649920000000002</v>
          </cell>
          <cell r="U1028">
            <v>-30.181539999999998</v>
          </cell>
          <cell r="V1028">
            <v>-32.87135</v>
          </cell>
          <cell r="W1028">
            <v>-34.831049999999998</v>
          </cell>
          <cell r="X1028">
            <v>-37.24098</v>
          </cell>
          <cell r="Y1028">
            <v>-22.958477999999999</v>
          </cell>
        </row>
        <row r="1029">
          <cell r="B1029">
            <v>445320</v>
          </cell>
          <cell r="C1029" t="str">
            <v>NOT USED</v>
          </cell>
          <cell r="D1029" t="str">
            <v>ELECTRIC REVENUE-VARIABLE-MUNICIPAL-DELIVERY</v>
          </cell>
          <cell r="E1029" t="str">
            <v/>
          </cell>
          <cell r="F1029" t="str">
            <v/>
          </cell>
          <cell r="G1029" t="str">
            <v/>
          </cell>
          <cell r="H1029" t="str">
            <v/>
          </cell>
          <cell r="I1029" t="str">
            <v/>
          </cell>
          <cell r="J1029" t="str">
            <v/>
          </cell>
          <cell r="K1029" t="str">
            <v/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</row>
        <row r="1030">
          <cell r="B1030">
            <v>445325</v>
          </cell>
          <cell r="C1030" t="str">
            <v>NOT USED</v>
          </cell>
          <cell r="D1030" t="str">
            <v>ELEC REVENUE-VARIABLE-MUNICIPAL-UNBILLED DELIVERY</v>
          </cell>
          <cell r="E1030" t="str">
            <v/>
          </cell>
          <cell r="F1030" t="str">
            <v/>
          </cell>
          <cell r="G1030" t="str">
            <v/>
          </cell>
          <cell r="H1030" t="str">
            <v/>
          </cell>
          <cell r="I1030" t="str">
            <v/>
          </cell>
          <cell r="J1030" t="str">
            <v/>
          </cell>
          <cell r="K1030" t="str">
            <v/>
          </cell>
          <cell r="L1030">
            <v>-29.7378</v>
          </cell>
          <cell r="M1030">
            <v>-31.004930000000002</v>
          </cell>
          <cell r="N1030">
            <v>-15.05991</v>
          </cell>
          <cell r="O1030">
            <v>-18.486879999999999</v>
          </cell>
          <cell r="P1030">
            <v>-15.361319999999999</v>
          </cell>
          <cell r="Q1030">
            <v>-18.911200000000001</v>
          </cell>
          <cell r="R1030">
            <v>-16.291889999999999</v>
          </cell>
          <cell r="S1030">
            <v>-6.2130400000000003</v>
          </cell>
          <cell r="T1030">
            <v>-25.900179999999999</v>
          </cell>
          <cell r="U1030">
            <v>-3.98116</v>
          </cell>
          <cell r="V1030">
            <v>32.236919999999998</v>
          </cell>
          <cell r="W1030">
            <v>5.75678</v>
          </cell>
          <cell r="X1030">
            <v>14.16234</v>
          </cell>
          <cell r="Y1030">
            <v>-10.083712</v>
          </cell>
        </row>
        <row r="1031">
          <cell r="B1031">
            <v>445330</v>
          </cell>
          <cell r="C1031" t="str">
            <v>NOT USED</v>
          </cell>
          <cell r="D1031" t="str">
            <v>ELECTRIC REVENUE-VARIABLE-MUNICIPAL-COMMODITY</v>
          </cell>
          <cell r="E1031" t="str">
            <v/>
          </cell>
          <cell r="F1031" t="str">
            <v/>
          </cell>
          <cell r="G1031" t="str">
            <v/>
          </cell>
          <cell r="H1031" t="str">
            <v/>
          </cell>
          <cell r="I1031" t="str">
            <v/>
          </cell>
          <cell r="J1031" t="str">
            <v/>
          </cell>
          <cell r="K1031" t="str">
            <v/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</row>
        <row r="1032">
          <cell r="B1032">
            <v>445335</v>
          </cell>
          <cell r="C1032" t="str">
            <v>NOT USED</v>
          </cell>
          <cell r="D1032" t="str">
            <v>ELEC REVENUE-VARIABLE-MUNICIPAL-UNBILLED COMMODIT</v>
          </cell>
          <cell r="E1032" t="str">
            <v/>
          </cell>
          <cell r="F1032" t="str">
            <v/>
          </cell>
          <cell r="G1032" t="str">
            <v/>
          </cell>
          <cell r="H1032" t="str">
            <v/>
          </cell>
          <cell r="I1032" t="str">
            <v/>
          </cell>
          <cell r="J1032" t="str">
            <v/>
          </cell>
          <cell r="K1032" t="str">
            <v/>
          </cell>
          <cell r="L1032">
            <v>-15.13766</v>
          </cell>
          <cell r="M1032">
            <v>-69.085740000000001</v>
          </cell>
          <cell r="N1032">
            <v>155.32266000000001</v>
          </cell>
          <cell r="O1032">
            <v>100.17236</v>
          </cell>
          <cell r="P1032">
            <v>93.260120000000001</v>
          </cell>
          <cell r="Q1032">
            <v>65.160659999999993</v>
          </cell>
          <cell r="R1032">
            <v>50.447740000000003</v>
          </cell>
          <cell r="S1032">
            <v>60.03407</v>
          </cell>
          <cell r="T1032">
            <v>65.314629999999994</v>
          </cell>
          <cell r="U1032">
            <v>95.117720000000006</v>
          </cell>
          <cell r="V1032">
            <v>152.44130999999999</v>
          </cell>
          <cell r="W1032">
            <v>106.2079</v>
          </cell>
          <cell r="X1032">
            <v>130.55282</v>
          </cell>
          <cell r="Y1032">
            <v>77.675083999999998</v>
          </cell>
        </row>
        <row r="1033">
          <cell r="B1033">
            <v>445340</v>
          </cell>
          <cell r="C1033" t="str">
            <v>NOT USED</v>
          </cell>
          <cell r="D1033" t="str">
            <v>ELEC REVENUE-VARIABLE-MUNICIPAL-TRANSITION CHARGE</v>
          </cell>
          <cell r="E1033" t="str">
            <v/>
          </cell>
          <cell r="F1033" t="str">
            <v/>
          </cell>
          <cell r="G1033" t="str">
            <v/>
          </cell>
          <cell r="H1033" t="str">
            <v/>
          </cell>
          <cell r="I1033" t="str">
            <v/>
          </cell>
          <cell r="J1033" t="str">
            <v/>
          </cell>
          <cell r="K1033" t="str">
            <v/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</row>
        <row r="1034">
          <cell r="B1034">
            <v>445350</v>
          </cell>
          <cell r="C1034" t="str">
            <v>NOT USED</v>
          </cell>
          <cell r="D1034" t="str">
            <v>ELEC REV-VARIABLE-MUNICIPAL-SYSTEM BENEFIT CHARGE</v>
          </cell>
          <cell r="E1034" t="str">
            <v/>
          </cell>
          <cell r="F1034" t="str">
            <v/>
          </cell>
          <cell r="G1034" t="str">
            <v/>
          </cell>
          <cell r="H1034" t="str">
            <v/>
          </cell>
          <cell r="I1034" t="str">
            <v/>
          </cell>
          <cell r="J1034" t="str">
            <v/>
          </cell>
          <cell r="K1034" t="str">
            <v/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</row>
        <row r="1035">
          <cell r="B1035">
            <v>445351</v>
          </cell>
          <cell r="C1035" t="str">
            <v>NOT USED</v>
          </cell>
          <cell r="D1035" t="str">
            <v>ELC REV-VARIABLE-MUNICIPAL-RETAIL ACCESS SURCHARG</v>
          </cell>
          <cell r="E1035" t="str">
            <v/>
          </cell>
          <cell r="F1035" t="str">
            <v/>
          </cell>
          <cell r="G1035" t="str">
            <v/>
          </cell>
          <cell r="H1035" t="str">
            <v/>
          </cell>
          <cell r="I1035" t="str">
            <v/>
          </cell>
          <cell r="J1035" t="str">
            <v/>
          </cell>
          <cell r="K1035" t="str">
            <v/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</row>
        <row r="1036">
          <cell r="B1036">
            <v>445373</v>
          </cell>
          <cell r="C1036" t="str">
            <v>NOT USED</v>
          </cell>
          <cell r="D1036" t="str">
            <v>ELECTRIC REVENUE-VARIABLE-MUNICIPAL-DELIVERY GRT</v>
          </cell>
          <cell r="E1036" t="str">
            <v/>
          </cell>
          <cell r="F1036" t="str">
            <v/>
          </cell>
          <cell r="G1036" t="str">
            <v/>
          </cell>
          <cell r="H1036" t="str">
            <v/>
          </cell>
          <cell r="I1036" t="str">
            <v/>
          </cell>
          <cell r="J1036" t="str">
            <v/>
          </cell>
          <cell r="K1036" t="str">
            <v/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</row>
        <row r="1037">
          <cell r="B1037">
            <v>445374</v>
          </cell>
          <cell r="C1037" t="str">
            <v>NOT USED</v>
          </cell>
          <cell r="D1037" t="str">
            <v>ELECTRIC REVENUE-VARIABLE-MUNICIPAL-COMMODITY GRT</v>
          </cell>
          <cell r="E1037" t="str">
            <v/>
          </cell>
          <cell r="F1037" t="str">
            <v/>
          </cell>
          <cell r="G1037" t="str">
            <v/>
          </cell>
          <cell r="H1037" t="str">
            <v/>
          </cell>
          <cell r="I1037" t="str">
            <v/>
          </cell>
          <cell r="J1037" t="str">
            <v/>
          </cell>
          <cell r="K1037" t="str">
            <v/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</row>
        <row r="1038">
          <cell r="B1038">
            <v>445520</v>
          </cell>
          <cell r="C1038" t="str">
            <v>NOT USED</v>
          </cell>
          <cell r="D1038" t="str">
            <v>ELECTRIC REVENUE- ESCO -MUNICIPAL-DELIVERY</v>
          </cell>
          <cell r="E1038" t="str">
            <v/>
          </cell>
          <cell r="F1038" t="str">
            <v/>
          </cell>
          <cell r="G1038" t="str">
            <v/>
          </cell>
          <cell r="H1038" t="str">
            <v/>
          </cell>
          <cell r="I1038" t="str">
            <v/>
          </cell>
          <cell r="J1038" t="str">
            <v/>
          </cell>
          <cell r="K1038" t="str">
            <v/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</row>
        <row r="1039">
          <cell r="B1039">
            <v>445525</v>
          </cell>
          <cell r="C1039" t="str">
            <v>NOT USED</v>
          </cell>
          <cell r="D1039" t="str">
            <v>ELEC REVENUE- ESCO -MUNICIPAL-UNBILLED DELIVERY</v>
          </cell>
          <cell r="E1039" t="str">
            <v/>
          </cell>
          <cell r="F1039" t="str">
            <v/>
          </cell>
          <cell r="G1039" t="str">
            <v/>
          </cell>
          <cell r="H1039" t="str">
            <v/>
          </cell>
          <cell r="I1039" t="str">
            <v/>
          </cell>
          <cell r="J1039" t="str">
            <v/>
          </cell>
          <cell r="K1039" t="str">
            <v/>
          </cell>
          <cell r="L1039">
            <v>-305.74900000000002</v>
          </cell>
          <cell r="M1039">
            <v>-87.661000000000001</v>
          </cell>
          <cell r="N1039">
            <v>106.35899999999999</v>
          </cell>
          <cell r="O1039">
            <v>37.207560000000001</v>
          </cell>
          <cell r="P1039">
            <v>72.991730000000004</v>
          </cell>
          <cell r="Q1039">
            <v>-32.601999999999997</v>
          </cell>
          <cell r="R1039">
            <v>-78.696809999999999</v>
          </cell>
          <cell r="S1039">
            <v>-37.726190000000003</v>
          </cell>
          <cell r="T1039">
            <v>-131.03843000000001</v>
          </cell>
          <cell r="U1039">
            <v>-95.616720000000001</v>
          </cell>
          <cell r="V1039">
            <v>-12.072520000000001</v>
          </cell>
          <cell r="W1039">
            <v>41.859789999999997</v>
          </cell>
          <cell r="X1039">
            <v>40.854930000000003</v>
          </cell>
          <cell r="Y1039">
            <v>-29.120218999999999</v>
          </cell>
        </row>
        <row r="1040">
          <cell r="B1040">
            <v>445535</v>
          </cell>
          <cell r="C1040" t="str">
            <v>NOT USED</v>
          </cell>
          <cell r="D1040" t="str">
            <v>ELEC REV-MUNICIPAL-EPO UNBILLED TRANSITION</v>
          </cell>
          <cell r="E1040" t="str">
            <v/>
          </cell>
          <cell r="F1040" t="str">
            <v/>
          </cell>
          <cell r="G1040" t="str">
            <v/>
          </cell>
          <cell r="H1040" t="str">
            <v/>
          </cell>
          <cell r="I1040" t="str">
            <v/>
          </cell>
          <cell r="J1040" t="str">
            <v/>
          </cell>
          <cell r="K1040" t="str">
            <v/>
          </cell>
          <cell r="L1040">
            <v>115.43</v>
          </cell>
          <cell r="M1040">
            <v>153.32</v>
          </cell>
          <cell r="N1040">
            <v>190.19499999999999</v>
          </cell>
          <cell r="O1040">
            <v>170.49901</v>
          </cell>
          <cell r="P1040">
            <v>110.66211</v>
          </cell>
          <cell r="Q1040">
            <v>51.225999999999999</v>
          </cell>
          <cell r="R1040">
            <v>20.328720000000001</v>
          </cell>
          <cell r="S1040">
            <v>-1.7794700000000001</v>
          </cell>
          <cell r="T1040">
            <v>-56.209339999999997</v>
          </cell>
          <cell r="U1040">
            <v>-9.3943300000000001</v>
          </cell>
          <cell r="V1040">
            <v>141.49259000000001</v>
          </cell>
          <cell r="W1040">
            <v>77.766589999999994</v>
          </cell>
          <cell r="X1040">
            <v>54.812350000000002</v>
          </cell>
          <cell r="Y1040">
            <v>77.769005000000007</v>
          </cell>
        </row>
        <row r="1041">
          <cell r="B1041">
            <v>445540</v>
          </cell>
          <cell r="C1041" t="str">
            <v>NOT USED</v>
          </cell>
          <cell r="D1041" t="str">
            <v>ELEC REVENUE- ESCO -MUNICIPAL-TRANSITION CHARGE</v>
          </cell>
          <cell r="E1041" t="str">
            <v/>
          </cell>
          <cell r="F1041" t="str">
            <v/>
          </cell>
          <cell r="G1041" t="str">
            <v/>
          </cell>
          <cell r="H1041" t="str">
            <v/>
          </cell>
          <cell r="I1041" t="str">
            <v/>
          </cell>
          <cell r="J1041" t="str">
            <v/>
          </cell>
          <cell r="K1041" t="str">
            <v/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</row>
        <row r="1042">
          <cell r="B1042">
            <v>445550</v>
          </cell>
          <cell r="C1042" t="str">
            <v>NOT USED</v>
          </cell>
          <cell r="D1042" t="str">
            <v>ELEC REV- ESCO -MUNICIPAL-SYSTEM BENEFIT CHARGE</v>
          </cell>
          <cell r="E1042" t="str">
            <v/>
          </cell>
          <cell r="F1042" t="str">
            <v/>
          </cell>
          <cell r="G1042" t="str">
            <v/>
          </cell>
          <cell r="H1042" t="str">
            <v/>
          </cell>
          <cell r="I1042" t="str">
            <v/>
          </cell>
          <cell r="J1042" t="str">
            <v/>
          </cell>
          <cell r="K1042" t="str">
            <v/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</row>
        <row r="1043">
          <cell r="B1043">
            <v>445551</v>
          </cell>
          <cell r="C1043" t="str">
            <v>NOT USED</v>
          </cell>
          <cell r="D1043" t="str">
            <v>ELC REV- ESCO -MUNICIPAL-RETAIL ACCESS SURCHARGE</v>
          </cell>
          <cell r="E1043" t="str">
            <v/>
          </cell>
          <cell r="F1043" t="str">
            <v/>
          </cell>
          <cell r="G1043" t="str">
            <v/>
          </cell>
          <cell r="H1043" t="str">
            <v/>
          </cell>
          <cell r="I1043" t="str">
            <v/>
          </cell>
          <cell r="J1043" t="str">
            <v/>
          </cell>
          <cell r="K1043" t="str">
            <v/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</row>
        <row r="1044">
          <cell r="B1044">
            <v>445552</v>
          </cell>
          <cell r="C1044" t="str">
            <v>NOT USED</v>
          </cell>
          <cell r="D1044" t="str">
            <v>ELC REV- ESCO -MUNICIPAL-RETAIL ACCESS CREDIT</v>
          </cell>
          <cell r="E1044" t="str">
            <v/>
          </cell>
          <cell r="F1044" t="str">
            <v/>
          </cell>
          <cell r="G1044" t="str">
            <v/>
          </cell>
          <cell r="H1044" t="str">
            <v/>
          </cell>
          <cell r="I1044" t="str">
            <v/>
          </cell>
          <cell r="J1044" t="str">
            <v/>
          </cell>
          <cell r="K1044" t="str">
            <v/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</row>
        <row r="1045">
          <cell r="B1045">
            <v>445573</v>
          </cell>
          <cell r="C1045" t="str">
            <v>NOT USED</v>
          </cell>
          <cell r="D1045" t="str">
            <v>ELECTRIC REVENUE- ESCO -MUNICIPAL-DELIVERY GRT</v>
          </cell>
          <cell r="E1045" t="str">
            <v/>
          </cell>
          <cell r="F1045" t="str">
            <v/>
          </cell>
          <cell r="G1045" t="str">
            <v/>
          </cell>
          <cell r="H1045" t="str">
            <v/>
          </cell>
          <cell r="I1045" t="str">
            <v/>
          </cell>
          <cell r="J1045" t="str">
            <v/>
          </cell>
          <cell r="K1045" t="str">
            <v/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</row>
        <row r="1046">
          <cell r="B1046">
            <v>445620</v>
          </cell>
          <cell r="C1046" t="str">
            <v>NOT USED</v>
          </cell>
          <cell r="D1046" t="str">
            <v>ELEC REV-ESCO W/ SUPPLY ADJUST-MUNICIPAL-DELIVERY</v>
          </cell>
          <cell r="E1046" t="str">
            <v/>
          </cell>
          <cell r="F1046" t="str">
            <v/>
          </cell>
          <cell r="G1046" t="str">
            <v/>
          </cell>
          <cell r="H1046" t="str">
            <v/>
          </cell>
          <cell r="I1046" t="str">
            <v/>
          </cell>
          <cell r="J1046" t="str">
            <v/>
          </cell>
          <cell r="K1046" t="str">
            <v/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</row>
        <row r="1047">
          <cell r="B1047">
            <v>445625</v>
          </cell>
          <cell r="C1047" t="str">
            <v>NOT USED</v>
          </cell>
          <cell r="D1047" t="str">
            <v>ELEC REV-ESCO W/SUP ADJ-MUNICIPAL-UNBILL-DELIVERY</v>
          </cell>
          <cell r="E1047" t="str">
            <v/>
          </cell>
          <cell r="F1047" t="str">
            <v/>
          </cell>
          <cell r="G1047" t="str">
            <v/>
          </cell>
          <cell r="H1047" t="str">
            <v/>
          </cell>
          <cell r="I1047" t="str">
            <v/>
          </cell>
          <cell r="J1047" t="str">
            <v/>
          </cell>
          <cell r="K1047" t="str">
            <v/>
          </cell>
          <cell r="L1047">
            <v>0.08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3.333E-3</v>
          </cell>
        </row>
        <row r="1048">
          <cell r="B1048">
            <v>445630</v>
          </cell>
          <cell r="C1048" t="str">
            <v>NOT USED</v>
          </cell>
          <cell r="D1048" t="str">
            <v>ELEC REV-ESCO W/ SUPPLY ADJUST-MUNICIPAL-COMMODIT</v>
          </cell>
          <cell r="E1048" t="str">
            <v/>
          </cell>
          <cell r="F1048" t="str">
            <v/>
          </cell>
          <cell r="G1048" t="str">
            <v/>
          </cell>
          <cell r="H1048" t="str">
            <v/>
          </cell>
          <cell r="I1048" t="str">
            <v/>
          </cell>
          <cell r="J1048" t="str">
            <v/>
          </cell>
          <cell r="K1048" t="str">
            <v/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</row>
        <row r="1049">
          <cell r="B1049">
            <v>445635</v>
          </cell>
          <cell r="C1049" t="str">
            <v>NOT USED</v>
          </cell>
          <cell r="D1049" t="str">
            <v>ELEC REV-ESCO W/SUP ADJ-MUNICIPAL-UNBILL-COMMODIT</v>
          </cell>
          <cell r="E1049" t="str">
            <v/>
          </cell>
          <cell r="F1049" t="str">
            <v/>
          </cell>
          <cell r="G1049" t="str">
            <v/>
          </cell>
          <cell r="H1049" t="str">
            <v/>
          </cell>
          <cell r="I1049" t="str">
            <v/>
          </cell>
          <cell r="J1049" t="str">
            <v/>
          </cell>
          <cell r="K1049" t="str">
            <v/>
          </cell>
          <cell r="L1049">
            <v>0.129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5.3749999999999996E-3</v>
          </cell>
        </row>
        <row r="1050">
          <cell r="B1050">
            <v>445640</v>
          </cell>
          <cell r="C1050" t="str">
            <v>NOT USED</v>
          </cell>
          <cell r="D1050" t="str">
            <v>ELEC REV-ESCO W/ SUP ADJ-MUNICIPAL-TRANSITION CHR</v>
          </cell>
          <cell r="E1050" t="str">
            <v/>
          </cell>
          <cell r="F1050" t="str">
            <v/>
          </cell>
          <cell r="G1050" t="str">
            <v/>
          </cell>
          <cell r="H1050" t="str">
            <v/>
          </cell>
          <cell r="I1050" t="str">
            <v/>
          </cell>
          <cell r="J1050" t="str">
            <v/>
          </cell>
          <cell r="K1050" t="str">
            <v/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</row>
        <row r="1051">
          <cell r="B1051">
            <v>445645</v>
          </cell>
          <cell r="C1051" t="str">
            <v>NOT USED</v>
          </cell>
          <cell r="D1051" t="str">
            <v>E-UNBILLED-MUNICIPAL-DELIVERY-GROSS RECEIPTS TAX</v>
          </cell>
          <cell r="E1051" t="str">
            <v/>
          </cell>
          <cell r="F1051" t="str">
            <v/>
          </cell>
          <cell r="G1051" t="str">
            <v/>
          </cell>
          <cell r="H1051" t="str">
            <v/>
          </cell>
          <cell r="I1051" t="str">
            <v/>
          </cell>
          <cell r="J1051" t="str">
            <v/>
          </cell>
          <cell r="K1051" t="str">
            <v/>
          </cell>
          <cell r="L1051">
            <v>4.0000000000000001E-3</v>
          </cell>
          <cell r="M1051">
            <v>-5.1999999999999998E-2</v>
          </cell>
          <cell r="N1051">
            <v>0.188</v>
          </cell>
          <cell r="O1051">
            <v>0.114</v>
          </cell>
          <cell r="P1051">
            <v>3.5999999999999997E-2</v>
          </cell>
          <cell r="Q1051">
            <v>-9.7000000000000003E-2</v>
          </cell>
          <cell r="R1051">
            <v>-0.12373000000000001</v>
          </cell>
          <cell r="S1051">
            <v>-3.721E-2</v>
          </cell>
          <cell r="T1051">
            <v>-0.16374</v>
          </cell>
          <cell r="U1051">
            <v>9.919E-2</v>
          </cell>
          <cell r="V1051">
            <v>0.60052000000000005</v>
          </cell>
          <cell r="W1051">
            <v>0.29060999999999998</v>
          </cell>
          <cell r="X1051">
            <v>0.34941</v>
          </cell>
          <cell r="Y1051">
            <v>8.5944999999999994E-2</v>
          </cell>
        </row>
        <row r="1052">
          <cell r="B1052">
            <v>445650</v>
          </cell>
          <cell r="C1052" t="str">
            <v>NOT USED</v>
          </cell>
          <cell r="D1052" t="str">
            <v>ELEC REV-ESCO W/ SUP ADJ-MUNICIPAL-SBC</v>
          </cell>
          <cell r="E1052" t="str">
            <v/>
          </cell>
          <cell r="F1052" t="str">
            <v/>
          </cell>
          <cell r="G1052" t="str">
            <v/>
          </cell>
          <cell r="H1052" t="str">
            <v/>
          </cell>
          <cell r="I1052" t="str">
            <v/>
          </cell>
          <cell r="J1052" t="str">
            <v/>
          </cell>
          <cell r="K1052" t="str">
            <v/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</row>
        <row r="1053">
          <cell r="B1053">
            <v>445651</v>
          </cell>
          <cell r="C1053" t="str">
            <v>NOT USED</v>
          </cell>
          <cell r="D1053" t="str">
            <v>ELEC REV-ESCO W/ SUP ADJ-MUNICIPAL-RAS</v>
          </cell>
          <cell r="E1053" t="str">
            <v/>
          </cell>
          <cell r="F1053" t="str">
            <v/>
          </cell>
          <cell r="G1053" t="str">
            <v/>
          </cell>
          <cell r="H1053" t="str">
            <v/>
          </cell>
          <cell r="I1053" t="str">
            <v/>
          </cell>
          <cell r="J1053" t="str">
            <v/>
          </cell>
          <cell r="K1053" t="str">
            <v/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</row>
        <row r="1054">
          <cell r="B1054">
            <v>445652</v>
          </cell>
          <cell r="C1054" t="str">
            <v>NOT USED</v>
          </cell>
          <cell r="D1054" t="str">
            <v>ELEC REV-ESCO W/ SUP ADJ-MUNICIPAL-RAC</v>
          </cell>
          <cell r="E1054" t="str">
            <v/>
          </cell>
          <cell r="F1054" t="str">
            <v/>
          </cell>
          <cell r="G1054" t="str">
            <v/>
          </cell>
          <cell r="H1054" t="str">
            <v/>
          </cell>
          <cell r="I1054" t="str">
            <v/>
          </cell>
          <cell r="J1054" t="str">
            <v/>
          </cell>
          <cell r="K1054" t="str">
            <v/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</row>
        <row r="1055">
          <cell r="B1055">
            <v>445653</v>
          </cell>
          <cell r="C1055" t="str">
            <v>NOT USED</v>
          </cell>
          <cell r="D1055" t="str">
            <v>ELEC REV-ESCO W/ SUP ADJ-MUNICIPAL-MBBC</v>
          </cell>
          <cell r="E1055" t="str">
            <v/>
          </cell>
          <cell r="F1055" t="str">
            <v/>
          </cell>
          <cell r="G1055" t="str">
            <v/>
          </cell>
          <cell r="H1055" t="str">
            <v/>
          </cell>
          <cell r="I1055" t="str">
            <v/>
          </cell>
          <cell r="J1055" t="str">
            <v/>
          </cell>
          <cell r="K1055" t="str">
            <v/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</row>
        <row r="1056">
          <cell r="B1056">
            <v>445655</v>
          </cell>
          <cell r="C1056" t="str">
            <v>NOT USED</v>
          </cell>
          <cell r="D1056" t="str">
            <v>E-UNBILLED-MUNICIPAL-COMMODITY GROSS RECEIPTS TAX</v>
          </cell>
          <cell r="E1056" t="str">
            <v/>
          </cell>
          <cell r="F1056" t="str">
            <v/>
          </cell>
          <cell r="G1056" t="str">
            <v/>
          </cell>
          <cell r="H1056" t="str">
            <v/>
          </cell>
          <cell r="I1056" t="str">
            <v/>
          </cell>
          <cell r="J1056" t="str">
            <v/>
          </cell>
          <cell r="K1056" t="str">
            <v/>
          </cell>
          <cell r="L1056">
            <v>-0.22500000000000001</v>
          </cell>
          <cell r="M1056">
            <v>-0.93799999999999994</v>
          </cell>
          <cell r="N1056">
            <v>1.202</v>
          </cell>
          <cell r="O1056">
            <v>0.69699999999999995</v>
          </cell>
          <cell r="P1056">
            <v>0.73699999999999999</v>
          </cell>
          <cell r="Q1056">
            <v>0.55700000000000005</v>
          </cell>
          <cell r="R1056">
            <v>0.46340999999999999</v>
          </cell>
          <cell r="S1056">
            <v>0.57157000000000002</v>
          </cell>
          <cell r="T1056">
            <v>0.55523999999999996</v>
          </cell>
          <cell r="U1056">
            <v>0.80440999999999996</v>
          </cell>
          <cell r="V1056">
            <v>1.2292099999999999</v>
          </cell>
          <cell r="W1056">
            <v>0.79962999999999995</v>
          </cell>
          <cell r="X1056">
            <v>1.0846499999999999</v>
          </cell>
          <cell r="Y1056">
            <v>0.59235800000000005</v>
          </cell>
        </row>
        <row r="1057">
          <cell r="B1057">
            <v>445673</v>
          </cell>
          <cell r="C1057" t="str">
            <v>NOT USED</v>
          </cell>
          <cell r="D1057" t="str">
            <v>ELEC REV-ESCO W/ SUP ADJUST-MUNICIPAL-DELIVERY GR</v>
          </cell>
          <cell r="E1057" t="str">
            <v/>
          </cell>
          <cell r="F1057" t="str">
            <v/>
          </cell>
          <cell r="G1057" t="str">
            <v/>
          </cell>
          <cell r="H1057" t="str">
            <v/>
          </cell>
          <cell r="I1057" t="str">
            <v/>
          </cell>
          <cell r="J1057" t="str">
            <v/>
          </cell>
          <cell r="K1057" t="str">
            <v/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</row>
        <row r="1058">
          <cell r="B1058">
            <v>447000</v>
          </cell>
          <cell r="C1058" t="str">
            <v>NOT USED</v>
          </cell>
          <cell r="D1058" t="str">
            <v>ISO SALES - NMII</v>
          </cell>
          <cell r="E1058" t="str">
            <v/>
          </cell>
          <cell r="F1058" t="str">
            <v/>
          </cell>
          <cell r="G1058" t="str">
            <v/>
          </cell>
          <cell r="H1058" t="str">
            <v/>
          </cell>
          <cell r="I1058" t="str">
            <v/>
          </cell>
          <cell r="J1058" t="str">
            <v/>
          </cell>
          <cell r="K1058" t="str">
            <v/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</row>
        <row r="1059">
          <cell r="B1059">
            <v>447006</v>
          </cell>
          <cell r="C1059" t="str">
            <v>NOT USED</v>
          </cell>
          <cell r="D1059" t="str">
            <v>ISO SALES-INSTALLED CAPACITY DELIVERED</v>
          </cell>
          <cell r="E1059" t="str">
            <v/>
          </cell>
          <cell r="F1059" t="str">
            <v/>
          </cell>
          <cell r="G1059" t="str">
            <v/>
          </cell>
          <cell r="H1059" t="str">
            <v/>
          </cell>
          <cell r="I1059" t="str">
            <v/>
          </cell>
          <cell r="J1059" t="str">
            <v/>
          </cell>
          <cell r="K1059" t="str">
            <v/>
          </cell>
          <cell r="L1059">
            <v>-3800.0232599999999</v>
          </cell>
          <cell r="M1059">
            <v>-178.67072999999999</v>
          </cell>
          <cell r="N1059">
            <v>-307.29011000000003</v>
          </cell>
          <cell r="O1059">
            <v>-350.94542999999999</v>
          </cell>
          <cell r="P1059">
            <v>-409.92543000000001</v>
          </cell>
          <cell r="Q1059">
            <v>-556.62543000000005</v>
          </cell>
          <cell r="R1059">
            <v>-716.82084999999995</v>
          </cell>
          <cell r="S1059">
            <v>-846.77085</v>
          </cell>
          <cell r="T1059">
            <v>-876.76284999999996</v>
          </cell>
          <cell r="U1059">
            <v>-902.39284999999995</v>
          </cell>
          <cell r="V1059">
            <v>-927.90281000000004</v>
          </cell>
          <cell r="W1059">
            <v>-953.73022000000003</v>
          </cell>
          <cell r="X1059">
            <v>-964.31077000000005</v>
          </cell>
          <cell r="Y1059">
            <v>-784.16704800000002</v>
          </cell>
        </row>
        <row r="1060">
          <cell r="B1060">
            <v>447007</v>
          </cell>
          <cell r="C1060" t="str">
            <v>NOT USED</v>
          </cell>
          <cell r="D1060" t="str">
            <v>ISO SALES-INTERCHANGE POWER DELIVERED</v>
          </cell>
          <cell r="E1060" t="str">
            <v/>
          </cell>
          <cell r="F1060" t="str">
            <v/>
          </cell>
          <cell r="G1060" t="str">
            <v/>
          </cell>
          <cell r="H1060" t="str">
            <v/>
          </cell>
          <cell r="I1060" t="str">
            <v/>
          </cell>
          <cell r="J1060" t="str">
            <v/>
          </cell>
          <cell r="K1060" t="str">
            <v/>
          </cell>
          <cell r="L1060">
            <v>-1199.21074</v>
          </cell>
          <cell r="M1060">
            <v>-129.95052000000001</v>
          </cell>
          <cell r="N1060">
            <v>-156.26938000000001</v>
          </cell>
          <cell r="O1060">
            <v>-233.43690000000001</v>
          </cell>
          <cell r="P1060">
            <v>-370.69324999999998</v>
          </cell>
          <cell r="Q1060">
            <v>-505.65681999999998</v>
          </cell>
          <cell r="R1060">
            <v>-672.94902000000002</v>
          </cell>
          <cell r="S1060">
            <v>-771.17092000000002</v>
          </cell>
          <cell r="T1060">
            <v>-805.97292000000004</v>
          </cell>
          <cell r="U1060">
            <v>-811.78251999999998</v>
          </cell>
          <cell r="V1060">
            <v>-811.78251999999998</v>
          </cell>
          <cell r="W1060">
            <v>-811.78251999999998</v>
          </cell>
          <cell r="X1060">
            <v>-847.03012000000001</v>
          </cell>
          <cell r="Y1060">
            <v>-592.04731000000004</v>
          </cell>
        </row>
        <row r="1061">
          <cell r="B1061">
            <v>447010</v>
          </cell>
          <cell r="C1061" t="str">
            <v>NOT USED</v>
          </cell>
          <cell r="D1061" t="str">
            <v>ISO SALES - RUSSELL STATION</v>
          </cell>
          <cell r="E1061" t="str">
            <v/>
          </cell>
          <cell r="F1061" t="str">
            <v/>
          </cell>
          <cell r="G1061" t="str">
            <v/>
          </cell>
          <cell r="H1061" t="str">
            <v/>
          </cell>
          <cell r="I1061" t="str">
            <v/>
          </cell>
          <cell r="J1061" t="str">
            <v/>
          </cell>
          <cell r="K1061" t="str">
            <v/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</row>
        <row r="1062">
          <cell r="B1062">
            <v>447020</v>
          </cell>
          <cell r="C1062" t="str">
            <v>NOT USED</v>
          </cell>
          <cell r="D1062" t="str">
            <v>ISO SALES - ALLEGANY</v>
          </cell>
          <cell r="E1062" t="str">
            <v/>
          </cell>
          <cell r="F1062" t="str">
            <v/>
          </cell>
          <cell r="G1062" t="str">
            <v/>
          </cell>
          <cell r="H1062" t="str">
            <v/>
          </cell>
          <cell r="I1062" t="str">
            <v/>
          </cell>
          <cell r="J1062" t="str">
            <v/>
          </cell>
          <cell r="K1062" t="str">
            <v/>
          </cell>
          <cell r="L1062">
            <v>-2996.5975199999998</v>
          </cell>
          <cell r="M1062">
            <v>-1.345E-2</v>
          </cell>
          <cell r="N1062">
            <v>-4.5799999999999999E-3</v>
          </cell>
          <cell r="O1062">
            <v>-7.0200000000000002E-3</v>
          </cell>
          <cell r="P1062">
            <v>-1.448E-2</v>
          </cell>
          <cell r="Q1062">
            <v>-2.63E-2</v>
          </cell>
          <cell r="R1062">
            <v>-217.19743</v>
          </cell>
          <cell r="S1062">
            <v>-1299.95624</v>
          </cell>
          <cell r="T1062">
            <v>-1924.3951400000001</v>
          </cell>
          <cell r="U1062">
            <v>-2292.3263900000002</v>
          </cell>
          <cell r="V1062">
            <v>-2788.18408</v>
          </cell>
          <cell r="W1062">
            <v>-3300.9711400000001</v>
          </cell>
          <cell r="X1062">
            <v>-3803.9999600000001</v>
          </cell>
          <cell r="Y1062">
            <v>-1268.6162489999999</v>
          </cell>
        </row>
        <row r="1063">
          <cell r="B1063">
            <v>447030</v>
          </cell>
          <cell r="C1063" t="str">
            <v>NOT USED</v>
          </cell>
          <cell r="D1063" t="str">
            <v>ISO SALES - BEEBEE T13</v>
          </cell>
          <cell r="E1063" t="str">
            <v/>
          </cell>
          <cell r="F1063" t="str">
            <v/>
          </cell>
          <cell r="G1063" t="str">
            <v/>
          </cell>
          <cell r="H1063" t="str">
            <v/>
          </cell>
          <cell r="I1063" t="str">
            <v/>
          </cell>
          <cell r="J1063" t="str">
            <v/>
          </cell>
          <cell r="K1063" t="str">
            <v/>
          </cell>
          <cell r="L1063">
            <v>-133.01204000000001</v>
          </cell>
          <cell r="M1063">
            <v>-0.26312999999999998</v>
          </cell>
          <cell r="N1063">
            <v>-0.42544999999999999</v>
          </cell>
          <cell r="O1063">
            <v>-0.67325000000000002</v>
          </cell>
          <cell r="P1063">
            <v>-10.97686</v>
          </cell>
          <cell r="Q1063">
            <v>-60.236420000000003</v>
          </cell>
          <cell r="R1063">
            <v>-105.30547</v>
          </cell>
          <cell r="S1063">
            <v>-95.915819999999997</v>
          </cell>
          <cell r="T1063">
            <v>-95.935760000000002</v>
          </cell>
          <cell r="U1063">
            <v>-95.940389999999994</v>
          </cell>
          <cell r="V1063">
            <v>-96.20129</v>
          </cell>
          <cell r="W1063">
            <v>-96.962050000000005</v>
          </cell>
          <cell r="X1063">
            <v>-96.948499999999996</v>
          </cell>
          <cell r="Y1063">
            <v>-64.484679999999997</v>
          </cell>
        </row>
        <row r="1064">
          <cell r="B1064">
            <v>447040</v>
          </cell>
          <cell r="C1064" t="str">
            <v>NOT USED</v>
          </cell>
          <cell r="D1064" t="str">
            <v>ISO SALES - STATION 9</v>
          </cell>
          <cell r="E1064" t="str">
            <v/>
          </cell>
          <cell r="F1064" t="str">
            <v/>
          </cell>
          <cell r="G1064" t="str">
            <v/>
          </cell>
          <cell r="H1064" t="str">
            <v/>
          </cell>
          <cell r="I1064" t="str">
            <v/>
          </cell>
          <cell r="J1064" t="str">
            <v/>
          </cell>
          <cell r="K1064" t="str">
            <v/>
          </cell>
          <cell r="L1064">
            <v>-371.45044999999999</v>
          </cell>
          <cell r="M1064">
            <v>-143.95041000000001</v>
          </cell>
          <cell r="N1064">
            <v>-151.19211999999999</v>
          </cell>
          <cell r="O1064">
            <v>-170.14141000000001</v>
          </cell>
          <cell r="P1064">
            <v>-181.40387999999999</v>
          </cell>
          <cell r="Q1064">
            <v>-190.21364</v>
          </cell>
          <cell r="R1064">
            <v>-233.21521999999999</v>
          </cell>
          <cell r="S1064">
            <v>-311.97422</v>
          </cell>
          <cell r="T1064">
            <v>-332.52537999999998</v>
          </cell>
          <cell r="U1064">
            <v>-367.83238999999998</v>
          </cell>
          <cell r="V1064">
            <v>-392.26580999999999</v>
          </cell>
          <cell r="W1064">
            <v>-424.29435000000001</v>
          </cell>
          <cell r="X1064">
            <v>-442.76058999999998</v>
          </cell>
          <cell r="Y1064">
            <v>-275.50952899999999</v>
          </cell>
        </row>
        <row r="1065">
          <cell r="B1065">
            <v>447050</v>
          </cell>
          <cell r="C1065" t="str">
            <v>NOT USED</v>
          </cell>
          <cell r="D1065" t="str">
            <v>ISO SALES - HYDRO</v>
          </cell>
          <cell r="E1065" t="str">
            <v/>
          </cell>
          <cell r="F1065" t="str">
            <v/>
          </cell>
          <cell r="G1065" t="str">
            <v/>
          </cell>
          <cell r="H1065" t="str">
            <v/>
          </cell>
          <cell r="I1065" t="str">
            <v/>
          </cell>
          <cell r="J1065" t="str">
            <v/>
          </cell>
          <cell r="K1065" t="str">
            <v/>
          </cell>
          <cell r="L1065">
            <v>-1726.0057300000001</v>
          </cell>
          <cell r="M1065">
            <v>-61.033000000000001</v>
          </cell>
          <cell r="N1065">
            <v>-105.3925</v>
          </cell>
          <cell r="O1065">
            <v>-225.10663</v>
          </cell>
          <cell r="P1065">
            <v>-472.14431999999999</v>
          </cell>
          <cell r="Q1065">
            <v>-586.55663000000004</v>
          </cell>
          <cell r="R1065">
            <v>-782.05655000000002</v>
          </cell>
          <cell r="S1065">
            <v>-858.14711</v>
          </cell>
          <cell r="T1065">
            <v>-885.26437999999996</v>
          </cell>
          <cell r="U1065">
            <v>-952.25224000000003</v>
          </cell>
          <cell r="V1065">
            <v>-1123.7060200000001</v>
          </cell>
          <cell r="W1065">
            <v>-1234.3085000000001</v>
          </cell>
          <cell r="X1065">
            <v>-1428.91715</v>
          </cell>
          <cell r="Y1065">
            <v>-738.61910999999998</v>
          </cell>
        </row>
        <row r="1066">
          <cell r="B1066">
            <v>447060</v>
          </cell>
          <cell r="C1066" t="str">
            <v>NOT USED</v>
          </cell>
          <cell r="D1066" t="str">
            <v>ISO SALES - GINNA</v>
          </cell>
          <cell r="E1066" t="str">
            <v/>
          </cell>
          <cell r="F1066" t="str">
            <v/>
          </cell>
          <cell r="G1066" t="str">
            <v/>
          </cell>
          <cell r="H1066" t="str">
            <v/>
          </cell>
          <cell r="I1066" t="str">
            <v/>
          </cell>
          <cell r="J1066" t="str">
            <v/>
          </cell>
          <cell r="K1066" t="str">
            <v/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</row>
        <row r="1067">
          <cell r="B1067">
            <v>447065</v>
          </cell>
          <cell r="C1067" t="str">
            <v>NOT USED</v>
          </cell>
          <cell r="D1067" t="str">
            <v>ISO SALES-BORDERLINE-DELIVERY</v>
          </cell>
          <cell r="E1067" t="str">
            <v/>
          </cell>
          <cell r="F1067" t="str">
            <v/>
          </cell>
          <cell r="G1067" t="str">
            <v/>
          </cell>
          <cell r="H1067" t="str">
            <v/>
          </cell>
          <cell r="I1067" t="str">
            <v/>
          </cell>
          <cell r="J1067" t="str">
            <v/>
          </cell>
          <cell r="K1067" t="str">
            <v/>
          </cell>
          <cell r="L1067">
            <v>-64.167019999999994</v>
          </cell>
          <cell r="M1067">
            <v>-8.9330599999999993</v>
          </cell>
          <cell r="N1067">
            <v>-10.3443</v>
          </cell>
          <cell r="O1067">
            <v>-18.841290000000001</v>
          </cell>
          <cell r="P1067">
            <v>-21.534269999999999</v>
          </cell>
          <cell r="Q1067">
            <v>-31.2425</v>
          </cell>
          <cell r="R1067">
            <v>-33.71217</v>
          </cell>
          <cell r="S1067">
            <v>-39.030790000000003</v>
          </cell>
          <cell r="T1067">
            <v>-42.515889999999999</v>
          </cell>
          <cell r="U1067">
            <v>-50.070700000000002</v>
          </cell>
          <cell r="V1067">
            <v>-51.601979999999998</v>
          </cell>
          <cell r="W1067">
            <v>-58.296660000000003</v>
          </cell>
          <cell r="X1067">
            <v>-60.983530000000002</v>
          </cell>
          <cell r="Y1067">
            <v>-35.724907000000002</v>
          </cell>
        </row>
        <row r="1068">
          <cell r="B1068">
            <v>447066</v>
          </cell>
          <cell r="C1068" t="str">
            <v>NOT USED</v>
          </cell>
          <cell r="D1068" t="str">
            <v>ISO SALES-BORDERLINE-OTHER</v>
          </cell>
          <cell r="E1068" t="str">
            <v/>
          </cell>
          <cell r="F1068" t="str">
            <v/>
          </cell>
          <cell r="G1068" t="str">
            <v/>
          </cell>
          <cell r="H1068" t="str">
            <v/>
          </cell>
          <cell r="I1068" t="str">
            <v/>
          </cell>
          <cell r="J1068" t="str">
            <v/>
          </cell>
          <cell r="K1068" t="str">
            <v/>
          </cell>
          <cell r="L1068">
            <v>-113.86675</v>
          </cell>
          <cell r="M1068">
            <v>-11.23634</v>
          </cell>
          <cell r="N1068">
            <v>-12.843030000000001</v>
          </cell>
          <cell r="O1068">
            <v>-22.12659</v>
          </cell>
          <cell r="P1068">
            <v>-24.735859999999999</v>
          </cell>
          <cell r="Q1068">
            <v>-35.093000000000004</v>
          </cell>
          <cell r="R1068">
            <v>-37.648919999999997</v>
          </cell>
          <cell r="S1068">
            <v>-43.100990000000003</v>
          </cell>
          <cell r="T1068">
            <v>-47.407910000000001</v>
          </cell>
          <cell r="U1068">
            <v>-56.750869999999999</v>
          </cell>
          <cell r="V1068">
            <v>-58.183120000000002</v>
          </cell>
          <cell r="W1068">
            <v>-64.932829999999996</v>
          </cell>
          <cell r="X1068">
            <v>-67.751130000000003</v>
          </cell>
          <cell r="Y1068">
            <v>-42.072367</v>
          </cell>
        </row>
        <row r="1069">
          <cell r="B1069">
            <v>447070</v>
          </cell>
          <cell r="C1069" t="str">
            <v>NOT USED</v>
          </cell>
          <cell r="D1069" t="str">
            <v>SALE OF EXCESS PURCHASES - CAPACITY</v>
          </cell>
          <cell r="E1069" t="str">
            <v/>
          </cell>
          <cell r="F1069" t="str">
            <v/>
          </cell>
          <cell r="G1069" t="str">
            <v/>
          </cell>
          <cell r="H1069" t="str">
            <v/>
          </cell>
          <cell r="I1069" t="str">
            <v/>
          </cell>
          <cell r="J1069" t="str">
            <v/>
          </cell>
          <cell r="K1069" t="str">
            <v/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</row>
        <row r="1070">
          <cell r="B1070">
            <v>447080</v>
          </cell>
          <cell r="C1070" t="str">
            <v>NOT USED</v>
          </cell>
          <cell r="D1070" t="str">
            <v>SALE OF EXCESS PURCHASES - ENERGY</v>
          </cell>
          <cell r="E1070" t="str">
            <v/>
          </cell>
          <cell r="F1070" t="str">
            <v/>
          </cell>
          <cell r="G1070" t="str">
            <v/>
          </cell>
          <cell r="H1070" t="str">
            <v/>
          </cell>
          <cell r="I1070" t="str">
            <v/>
          </cell>
          <cell r="J1070" t="str">
            <v/>
          </cell>
          <cell r="K1070" t="str">
            <v/>
          </cell>
          <cell r="L1070">
            <v>-123329.93919999999</v>
          </cell>
          <cell r="M1070">
            <v>-12899.958860000001</v>
          </cell>
          <cell r="N1070">
            <v>-22947.772219999999</v>
          </cell>
          <cell r="O1070">
            <v>-33785.657339999998</v>
          </cell>
          <cell r="P1070">
            <v>-42683.9836</v>
          </cell>
          <cell r="Q1070">
            <v>-43315.254150000001</v>
          </cell>
          <cell r="R1070">
            <v>-48614.69556</v>
          </cell>
          <cell r="S1070">
            <v>-58059.332410000003</v>
          </cell>
          <cell r="T1070">
            <v>-65605.995519999997</v>
          </cell>
          <cell r="U1070">
            <v>-80067.603610000006</v>
          </cell>
          <cell r="V1070">
            <v>-89935.699420000004</v>
          </cell>
          <cell r="W1070">
            <v>-99755.662190000003</v>
          </cell>
          <cell r="X1070">
            <v>-103528.82341</v>
          </cell>
          <cell r="Y1070">
            <v>-59258.416348999999</v>
          </cell>
        </row>
        <row r="1071">
          <cell r="B1071">
            <v>447100</v>
          </cell>
          <cell r="C1071" t="str">
            <v>NOT USED</v>
          </cell>
          <cell r="D1071" t="str">
            <v>ELEC REV - SALES FOR RESALE-NY STATE</v>
          </cell>
          <cell r="E1071" t="str">
            <v/>
          </cell>
          <cell r="F1071" t="str">
            <v/>
          </cell>
          <cell r="G1071" t="str">
            <v/>
          </cell>
          <cell r="H1071" t="str">
            <v/>
          </cell>
          <cell r="I1071" t="str">
            <v/>
          </cell>
          <cell r="J1071" t="str">
            <v/>
          </cell>
          <cell r="K1071" t="str">
            <v/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</row>
        <row r="1072">
          <cell r="B1072">
            <v>447120</v>
          </cell>
          <cell r="C1072" t="str">
            <v>NOT USED</v>
          </cell>
          <cell r="D1072" t="str">
            <v>ELEC REV - SALES FOR RESALE-DELVY-RESIDENTIAL</v>
          </cell>
          <cell r="E1072" t="str">
            <v/>
          </cell>
          <cell r="F1072" t="str">
            <v/>
          </cell>
          <cell r="G1072" t="str">
            <v/>
          </cell>
          <cell r="H1072" t="str">
            <v/>
          </cell>
          <cell r="I1072" t="str">
            <v/>
          </cell>
          <cell r="J1072" t="str">
            <v/>
          </cell>
          <cell r="K1072" t="str">
            <v/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</row>
        <row r="1073">
          <cell r="B1073">
            <v>447130</v>
          </cell>
          <cell r="C1073" t="str">
            <v>NOT USED</v>
          </cell>
          <cell r="D1073" t="str">
            <v>ELEC REV - SALES FOR RESALE-DELVY-COMMERCIAL</v>
          </cell>
          <cell r="E1073" t="str">
            <v/>
          </cell>
          <cell r="F1073" t="str">
            <v/>
          </cell>
          <cell r="G1073" t="str">
            <v/>
          </cell>
          <cell r="H1073" t="str">
            <v/>
          </cell>
          <cell r="I1073" t="str">
            <v/>
          </cell>
          <cell r="J1073" t="str">
            <v/>
          </cell>
          <cell r="K1073" t="str">
            <v/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</row>
        <row r="1074">
          <cell r="B1074">
            <v>447140</v>
          </cell>
          <cell r="C1074" t="str">
            <v>NOT USED</v>
          </cell>
          <cell r="D1074" t="str">
            <v>ELEC REV - SALES FOR RESALE-DELVY-INDUSTRIAL</v>
          </cell>
          <cell r="E1074" t="str">
            <v/>
          </cell>
          <cell r="F1074" t="str">
            <v/>
          </cell>
          <cell r="G1074" t="str">
            <v/>
          </cell>
          <cell r="H1074" t="str">
            <v/>
          </cell>
          <cell r="I1074" t="str">
            <v/>
          </cell>
          <cell r="J1074" t="str">
            <v/>
          </cell>
          <cell r="K1074" t="str">
            <v/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</row>
        <row r="1075">
          <cell r="B1075">
            <v>447150</v>
          </cell>
          <cell r="C1075" t="str">
            <v>NOT USED</v>
          </cell>
          <cell r="D1075" t="str">
            <v>ELEC REV - SALES FOR RESALE-DELVY-MUNICIPAL</v>
          </cell>
          <cell r="E1075" t="str">
            <v/>
          </cell>
          <cell r="F1075" t="str">
            <v/>
          </cell>
          <cell r="G1075" t="str">
            <v/>
          </cell>
          <cell r="H1075" t="str">
            <v/>
          </cell>
          <cell r="I1075" t="str">
            <v/>
          </cell>
          <cell r="J1075" t="str">
            <v/>
          </cell>
          <cell r="K1075" t="str">
            <v/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</row>
        <row r="1076">
          <cell r="B1076">
            <v>447160</v>
          </cell>
          <cell r="C1076" t="str">
            <v>NOT USED</v>
          </cell>
          <cell r="D1076" t="str">
            <v>ELEC REV - SALES FOR RESALE-COMMODITY-RESID</v>
          </cell>
          <cell r="E1076" t="str">
            <v/>
          </cell>
          <cell r="F1076" t="str">
            <v/>
          </cell>
          <cell r="G1076" t="str">
            <v/>
          </cell>
          <cell r="H1076" t="str">
            <v/>
          </cell>
          <cell r="I1076" t="str">
            <v/>
          </cell>
          <cell r="J1076" t="str">
            <v/>
          </cell>
          <cell r="K1076" t="str">
            <v/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</row>
        <row r="1077">
          <cell r="B1077">
            <v>447170</v>
          </cell>
          <cell r="C1077" t="str">
            <v>NOT USED</v>
          </cell>
          <cell r="D1077" t="str">
            <v>ELEC REV - SALES FOR RESALE-COMMODITY-COM</v>
          </cell>
          <cell r="E1077" t="str">
            <v/>
          </cell>
          <cell r="F1077" t="str">
            <v/>
          </cell>
          <cell r="G1077" t="str">
            <v/>
          </cell>
          <cell r="H1077" t="str">
            <v/>
          </cell>
          <cell r="I1077" t="str">
            <v/>
          </cell>
          <cell r="J1077" t="str">
            <v/>
          </cell>
          <cell r="K1077" t="str">
            <v/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</row>
        <row r="1078">
          <cell r="B1078">
            <v>447180</v>
          </cell>
          <cell r="C1078" t="str">
            <v>NOT USED</v>
          </cell>
          <cell r="D1078" t="str">
            <v>ELEC REV - SALES FOR RESALE-COMMODITY-IND</v>
          </cell>
          <cell r="E1078" t="str">
            <v/>
          </cell>
          <cell r="F1078" t="str">
            <v/>
          </cell>
          <cell r="G1078" t="str">
            <v/>
          </cell>
          <cell r="H1078" t="str">
            <v/>
          </cell>
          <cell r="I1078" t="str">
            <v/>
          </cell>
          <cell r="J1078" t="str">
            <v/>
          </cell>
          <cell r="K1078" t="str">
            <v/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</row>
        <row r="1079">
          <cell r="B1079">
            <v>447190</v>
          </cell>
          <cell r="C1079" t="str">
            <v>NOT USED</v>
          </cell>
          <cell r="D1079" t="str">
            <v>ELEC REV - SALES FOR RESALE-COMMODITY-MUN</v>
          </cell>
          <cell r="E1079" t="str">
            <v/>
          </cell>
          <cell r="F1079" t="str">
            <v/>
          </cell>
          <cell r="G1079" t="str">
            <v/>
          </cell>
          <cell r="H1079" t="str">
            <v/>
          </cell>
          <cell r="I1079" t="str">
            <v/>
          </cell>
          <cell r="J1079" t="str">
            <v/>
          </cell>
          <cell r="K1079" t="str">
            <v/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</row>
        <row r="1080">
          <cell r="B1080">
            <v>447200</v>
          </cell>
          <cell r="C1080" t="str">
            <v>NOT USED</v>
          </cell>
          <cell r="D1080" t="str">
            <v>ELEC REV - MARKETER-SELF USE-DELVY-RES</v>
          </cell>
          <cell r="E1080" t="str">
            <v/>
          </cell>
          <cell r="F1080" t="str">
            <v/>
          </cell>
          <cell r="G1080" t="str">
            <v/>
          </cell>
          <cell r="H1080" t="str">
            <v/>
          </cell>
          <cell r="I1080" t="str">
            <v/>
          </cell>
          <cell r="J1080" t="str">
            <v/>
          </cell>
          <cell r="K1080" t="str">
            <v/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</row>
        <row r="1081">
          <cell r="B1081">
            <v>447201</v>
          </cell>
          <cell r="C1081" t="str">
            <v>NOT USED</v>
          </cell>
          <cell r="D1081" t="str">
            <v>ELEC REV - MARKETER-SELF USE-DELVY-COM</v>
          </cell>
          <cell r="E1081" t="str">
            <v/>
          </cell>
          <cell r="F1081" t="str">
            <v/>
          </cell>
          <cell r="G1081" t="str">
            <v/>
          </cell>
          <cell r="H1081" t="str">
            <v/>
          </cell>
          <cell r="I1081" t="str">
            <v/>
          </cell>
          <cell r="J1081" t="str">
            <v/>
          </cell>
          <cell r="K1081" t="str">
            <v/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</row>
        <row r="1082">
          <cell r="B1082">
            <v>447202</v>
          </cell>
          <cell r="C1082" t="str">
            <v>NOT USED</v>
          </cell>
          <cell r="D1082" t="str">
            <v>ELEC REV - MARKETER-SELF USE-DELVY-IND</v>
          </cell>
          <cell r="E1082" t="str">
            <v/>
          </cell>
          <cell r="F1082" t="str">
            <v/>
          </cell>
          <cell r="G1082" t="str">
            <v/>
          </cell>
          <cell r="H1082" t="str">
            <v/>
          </cell>
          <cell r="I1082" t="str">
            <v/>
          </cell>
          <cell r="J1082" t="str">
            <v/>
          </cell>
          <cell r="K1082" t="str">
            <v/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</row>
        <row r="1083">
          <cell r="B1083">
            <v>447203</v>
          </cell>
          <cell r="C1083" t="str">
            <v>NOT USED</v>
          </cell>
          <cell r="D1083" t="str">
            <v>ELEC REV - MARKETER-SELF USE-DELVY-MUN</v>
          </cell>
          <cell r="E1083" t="str">
            <v/>
          </cell>
          <cell r="F1083" t="str">
            <v/>
          </cell>
          <cell r="G1083" t="str">
            <v/>
          </cell>
          <cell r="H1083" t="str">
            <v/>
          </cell>
          <cell r="I1083" t="str">
            <v/>
          </cell>
          <cell r="J1083" t="str">
            <v/>
          </cell>
          <cell r="K1083" t="str">
            <v/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</row>
        <row r="1084">
          <cell r="B1084">
            <v>447204</v>
          </cell>
          <cell r="C1084" t="str">
            <v>NOT USED</v>
          </cell>
          <cell r="D1084" t="str">
            <v>ELEC REV - MARKETER-SELF USE-COMMOD-RES</v>
          </cell>
          <cell r="E1084" t="str">
            <v/>
          </cell>
          <cell r="F1084" t="str">
            <v/>
          </cell>
          <cell r="G1084" t="str">
            <v/>
          </cell>
          <cell r="H1084" t="str">
            <v/>
          </cell>
          <cell r="I1084" t="str">
            <v/>
          </cell>
          <cell r="J1084" t="str">
            <v/>
          </cell>
          <cell r="K1084" t="str">
            <v/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</row>
        <row r="1085">
          <cell r="B1085">
            <v>447205</v>
          </cell>
          <cell r="C1085" t="str">
            <v>NOT USED</v>
          </cell>
          <cell r="D1085" t="str">
            <v>ELEC REV - MARKETER-SELF USE-COMMOD-COM</v>
          </cell>
          <cell r="E1085" t="str">
            <v/>
          </cell>
          <cell r="F1085" t="str">
            <v/>
          </cell>
          <cell r="G1085" t="str">
            <v/>
          </cell>
          <cell r="H1085" t="str">
            <v/>
          </cell>
          <cell r="I1085" t="str">
            <v/>
          </cell>
          <cell r="J1085" t="str">
            <v/>
          </cell>
          <cell r="K1085" t="str">
            <v/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</row>
        <row r="1086">
          <cell r="B1086">
            <v>447207</v>
          </cell>
          <cell r="C1086" t="str">
            <v>NOT USED</v>
          </cell>
          <cell r="D1086" t="str">
            <v>ELEC REV - MARKETER-SELF USE-COMMOD-MUN</v>
          </cell>
          <cell r="E1086" t="str">
            <v/>
          </cell>
          <cell r="F1086" t="str">
            <v/>
          </cell>
          <cell r="G1086" t="str">
            <v/>
          </cell>
          <cell r="H1086" t="str">
            <v/>
          </cell>
          <cell r="I1086" t="str">
            <v/>
          </cell>
          <cell r="J1086" t="str">
            <v/>
          </cell>
          <cell r="K1086" t="str">
            <v/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</row>
        <row r="1087">
          <cell r="B1087">
            <v>447208</v>
          </cell>
          <cell r="C1087" t="str">
            <v>NOT USED</v>
          </cell>
          <cell r="D1087" t="str">
            <v>ELEC REV - MARKETER-SELF USE-SYS BEN-RES</v>
          </cell>
          <cell r="E1087" t="str">
            <v/>
          </cell>
          <cell r="F1087" t="str">
            <v/>
          </cell>
          <cell r="G1087" t="str">
            <v/>
          </cell>
          <cell r="H1087" t="str">
            <v/>
          </cell>
          <cell r="I1087" t="str">
            <v/>
          </cell>
          <cell r="J1087" t="str">
            <v/>
          </cell>
          <cell r="K1087" t="str">
            <v/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</row>
        <row r="1088">
          <cell r="B1088">
            <v>447209</v>
          </cell>
          <cell r="C1088" t="str">
            <v>NOT USED</v>
          </cell>
          <cell r="D1088" t="str">
            <v>ELEC REV - MARKETER-SELF USE-SYS BEN-COM</v>
          </cell>
          <cell r="E1088" t="str">
            <v/>
          </cell>
          <cell r="F1088" t="str">
            <v/>
          </cell>
          <cell r="G1088" t="str">
            <v/>
          </cell>
          <cell r="H1088" t="str">
            <v/>
          </cell>
          <cell r="I1088" t="str">
            <v/>
          </cell>
          <cell r="J1088" t="str">
            <v/>
          </cell>
          <cell r="K1088" t="str">
            <v/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</row>
        <row r="1089">
          <cell r="B1089">
            <v>447210</v>
          </cell>
          <cell r="C1089" t="str">
            <v>NOT USED</v>
          </cell>
          <cell r="D1089" t="str">
            <v>ELEC REV - MARKETER-SELF USE-SYS BEN-IND</v>
          </cell>
          <cell r="E1089" t="str">
            <v/>
          </cell>
          <cell r="F1089" t="str">
            <v/>
          </cell>
          <cell r="G1089" t="str">
            <v/>
          </cell>
          <cell r="H1089" t="str">
            <v/>
          </cell>
          <cell r="I1089" t="str">
            <v/>
          </cell>
          <cell r="J1089" t="str">
            <v/>
          </cell>
          <cell r="K1089" t="str">
            <v/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</row>
        <row r="1090">
          <cell r="B1090">
            <v>447211</v>
          </cell>
          <cell r="C1090" t="str">
            <v>NOT USED</v>
          </cell>
          <cell r="D1090" t="str">
            <v>ELEC REV - MARKETER-SELF USE-SYS BEN-MUN</v>
          </cell>
          <cell r="E1090" t="str">
            <v/>
          </cell>
          <cell r="F1090" t="str">
            <v/>
          </cell>
          <cell r="G1090" t="str">
            <v/>
          </cell>
          <cell r="H1090" t="str">
            <v/>
          </cell>
          <cell r="I1090" t="str">
            <v/>
          </cell>
          <cell r="J1090" t="str">
            <v/>
          </cell>
          <cell r="K1090" t="str">
            <v/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</row>
        <row r="1091">
          <cell r="B1091">
            <v>447230</v>
          </cell>
          <cell r="C1091" t="str">
            <v>NOT USED</v>
          </cell>
          <cell r="D1091" t="str">
            <v>ELEC REV - SALES FOR RESALE-DEL &amp; ENG END USER-MU</v>
          </cell>
          <cell r="E1091" t="str">
            <v/>
          </cell>
          <cell r="F1091" t="str">
            <v/>
          </cell>
          <cell r="G1091" t="str">
            <v/>
          </cell>
          <cell r="H1091" t="str">
            <v/>
          </cell>
          <cell r="I1091" t="str">
            <v/>
          </cell>
          <cell r="J1091" t="str">
            <v/>
          </cell>
          <cell r="K1091" t="str">
            <v/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</row>
        <row r="1092">
          <cell r="B1092">
            <v>447240</v>
          </cell>
          <cell r="C1092" t="str">
            <v>NOT USED</v>
          </cell>
          <cell r="D1092" t="str">
            <v>ELEC MARKETER REV - SYSTEM BENEFITS CHARGE-RES</v>
          </cell>
          <cell r="E1092" t="str">
            <v/>
          </cell>
          <cell r="F1092" t="str">
            <v/>
          </cell>
          <cell r="G1092" t="str">
            <v/>
          </cell>
          <cell r="H1092" t="str">
            <v/>
          </cell>
          <cell r="I1092" t="str">
            <v/>
          </cell>
          <cell r="J1092" t="str">
            <v/>
          </cell>
          <cell r="K1092" t="str">
            <v/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</row>
        <row r="1093">
          <cell r="B1093">
            <v>447242</v>
          </cell>
          <cell r="C1093" t="str">
            <v>NOT USED</v>
          </cell>
          <cell r="D1093" t="str">
            <v>ELEC MARKETER REV -RETAIL ACCESS SURCHARGE-RES</v>
          </cell>
          <cell r="E1093" t="str">
            <v/>
          </cell>
          <cell r="F1093" t="str">
            <v/>
          </cell>
          <cell r="G1093" t="str">
            <v/>
          </cell>
          <cell r="H1093" t="str">
            <v/>
          </cell>
          <cell r="I1093" t="str">
            <v/>
          </cell>
          <cell r="J1093" t="str">
            <v/>
          </cell>
          <cell r="K1093" t="str">
            <v/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</row>
        <row r="1094">
          <cell r="B1094">
            <v>447243</v>
          </cell>
          <cell r="C1094" t="str">
            <v>NOT USED</v>
          </cell>
          <cell r="D1094" t="str">
            <v>ELEC MARKETER REV-SUPPLY RECONCILIATION-RESIDENTL</v>
          </cell>
          <cell r="E1094" t="str">
            <v/>
          </cell>
          <cell r="F1094" t="str">
            <v/>
          </cell>
          <cell r="G1094" t="str">
            <v/>
          </cell>
          <cell r="H1094" t="str">
            <v/>
          </cell>
          <cell r="I1094" t="str">
            <v/>
          </cell>
          <cell r="J1094" t="str">
            <v/>
          </cell>
          <cell r="K1094" t="str">
            <v/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</row>
        <row r="1095">
          <cell r="B1095">
            <v>447250</v>
          </cell>
          <cell r="C1095" t="str">
            <v>NOT USED</v>
          </cell>
          <cell r="D1095" t="str">
            <v>ELEC MARKETER REV - SYSTEM BENEFITS CHARGE-COM</v>
          </cell>
          <cell r="E1095" t="str">
            <v/>
          </cell>
          <cell r="F1095" t="str">
            <v/>
          </cell>
          <cell r="G1095" t="str">
            <v/>
          </cell>
          <cell r="H1095" t="str">
            <v/>
          </cell>
          <cell r="I1095" t="str">
            <v/>
          </cell>
          <cell r="J1095" t="str">
            <v/>
          </cell>
          <cell r="K1095" t="str">
            <v/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</row>
        <row r="1096">
          <cell r="B1096">
            <v>447252</v>
          </cell>
          <cell r="C1096" t="str">
            <v>NOT USED</v>
          </cell>
          <cell r="D1096" t="str">
            <v>ELEC MARKETER REV-RETAIL ACCESS SURCHARGE-COM</v>
          </cell>
          <cell r="E1096" t="str">
            <v/>
          </cell>
          <cell r="F1096" t="str">
            <v/>
          </cell>
          <cell r="G1096" t="str">
            <v/>
          </cell>
          <cell r="H1096" t="str">
            <v/>
          </cell>
          <cell r="I1096" t="str">
            <v/>
          </cell>
          <cell r="J1096" t="str">
            <v/>
          </cell>
          <cell r="K1096" t="str">
            <v/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</row>
        <row r="1097">
          <cell r="B1097">
            <v>447253</v>
          </cell>
          <cell r="C1097" t="str">
            <v>NOT USED</v>
          </cell>
          <cell r="D1097" t="str">
            <v>ELEC MARKETER REV-SUPPLY RECONCILIATION-COM</v>
          </cell>
          <cell r="E1097" t="str">
            <v/>
          </cell>
          <cell r="F1097" t="str">
            <v/>
          </cell>
          <cell r="G1097" t="str">
            <v/>
          </cell>
          <cell r="H1097" t="str">
            <v/>
          </cell>
          <cell r="I1097" t="str">
            <v/>
          </cell>
          <cell r="J1097" t="str">
            <v/>
          </cell>
          <cell r="K1097" t="str">
            <v/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</row>
        <row r="1098">
          <cell r="B1098">
            <v>447260</v>
          </cell>
          <cell r="C1098" t="str">
            <v>NOT USED</v>
          </cell>
          <cell r="D1098" t="str">
            <v>ELEC MARKETER REV - SYSTEM BENEFITS CHARGE-IND</v>
          </cell>
          <cell r="E1098" t="str">
            <v/>
          </cell>
          <cell r="F1098" t="str">
            <v/>
          </cell>
          <cell r="G1098" t="str">
            <v/>
          </cell>
          <cell r="H1098" t="str">
            <v/>
          </cell>
          <cell r="I1098" t="str">
            <v/>
          </cell>
          <cell r="J1098" t="str">
            <v/>
          </cell>
          <cell r="K1098" t="str">
            <v/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</row>
        <row r="1099">
          <cell r="B1099">
            <v>447262</v>
          </cell>
          <cell r="C1099" t="str">
            <v>NOT USED</v>
          </cell>
          <cell r="D1099" t="str">
            <v>ELEC MARKETER REV-RETAIL ACCESS SURCHARGE-IND</v>
          </cell>
          <cell r="E1099" t="str">
            <v/>
          </cell>
          <cell r="F1099" t="str">
            <v/>
          </cell>
          <cell r="G1099" t="str">
            <v/>
          </cell>
          <cell r="H1099" t="str">
            <v/>
          </cell>
          <cell r="I1099" t="str">
            <v/>
          </cell>
          <cell r="J1099" t="str">
            <v/>
          </cell>
          <cell r="K1099" t="str">
            <v/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</row>
        <row r="1100">
          <cell r="B1100">
            <v>447263</v>
          </cell>
          <cell r="C1100" t="str">
            <v>NOT USED</v>
          </cell>
          <cell r="D1100" t="str">
            <v>ELEC MARKETER REV-SUPPLY RECONCILIATION-INDUSTRL</v>
          </cell>
          <cell r="E1100" t="str">
            <v/>
          </cell>
          <cell r="F1100" t="str">
            <v/>
          </cell>
          <cell r="G1100" t="str">
            <v/>
          </cell>
          <cell r="H1100" t="str">
            <v/>
          </cell>
          <cell r="I1100" t="str">
            <v/>
          </cell>
          <cell r="J1100" t="str">
            <v/>
          </cell>
          <cell r="K1100" t="str">
            <v/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</row>
        <row r="1101">
          <cell r="B1101">
            <v>447270</v>
          </cell>
          <cell r="C1101" t="str">
            <v>NOT USED</v>
          </cell>
          <cell r="D1101" t="str">
            <v>ELEC MARKETER REV - SYSTEM BENEFITS CHARGE-MUN</v>
          </cell>
          <cell r="E1101" t="str">
            <v/>
          </cell>
          <cell r="F1101" t="str">
            <v/>
          </cell>
          <cell r="G1101" t="str">
            <v/>
          </cell>
          <cell r="H1101" t="str">
            <v/>
          </cell>
          <cell r="I1101" t="str">
            <v/>
          </cell>
          <cell r="J1101" t="str">
            <v/>
          </cell>
          <cell r="K1101" t="str">
            <v/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</row>
        <row r="1102">
          <cell r="B1102">
            <v>447271</v>
          </cell>
          <cell r="C1102" t="str">
            <v>NOT USED</v>
          </cell>
          <cell r="D1102" t="str">
            <v>ELEC MARKETER REV-RETAIL ACCESS SURCHARGE-MUNI</v>
          </cell>
          <cell r="E1102" t="str">
            <v/>
          </cell>
          <cell r="F1102" t="str">
            <v/>
          </cell>
          <cell r="G1102" t="str">
            <v/>
          </cell>
          <cell r="H1102" t="str">
            <v/>
          </cell>
          <cell r="I1102" t="str">
            <v/>
          </cell>
          <cell r="J1102" t="str">
            <v/>
          </cell>
          <cell r="K1102" t="str">
            <v/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</row>
        <row r="1103">
          <cell r="B1103">
            <v>447272</v>
          </cell>
          <cell r="C1103" t="str">
            <v>NOT USED</v>
          </cell>
          <cell r="D1103" t="str">
            <v>ELEC MARKETER REV-SUPPLY RECONCILIATION-MUNICIPAL</v>
          </cell>
          <cell r="E1103" t="str">
            <v/>
          </cell>
          <cell r="F1103" t="str">
            <v/>
          </cell>
          <cell r="G1103" t="str">
            <v/>
          </cell>
          <cell r="H1103" t="str">
            <v/>
          </cell>
          <cell r="I1103" t="str">
            <v/>
          </cell>
          <cell r="J1103" t="str">
            <v/>
          </cell>
          <cell r="K1103" t="str">
            <v/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</row>
        <row r="1104">
          <cell r="B1104">
            <v>447310</v>
          </cell>
          <cell r="C1104" t="str">
            <v>NOT USED</v>
          </cell>
          <cell r="D1104" t="str">
            <v>I/C REVENUE - RUSSELL</v>
          </cell>
          <cell r="E1104" t="str">
            <v/>
          </cell>
          <cell r="F1104" t="str">
            <v/>
          </cell>
          <cell r="G1104" t="str">
            <v/>
          </cell>
          <cell r="H1104" t="str">
            <v/>
          </cell>
          <cell r="I1104" t="str">
            <v/>
          </cell>
          <cell r="J1104" t="str">
            <v/>
          </cell>
          <cell r="K1104" t="str">
            <v/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</row>
        <row r="1105">
          <cell r="B1105">
            <v>447320</v>
          </cell>
          <cell r="C1105" t="str">
            <v>NOT USED</v>
          </cell>
          <cell r="D1105" t="str">
            <v>I/C REVENUE - ALLEGANY</v>
          </cell>
          <cell r="E1105" t="str">
            <v/>
          </cell>
          <cell r="F1105" t="str">
            <v/>
          </cell>
          <cell r="G1105" t="str">
            <v/>
          </cell>
          <cell r="H1105" t="str">
            <v/>
          </cell>
          <cell r="I1105" t="str">
            <v/>
          </cell>
          <cell r="J1105" t="str">
            <v/>
          </cell>
          <cell r="K1105" t="str">
            <v/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</row>
        <row r="1106">
          <cell r="B1106">
            <v>447350</v>
          </cell>
          <cell r="C1106" t="str">
            <v>NOT USED</v>
          </cell>
          <cell r="D1106" t="str">
            <v>I/C REVENUE - HYDRO</v>
          </cell>
          <cell r="E1106" t="str">
            <v/>
          </cell>
          <cell r="F1106" t="str">
            <v/>
          </cell>
          <cell r="G1106" t="str">
            <v/>
          </cell>
          <cell r="H1106" t="str">
            <v/>
          </cell>
          <cell r="I1106" t="str">
            <v/>
          </cell>
          <cell r="J1106" t="str">
            <v/>
          </cell>
          <cell r="K1106" t="str">
            <v/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</row>
        <row r="1107">
          <cell r="B1107">
            <v>447360</v>
          </cell>
          <cell r="C1107" t="str">
            <v>NOT USED</v>
          </cell>
          <cell r="D1107" t="str">
            <v>I/C REVENUE - GINNA</v>
          </cell>
          <cell r="E1107" t="str">
            <v/>
          </cell>
          <cell r="F1107" t="str">
            <v/>
          </cell>
          <cell r="G1107" t="str">
            <v/>
          </cell>
          <cell r="H1107" t="str">
            <v/>
          </cell>
          <cell r="I1107" t="str">
            <v/>
          </cell>
          <cell r="J1107" t="str">
            <v/>
          </cell>
          <cell r="K1107" t="str">
            <v/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</row>
        <row r="1108">
          <cell r="B1108">
            <v>447370</v>
          </cell>
          <cell r="C1108" t="str">
            <v>NOT USED</v>
          </cell>
          <cell r="D1108" t="str">
            <v>I/C PURCHASES FROM GENERATION</v>
          </cell>
          <cell r="E1108" t="str">
            <v/>
          </cell>
          <cell r="F1108" t="str">
            <v/>
          </cell>
          <cell r="G1108" t="str">
            <v/>
          </cell>
          <cell r="H1108" t="str">
            <v/>
          </cell>
          <cell r="I1108" t="str">
            <v/>
          </cell>
          <cell r="J1108" t="str">
            <v/>
          </cell>
          <cell r="K1108" t="str">
            <v/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</row>
        <row r="1109">
          <cell r="B1109">
            <v>447390</v>
          </cell>
          <cell r="C1109" t="str">
            <v>NOT USED</v>
          </cell>
          <cell r="D1109" t="str">
            <v>INSTALLED CAPACITY - RUSSELL</v>
          </cell>
          <cell r="E1109" t="str">
            <v/>
          </cell>
          <cell r="F1109" t="str">
            <v/>
          </cell>
          <cell r="G1109" t="str">
            <v/>
          </cell>
          <cell r="H1109" t="str">
            <v/>
          </cell>
          <cell r="I1109" t="str">
            <v/>
          </cell>
          <cell r="J1109" t="str">
            <v/>
          </cell>
          <cell r="K1109" t="str">
            <v/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</row>
        <row r="1110">
          <cell r="B1110">
            <v>447400</v>
          </cell>
          <cell r="C1110" t="str">
            <v>NOT USED</v>
          </cell>
          <cell r="D1110" t="str">
            <v>INSTALLED CAPACITY - ALLEGANY</v>
          </cell>
          <cell r="E1110" t="str">
            <v/>
          </cell>
          <cell r="F1110" t="str">
            <v/>
          </cell>
          <cell r="G1110" t="str">
            <v/>
          </cell>
          <cell r="H1110" t="str">
            <v/>
          </cell>
          <cell r="I1110" t="str">
            <v/>
          </cell>
          <cell r="J1110" t="str">
            <v/>
          </cell>
          <cell r="K1110" t="str">
            <v/>
          </cell>
          <cell r="L1110">
            <v>-1268.94</v>
          </cell>
          <cell r="M1110">
            <v>-23.907</v>
          </cell>
          <cell r="N1110">
            <v>-47.814</v>
          </cell>
          <cell r="O1110">
            <v>-71.721000000000004</v>
          </cell>
          <cell r="P1110">
            <v>-95.628</v>
          </cell>
          <cell r="Q1110">
            <v>-123.18300000000001</v>
          </cell>
          <cell r="R1110">
            <v>-150.738</v>
          </cell>
          <cell r="S1110">
            <v>-178.29300000000001</v>
          </cell>
          <cell r="T1110">
            <v>-205.84800000000001</v>
          </cell>
          <cell r="U1110">
            <v>-233.40299999999999</v>
          </cell>
          <cell r="V1110">
            <v>-260.95800000000003</v>
          </cell>
          <cell r="W1110">
            <v>-264.40800000000002</v>
          </cell>
          <cell r="X1110">
            <v>-267.858</v>
          </cell>
          <cell r="Y1110">
            <v>-202.02500000000001</v>
          </cell>
        </row>
        <row r="1111">
          <cell r="B1111">
            <v>447410</v>
          </cell>
          <cell r="C1111" t="str">
            <v>NOT USED</v>
          </cell>
          <cell r="D1111" t="str">
            <v>INSTALLED CAPACITY - BEEBEE T13</v>
          </cell>
          <cell r="E1111" t="str">
            <v/>
          </cell>
          <cell r="F1111" t="str">
            <v/>
          </cell>
          <cell r="G1111" t="str">
            <v/>
          </cell>
          <cell r="H1111" t="str">
            <v/>
          </cell>
          <cell r="I1111" t="str">
            <v/>
          </cell>
          <cell r="J1111" t="str">
            <v/>
          </cell>
          <cell r="K1111" t="str">
            <v/>
          </cell>
          <cell r="L1111">
            <v>-333.84800000000001</v>
          </cell>
          <cell r="M1111">
            <v>-7.02</v>
          </cell>
          <cell r="N1111">
            <v>-14.04</v>
          </cell>
          <cell r="O1111">
            <v>-21.06</v>
          </cell>
          <cell r="P1111">
            <v>-28.08</v>
          </cell>
          <cell r="Q1111">
            <v>-34.130000000000003</v>
          </cell>
          <cell r="R1111">
            <v>-40.18</v>
          </cell>
          <cell r="S1111">
            <v>-46.23</v>
          </cell>
          <cell r="T1111">
            <v>-52.28</v>
          </cell>
          <cell r="U1111">
            <v>-58.33</v>
          </cell>
          <cell r="V1111">
            <v>-64.38</v>
          </cell>
          <cell r="W1111">
            <v>-64.38</v>
          </cell>
          <cell r="X1111">
            <v>-64.38</v>
          </cell>
          <cell r="Y1111">
            <v>-52.435333</v>
          </cell>
        </row>
        <row r="1112">
          <cell r="B1112">
            <v>447420</v>
          </cell>
          <cell r="C1112" t="str">
            <v>NOT USED</v>
          </cell>
          <cell r="D1112" t="str">
            <v>INSTALLED CAPACITY - STATION 9</v>
          </cell>
          <cell r="E1112" t="str">
            <v/>
          </cell>
          <cell r="F1112" t="str">
            <v/>
          </cell>
          <cell r="G1112" t="str">
            <v/>
          </cell>
          <cell r="H1112" t="str">
            <v/>
          </cell>
          <cell r="I1112" t="str">
            <v/>
          </cell>
          <cell r="J1112" t="str">
            <v/>
          </cell>
          <cell r="K1112" t="str">
            <v/>
          </cell>
          <cell r="L1112">
            <v>-256.57600000000002</v>
          </cell>
          <cell r="M1112">
            <v>-7.3319999999999999</v>
          </cell>
          <cell r="N1112">
            <v>-14.664</v>
          </cell>
          <cell r="O1112">
            <v>-21.995999999999999</v>
          </cell>
          <cell r="P1112">
            <v>-29.327999999999999</v>
          </cell>
          <cell r="Q1112">
            <v>-36.533000000000001</v>
          </cell>
          <cell r="R1112">
            <v>-43.738</v>
          </cell>
          <cell r="S1112">
            <v>-50.942999999999998</v>
          </cell>
          <cell r="T1112">
            <v>-58.148000000000003</v>
          </cell>
          <cell r="U1112">
            <v>-65.352999999999994</v>
          </cell>
          <cell r="V1112">
            <v>-72.558000000000007</v>
          </cell>
          <cell r="W1112">
            <v>-74.957999999999998</v>
          </cell>
          <cell r="X1112">
            <v>-77.358000000000004</v>
          </cell>
          <cell r="Y1112">
            <v>-53.543166999999997</v>
          </cell>
        </row>
        <row r="1113">
          <cell r="B1113">
            <v>447430</v>
          </cell>
          <cell r="C1113" t="str">
            <v>NOT USED</v>
          </cell>
          <cell r="D1113" t="str">
            <v>INSTALLED CAPACITY - HYDRO</v>
          </cell>
          <cell r="E1113" t="str">
            <v/>
          </cell>
          <cell r="F1113" t="str">
            <v/>
          </cell>
          <cell r="G1113" t="str">
            <v/>
          </cell>
          <cell r="H1113" t="str">
            <v/>
          </cell>
          <cell r="I1113" t="str">
            <v/>
          </cell>
          <cell r="J1113" t="str">
            <v/>
          </cell>
          <cell r="K1113" t="str">
            <v/>
          </cell>
          <cell r="L1113">
            <v>-257.98399999999998</v>
          </cell>
          <cell r="M1113">
            <v>-6.3179999999999996</v>
          </cell>
          <cell r="N1113">
            <v>-12.635999999999999</v>
          </cell>
          <cell r="O1113">
            <v>-18.954000000000001</v>
          </cell>
          <cell r="P1113">
            <v>-25.271999999999998</v>
          </cell>
          <cell r="Q1113">
            <v>-28.021999999999998</v>
          </cell>
          <cell r="R1113">
            <v>-30.771999999999998</v>
          </cell>
          <cell r="S1113">
            <v>-33.521999999999998</v>
          </cell>
          <cell r="T1113">
            <v>-36.271999999999998</v>
          </cell>
          <cell r="U1113">
            <v>-39.021999999999998</v>
          </cell>
          <cell r="V1113">
            <v>-41.771999999999998</v>
          </cell>
          <cell r="W1113">
            <v>-43.226999999999997</v>
          </cell>
          <cell r="X1113">
            <v>-44.682000000000002</v>
          </cell>
          <cell r="Y1113">
            <v>-38.926833000000002</v>
          </cell>
        </row>
        <row r="1114">
          <cell r="B1114">
            <v>447440</v>
          </cell>
          <cell r="C1114" t="str">
            <v>NOT USED</v>
          </cell>
          <cell r="D1114" t="str">
            <v>INSTALLED CAPACITY - GINNA</v>
          </cell>
          <cell r="E1114" t="str">
            <v/>
          </cell>
          <cell r="F1114" t="str">
            <v/>
          </cell>
          <cell r="G1114" t="str">
            <v/>
          </cell>
          <cell r="H1114" t="str">
            <v/>
          </cell>
          <cell r="I1114" t="str">
            <v/>
          </cell>
          <cell r="J1114" t="str">
            <v/>
          </cell>
          <cell r="K1114" t="str">
            <v/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</row>
        <row r="1115">
          <cell r="B1115">
            <v>447460</v>
          </cell>
          <cell r="C1115" t="str">
            <v>NOT USED</v>
          </cell>
          <cell r="D1115" t="str">
            <v>INSTALLED CAPACITY PURCHASES FROM GEN</v>
          </cell>
          <cell r="E1115" t="str">
            <v/>
          </cell>
          <cell r="F1115" t="str">
            <v/>
          </cell>
          <cell r="G1115" t="str">
            <v/>
          </cell>
          <cell r="H1115" t="str">
            <v/>
          </cell>
          <cell r="I1115" t="str">
            <v/>
          </cell>
          <cell r="J1115" t="str">
            <v/>
          </cell>
          <cell r="K1115" t="str">
            <v/>
          </cell>
          <cell r="L1115">
            <v>2117.348</v>
          </cell>
          <cell r="M1115">
            <v>44.576999999999998</v>
          </cell>
          <cell r="N1115">
            <v>89.153999999999996</v>
          </cell>
          <cell r="O1115">
            <v>133.73099999999999</v>
          </cell>
          <cell r="P1115">
            <v>178.30799999999999</v>
          </cell>
          <cell r="Q1115">
            <v>221.86799999999999</v>
          </cell>
          <cell r="R1115">
            <v>265.428</v>
          </cell>
          <cell r="S1115">
            <v>308.988</v>
          </cell>
          <cell r="T1115">
            <v>352.548</v>
          </cell>
          <cell r="U1115">
            <v>396.108</v>
          </cell>
          <cell r="V1115">
            <v>439.66800000000001</v>
          </cell>
          <cell r="W1115">
            <v>446.97300000000001</v>
          </cell>
          <cell r="X1115">
            <v>454.27800000000002</v>
          </cell>
          <cell r="Y1115">
            <v>346.93033300000002</v>
          </cell>
        </row>
        <row r="1116">
          <cell r="B1116">
            <v>447500</v>
          </cell>
          <cell r="C1116" t="str">
            <v>NOT USED</v>
          </cell>
          <cell r="D1116" t="str">
            <v>ELEC REV - LSE-UNBILLED</v>
          </cell>
          <cell r="E1116" t="str">
            <v/>
          </cell>
          <cell r="F1116" t="str">
            <v/>
          </cell>
          <cell r="G1116" t="str">
            <v/>
          </cell>
          <cell r="H1116" t="str">
            <v/>
          </cell>
          <cell r="I1116" t="str">
            <v/>
          </cell>
          <cell r="J1116" t="str">
            <v/>
          </cell>
          <cell r="K1116" t="str">
            <v/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</row>
        <row r="1117">
          <cell r="B1117">
            <v>449100</v>
          </cell>
          <cell r="C1117" t="str">
            <v>NOT USED</v>
          </cell>
          <cell r="D1117" t="str">
            <v>ACCUM PROVISION FOR RATE REFUND</v>
          </cell>
          <cell r="E1117" t="str">
            <v/>
          </cell>
          <cell r="F1117" t="str">
            <v/>
          </cell>
          <cell r="G1117" t="str">
            <v/>
          </cell>
          <cell r="H1117" t="str">
            <v/>
          </cell>
          <cell r="I1117" t="str">
            <v/>
          </cell>
          <cell r="J1117" t="str">
            <v/>
          </cell>
          <cell r="K1117" t="str">
            <v/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</row>
        <row r="1118">
          <cell r="B1118">
            <v>450000</v>
          </cell>
          <cell r="C1118" t="str">
            <v>NOT USED</v>
          </cell>
          <cell r="D1118" t="str">
            <v>LATE PAYMENT REVENUE - ELECTRIC</v>
          </cell>
          <cell r="E1118" t="str">
            <v/>
          </cell>
          <cell r="F1118" t="str">
            <v/>
          </cell>
          <cell r="G1118" t="str">
            <v/>
          </cell>
          <cell r="H1118" t="str">
            <v/>
          </cell>
          <cell r="I1118" t="str">
            <v/>
          </cell>
          <cell r="J1118" t="str">
            <v/>
          </cell>
          <cell r="K1118" t="str">
            <v/>
          </cell>
          <cell r="L1118">
            <v>-1727.26604</v>
          </cell>
          <cell r="M1118">
            <v>-153.83142000000001</v>
          </cell>
          <cell r="N1118">
            <v>-284.24579</v>
          </cell>
          <cell r="O1118">
            <v>-387.52498000000003</v>
          </cell>
          <cell r="P1118">
            <v>-555.87291000000005</v>
          </cell>
          <cell r="Q1118">
            <v>-730.19113000000004</v>
          </cell>
          <cell r="R1118">
            <v>-818.63068999999996</v>
          </cell>
          <cell r="S1118">
            <v>-981.05732</v>
          </cell>
          <cell r="T1118">
            <v>-1158.64002</v>
          </cell>
          <cell r="U1118">
            <v>-1293.42968</v>
          </cell>
          <cell r="V1118">
            <v>-1469.6838600000001</v>
          </cell>
          <cell r="W1118">
            <v>-1629.9960000000001</v>
          </cell>
          <cell r="X1118">
            <v>-1730.3523600000001</v>
          </cell>
          <cell r="Y1118">
            <v>-932.65941699999996</v>
          </cell>
        </row>
        <row r="1119">
          <cell r="B1119">
            <v>451099</v>
          </cell>
          <cell r="C1119" t="str">
            <v>NOT USED</v>
          </cell>
          <cell r="D1119" t="str">
            <v>ELEC REVENUE - MISCELLANEOUS INTERCOMPANY</v>
          </cell>
          <cell r="E1119" t="str">
            <v/>
          </cell>
          <cell r="F1119" t="str">
            <v/>
          </cell>
          <cell r="G1119" t="str">
            <v/>
          </cell>
          <cell r="H1119" t="str">
            <v/>
          </cell>
          <cell r="I1119" t="str">
            <v/>
          </cell>
          <cell r="J1119" t="str">
            <v/>
          </cell>
          <cell r="K1119" t="str">
            <v/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</row>
        <row r="1120">
          <cell r="B1120">
            <v>451100</v>
          </cell>
          <cell r="C1120" t="str">
            <v>NOT USED</v>
          </cell>
          <cell r="D1120" t="str">
            <v>ELEC REVENUE - MISCELLANEOUS SERVICE</v>
          </cell>
          <cell r="E1120" t="str">
            <v/>
          </cell>
          <cell r="F1120" t="str">
            <v/>
          </cell>
          <cell r="G1120" t="str">
            <v/>
          </cell>
          <cell r="H1120" t="str">
            <v/>
          </cell>
          <cell r="I1120" t="str">
            <v/>
          </cell>
          <cell r="J1120" t="str">
            <v/>
          </cell>
          <cell r="K1120" t="str">
            <v/>
          </cell>
          <cell r="L1120">
            <v>-602.81849</v>
          </cell>
          <cell r="M1120">
            <v>-38.716299999999997</v>
          </cell>
          <cell r="N1120">
            <v>-52.075299999999999</v>
          </cell>
          <cell r="O1120">
            <v>-88.368049999999997</v>
          </cell>
          <cell r="P1120">
            <v>-127.34365</v>
          </cell>
          <cell r="Q1120">
            <v>-154.90065000000001</v>
          </cell>
          <cell r="R1120">
            <v>-169.89415</v>
          </cell>
          <cell r="S1120">
            <v>-198.50715</v>
          </cell>
          <cell r="T1120">
            <v>-240.27717000000001</v>
          </cell>
          <cell r="U1120">
            <v>-267.99817000000002</v>
          </cell>
          <cell r="V1120">
            <v>-321.02566999999999</v>
          </cell>
          <cell r="W1120">
            <v>-334.60176999999999</v>
          </cell>
          <cell r="X1120">
            <v>-352.64560999999998</v>
          </cell>
          <cell r="Y1120">
            <v>-205.95334</v>
          </cell>
        </row>
        <row r="1121">
          <cell r="B1121">
            <v>454000</v>
          </cell>
          <cell r="C1121" t="str">
            <v>NOT USED</v>
          </cell>
          <cell r="D1121" t="str">
            <v>RENT FROM ELECTRIC PROPERTY</v>
          </cell>
          <cell r="E1121" t="str">
            <v/>
          </cell>
          <cell r="F1121" t="str">
            <v/>
          </cell>
          <cell r="G1121" t="str">
            <v/>
          </cell>
          <cell r="H1121" t="str">
            <v/>
          </cell>
          <cell r="I1121" t="str">
            <v/>
          </cell>
          <cell r="J1121" t="str">
            <v/>
          </cell>
          <cell r="K1121" t="str">
            <v/>
          </cell>
          <cell r="L1121">
            <v>-1108.1373000000001</v>
          </cell>
          <cell r="M1121">
            <v>-391.19245999999998</v>
          </cell>
          <cell r="N1121">
            <v>-478.83237000000003</v>
          </cell>
          <cell r="O1121">
            <v>-552.30580999999995</v>
          </cell>
          <cell r="P1121">
            <v>-628.54696999999999</v>
          </cell>
          <cell r="Q1121">
            <v>-653.82935999999995</v>
          </cell>
          <cell r="R1121">
            <v>-739.61553000000004</v>
          </cell>
          <cell r="S1121">
            <v>-816.79151999999999</v>
          </cell>
          <cell r="T1121">
            <v>-872.34628999999995</v>
          </cell>
          <cell r="U1121">
            <v>-938.84568000000002</v>
          </cell>
          <cell r="V1121">
            <v>-1007.3931</v>
          </cell>
          <cell r="W1121">
            <v>-1078.7847999999999</v>
          </cell>
          <cell r="X1121">
            <v>-1151.2153599999999</v>
          </cell>
          <cell r="Y1121">
            <v>-774.01335200000005</v>
          </cell>
        </row>
        <row r="1122">
          <cell r="B1122">
            <v>454099</v>
          </cell>
          <cell r="C1122" t="str">
            <v>NOT USED</v>
          </cell>
          <cell r="D1122" t="str">
            <v>INTERCOMPANY RENT REVENUE</v>
          </cell>
          <cell r="E1122" t="str">
            <v/>
          </cell>
          <cell r="F1122" t="str">
            <v/>
          </cell>
          <cell r="G1122" t="str">
            <v/>
          </cell>
          <cell r="H1122" t="str">
            <v/>
          </cell>
          <cell r="I1122" t="str">
            <v/>
          </cell>
          <cell r="J1122" t="str">
            <v/>
          </cell>
          <cell r="K1122" t="str">
            <v/>
          </cell>
          <cell r="L1122">
            <v>-367.31196</v>
          </cell>
          <cell r="M1122">
            <v>-30.60933</v>
          </cell>
          <cell r="N1122">
            <v>-61.21866</v>
          </cell>
          <cell r="O1122">
            <v>-91.82799</v>
          </cell>
          <cell r="P1122">
            <v>-122.43732</v>
          </cell>
          <cell r="Q1122">
            <v>-153.04665</v>
          </cell>
          <cell r="R1122">
            <v>-183.65598</v>
          </cell>
          <cell r="S1122">
            <v>-214.26531</v>
          </cell>
          <cell r="T1122">
            <v>-244.87464</v>
          </cell>
          <cell r="U1122">
            <v>-275.48397</v>
          </cell>
          <cell r="V1122">
            <v>-306.0933</v>
          </cell>
          <cell r="W1122">
            <v>-336.70263</v>
          </cell>
          <cell r="X1122">
            <v>-367.31196</v>
          </cell>
          <cell r="Y1122">
            <v>-198.960645</v>
          </cell>
        </row>
        <row r="1123">
          <cell r="B1123">
            <v>454100</v>
          </cell>
          <cell r="C1123" t="str">
            <v>NOT USED</v>
          </cell>
          <cell r="D1123" t="str">
            <v>ELEC REV - RENT FROM PROP POLE ATTACH CATV</v>
          </cell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  <cell r="I1123" t="str">
            <v/>
          </cell>
          <cell r="J1123" t="str">
            <v/>
          </cell>
          <cell r="K1123" t="str">
            <v/>
          </cell>
          <cell r="L1123">
            <v>-241.46007</v>
          </cell>
          <cell r="M1123">
            <v>-13.53895</v>
          </cell>
          <cell r="N1123">
            <v>-27.0779</v>
          </cell>
          <cell r="O1123">
            <v>-40.616849999999999</v>
          </cell>
          <cell r="P1123">
            <v>-54.155799999999999</v>
          </cell>
          <cell r="Q1123">
            <v>-171.61046999999999</v>
          </cell>
          <cell r="R1123">
            <v>-185.14941999999999</v>
          </cell>
          <cell r="S1123">
            <v>-241.50378000000001</v>
          </cell>
          <cell r="T1123">
            <v>-275.25754999999998</v>
          </cell>
          <cell r="U1123">
            <v>-321.91939000000002</v>
          </cell>
          <cell r="V1123">
            <v>-360.37745000000001</v>
          </cell>
          <cell r="W1123">
            <v>-392.36748999999998</v>
          </cell>
          <cell r="X1123">
            <v>-425.13215000000002</v>
          </cell>
          <cell r="Y1123">
            <v>-201.40593000000001</v>
          </cell>
        </row>
        <row r="1124">
          <cell r="B1124">
            <v>454110</v>
          </cell>
          <cell r="C1124" t="str">
            <v>NOT USED</v>
          </cell>
          <cell r="D1124" t="str">
            <v>ELEC REV - RENT FR PROP POLE ATTCH OTH THAN CATV</v>
          </cell>
          <cell r="E1124" t="str">
            <v/>
          </cell>
          <cell r="F1124" t="str">
            <v/>
          </cell>
          <cell r="G1124" t="str">
            <v/>
          </cell>
          <cell r="H1124" t="str">
            <v/>
          </cell>
          <cell r="I1124" t="str">
            <v/>
          </cell>
          <cell r="J1124" t="str">
            <v/>
          </cell>
          <cell r="K1124" t="str">
            <v/>
          </cell>
          <cell r="L1124">
            <v>-194.01279</v>
          </cell>
          <cell r="M1124">
            <v>-219.28111999999999</v>
          </cell>
          <cell r="N1124">
            <v>-234.07346999999999</v>
          </cell>
          <cell r="O1124">
            <v>-302.31553000000002</v>
          </cell>
          <cell r="P1124">
            <v>-310.23928999999998</v>
          </cell>
          <cell r="Q1124">
            <v>-318.16005999999999</v>
          </cell>
          <cell r="R1124">
            <v>-337.31164000000001</v>
          </cell>
          <cell r="S1124">
            <v>-345.57684</v>
          </cell>
          <cell r="T1124">
            <v>-354.14254</v>
          </cell>
          <cell r="U1124">
            <v>-361.96847000000002</v>
          </cell>
          <cell r="V1124">
            <v>-370.15379999999999</v>
          </cell>
          <cell r="W1124">
            <v>-378.34312</v>
          </cell>
          <cell r="X1124">
            <v>-386.53143999999998</v>
          </cell>
          <cell r="Y1124">
            <v>-318.48649999999998</v>
          </cell>
        </row>
        <row r="1125">
          <cell r="B1125">
            <v>456030</v>
          </cell>
          <cell r="C1125" t="str">
            <v>NOT USED</v>
          </cell>
          <cell r="D1125" t="str">
            <v>0000456030 ELEC REV - OTH-A/R PURCHASE DISCOUNT- ELECTRIC</v>
          </cell>
          <cell r="E1125" t="str">
            <v/>
          </cell>
          <cell r="F1125" t="str">
            <v/>
          </cell>
          <cell r="G1125" t="str">
            <v/>
          </cell>
          <cell r="H1125" t="str">
            <v/>
          </cell>
          <cell r="I1125" t="str">
            <v/>
          </cell>
          <cell r="J1125" t="str">
            <v/>
          </cell>
          <cell r="K1125" t="str">
            <v/>
          </cell>
          <cell r="L1125">
            <v>-547.99172999999996</v>
          </cell>
          <cell r="M1125">
            <v>-175.37903</v>
          </cell>
          <cell r="N1125">
            <v>-321.12526000000003</v>
          </cell>
          <cell r="O1125">
            <v>-478.70285999999999</v>
          </cell>
          <cell r="P1125">
            <v>-606.93601000000001</v>
          </cell>
          <cell r="Q1125">
            <v>-741.42030999999997</v>
          </cell>
          <cell r="R1125">
            <v>-889.57009000000005</v>
          </cell>
          <cell r="S1125">
            <v>-1050.45813</v>
          </cell>
          <cell r="T1125">
            <v>-1239.0994700000001</v>
          </cell>
          <cell r="U1125">
            <v>-1470.5714</v>
          </cell>
          <cell r="V1125">
            <v>-1665.3192899999999</v>
          </cell>
          <cell r="W1125">
            <v>-1842.0424399999999</v>
          </cell>
          <cell r="X1125">
            <v>-2044.10842</v>
          </cell>
          <cell r="Y1125">
            <v>-981.38953000000004</v>
          </cell>
        </row>
        <row r="1126">
          <cell r="B1126">
            <v>456080</v>
          </cell>
          <cell r="C1126" t="str">
            <v>NOT USED</v>
          </cell>
          <cell r="D1126" t="str">
            <v>E REV - AMORT OF DEFERRED ELEC REV DELIVERY</v>
          </cell>
          <cell r="E1126" t="str">
            <v/>
          </cell>
          <cell r="F1126" t="str">
            <v/>
          </cell>
          <cell r="G1126" t="str">
            <v/>
          </cell>
          <cell r="H1126" t="str">
            <v/>
          </cell>
          <cell r="I1126" t="str">
            <v/>
          </cell>
          <cell r="J1126" t="str">
            <v/>
          </cell>
          <cell r="K1126" t="str">
            <v/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</row>
        <row r="1127">
          <cell r="B1127">
            <v>456099</v>
          </cell>
          <cell r="C1127" t="str">
            <v>NOT USED</v>
          </cell>
          <cell r="D1127" t="str">
            <v>INTERCOMPANY A/R PURCHASE DISCOUNT - ELECTRIC</v>
          </cell>
          <cell r="E1127" t="str">
            <v/>
          </cell>
          <cell r="F1127" t="str">
            <v/>
          </cell>
          <cell r="G1127" t="str">
            <v/>
          </cell>
          <cell r="H1127" t="str">
            <v/>
          </cell>
          <cell r="I1127" t="str">
            <v/>
          </cell>
          <cell r="J1127" t="str">
            <v/>
          </cell>
          <cell r="K1127" t="str">
            <v/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</row>
        <row r="1128">
          <cell r="B1128">
            <v>456150</v>
          </cell>
          <cell r="C1128" t="str">
            <v>NOT USED</v>
          </cell>
          <cell r="D1128" t="str">
            <v>A/R PURCHASE DISCOUNT - ELECTRIC</v>
          </cell>
          <cell r="E1128" t="str">
            <v/>
          </cell>
          <cell r="F1128" t="str">
            <v/>
          </cell>
          <cell r="G1128" t="str">
            <v/>
          </cell>
          <cell r="H1128" t="str">
            <v/>
          </cell>
          <cell r="I1128" t="str">
            <v/>
          </cell>
          <cell r="J1128" t="str">
            <v/>
          </cell>
          <cell r="K1128" t="str">
            <v/>
          </cell>
          <cell r="L1128">
            <v>-441.30653000000001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-18.387771999999998</v>
          </cell>
        </row>
        <row r="1129">
          <cell r="B1129">
            <v>456180</v>
          </cell>
          <cell r="C1129" t="str">
            <v>NOT USED</v>
          </cell>
          <cell r="D1129" t="str">
            <v>ELEC REV-TRANS-PFJ TRANS WHEELING</v>
          </cell>
          <cell r="E1129" t="str">
            <v/>
          </cell>
          <cell r="F1129" t="str">
            <v/>
          </cell>
          <cell r="G1129" t="str">
            <v/>
          </cell>
          <cell r="H1129" t="str">
            <v/>
          </cell>
          <cell r="I1129" t="str">
            <v/>
          </cell>
          <cell r="J1129" t="str">
            <v/>
          </cell>
          <cell r="K1129" t="str">
            <v/>
          </cell>
          <cell r="L1129">
            <v>-24.075220000000002</v>
          </cell>
          <cell r="M1129">
            <v>-1.8519399999999999</v>
          </cell>
          <cell r="N1129">
            <v>-3.7038799999999998</v>
          </cell>
          <cell r="O1129">
            <v>-5.5558199999999998</v>
          </cell>
          <cell r="P1129">
            <v>-7.4077599999999997</v>
          </cell>
          <cell r="Q1129">
            <v>-9.2597000000000005</v>
          </cell>
          <cell r="R1129">
            <v>-11.11164</v>
          </cell>
          <cell r="S1129">
            <v>-12.96358</v>
          </cell>
          <cell r="T1129">
            <v>-14.815519999999999</v>
          </cell>
          <cell r="U1129">
            <v>-16.667459999999998</v>
          </cell>
          <cell r="V1129">
            <v>-18.519400000000001</v>
          </cell>
          <cell r="W1129">
            <v>-20.37134</v>
          </cell>
          <cell r="X1129">
            <v>-22.223279999999999</v>
          </cell>
          <cell r="Y1129">
            <v>-12.114774000000001</v>
          </cell>
        </row>
        <row r="1130">
          <cell r="B1130">
            <v>456181</v>
          </cell>
          <cell r="C1130" t="str">
            <v>NOT USED</v>
          </cell>
          <cell r="D1130" t="str">
            <v>ELEC REV-TRANS-PFJ-ANCILLARY SERVICES</v>
          </cell>
          <cell r="E1130" t="str">
            <v/>
          </cell>
          <cell r="F1130" t="str">
            <v/>
          </cell>
          <cell r="G1130" t="str">
            <v/>
          </cell>
          <cell r="H1130" t="str">
            <v/>
          </cell>
          <cell r="I1130" t="str">
            <v/>
          </cell>
          <cell r="J1130" t="str">
            <v/>
          </cell>
          <cell r="K1130" t="str">
            <v/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</row>
        <row r="1131">
          <cell r="B1131">
            <v>456200</v>
          </cell>
          <cell r="C1131" t="str">
            <v>NOT USED</v>
          </cell>
          <cell r="D1131" t="str">
            <v>ELEC REV - MISCELLANEOUS</v>
          </cell>
          <cell r="E1131" t="str">
            <v/>
          </cell>
          <cell r="F1131" t="str">
            <v/>
          </cell>
          <cell r="G1131" t="str">
            <v/>
          </cell>
          <cell r="H1131" t="str">
            <v/>
          </cell>
          <cell r="I1131" t="str">
            <v/>
          </cell>
          <cell r="J1131" t="str">
            <v/>
          </cell>
          <cell r="K1131" t="str">
            <v/>
          </cell>
          <cell r="L1131">
            <v>16429.265220000001</v>
          </cell>
          <cell r="M1131">
            <v>234.32046</v>
          </cell>
          <cell r="N1131">
            <v>1540.7981</v>
          </cell>
          <cell r="O1131">
            <v>1589.16551</v>
          </cell>
          <cell r="P1131">
            <v>2312.0197699999999</v>
          </cell>
          <cell r="Q1131">
            <v>2426.07395</v>
          </cell>
          <cell r="R1131">
            <v>2519.0034999999998</v>
          </cell>
          <cell r="S1131">
            <v>2544.3690200000001</v>
          </cell>
          <cell r="T1131">
            <v>2662.24658</v>
          </cell>
          <cell r="U1131">
            <v>2749.1934700000002</v>
          </cell>
          <cell r="V1131">
            <v>2825.04027</v>
          </cell>
          <cell r="W1131">
            <v>1647.10508</v>
          </cell>
          <cell r="X1131">
            <v>1718.4121500000001</v>
          </cell>
          <cell r="Y1131">
            <v>2676.9312</v>
          </cell>
        </row>
        <row r="1132">
          <cell r="B1132">
            <v>456203</v>
          </cell>
          <cell r="C1132" t="str">
            <v>NOT USED</v>
          </cell>
          <cell r="D1132" t="str">
            <v>OTHER ELECTRIC REVENUE - REG AMORT DEL</v>
          </cell>
          <cell r="E1132" t="str">
            <v/>
          </cell>
          <cell r="F1132" t="str">
            <v/>
          </cell>
          <cell r="G1132" t="str">
            <v/>
          </cell>
          <cell r="H1132" t="str">
            <v/>
          </cell>
          <cell r="I1132" t="str">
            <v/>
          </cell>
          <cell r="J1132" t="str">
            <v/>
          </cell>
          <cell r="K1132" t="str">
            <v/>
          </cell>
          <cell r="U1132">
            <v>-16.421299999999999</v>
          </cell>
          <cell r="V1132">
            <v>5926.4039000000002</v>
          </cell>
          <cell r="W1132">
            <v>-6184.0679200000004</v>
          </cell>
          <cell r="X1132">
            <v>-6964.26127</v>
          </cell>
          <cell r="Y1132">
            <v>-313.01799599999998</v>
          </cell>
        </row>
        <row r="1133">
          <cell r="B1133">
            <v>456204</v>
          </cell>
          <cell r="C1133" t="str">
            <v>NOT USED</v>
          </cell>
          <cell r="D1133" t="str">
            <v>OTHER ELECTRIC REVENUE - REGULATORY DEFERRAL</v>
          </cell>
          <cell r="E1133" t="str">
            <v/>
          </cell>
          <cell r="F1133" t="str">
            <v/>
          </cell>
          <cell r="G1133" t="str">
            <v/>
          </cell>
          <cell r="H1133" t="str">
            <v/>
          </cell>
          <cell r="I1133" t="str">
            <v/>
          </cell>
          <cell r="J1133" t="str">
            <v/>
          </cell>
          <cell r="K1133" t="str">
            <v/>
          </cell>
          <cell r="L1133">
            <v>-1860.1314600000001</v>
          </cell>
          <cell r="M1133">
            <v>1787.8984399999999</v>
          </cell>
          <cell r="N1133">
            <v>2277.2463200000002</v>
          </cell>
          <cell r="O1133">
            <v>3240.7591200000002</v>
          </cell>
          <cell r="P1133">
            <v>5188.6735699999999</v>
          </cell>
          <cell r="Q1133">
            <v>5324.7128300000004</v>
          </cell>
          <cell r="R1133">
            <v>6357.3999599999997</v>
          </cell>
          <cell r="S1133">
            <v>7992.63663</v>
          </cell>
          <cell r="T1133">
            <v>9126.7275599999994</v>
          </cell>
          <cell r="U1133">
            <v>9423.1162999999997</v>
          </cell>
          <cell r="V1133">
            <v>1239.26151</v>
          </cell>
          <cell r="W1133">
            <v>12625.25131</v>
          </cell>
          <cell r="X1133">
            <v>10397.35908</v>
          </cell>
          <cell r="Y1133">
            <v>5737.6914470000002</v>
          </cell>
        </row>
        <row r="1134">
          <cell r="B1134">
            <v>456205</v>
          </cell>
          <cell r="C1134" t="str">
            <v>NOT USED</v>
          </cell>
          <cell r="D1134" t="str">
            <v>EARNINGS SHARING ELECTRIC COMMODITY</v>
          </cell>
          <cell r="E1134" t="str">
            <v/>
          </cell>
          <cell r="F1134" t="str">
            <v/>
          </cell>
          <cell r="G1134" t="str">
            <v/>
          </cell>
          <cell r="H1134" t="str">
            <v/>
          </cell>
          <cell r="I1134" t="str">
            <v/>
          </cell>
          <cell r="J1134" t="str">
            <v/>
          </cell>
          <cell r="K1134" t="str">
            <v/>
          </cell>
          <cell r="L1134">
            <v>181.79443000000001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7.5747679999999997</v>
          </cell>
        </row>
        <row r="1135">
          <cell r="B1135">
            <v>456206</v>
          </cell>
          <cell r="C1135" t="str">
            <v>NOT USED</v>
          </cell>
          <cell r="D1135" t="str">
            <v>EARNINGS SHARING ELECTRIC DELIVERY</v>
          </cell>
          <cell r="E1135" t="str">
            <v/>
          </cell>
          <cell r="F1135" t="str">
            <v/>
          </cell>
          <cell r="G1135" t="str">
            <v/>
          </cell>
          <cell r="H1135" t="str">
            <v/>
          </cell>
          <cell r="I1135" t="str">
            <v/>
          </cell>
          <cell r="J1135" t="str">
            <v/>
          </cell>
          <cell r="K1135" t="str">
            <v/>
          </cell>
          <cell r="O1135">
            <v>2650</v>
          </cell>
          <cell r="P1135">
            <v>2650</v>
          </cell>
          <cell r="Q1135">
            <v>2650</v>
          </cell>
          <cell r="R1135">
            <v>2650</v>
          </cell>
          <cell r="S1135">
            <v>3620</v>
          </cell>
          <cell r="T1135">
            <v>3620</v>
          </cell>
          <cell r="U1135">
            <v>3620</v>
          </cell>
          <cell r="V1135">
            <v>7620</v>
          </cell>
          <cell r="W1135">
            <v>7620</v>
          </cell>
          <cell r="X1135">
            <v>8241</v>
          </cell>
          <cell r="Y1135">
            <v>3401.708333</v>
          </cell>
        </row>
        <row r="1136">
          <cell r="B1136">
            <v>456215</v>
          </cell>
          <cell r="C1136" t="str">
            <v>NOT USED</v>
          </cell>
          <cell r="D1136" t="str">
            <v>ELEC REV - SD WMS BILLINGS</v>
          </cell>
          <cell r="E1136" t="str">
            <v/>
          </cell>
          <cell r="F1136" t="str">
            <v/>
          </cell>
          <cell r="G1136" t="str">
            <v/>
          </cell>
          <cell r="H1136" t="str">
            <v/>
          </cell>
          <cell r="I1136" t="str">
            <v/>
          </cell>
          <cell r="J1136" t="str">
            <v/>
          </cell>
          <cell r="K1136" t="str">
            <v/>
          </cell>
          <cell r="L1136">
            <v>-1287.2473500000001</v>
          </cell>
          <cell r="M1136">
            <v>-93.286910000000006</v>
          </cell>
          <cell r="N1136">
            <v>-539.44156999999996</v>
          </cell>
          <cell r="O1136">
            <v>-677.63284999999996</v>
          </cell>
          <cell r="P1136">
            <v>-878.73200999999995</v>
          </cell>
          <cell r="Q1136">
            <v>-1138.72974</v>
          </cell>
          <cell r="R1136">
            <v>-1262.0763099999999</v>
          </cell>
          <cell r="S1136">
            <v>-1349.4844000000001</v>
          </cell>
          <cell r="T1136">
            <v>-1434.9563000000001</v>
          </cell>
          <cell r="U1136">
            <v>-1550.0997</v>
          </cell>
          <cell r="V1136">
            <v>-1591.44156</v>
          </cell>
          <cell r="W1136">
            <v>-1695.54656</v>
          </cell>
          <cell r="X1136">
            <v>-1836.8019899999999</v>
          </cell>
          <cell r="Y1136">
            <v>-1147.7877149999999</v>
          </cell>
        </row>
        <row r="1137">
          <cell r="B1137">
            <v>456230</v>
          </cell>
          <cell r="C1137" t="str">
            <v>NOT USED</v>
          </cell>
          <cell r="D1137" t="str">
            <v>ELEC REV - MISC- POWER FOR JOBS</v>
          </cell>
          <cell r="E1137" t="str">
            <v/>
          </cell>
          <cell r="F1137" t="str">
            <v/>
          </cell>
          <cell r="G1137" t="str">
            <v/>
          </cell>
          <cell r="H1137" t="str">
            <v/>
          </cell>
          <cell r="I1137" t="str">
            <v/>
          </cell>
          <cell r="J1137" t="str">
            <v/>
          </cell>
          <cell r="K1137" t="str">
            <v/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</row>
        <row r="1138">
          <cell r="B1138">
            <v>456240</v>
          </cell>
          <cell r="C1138" t="str">
            <v>NOT USED</v>
          </cell>
          <cell r="D1138" t="str">
            <v>ELEC REV - GINNA OFFSET COMMODITY</v>
          </cell>
          <cell r="E1138" t="str">
            <v/>
          </cell>
          <cell r="F1138" t="str">
            <v/>
          </cell>
          <cell r="G1138" t="str">
            <v/>
          </cell>
          <cell r="H1138" t="str">
            <v/>
          </cell>
          <cell r="I1138" t="str">
            <v/>
          </cell>
          <cell r="J1138" t="str">
            <v/>
          </cell>
          <cell r="K1138" t="str">
            <v/>
          </cell>
          <cell r="L1138">
            <v>-113282.81409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-4720.1172539999998</v>
          </cell>
        </row>
        <row r="1139">
          <cell r="B1139">
            <v>456241</v>
          </cell>
          <cell r="C1139" t="str">
            <v>NOT USED</v>
          </cell>
          <cell r="D1139" t="str">
            <v>ELEC REV - GINNA OFFSET DELIVERY</v>
          </cell>
          <cell r="E1139" t="str">
            <v/>
          </cell>
          <cell r="F1139" t="str">
            <v/>
          </cell>
          <cell r="G1139" t="str">
            <v/>
          </cell>
          <cell r="H1139" t="str">
            <v/>
          </cell>
          <cell r="I1139" t="str">
            <v/>
          </cell>
          <cell r="J1139" t="str">
            <v/>
          </cell>
          <cell r="K1139" t="str">
            <v/>
          </cell>
          <cell r="L1139">
            <v>113282.81409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4720.1172539999998</v>
          </cell>
        </row>
        <row r="1140">
          <cell r="B1140">
            <v>456242</v>
          </cell>
          <cell r="C1140" t="str">
            <v>NOT USED</v>
          </cell>
          <cell r="D1140" t="str">
            <v>ELEC REV - FIXED COSTS COMMODITY</v>
          </cell>
          <cell r="E1140" t="str">
            <v/>
          </cell>
          <cell r="F1140" t="str">
            <v/>
          </cell>
          <cell r="G1140" t="str">
            <v/>
          </cell>
          <cell r="H1140" t="str">
            <v/>
          </cell>
          <cell r="I1140" t="str">
            <v/>
          </cell>
          <cell r="J1140" t="str">
            <v/>
          </cell>
          <cell r="K1140" t="str">
            <v/>
          </cell>
          <cell r="L1140">
            <v>177077.26058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7378.2191910000001</v>
          </cell>
        </row>
        <row r="1141">
          <cell r="B1141">
            <v>456243</v>
          </cell>
          <cell r="C1141" t="str">
            <v>NOT USED</v>
          </cell>
          <cell r="D1141" t="str">
            <v>ELEC REV - FIXED COSTS DELIVERY</v>
          </cell>
          <cell r="E1141" t="str">
            <v/>
          </cell>
          <cell r="F1141" t="str">
            <v/>
          </cell>
          <cell r="G1141" t="str">
            <v/>
          </cell>
          <cell r="H1141" t="str">
            <v/>
          </cell>
          <cell r="I1141" t="str">
            <v/>
          </cell>
          <cell r="J1141" t="str">
            <v/>
          </cell>
          <cell r="K1141" t="str">
            <v/>
          </cell>
          <cell r="L1141">
            <v>-177077.26058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-7378.2191910000001</v>
          </cell>
        </row>
        <row r="1142">
          <cell r="B1142">
            <v>456244</v>
          </cell>
          <cell r="C1142" t="str">
            <v>NOT USED</v>
          </cell>
          <cell r="D1142" t="str">
            <v>ELEC REV - UNCOLLECTIBLES COMMODITY</v>
          </cell>
          <cell r="E1142" t="str">
            <v/>
          </cell>
          <cell r="F1142" t="str">
            <v/>
          </cell>
          <cell r="G1142" t="str">
            <v/>
          </cell>
          <cell r="H1142" t="str">
            <v/>
          </cell>
          <cell r="I1142" t="str">
            <v/>
          </cell>
          <cell r="J1142" t="str">
            <v/>
          </cell>
          <cell r="K1142" t="str">
            <v/>
          </cell>
          <cell r="L1142">
            <v>2146.3256000000001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89.430233000000001</v>
          </cell>
        </row>
        <row r="1143">
          <cell r="B1143">
            <v>456245</v>
          </cell>
          <cell r="C1143" t="str">
            <v>NOT USED</v>
          </cell>
          <cell r="D1143" t="str">
            <v>ELEC REV - UNCOLLECTIBLES DELIVERY</v>
          </cell>
          <cell r="E1143" t="str">
            <v/>
          </cell>
          <cell r="F1143" t="str">
            <v/>
          </cell>
          <cell r="G1143" t="str">
            <v/>
          </cell>
          <cell r="H1143" t="str">
            <v/>
          </cell>
          <cell r="I1143" t="str">
            <v/>
          </cell>
          <cell r="J1143" t="str">
            <v/>
          </cell>
          <cell r="K1143" t="str">
            <v/>
          </cell>
          <cell r="L1143">
            <v>-2146.3256000000001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-89.430233000000001</v>
          </cell>
        </row>
        <row r="1144">
          <cell r="B1144">
            <v>456246</v>
          </cell>
          <cell r="C1144" t="str">
            <v>NOT USED</v>
          </cell>
          <cell r="D1144" t="str">
            <v>ELEC REV - COMMODITY ASGA DRAW TO OFFSET PPA</v>
          </cell>
          <cell r="E1144" t="str">
            <v/>
          </cell>
          <cell r="F1144" t="str">
            <v/>
          </cell>
          <cell r="G1144" t="str">
            <v/>
          </cell>
          <cell r="H1144" t="str">
            <v/>
          </cell>
          <cell r="I1144" t="str">
            <v/>
          </cell>
          <cell r="J1144" t="str">
            <v/>
          </cell>
          <cell r="K1144" t="str">
            <v/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</row>
        <row r="1145">
          <cell r="B1145">
            <v>456299</v>
          </cell>
          <cell r="C1145" t="str">
            <v>NOT USED</v>
          </cell>
          <cell r="D1145" t="str">
            <v>INTERCOMPANY ELECTRIC REVENUE</v>
          </cell>
          <cell r="E1145" t="str">
            <v/>
          </cell>
          <cell r="F1145" t="str">
            <v/>
          </cell>
          <cell r="G1145" t="str">
            <v/>
          </cell>
          <cell r="H1145" t="str">
            <v/>
          </cell>
          <cell r="I1145" t="str">
            <v/>
          </cell>
          <cell r="J1145" t="str">
            <v/>
          </cell>
          <cell r="K1145" t="str">
            <v/>
          </cell>
          <cell r="L1145">
            <v>-343.02926000000002</v>
          </cell>
          <cell r="M1145">
            <v>-28.877120000000001</v>
          </cell>
          <cell r="N1145">
            <v>-57.754240000000003</v>
          </cell>
          <cell r="O1145">
            <v>-82.172160000000005</v>
          </cell>
          <cell r="P1145">
            <v>-119.27652999999999</v>
          </cell>
          <cell r="Q1145">
            <v>-195.22119000000001</v>
          </cell>
          <cell r="R1145">
            <v>-143.87358</v>
          </cell>
          <cell r="S1145">
            <v>-168.22014999999999</v>
          </cell>
          <cell r="T1145">
            <v>-192.98947999999999</v>
          </cell>
          <cell r="U1145">
            <v>-212.35308000000001</v>
          </cell>
          <cell r="V1145">
            <v>-236.49486999999999</v>
          </cell>
          <cell r="W1145">
            <v>-260.70371999999998</v>
          </cell>
          <cell r="X1145">
            <v>-284.02501999999998</v>
          </cell>
          <cell r="Y1145">
            <v>-167.621938</v>
          </cell>
        </row>
        <row r="1146">
          <cell r="B1146">
            <v>456425</v>
          </cell>
          <cell r="C1146" t="str">
            <v>NOT USED</v>
          </cell>
          <cell r="D1146" t="str">
            <v>ELEC REV-BILLING &amp; COLLECTION</v>
          </cell>
          <cell r="E1146" t="str">
            <v/>
          </cell>
          <cell r="F1146" t="str">
            <v/>
          </cell>
          <cell r="G1146" t="str">
            <v/>
          </cell>
          <cell r="H1146" t="str">
            <v/>
          </cell>
          <cell r="I1146" t="str">
            <v/>
          </cell>
          <cell r="J1146" t="str">
            <v/>
          </cell>
          <cell r="K1146" t="str">
            <v/>
          </cell>
          <cell r="L1146">
            <v>-498.28061000000002</v>
          </cell>
          <cell r="M1146">
            <v>-178.91093000000001</v>
          </cell>
          <cell r="N1146">
            <v>-357.14303000000001</v>
          </cell>
          <cell r="O1146">
            <v>-533.62044000000003</v>
          </cell>
          <cell r="P1146">
            <v>-709.98222999999996</v>
          </cell>
          <cell r="Q1146">
            <v>-885.01251999999999</v>
          </cell>
          <cell r="R1146">
            <v>-1060.66677</v>
          </cell>
          <cell r="S1146">
            <v>-1236.3605600000001</v>
          </cell>
          <cell r="T1146">
            <v>-1412.1948400000001</v>
          </cell>
          <cell r="U1146">
            <v>-1589.1496299999999</v>
          </cell>
          <cell r="V1146">
            <v>-1767.02414</v>
          </cell>
          <cell r="W1146">
            <v>-1939.8718899999999</v>
          </cell>
          <cell r="X1146">
            <v>-2113.6346699999999</v>
          </cell>
          <cell r="Y1146">
            <v>-1081.324552</v>
          </cell>
        </row>
        <row r="1147">
          <cell r="B1147">
            <v>456426</v>
          </cell>
          <cell r="C1147" t="str">
            <v>NOT USED</v>
          </cell>
          <cell r="D1147" t="str">
            <v>ELEC REV-ESCO FOR BILLING CHARGE</v>
          </cell>
          <cell r="E1147" t="str">
            <v/>
          </cell>
          <cell r="F1147" t="str">
            <v/>
          </cell>
          <cell r="G1147" t="str">
            <v/>
          </cell>
          <cell r="H1147" t="str">
            <v/>
          </cell>
          <cell r="I1147" t="str">
            <v/>
          </cell>
          <cell r="J1147" t="str">
            <v/>
          </cell>
          <cell r="K1147" t="str">
            <v/>
          </cell>
          <cell r="L1147">
            <v>-163.26861</v>
          </cell>
          <cell r="M1147">
            <v>-69.546149999999997</v>
          </cell>
          <cell r="N1147">
            <v>-133.28900999999999</v>
          </cell>
          <cell r="O1147">
            <v>-196.11398</v>
          </cell>
          <cell r="P1147">
            <v>-254.75178</v>
          </cell>
          <cell r="Q1147">
            <v>-310.01722999999998</v>
          </cell>
          <cell r="R1147">
            <v>-375.08492999999999</v>
          </cell>
          <cell r="S1147">
            <v>-447.83683000000002</v>
          </cell>
          <cell r="T1147">
            <v>-521.01674000000003</v>
          </cell>
          <cell r="U1147">
            <v>-556.21932000000004</v>
          </cell>
          <cell r="V1147">
            <v>-555.60001999999997</v>
          </cell>
          <cell r="W1147">
            <v>-555.66263000000004</v>
          </cell>
          <cell r="X1147">
            <v>-555.45874000000003</v>
          </cell>
          <cell r="Y1147">
            <v>-361.20852500000001</v>
          </cell>
        </row>
        <row r="1148">
          <cell r="B1148">
            <v>456430</v>
          </cell>
          <cell r="C1148" t="str">
            <v>NOT USED</v>
          </cell>
          <cell r="D1148" t="str">
            <v>ELEC REV-OTH</v>
          </cell>
          <cell r="E1148" t="str">
            <v/>
          </cell>
          <cell r="F1148" t="str">
            <v/>
          </cell>
          <cell r="G1148" t="str">
            <v/>
          </cell>
          <cell r="H1148" t="str">
            <v/>
          </cell>
          <cell r="I1148" t="str">
            <v/>
          </cell>
          <cell r="J1148" t="str">
            <v/>
          </cell>
          <cell r="K1148" t="str">
            <v/>
          </cell>
          <cell r="L1148">
            <v>-1400.64156</v>
          </cell>
          <cell r="M1148">
            <v>-5.3963299999999998</v>
          </cell>
          <cell r="N1148">
            <v>-9.6960899999999999</v>
          </cell>
          <cell r="O1148">
            <v>-13.21411</v>
          </cell>
          <cell r="P1148">
            <v>-18.861370000000001</v>
          </cell>
          <cell r="Q1148">
            <v>-23.032219999999999</v>
          </cell>
          <cell r="R1148">
            <v>-29.117470000000001</v>
          </cell>
          <cell r="S1148">
            <v>-33.311610000000002</v>
          </cell>
          <cell r="T1148">
            <v>-36.445329999999998</v>
          </cell>
          <cell r="U1148">
            <v>-46.800960000000003</v>
          </cell>
          <cell r="V1148">
            <v>-47.663429999999998</v>
          </cell>
          <cell r="W1148">
            <v>-62.709530000000001</v>
          </cell>
          <cell r="X1148">
            <v>-63.292430000000003</v>
          </cell>
          <cell r="Y1148">
            <v>-88.184619999999995</v>
          </cell>
        </row>
        <row r="1149">
          <cell r="B1149">
            <v>456431</v>
          </cell>
          <cell r="C1149" t="str">
            <v>NOT USED</v>
          </cell>
          <cell r="D1149" t="str">
            <v>ELEC REV-OTHER-COMMODITY</v>
          </cell>
          <cell r="E1149" t="str">
            <v/>
          </cell>
          <cell r="F1149" t="str">
            <v/>
          </cell>
          <cell r="G1149" t="str">
            <v/>
          </cell>
          <cell r="H1149" t="str">
            <v/>
          </cell>
          <cell r="I1149" t="str">
            <v/>
          </cell>
          <cell r="J1149" t="str">
            <v/>
          </cell>
          <cell r="K1149" t="str">
            <v/>
          </cell>
          <cell r="L1149">
            <v>10174.282440000001</v>
          </cell>
          <cell r="M1149">
            <v>5085.59447</v>
          </cell>
          <cell r="N1149">
            <v>-670.85450000000003</v>
          </cell>
          <cell r="O1149">
            <v>-5223.4221900000002</v>
          </cell>
          <cell r="P1149">
            <v>-6947.7621099999997</v>
          </cell>
          <cell r="Q1149">
            <v>-6056.9582</v>
          </cell>
          <cell r="R1149">
            <v>-6495.0397499999999</v>
          </cell>
          <cell r="S1149">
            <v>-3829.5737600000002</v>
          </cell>
          <cell r="T1149">
            <v>-5624.0458500000004</v>
          </cell>
          <cell r="U1149">
            <v>-5878.5740599999999</v>
          </cell>
          <cell r="V1149">
            <v>-9640.7332900000001</v>
          </cell>
          <cell r="W1149">
            <v>-10812.279189999999</v>
          </cell>
          <cell r="X1149">
            <v>-11586.96348</v>
          </cell>
          <cell r="Y1149">
            <v>-4733.3324130000001</v>
          </cell>
        </row>
        <row r="1150">
          <cell r="B1150">
            <v>456432</v>
          </cell>
          <cell r="C1150" t="str">
            <v>NOT USED</v>
          </cell>
          <cell r="D1150" t="str">
            <v>ELEC REV-OTHER SUPPLY</v>
          </cell>
          <cell r="E1150" t="str">
            <v/>
          </cell>
          <cell r="F1150" t="str">
            <v/>
          </cell>
          <cell r="G1150" t="str">
            <v/>
          </cell>
          <cell r="H1150" t="str">
            <v/>
          </cell>
          <cell r="I1150" t="str">
            <v/>
          </cell>
          <cell r="J1150" t="str">
            <v/>
          </cell>
          <cell r="K1150" t="str">
            <v/>
          </cell>
          <cell r="L1150">
            <v>-3216.63805</v>
          </cell>
          <cell r="M1150">
            <v>806.03151000000003</v>
          </cell>
          <cell r="N1150">
            <v>-2340.7463499999999</v>
          </cell>
          <cell r="O1150">
            <v>-1820.2835500000001</v>
          </cell>
          <cell r="P1150">
            <v>-589.97370000000001</v>
          </cell>
          <cell r="Q1150">
            <v>439.60629999999998</v>
          </cell>
          <cell r="R1150">
            <v>1123.29901</v>
          </cell>
          <cell r="S1150">
            <v>-740.46108000000004</v>
          </cell>
          <cell r="T1150">
            <v>-2519.8085799999999</v>
          </cell>
          <cell r="U1150">
            <v>-3260.2352700000001</v>
          </cell>
          <cell r="V1150">
            <v>-756.70564000000002</v>
          </cell>
          <cell r="W1150">
            <v>3159.0161899999998</v>
          </cell>
          <cell r="X1150">
            <v>3598.4083500000002</v>
          </cell>
          <cell r="Y1150">
            <v>-525.78133400000002</v>
          </cell>
        </row>
        <row r="1151">
          <cell r="B1151">
            <v>456654</v>
          </cell>
          <cell r="C1151" t="str">
            <v>NOT USED</v>
          </cell>
          <cell r="D1151" t="str">
            <v>ELEC REV-OTH-EPO</v>
          </cell>
          <cell r="E1151" t="str">
            <v/>
          </cell>
          <cell r="F1151" t="str">
            <v/>
          </cell>
          <cell r="G1151" t="str">
            <v/>
          </cell>
          <cell r="H1151" t="str">
            <v/>
          </cell>
          <cell r="I1151" t="str">
            <v/>
          </cell>
          <cell r="J1151" t="str">
            <v/>
          </cell>
          <cell r="K1151" t="str">
            <v/>
          </cell>
          <cell r="L1151">
            <v>-45.912999999999997</v>
          </cell>
          <cell r="M1151">
            <v>-4.0979999999999999</v>
          </cell>
          <cell r="N1151">
            <v>-8</v>
          </cell>
          <cell r="O1151">
            <v>-11.901999999999999</v>
          </cell>
          <cell r="P1151">
            <v>-14.116</v>
          </cell>
          <cell r="Q1151">
            <v>-18.356000000000002</v>
          </cell>
          <cell r="R1151">
            <v>-22.248000000000001</v>
          </cell>
          <cell r="S1151">
            <v>-25.792000000000002</v>
          </cell>
          <cell r="T1151">
            <v>-30.071999999999999</v>
          </cell>
          <cell r="U1151">
            <v>-34.518999999999998</v>
          </cell>
          <cell r="V1151">
            <v>-38.930999999999997</v>
          </cell>
          <cell r="W1151">
            <v>-43.008000000000003</v>
          </cell>
          <cell r="X1151">
            <v>-46.728999999999999</v>
          </cell>
          <cell r="Y1151">
            <v>-24.780249999999999</v>
          </cell>
        </row>
        <row r="1152">
          <cell r="B1152">
            <v>456655</v>
          </cell>
          <cell r="C1152" t="str">
            <v>NOT USED</v>
          </cell>
          <cell r="D1152" t="str">
            <v>ELEC REV-OTH-GREEN POWER PROGRAM</v>
          </cell>
          <cell r="E1152" t="str">
            <v/>
          </cell>
          <cell r="F1152" t="str">
            <v/>
          </cell>
          <cell r="G1152" t="str">
            <v/>
          </cell>
          <cell r="H1152" t="str">
            <v/>
          </cell>
          <cell r="I1152" t="str">
            <v/>
          </cell>
          <cell r="J1152" t="str">
            <v/>
          </cell>
          <cell r="K1152" t="str">
            <v/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</row>
        <row r="1153">
          <cell r="B1153">
            <v>456656</v>
          </cell>
          <cell r="C1153" t="str">
            <v>NOT USED</v>
          </cell>
          <cell r="D1153" t="str">
            <v>ELEC REV-OTH-KYZ PULSES</v>
          </cell>
          <cell r="E1153" t="str">
            <v/>
          </cell>
          <cell r="F1153" t="str">
            <v/>
          </cell>
          <cell r="G1153" t="str">
            <v/>
          </cell>
          <cell r="H1153" t="str">
            <v/>
          </cell>
          <cell r="I1153" t="str">
            <v/>
          </cell>
          <cell r="J1153" t="str">
            <v/>
          </cell>
          <cell r="K1153" t="str">
            <v/>
          </cell>
          <cell r="L1153">
            <v>-1.95</v>
          </cell>
          <cell r="M1153">
            <v>-1.3520000000000001</v>
          </cell>
          <cell r="N1153">
            <v>-1.3520000000000001</v>
          </cell>
          <cell r="O1153">
            <v>-2.0539999999999998</v>
          </cell>
          <cell r="P1153">
            <v>-4.6539999999999999</v>
          </cell>
          <cell r="Q1153">
            <v>-4.6539999999999999</v>
          </cell>
          <cell r="R1153">
            <v>-6.0060000000000002</v>
          </cell>
          <cell r="S1153">
            <v>-6.0060000000000002</v>
          </cell>
          <cell r="T1153">
            <v>-6.0060000000000002</v>
          </cell>
          <cell r="U1153">
            <v>-6.0060000000000002</v>
          </cell>
          <cell r="V1153">
            <v>-6.0060000000000002</v>
          </cell>
          <cell r="W1153">
            <v>-6.0060000000000002</v>
          </cell>
          <cell r="X1153">
            <v>-6.0060000000000002</v>
          </cell>
          <cell r="Y1153">
            <v>-4.5066670000000002</v>
          </cell>
        </row>
        <row r="1154">
          <cell r="B1154">
            <v>456662</v>
          </cell>
          <cell r="C1154" t="str">
            <v>NOT USED</v>
          </cell>
          <cell r="D1154" t="str">
            <v>ELEC REV-OTH-ISO-TCC REVENUE</v>
          </cell>
          <cell r="E1154" t="str">
            <v/>
          </cell>
          <cell r="F1154" t="str">
            <v/>
          </cell>
          <cell r="G1154" t="str">
            <v/>
          </cell>
          <cell r="H1154" t="str">
            <v/>
          </cell>
          <cell r="I1154" t="str">
            <v/>
          </cell>
          <cell r="J1154" t="str">
            <v/>
          </cell>
          <cell r="K1154" t="str">
            <v/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</row>
        <row r="1155">
          <cell r="B1155">
            <v>456663</v>
          </cell>
          <cell r="C1155" t="str">
            <v>NOT USED</v>
          </cell>
          <cell r="D1155" t="str">
            <v>ELEC REV-OTH-ISO-TCC AUCTION</v>
          </cell>
          <cell r="E1155" t="str">
            <v/>
          </cell>
          <cell r="F1155" t="str">
            <v/>
          </cell>
          <cell r="G1155" t="str">
            <v/>
          </cell>
          <cell r="H1155" t="str">
            <v/>
          </cell>
          <cell r="I1155" t="str">
            <v/>
          </cell>
          <cell r="J1155" t="str">
            <v/>
          </cell>
          <cell r="K1155" t="str">
            <v/>
          </cell>
          <cell r="L1155">
            <v>-322.78467999999998</v>
          </cell>
          <cell r="M1155">
            <v>-51.151090000000003</v>
          </cell>
          <cell r="N1155">
            <v>-106.65012</v>
          </cell>
          <cell r="O1155">
            <v>-157.87343000000001</v>
          </cell>
          <cell r="P1155">
            <v>-209.03762</v>
          </cell>
          <cell r="Q1155">
            <v>-230.10991999999999</v>
          </cell>
          <cell r="R1155">
            <v>-250.92313999999999</v>
          </cell>
          <cell r="S1155">
            <v>-271.88803999999999</v>
          </cell>
          <cell r="T1155">
            <v>-292.99925999999999</v>
          </cell>
          <cell r="U1155">
            <v>-313.81247999999999</v>
          </cell>
          <cell r="V1155">
            <v>-337.63771000000003</v>
          </cell>
          <cell r="W1155">
            <v>-344.97847000000002</v>
          </cell>
          <cell r="X1155">
            <v>-351.88083</v>
          </cell>
          <cell r="Y1155">
            <v>-242.032836</v>
          </cell>
        </row>
        <row r="1156">
          <cell r="B1156">
            <v>456664</v>
          </cell>
          <cell r="C1156" t="str">
            <v>NOT USED</v>
          </cell>
          <cell r="D1156" t="str">
            <v>ELEC REV-OTH-ISO CONGESTION BALANCING</v>
          </cell>
          <cell r="E1156" t="str">
            <v/>
          </cell>
          <cell r="F1156" t="str">
            <v/>
          </cell>
          <cell r="G1156" t="str">
            <v/>
          </cell>
          <cell r="H1156" t="str">
            <v/>
          </cell>
          <cell r="I1156" t="str">
            <v/>
          </cell>
          <cell r="J1156" t="str">
            <v/>
          </cell>
          <cell r="K1156" t="str">
            <v/>
          </cell>
          <cell r="L1156">
            <v>55.167879999999997</v>
          </cell>
          <cell r="M1156">
            <v>29.204080000000001</v>
          </cell>
          <cell r="N1156">
            <v>43.010060000000003</v>
          </cell>
          <cell r="O1156">
            <v>44.544580000000003</v>
          </cell>
          <cell r="P1156">
            <v>47.407170000000001</v>
          </cell>
          <cell r="Q1156">
            <v>60.445520000000002</v>
          </cell>
          <cell r="R1156">
            <v>59.800249999999998</v>
          </cell>
          <cell r="S1156">
            <v>57.522640000000003</v>
          </cell>
          <cell r="T1156">
            <v>51.040990000000001</v>
          </cell>
          <cell r="U1156">
            <v>52.006369999999997</v>
          </cell>
          <cell r="V1156">
            <v>53.054450000000003</v>
          </cell>
          <cell r="W1156">
            <v>50.51614</v>
          </cell>
          <cell r="X1156">
            <v>53.700920000000004</v>
          </cell>
          <cell r="Y1156">
            <v>50.248888000000001</v>
          </cell>
        </row>
        <row r="1157">
          <cell r="B1157">
            <v>456665</v>
          </cell>
          <cell r="C1157" t="str">
            <v>NOT USED</v>
          </cell>
          <cell r="D1157" t="str">
            <v>ELEC REV-OTH-ISO TSC EXPORT</v>
          </cell>
          <cell r="E1157" t="str">
            <v/>
          </cell>
          <cell r="F1157" t="str">
            <v/>
          </cell>
          <cell r="G1157" t="str">
            <v/>
          </cell>
          <cell r="H1157" t="str">
            <v/>
          </cell>
          <cell r="I1157" t="str">
            <v/>
          </cell>
          <cell r="J1157" t="str">
            <v/>
          </cell>
          <cell r="K1157" t="str">
            <v/>
          </cell>
          <cell r="N1157">
            <v>39.242959999999997</v>
          </cell>
          <cell r="O1157">
            <v>39.242959999999997</v>
          </cell>
          <cell r="P1157">
            <v>39.242959999999997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9.8107399999999991</v>
          </cell>
        </row>
        <row r="1158">
          <cell r="B1158">
            <v>456705</v>
          </cell>
          <cell r="C1158" t="str">
            <v>NOT USED</v>
          </cell>
          <cell r="D1158" t="str">
            <v>OTHER ELECTRIC REVENUES -DELIVERY SQPP</v>
          </cell>
          <cell r="E1158" t="str">
            <v/>
          </cell>
          <cell r="F1158" t="str">
            <v/>
          </cell>
          <cell r="G1158" t="str">
            <v/>
          </cell>
          <cell r="H1158" t="str">
            <v/>
          </cell>
          <cell r="I1158" t="str">
            <v/>
          </cell>
          <cell r="J1158" t="str">
            <v/>
          </cell>
          <cell r="K1158" t="str">
            <v/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5000</v>
          </cell>
          <cell r="X1158">
            <v>0</v>
          </cell>
          <cell r="Y1158">
            <v>416.66666700000002</v>
          </cell>
        </row>
        <row r="1159">
          <cell r="B1159">
            <v>456709</v>
          </cell>
          <cell r="C1159" t="str">
            <v>NOT USED</v>
          </cell>
          <cell r="D1159" t="str">
            <v>OTHER ELEC REV - ECONOMIC DEVELOPMENT CIAC</v>
          </cell>
          <cell r="E1159" t="str">
            <v/>
          </cell>
          <cell r="F1159" t="str">
            <v/>
          </cell>
          <cell r="G1159" t="str">
            <v/>
          </cell>
          <cell r="H1159" t="str">
            <v/>
          </cell>
          <cell r="I1159" t="str">
            <v/>
          </cell>
          <cell r="J1159" t="str">
            <v/>
          </cell>
          <cell r="K1159" t="str">
            <v/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7.5720000000000001</v>
          </cell>
          <cell r="T1159">
            <v>7.5720000000000001</v>
          </cell>
          <cell r="U1159">
            <v>7.5720000000000001</v>
          </cell>
          <cell r="V1159">
            <v>7.5720000000000001</v>
          </cell>
          <cell r="W1159">
            <v>7.5720000000000001</v>
          </cell>
          <cell r="X1159">
            <v>7.5720000000000001</v>
          </cell>
          <cell r="Y1159">
            <v>3.4704999999999999</v>
          </cell>
        </row>
        <row r="1160">
          <cell r="B1160">
            <v>480100</v>
          </cell>
          <cell r="C1160" t="str">
            <v>NOT USED</v>
          </cell>
          <cell r="D1160" t="str">
            <v>GAS REVENUE - RESIDENTIAL-REGULAR</v>
          </cell>
          <cell r="E1160" t="str">
            <v/>
          </cell>
          <cell r="F1160" t="str">
            <v/>
          </cell>
          <cell r="G1160" t="str">
            <v/>
          </cell>
          <cell r="H1160" t="str">
            <v/>
          </cell>
          <cell r="I1160" t="str">
            <v/>
          </cell>
          <cell r="J1160" t="str">
            <v/>
          </cell>
          <cell r="K1160" t="str">
            <v/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</row>
        <row r="1161">
          <cell r="B1161">
            <v>480120</v>
          </cell>
          <cell r="C1161" t="str">
            <v>NOT USED</v>
          </cell>
          <cell r="D1161" t="str">
            <v>GAS REVENUE-BUNDLED-RESIDENTIAL-DELIVERY</v>
          </cell>
          <cell r="E1161" t="str">
            <v/>
          </cell>
          <cell r="F1161" t="str">
            <v/>
          </cell>
          <cell r="G1161" t="str">
            <v/>
          </cell>
          <cell r="H1161" t="str">
            <v/>
          </cell>
          <cell r="I1161" t="str">
            <v/>
          </cell>
          <cell r="J1161" t="str">
            <v/>
          </cell>
          <cell r="K1161" t="str">
            <v/>
          </cell>
          <cell r="L1161">
            <v>-73951.918529999995</v>
          </cell>
          <cell r="M1161">
            <v>-9580.6125599999996</v>
          </cell>
          <cell r="N1161">
            <v>-19153.974149999998</v>
          </cell>
          <cell r="O1161">
            <v>-27603.28098</v>
          </cell>
          <cell r="P1161">
            <v>-34922.553950000001</v>
          </cell>
          <cell r="Q1161">
            <v>-40616.948170000003</v>
          </cell>
          <cell r="R1161">
            <v>-45211.763400000003</v>
          </cell>
          <cell r="S1161">
            <v>-49371.243419999999</v>
          </cell>
          <cell r="T1161">
            <v>-53405.478080000001</v>
          </cell>
          <cell r="U1161">
            <v>-57648.16865</v>
          </cell>
          <cell r="V1161">
            <v>-62444.23401</v>
          </cell>
          <cell r="W1161">
            <v>-68545.161269999997</v>
          </cell>
          <cell r="X1161">
            <v>-76000.144249999998</v>
          </cell>
          <cell r="Y1161">
            <v>-45289.954168999997</v>
          </cell>
        </row>
        <row r="1162">
          <cell r="B1162">
            <v>480124</v>
          </cell>
          <cell r="C1162" t="str">
            <v>NOT USED</v>
          </cell>
          <cell r="D1162" t="str">
            <v>GAS REVENUE-BUNDLED-RESIDENTIAL-EEPS</v>
          </cell>
          <cell r="E1162" t="str">
            <v/>
          </cell>
          <cell r="F1162" t="str">
            <v/>
          </cell>
          <cell r="G1162" t="str">
            <v/>
          </cell>
          <cell r="H1162" t="str">
            <v/>
          </cell>
          <cell r="I1162" t="str">
            <v/>
          </cell>
          <cell r="J1162" t="str">
            <v/>
          </cell>
          <cell r="K1162" t="str">
            <v/>
          </cell>
          <cell r="L1162">
            <v>-1857.6853900000001</v>
          </cell>
          <cell r="M1162">
            <v>-811.79643999999996</v>
          </cell>
          <cell r="N1162">
            <v>-1519.69875</v>
          </cell>
          <cell r="O1162">
            <v>-2094.14444</v>
          </cell>
          <cell r="P1162">
            <v>-2535.8759799999998</v>
          </cell>
          <cell r="Q1162">
            <v>-2790.7665200000001</v>
          </cell>
          <cell r="R1162">
            <v>-2918.7170500000002</v>
          </cell>
          <cell r="S1162">
            <v>-2997.18804</v>
          </cell>
          <cell r="T1162">
            <v>-3063.1676000000002</v>
          </cell>
          <cell r="U1162">
            <v>-3142.01962</v>
          </cell>
          <cell r="V1162">
            <v>-3268.18694</v>
          </cell>
          <cell r="W1162">
            <v>-3526.3557500000002</v>
          </cell>
          <cell r="X1162">
            <v>-3917.2006799999999</v>
          </cell>
          <cell r="Y1162">
            <v>-2629.613347</v>
          </cell>
        </row>
        <row r="1163">
          <cell r="B1163">
            <v>480125</v>
          </cell>
          <cell r="C1163" t="str">
            <v>NOT USED</v>
          </cell>
          <cell r="D1163" t="str">
            <v>GAS REVENUE-BUNDLED-RESIDENTIAL-UNBILLED DELIVERY</v>
          </cell>
          <cell r="E1163" t="str">
            <v/>
          </cell>
          <cell r="F1163" t="str">
            <v/>
          </cell>
          <cell r="G1163" t="str">
            <v/>
          </cell>
          <cell r="H1163" t="str">
            <v/>
          </cell>
          <cell r="I1163" t="str">
            <v/>
          </cell>
          <cell r="J1163" t="str">
            <v/>
          </cell>
          <cell r="K1163" t="str">
            <v/>
          </cell>
          <cell r="L1163">
            <v>-665.52071999999998</v>
          </cell>
          <cell r="M1163">
            <v>-271.02539999999999</v>
          </cell>
          <cell r="N1163">
            <v>448.30462999999997</v>
          </cell>
          <cell r="O1163">
            <v>1146.09157</v>
          </cell>
          <cell r="P1163">
            <v>2511.4691600000001</v>
          </cell>
          <cell r="Q1163">
            <v>3288.72001</v>
          </cell>
          <cell r="R1163">
            <v>4107.8190100000002</v>
          </cell>
          <cell r="S1163">
            <v>4245.3759700000001</v>
          </cell>
          <cell r="T1163">
            <v>3857.3517700000002</v>
          </cell>
          <cell r="U1163">
            <v>3817.9228600000001</v>
          </cell>
          <cell r="V1163">
            <v>2863.2270899999999</v>
          </cell>
          <cell r="W1163">
            <v>2043.28856</v>
          </cell>
          <cell r="X1163">
            <v>753.57438999999999</v>
          </cell>
          <cell r="Y1163">
            <v>2341.8810050000002</v>
          </cell>
        </row>
        <row r="1164">
          <cell r="B1164">
            <v>480126</v>
          </cell>
          <cell r="C1164" t="str">
            <v>NOT USED</v>
          </cell>
          <cell r="D1164" t="str">
            <v>GAS REVENUE-BUNDLED-RESIDENTIAL SURCHARGE</v>
          </cell>
          <cell r="E1164" t="str">
            <v/>
          </cell>
          <cell r="F1164" t="str">
            <v/>
          </cell>
          <cell r="G1164" t="str">
            <v/>
          </cell>
          <cell r="H1164" t="str">
            <v/>
          </cell>
          <cell r="I1164" t="str">
            <v/>
          </cell>
          <cell r="J1164" t="str">
            <v/>
          </cell>
          <cell r="K1164" t="str">
            <v/>
          </cell>
          <cell r="L1164">
            <v>-4922.3293599999997</v>
          </cell>
          <cell r="M1164">
            <v>-1027.88966</v>
          </cell>
          <cell r="N1164">
            <v>-2060.2481499999999</v>
          </cell>
          <cell r="O1164">
            <v>-2897.4777800000002</v>
          </cell>
          <cell r="P1164">
            <v>-3541.0488799999998</v>
          </cell>
          <cell r="Q1164">
            <v>-3912.3485700000001</v>
          </cell>
          <cell r="R1164">
            <v>-4240.2716499999997</v>
          </cell>
          <cell r="S1164">
            <v>-4579.2404500000002</v>
          </cell>
          <cell r="T1164">
            <v>-4858.52513</v>
          </cell>
          <cell r="U1164">
            <v>-5185.3978200000001</v>
          </cell>
          <cell r="V1164">
            <v>-5475.8273799999997</v>
          </cell>
          <cell r="W1164">
            <v>-5825.6953100000001</v>
          </cell>
          <cell r="X1164">
            <v>-6341.9618600000003</v>
          </cell>
          <cell r="Y1164">
            <v>-4103.0096990000002</v>
          </cell>
        </row>
        <row r="1165">
          <cell r="B1165">
            <v>480130</v>
          </cell>
          <cell r="C1165" t="str">
            <v>NOT USED</v>
          </cell>
          <cell r="D1165" t="str">
            <v>GAS REVENUE - BUNDLED-RESIDENTIAL-COMMODITY</v>
          </cell>
          <cell r="E1165" t="str">
            <v/>
          </cell>
          <cell r="F1165" t="str">
            <v/>
          </cell>
          <cell r="G1165" t="str">
            <v/>
          </cell>
          <cell r="H1165" t="str">
            <v/>
          </cell>
          <cell r="I1165" t="str">
            <v/>
          </cell>
          <cell r="J1165" t="str">
            <v/>
          </cell>
          <cell r="K1165" t="str">
            <v/>
          </cell>
          <cell r="L1165">
            <v>-137166.93534</v>
          </cell>
          <cell r="M1165">
            <v>-25170.652290000002</v>
          </cell>
          <cell r="N1165">
            <v>-49896.78875</v>
          </cell>
          <cell r="O1165">
            <v>-69479.452929999999</v>
          </cell>
          <cell r="P1165">
            <v>-84226.459709999996</v>
          </cell>
          <cell r="Q1165">
            <v>-93005.319109999997</v>
          </cell>
          <cell r="R1165">
            <v>-97471.433359999995</v>
          </cell>
          <cell r="S1165">
            <v>-100110.98797</v>
          </cell>
          <cell r="T1165">
            <v>-102299.52458</v>
          </cell>
          <cell r="U1165">
            <v>-104837.35286</v>
          </cell>
          <cell r="V1165">
            <v>-108741.06359999999</v>
          </cell>
          <cell r="W1165">
            <v>-116753.86261</v>
          </cell>
          <cell r="X1165">
            <v>-129097.28697</v>
          </cell>
          <cell r="Y1165">
            <v>-90427.084077000007</v>
          </cell>
        </row>
        <row r="1166">
          <cell r="B1166">
            <v>480134</v>
          </cell>
          <cell r="C1166" t="str">
            <v>NOT USED</v>
          </cell>
          <cell r="D1166" t="str">
            <v>GAS REVENUE-BUNDLED-RESIDENTIAL-WNA</v>
          </cell>
          <cell r="E1166" t="str">
            <v/>
          </cell>
          <cell r="F1166" t="str">
            <v/>
          </cell>
          <cell r="G1166" t="str">
            <v/>
          </cell>
          <cell r="H1166" t="str">
            <v/>
          </cell>
          <cell r="I1166" t="str">
            <v/>
          </cell>
          <cell r="J1166" t="str">
            <v/>
          </cell>
          <cell r="K1166" t="str">
            <v/>
          </cell>
          <cell r="L1166">
            <v>-454.54374000000001</v>
          </cell>
          <cell r="M1166">
            <v>534.26592000000005</v>
          </cell>
          <cell r="N1166">
            <v>918.75160000000005</v>
          </cell>
          <cell r="O1166">
            <v>936.34478999999999</v>
          </cell>
          <cell r="P1166">
            <v>1181.5819300000001</v>
          </cell>
          <cell r="Q1166">
            <v>1340.5246999999999</v>
          </cell>
          <cell r="R1166">
            <v>1135.1792600000001</v>
          </cell>
          <cell r="S1166">
            <v>1137.7634700000001</v>
          </cell>
          <cell r="T1166">
            <v>1138.61824</v>
          </cell>
          <cell r="U1166">
            <v>1138.78505</v>
          </cell>
          <cell r="V1166">
            <v>989.32740999999999</v>
          </cell>
          <cell r="W1166">
            <v>830.85392999999999</v>
          </cell>
          <cell r="X1166">
            <v>153.82998000000001</v>
          </cell>
          <cell r="Y1166">
            <v>927.636618</v>
          </cell>
        </row>
        <row r="1167">
          <cell r="B1167">
            <v>480135</v>
          </cell>
          <cell r="C1167" t="str">
            <v>NOT USED</v>
          </cell>
          <cell r="D1167" t="str">
            <v>GAS REVENUE-BUNDLED-RESIDENTIAL-UNBILLED COMMODIT</v>
          </cell>
          <cell r="E1167" t="str">
            <v/>
          </cell>
          <cell r="F1167" t="str">
            <v/>
          </cell>
          <cell r="G1167" t="str">
            <v/>
          </cell>
          <cell r="H1167" t="str">
            <v/>
          </cell>
          <cell r="I1167" t="str">
            <v/>
          </cell>
          <cell r="J1167" t="str">
            <v/>
          </cell>
          <cell r="K1167" t="str">
            <v/>
          </cell>
          <cell r="L1167">
            <v>-1846.25191</v>
          </cell>
          <cell r="M1167">
            <v>-337.64141000000001</v>
          </cell>
          <cell r="N1167">
            <v>2666.6123499999999</v>
          </cell>
          <cell r="O1167">
            <v>4984.1063400000003</v>
          </cell>
          <cell r="P1167">
            <v>9765.9133000000002</v>
          </cell>
          <cell r="Q1167">
            <v>13094.15919</v>
          </cell>
          <cell r="R1167">
            <v>15298.85297</v>
          </cell>
          <cell r="S1167">
            <v>15721.38444</v>
          </cell>
          <cell r="T1167">
            <v>14649.334279999999</v>
          </cell>
          <cell r="U1167">
            <v>14797.78224</v>
          </cell>
          <cell r="V1167">
            <v>12026.203509999999</v>
          </cell>
          <cell r="W1167">
            <v>10636.12048</v>
          </cell>
          <cell r="X1167">
            <v>7113.8043399999997</v>
          </cell>
          <cell r="Y1167">
            <v>9661.3836589999992</v>
          </cell>
        </row>
        <row r="1168">
          <cell r="B1168">
            <v>480140</v>
          </cell>
          <cell r="C1168" t="str">
            <v>NOT USED</v>
          </cell>
          <cell r="D1168" t="str">
            <v>GAS REVENUE-BUNDLED-RESIDENTIAL-MFC</v>
          </cell>
          <cell r="E1168" t="str">
            <v/>
          </cell>
          <cell r="F1168" t="str">
            <v/>
          </cell>
          <cell r="G1168" t="str">
            <v/>
          </cell>
          <cell r="H1168" t="str">
            <v/>
          </cell>
          <cell r="I1168" t="str">
            <v/>
          </cell>
          <cell r="J1168" t="str">
            <v/>
          </cell>
          <cell r="K1168" t="str">
            <v/>
          </cell>
          <cell r="L1168">
            <v>-6905.5522199999996</v>
          </cell>
          <cell r="M1168">
            <v>-1868.10302</v>
          </cell>
          <cell r="N1168">
            <v>-3733.6149999999998</v>
          </cell>
          <cell r="O1168">
            <v>-5236.5705399999997</v>
          </cell>
          <cell r="P1168">
            <v>-6384.6088</v>
          </cell>
          <cell r="Q1168">
            <v>-7053.0141700000004</v>
          </cell>
          <cell r="R1168">
            <v>-7389.84717</v>
          </cell>
          <cell r="S1168">
            <v>-7594.0540600000004</v>
          </cell>
          <cell r="T1168">
            <v>-7765.0603499999997</v>
          </cell>
          <cell r="U1168">
            <v>-7955.4321</v>
          </cell>
          <cell r="V1168">
            <v>-8241.4850000000006</v>
          </cell>
          <cell r="W1168">
            <v>-8810.0600699999995</v>
          </cell>
          <cell r="X1168">
            <v>-9647.9741699999995</v>
          </cell>
          <cell r="Y1168">
            <v>-6692.3844559999998</v>
          </cell>
        </row>
        <row r="1169">
          <cell r="B1169">
            <v>480173</v>
          </cell>
          <cell r="C1169" t="str">
            <v>NOT USED</v>
          </cell>
          <cell r="D1169" t="str">
            <v>GAS REVENUE-BUNDLED-RESIDENTIAL-GRT DELIVERY</v>
          </cell>
          <cell r="E1169" t="str">
            <v/>
          </cell>
          <cell r="F1169" t="str">
            <v/>
          </cell>
          <cell r="G1169" t="str">
            <v/>
          </cell>
          <cell r="H1169" t="str">
            <v/>
          </cell>
          <cell r="I1169" t="str">
            <v/>
          </cell>
          <cell r="J1169" t="str">
            <v/>
          </cell>
          <cell r="K1169" t="str">
            <v/>
          </cell>
          <cell r="L1169">
            <v>-2382.4746599999999</v>
          </cell>
          <cell r="M1169">
            <v>-318.23397</v>
          </cell>
          <cell r="N1169">
            <v>-639.36261999999999</v>
          </cell>
          <cell r="O1169">
            <v>-927.90427</v>
          </cell>
          <cell r="P1169">
            <v>-1166.71838</v>
          </cell>
          <cell r="Q1169">
            <v>-1346.48804</v>
          </cell>
          <cell r="R1169">
            <v>-1498.9690499999999</v>
          </cell>
          <cell r="S1169">
            <v>-1630.81369</v>
          </cell>
          <cell r="T1169">
            <v>-1757.07402</v>
          </cell>
          <cell r="U1169">
            <v>-1891.6080300000001</v>
          </cell>
          <cell r="V1169">
            <v>-2047.5218299999999</v>
          </cell>
          <cell r="W1169">
            <v>-2247.5069600000002</v>
          </cell>
          <cell r="X1169">
            <v>-2510.6716700000002</v>
          </cell>
          <cell r="Y1169">
            <v>-1493.2311689999999</v>
          </cell>
        </row>
        <row r="1170">
          <cell r="B1170">
            <v>480174</v>
          </cell>
          <cell r="C1170" t="str">
            <v>NOT USED</v>
          </cell>
          <cell r="D1170" t="str">
            <v>GAS REVENUE-BUNDLED-RESIDENTIAL-GRT COMMODITY</v>
          </cell>
          <cell r="E1170" t="str">
            <v/>
          </cell>
          <cell r="F1170" t="str">
            <v/>
          </cell>
          <cell r="G1170" t="str">
            <v/>
          </cell>
          <cell r="H1170" t="str">
            <v/>
          </cell>
          <cell r="I1170" t="str">
            <v/>
          </cell>
          <cell r="J1170" t="str">
            <v/>
          </cell>
          <cell r="K1170" t="str">
            <v/>
          </cell>
          <cell r="L1170">
            <v>-1272.19642</v>
          </cell>
          <cell r="M1170">
            <v>-236.36434</v>
          </cell>
          <cell r="N1170">
            <v>-472.74524000000002</v>
          </cell>
          <cell r="O1170">
            <v>-659.81320000000005</v>
          </cell>
          <cell r="P1170">
            <v>-801.64152999999999</v>
          </cell>
          <cell r="Q1170">
            <v>-885.56253000000004</v>
          </cell>
          <cell r="R1170">
            <v>-929.00863000000004</v>
          </cell>
          <cell r="S1170">
            <v>-953.24203999999997</v>
          </cell>
          <cell r="T1170">
            <v>-973.50540999999998</v>
          </cell>
          <cell r="U1170">
            <v>-997.19446000000005</v>
          </cell>
          <cell r="V1170">
            <v>-1034.2634800000001</v>
          </cell>
          <cell r="W1170">
            <v>-1108.06142</v>
          </cell>
          <cell r="X1170">
            <v>-1222.5192099999999</v>
          </cell>
          <cell r="Y1170">
            <v>-858.230008</v>
          </cell>
        </row>
        <row r="1171">
          <cell r="B1171">
            <v>480500</v>
          </cell>
          <cell r="C1171" t="str">
            <v>NOT USED</v>
          </cell>
          <cell r="D1171" t="str">
            <v>GAS REVENUE - RETAIL-UNBILLED</v>
          </cell>
          <cell r="E1171" t="str">
            <v/>
          </cell>
          <cell r="F1171" t="str">
            <v/>
          </cell>
          <cell r="G1171" t="str">
            <v/>
          </cell>
          <cell r="H1171" t="str">
            <v/>
          </cell>
          <cell r="I1171" t="str">
            <v/>
          </cell>
          <cell r="J1171" t="str">
            <v/>
          </cell>
          <cell r="K1171" t="str">
            <v/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</row>
        <row r="1172">
          <cell r="B1172">
            <v>481100</v>
          </cell>
          <cell r="C1172" t="str">
            <v>NOT USED</v>
          </cell>
          <cell r="D1172" t="str">
            <v>GAS REVENUE - COMMERCIAL-REGULAR</v>
          </cell>
          <cell r="E1172" t="str">
            <v/>
          </cell>
          <cell r="F1172" t="str">
            <v/>
          </cell>
          <cell r="G1172" t="str">
            <v/>
          </cell>
          <cell r="H1172" t="str">
            <v/>
          </cell>
          <cell r="I1172" t="str">
            <v/>
          </cell>
          <cell r="J1172" t="str">
            <v/>
          </cell>
          <cell r="K1172" t="str">
            <v/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</row>
        <row r="1173">
          <cell r="B1173">
            <v>481110</v>
          </cell>
          <cell r="C1173" t="str">
            <v>NOT USED</v>
          </cell>
          <cell r="D1173" t="str">
            <v>GAS REVENUE-BUNDLED-COMMERCIAL-EC DEV CREDITS</v>
          </cell>
          <cell r="E1173" t="str">
            <v/>
          </cell>
          <cell r="F1173" t="str">
            <v/>
          </cell>
          <cell r="G1173" t="str">
            <v/>
          </cell>
          <cell r="H1173" t="str">
            <v/>
          </cell>
          <cell r="I1173" t="str">
            <v/>
          </cell>
          <cell r="J1173" t="str">
            <v/>
          </cell>
          <cell r="K1173" t="str">
            <v/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</row>
        <row r="1174">
          <cell r="B1174">
            <v>481120</v>
          </cell>
          <cell r="C1174" t="str">
            <v>NOT USED</v>
          </cell>
          <cell r="D1174" t="str">
            <v>GAS REVENUE-BUNDLED - COMMERCIAL-DELIVERY</v>
          </cell>
          <cell r="E1174" t="str">
            <v/>
          </cell>
          <cell r="F1174" t="str">
            <v/>
          </cell>
          <cell r="G1174" t="str">
            <v/>
          </cell>
          <cell r="H1174" t="str">
            <v/>
          </cell>
          <cell r="I1174" t="str">
            <v/>
          </cell>
          <cell r="J1174" t="str">
            <v/>
          </cell>
          <cell r="K1174" t="str">
            <v/>
          </cell>
          <cell r="L1174">
            <v>-6669.1155500000004</v>
          </cell>
          <cell r="M1174">
            <v>-972.81060000000002</v>
          </cell>
          <cell r="N1174">
            <v>-1961.56979</v>
          </cell>
          <cell r="O1174">
            <v>-2827.81158</v>
          </cell>
          <cell r="P1174">
            <v>-3513.58691</v>
          </cell>
          <cell r="Q1174">
            <v>-3995.1216300000001</v>
          </cell>
          <cell r="R1174">
            <v>-4342.5625600000003</v>
          </cell>
          <cell r="S1174">
            <v>-4642.2822299999998</v>
          </cell>
          <cell r="T1174">
            <v>-4929.2613899999997</v>
          </cell>
          <cell r="U1174">
            <v>-5243.7707799999998</v>
          </cell>
          <cell r="V1174">
            <v>-5628.4341400000003</v>
          </cell>
          <cell r="W1174">
            <v>-6171.5395699999999</v>
          </cell>
          <cell r="X1174">
            <v>-6892.6101500000004</v>
          </cell>
          <cell r="Y1174">
            <v>-4250.8011690000003</v>
          </cell>
        </row>
        <row r="1175">
          <cell r="B1175">
            <v>481124</v>
          </cell>
          <cell r="C1175" t="str">
            <v>NOT USED</v>
          </cell>
          <cell r="D1175" t="str">
            <v>GAS REVENUE-BUNDLED - COMMERCIAL-EEPS</v>
          </cell>
          <cell r="E1175" t="str">
            <v/>
          </cell>
          <cell r="F1175" t="str">
            <v/>
          </cell>
          <cell r="G1175" t="str">
            <v/>
          </cell>
          <cell r="H1175" t="str">
            <v/>
          </cell>
          <cell r="I1175" t="str">
            <v/>
          </cell>
          <cell r="J1175" t="str">
            <v/>
          </cell>
          <cell r="K1175" t="str">
            <v/>
          </cell>
          <cell r="L1175">
            <v>-273.49322999999998</v>
          </cell>
          <cell r="M1175">
            <v>-121.17949</v>
          </cell>
          <cell r="N1175">
            <v>-230.1551</v>
          </cell>
          <cell r="O1175">
            <v>-319.36538000000002</v>
          </cell>
          <cell r="P1175">
            <v>-382.98115000000001</v>
          </cell>
          <cell r="Q1175">
            <v>-418.2432</v>
          </cell>
          <cell r="R1175">
            <v>-436.96600999999998</v>
          </cell>
          <cell r="S1175">
            <v>-450.26224999999999</v>
          </cell>
          <cell r="T1175">
            <v>-462.12275</v>
          </cell>
          <cell r="U1175">
            <v>-475.78973999999999</v>
          </cell>
          <cell r="V1175">
            <v>-496.14713</v>
          </cell>
          <cell r="W1175">
            <v>-536.19916999999998</v>
          </cell>
          <cell r="X1175">
            <v>-595.74441999999999</v>
          </cell>
          <cell r="Y1175">
            <v>-397.00251600000001</v>
          </cell>
        </row>
        <row r="1176">
          <cell r="B1176">
            <v>481125</v>
          </cell>
          <cell r="C1176" t="str">
            <v>NOT USED</v>
          </cell>
          <cell r="D1176" t="str">
            <v>GAS REVENUE-BUNDLED-COMMERCIAL-UNBILLED DELIVERY</v>
          </cell>
          <cell r="E1176" t="str">
            <v/>
          </cell>
          <cell r="F1176" t="str">
            <v/>
          </cell>
          <cell r="G1176" t="str">
            <v/>
          </cell>
          <cell r="H1176" t="str">
            <v/>
          </cell>
          <cell r="I1176" t="str">
            <v/>
          </cell>
          <cell r="J1176" t="str">
            <v/>
          </cell>
          <cell r="K1176" t="str">
            <v/>
          </cell>
          <cell r="L1176">
            <v>-101.94199999999999</v>
          </cell>
          <cell r="M1176">
            <v>-67.688000000000002</v>
          </cell>
          <cell r="N1176">
            <v>-7.1537499999999996</v>
          </cell>
          <cell r="O1176">
            <v>82.698840000000004</v>
          </cell>
          <cell r="P1176">
            <v>231.62626</v>
          </cell>
          <cell r="Q1176">
            <v>269.49488000000002</v>
          </cell>
          <cell r="R1176">
            <v>405.18106999999998</v>
          </cell>
          <cell r="S1176">
            <v>428.31752</v>
          </cell>
          <cell r="T1176">
            <v>375.18058000000002</v>
          </cell>
          <cell r="U1176">
            <v>372.94763999999998</v>
          </cell>
          <cell r="V1176">
            <v>276.90564999999998</v>
          </cell>
          <cell r="W1176">
            <v>136.23518000000001</v>
          </cell>
          <cell r="X1176">
            <v>-23.145009999999999</v>
          </cell>
          <cell r="Y1176">
            <v>203.43352999999999</v>
          </cell>
        </row>
        <row r="1177">
          <cell r="B1177">
            <v>481126</v>
          </cell>
          <cell r="C1177" t="str">
            <v>NOT USED</v>
          </cell>
          <cell r="D1177" t="str">
            <v>GAS REVENUE-BUNDLED-COMMERCIAL-SURCHARGE</v>
          </cell>
          <cell r="E1177" t="str">
            <v/>
          </cell>
          <cell r="F1177" t="str">
            <v/>
          </cell>
          <cell r="G1177" t="str">
            <v/>
          </cell>
          <cell r="H1177" t="str">
            <v/>
          </cell>
          <cell r="I1177" t="str">
            <v/>
          </cell>
          <cell r="J1177" t="str">
            <v/>
          </cell>
          <cell r="K1177" t="str">
            <v/>
          </cell>
          <cell r="L1177">
            <v>-754.43840999999998</v>
          </cell>
          <cell r="M1177">
            <v>-155.27269999999999</v>
          </cell>
          <cell r="N1177">
            <v>-314.25547</v>
          </cell>
          <cell r="O1177">
            <v>-444.28654</v>
          </cell>
          <cell r="P1177">
            <v>-536.94939999999997</v>
          </cell>
          <cell r="Q1177">
            <v>-588.32759999999996</v>
          </cell>
          <cell r="R1177">
            <v>-615.63631999999996</v>
          </cell>
          <cell r="S1177">
            <v>-635.01084000000003</v>
          </cell>
          <cell r="T1177">
            <v>-652.29830000000004</v>
          </cell>
          <cell r="U1177">
            <v>-672.26278000000002</v>
          </cell>
          <cell r="V1177">
            <v>-701.89076</v>
          </cell>
          <cell r="W1177">
            <v>-757.12532999999996</v>
          </cell>
          <cell r="X1177">
            <v>-835.29877999999997</v>
          </cell>
          <cell r="Y1177">
            <v>-572.34871999999996</v>
          </cell>
        </row>
        <row r="1178">
          <cell r="B1178">
            <v>481130</v>
          </cell>
          <cell r="C1178" t="str">
            <v>NOT USED</v>
          </cell>
          <cell r="D1178" t="str">
            <v>GAS REVENUE-BUNDLED-COMMERCIAL-COMMODITY</v>
          </cell>
          <cell r="E1178" t="str">
            <v/>
          </cell>
          <cell r="F1178" t="str">
            <v/>
          </cell>
          <cell r="G1178" t="str">
            <v/>
          </cell>
          <cell r="H1178" t="str">
            <v/>
          </cell>
          <cell r="I1178" t="str">
            <v/>
          </cell>
          <cell r="J1178" t="str">
            <v/>
          </cell>
          <cell r="K1178" t="str">
            <v/>
          </cell>
          <cell r="L1178">
            <v>-20932.743009999998</v>
          </cell>
          <cell r="M1178">
            <v>-3790.4703599999998</v>
          </cell>
          <cell r="N1178">
            <v>-7598.2959199999996</v>
          </cell>
          <cell r="O1178">
            <v>-10635.42763</v>
          </cell>
          <cell r="P1178">
            <v>-12762.291300000001</v>
          </cell>
          <cell r="Q1178">
            <v>-13979.37119</v>
          </cell>
          <cell r="R1178">
            <v>-14631.020140000001</v>
          </cell>
          <cell r="S1178">
            <v>-15078.490610000001</v>
          </cell>
          <cell r="T1178">
            <v>-15471.54621</v>
          </cell>
          <cell r="U1178">
            <v>-15913.47163</v>
          </cell>
          <cell r="V1178">
            <v>-16543.74955</v>
          </cell>
          <cell r="W1178">
            <v>-17791.068159999999</v>
          </cell>
          <cell r="X1178">
            <v>-19672.521229999998</v>
          </cell>
          <cell r="Y1178">
            <v>-13708.152902</v>
          </cell>
        </row>
        <row r="1179">
          <cell r="B1179">
            <v>481134</v>
          </cell>
          <cell r="C1179" t="str">
            <v>NOT USED</v>
          </cell>
          <cell r="D1179" t="str">
            <v>GAS REVENUE-BUNDLED-COMMERCIAL-WNA</v>
          </cell>
          <cell r="E1179" t="str">
            <v/>
          </cell>
          <cell r="F1179" t="str">
            <v/>
          </cell>
          <cell r="G1179" t="str">
            <v/>
          </cell>
          <cell r="H1179" t="str">
            <v/>
          </cell>
          <cell r="I1179" t="str">
            <v/>
          </cell>
          <cell r="J1179" t="str">
            <v/>
          </cell>
          <cell r="K1179" t="str">
            <v/>
          </cell>
          <cell r="L1179">
            <v>-47.250579999999999</v>
          </cell>
          <cell r="M1179">
            <v>57.790019999999998</v>
          </cell>
          <cell r="N1179">
            <v>101.20626</v>
          </cell>
          <cell r="O1179">
            <v>106.02032</v>
          </cell>
          <cell r="P1179">
            <v>131.40955</v>
          </cell>
          <cell r="Q1179">
            <v>144.49297999999999</v>
          </cell>
          <cell r="R1179">
            <v>126.23804</v>
          </cell>
          <cell r="S1179">
            <v>126.99151999999999</v>
          </cell>
          <cell r="T1179">
            <v>127.21979</v>
          </cell>
          <cell r="U1179">
            <v>127.2735</v>
          </cell>
          <cell r="V1179">
            <v>112.35441</v>
          </cell>
          <cell r="W1179">
            <v>94.412210000000002</v>
          </cell>
          <cell r="X1179">
            <v>20.58344</v>
          </cell>
          <cell r="Y1179">
            <v>103.506253</v>
          </cell>
        </row>
        <row r="1180">
          <cell r="B1180">
            <v>481135</v>
          </cell>
          <cell r="C1180" t="str">
            <v>NOT USED</v>
          </cell>
          <cell r="D1180" t="str">
            <v>GAS REVENUE-BUNDLED-COMMERCIAL-UNBILLED COMMODITY</v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  <cell r="I1180" t="str">
            <v/>
          </cell>
          <cell r="J1180" t="str">
            <v/>
          </cell>
          <cell r="K1180" t="str">
            <v/>
          </cell>
          <cell r="L1180">
            <v>-248.35133999999999</v>
          </cell>
          <cell r="M1180">
            <v>-172.17711</v>
          </cell>
          <cell r="N1180">
            <v>173.45384000000001</v>
          </cell>
          <cell r="O1180">
            <v>530.53731000000005</v>
          </cell>
          <cell r="P1180">
            <v>1126.1043199999999</v>
          </cell>
          <cell r="Q1180">
            <v>1376.1016500000001</v>
          </cell>
          <cell r="R1180">
            <v>1758.6062400000001</v>
          </cell>
          <cell r="S1180">
            <v>1833.8967700000001</v>
          </cell>
          <cell r="T1180">
            <v>1651.3400799999999</v>
          </cell>
          <cell r="U1180">
            <v>1679.9857</v>
          </cell>
          <cell r="V1180">
            <v>1390.4211600000001</v>
          </cell>
          <cell r="W1180">
            <v>1046.81197</v>
          </cell>
          <cell r="X1180">
            <v>528.19844000000001</v>
          </cell>
          <cell r="Y1180">
            <v>1044.5837899999999</v>
          </cell>
        </row>
        <row r="1181">
          <cell r="B1181">
            <v>481140</v>
          </cell>
          <cell r="C1181" t="str">
            <v>NOT USED</v>
          </cell>
          <cell r="D1181" t="str">
            <v>GAS REVENUE-BUNDLED-COMMERCIAL-MFC</v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  <cell r="I1181" t="str">
            <v/>
          </cell>
          <cell r="J1181" t="str">
            <v/>
          </cell>
          <cell r="K1181" t="str">
            <v/>
          </cell>
          <cell r="L1181">
            <v>-970.92656999999997</v>
          </cell>
          <cell r="M1181">
            <v>-219.2329</v>
          </cell>
          <cell r="N1181">
            <v>-443.55862999999999</v>
          </cell>
          <cell r="O1181">
            <v>-626.84825999999998</v>
          </cell>
          <cell r="P1181">
            <v>-756.99924999999996</v>
          </cell>
          <cell r="Q1181">
            <v>-829.39170999999999</v>
          </cell>
          <cell r="R1181">
            <v>-867.83507999999995</v>
          </cell>
          <cell r="S1181">
            <v>-895.04927999999995</v>
          </cell>
          <cell r="T1181">
            <v>-919.30051000000003</v>
          </cell>
          <cell r="U1181">
            <v>-945.95708999999999</v>
          </cell>
          <cell r="V1181">
            <v>-983.79079000000002</v>
          </cell>
          <cell r="W1181">
            <v>-1055.3679999999999</v>
          </cell>
          <cell r="X1181">
            <v>-1157.8744899999999</v>
          </cell>
          <cell r="Y1181">
            <v>-800.64433599999995</v>
          </cell>
        </row>
        <row r="1182">
          <cell r="B1182">
            <v>481173</v>
          </cell>
          <cell r="C1182" t="str">
            <v>NOT USED</v>
          </cell>
          <cell r="D1182" t="str">
            <v>GAS REVENUE-BUNDLED-COMMERCIAL-GRT DELIVERY</v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  <cell r="I1182" t="str">
            <v/>
          </cell>
          <cell r="J1182" t="str">
            <v/>
          </cell>
          <cell r="K1182" t="str">
            <v/>
          </cell>
          <cell r="L1182">
            <v>-89.55265</v>
          </cell>
          <cell r="M1182">
            <v>-13.772449999999999</v>
          </cell>
          <cell r="N1182">
            <v>-27.93759</v>
          </cell>
          <cell r="O1182">
            <v>-40.622450000000001</v>
          </cell>
          <cell r="P1182">
            <v>-50.178550000000001</v>
          </cell>
          <cell r="Q1182">
            <v>-56.858530000000002</v>
          </cell>
          <cell r="R1182">
            <v>-61.639279999999999</v>
          </cell>
          <cell r="S1182">
            <v>-65.448520000000002</v>
          </cell>
          <cell r="T1182">
            <v>-69.049779999999998</v>
          </cell>
          <cell r="U1182">
            <v>-73.069699999999997</v>
          </cell>
          <cell r="V1182">
            <v>-78.249719999999996</v>
          </cell>
          <cell r="W1182">
            <v>-86.042320000000004</v>
          </cell>
          <cell r="X1182">
            <v>-97.085210000000004</v>
          </cell>
          <cell r="Y1182">
            <v>-59.682318000000002</v>
          </cell>
        </row>
        <row r="1183">
          <cell r="B1183">
            <v>481174</v>
          </cell>
          <cell r="C1183" t="str">
            <v>NOT USED</v>
          </cell>
          <cell r="D1183" t="str">
            <v>GAS REVENUE-BUNDLED-COMMERCIAL-GRT COMMODITY</v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  <cell r="I1183" t="str">
            <v/>
          </cell>
          <cell r="J1183" t="str">
            <v/>
          </cell>
          <cell r="K1183" t="str">
            <v/>
          </cell>
          <cell r="L1183">
            <v>-246.90103999999999</v>
          </cell>
          <cell r="M1183">
            <v>-45.5184</v>
          </cell>
          <cell r="N1183">
            <v>-91.566969999999998</v>
          </cell>
          <cell r="O1183">
            <v>-128.80676</v>
          </cell>
          <cell r="P1183">
            <v>-155.32937000000001</v>
          </cell>
          <cell r="Q1183">
            <v>-170.99575999999999</v>
          </cell>
          <cell r="R1183">
            <v>-178.60389000000001</v>
          </cell>
          <cell r="S1183">
            <v>-183.68662</v>
          </cell>
          <cell r="T1183">
            <v>-188.07705000000001</v>
          </cell>
          <cell r="U1183">
            <v>-192.96110999999999</v>
          </cell>
          <cell r="V1183">
            <v>-200.00873000000001</v>
          </cell>
          <cell r="W1183">
            <v>-214.96207000000001</v>
          </cell>
          <cell r="X1183">
            <v>-237.83145999999999</v>
          </cell>
          <cell r="Y1183">
            <v>-166.07358199999999</v>
          </cell>
        </row>
        <row r="1184">
          <cell r="B1184">
            <v>481199</v>
          </cell>
          <cell r="C1184" t="str">
            <v>NOT USED</v>
          </cell>
          <cell r="D1184" t="str">
            <v>GAS REVENUE - INTERCOMPANY</v>
          </cell>
          <cell r="E1184" t="str">
            <v/>
          </cell>
          <cell r="F1184" t="str">
            <v/>
          </cell>
          <cell r="G1184" t="str">
            <v/>
          </cell>
          <cell r="H1184" t="str">
            <v/>
          </cell>
          <cell r="I1184" t="str">
            <v/>
          </cell>
          <cell r="J1184" t="str">
            <v/>
          </cell>
          <cell r="K1184" t="str">
            <v/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</row>
        <row r="1185">
          <cell r="B1185">
            <v>481300</v>
          </cell>
          <cell r="C1185" t="str">
            <v>NOT USED</v>
          </cell>
          <cell r="D1185" t="str">
            <v>GAS REVENUE - INDUSTRIAL-REGULAR</v>
          </cell>
          <cell r="E1185" t="str">
            <v/>
          </cell>
          <cell r="F1185" t="str">
            <v/>
          </cell>
          <cell r="G1185" t="str">
            <v/>
          </cell>
          <cell r="H1185" t="str">
            <v/>
          </cell>
          <cell r="I1185" t="str">
            <v/>
          </cell>
          <cell r="J1185" t="str">
            <v/>
          </cell>
          <cell r="K1185" t="str">
            <v/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</row>
        <row r="1186">
          <cell r="B1186">
            <v>481420</v>
          </cell>
          <cell r="C1186" t="str">
            <v>NOT USED</v>
          </cell>
          <cell r="D1186" t="str">
            <v>GAS REVENUE-BUNDLED-INDUSTRIAL-DELIVERY</v>
          </cell>
          <cell r="E1186" t="str">
            <v/>
          </cell>
          <cell r="F1186" t="str">
            <v/>
          </cell>
          <cell r="G1186" t="str">
            <v/>
          </cell>
          <cell r="H1186" t="str">
            <v/>
          </cell>
          <cell r="I1186" t="str">
            <v/>
          </cell>
          <cell r="J1186" t="str">
            <v/>
          </cell>
          <cell r="K1186" t="str">
            <v/>
          </cell>
          <cell r="L1186">
            <v>-349.44531000000001</v>
          </cell>
          <cell r="M1186">
            <v>-68.082210000000003</v>
          </cell>
          <cell r="N1186">
            <v>-115.53740999999999</v>
          </cell>
          <cell r="O1186">
            <v>-172.40995000000001</v>
          </cell>
          <cell r="P1186">
            <v>-217.55267000000001</v>
          </cell>
          <cell r="Q1186">
            <v>-245.51577</v>
          </cell>
          <cell r="R1186">
            <v>-258.86878000000002</v>
          </cell>
          <cell r="S1186">
            <v>-274.10719999999998</v>
          </cell>
          <cell r="T1186">
            <v>-283.67926</v>
          </cell>
          <cell r="U1186">
            <v>-298.08076999999997</v>
          </cell>
          <cell r="V1186">
            <v>-303.35973000000001</v>
          </cell>
          <cell r="W1186">
            <v>-331.64675</v>
          </cell>
          <cell r="X1186">
            <v>-374.91201999999998</v>
          </cell>
          <cell r="Y1186">
            <v>-244.251597</v>
          </cell>
        </row>
        <row r="1187">
          <cell r="B1187">
            <v>481424</v>
          </cell>
          <cell r="C1187" t="str">
            <v>NOT USED</v>
          </cell>
          <cell r="D1187" t="str">
            <v>GAS REVENUE-BUNDLED-INDUSTRIAL-EEPS</v>
          </cell>
          <cell r="E1187" t="str">
            <v/>
          </cell>
          <cell r="F1187" t="str">
            <v/>
          </cell>
          <cell r="G1187" t="str">
            <v/>
          </cell>
          <cell r="H1187" t="str">
            <v/>
          </cell>
          <cell r="I1187" t="str">
            <v/>
          </cell>
          <cell r="J1187" t="str">
            <v/>
          </cell>
          <cell r="K1187" t="str">
            <v/>
          </cell>
          <cell r="L1187">
            <v>-19.37229</v>
          </cell>
          <cell r="M1187">
            <v>-13.189780000000001</v>
          </cell>
          <cell r="N1187">
            <v>-23.077950000000001</v>
          </cell>
          <cell r="O1187">
            <v>-32.14255</v>
          </cell>
          <cell r="P1187">
            <v>-39.187109999999997</v>
          </cell>
          <cell r="Q1187">
            <v>-43.267319999999998</v>
          </cell>
          <cell r="R1187">
            <v>-46.066490000000002</v>
          </cell>
          <cell r="S1187">
            <v>-48.148449999999997</v>
          </cell>
          <cell r="T1187">
            <v>-49.597949999999997</v>
          </cell>
          <cell r="U1187">
            <v>-51.450110000000002</v>
          </cell>
          <cell r="V1187">
            <v>-50.994070000000001</v>
          </cell>
          <cell r="W1187">
            <v>-54.529159999999997</v>
          </cell>
          <cell r="X1187">
            <v>-60.270099999999999</v>
          </cell>
          <cell r="Y1187">
            <v>-40.956010999999997</v>
          </cell>
        </row>
        <row r="1188">
          <cell r="B1188">
            <v>481425</v>
          </cell>
          <cell r="C1188" t="str">
            <v>NOT USED</v>
          </cell>
          <cell r="D1188" t="str">
            <v>GAS REVENUE-BUNDLED-INDUSTRIAL-UNBILLED DELIVERY</v>
          </cell>
          <cell r="E1188" t="str">
            <v/>
          </cell>
          <cell r="F1188" t="str">
            <v/>
          </cell>
          <cell r="G1188" t="str">
            <v/>
          </cell>
          <cell r="H1188" t="str">
            <v/>
          </cell>
          <cell r="I1188" t="str">
            <v/>
          </cell>
          <cell r="J1188" t="str">
            <v/>
          </cell>
          <cell r="K1188" t="str">
            <v/>
          </cell>
          <cell r="L1188">
            <v>-4.16439</v>
          </cell>
          <cell r="M1188">
            <v>-10.88359</v>
          </cell>
          <cell r="N1188">
            <v>-5.98888</v>
          </cell>
          <cell r="O1188">
            <v>4.48611</v>
          </cell>
          <cell r="P1188">
            <v>13.01801</v>
          </cell>
          <cell r="Q1188">
            <v>15.30401</v>
          </cell>
          <cell r="R1188">
            <v>26.693000000000001</v>
          </cell>
          <cell r="S1188">
            <v>27.799489999999999</v>
          </cell>
          <cell r="T1188">
            <v>25.128039999999999</v>
          </cell>
          <cell r="U1188">
            <v>25.597560000000001</v>
          </cell>
          <cell r="V1188">
            <v>14.85713</v>
          </cell>
          <cell r="W1188">
            <v>7.1842699999999997</v>
          </cell>
          <cell r="X1188">
            <v>-3.7376</v>
          </cell>
          <cell r="Y1188">
            <v>11.603680000000001</v>
          </cell>
        </row>
        <row r="1189">
          <cell r="B1189">
            <v>481426</v>
          </cell>
          <cell r="C1189" t="str">
            <v>NOT USED</v>
          </cell>
          <cell r="D1189" t="str">
            <v>GAS REVENUE-BUNDLED-INDUSTRIAL-SURCHARGE</v>
          </cell>
          <cell r="E1189" t="str">
            <v/>
          </cell>
          <cell r="F1189" t="str">
            <v/>
          </cell>
          <cell r="G1189" t="str">
            <v/>
          </cell>
          <cell r="H1189" t="str">
            <v/>
          </cell>
          <cell r="I1189" t="str">
            <v/>
          </cell>
          <cell r="J1189" t="str">
            <v/>
          </cell>
          <cell r="K1189" t="str">
            <v/>
          </cell>
          <cell r="L1189">
            <v>-59.704180000000001</v>
          </cell>
          <cell r="M1189">
            <v>-16.364699999999999</v>
          </cell>
          <cell r="N1189">
            <v>-30.862549999999999</v>
          </cell>
          <cell r="O1189">
            <v>-44.06812</v>
          </cell>
          <cell r="P1189">
            <v>-54.330800000000004</v>
          </cell>
          <cell r="Q1189">
            <v>-60.275280000000002</v>
          </cell>
          <cell r="R1189">
            <v>-64.353089999999995</v>
          </cell>
          <cell r="S1189">
            <v>-67.386070000000004</v>
          </cell>
          <cell r="T1189">
            <v>-69.492329999999995</v>
          </cell>
          <cell r="U1189">
            <v>-72.190539999999999</v>
          </cell>
          <cell r="V1189">
            <v>-71.526129999999995</v>
          </cell>
          <cell r="W1189">
            <v>-76.49042</v>
          </cell>
          <cell r="X1189">
            <v>-84.032219999999995</v>
          </cell>
          <cell r="Y1189">
            <v>-58.267353</v>
          </cell>
        </row>
        <row r="1190">
          <cell r="B1190">
            <v>481430</v>
          </cell>
          <cell r="C1190" t="str">
            <v>NOT USED</v>
          </cell>
          <cell r="D1190" t="str">
            <v>GAS REVENUE-BUNDLED-INDUSTRIAL-COMMODITY</v>
          </cell>
          <cell r="E1190" t="str">
            <v/>
          </cell>
          <cell r="F1190" t="str">
            <v/>
          </cell>
          <cell r="G1190" t="str">
            <v/>
          </cell>
          <cell r="H1190" t="str">
            <v/>
          </cell>
          <cell r="I1190" t="str">
            <v/>
          </cell>
          <cell r="J1190" t="str">
            <v/>
          </cell>
          <cell r="K1190" t="str">
            <v/>
          </cell>
          <cell r="L1190">
            <v>-1779.35897</v>
          </cell>
          <cell r="M1190">
            <v>-401.47645</v>
          </cell>
          <cell r="N1190">
            <v>-746.51646000000005</v>
          </cell>
          <cell r="O1190">
            <v>-1057.35042</v>
          </cell>
          <cell r="P1190">
            <v>-1292.1477199999999</v>
          </cell>
          <cell r="Q1190">
            <v>-1431.3673200000001</v>
          </cell>
          <cell r="R1190">
            <v>-1529.19598</v>
          </cell>
          <cell r="S1190">
            <v>-1599.6874800000001</v>
          </cell>
          <cell r="T1190">
            <v>-1647.28512</v>
          </cell>
          <cell r="U1190">
            <v>-1707.3740499999999</v>
          </cell>
          <cell r="V1190">
            <v>-1690.4665299999999</v>
          </cell>
          <cell r="W1190">
            <v>-1800.0772899999999</v>
          </cell>
          <cell r="X1190">
            <v>-1981.14456</v>
          </cell>
          <cell r="Y1190">
            <v>-1398.5997150000001</v>
          </cell>
        </row>
        <row r="1191">
          <cell r="B1191">
            <v>481434</v>
          </cell>
          <cell r="C1191" t="str">
            <v>NOT USED</v>
          </cell>
          <cell r="D1191" t="str">
            <v>GAS REVENUE-BUNDLED-INDUSTRIAL-WNA</v>
          </cell>
          <cell r="E1191" t="str">
            <v/>
          </cell>
          <cell r="F1191" t="str">
            <v/>
          </cell>
          <cell r="G1191" t="str">
            <v/>
          </cell>
          <cell r="H1191" t="str">
            <v/>
          </cell>
          <cell r="I1191" t="str">
            <v/>
          </cell>
          <cell r="J1191" t="str">
            <v/>
          </cell>
          <cell r="K1191" t="str">
            <v/>
          </cell>
          <cell r="L1191">
            <v>-3.3502200000000002</v>
          </cell>
          <cell r="M1191">
            <v>4.6314500000000001</v>
          </cell>
          <cell r="N1191">
            <v>8.0615699999999997</v>
          </cell>
          <cell r="O1191">
            <v>8.5529899999999994</v>
          </cell>
          <cell r="P1191">
            <v>10.171060000000001</v>
          </cell>
          <cell r="Q1191">
            <v>11.883279999999999</v>
          </cell>
          <cell r="R1191">
            <v>9.7019800000000007</v>
          </cell>
          <cell r="S1191">
            <v>9.7692300000000003</v>
          </cell>
          <cell r="T1191">
            <v>9.7672500000000007</v>
          </cell>
          <cell r="U1191">
            <v>9.7672500000000007</v>
          </cell>
          <cell r="V1191">
            <v>9.3313799999999993</v>
          </cell>
          <cell r="W1191">
            <v>7.9210599999999998</v>
          </cell>
          <cell r="X1191">
            <v>2.0286499999999998</v>
          </cell>
          <cell r="Y1191">
            <v>8.2414760000000005</v>
          </cell>
        </row>
        <row r="1192">
          <cell r="B1192">
            <v>481435</v>
          </cell>
          <cell r="C1192" t="str">
            <v>NOT USED</v>
          </cell>
          <cell r="D1192" t="str">
            <v>GAS REVENUE-BUNDLED-INDUSTRIAL-UNBILLED COMMODITY</v>
          </cell>
          <cell r="E1192" t="str">
            <v/>
          </cell>
          <cell r="F1192" t="str">
            <v/>
          </cell>
          <cell r="G1192" t="str">
            <v/>
          </cell>
          <cell r="H1192" t="str">
            <v/>
          </cell>
          <cell r="I1192" t="str">
            <v/>
          </cell>
          <cell r="J1192" t="str">
            <v/>
          </cell>
          <cell r="K1192" t="str">
            <v/>
          </cell>
          <cell r="L1192">
            <v>12.67122</v>
          </cell>
          <cell r="M1192">
            <v>-49.302959999999999</v>
          </cell>
          <cell r="N1192">
            <v>-22.83098</v>
          </cell>
          <cell r="O1192">
            <v>23.047540000000001</v>
          </cell>
          <cell r="P1192">
            <v>64.241519999999994</v>
          </cell>
          <cell r="Q1192">
            <v>95.065250000000006</v>
          </cell>
          <cell r="R1192">
            <v>130.72306</v>
          </cell>
          <cell r="S1192">
            <v>136.22173000000001</v>
          </cell>
          <cell r="T1192">
            <v>123.5474</v>
          </cell>
          <cell r="U1192">
            <v>128.13722000000001</v>
          </cell>
          <cell r="V1192">
            <v>93.186809999999994</v>
          </cell>
          <cell r="W1192">
            <v>71.075860000000006</v>
          </cell>
          <cell r="X1192">
            <v>29.674499999999998</v>
          </cell>
          <cell r="Y1192">
            <v>67.857108999999994</v>
          </cell>
        </row>
        <row r="1193">
          <cell r="B1193">
            <v>481440</v>
          </cell>
          <cell r="C1193" t="str">
            <v>NOT USED</v>
          </cell>
          <cell r="D1193" t="str">
            <v>GAS REVENUE-BUNDLED-INDUSTRIAL-MFC</v>
          </cell>
          <cell r="E1193" t="str">
            <v/>
          </cell>
          <cell r="F1193" t="str">
            <v/>
          </cell>
          <cell r="G1193" t="str">
            <v/>
          </cell>
          <cell r="H1193" t="str">
            <v/>
          </cell>
          <cell r="I1193" t="str">
            <v/>
          </cell>
          <cell r="J1193" t="str">
            <v/>
          </cell>
          <cell r="K1193" t="str">
            <v/>
          </cell>
          <cell r="L1193">
            <v>-81.666640000000001</v>
          </cell>
          <cell r="M1193">
            <v>-23.118690000000001</v>
          </cell>
          <cell r="N1193">
            <v>-43.549799999999998</v>
          </cell>
          <cell r="O1193">
            <v>-62.130920000000003</v>
          </cell>
          <cell r="P1193">
            <v>-76.535619999999994</v>
          </cell>
          <cell r="Q1193">
            <v>-84.899569999999997</v>
          </cell>
          <cell r="R1193">
            <v>-90.648359999999997</v>
          </cell>
          <cell r="S1193">
            <v>-94.911640000000006</v>
          </cell>
          <cell r="T1193">
            <v>-97.868530000000007</v>
          </cell>
          <cell r="U1193">
            <v>-101.51624</v>
          </cell>
          <cell r="V1193">
            <v>-100.43508</v>
          </cell>
          <cell r="W1193">
            <v>-106.83776</v>
          </cell>
          <cell r="X1193">
            <v>-116.72671</v>
          </cell>
          <cell r="Y1193">
            <v>-81.804074</v>
          </cell>
        </row>
        <row r="1194">
          <cell r="B1194">
            <v>481473</v>
          </cell>
          <cell r="C1194" t="str">
            <v>NOT USED</v>
          </cell>
          <cell r="D1194" t="str">
            <v>GAS REVENUE-BUNDLED-INDUSTRIAL-GRT DELIVERY</v>
          </cell>
          <cell r="E1194" t="str">
            <v/>
          </cell>
          <cell r="F1194" t="str">
            <v/>
          </cell>
          <cell r="G1194" t="str">
            <v/>
          </cell>
          <cell r="H1194" t="str">
            <v/>
          </cell>
          <cell r="I1194" t="str">
            <v/>
          </cell>
          <cell r="J1194" t="str">
            <v/>
          </cell>
          <cell r="K1194" t="str">
            <v/>
          </cell>
          <cell r="L1194">
            <v>-5.4316199999999997</v>
          </cell>
          <cell r="M1194">
            <v>-1.0329900000000001</v>
          </cell>
          <cell r="N1194">
            <v>-2.1710199999999999</v>
          </cell>
          <cell r="O1194">
            <v>-3.2476799999999999</v>
          </cell>
          <cell r="P1194">
            <v>-4.1674499999999997</v>
          </cell>
          <cell r="Q1194">
            <v>-4.6937499999999996</v>
          </cell>
          <cell r="R1194">
            <v>-5.1055299999999999</v>
          </cell>
          <cell r="S1194">
            <v>-5.4778700000000002</v>
          </cell>
          <cell r="T1194">
            <v>-5.8067799999999998</v>
          </cell>
          <cell r="U1194">
            <v>-6.1919399999999998</v>
          </cell>
          <cell r="V1194">
            <v>-6.0542800000000003</v>
          </cell>
          <cell r="W1194">
            <v>-6.5376300000000001</v>
          </cell>
          <cell r="X1194">
            <v>-7.4146999999999998</v>
          </cell>
          <cell r="Y1194">
            <v>-4.7425069999999998</v>
          </cell>
        </row>
        <row r="1195">
          <cell r="B1195">
            <v>481474</v>
          </cell>
          <cell r="C1195" t="str">
            <v>NOT USED</v>
          </cell>
          <cell r="D1195" t="str">
            <v>GAS REVENUE-BUNDLED-INDUSTRIAL-GRT COMMODITY</v>
          </cell>
          <cell r="E1195" t="str">
            <v/>
          </cell>
          <cell r="F1195" t="str">
            <v/>
          </cell>
          <cell r="G1195" t="str">
            <v/>
          </cell>
          <cell r="H1195" t="str">
            <v/>
          </cell>
          <cell r="I1195" t="str">
            <v/>
          </cell>
          <cell r="J1195" t="str">
            <v/>
          </cell>
          <cell r="K1195" t="str">
            <v/>
          </cell>
          <cell r="L1195">
            <v>-22.16985</v>
          </cell>
          <cell r="M1195">
            <v>-4.5661100000000001</v>
          </cell>
          <cell r="N1195">
            <v>-9.5917300000000001</v>
          </cell>
          <cell r="O1195">
            <v>-14.05373</v>
          </cell>
          <cell r="P1195">
            <v>-17.892510000000001</v>
          </cell>
          <cell r="Q1195">
            <v>-20.078099999999999</v>
          </cell>
          <cell r="R1195">
            <v>-21.479620000000001</v>
          </cell>
          <cell r="S1195">
            <v>-22.93149</v>
          </cell>
          <cell r="T1195">
            <v>-24.14432</v>
          </cell>
          <cell r="U1195">
            <v>-25.544519999999999</v>
          </cell>
          <cell r="V1195">
            <v>-24.330829999999999</v>
          </cell>
          <cell r="W1195">
            <v>-25.743130000000001</v>
          </cell>
          <cell r="X1195">
            <v>-28.413270000000001</v>
          </cell>
          <cell r="Y1195">
            <v>-19.637304</v>
          </cell>
        </row>
        <row r="1196">
          <cell r="B1196">
            <v>482100</v>
          </cell>
          <cell r="C1196" t="str">
            <v>NOT USED</v>
          </cell>
          <cell r="D1196" t="str">
            <v>GAS REVENUE - MUNICIPAL-REGULAR</v>
          </cell>
          <cell r="E1196" t="str">
            <v/>
          </cell>
          <cell r="F1196" t="str">
            <v/>
          </cell>
          <cell r="G1196" t="str">
            <v/>
          </cell>
          <cell r="H1196" t="str">
            <v/>
          </cell>
          <cell r="I1196" t="str">
            <v/>
          </cell>
          <cell r="J1196" t="str">
            <v/>
          </cell>
          <cell r="K1196" t="str">
            <v/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</row>
        <row r="1197">
          <cell r="B1197">
            <v>482120</v>
          </cell>
          <cell r="C1197" t="str">
            <v>NOT USED</v>
          </cell>
          <cell r="D1197" t="str">
            <v>GAS REVENUE-BUNDLED - MUNICIPAL-DELIVERY</v>
          </cell>
          <cell r="E1197" t="str">
            <v/>
          </cell>
          <cell r="F1197" t="str">
            <v/>
          </cell>
          <cell r="G1197" t="str">
            <v/>
          </cell>
          <cell r="H1197" t="str">
            <v/>
          </cell>
          <cell r="I1197" t="str">
            <v/>
          </cell>
          <cell r="J1197" t="str">
            <v/>
          </cell>
          <cell r="K1197" t="str">
            <v/>
          </cell>
          <cell r="L1197">
            <v>-612.75549000000001</v>
          </cell>
          <cell r="M1197">
            <v>-100.03404999999999</v>
          </cell>
          <cell r="N1197">
            <v>-200.26412999999999</v>
          </cell>
          <cell r="O1197">
            <v>-288.08118000000002</v>
          </cell>
          <cell r="P1197">
            <v>-356.83461</v>
          </cell>
          <cell r="Q1197">
            <v>-401.93133</v>
          </cell>
          <cell r="R1197">
            <v>-429.04880000000003</v>
          </cell>
          <cell r="S1197">
            <v>-447.56893000000002</v>
          </cell>
          <cell r="T1197">
            <v>-464.97555</v>
          </cell>
          <cell r="U1197">
            <v>-485.08080000000001</v>
          </cell>
          <cell r="V1197">
            <v>-516.51693</v>
          </cell>
          <cell r="W1197">
            <v>-565.15129999999999</v>
          </cell>
          <cell r="X1197">
            <v>-636.77937999999995</v>
          </cell>
          <cell r="Y1197">
            <v>-406.68792000000002</v>
          </cell>
        </row>
        <row r="1198">
          <cell r="B1198">
            <v>482124</v>
          </cell>
          <cell r="C1198" t="str">
            <v>NOT USED</v>
          </cell>
          <cell r="D1198" t="str">
            <v>GAS REVENUE-BUNDLED - MUNICIPAL-EEPS</v>
          </cell>
          <cell r="E1198" t="str">
            <v/>
          </cell>
          <cell r="F1198" t="str">
            <v/>
          </cell>
          <cell r="G1198" t="str">
            <v/>
          </cell>
          <cell r="H1198" t="str">
            <v/>
          </cell>
          <cell r="I1198" t="str">
            <v/>
          </cell>
          <cell r="J1198" t="str">
            <v/>
          </cell>
          <cell r="K1198" t="str">
            <v/>
          </cell>
          <cell r="L1198">
            <v>-37.313180000000003</v>
          </cell>
          <cell r="M1198">
            <v>-17.534829999999999</v>
          </cell>
          <cell r="N1198">
            <v>-32.681019999999997</v>
          </cell>
          <cell r="O1198">
            <v>-45.655500000000004</v>
          </cell>
          <cell r="P1198">
            <v>-55.119109999999999</v>
          </cell>
          <cell r="Q1198">
            <v>-60.636789999999998</v>
          </cell>
          <cell r="R1198">
            <v>-63.354930000000003</v>
          </cell>
          <cell r="S1198">
            <v>-64.872839999999997</v>
          </cell>
          <cell r="T1198">
            <v>-66.284679999999994</v>
          </cell>
          <cell r="U1198">
            <v>-67.892970000000005</v>
          </cell>
          <cell r="V1198">
            <v>-70.73563</v>
          </cell>
          <cell r="W1198">
            <v>-75.887230000000002</v>
          </cell>
          <cell r="X1198">
            <v>-84.404380000000003</v>
          </cell>
          <cell r="Y1198">
            <v>-56.792859</v>
          </cell>
        </row>
        <row r="1199">
          <cell r="B1199">
            <v>482125</v>
          </cell>
          <cell r="C1199" t="str">
            <v>NOT USED</v>
          </cell>
          <cell r="D1199" t="str">
            <v>GAS REVENUE-BUNDLED-MUNICIPAL-UNBILLED-DELIVERY</v>
          </cell>
          <cell r="E1199" t="str">
            <v/>
          </cell>
          <cell r="F1199" t="str">
            <v/>
          </cell>
          <cell r="G1199" t="str">
            <v/>
          </cell>
          <cell r="H1199" t="str">
            <v/>
          </cell>
          <cell r="I1199" t="str">
            <v/>
          </cell>
          <cell r="J1199" t="str">
            <v/>
          </cell>
          <cell r="K1199" t="str">
            <v/>
          </cell>
          <cell r="L1199">
            <v>-9.9151000000000007</v>
          </cell>
          <cell r="M1199">
            <v>-11.824439999999999</v>
          </cell>
          <cell r="N1199">
            <v>-3.7270699999999999</v>
          </cell>
          <cell r="O1199">
            <v>4.5444599999999999</v>
          </cell>
          <cell r="P1199">
            <v>23.451589999999999</v>
          </cell>
          <cell r="Q1199">
            <v>28.621200000000002</v>
          </cell>
          <cell r="R1199">
            <v>44.797600000000003</v>
          </cell>
          <cell r="S1199">
            <v>46.599170000000001</v>
          </cell>
          <cell r="T1199">
            <v>43.085909999999998</v>
          </cell>
          <cell r="U1199">
            <v>42.007829999999998</v>
          </cell>
          <cell r="V1199">
            <v>29.018129999999999</v>
          </cell>
          <cell r="W1199">
            <v>10.950089999999999</v>
          </cell>
          <cell r="X1199">
            <v>-6.1731600000000002</v>
          </cell>
          <cell r="Y1199">
            <v>20.790028</v>
          </cell>
        </row>
        <row r="1200">
          <cell r="B1200">
            <v>482126</v>
          </cell>
          <cell r="C1200" t="str">
            <v>NOT USED</v>
          </cell>
          <cell r="D1200" t="str">
            <v>GAS REVENUE-BUNDLED-PUBLIC AUTHORITY SURCHARGE</v>
          </cell>
          <cell r="E1200" t="str">
            <v/>
          </cell>
          <cell r="F1200" t="str">
            <v/>
          </cell>
          <cell r="G1200" t="str">
            <v/>
          </cell>
          <cell r="H1200" t="str">
            <v/>
          </cell>
          <cell r="I1200" t="str">
            <v/>
          </cell>
          <cell r="J1200" t="str">
            <v/>
          </cell>
          <cell r="K1200" t="str">
            <v/>
          </cell>
          <cell r="L1200">
            <v>-104.07095</v>
          </cell>
          <cell r="M1200">
            <v>-22.046150000000001</v>
          </cell>
          <cell r="N1200">
            <v>-44.133629999999997</v>
          </cell>
          <cell r="O1200">
            <v>-63.034849999999999</v>
          </cell>
          <cell r="P1200">
            <v>-76.821789999999993</v>
          </cell>
          <cell r="Q1200">
            <v>-84.860010000000003</v>
          </cell>
          <cell r="R1200">
            <v>-88.819839999999999</v>
          </cell>
          <cell r="S1200">
            <v>-91.030820000000006</v>
          </cell>
          <cell r="T1200">
            <v>-93.087569999999999</v>
          </cell>
          <cell r="U1200">
            <v>-95.430729999999997</v>
          </cell>
          <cell r="V1200">
            <v>-99.572010000000006</v>
          </cell>
          <cell r="W1200">
            <v>-106.69185</v>
          </cell>
          <cell r="X1200">
            <v>-117.87809</v>
          </cell>
          <cell r="Y1200">
            <v>-81.375314000000003</v>
          </cell>
        </row>
        <row r="1201">
          <cell r="B1201">
            <v>482130</v>
          </cell>
          <cell r="C1201" t="str">
            <v>NOT USED</v>
          </cell>
          <cell r="D1201" t="str">
            <v>GAS REVENUE-BUNDLED - MUNICIPAL-COMMODITY</v>
          </cell>
          <cell r="E1201" t="str">
            <v/>
          </cell>
          <cell r="F1201" t="str">
            <v/>
          </cell>
          <cell r="G1201" t="str">
            <v/>
          </cell>
          <cell r="H1201" t="str">
            <v/>
          </cell>
          <cell r="I1201" t="str">
            <v/>
          </cell>
          <cell r="J1201" t="str">
            <v/>
          </cell>
          <cell r="K1201" t="str">
            <v/>
          </cell>
          <cell r="L1201">
            <v>-2924.5547999999999</v>
          </cell>
          <cell r="M1201">
            <v>-540.48238000000003</v>
          </cell>
          <cell r="N1201">
            <v>-1069.4461699999999</v>
          </cell>
          <cell r="O1201">
            <v>-1511.79312</v>
          </cell>
          <cell r="P1201">
            <v>-1827.8964800000001</v>
          </cell>
          <cell r="Q1201">
            <v>-2017.32629</v>
          </cell>
          <cell r="R1201">
            <v>-2112.2635399999999</v>
          </cell>
          <cell r="S1201">
            <v>-2163.5447800000002</v>
          </cell>
          <cell r="T1201">
            <v>-2210.3983499999999</v>
          </cell>
          <cell r="U1201">
            <v>-2262.63402</v>
          </cell>
          <cell r="V1201">
            <v>-2350.6902100000002</v>
          </cell>
          <cell r="W1201">
            <v>-2510.1736000000001</v>
          </cell>
          <cell r="X1201">
            <v>-2778.9460600000002</v>
          </cell>
          <cell r="Y1201">
            <v>-1952.366614</v>
          </cell>
        </row>
        <row r="1202">
          <cell r="B1202">
            <v>482134</v>
          </cell>
          <cell r="C1202" t="str">
            <v>NOT USED</v>
          </cell>
          <cell r="D1202" t="str">
            <v>GAS REVENUE-BUNDLED-MUNICIPAL-WNA</v>
          </cell>
          <cell r="E1202" t="str">
            <v/>
          </cell>
          <cell r="F1202" t="str">
            <v/>
          </cell>
          <cell r="G1202" t="str">
            <v/>
          </cell>
          <cell r="H1202" t="str">
            <v/>
          </cell>
          <cell r="I1202" t="str">
            <v/>
          </cell>
          <cell r="J1202" t="str">
            <v/>
          </cell>
          <cell r="K1202" t="str">
            <v/>
          </cell>
          <cell r="L1202">
            <v>-7.3452700000000002</v>
          </cell>
          <cell r="M1202">
            <v>6.9905499999999998</v>
          </cell>
          <cell r="N1202">
            <v>12.486179999999999</v>
          </cell>
          <cell r="O1202">
            <v>13.44501</v>
          </cell>
          <cell r="P1202">
            <v>16.549399999999999</v>
          </cell>
          <cell r="Q1202">
            <v>18.454339999999998</v>
          </cell>
          <cell r="R1202">
            <v>15.87317</v>
          </cell>
          <cell r="S1202">
            <v>15.91938</v>
          </cell>
          <cell r="T1202">
            <v>15.92554</v>
          </cell>
          <cell r="U1202">
            <v>15.92718</v>
          </cell>
          <cell r="V1202">
            <v>13.96397</v>
          </cell>
          <cell r="W1202">
            <v>11.40085</v>
          </cell>
          <cell r="X1202">
            <v>2.09545</v>
          </cell>
          <cell r="Y1202">
            <v>12.859222000000001</v>
          </cell>
        </row>
        <row r="1203">
          <cell r="B1203">
            <v>482135</v>
          </cell>
          <cell r="C1203" t="str">
            <v>NOT USED</v>
          </cell>
          <cell r="D1203" t="str">
            <v>GAS REVENUE-BUNDLED-MUNICIPAL-UNBILLED-COMMODITY</v>
          </cell>
          <cell r="E1203" t="str">
            <v/>
          </cell>
          <cell r="F1203" t="str">
            <v/>
          </cell>
          <cell r="G1203" t="str">
            <v/>
          </cell>
          <cell r="H1203" t="str">
            <v/>
          </cell>
          <cell r="I1203" t="str">
            <v/>
          </cell>
          <cell r="J1203" t="str">
            <v/>
          </cell>
          <cell r="K1203" t="str">
            <v/>
          </cell>
          <cell r="L1203">
            <v>-15.518969999999999</v>
          </cell>
          <cell r="M1203">
            <v>-38.172710000000002</v>
          </cell>
          <cell r="N1203">
            <v>9.4194899999999997</v>
          </cell>
          <cell r="O1203">
            <v>50.146990000000002</v>
          </cell>
          <cell r="P1203">
            <v>131.23562000000001</v>
          </cell>
          <cell r="Q1203">
            <v>171.10812999999999</v>
          </cell>
          <cell r="R1203">
            <v>220.35649000000001</v>
          </cell>
          <cell r="S1203">
            <v>226.87396000000001</v>
          </cell>
          <cell r="T1203">
            <v>213.42417</v>
          </cell>
          <cell r="U1203">
            <v>212.33903000000001</v>
          </cell>
          <cell r="V1203">
            <v>166.45648</v>
          </cell>
          <cell r="W1203">
            <v>115.50717</v>
          </cell>
          <cell r="X1203">
            <v>53.800269999999998</v>
          </cell>
          <cell r="Y1203">
            <v>124.81962300000001</v>
          </cell>
        </row>
        <row r="1204">
          <cell r="B1204">
            <v>482140</v>
          </cell>
          <cell r="C1204" t="str">
            <v>NOT USED</v>
          </cell>
          <cell r="D1204" t="str">
            <v>GAS REVENUE-BUNDLED-MUNICIPAL-MFC</v>
          </cell>
          <cell r="E1204" t="str">
            <v/>
          </cell>
          <cell r="F1204" t="str">
            <v/>
          </cell>
          <cell r="G1204" t="str">
            <v/>
          </cell>
          <cell r="H1204" t="str">
            <v/>
          </cell>
          <cell r="I1204" t="str">
            <v/>
          </cell>
          <cell r="J1204" t="str">
            <v/>
          </cell>
          <cell r="K1204" t="str">
            <v/>
          </cell>
          <cell r="L1204">
            <v>-135.87222</v>
          </cell>
          <cell r="M1204">
            <v>-31.153030000000001</v>
          </cell>
          <cell r="N1204">
            <v>-62.298430000000003</v>
          </cell>
          <cell r="O1204">
            <v>-88.882760000000005</v>
          </cell>
          <cell r="P1204">
            <v>-108.23788999999999</v>
          </cell>
          <cell r="Q1204">
            <v>-119.55105</v>
          </cell>
          <cell r="R1204">
            <v>-125.13329</v>
          </cell>
          <cell r="S1204">
            <v>-128.24083999999999</v>
          </cell>
          <cell r="T1204">
            <v>-131.12654000000001</v>
          </cell>
          <cell r="U1204">
            <v>-134.30080000000001</v>
          </cell>
          <cell r="V1204">
            <v>-139.56567999999999</v>
          </cell>
          <cell r="W1204">
            <v>-148.74598</v>
          </cell>
          <cell r="X1204">
            <v>-163.41714999999999</v>
          </cell>
          <cell r="Y1204">
            <v>-113.90674799999999</v>
          </cell>
        </row>
        <row r="1205">
          <cell r="B1205">
            <v>482173</v>
          </cell>
          <cell r="C1205" t="str">
            <v>NOT USED</v>
          </cell>
          <cell r="D1205" t="str">
            <v>GAS REVENUE-BUNDLED-MUNICIPAL-GRT-DELIVERY</v>
          </cell>
          <cell r="E1205" t="str">
            <v/>
          </cell>
          <cell r="F1205" t="str">
            <v/>
          </cell>
          <cell r="G1205" t="str">
            <v/>
          </cell>
          <cell r="H1205" t="str">
            <v/>
          </cell>
          <cell r="I1205" t="str">
            <v/>
          </cell>
          <cell r="J1205" t="str">
            <v/>
          </cell>
          <cell r="K1205" t="str">
            <v/>
          </cell>
          <cell r="L1205">
            <v>-10.8833</v>
          </cell>
          <cell r="M1205">
            <v>-1.93363</v>
          </cell>
          <cell r="N1205">
            <v>-3.86036</v>
          </cell>
          <cell r="O1205">
            <v>-5.5712700000000002</v>
          </cell>
          <cell r="P1205">
            <v>-6.9060300000000003</v>
          </cell>
          <cell r="Q1205">
            <v>-7.8132799999999998</v>
          </cell>
          <cell r="R1205">
            <v>-8.3929299999999998</v>
          </cell>
          <cell r="S1205">
            <v>-8.7434200000000004</v>
          </cell>
          <cell r="T1205">
            <v>-9.0840300000000003</v>
          </cell>
          <cell r="U1205">
            <v>-9.4380100000000002</v>
          </cell>
          <cell r="V1205">
            <v>-9.9496000000000002</v>
          </cell>
          <cell r="W1205">
            <v>-10.799860000000001</v>
          </cell>
          <cell r="X1205">
            <v>-12.2689</v>
          </cell>
          <cell r="Y1205">
            <v>-7.8390430000000002</v>
          </cell>
        </row>
        <row r="1206">
          <cell r="B1206">
            <v>482174</v>
          </cell>
          <cell r="C1206" t="str">
            <v>NOT USED</v>
          </cell>
          <cell r="D1206" t="str">
            <v>GAS REVENUE-BUNDLED-MUNICIPAL-GRT-COMMODITY</v>
          </cell>
          <cell r="E1206" t="str">
            <v/>
          </cell>
          <cell r="F1206" t="str">
            <v/>
          </cell>
          <cell r="G1206" t="str">
            <v/>
          </cell>
          <cell r="H1206" t="str">
            <v/>
          </cell>
          <cell r="I1206" t="str">
            <v/>
          </cell>
          <cell r="J1206" t="str">
            <v/>
          </cell>
          <cell r="K1206" t="str">
            <v/>
          </cell>
          <cell r="L1206">
            <v>-46.850709999999999</v>
          </cell>
          <cell r="M1206">
            <v>-8.6217500000000005</v>
          </cell>
          <cell r="N1206">
            <v>-17.16405</v>
          </cell>
          <cell r="O1206">
            <v>-24.22259</v>
          </cell>
          <cell r="P1206">
            <v>-29.50752</v>
          </cell>
          <cell r="Q1206">
            <v>-32.997160000000001</v>
          </cell>
          <cell r="R1206">
            <v>-34.87782</v>
          </cell>
          <cell r="S1206">
            <v>-35.958219999999997</v>
          </cell>
          <cell r="T1206">
            <v>-36.999749999999999</v>
          </cell>
          <cell r="U1206">
            <v>-38.012569999999997</v>
          </cell>
          <cell r="V1206">
            <v>-39.301250000000003</v>
          </cell>
          <cell r="W1206">
            <v>-41.633980000000001</v>
          </cell>
          <cell r="X1206">
            <v>-46.015160000000002</v>
          </cell>
          <cell r="Y1206">
            <v>-32.144132999999997</v>
          </cell>
        </row>
        <row r="1207">
          <cell r="B1207">
            <v>483101</v>
          </cell>
          <cell r="C1207" t="str">
            <v>NOT USED</v>
          </cell>
          <cell r="D1207" t="str">
            <v>GAS REV-WHOLESALE-SALES FOR RESALE</v>
          </cell>
          <cell r="E1207" t="str">
            <v/>
          </cell>
          <cell r="F1207" t="str">
            <v/>
          </cell>
          <cell r="G1207" t="str">
            <v/>
          </cell>
          <cell r="H1207" t="str">
            <v/>
          </cell>
          <cell r="I1207" t="str">
            <v/>
          </cell>
          <cell r="J1207" t="str">
            <v/>
          </cell>
          <cell r="K1207" t="str">
            <v/>
          </cell>
          <cell r="L1207">
            <v>-2472.6475999999998</v>
          </cell>
          <cell r="M1207">
            <v>-288.65800000000002</v>
          </cell>
          <cell r="N1207">
            <v>-509.72789</v>
          </cell>
          <cell r="O1207">
            <v>-810.92289000000005</v>
          </cell>
          <cell r="P1207">
            <v>-810.92289000000005</v>
          </cell>
          <cell r="Q1207">
            <v>-1219.9987900000001</v>
          </cell>
          <cell r="R1207">
            <v>-1219.9987900000001</v>
          </cell>
          <cell r="S1207">
            <v>-1219.9987900000001</v>
          </cell>
          <cell r="T1207">
            <v>-1219.9987900000001</v>
          </cell>
          <cell r="U1207">
            <v>-1219.9987900000001</v>
          </cell>
          <cell r="V1207">
            <v>-1219.9987900000001</v>
          </cell>
          <cell r="W1207">
            <v>-1236.5487900000001</v>
          </cell>
          <cell r="X1207">
            <v>-1236.5487900000001</v>
          </cell>
          <cell r="Y1207">
            <v>-1069.2809500000001</v>
          </cell>
        </row>
        <row r="1208">
          <cell r="B1208">
            <v>484000</v>
          </cell>
          <cell r="C1208" t="str">
            <v>NOT USED</v>
          </cell>
          <cell r="D1208" t="str">
            <v>GAS REV-SALES OF GAS-INTERDEPARTMENTAL</v>
          </cell>
          <cell r="E1208" t="str">
            <v/>
          </cell>
          <cell r="F1208" t="str">
            <v/>
          </cell>
          <cell r="G1208" t="str">
            <v/>
          </cell>
          <cell r="H1208" t="str">
            <v/>
          </cell>
          <cell r="I1208" t="str">
            <v/>
          </cell>
          <cell r="J1208" t="str">
            <v/>
          </cell>
          <cell r="K1208" t="str">
            <v/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</row>
        <row r="1209">
          <cell r="B1209">
            <v>487000</v>
          </cell>
          <cell r="C1209" t="str">
            <v>NOT USED</v>
          </cell>
          <cell r="D1209" t="str">
            <v>GAS REVENUE - LATE PAYMENT CHARGE</v>
          </cell>
          <cell r="E1209" t="str">
            <v/>
          </cell>
          <cell r="F1209" t="str">
            <v/>
          </cell>
          <cell r="G1209" t="str">
            <v/>
          </cell>
          <cell r="H1209" t="str">
            <v/>
          </cell>
          <cell r="I1209" t="str">
            <v/>
          </cell>
          <cell r="J1209" t="str">
            <v/>
          </cell>
          <cell r="K1209" t="str">
            <v/>
          </cell>
          <cell r="L1209">
            <v>-1386.0551800000001</v>
          </cell>
          <cell r="M1209">
            <v>-107.9659</v>
          </cell>
          <cell r="N1209">
            <v>-221.00763000000001</v>
          </cell>
          <cell r="O1209">
            <v>-497.6035</v>
          </cell>
          <cell r="P1209">
            <v>-666.22406999999998</v>
          </cell>
          <cell r="Q1209">
            <v>-813.25752999999997</v>
          </cell>
          <cell r="R1209">
            <v>-985.44223</v>
          </cell>
          <cell r="S1209">
            <v>-1065.41866</v>
          </cell>
          <cell r="T1209">
            <v>-1127.76061</v>
          </cell>
          <cell r="U1209">
            <v>-1250.2780499999999</v>
          </cell>
          <cell r="V1209">
            <v>-1306.89615</v>
          </cell>
          <cell r="W1209">
            <v>-1368.1488400000001</v>
          </cell>
          <cell r="X1209">
            <v>-1493.0893699999999</v>
          </cell>
          <cell r="Y1209">
            <v>-904.13128700000004</v>
          </cell>
        </row>
        <row r="1210">
          <cell r="B1210">
            <v>488100</v>
          </cell>
          <cell r="C1210" t="str">
            <v>NOT USED</v>
          </cell>
          <cell r="D1210" t="str">
            <v>GAS REVENUE - MISCELLANEOUS-DOMESTIC</v>
          </cell>
          <cell r="E1210" t="str">
            <v/>
          </cell>
          <cell r="F1210" t="str">
            <v/>
          </cell>
          <cell r="G1210" t="str">
            <v/>
          </cell>
          <cell r="H1210" t="str">
            <v/>
          </cell>
          <cell r="I1210" t="str">
            <v/>
          </cell>
          <cell r="J1210" t="str">
            <v/>
          </cell>
          <cell r="K1210" t="str">
            <v/>
          </cell>
          <cell r="L1210">
            <v>-164.27</v>
          </cell>
          <cell r="M1210">
            <v>-7.6079999999999997</v>
          </cell>
          <cell r="N1210">
            <v>-9.98</v>
          </cell>
          <cell r="O1210">
            <v>-19.129000000000001</v>
          </cell>
          <cell r="P1210">
            <v>-33.604999999999997</v>
          </cell>
          <cell r="Q1210">
            <v>-44.073999999999998</v>
          </cell>
          <cell r="R1210">
            <v>-48.07</v>
          </cell>
          <cell r="S1210">
            <v>-56.393999999999998</v>
          </cell>
          <cell r="T1210">
            <v>-68.522000000000006</v>
          </cell>
          <cell r="U1210">
            <v>-76.736000000000004</v>
          </cell>
          <cell r="V1210">
            <v>-91.372</v>
          </cell>
          <cell r="W1210">
            <v>-94.096000000000004</v>
          </cell>
          <cell r="X1210">
            <v>-99.081000000000003</v>
          </cell>
          <cell r="Y1210">
            <v>-56.771791999999998</v>
          </cell>
        </row>
        <row r="1211">
          <cell r="B1211">
            <v>489000</v>
          </cell>
          <cell r="C1211" t="str">
            <v>NOT USED</v>
          </cell>
          <cell r="D1211" t="str">
            <v>GAS REVENUE /TRANSPORTATION / SC3</v>
          </cell>
          <cell r="E1211" t="str">
            <v/>
          </cell>
          <cell r="F1211" t="str">
            <v/>
          </cell>
          <cell r="G1211" t="str">
            <v/>
          </cell>
          <cell r="H1211" t="str">
            <v/>
          </cell>
          <cell r="I1211" t="str">
            <v/>
          </cell>
          <cell r="J1211" t="str">
            <v/>
          </cell>
          <cell r="K1211" t="str">
            <v/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</row>
        <row r="1212">
          <cell r="B1212">
            <v>489010</v>
          </cell>
          <cell r="C1212" t="str">
            <v>NOT USED</v>
          </cell>
          <cell r="D1212" t="str">
            <v>T-GAS REVENUES-LARGE -PENALTIES - SC3</v>
          </cell>
          <cell r="E1212" t="str">
            <v/>
          </cell>
          <cell r="F1212" t="str">
            <v/>
          </cell>
          <cell r="G1212" t="str">
            <v/>
          </cell>
          <cell r="H1212" t="str">
            <v/>
          </cell>
          <cell r="I1212" t="str">
            <v/>
          </cell>
          <cell r="J1212" t="str">
            <v/>
          </cell>
          <cell r="K1212" t="str">
            <v/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</row>
        <row r="1213">
          <cell r="B1213">
            <v>489020</v>
          </cell>
          <cell r="C1213" t="str">
            <v>NOT USED</v>
          </cell>
          <cell r="D1213" t="str">
            <v>T-GAS REV-LARGE- LOW DAILY $/COMMODITY COST OF GA</v>
          </cell>
          <cell r="E1213" t="str">
            <v/>
          </cell>
          <cell r="F1213" t="str">
            <v/>
          </cell>
          <cell r="G1213" t="str">
            <v/>
          </cell>
          <cell r="H1213" t="str">
            <v/>
          </cell>
          <cell r="I1213" t="str">
            <v/>
          </cell>
          <cell r="J1213" t="str">
            <v/>
          </cell>
          <cell r="K1213" t="str">
            <v/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</row>
        <row r="1214">
          <cell r="B1214">
            <v>489040</v>
          </cell>
          <cell r="C1214" t="str">
            <v>NOT USED</v>
          </cell>
          <cell r="D1214" t="str">
            <v>T-GAS STORAGE BALANCING SERVICE CHARGE - SC3</v>
          </cell>
          <cell r="E1214" t="str">
            <v/>
          </cell>
          <cell r="F1214" t="str">
            <v/>
          </cell>
          <cell r="G1214" t="str">
            <v/>
          </cell>
          <cell r="H1214" t="str">
            <v/>
          </cell>
          <cell r="I1214" t="str">
            <v/>
          </cell>
          <cell r="J1214" t="str">
            <v/>
          </cell>
          <cell r="K1214" t="str">
            <v/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</row>
        <row r="1215">
          <cell r="B1215">
            <v>489060</v>
          </cell>
          <cell r="C1215" t="str">
            <v>NOT USED</v>
          </cell>
          <cell r="D1215" t="str">
            <v>T-GAS REVENUE-LARGE-SPECIAL METER READ - SC3</v>
          </cell>
          <cell r="E1215" t="str">
            <v/>
          </cell>
          <cell r="F1215" t="str">
            <v/>
          </cell>
          <cell r="G1215" t="str">
            <v/>
          </cell>
          <cell r="H1215" t="str">
            <v/>
          </cell>
          <cell r="I1215" t="str">
            <v/>
          </cell>
          <cell r="J1215" t="str">
            <v/>
          </cell>
          <cell r="K1215" t="str">
            <v/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</row>
        <row r="1216">
          <cell r="B1216">
            <v>489220</v>
          </cell>
          <cell r="C1216" t="str">
            <v>NOT USED</v>
          </cell>
          <cell r="D1216" t="str">
            <v>T-GAS REV -LARGE-COMMERCIAL-DELIVERY</v>
          </cell>
          <cell r="E1216" t="str">
            <v/>
          </cell>
          <cell r="F1216" t="str">
            <v/>
          </cell>
          <cell r="G1216" t="str">
            <v/>
          </cell>
          <cell r="H1216" t="str">
            <v/>
          </cell>
          <cell r="I1216" t="str">
            <v/>
          </cell>
          <cell r="J1216" t="str">
            <v/>
          </cell>
          <cell r="K1216" t="str">
            <v/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</row>
        <row r="1217">
          <cell r="B1217">
            <v>489221</v>
          </cell>
          <cell r="C1217" t="str">
            <v>NOT USED</v>
          </cell>
          <cell r="D1217" t="str">
            <v>T-GAS REV -LARGE-COMMERCIAL-TRANS RATE ADJUSTMENT</v>
          </cell>
          <cell r="E1217" t="str">
            <v/>
          </cell>
          <cell r="F1217" t="str">
            <v/>
          </cell>
          <cell r="G1217" t="str">
            <v/>
          </cell>
          <cell r="H1217" t="str">
            <v/>
          </cell>
          <cell r="I1217" t="str">
            <v/>
          </cell>
          <cell r="J1217" t="str">
            <v/>
          </cell>
          <cell r="K1217" t="str">
            <v/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</row>
        <row r="1218">
          <cell r="B1218">
            <v>489222</v>
          </cell>
          <cell r="C1218" t="str">
            <v>NOT USED</v>
          </cell>
          <cell r="D1218" t="str">
            <v>T-GAS REV -LARGE-COMMERCIAL-BALANCING</v>
          </cell>
          <cell r="E1218" t="str">
            <v/>
          </cell>
          <cell r="F1218" t="str">
            <v/>
          </cell>
          <cell r="G1218" t="str">
            <v/>
          </cell>
          <cell r="H1218" t="str">
            <v/>
          </cell>
          <cell r="I1218" t="str">
            <v/>
          </cell>
          <cell r="J1218" t="str">
            <v/>
          </cell>
          <cell r="K1218" t="str">
            <v/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</row>
        <row r="1219">
          <cell r="B1219">
            <v>489225</v>
          </cell>
          <cell r="C1219" t="str">
            <v>NOT USED</v>
          </cell>
          <cell r="D1219" t="str">
            <v>T-GAS REV-LARGE-COMMERCIAL-UNBILLED</v>
          </cell>
          <cell r="E1219" t="str">
            <v/>
          </cell>
          <cell r="F1219" t="str">
            <v/>
          </cell>
          <cell r="G1219" t="str">
            <v/>
          </cell>
          <cell r="H1219" t="str">
            <v/>
          </cell>
          <cell r="I1219" t="str">
            <v/>
          </cell>
          <cell r="J1219" t="str">
            <v/>
          </cell>
          <cell r="K1219" t="str">
            <v/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</row>
        <row r="1220">
          <cell r="B1220">
            <v>489234</v>
          </cell>
          <cell r="C1220" t="str">
            <v>NOT USED</v>
          </cell>
          <cell r="D1220" t="str">
            <v>T-GAS REV -LARGE-COMMERCIAL-WNA</v>
          </cell>
          <cell r="E1220" t="str">
            <v/>
          </cell>
          <cell r="F1220" t="str">
            <v/>
          </cell>
          <cell r="G1220" t="str">
            <v/>
          </cell>
          <cell r="H1220" t="str">
            <v/>
          </cell>
          <cell r="I1220" t="str">
            <v/>
          </cell>
          <cell r="J1220" t="str">
            <v/>
          </cell>
          <cell r="K1220" t="str">
            <v/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</row>
        <row r="1221">
          <cell r="B1221">
            <v>489526</v>
          </cell>
          <cell r="C1221" t="str">
            <v>NOT USED</v>
          </cell>
          <cell r="D1221" t="str">
            <v>T-GAS REVENUE-RESIDENTIAL SURCHARGE</v>
          </cell>
          <cell r="E1221" t="str">
            <v/>
          </cell>
          <cell r="F1221" t="str">
            <v/>
          </cell>
          <cell r="G1221" t="str">
            <v/>
          </cell>
          <cell r="H1221" t="str">
            <v/>
          </cell>
          <cell r="I1221" t="str">
            <v/>
          </cell>
          <cell r="J1221" t="str">
            <v/>
          </cell>
          <cell r="K1221" t="str">
            <v/>
          </cell>
          <cell r="L1221">
            <v>-1268.7080699999999</v>
          </cell>
          <cell r="M1221">
            <v>-287.93718999999999</v>
          </cell>
          <cell r="N1221">
            <v>-582.50021000000004</v>
          </cell>
          <cell r="O1221">
            <v>-843.68615</v>
          </cell>
          <cell r="P1221">
            <v>-1041.7280599999999</v>
          </cell>
          <cell r="Q1221">
            <v>-1157.32556</v>
          </cell>
          <cell r="R1221">
            <v>-1257.0066400000001</v>
          </cell>
          <cell r="S1221">
            <v>-1361.7153599999999</v>
          </cell>
          <cell r="T1221">
            <v>-1445.8992699999999</v>
          </cell>
          <cell r="U1221">
            <v>-1544.88321</v>
          </cell>
          <cell r="V1221">
            <v>-1636.1375700000001</v>
          </cell>
          <cell r="W1221">
            <v>-1746.6404</v>
          </cell>
          <cell r="X1221">
            <v>-1912.9746</v>
          </cell>
          <cell r="Y1221">
            <v>-1208.0250799999999</v>
          </cell>
        </row>
        <row r="1222">
          <cell r="B1222">
            <v>489320</v>
          </cell>
          <cell r="C1222" t="str">
            <v>NOT USED</v>
          </cell>
          <cell r="D1222" t="str">
            <v>T-GAS REV -LARGE-INDUSTRIAL-DELIVERY</v>
          </cell>
          <cell r="E1222" t="str">
            <v/>
          </cell>
          <cell r="F1222" t="str">
            <v/>
          </cell>
          <cell r="G1222" t="str">
            <v/>
          </cell>
          <cell r="H1222" t="str">
            <v/>
          </cell>
          <cell r="I1222" t="str">
            <v/>
          </cell>
          <cell r="J1222" t="str">
            <v/>
          </cell>
          <cell r="K1222" t="str">
            <v/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</row>
        <row r="1223">
          <cell r="B1223">
            <v>489321</v>
          </cell>
          <cell r="C1223" t="str">
            <v>NOT USED</v>
          </cell>
          <cell r="D1223" t="str">
            <v>T-GAS REV -LARGE-INDUSTRIAL-TRANS RATE ADJUSTMENT</v>
          </cell>
          <cell r="E1223" t="str">
            <v/>
          </cell>
          <cell r="F1223" t="str">
            <v/>
          </cell>
          <cell r="G1223" t="str">
            <v/>
          </cell>
          <cell r="H1223" t="str">
            <v/>
          </cell>
          <cell r="I1223" t="str">
            <v/>
          </cell>
          <cell r="J1223" t="str">
            <v/>
          </cell>
          <cell r="K1223" t="str">
            <v/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</row>
        <row r="1224">
          <cell r="B1224">
            <v>489322</v>
          </cell>
          <cell r="C1224" t="str">
            <v>NOT USED</v>
          </cell>
          <cell r="D1224" t="str">
            <v>T-GAS REV -LARGE-INDUSTRIAL-BALANCING</v>
          </cell>
          <cell r="E1224" t="str">
            <v/>
          </cell>
          <cell r="F1224" t="str">
            <v/>
          </cell>
          <cell r="G1224" t="str">
            <v/>
          </cell>
          <cell r="H1224" t="str">
            <v/>
          </cell>
          <cell r="I1224" t="str">
            <v/>
          </cell>
          <cell r="J1224" t="str">
            <v/>
          </cell>
          <cell r="K1224" t="str">
            <v/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</row>
        <row r="1225">
          <cell r="B1225">
            <v>489325</v>
          </cell>
          <cell r="C1225" t="str">
            <v>NOT USED</v>
          </cell>
          <cell r="D1225" t="str">
            <v>T-GAS REVENUE-LARGE-INDUSTRIAL-UNBILLED</v>
          </cell>
          <cell r="E1225" t="str">
            <v/>
          </cell>
          <cell r="F1225" t="str">
            <v/>
          </cell>
          <cell r="G1225" t="str">
            <v/>
          </cell>
          <cell r="H1225" t="str">
            <v/>
          </cell>
          <cell r="I1225" t="str">
            <v/>
          </cell>
          <cell r="J1225" t="str">
            <v/>
          </cell>
          <cell r="K1225" t="str">
            <v/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</row>
        <row r="1226">
          <cell r="B1226">
            <v>489334</v>
          </cell>
          <cell r="C1226" t="str">
            <v>NOT USED</v>
          </cell>
          <cell r="D1226" t="str">
            <v>T-GAS REV -LARGE-INDUSTRIAL-WNA</v>
          </cell>
          <cell r="E1226" t="str">
            <v/>
          </cell>
          <cell r="F1226" t="str">
            <v/>
          </cell>
          <cell r="G1226" t="str">
            <v/>
          </cell>
          <cell r="H1226" t="str">
            <v/>
          </cell>
          <cell r="I1226" t="str">
            <v/>
          </cell>
          <cell r="J1226" t="str">
            <v/>
          </cell>
          <cell r="K1226" t="str">
            <v/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</row>
        <row r="1227">
          <cell r="B1227">
            <v>489420</v>
          </cell>
          <cell r="C1227" t="str">
            <v>NOT USED</v>
          </cell>
          <cell r="D1227" t="str">
            <v>T-GAS REV -LARGE-MUNICIPAL-DELIVERY</v>
          </cell>
          <cell r="E1227" t="str">
            <v/>
          </cell>
          <cell r="F1227" t="str">
            <v/>
          </cell>
          <cell r="G1227" t="str">
            <v/>
          </cell>
          <cell r="H1227" t="str">
            <v/>
          </cell>
          <cell r="I1227" t="str">
            <v/>
          </cell>
          <cell r="J1227" t="str">
            <v/>
          </cell>
          <cell r="K1227" t="str">
            <v/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</row>
        <row r="1228">
          <cell r="B1228">
            <v>489421</v>
          </cell>
          <cell r="C1228" t="str">
            <v>NOT USED</v>
          </cell>
          <cell r="D1228" t="str">
            <v>T-GAS REV -LARGE-MUNICIPAL-TRANS RATE ADJUSTMENT</v>
          </cell>
          <cell r="E1228" t="str">
            <v/>
          </cell>
          <cell r="F1228" t="str">
            <v/>
          </cell>
          <cell r="G1228" t="str">
            <v/>
          </cell>
          <cell r="H1228" t="str">
            <v/>
          </cell>
          <cell r="I1228" t="str">
            <v/>
          </cell>
          <cell r="J1228" t="str">
            <v/>
          </cell>
          <cell r="K1228" t="str">
            <v/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</row>
        <row r="1229">
          <cell r="B1229">
            <v>489422</v>
          </cell>
          <cell r="C1229" t="str">
            <v>NOT USED</v>
          </cell>
          <cell r="D1229" t="str">
            <v>T-GAS REV -LARGE-MUNICIPAL-BALANCING</v>
          </cell>
          <cell r="E1229" t="str">
            <v/>
          </cell>
          <cell r="F1229" t="str">
            <v/>
          </cell>
          <cell r="G1229" t="str">
            <v/>
          </cell>
          <cell r="H1229" t="str">
            <v/>
          </cell>
          <cell r="I1229" t="str">
            <v/>
          </cell>
          <cell r="J1229" t="str">
            <v/>
          </cell>
          <cell r="K1229" t="str">
            <v/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</row>
        <row r="1230">
          <cell r="B1230">
            <v>489425</v>
          </cell>
          <cell r="C1230" t="str">
            <v>NOT USED</v>
          </cell>
          <cell r="D1230" t="str">
            <v>T-GAS REVENUE-LARGE-MUNICIPAL-UNBILLED</v>
          </cell>
          <cell r="E1230" t="str">
            <v/>
          </cell>
          <cell r="F1230" t="str">
            <v/>
          </cell>
          <cell r="G1230" t="str">
            <v/>
          </cell>
          <cell r="H1230" t="str">
            <v/>
          </cell>
          <cell r="I1230" t="str">
            <v/>
          </cell>
          <cell r="J1230" t="str">
            <v/>
          </cell>
          <cell r="K1230" t="str">
            <v/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</row>
        <row r="1231">
          <cell r="B1231">
            <v>489434</v>
          </cell>
          <cell r="C1231" t="str">
            <v>NOT USED</v>
          </cell>
          <cell r="D1231" t="str">
            <v>T-GAS REV -LARGE-MUNICIPAL-WNA</v>
          </cell>
          <cell r="E1231" t="str">
            <v/>
          </cell>
          <cell r="F1231" t="str">
            <v/>
          </cell>
          <cell r="G1231" t="str">
            <v/>
          </cell>
          <cell r="H1231" t="str">
            <v/>
          </cell>
          <cell r="I1231" t="str">
            <v/>
          </cell>
          <cell r="J1231" t="str">
            <v/>
          </cell>
          <cell r="K1231" t="str">
            <v/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</row>
        <row r="1232">
          <cell r="B1232">
            <v>489500</v>
          </cell>
          <cell r="C1232" t="str">
            <v>NOT USED</v>
          </cell>
          <cell r="D1232" t="str">
            <v>GAS REVENUE / TRANSPORTATION - SC5</v>
          </cell>
          <cell r="E1232" t="str">
            <v/>
          </cell>
          <cell r="F1232" t="str">
            <v/>
          </cell>
          <cell r="G1232" t="str">
            <v/>
          </cell>
          <cell r="H1232" t="str">
            <v/>
          </cell>
          <cell r="I1232" t="str">
            <v/>
          </cell>
          <cell r="J1232" t="str">
            <v/>
          </cell>
          <cell r="K1232" t="str">
            <v/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</row>
        <row r="1233">
          <cell r="B1233">
            <v>489520</v>
          </cell>
          <cell r="C1233" t="str">
            <v>NOT USED</v>
          </cell>
          <cell r="D1233" t="str">
            <v>T-GAS REV -SMALL-RESIDENTIAL-DELIVERY</v>
          </cell>
          <cell r="E1233" t="str">
            <v/>
          </cell>
          <cell r="F1233" t="str">
            <v/>
          </cell>
          <cell r="G1233" t="str">
            <v/>
          </cell>
          <cell r="H1233" t="str">
            <v/>
          </cell>
          <cell r="I1233" t="str">
            <v/>
          </cell>
          <cell r="J1233" t="str">
            <v/>
          </cell>
          <cell r="K1233" t="str">
            <v/>
          </cell>
          <cell r="L1233">
            <v>-17432.73055</v>
          </cell>
          <cell r="M1233">
            <v>-2539.0378599999999</v>
          </cell>
          <cell r="N1233">
            <v>-5127.0383700000002</v>
          </cell>
          <cell r="O1233">
            <v>-7601.76991</v>
          </cell>
          <cell r="P1233">
            <v>-9709.8378900000007</v>
          </cell>
          <cell r="Q1233">
            <v>-11359.00952</v>
          </cell>
          <cell r="R1233">
            <v>-12669.780720000001</v>
          </cell>
          <cell r="S1233">
            <v>-13853.73731</v>
          </cell>
          <cell r="T1233">
            <v>-14993.85483</v>
          </cell>
          <cell r="U1233">
            <v>-16194.11411</v>
          </cell>
          <cell r="V1233">
            <v>-17577.034380000001</v>
          </cell>
          <cell r="W1233">
            <v>-19404.07186</v>
          </cell>
          <cell r="X1233">
            <v>-21692.872739999999</v>
          </cell>
          <cell r="Y1233">
            <v>-12549.340700000001</v>
          </cell>
        </row>
        <row r="1234">
          <cell r="B1234">
            <v>489521</v>
          </cell>
          <cell r="C1234" t="str">
            <v>NOT USED</v>
          </cell>
          <cell r="D1234" t="str">
            <v>T-GAS REV -SMALL-RESIDENTIAL-TRANS RATE ADJUSTMEN</v>
          </cell>
          <cell r="E1234" t="str">
            <v/>
          </cell>
          <cell r="F1234" t="str">
            <v/>
          </cell>
          <cell r="G1234" t="str">
            <v/>
          </cell>
          <cell r="H1234" t="str">
            <v/>
          </cell>
          <cell r="I1234" t="str">
            <v/>
          </cell>
          <cell r="J1234" t="str">
            <v/>
          </cell>
          <cell r="K1234" t="str">
            <v/>
          </cell>
          <cell r="L1234">
            <v>72.944710000000001</v>
          </cell>
          <cell r="M1234">
            <v>-1.39314</v>
          </cell>
          <cell r="N1234">
            <v>2.8193299999999999</v>
          </cell>
          <cell r="O1234">
            <v>13.125170000000001</v>
          </cell>
          <cell r="P1234">
            <v>-45.29269</v>
          </cell>
          <cell r="Q1234">
            <v>-138.52968000000001</v>
          </cell>
          <cell r="R1234">
            <v>-176.11375000000001</v>
          </cell>
          <cell r="S1234">
            <v>-189.04665</v>
          </cell>
          <cell r="T1234">
            <v>-199.97905</v>
          </cell>
          <cell r="U1234">
            <v>-218.85637</v>
          </cell>
          <cell r="V1234">
            <v>-257.64803999999998</v>
          </cell>
          <cell r="W1234">
            <v>-337.15777000000003</v>
          </cell>
          <cell r="X1234">
            <v>-471.00833999999998</v>
          </cell>
          <cell r="Y1234">
            <v>-145.592038</v>
          </cell>
        </row>
        <row r="1235">
          <cell r="B1235">
            <v>489522</v>
          </cell>
          <cell r="C1235" t="str">
            <v>NOT USED</v>
          </cell>
          <cell r="D1235" t="str">
            <v>T-GAS REV-RESIDENTIAL-BALANCING</v>
          </cell>
          <cell r="E1235" t="str">
            <v/>
          </cell>
          <cell r="F1235" t="str">
            <v/>
          </cell>
          <cell r="G1235" t="str">
            <v/>
          </cell>
          <cell r="H1235" t="str">
            <v/>
          </cell>
          <cell r="I1235" t="str">
            <v/>
          </cell>
          <cell r="J1235" t="str">
            <v/>
          </cell>
          <cell r="K1235" t="str">
            <v/>
          </cell>
          <cell r="L1235">
            <v>-4.3299999999999998E-2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-1.804E-3</v>
          </cell>
        </row>
        <row r="1236">
          <cell r="B1236">
            <v>489524</v>
          </cell>
          <cell r="C1236" t="str">
            <v>NOT USED</v>
          </cell>
          <cell r="D1236" t="str">
            <v>T-GAS REV -RESIDENTIAL-EEPS</v>
          </cell>
          <cell r="E1236" t="str">
            <v/>
          </cell>
          <cell r="F1236" t="str">
            <v/>
          </cell>
          <cell r="G1236" t="str">
            <v/>
          </cell>
          <cell r="H1236" t="str">
            <v/>
          </cell>
          <cell r="I1236" t="str">
            <v/>
          </cell>
          <cell r="J1236" t="str">
            <v/>
          </cell>
          <cell r="K1236" t="str">
            <v/>
          </cell>
          <cell r="L1236">
            <v>-487.24606</v>
          </cell>
          <cell r="M1236">
            <v>-227.87645000000001</v>
          </cell>
          <cell r="N1236">
            <v>-429.88265000000001</v>
          </cell>
          <cell r="O1236">
            <v>-609.13354000000004</v>
          </cell>
          <cell r="P1236">
            <v>-745.05077000000006</v>
          </cell>
          <cell r="Q1236">
            <v>-824.42196000000001</v>
          </cell>
          <cell r="R1236">
            <v>-863.96438000000001</v>
          </cell>
          <cell r="S1236">
            <v>-888.02844000000005</v>
          </cell>
          <cell r="T1236">
            <v>-907.93159000000003</v>
          </cell>
          <cell r="U1236">
            <v>-931.71268999999995</v>
          </cell>
          <cell r="V1236">
            <v>-970.76969999999994</v>
          </cell>
          <cell r="W1236">
            <v>-1051.87788</v>
          </cell>
          <cell r="X1236">
            <v>-1177.74728</v>
          </cell>
          <cell r="Y1236">
            <v>-773.59555999999998</v>
          </cell>
        </row>
        <row r="1237">
          <cell r="B1237">
            <v>489525</v>
          </cell>
          <cell r="C1237" t="str">
            <v>NOT USED</v>
          </cell>
          <cell r="D1237" t="str">
            <v>T-GAS REVENUE-SMALL-RESIDENTIAL-UNBILLED</v>
          </cell>
          <cell r="E1237" t="str">
            <v/>
          </cell>
          <cell r="F1237" t="str">
            <v/>
          </cell>
          <cell r="G1237" t="str">
            <v/>
          </cell>
          <cell r="H1237" t="str">
            <v/>
          </cell>
          <cell r="I1237" t="str">
            <v/>
          </cell>
          <cell r="J1237" t="str">
            <v/>
          </cell>
          <cell r="K1237" t="str">
            <v/>
          </cell>
          <cell r="L1237">
            <v>-388.19675999999998</v>
          </cell>
          <cell r="M1237">
            <v>-176.34390999999999</v>
          </cell>
          <cell r="N1237">
            <v>-4.6361800000000004</v>
          </cell>
          <cell r="O1237">
            <v>154.80294000000001</v>
          </cell>
          <cell r="P1237">
            <v>465.99367000000001</v>
          </cell>
          <cell r="Q1237">
            <v>748.92547000000002</v>
          </cell>
          <cell r="R1237">
            <v>1020.7968499999999</v>
          </cell>
          <cell r="S1237">
            <v>1070.1805899999999</v>
          </cell>
          <cell r="T1237">
            <v>940.9434</v>
          </cell>
          <cell r="U1237">
            <v>914.37179000000003</v>
          </cell>
          <cell r="V1237">
            <v>574.93826000000001</v>
          </cell>
          <cell r="W1237">
            <v>297.44369</v>
          </cell>
          <cell r="X1237">
            <v>-178.23645999999999</v>
          </cell>
          <cell r="Y1237">
            <v>477.01666299999999</v>
          </cell>
        </row>
        <row r="1238">
          <cell r="B1238">
            <v>489534</v>
          </cell>
          <cell r="C1238" t="str">
            <v>NOT USED</v>
          </cell>
          <cell r="D1238" t="str">
            <v>T-GAS REV -SMALL-RESIDENTIAL-WNA</v>
          </cell>
          <cell r="E1238" t="str">
            <v/>
          </cell>
          <cell r="F1238" t="str">
            <v/>
          </cell>
          <cell r="G1238" t="str">
            <v/>
          </cell>
          <cell r="H1238" t="str">
            <v/>
          </cell>
          <cell r="I1238" t="str">
            <v/>
          </cell>
          <cell r="J1238" t="str">
            <v/>
          </cell>
          <cell r="K1238" t="str">
            <v/>
          </cell>
          <cell r="L1238">
            <v>-120.64172000000001</v>
          </cell>
          <cell r="M1238">
            <v>148.50351000000001</v>
          </cell>
          <cell r="N1238">
            <v>258.74592999999999</v>
          </cell>
          <cell r="O1238">
            <v>267.57706000000002</v>
          </cell>
          <cell r="P1238">
            <v>340.47311000000002</v>
          </cell>
          <cell r="Q1238">
            <v>391.01729</v>
          </cell>
          <cell r="R1238">
            <v>326.92669000000001</v>
          </cell>
          <cell r="S1238">
            <v>328.17156</v>
          </cell>
          <cell r="T1238">
            <v>328.58017999999998</v>
          </cell>
          <cell r="U1238">
            <v>328.60372000000001</v>
          </cell>
          <cell r="V1238">
            <v>283.92883999999998</v>
          </cell>
          <cell r="W1238">
            <v>234.34477999999999</v>
          </cell>
          <cell r="X1238">
            <v>18.173660000000002</v>
          </cell>
          <cell r="Y1238">
            <v>265.46988700000003</v>
          </cell>
        </row>
        <row r="1239">
          <cell r="B1239">
            <v>489540</v>
          </cell>
          <cell r="C1239" t="str">
            <v>NOT USED</v>
          </cell>
          <cell r="D1239" t="str">
            <v>T-GAS STORAGE BALANCING SERVICE CHARGE - SC5</v>
          </cell>
          <cell r="E1239" t="str">
            <v/>
          </cell>
          <cell r="F1239" t="str">
            <v/>
          </cell>
          <cell r="G1239" t="str">
            <v/>
          </cell>
          <cell r="H1239" t="str">
            <v/>
          </cell>
          <cell r="I1239" t="str">
            <v/>
          </cell>
          <cell r="J1239" t="str">
            <v/>
          </cell>
          <cell r="K1239" t="str">
            <v/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</row>
        <row r="1240">
          <cell r="B1240">
            <v>489550</v>
          </cell>
          <cell r="C1240" t="str">
            <v>NOT USED</v>
          </cell>
          <cell r="D1240" t="str">
            <v>T-GAS GAS RATE ADJUSTMENT - SC5</v>
          </cell>
          <cell r="E1240" t="str">
            <v/>
          </cell>
          <cell r="F1240" t="str">
            <v/>
          </cell>
          <cell r="G1240" t="str">
            <v/>
          </cell>
          <cell r="H1240" t="str">
            <v/>
          </cell>
          <cell r="I1240" t="str">
            <v/>
          </cell>
          <cell r="J1240" t="str">
            <v/>
          </cell>
          <cell r="K1240" t="str">
            <v/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</row>
        <row r="1241">
          <cell r="B1241">
            <v>489560</v>
          </cell>
          <cell r="C1241" t="str">
            <v>NOT USED</v>
          </cell>
          <cell r="D1241" t="str">
            <v>T-GAS UNBILLED - SC5</v>
          </cell>
          <cell r="E1241" t="str">
            <v/>
          </cell>
          <cell r="F1241" t="str">
            <v/>
          </cell>
          <cell r="G1241" t="str">
            <v/>
          </cell>
          <cell r="H1241" t="str">
            <v/>
          </cell>
          <cell r="I1241" t="str">
            <v/>
          </cell>
          <cell r="J1241" t="str">
            <v/>
          </cell>
          <cell r="K1241" t="str">
            <v/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</row>
        <row r="1242">
          <cell r="B1242">
            <v>489573</v>
          </cell>
          <cell r="C1242" t="str">
            <v>NOT USED</v>
          </cell>
          <cell r="D1242" t="str">
            <v>T-GAS REV -SMALL-RESIDENTIAL-GRT</v>
          </cell>
          <cell r="E1242" t="str">
            <v/>
          </cell>
          <cell r="F1242" t="str">
            <v/>
          </cell>
          <cell r="G1242" t="str">
            <v/>
          </cell>
          <cell r="H1242" t="str">
            <v/>
          </cell>
          <cell r="I1242" t="str">
            <v/>
          </cell>
          <cell r="J1242" t="str">
            <v/>
          </cell>
          <cell r="K1242" t="str">
            <v/>
          </cell>
          <cell r="L1242">
            <v>-392.62324000000001</v>
          </cell>
          <cell r="M1242">
            <v>-59.717059999999996</v>
          </cell>
          <cell r="N1242">
            <v>-120.71741</v>
          </cell>
          <cell r="O1242">
            <v>-179.9922</v>
          </cell>
          <cell r="P1242">
            <v>-229.44078999999999</v>
          </cell>
          <cell r="Q1242">
            <v>-267.43597999999997</v>
          </cell>
          <cell r="R1242">
            <v>-298.39675999999997</v>
          </cell>
          <cell r="S1242">
            <v>-324.61637999999999</v>
          </cell>
          <cell r="T1242">
            <v>-349.42462999999998</v>
          </cell>
          <cell r="U1242">
            <v>-376.00261999999998</v>
          </cell>
          <cell r="V1242">
            <v>-407.72523999999999</v>
          </cell>
          <cell r="W1242">
            <v>-450.68142</v>
          </cell>
          <cell r="X1242">
            <v>-509.53919999999999</v>
          </cell>
          <cell r="Y1242">
            <v>-292.93597599999998</v>
          </cell>
        </row>
        <row r="1243">
          <cell r="B1243">
            <v>489620</v>
          </cell>
          <cell r="C1243" t="str">
            <v>NOT USED</v>
          </cell>
          <cell r="D1243" t="str">
            <v>T-GAS REV -SMALL-COMMERCIAL-DELIVERY</v>
          </cell>
          <cell r="E1243" t="str">
            <v/>
          </cell>
          <cell r="F1243" t="str">
            <v/>
          </cell>
          <cell r="G1243" t="str">
            <v/>
          </cell>
          <cell r="H1243" t="str">
            <v/>
          </cell>
          <cell r="I1243" t="str">
            <v/>
          </cell>
          <cell r="J1243" t="str">
            <v/>
          </cell>
          <cell r="K1243" t="str">
            <v/>
          </cell>
          <cell r="L1243">
            <v>-10893.664489999999</v>
          </cell>
          <cell r="M1243">
            <v>-1521.1495600000001</v>
          </cell>
          <cell r="N1243">
            <v>-3027.8798700000002</v>
          </cell>
          <cell r="O1243">
            <v>-4383.26674</v>
          </cell>
          <cell r="P1243">
            <v>-5510.8925799999997</v>
          </cell>
          <cell r="Q1243">
            <v>-6353.0965999999999</v>
          </cell>
          <cell r="R1243">
            <v>-7078.4597199999998</v>
          </cell>
          <cell r="S1243">
            <v>-7716.1449300000004</v>
          </cell>
          <cell r="T1243">
            <v>-8342.5114900000008</v>
          </cell>
          <cell r="U1243">
            <v>-9029.3529899999994</v>
          </cell>
          <cell r="V1243">
            <v>-9833.3436099999999</v>
          </cell>
          <cell r="W1243">
            <v>-10858.13312</v>
          </cell>
          <cell r="X1243">
            <v>-12158.9964</v>
          </cell>
          <cell r="Y1243">
            <v>-7098.3801380000004</v>
          </cell>
        </row>
        <row r="1244">
          <cell r="B1244">
            <v>489621</v>
          </cell>
          <cell r="C1244" t="str">
            <v>NOT USED</v>
          </cell>
          <cell r="D1244" t="str">
            <v>T-GAS REV -SMALL-COMMERCIAL-TRANS RATE ADJUSTMENT</v>
          </cell>
          <cell r="E1244" t="str">
            <v/>
          </cell>
          <cell r="F1244" t="str">
            <v/>
          </cell>
          <cell r="G1244" t="str">
            <v/>
          </cell>
          <cell r="H1244" t="str">
            <v/>
          </cell>
          <cell r="I1244" t="str">
            <v/>
          </cell>
          <cell r="J1244" t="str">
            <v/>
          </cell>
          <cell r="K1244" t="str">
            <v/>
          </cell>
          <cell r="L1244">
            <v>34.137500000000003</v>
          </cell>
          <cell r="M1244">
            <v>-8.7081999999999997</v>
          </cell>
          <cell r="N1244">
            <v>-12.262460000000001</v>
          </cell>
          <cell r="O1244">
            <v>-12.187239999999999</v>
          </cell>
          <cell r="P1244">
            <v>-63.201030000000003</v>
          </cell>
          <cell r="Q1244">
            <v>-122.3592</v>
          </cell>
          <cell r="R1244">
            <v>-153.57163</v>
          </cell>
          <cell r="S1244">
            <v>-168.69719000000001</v>
          </cell>
          <cell r="T1244">
            <v>-182.97243</v>
          </cell>
          <cell r="U1244">
            <v>-203.67667</v>
          </cell>
          <cell r="V1244">
            <v>-238.81741</v>
          </cell>
          <cell r="W1244">
            <v>-299.91885000000002</v>
          </cell>
          <cell r="X1244">
            <v>-399.89560999999998</v>
          </cell>
          <cell r="Y1244">
            <v>-137.437614</v>
          </cell>
        </row>
        <row r="1245">
          <cell r="B1245">
            <v>489622</v>
          </cell>
          <cell r="C1245" t="str">
            <v>NOT USED</v>
          </cell>
          <cell r="D1245" t="str">
            <v>T-GAS REV -SMALL-COMMERCIAL-STORAGE/BALANCING</v>
          </cell>
          <cell r="E1245" t="str">
            <v/>
          </cell>
          <cell r="F1245" t="str">
            <v/>
          </cell>
          <cell r="G1245" t="str">
            <v/>
          </cell>
          <cell r="H1245" t="str">
            <v/>
          </cell>
          <cell r="I1245" t="str">
            <v/>
          </cell>
          <cell r="J1245" t="str">
            <v/>
          </cell>
          <cell r="K1245" t="str">
            <v/>
          </cell>
          <cell r="L1245">
            <v>-98.888710000000003</v>
          </cell>
          <cell r="M1245">
            <v>-16.981400000000001</v>
          </cell>
          <cell r="N1245">
            <v>-31.468399999999999</v>
          </cell>
          <cell r="O1245">
            <v>-44.55198</v>
          </cell>
          <cell r="P1245">
            <v>-53.20299</v>
          </cell>
          <cell r="Q1245">
            <v>-58.712380000000003</v>
          </cell>
          <cell r="R1245">
            <v>-61.927190000000003</v>
          </cell>
          <cell r="S1245">
            <v>-64.779939999999996</v>
          </cell>
          <cell r="T1245">
            <v>-67.842039999999997</v>
          </cell>
          <cell r="U1245">
            <v>-71.354659999999996</v>
          </cell>
          <cell r="V1245">
            <v>-77.661270000000002</v>
          </cell>
          <cell r="W1245">
            <v>-85.626660000000001</v>
          </cell>
          <cell r="X1245">
            <v>-96.659099999999995</v>
          </cell>
          <cell r="Y1245">
            <v>-60.990234999999998</v>
          </cell>
        </row>
        <row r="1246">
          <cell r="B1246">
            <v>489624</v>
          </cell>
          <cell r="C1246" t="str">
            <v>NOT USED</v>
          </cell>
          <cell r="D1246" t="str">
            <v>T-GAS REV-COMMERCIAL-EEPS</v>
          </cell>
          <cell r="E1246" t="str">
            <v/>
          </cell>
          <cell r="F1246" t="str">
            <v/>
          </cell>
          <cell r="G1246" t="str">
            <v/>
          </cell>
          <cell r="H1246" t="str">
            <v/>
          </cell>
          <cell r="I1246" t="str">
            <v/>
          </cell>
          <cell r="J1246" t="str">
            <v/>
          </cell>
          <cell r="K1246" t="str">
            <v/>
          </cell>
          <cell r="L1246">
            <v>-1034.53621</v>
          </cell>
          <cell r="M1246">
            <v>-306.09320000000002</v>
          </cell>
          <cell r="N1246">
            <v>-574.13516000000004</v>
          </cell>
          <cell r="O1246">
            <v>-809.39482999999996</v>
          </cell>
          <cell r="P1246">
            <v>-986.96267999999998</v>
          </cell>
          <cell r="Q1246">
            <v>-1078.44894</v>
          </cell>
          <cell r="R1246">
            <v>-1195.5622599999999</v>
          </cell>
          <cell r="S1246">
            <v>-1285.68408</v>
          </cell>
          <cell r="T1246">
            <v>-1379.09438</v>
          </cell>
          <cell r="U1246">
            <v>-1463.1695999999999</v>
          </cell>
          <cell r="V1246">
            <v>-1573.3082999999999</v>
          </cell>
          <cell r="W1246">
            <v>-1721.4199100000001</v>
          </cell>
          <cell r="X1246">
            <v>-1926.5468000000001</v>
          </cell>
          <cell r="Y1246">
            <v>-1154.4845700000001</v>
          </cell>
        </row>
        <row r="1247">
          <cell r="B1247">
            <v>489625</v>
          </cell>
          <cell r="C1247" t="str">
            <v>NOT USED</v>
          </cell>
          <cell r="D1247" t="str">
            <v>T-GAS REV-SMALL-COMMERCIAL-UNBILLED</v>
          </cell>
          <cell r="E1247" t="str">
            <v/>
          </cell>
          <cell r="F1247" t="str">
            <v/>
          </cell>
          <cell r="G1247" t="str">
            <v/>
          </cell>
          <cell r="H1247" t="str">
            <v/>
          </cell>
          <cell r="I1247" t="str">
            <v/>
          </cell>
          <cell r="J1247" t="str">
            <v/>
          </cell>
          <cell r="K1247" t="str">
            <v/>
          </cell>
          <cell r="L1247">
            <v>-104.46259999999999</v>
          </cell>
          <cell r="M1247">
            <v>-71.296369999999996</v>
          </cell>
          <cell r="N1247">
            <v>-22.412559999999999</v>
          </cell>
          <cell r="O1247">
            <v>51.855820000000001</v>
          </cell>
          <cell r="P1247">
            <v>123.57355</v>
          </cell>
          <cell r="Q1247">
            <v>175.65917999999999</v>
          </cell>
          <cell r="R1247">
            <v>365.83262000000002</v>
          </cell>
          <cell r="S1247">
            <v>399.3503</v>
          </cell>
          <cell r="T1247">
            <v>315.30543999999998</v>
          </cell>
          <cell r="U1247">
            <v>303.77834999999999</v>
          </cell>
          <cell r="V1247">
            <v>185.89186000000001</v>
          </cell>
          <cell r="W1247">
            <v>51.322890000000001</v>
          </cell>
          <cell r="X1247">
            <v>-92.597340000000003</v>
          </cell>
          <cell r="Y1247">
            <v>148.36092600000001</v>
          </cell>
        </row>
        <row r="1248">
          <cell r="B1248">
            <v>489626</v>
          </cell>
          <cell r="C1248" t="str">
            <v>NOT USED</v>
          </cell>
          <cell r="D1248" t="str">
            <v>T-GAS REV-COMMERCIAL SURCHARGE</v>
          </cell>
          <cell r="E1248" t="str">
            <v/>
          </cell>
          <cell r="F1248" t="str">
            <v/>
          </cell>
          <cell r="G1248" t="str">
            <v/>
          </cell>
          <cell r="H1248" t="str">
            <v/>
          </cell>
          <cell r="I1248" t="str">
            <v/>
          </cell>
          <cell r="J1248" t="str">
            <v/>
          </cell>
          <cell r="K1248" t="str">
            <v/>
          </cell>
          <cell r="L1248">
            <v>-2390.4706500000002</v>
          </cell>
          <cell r="M1248">
            <v>-397.46114</v>
          </cell>
          <cell r="N1248">
            <v>-767.79232000000002</v>
          </cell>
          <cell r="O1248">
            <v>-1091.78818</v>
          </cell>
          <cell r="P1248">
            <v>-1336.82357</v>
          </cell>
          <cell r="Q1248">
            <v>-1463.86175</v>
          </cell>
          <cell r="R1248">
            <v>-1622.0583099999999</v>
          </cell>
          <cell r="S1248">
            <v>-1743.44299</v>
          </cell>
          <cell r="T1248">
            <v>-1868.8255200000001</v>
          </cell>
          <cell r="U1248">
            <v>-1982.4338499999999</v>
          </cell>
          <cell r="V1248">
            <v>-2131.6516000000001</v>
          </cell>
          <cell r="W1248">
            <v>-2327.2302199999999</v>
          </cell>
          <cell r="X1248">
            <v>-2593.2193200000002</v>
          </cell>
          <cell r="Y1248">
            <v>-1602.1012029999999</v>
          </cell>
        </row>
        <row r="1249">
          <cell r="B1249">
            <v>489634</v>
          </cell>
          <cell r="C1249" t="str">
            <v>NOT USED</v>
          </cell>
          <cell r="D1249" t="str">
            <v>T-GAS REV -SMALL-COMMERCIAL-WNA</v>
          </cell>
          <cell r="E1249" t="str">
            <v/>
          </cell>
          <cell r="F1249" t="str">
            <v/>
          </cell>
          <cell r="G1249" t="str">
            <v/>
          </cell>
          <cell r="H1249" t="str">
            <v/>
          </cell>
          <cell r="I1249" t="str">
            <v/>
          </cell>
          <cell r="J1249" t="str">
            <v/>
          </cell>
          <cell r="K1249" t="str">
            <v/>
          </cell>
          <cell r="L1249">
            <v>-107.8844</v>
          </cell>
          <cell r="M1249">
            <v>69.268479999999997</v>
          </cell>
          <cell r="N1249">
            <v>125.78178</v>
          </cell>
          <cell r="O1249">
            <v>136.42841999999999</v>
          </cell>
          <cell r="P1249">
            <v>167.15572</v>
          </cell>
          <cell r="Q1249">
            <v>180.44667000000001</v>
          </cell>
          <cell r="R1249">
            <v>157.15995000000001</v>
          </cell>
          <cell r="S1249">
            <v>158.67537999999999</v>
          </cell>
          <cell r="T1249">
            <v>158.85547</v>
          </cell>
          <cell r="U1249">
            <v>158.92023</v>
          </cell>
          <cell r="V1249">
            <v>133.70737</v>
          </cell>
          <cell r="W1249">
            <v>94.079449999999994</v>
          </cell>
          <cell r="X1249">
            <v>-15.65343</v>
          </cell>
          <cell r="Y1249">
            <v>123.22583400000001</v>
          </cell>
        </row>
        <row r="1250">
          <cell r="B1250">
            <v>489673</v>
          </cell>
          <cell r="C1250" t="str">
            <v>NOT USED</v>
          </cell>
          <cell r="D1250" t="str">
            <v>T-GAS REV -SMALL-COMMERCIAL-GRT</v>
          </cell>
          <cell r="E1250" t="str">
            <v/>
          </cell>
          <cell r="F1250" t="str">
            <v/>
          </cell>
          <cell r="G1250" t="str">
            <v/>
          </cell>
          <cell r="H1250" t="str">
            <v/>
          </cell>
          <cell r="I1250" t="str">
            <v/>
          </cell>
          <cell r="J1250" t="str">
            <v/>
          </cell>
          <cell r="K1250" t="str">
            <v/>
          </cell>
          <cell r="L1250">
            <v>-0.29266999999999999</v>
          </cell>
          <cell r="M1250">
            <v>-5.5480000000000002E-2</v>
          </cell>
          <cell r="N1250">
            <v>-0.11199000000000001</v>
          </cell>
          <cell r="O1250">
            <v>-0.15098</v>
          </cell>
          <cell r="P1250">
            <v>-0.18237999999999999</v>
          </cell>
          <cell r="Q1250">
            <v>-0.20272999999999999</v>
          </cell>
          <cell r="R1250">
            <v>-0.21589</v>
          </cell>
          <cell r="S1250">
            <v>-0.22813</v>
          </cell>
          <cell r="T1250">
            <v>-0.24121999999999999</v>
          </cell>
          <cell r="U1250">
            <v>-0.25750000000000001</v>
          </cell>
          <cell r="V1250">
            <v>-0.27696999999999999</v>
          </cell>
          <cell r="W1250">
            <v>-0.32025999999999999</v>
          </cell>
          <cell r="X1250">
            <v>-0.38794000000000001</v>
          </cell>
          <cell r="Y1250">
            <v>-0.21532000000000001</v>
          </cell>
        </row>
        <row r="1251">
          <cell r="B1251">
            <v>489720</v>
          </cell>
          <cell r="C1251" t="str">
            <v>NOT USED</v>
          </cell>
          <cell r="D1251" t="str">
            <v>T-GAS REV -SMALL-INDUSTRIAL-DELIVERY</v>
          </cell>
          <cell r="E1251" t="str">
            <v/>
          </cell>
          <cell r="F1251" t="str">
            <v/>
          </cell>
          <cell r="G1251" t="str">
            <v/>
          </cell>
          <cell r="H1251" t="str">
            <v/>
          </cell>
          <cell r="I1251" t="str">
            <v/>
          </cell>
          <cell r="J1251" t="str">
            <v/>
          </cell>
          <cell r="K1251" t="str">
            <v/>
          </cell>
          <cell r="L1251">
            <v>-4182.4059100000004</v>
          </cell>
          <cell r="M1251">
            <v>-436.38797</v>
          </cell>
          <cell r="N1251">
            <v>-844.58276000000001</v>
          </cell>
          <cell r="O1251">
            <v>-1233.5237999999999</v>
          </cell>
          <cell r="P1251">
            <v>-1564.14131</v>
          </cell>
          <cell r="Q1251">
            <v>-1839.1180099999999</v>
          </cell>
          <cell r="R1251">
            <v>-2089.31684</v>
          </cell>
          <cell r="S1251">
            <v>-2318.1914700000002</v>
          </cell>
          <cell r="T1251">
            <v>-2566.1412999999998</v>
          </cell>
          <cell r="U1251">
            <v>-2836.3941500000001</v>
          </cell>
          <cell r="V1251">
            <v>-3139.31286</v>
          </cell>
          <cell r="W1251">
            <v>-3473.0927700000002</v>
          </cell>
          <cell r="X1251">
            <v>-3846.1775299999999</v>
          </cell>
          <cell r="Y1251">
            <v>-2196.2079130000002</v>
          </cell>
        </row>
        <row r="1252">
          <cell r="B1252">
            <v>489721</v>
          </cell>
          <cell r="C1252" t="str">
            <v>NOT USED</v>
          </cell>
          <cell r="D1252" t="str">
            <v>T-GAS REV -SMALL-INDUSTRIAL-TRANS RATE ADJUSTMENT</v>
          </cell>
          <cell r="E1252" t="str">
            <v/>
          </cell>
          <cell r="F1252" t="str">
            <v/>
          </cell>
          <cell r="G1252" t="str">
            <v/>
          </cell>
          <cell r="H1252" t="str">
            <v/>
          </cell>
          <cell r="I1252" t="str">
            <v/>
          </cell>
          <cell r="J1252" t="str">
            <v/>
          </cell>
          <cell r="K1252" t="str">
            <v/>
          </cell>
          <cell r="L1252">
            <v>-31.730270000000001</v>
          </cell>
          <cell r="M1252">
            <v>-7.4848400000000002</v>
          </cell>
          <cell r="N1252">
            <v>-13.15255</v>
          </cell>
          <cell r="O1252">
            <v>-17.90091</v>
          </cell>
          <cell r="P1252">
            <v>-28.004270000000002</v>
          </cell>
          <cell r="Q1252">
            <v>-39.989220000000003</v>
          </cell>
          <cell r="R1252">
            <v>-47.382770000000001</v>
          </cell>
          <cell r="S1252">
            <v>-52.325499999999998</v>
          </cell>
          <cell r="T1252">
            <v>-57.733870000000003</v>
          </cell>
          <cell r="U1252">
            <v>-63.583950000000002</v>
          </cell>
          <cell r="V1252">
            <v>-71.919910000000002</v>
          </cell>
          <cell r="W1252">
            <v>-83.500619999999998</v>
          </cell>
          <cell r="X1252">
            <v>-101.31703</v>
          </cell>
          <cell r="Y1252">
            <v>-45.791837999999998</v>
          </cell>
        </row>
        <row r="1253">
          <cell r="B1253">
            <v>489722</v>
          </cell>
          <cell r="C1253" t="str">
            <v>NOT USED</v>
          </cell>
          <cell r="D1253" t="str">
            <v>T-GAS REV -SMALL-INDUSTRIAL-STORAGE/BALANCING</v>
          </cell>
          <cell r="E1253" t="str">
            <v/>
          </cell>
          <cell r="F1253" t="str">
            <v/>
          </cell>
          <cell r="G1253" t="str">
            <v/>
          </cell>
          <cell r="H1253" t="str">
            <v/>
          </cell>
          <cell r="I1253" t="str">
            <v/>
          </cell>
          <cell r="J1253" t="str">
            <v/>
          </cell>
          <cell r="K1253" t="str">
            <v/>
          </cell>
          <cell r="L1253">
            <v>-204.22674000000001</v>
          </cell>
          <cell r="M1253">
            <v>-24.839030000000001</v>
          </cell>
          <cell r="N1253">
            <v>-45.663919999999997</v>
          </cell>
          <cell r="O1253">
            <v>-66.318950000000001</v>
          </cell>
          <cell r="P1253">
            <v>-83.400859999999994</v>
          </cell>
          <cell r="Q1253">
            <v>-97.036019999999994</v>
          </cell>
          <cell r="R1253">
            <v>-109.19893</v>
          </cell>
          <cell r="S1253">
            <v>-120.18159</v>
          </cell>
          <cell r="T1253">
            <v>-132.62876</v>
          </cell>
          <cell r="U1253">
            <v>-144.7741</v>
          </cell>
          <cell r="V1253">
            <v>-159.73999000000001</v>
          </cell>
          <cell r="W1253">
            <v>-176.07154</v>
          </cell>
          <cell r="X1253">
            <v>-194.59568999999999</v>
          </cell>
          <cell r="Y1253">
            <v>-113.272075</v>
          </cell>
        </row>
        <row r="1254">
          <cell r="B1254">
            <v>489724</v>
          </cell>
          <cell r="C1254" t="str">
            <v>NOT USED</v>
          </cell>
          <cell r="D1254" t="str">
            <v>T-GAS REV -INDUSTRIAL-EEPS</v>
          </cell>
          <cell r="E1254" t="str">
            <v/>
          </cell>
          <cell r="F1254" t="str">
            <v/>
          </cell>
          <cell r="G1254" t="str">
            <v/>
          </cell>
          <cell r="H1254" t="str">
            <v/>
          </cell>
          <cell r="I1254" t="str">
            <v/>
          </cell>
          <cell r="J1254" t="str">
            <v/>
          </cell>
          <cell r="K1254" t="str">
            <v/>
          </cell>
          <cell r="L1254">
            <v>-787.25985000000003</v>
          </cell>
          <cell r="M1254">
            <v>-177.97736</v>
          </cell>
          <cell r="N1254">
            <v>-325.05743000000001</v>
          </cell>
          <cell r="O1254">
            <v>-465.77938999999998</v>
          </cell>
          <cell r="P1254">
            <v>-576.78754000000004</v>
          </cell>
          <cell r="Q1254">
            <v>-663.45163000000002</v>
          </cell>
          <cell r="R1254">
            <v>-740.35704999999996</v>
          </cell>
          <cell r="S1254">
            <v>-808.60302999999999</v>
          </cell>
          <cell r="T1254">
            <v>-888.83005000000003</v>
          </cell>
          <cell r="U1254">
            <v>-968.19881999999996</v>
          </cell>
          <cell r="V1254">
            <v>-1065.5034499999999</v>
          </cell>
          <cell r="W1254">
            <v>-1173.25632</v>
          </cell>
          <cell r="X1254">
            <v>-1295.9276</v>
          </cell>
          <cell r="Y1254">
            <v>-741.28298299999994</v>
          </cell>
        </row>
        <row r="1255">
          <cell r="B1255">
            <v>489725</v>
          </cell>
          <cell r="C1255" t="str">
            <v>NOT USED</v>
          </cell>
          <cell r="D1255" t="str">
            <v>T-GAS REVENUE-SMALL-INDUSTRIAL-UNBILLED</v>
          </cell>
          <cell r="E1255" t="str">
            <v/>
          </cell>
          <cell r="F1255" t="str">
            <v/>
          </cell>
          <cell r="G1255" t="str">
            <v/>
          </cell>
          <cell r="H1255" t="str">
            <v/>
          </cell>
          <cell r="I1255" t="str">
            <v/>
          </cell>
          <cell r="J1255" t="str">
            <v/>
          </cell>
          <cell r="K1255" t="str">
            <v/>
          </cell>
          <cell r="L1255">
            <v>-8.5462100000000003</v>
          </cell>
          <cell r="M1255">
            <v>-7.1676599999999997</v>
          </cell>
          <cell r="N1255">
            <v>-3.9999799999999999</v>
          </cell>
          <cell r="O1255">
            <v>4.2042799999999998</v>
          </cell>
          <cell r="P1255">
            <v>19.64799</v>
          </cell>
          <cell r="Q1255">
            <v>26.049389999999999</v>
          </cell>
          <cell r="R1255">
            <v>40.93291</v>
          </cell>
          <cell r="S1255">
            <v>42.854030000000002</v>
          </cell>
          <cell r="T1255">
            <v>38.513930000000002</v>
          </cell>
          <cell r="U1255">
            <v>38.057319999999997</v>
          </cell>
          <cell r="V1255">
            <v>23.876550000000002</v>
          </cell>
          <cell r="W1255">
            <v>7.5103099999999996</v>
          </cell>
          <cell r="X1255">
            <v>-2.5368400000000002</v>
          </cell>
          <cell r="Y1255">
            <v>18.744795</v>
          </cell>
        </row>
        <row r="1256">
          <cell r="B1256">
            <v>489726</v>
          </cell>
          <cell r="C1256" t="str">
            <v>NOT USED</v>
          </cell>
          <cell r="D1256" t="str">
            <v>T-GAS REVENUE-INDUSTRIAL SURCHARGE</v>
          </cell>
          <cell r="E1256" t="str">
            <v/>
          </cell>
          <cell r="F1256" t="str">
            <v/>
          </cell>
          <cell r="G1256" t="str">
            <v/>
          </cell>
          <cell r="H1256" t="str">
            <v/>
          </cell>
          <cell r="I1256" t="str">
            <v/>
          </cell>
          <cell r="J1256" t="str">
            <v/>
          </cell>
          <cell r="K1256" t="str">
            <v/>
          </cell>
          <cell r="L1256">
            <v>-1704.98272</v>
          </cell>
          <cell r="M1256">
            <v>-229.31483</v>
          </cell>
          <cell r="N1256">
            <v>-425.82862</v>
          </cell>
          <cell r="O1256">
            <v>-613.13286000000005</v>
          </cell>
          <cell r="P1256">
            <v>-760.69826999999998</v>
          </cell>
          <cell r="Q1256">
            <v>-875.39407000000006</v>
          </cell>
          <cell r="R1256">
            <v>-976.83515</v>
          </cell>
          <cell r="S1256">
            <v>-1066.7914599999999</v>
          </cell>
          <cell r="T1256">
            <v>-1172.47793</v>
          </cell>
          <cell r="U1256">
            <v>-1277.06492</v>
          </cell>
          <cell r="V1256">
            <v>-1405.33519</v>
          </cell>
          <cell r="W1256">
            <v>-1544.3476499999999</v>
          </cell>
          <cell r="X1256">
            <v>-1702.10581</v>
          </cell>
          <cell r="Y1256">
            <v>-1004.2304350000001</v>
          </cell>
        </row>
        <row r="1257">
          <cell r="B1257">
            <v>489734</v>
          </cell>
          <cell r="C1257" t="str">
            <v>NOT USED</v>
          </cell>
          <cell r="D1257" t="str">
            <v>T-GAS REV -SMALL-INDUSTRIAL-WNA</v>
          </cell>
          <cell r="E1257" t="str">
            <v/>
          </cell>
          <cell r="F1257" t="str">
            <v/>
          </cell>
          <cell r="G1257" t="str">
            <v/>
          </cell>
          <cell r="H1257" t="str">
            <v/>
          </cell>
          <cell r="I1257" t="str">
            <v/>
          </cell>
          <cell r="J1257" t="str">
            <v/>
          </cell>
          <cell r="K1257" t="str">
            <v/>
          </cell>
          <cell r="L1257">
            <v>-15.220330000000001</v>
          </cell>
          <cell r="M1257">
            <v>11.150729999999999</v>
          </cell>
          <cell r="N1257">
            <v>21.34065</v>
          </cell>
          <cell r="O1257">
            <v>24.22729</v>
          </cell>
          <cell r="P1257">
            <v>28.366299999999999</v>
          </cell>
          <cell r="Q1257">
            <v>29.424109999999999</v>
          </cell>
          <cell r="R1257">
            <v>27.706569999999999</v>
          </cell>
          <cell r="S1257">
            <v>27.706440000000001</v>
          </cell>
          <cell r="T1257">
            <v>27.707100000000001</v>
          </cell>
          <cell r="U1257">
            <v>27.7073</v>
          </cell>
          <cell r="V1257">
            <v>25.075369999999999</v>
          </cell>
          <cell r="W1257">
            <v>17.543150000000001</v>
          </cell>
          <cell r="X1257">
            <v>1.46695</v>
          </cell>
          <cell r="Y1257">
            <v>21.756526999999998</v>
          </cell>
        </row>
        <row r="1258">
          <cell r="B1258">
            <v>489773</v>
          </cell>
          <cell r="C1258" t="str">
            <v>NOT USED</v>
          </cell>
          <cell r="D1258" t="str">
            <v>T-GAS REV -INDUSTRIAL-GRT</v>
          </cell>
          <cell r="E1258" t="str">
            <v/>
          </cell>
          <cell r="F1258" t="str">
            <v/>
          </cell>
          <cell r="G1258" t="str">
            <v/>
          </cell>
          <cell r="H1258" t="str">
            <v/>
          </cell>
          <cell r="I1258" t="str">
            <v/>
          </cell>
          <cell r="J1258" t="str">
            <v/>
          </cell>
          <cell r="K1258" t="str">
            <v/>
          </cell>
          <cell r="L1258">
            <v>-3.637E-2</v>
          </cell>
          <cell r="M1258">
            <v>-6.94E-3</v>
          </cell>
          <cell r="N1258">
            <v>-6.94E-3</v>
          </cell>
          <cell r="O1258">
            <v>-6.94E-3</v>
          </cell>
          <cell r="P1258">
            <v>-6.94E-3</v>
          </cell>
          <cell r="Q1258">
            <v>-6.94E-3</v>
          </cell>
          <cell r="R1258">
            <v>-6.94E-3</v>
          </cell>
          <cell r="S1258">
            <v>-6.94E-3</v>
          </cell>
          <cell r="T1258">
            <v>-6.94E-3</v>
          </cell>
          <cell r="U1258">
            <v>-6.94E-3</v>
          </cell>
          <cell r="V1258">
            <v>-6.94E-3</v>
          </cell>
          <cell r="W1258">
            <v>-8.8690000000000005E-2</v>
          </cell>
          <cell r="X1258">
            <v>-0.15689</v>
          </cell>
          <cell r="Y1258">
            <v>-2.1226999999999999E-2</v>
          </cell>
        </row>
        <row r="1259">
          <cell r="B1259">
            <v>489780</v>
          </cell>
          <cell r="C1259" t="str">
            <v>NOT USED</v>
          </cell>
          <cell r="D1259" t="str">
            <v>T-GAS BACKOUT CREDIT - SC6 SUPPLIERS FOR SC5</v>
          </cell>
          <cell r="E1259" t="str">
            <v/>
          </cell>
          <cell r="F1259" t="str">
            <v/>
          </cell>
          <cell r="G1259" t="str">
            <v/>
          </cell>
          <cell r="H1259" t="str">
            <v/>
          </cell>
          <cell r="I1259" t="str">
            <v/>
          </cell>
          <cell r="J1259" t="str">
            <v/>
          </cell>
          <cell r="K1259" t="str">
            <v/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</row>
        <row r="1260">
          <cell r="B1260">
            <v>489790</v>
          </cell>
          <cell r="C1260" t="str">
            <v>NOT USED</v>
          </cell>
          <cell r="D1260" t="str">
            <v>T-GAS BACKOUT CREDIT - SC6 SUPPLIERS FOR SC5-E!</v>
          </cell>
          <cell r="E1260" t="str">
            <v/>
          </cell>
          <cell r="F1260" t="str">
            <v/>
          </cell>
          <cell r="G1260" t="str">
            <v/>
          </cell>
          <cell r="H1260" t="str">
            <v/>
          </cell>
          <cell r="I1260" t="str">
            <v/>
          </cell>
          <cell r="J1260" t="str">
            <v/>
          </cell>
          <cell r="K1260" t="str">
            <v/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</row>
        <row r="1261">
          <cell r="B1261">
            <v>489820</v>
          </cell>
          <cell r="C1261" t="str">
            <v>NOT USED</v>
          </cell>
          <cell r="D1261" t="str">
            <v>T-GAS REV -SMALL-MUNICIPAL-DELIVERY</v>
          </cell>
          <cell r="E1261" t="str">
            <v/>
          </cell>
          <cell r="F1261" t="str">
            <v/>
          </cell>
          <cell r="G1261" t="str">
            <v/>
          </cell>
          <cell r="H1261" t="str">
            <v/>
          </cell>
          <cell r="I1261" t="str">
            <v/>
          </cell>
          <cell r="J1261" t="str">
            <v/>
          </cell>
          <cell r="K1261" t="str">
            <v/>
          </cell>
          <cell r="L1261">
            <v>-2868.8928900000001</v>
          </cell>
          <cell r="M1261">
            <v>-404.11450000000002</v>
          </cell>
          <cell r="N1261">
            <v>-789.38099999999997</v>
          </cell>
          <cell r="O1261">
            <v>-1152.9926700000001</v>
          </cell>
          <cell r="P1261">
            <v>-1448.9801</v>
          </cell>
          <cell r="Q1261">
            <v>-1694.0107700000001</v>
          </cell>
          <cell r="R1261">
            <v>-1904.2337399999999</v>
          </cell>
          <cell r="S1261">
            <v>-2098.5385700000002</v>
          </cell>
          <cell r="T1261">
            <v>-2294.3536399999998</v>
          </cell>
          <cell r="U1261">
            <v>-2503.3713600000001</v>
          </cell>
          <cell r="V1261">
            <v>-2760.8831399999999</v>
          </cell>
          <cell r="W1261">
            <v>-3057.1769300000001</v>
          </cell>
          <cell r="X1261">
            <v>-3411.97939</v>
          </cell>
          <cell r="Y1261">
            <v>-1937.372713</v>
          </cell>
        </row>
        <row r="1262">
          <cell r="B1262">
            <v>489821</v>
          </cell>
          <cell r="C1262" t="str">
            <v>NOT USED</v>
          </cell>
          <cell r="D1262" t="str">
            <v>T-GAS REV -SMALL-MUNICIPAL-TRANS RATE ADJUSTMENT</v>
          </cell>
          <cell r="E1262" t="str">
            <v/>
          </cell>
          <cell r="F1262" t="str">
            <v/>
          </cell>
          <cell r="G1262" t="str">
            <v/>
          </cell>
          <cell r="H1262" t="str">
            <v/>
          </cell>
          <cell r="I1262" t="str">
            <v/>
          </cell>
          <cell r="J1262" t="str">
            <v/>
          </cell>
          <cell r="K1262" t="str">
            <v/>
          </cell>
          <cell r="L1262">
            <v>-11.86215</v>
          </cell>
          <cell r="M1262">
            <v>-3.5188700000000002</v>
          </cell>
          <cell r="N1262">
            <v>-6.0796000000000001</v>
          </cell>
          <cell r="O1262">
            <v>-7.9313799999999999</v>
          </cell>
          <cell r="P1262">
            <v>-13.951079999999999</v>
          </cell>
          <cell r="Q1262">
            <v>-20.226459999999999</v>
          </cell>
          <cell r="R1262">
            <v>-22.606110000000001</v>
          </cell>
          <cell r="S1262">
            <v>-23.581669999999999</v>
          </cell>
          <cell r="T1262">
            <v>-24.535640000000001</v>
          </cell>
          <cell r="U1262">
            <v>-25.81983</v>
          </cell>
          <cell r="V1262">
            <v>-29.09076</v>
          </cell>
          <cell r="W1262">
            <v>-35.43112</v>
          </cell>
          <cell r="X1262">
            <v>-46.298299999999998</v>
          </cell>
          <cell r="Y1262">
            <v>-20.154395000000001</v>
          </cell>
        </row>
        <row r="1263">
          <cell r="B1263">
            <v>489822</v>
          </cell>
          <cell r="C1263" t="str">
            <v>NOT USED</v>
          </cell>
          <cell r="D1263" t="str">
            <v>T-GAS REV -SMALL-MUNICIPAL-STORAGE/BALANCING</v>
          </cell>
          <cell r="E1263" t="str">
            <v/>
          </cell>
          <cell r="F1263" t="str">
            <v/>
          </cell>
          <cell r="G1263" t="str">
            <v/>
          </cell>
          <cell r="H1263" t="str">
            <v/>
          </cell>
          <cell r="I1263" t="str">
            <v/>
          </cell>
          <cell r="J1263" t="str">
            <v/>
          </cell>
          <cell r="K1263" t="str">
            <v/>
          </cell>
          <cell r="L1263">
            <v>-56.80762</v>
          </cell>
          <cell r="M1263">
            <v>-10.7522</v>
          </cell>
          <cell r="N1263">
            <v>-19.649629999999998</v>
          </cell>
          <cell r="O1263">
            <v>-27.724260000000001</v>
          </cell>
          <cell r="P1263">
            <v>-32.707859999999997</v>
          </cell>
          <cell r="Q1263">
            <v>-35.264499999999998</v>
          </cell>
          <cell r="R1263">
            <v>-36.495559999999998</v>
          </cell>
          <cell r="S1263">
            <v>-37.451160000000002</v>
          </cell>
          <cell r="T1263">
            <v>-38.678139999999999</v>
          </cell>
          <cell r="U1263">
            <v>-40.131399999999999</v>
          </cell>
          <cell r="V1263">
            <v>-43.847209999999997</v>
          </cell>
          <cell r="W1263">
            <v>-48.79119</v>
          </cell>
          <cell r="X1263">
            <v>-56.026409999999998</v>
          </cell>
          <cell r="Y1263">
            <v>-35.659177</v>
          </cell>
        </row>
        <row r="1264">
          <cell r="B1264">
            <v>489824</v>
          </cell>
          <cell r="C1264" t="str">
            <v>NOT USED</v>
          </cell>
          <cell r="D1264" t="str">
            <v>T-GAS REV -MUNICIPAL-EEPS</v>
          </cell>
          <cell r="E1264" t="str">
            <v/>
          </cell>
          <cell r="F1264" t="str">
            <v/>
          </cell>
          <cell r="G1264" t="str">
            <v/>
          </cell>
          <cell r="H1264" t="str">
            <v/>
          </cell>
          <cell r="I1264" t="str">
            <v/>
          </cell>
          <cell r="J1264" t="str">
            <v/>
          </cell>
          <cell r="K1264" t="str">
            <v/>
          </cell>
          <cell r="L1264">
            <v>-277.79095000000001</v>
          </cell>
          <cell r="M1264">
            <v>-87.225729999999999</v>
          </cell>
          <cell r="N1264">
            <v>-161.66595000000001</v>
          </cell>
          <cell r="O1264">
            <v>-228.92819</v>
          </cell>
          <cell r="P1264">
            <v>-270.77370000000002</v>
          </cell>
          <cell r="Q1264">
            <v>-294.31436000000002</v>
          </cell>
          <cell r="R1264">
            <v>-306.66172999999998</v>
          </cell>
          <cell r="S1264">
            <v>-317.27404000000001</v>
          </cell>
          <cell r="T1264">
            <v>-328.66901999999999</v>
          </cell>
          <cell r="U1264">
            <v>-341.28127999999998</v>
          </cell>
          <cell r="V1264">
            <v>-369.72127</v>
          </cell>
          <cell r="W1264">
            <v>-408.96483000000001</v>
          </cell>
          <cell r="X1264">
            <v>-465.84071999999998</v>
          </cell>
          <cell r="Y1264">
            <v>-290.60799500000002</v>
          </cell>
        </row>
        <row r="1265">
          <cell r="B1265">
            <v>489825</v>
          </cell>
          <cell r="C1265" t="str">
            <v>NOT USED</v>
          </cell>
          <cell r="D1265" t="str">
            <v>T-GAS REVENUE-SMALL-MUNICIPAL-UNBILLED</v>
          </cell>
          <cell r="E1265" t="str">
            <v/>
          </cell>
          <cell r="F1265" t="str">
            <v/>
          </cell>
          <cell r="G1265" t="str">
            <v/>
          </cell>
          <cell r="H1265" t="str">
            <v/>
          </cell>
          <cell r="I1265" t="str">
            <v/>
          </cell>
          <cell r="J1265" t="str">
            <v/>
          </cell>
          <cell r="K1265" t="str">
            <v/>
          </cell>
          <cell r="L1265">
            <v>-9.3786199999999997</v>
          </cell>
          <cell r="M1265">
            <v>-7.4084599999999998</v>
          </cell>
          <cell r="N1265">
            <v>-4.0869499999999999</v>
          </cell>
          <cell r="O1265">
            <v>2.0076299999999998</v>
          </cell>
          <cell r="P1265">
            <v>10.714549999999999</v>
          </cell>
          <cell r="Q1265">
            <v>21.725639999999999</v>
          </cell>
          <cell r="R1265">
            <v>39.147930000000002</v>
          </cell>
          <cell r="S1265">
            <v>41.017670000000003</v>
          </cell>
          <cell r="T1265">
            <v>36.988869999999999</v>
          </cell>
          <cell r="U1265">
            <v>34.814140000000002</v>
          </cell>
          <cell r="V1265">
            <v>21.578499999999998</v>
          </cell>
          <cell r="W1265">
            <v>8.0457800000000006</v>
          </cell>
          <cell r="X1265">
            <v>-2.2825299999999999</v>
          </cell>
          <cell r="Y1265">
            <v>16.559560000000001</v>
          </cell>
        </row>
        <row r="1266">
          <cell r="B1266">
            <v>489826</v>
          </cell>
          <cell r="C1266" t="str">
            <v>NOT USED</v>
          </cell>
          <cell r="D1266" t="str">
            <v>T-GAS REVENUE-MUNICIPAL SURCHARGE</v>
          </cell>
          <cell r="E1266" t="str">
            <v/>
          </cell>
          <cell r="F1266" t="str">
            <v/>
          </cell>
          <cell r="G1266" t="str">
            <v/>
          </cell>
          <cell r="H1266" t="str">
            <v/>
          </cell>
          <cell r="I1266" t="str">
            <v/>
          </cell>
          <cell r="J1266" t="str">
            <v/>
          </cell>
          <cell r="K1266" t="str">
            <v/>
          </cell>
          <cell r="L1266">
            <v>-612.95381999999995</v>
          </cell>
          <cell r="M1266">
            <v>-113.64762</v>
          </cell>
          <cell r="N1266">
            <v>-213.48623000000001</v>
          </cell>
          <cell r="O1266">
            <v>-303.59336000000002</v>
          </cell>
          <cell r="P1266">
            <v>-359.57684999999998</v>
          </cell>
          <cell r="Q1266">
            <v>-391.10279000000003</v>
          </cell>
          <cell r="R1266">
            <v>-407.56768</v>
          </cell>
          <cell r="S1266">
            <v>-421.59485000000001</v>
          </cell>
          <cell r="T1266">
            <v>-436.64127000000002</v>
          </cell>
          <cell r="U1266">
            <v>-453.29507999999998</v>
          </cell>
          <cell r="V1266">
            <v>-490.90969999999999</v>
          </cell>
          <cell r="W1266">
            <v>-541.71770000000004</v>
          </cell>
          <cell r="X1266">
            <v>-614.94686999999999</v>
          </cell>
          <cell r="Y1266">
            <v>-395.59028999999998</v>
          </cell>
        </row>
        <row r="1267">
          <cell r="B1267">
            <v>489834</v>
          </cell>
          <cell r="C1267" t="str">
            <v>NOT USED</v>
          </cell>
          <cell r="D1267" t="str">
            <v>T-GAS REV -SMALL-MUNICIPAL-WNA</v>
          </cell>
          <cell r="E1267" t="str">
            <v/>
          </cell>
          <cell r="F1267" t="str">
            <v/>
          </cell>
          <cell r="G1267" t="str">
            <v/>
          </cell>
          <cell r="H1267" t="str">
            <v/>
          </cell>
          <cell r="I1267" t="str">
            <v/>
          </cell>
          <cell r="J1267" t="str">
            <v/>
          </cell>
          <cell r="K1267" t="str">
            <v/>
          </cell>
          <cell r="L1267">
            <v>-33.185299999999998</v>
          </cell>
          <cell r="M1267">
            <v>13.08074</v>
          </cell>
          <cell r="N1267">
            <v>25.26397</v>
          </cell>
          <cell r="O1267">
            <v>29.305420000000002</v>
          </cell>
          <cell r="P1267">
            <v>34.0139</v>
          </cell>
          <cell r="Q1267">
            <v>34.362769999999998</v>
          </cell>
          <cell r="R1267">
            <v>31.573989999999998</v>
          </cell>
          <cell r="S1267">
            <v>31.612120000000001</v>
          </cell>
          <cell r="T1267">
            <v>31.612120000000001</v>
          </cell>
          <cell r="U1267">
            <v>31.612960000000001</v>
          </cell>
          <cell r="V1267">
            <v>26.4559</v>
          </cell>
          <cell r="W1267">
            <v>13.1768</v>
          </cell>
          <cell r="X1267">
            <v>-8.1880000000000006</v>
          </cell>
          <cell r="Y1267">
            <v>23.44867</v>
          </cell>
        </row>
        <row r="1268">
          <cell r="B1268">
            <v>489873</v>
          </cell>
          <cell r="C1268" t="str">
            <v>NOT USED</v>
          </cell>
          <cell r="D1268" t="str">
            <v>T-GAS REV -SMALL-MUNICIPAL-GRT</v>
          </cell>
          <cell r="E1268" t="str">
            <v/>
          </cell>
          <cell r="F1268" t="str">
            <v/>
          </cell>
          <cell r="G1268" t="str">
            <v/>
          </cell>
          <cell r="H1268" t="str">
            <v/>
          </cell>
          <cell r="I1268" t="str">
            <v/>
          </cell>
          <cell r="J1268" t="str">
            <v/>
          </cell>
          <cell r="K1268" t="str">
            <v/>
          </cell>
          <cell r="L1268">
            <v>-4.2599999999999999E-3</v>
          </cell>
          <cell r="M1268">
            <v>0</v>
          </cell>
          <cell r="N1268">
            <v>-2.8999999999999998E-3</v>
          </cell>
          <cell r="O1268">
            <v>-8.7200000000000003E-3</v>
          </cell>
          <cell r="P1268">
            <v>-1.2030000000000001E-2</v>
          </cell>
          <cell r="Q1268">
            <v>-1.469E-2</v>
          </cell>
          <cell r="R1268">
            <v>-1.7100000000000001E-2</v>
          </cell>
          <cell r="S1268">
            <v>-1.7180000000000001E-2</v>
          </cell>
          <cell r="T1268">
            <v>-1.8409999999999999E-2</v>
          </cell>
          <cell r="U1268">
            <v>-1.9290000000000002E-2</v>
          </cell>
          <cell r="V1268">
            <v>-2.0480000000000002E-2</v>
          </cell>
          <cell r="W1268">
            <v>-2.1569999999999999E-2</v>
          </cell>
          <cell r="X1268">
            <v>-2.401E-2</v>
          </cell>
          <cell r="Y1268">
            <v>-1.3875E-2</v>
          </cell>
        </row>
        <row r="1269">
          <cell r="B1269">
            <v>495099</v>
          </cell>
          <cell r="C1269" t="str">
            <v>NOT USED</v>
          </cell>
          <cell r="D1269" t="str">
            <v>OTHER GAS REVENUE - INTERCOMPANY</v>
          </cell>
          <cell r="E1269" t="str">
            <v/>
          </cell>
          <cell r="F1269" t="str">
            <v/>
          </cell>
          <cell r="G1269" t="str">
            <v/>
          </cell>
          <cell r="H1269" t="str">
            <v/>
          </cell>
          <cell r="I1269" t="str">
            <v/>
          </cell>
          <cell r="J1269" t="str">
            <v/>
          </cell>
          <cell r="K1269" t="str">
            <v/>
          </cell>
          <cell r="L1269">
            <v>-222.42934</v>
          </cell>
          <cell r="M1269">
            <v>-17.852900000000002</v>
          </cell>
          <cell r="N1269">
            <v>-35.705800000000004</v>
          </cell>
          <cell r="O1269">
            <v>-28.42633</v>
          </cell>
          <cell r="P1269">
            <v>-29.6661</v>
          </cell>
          <cell r="Q1269">
            <v>-74.600480000000005</v>
          </cell>
          <cell r="R1269">
            <v>-87.11694</v>
          </cell>
          <cell r="S1269">
            <v>-101.62217</v>
          </cell>
          <cell r="T1269">
            <v>-116.43165</v>
          </cell>
          <cell r="U1269">
            <v>-128.16025999999999</v>
          </cell>
          <cell r="V1269">
            <v>-142.67982000000001</v>
          </cell>
          <cell r="W1269">
            <v>-157.27007</v>
          </cell>
          <cell r="X1269">
            <v>-171.37119000000001</v>
          </cell>
          <cell r="Y1269">
            <v>-93.036064999999994</v>
          </cell>
        </row>
        <row r="1270">
          <cell r="B1270">
            <v>495100</v>
          </cell>
          <cell r="C1270" t="str">
            <v>NOT USED</v>
          </cell>
          <cell r="D1270" t="str">
            <v>OTHER GAS REV - MISCELLANEOUS</v>
          </cell>
          <cell r="E1270" t="str">
            <v/>
          </cell>
          <cell r="F1270" t="str">
            <v/>
          </cell>
          <cell r="G1270" t="str">
            <v/>
          </cell>
          <cell r="H1270" t="str">
            <v/>
          </cell>
          <cell r="I1270" t="str">
            <v/>
          </cell>
          <cell r="J1270" t="str">
            <v/>
          </cell>
          <cell r="K1270" t="str">
            <v/>
          </cell>
          <cell r="L1270">
            <v>-2240.1206299999999</v>
          </cell>
          <cell r="M1270">
            <v>-153.02677</v>
          </cell>
          <cell r="N1270">
            <v>-343.58756</v>
          </cell>
          <cell r="O1270">
            <v>-494.22721000000001</v>
          </cell>
          <cell r="P1270">
            <v>-638.62090999999998</v>
          </cell>
          <cell r="Q1270">
            <v>-789.28787999999997</v>
          </cell>
          <cell r="R1270">
            <v>-962.88216</v>
          </cell>
          <cell r="S1270">
            <v>-1096.1932300000001</v>
          </cell>
          <cell r="T1270">
            <v>-1251.1339</v>
          </cell>
          <cell r="U1270">
            <v>-1428.51413</v>
          </cell>
          <cell r="V1270">
            <v>-1556.6749500000001</v>
          </cell>
          <cell r="W1270">
            <v>-1698.7249200000001</v>
          </cell>
          <cell r="X1270">
            <v>-1852.84572</v>
          </cell>
          <cell r="Y1270">
            <v>-1038.2797330000001</v>
          </cell>
        </row>
        <row r="1271">
          <cell r="B1271">
            <v>495150</v>
          </cell>
          <cell r="C1271" t="str">
            <v>NOT USED</v>
          </cell>
          <cell r="D1271" t="str">
            <v>OTHER GAS REV - A/R PURCHASE DISCOUNT</v>
          </cell>
          <cell r="E1271" t="str">
            <v/>
          </cell>
          <cell r="F1271" t="str">
            <v/>
          </cell>
          <cell r="G1271" t="str">
            <v/>
          </cell>
          <cell r="H1271" t="str">
            <v/>
          </cell>
          <cell r="I1271" t="str">
            <v/>
          </cell>
          <cell r="J1271" t="str">
            <v/>
          </cell>
          <cell r="K1271" t="str">
            <v/>
          </cell>
          <cell r="L1271">
            <v>-1610.91183</v>
          </cell>
          <cell r="M1271">
            <v>-320.97385000000003</v>
          </cell>
          <cell r="N1271">
            <v>-618.76286000000005</v>
          </cell>
          <cell r="O1271">
            <v>-931.02407000000005</v>
          </cell>
          <cell r="P1271">
            <v>-1138.2174199999999</v>
          </cell>
          <cell r="Q1271">
            <v>-1283.4412500000001</v>
          </cell>
          <cell r="R1271">
            <v>-1368.8227400000001</v>
          </cell>
          <cell r="S1271">
            <v>-1428.1345699999999</v>
          </cell>
          <cell r="T1271">
            <v>-1486.2593899999999</v>
          </cell>
          <cell r="U1271">
            <v>-1551.11977</v>
          </cell>
          <cell r="V1271">
            <v>-1628.45334</v>
          </cell>
          <cell r="W1271">
            <v>-1753.58332</v>
          </cell>
          <cell r="X1271">
            <v>-1950.54476</v>
          </cell>
          <cell r="Y1271">
            <v>-1274.1267399999999</v>
          </cell>
        </row>
        <row r="1272">
          <cell r="B1272">
            <v>495203</v>
          </cell>
          <cell r="C1272" t="str">
            <v>NOT USED</v>
          </cell>
          <cell r="D1272" t="str">
            <v>OTHER GAS REVENUE - REG AMORT DEL</v>
          </cell>
          <cell r="E1272" t="str">
            <v/>
          </cell>
          <cell r="F1272" t="str">
            <v/>
          </cell>
          <cell r="G1272" t="str">
            <v/>
          </cell>
          <cell r="H1272" t="str">
            <v/>
          </cell>
          <cell r="I1272" t="str">
            <v/>
          </cell>
          <cell r="J1272" t="str">
            <v/>
          </cell>
          <cell r="K1272" t="str">
            <v/>
          </cell>
          <cell r="U1272">
            <v>-1.0639700000000001</v>
          </cell>
          <cell r="V1272">
            <v>8126.0240299999996</v>
          </cell>
          <cell r="W1272">
            <v>-2204.80924</v>
          </cell>
          <cell r="X1272">
            <v>-2630.0974799999999</v>
          </cell>
          <cell r="Y1272">
            <v>383.75850700000001</v>
          </cell>
        </row>
        <row r="1273">
          <cell r="B1273">
            <v>495204</v>
          </cell>
          <cell r="C1273" t="str">
            <v>NOT USED</v>
          </cell>
          <cell r="D1273" t="str">
            <v>OTHER GAS REVENUE - REGULATORY DEFERRAL</v>
          </cell>
          <cell r="E1273" t="str">
            <v/>
          </cell>
          <cell r="F1273" t="str">
            <v/>
          </cell>
          <cell r="G1273" t="str">
            <v/>
          </cell>
          <cell r="H1273" t="str">
            <v/>
          </cell>
          <cell r="I1273" t="str">
            <v/>
          </cell>
          <cell r="J1273" t="str">
            <v/>
          </cell>
          <cell r="K1273" t="str">
            <v/>
          </cell>
          <cell r="L1273">
            <v>3702.42794</v>
          </cell>
          <cell r="M1273">
            <v>3429.2991900000002</v>
          </cell>
          <cell r="N1273">
            <v>6121.72901</v>
          </cell>
          <cell r="O1273">
            <v>7998.8350399999999</v>
          </cell>
          <cell r="P1273">
            <v>8545.7479199999998</v>
          </cell>
          <cell r="Q1273">
            <v>7993.5907100000004</v>
          </cell>
          <cell r="R1273">
            <v>7823.4491799999996</v>
          </cell>
          <cell r="S1273">
            <v>7841.2671899999996</v>
          </cell>
          <cell r="T1273">
            <v>6885.4504699999998</v>
          </cell>
          <cell r="U1273">
            <v>6542.9942700000001</v>
          </cell>
          <cell r="V1273">
            <v>-1191.70381</v>
          </cell>
          <cell r="W1273">
            <v>8955.67742</v>
          </cell>
          <cell r="X1273">
            <v>11104.488799999999</v>
          </cell>
          <cell r="Y1273">
            <v>6529.1495800000002</v>
          </cell>
        </row>
        <row r="1274">
          <cell r="B1274">
            <v>495215</v>
          </cell>
          <cell r="C1274" t="str">
            <v>NOT USED</v>
          </cell>
          <cell r="D1274" t="str">
            <v>OTHER GAS REV - SD WMS BILLINGS</v>
          </cell>
          <cell r="E1274" t="str">
            <v/>
          </cell>
          <cell r="F1274" t="str">
            <v/>
          </cell>
          <cell r="G1274" t="str">
            <v/>
          </cell>
          <cell r="H1274" t="str">
            <v/>
          </cell>
          <cell r="I1274" t="str">
            <v/>
          </cell>
          <cell r="J1274" t="str">
            <v/>
          </cell>
          <cell r="K1274" t="str">
            <v/>
          </cell>
          <cell r="L1274">
            <v>-234.88762</v>
          </cell>
          <cell r="M1274">
            <v>-5.2376500000000004</v>
          </cell>
          <cell r="N1274">
            <v>-9.8223900000000004</v>
          </cell>
          <cell r="O1274">
            <v>-105.2906</v>
          </cell>
          <cell r="P1274">
            <v>-117.59721999999999</v>
          </cell>
          <cell r="Q1274">
            <v>-155.57455999999999</v>
          </cell>
          <cell r="R1274">
            <v>-182.31011000000001</v>
          </cell>
          <cell r="S1274">
            <v>-204.99775</v>
          </cell>
          <cell r="T1274">
            <v>-228.68138999999999</v>
          </cell>
          <cell r="U1274">
            <v>-290.60583000000003</v>
          </cell>
          <cell r="V1274">
            <v>-313.59339</v>
          </cell>
          <cell r="W1274">
            <v>-338.47676000000001</v>
          </cell>
          <cell r="X1274">
            <v>-612.57209</v>
          </cell>
          <cell r="Y1274">
            <v>-197.99312499999999</v>
          </cell>
        </row>
        <row r="1275">
          <cell r="B1275">
            <v>495426</v>
          </cell>
          <cell r="C1275" t="str">
            <v>NOT USED</v>
          </cell>
          <cell r="D1275" t="str">
            <v>GAS REV-ESCO FOR BILLING CHARGE</v>
          </cell>
          <cell r="E1275" t="str">
            <v/>
          </cell>
          <cell r="F1275" t="str">
            <v/>
          </cell>
          <cell r="G1275" t="str">
            <v/>
          </cell>
          <cell r="H1275" t="str">
            <v/>
          </cell>
          <cell r="I1275" t="str">
            <v/>
          </cell>
          <cell r="J1275" t="str">
            <v/>
          </cell>
          <cell r="K1275" t="str">
            <v/>
          </cell>
          <cell r="L1275">
            <v>-108.81501</v>
          </cell>
          <cell r="M1275">
            <v>-86.256439999999998</v>
          </cell>
          <cell r="N1275">
            <v>-173.65195</v>
          </cell>
          <cell r="O1275">
            <v>-249.51224999999999</v>
          </cell>
          <cell r="P1275">
            <v>-307.20465000000002</v>
          </cell>
          <cell r="Q1275">
            <v>-340.88497000000001</v>
          </cell>
          <cell r="R1275">
            <v>-359.12973</v>
          </cell>
          <cell r="S1275">
            <v>-370.88499999999999</v>
          </cell>
          <cell r="T1275">
            <v>-380.96075000000002</v>
          </cell>
          <cell r="U1275">
            <v>-386.18621999999999</v>
          </cell>
          <cell r="V1275">
            <v>-385.67759000000001</v>
          </cell>
          <cell r="W1275">
            <v>-385.56605000000002</v>
          </cell>
          <cell r="X1275">
            <v>-385.47059000000002</v>
          </cell>
          <cell r="Y1275">
            <v>-306.08819999999997</v>
          </cell>
        </row>
        <row r="1276">
          <cell r="B1276">
            <v>495705</v>
          </cell>
          <cell r="C1276" t="str">
            <v>NOT USED</v>
          </cell>
          <cell r="D1276" t="str">
            <v>OTHER GAS REVENUES -DELIVERY SQPP</v>
          </cell>
          <cell r="E1276" t="str">
            <v/>
          </cell>
          <cell r="F1276" t="str">
            <v/>
          </cell>
          <cell r="G1276" t="str">
            <v/>
          </cell>
          <cell r="H1276" t="str">
            <v/>
          </cell>
          <cell r="I1276" t="str">
            <v/>
          </cell>
          <cell r="J1276" t="str">
            <v/>
          </cell>
          <cell r="K1276" t="str">
            <v/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</row>
        <row r="1277">
          <cell r="B1277">
            <v>499100</v>
          </cell>
          <cell r="C1277" t="str">
            <v>NOT USED</v>
          </cell>
          <cell r="D1277" t="str">
            <v>GCA REVENUE - CURRENT PERIOD</v>
          </cell>
          <cell r="E1277" t="str">
            <v/>
          </cell>
          <cell r="F1277" t="str">
            <v/>
          </cell>
          <cell r="G1277" t="str">
            <v/>
          </cell>
          <cell r="H1277" t="str">
            <v/>
          </cell>
          <cell r="I1277" t="str">
            <v/>
          </cell>
          <cell r="J1277" t="str">
            <v/>
          </cell>
          <cell r="K1277" t="str">
            <v/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</row>
        <row r="1278">
          <cell r="B1278">
            <v>499110</v>
          </cell>
          <cell r="C1278" t="str">
            <v>NOT USED</v>
          </cell>
          <cell r="D1278" t="str">
            <v>GCA REVENUE - PRIOR PERIOD</v>
          </cell>
          <cell r="E1278" t="str">
            <v/>
          </cell>
          <cell r="F1278" t="str">
            <v/>
          </cell>
          <cell r="G1278" t="str">
            <v/>
          </cell>
          <cell r="H1278" t="str">
            <v/>
          </cell>
          <cell r="I1278" t="str">
            <v/>
          </cell>
          <cell r="J1278" t="str">
            <v/>
          </cell>
          <cell r="K1278" t="str">
            <v/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</row>
        <row r="1279">
          <cell r="B1279">
            <v>499120</v>
          </cell>
          <cell r="C1279" t="str">
            <v>NOT USED</v>
          </cell>
          <cell r="D1279" t="str">
            <v>GCA REVENUE - CAPACITY RELEASE SHAREHOLDER</v>
          </cell>
          <cell r="E1279" t="str">
            <v/>
          </cell>
          <cell r="F1279" t="str">
            <v/>
          </cell>
          <cell r="G1279" t="str">
            <v/>
          </cell>
          <cell r="H1279" t="str">
            <v/>
          </cell>
          <cell r="I1279" t="str">
            <v/>
          </cell>
          <cell r="J1279" t="str">
            <v/>
          </cell>
          <cell r="K1279" t="str">
            <v/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</row>
        <row r="1280">
          <cell r="B1280">
            <v>499130</v>
          </cell>
          <cell r="C1280" t="str">
            <v>NOT USED</v>
          </cell>
          <cell r="D1280" t="str">
            <v>MERCHANT FUNCTION CHARGE-DEFERRED REVENUES</v>
          </cell>
          <cell r="E1280" t="str">
            <v/>
          </cell>
          <cell r="F1280" t="str">
            <v/>
          </cell>
          <cell r="G1280" t="str">
            <v/>
          </cell>
          <cell r="H1280" t="str">
            <v/>
          </cell>
          <cell r="I1280" t="str">
            <v/>
          </cell>
          <cell r="J1280" t="str">
            <v/>
          </cell>
          <cell r="K1280" t="str">
            <v/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</row>
        <row r="1281">
          <cell r="B1281">
            <v>510100</v>
          </cell>
          <cell r="C1281" t="str">
            <v>NOT USED</v>
          </cell>
          <cell r="D1281" t="str">
            <v>PAYROLL - REGULAR WAGES</v>
          </cell>
          <cell r="E1281" t="str">
            <v/>
          </cell>
          <cell r="F1281" t="str">
            <v/>
          </cell>
          <cell r="G1281" t="str">
            <v/>
          </cell>
          <cell r="H1281" t="str">
            <v/>
          </cell>
          <cell r="I1281" t="str">
            <v/>
          </cell>
          <cell r="J1281" t="str">
            <v/>
          </cell>
          <cell r="K1281" t="str">
            <v/>
          </cell>
          <cell r="L1281">
            <v>47378.079570000002</v>
          </cell>
          <cell r="M1281">
            <v>3241.6546400000002</v>
          </cell>
          <cell r="N1281">
            <v>7043.9445900000001</v>
          </cell>
          <cell r="O1281">
            <v>10771.89784</v>
          </cell>
          <cell r="P1281">
            <v>15750.54178</v>
          </cell>
          <cell r="Q1281">
            <v>19547.621599999999</v>
          </cell>
          <cell r="R1281">
            <v>23094.093089999998</v>
          </cell>
          <cell r="S1281">
            <v>26978.44528</v>
          </cell>
          <cell r="T1281">
            <v>30424.740839999999</v>
          </cell>
          <cell r="U1281">
            <v>35362.921679999999</v>
          </cell>
          <cell r="V1281">
            <v>39064.051290000003</v>
          </cell>
          <cell r="W1281">
            <v>42793.004970000002</v>
          </cell>
          <cell r="X1281">
            <v>46398.516109999997</v>
          </cell>
          <cell r="Y1281">
            <v>25080.101287000001</v>
          </cell>
        </row>
        <row r="1282">
          <cell r="B1282">
            <v>510110</v>
          </cell>
          <cell r="C1282" t="str">
            <v>NOT USED</v>
          </cell>
          <cell r="D1282" t="str">
            <v>PAYROLL - OVERTIME WAGES</v>
          </cell>
          <cell r="E1282" t="str">
            <v/>
          </cell>
          <cell r="F1282" t="str">
            <v/>
          </cell>
          <cell r="G1282" t="str">
            <v/>
          </cell>
          <cell r="H1282" t="str">
            <v/>
          </cell>
          <cell r="I1282" t="str">
            <v/>
          </cell>
          <cell r="J1282" t="str">
            <v/>
          </cell>
          <cell r="K1282" t="str">
            <v/>
          </cell>
          <cell r="L1282">
            <v>8104.6989999999996</v>
          </cell>
          <cell r="M1282">
            <v>535.76414999999997</v>
          </cell>
          <cell r="N1282">
            <v>1217.6316999999999</v>
          </cell>
          <cell r="O1282">
            <v>1959.9214999999999</v>
          </cell>
          <cell r="P1282">
            <v>2714.79979</v>
          </cell>
          <cell r="Q1282">
            <v>3335.7661800000001</v>
          </cell>
          <cell r="R1282">
            <v>4343.7735000000002</v>
          </cell>
          <cell r="S1282">
            <v>5015.0638799999997</v>
          </cell>
          <cell r="T1282">
            <v>5777.8210399999998</v>
          </cell>
          <cell r="U1282">
            <v>8318.3192099999997</v>
          </cell>
          <cell r="V1282">
            <v>9041.7351600000002</v>
          </cell>
          <cell r="W1282">
            <v>10135.62206</v>
          </cell>
          <cell r="X1282">
            <v>11086.287619999999</v>
          </cell>
          <cell r="Y1282">
            <v>5165.9759569999997</v>
          </cell>
        </row>
        <row r="1283">
          <cell r="B1283">
            <v>510120</v>
          </cell>
          <cell r="C1283" t="str">
            <v>NOT USED</v>
          </cell>
          <cell r="D1283" t="str">
            <v>PAYROLL - INCENTIVES-PPP, ETC</v>
          </cell>
          <cell r="E1283" t="str">
            <v/>
          </cell>
          <cell r="F1283" t="str">
            <v/>
          </cell>
          <cell r="G1283" t="str">
            <v/>
          </cell>
          <cell r="H1283" t="str">
            <v/>
          </cell>
          <cell r="I1283" t="str">
            <v/>
          </cell>
          <cell r="J1283" t="str">
            <v/>
          </cell>
          <cell r="K1283" t="str">
            <v/>
          </cell>
          <cell r="L1283">
            <v>1851.5572099999999</v>
          </cell>
          <cell r="M1283">
            <v>118.429</v>
          </cell>
          <cell r="N1283">
            <v>236.858</v>
          </cell>
          <cell r="O1283">
            <v>421.61586</v>
          </cell>
          <cell r="P1283">
            <v>540.04485999999997</v>
          </cell>
          <cell r="Q1283">
            <v>658.47385999999995</v>
          </cell>
          <cell r="R1283">
            <v>776.90286000000003</v>
          </cell>
          <cell r="S1283">
            <v>895.33186000000001</v>
          </cell>
          <cell r="T1283">
            <v>1013.76086</v>
          </cell>
          <cell r="U1283">
            <v>1132.18986</v>
          </cell>
          <cell r="V1283">
            <v>1250.61886</v>
          </cell>
          <cell r="W1283">
            <v>1369.0478599999999</v>
          </cell>
          <cell r="X1283">
            <v>1990.4509700000001</v>
          </cell>
          <cell r="Y1283">
            <v>861.18981900000006</v>
          </cell>
        </row>
        <row r="1284">
          <cell r="B1284">
            <v>510125</v>
          </cell>
          <cell r="C1284" t="str">
            <v>NOT USED</v>
          </cell>
          <cell r="D1284" t="str">
            <v>PAYROLL - EXECUTIVE INCENTIVE PROGRAM</v>
          </cell>
          <cell r="E1284" t="str">
            <v/>
          </cell>
          <cell r="F1284" t="str">
            <v/>
          </cell>
          <cell r="G1284" t="str">
            <v/>
          </cell>
          <cell r="H1284" t="str">
            <v/>
          </cell>
          <cell r="I1284" t="str">
            <v/>
          </cell>
          <cell r="J1284" t="str">
            <v/>
          </cell>
          <cell r="K1284" t="str">
            <v/>
          </cell>
          <cell r="L1284">
            <v>405.35728999999998</v>
          </cell>
          <cell r="M1284">
            <v>26.896000000000001</v>
          </cell>
          <cell r="N1284">
            <v>53.792000000000002</v>
          </cell>
          <cell r="O1284">
            <v>-44.761760000000002</v>
          </cell>
          <cell r="P1284">
            <v>-39.665759999999999</v>
          </cell>
          <cell r="Q1284">
            <v>-12.76976</v>
          </cell>
          <cell r="R1284">
            <v>18.063739999999999</v>
          </cell>
          <cell r="S1284">
            <v>44.959739999999996</v>
          </cell>
          <cell r="T1284">
            <v>71.855739999999997</v>
          </cell>
          <cell r="U1284">
            <v>102.68924</v>
          </cell>
          <cell r="V1284">
            <v>129.58524</v>
          </cell>
          <cell r="W1284">
            <v>156.48124000000001</v>
          </cell>
          <cell r="X1284">
            <v>323.98311999999999</v>
          </cell>
          <cell r="Y1284">
            <v>72.649654999999996</v>
          </cell>
        </row>
        <row r="1285">
          <cell r="B1285">
            <v>510130</v>
          </cell>
          <cell r="C1285" t="str">
            <v>NOT USED</v>
          </cell>
          <cell r="D1285" t="str">
            <v>PAYROLL - ACCRUAL PAYMENTS</v>
          </cell>
          <cell r="E1285" t="str">
            <v/>
          </cell>
          <cell r="F1285" t="str">
            <v/>
          </cell>
          <cell r="G1285" t="str">
            <v/>
          </cell>
          <cell r="H1285" t="str">
            <v/>
          </cell>
          <cell r="I1285" t="str">
            <v/>
          </cell>
          <cell r="J1285" t="str">
            <v/>
          </cell>
          <cell r="K1285" t="str">
            <v/>
          </cell>
          <cell r="L1285">
            <v>-7.6556100000000002</v>
          </cell>
          <cell r="M1285">
            <v>364.15528</v>
          </cell>
          <cell r="N1285">
            <v>376.39654000000002</v>
          </cell>
          <cell r="O1285">
            <v>890.08130000000006</v>
          </cell>
          <cell r="P1285">
            <v>-237.60602</v>
          </cell>
          <cell r="Q1285">
            <v>203.78944999999999</v>
          </cell>
          <cell r="R1285">
            <v>569.16764999999998</v>
          </cell>
          <cell r="S1285">
            <v>229.60560000000001</v>
          </cell>
          <cell r="T1285">
            <v>726.26093000000003</v>
          </cell>
          <cell r="U1285">
            <v>-341.82655999999997</v>
          </cell>
          <cell r="V1285">
            <v>29.884119999999999</v>
          </cell>
          <cell r="W1285">
            <v>328.13243999999997</v>
          </cell>
          <cell r="X1285">
            <v>85.206320000000005</v>
          </cell>
          <cell r="Y1285">
            <v>264.73467399999998</v>
          </cell>
        </row>
        <row r="1286">
          <cell r="B1286">
            <v>510140</v>
          </cell>
          <cell r="C1286" t="str">
            <v>NOT USED</v>
          </cell>
          <cell r="D1286" t="str">
            <v>PAYROLL-LOST TIME</v>
          </cell>
          <cell r="E1286" t="str">
            <v/>
          </cell>
          <cell r="F1286" t="str">
            <v/>
          </cell>
          <cell r="G1286" t="str">
            <v/>
          </cell>
          <cell r="H1286" t="str">
            <v/>
          </cell>
          <cell r="I1286" t="str">
            <v/>
          </cell>
          <cell r="J1286" t="str">
            <v/>
          </cell>
          <cell r="K1286" t="str">
            <v/>
          </cell>
          <cell r="L1286">
            <v>11649.29376</v>
          </cell>
          <cell r="M1286">
            <v>1102.9963600000001</v>
          </cell>
          <cell r="N1286">
            <v>1624.44856</v>
          </cell>
          <cell r="O1286">
            <v>2243.3712999999998</v>
          </cell>
          <cell r="P1286">
            <v>3034.2444</v>
          </cell>
          <cell r="Q1286">
            <v>3588.2093300000001</v>
          </cell>
          <cell r="R1286">
            <v>4409.1679100000001</v>
          </cell>
          <cell r="S1286">
            <v>5678.12122</v>
          </cell>
          <cell r="T1286">
            <v>6637.8440000000001</v>
          </cell>
          <cell r="U1286">
            <v>7733.4644099999996</v>
          </cell>
          <cell r="V1286">
            <v>8360.9678299999996</v>
          </cell>
          <cell r="W1286">
            <v>9161.19074</v>
          </cell>
          <cell r="X1286">
            <v>10457.748960000001</v>
          </cell>
          <cell r="Y1286">
            <v>5385.628952</v>
          </cell>
        </row>
        <row r="1287">
          <cell r="B1287">
            <v>510145</v>
          </cell>
          <cell r="C1287" t="str">
            <v>NOT USED</v>
          </cell>
          <cell r="D1287" t="str">
            <v>PAYROLL- LONG TERM DISABILITY</v>
          </cell>
          <cell r="E1287" t="str">
            <v/>
          </cell>
          <cell r="F1287" t="str">
            <v/>
          </cell>
          <cell r="G1287" t="str">
            <v/>
          </cell>
          <cell r="H1287" t="str">
            <v/>
          </cell>
          <cell r="I1287" t="str">
            <v/>
          </cell>
          <cell r="J1287" t="str">
            <v/>
          </cell>
          <cell r="K1287" t="str">
            <v/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</row>
        <row r="1288">
          <cell r="B1288">
            <v>510150</v>
          </cell>
          <cell r="C1288" t="str">
            <v>NOT USED</v>
          </cell>
          <cell r="D1288" t="str">
            <v>PAYROLL-ADJUSTMENTS</v>
          </cell>
          <cell r="E1288" t="str">
            <v/>
          </cell>
          <cell r="F1288" t="str">
            <v/>
          </cell>
          <cell r="G1288" t="str">
            <v/>
          </cell>
          <cell r="H1288" t="str">
            <v/>
          </cell>
          <cell r="I1288" t="str">
            <v/>
          </cell>
          <cell r="J1288" t="str">
            <v/>
          </cell>
          <cell r="K1288" t="str">
            <v/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</row>
        <row r="1289">
          <cell r="B1289">
            <v>510160</v>
          </cell>
          <cell r="C1289" t="str">
            <v>NOT USED</v>
          </cell>
          <cell r="D1289" t="str">
            <v>PAYROLL -ADJUSTMENTS WITHOUT OVERHEADS</v>
          </cell>
          <cell r="E1289" t="str">
            <v/>
          </cell>
          <cell r="F1289" t="str">
            <v/>
          </cell>
          <cell r="G1289" t="str">
            <v/>
          </cell>
          <cell r="H1289" t="str">
            <v/>
          </cell>
          <cell r="I1289" t="str">
            <v/>
          </cell>
          <cell r="J1289" t="str">
            <v/>
          </cell>
          <cell r="K1289" t="str">
            <v/>
          </cell>
          <cell r="L1289">
            <v>677.95465999999999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31.579499999999999</v>
          </cell>
          <cell r="S1289">
            <v>31.579499999999999</v>
          </cell>
          <cell r="T1289">
            <v>78.450500000000005</v>
          </cell>
          <cell r="U1289">
            <v>88.977000000000004</v>
          </cell>
          <cell r="V1289">
            <v>88.977000000000004</v>
          </cell>
          <cell r="W1289">
            <v>88.977000000000004</v>
          </cell>
          <cell r="X1289">
            <v>99.503500000000003</v>
          </cell>
          <cell r="Y1289">
            <v>66.439132000000001</v>
          </cell>
        </row>
        <row r="1290">
          <cell r="B1290">
            <v>510500</v>
          </cell>
          <cell r="C1290" t="str">
            <v>NOT USED</v>
          </cell>
          <cell r="D1290" t="str">
            <v>PAYROLL - PSOP</v>
          </cell>
          <cell r="E1290" t="str">
            <v/>
          </cell>
          <cell r="F1290" t="str">
            <v/>
          </cell>
          <cell r="G1290" t="str">
            <v/>
          </cell>
          <cell r="H1290" t="str">
            <v/>
          </cell>
          <cell r="I1290" t="str">
            <v/>
          </cell>
          <cell r="J1290" t="str">
            <v/>
          </cell>
          <cell r="K1290" t="str">
            <v/>
          </cell>
          <cell r="L1290">
            <v>-5.2930599999999997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1.34626</v>
          </cell>
          <cell r="T1290">
            <v>8.3753700000000002</v>
          </cell>
          <cell r="U1290">
            <v>8.3753700000000002</v>
          </cell>
          <cell r="V1290">
            <v>8.3753700000000002</v>
          </cell>
          <cell r="W1290">
            <v>8.3753700000000002</v>
          </cell>
          <cell r="X1290">
            <v>8.3753700000000002</v>
          </cell>
          <cell r="Y1290">
            <v>3.0324080000000002</v>
          </cell>
        </row>
        <row r="1291">
          <cell r="B1291">
            <v>510550</v>
          </cell>
          <cell r="C1291" t="str">
            <v>NOT USED</v>
          </cell>
          <cell r="D1291" t="str">
            <v>PAYROLL-RELOCATION</v>
          </cell>
          <cell r="E1291" t="str">
            <v/>
          </cell>
          <cell r="F1291" t="str">
            <v/>
          </cell>
          <cell r="G1291" t="str">
            <v/>
          </cell>
          <cell r="H1291" t="str">
            <v/>
          </cell>
          <cell r="I1291" t="str">
            <v/>
          </cell>
          <cell r="J1291" t="str">
            <v/>
          </cell>
          <cell r="K1291" t="str">
            <v/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19.19782</v>
          </cell>
          <cell r="Y1291">
            <v>0.79990899999999998</v>
          </cell>
        </row>
        <row r="1292">
          <cell r="B1292">
            <v>520100</v>
          </cell>
          <cell r="C1292" t="str">
            <v>NOT USED</v>
          </cell>
          <cell r="D1292" t="str">
            <v>BENEFITS - PENSIONS</v>
          </cell>
          <cell r="E1292" t="str">
            <v/>
          </cell>
          <cell r="F1292" t="str">
            <v/>
          </cell>
          <cell r="G1292" t="str">
            <v/>
          </cell>
          <cell r="H1292" t="str">
            <v/>
          </cell>
          <cell r="I1292" t="str">
            <v/>
          </cell>
          <cell r="J1292" t="str">
            <v/>
          </cell>
          <cell r="K1292" t="str">
            <v/>
          </cell>
          <cell r="L1292">
            <v>-10.987740000000001</v>
          </cell>
          <cell r="M1292">
            <v>-3.6625800000000002</v>
          </cell>
          <cell r="N1292">
            <v>-7.3251600000000003</v>
          </cell>
          <cell r="O1292">
            <v>-10.987740000000001</v>
          </cell>
          <cell r="P1292">
            <v>-14.650320000000001</v>
          </cell>
          <cell r="Q1292">
            <v>-18.312899999999999</v>
          </cell>
          <cell r="R1292">
            <v>-21.975480000000001</v>
          </cell>
          <cell r="S1292">
            <v>-25.638059999999999</v>
          </cell>
          <cell r="T1292">
            <v>-37.183059999999998</v>
          </cell>
          <cell r="U1292">
            <v>-41.831060000000001</v>
          </cell>
          <cell r="V1292">
            <v>-46.479059999999997</v>
          </cell>
          <cell r="W1292">
            <v>-51.12706</v>
          </cell>
          <cell r="X1292">
            <v>-55.775060000000003</v>
          </cell>
          <cell r="Y1292">
            <v>-26.046157000000001</v>
          </cell>
        </row>
        <row r="1293">
          <cell r="B1293">
            <v>520110</v>
          </cell>
          <cell r="C1293" t="str">
            <v>NOT USED</v>
          </cell>
          <cell r="D1293" t="str">
            <v>BENEFITS - FEDERAL / STATE UNEMPLOYMENT INSURANCE</v>
          </cell>
          <cell r="E1293" t="str">
            <v/>
          </cell>
          <cell r="F1293" t="str">
            <v/>
          </cell>
          <cell r="G1293" t="str">
            <v/>
          </cell>
          <cell r="H1293" t="str">
            <v/>
          </cell>
          <cell r="I1293" t="str">
            <v/>
          </cell>
          <cell r="J1293" t="str">
            <v/>
          </cell>
          <cell r="K1293" t="str">
            <v/>
          </cell>
          <cell r="L1293">
            <v>181.28609</v>
          </cell>
          <cell r="M1293">
            <v>149.51432</v>
          </cell>
          <cell r="N1293">
            <v>155.02837</v>
          </cell>
          <cell r="O1293">
            <v>192.81805</v>
          </cell>
          <cell r="P1293">
            <v>237.04508000000001</v>
          </cell>
          <cell r="Q1293">
            <v>123.58771</v>
          </cell>
          <cell r="R1293">
            <v>123.54767</v>
          </cell>
          <cell r="S1293">
            <v>179.80789999999999</v>
          </cell>
          <cell r="T1293">
            <v>179.90451999999999</v>
          </cell>
          <cell r="U1293">
            <v>179.95698999999999</v>
          </cell>
          <cell r="V1293">
            <v>180.34183999999999</v>
          </cell>
          <cell r="W1293">
            <v>180.79300000000001</v>
          </cell>
          <cell r="X1293">
            <v>181.66673</v>
          </cell>
          <cell r="Y1293">
            <v>171.98515499999999</v>
          </cell>
        </row>
        <row r="1294">
          <cell r="B1294">
            <v>520120</v>
          </cell>
          <cell r="C1294" t="str">
            <v>NOT USED</v>
          </cell>
          <cell r="D1294" t="str">
            <v>BENEFITS - FICA/MEDICARE</v>
          </cell>
          <cell r="E1294" t="str">
            <v/>
          </cell>
          <cell r="F1294" t="str">
            <v/>
          </cell>
          <cell r="G1294" t="str">
            <v/>
          </cell>
          <cell r="H1294" t="str">
            <v/>
          </cell>
          <cell r="I1294" t="str">
            <v/>
          </cell>
          <cell r="J1294" t="str">
            <v/>
          </cell>
          <cell r="K1294" t="str">
            <v/>
          </cell>
          <cell r="L1294">
            <v>5028.3247300000003</v>
          </cell>
          <cell r="M1294">
            <v>412.05851000000001</v>
          </cell>
          <cell r="N1294">
            <v>804.94482000000005</v>
          </cell>
          <cell r="O1294">
            <v>1303.3613399999999</v>
          </cell>
          <cell r="P1294">
            <v>1701.35581</v>
          </cell>
          <cell r="Q1294">
            <v>2110.0118000000002</v>
          </cell>
          <cell r="R1294">
            <v>2546.5437400000001</v>
          </cell>
          <cell r="S1294">
            <v>2956.3422700000001</v>
          </cell>
          <cell r="T1294">
            <v>3388.90807</v>
          </cell>
          <cell r="U1294">
            <v>3915.6572799999999</v>
          </cell>
          <cell r="V1294">
            <v>4281.0041600000004</v>
          </cell>
          <cell r="W1294">
            <v>4651.8206499999997</v>
          </cell>
          <cell r="X1294">
            <v>4980.6911700000001</v>
          </cell>
          <cell r="Y1294">
            <v>2756.3763669999998</v>
          </cell>
        </row>
        <row r="1295">
          <cell r="B1295">
            <v>520130</v>
          </cell>
          <cell r="C1295" t="str">
            <v>NOT USED</v>
          </cell>
          <cell r="D1295" t="str">
            <v>BENEFITS - STATE UNEMPLOYMENT INSURANCE</v>
          </cell>
          <cell r="E1295" t="str">
            <v/>
          </cell>
          <cell r="F1295" t="str">
            <v/>
          </cell>
          <cell r="G1295" t="str">
            <v/>
          </cell>
          <cell r="H1295" t="str">
            <v/>
          </cell>
          <cell r="I1295" t="str">
            <v/>
          </cell>
          <cell r="J1295" t="str">
            <v/>
          </cell>
          <cell r="K1295" t="str">
            <v/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</row>
        <row r="1296">
          <cell r="B1296">
            <v>520135</v>
          </cell>
          <cell r="C1296" t="str">
            <v>NOT USED</v>
          </cell>
          <cell r="D1296" t="str">
            <v>BENEFITS - MTA PAYROLL TAX</v>
          </cell>
          <cell r="E1296" t="str">
            <v/>
          </cell>
          <cell r="F1296" t="str">
            <v/>
          </cell>
          <cell r="G1296" t="str">
            <v/>
          </cell>
          <cell r="H1296" t="str">
            <v/>
          </cell>
          <cell r="I1296" t="str">
            <v/>
          </cell>
          <cell r="J1296" t="str">
            <v/>
          </cell>
          <cell r="K1296" t="str">
            <v/>
          </cell>
          <cell r="L1296">
            <v>0.30669000000000002</v>
          </cell>
          <cell r="M1296">
            <v>2.6069999999999999E-2</v>
          </cell>
          <cell r="N1296">
            <v>5.1279999999999999E-2</v>
          </cell>
          <cell r="O1296">
            <v>5.1279999999999999E-2</v>
          </cell>
          <cell r="P1296">
            <v>5.1279999999999999E-2</v>
          </cell>
          <cell r="Q1296">
            <v>5.1279999999999999E-2</v>
          </cell>
          <cell r="R1296">
            <v>5.1279999999999999E-2</v>
          </cell>
          <cell r="S1296">
            <v>5.1279999999999999E-2</v>
          </cell>
          <cell r="T1296">
            <v>5.1279999999999999E-2</v>
          </cell>
          <cell r="U1296">
            <v>5.1279999999999999E-2</v>
          </cell>
          <cell r="V1296">
            <v>5.1279999999999999E-2</v>
          </cell>
          <cell r="W1296">
            <v>5.1279999999999999E-2</v>
          </cell>
          <cell r="X1296">
            <v>5.1279999999999999E-2</v>
          </cell>
          <cell r="Y1296">
            <v>5.9820999999999999E-2</v>
          </cell>
        </row>
        <row r="1297">
          <cell r="B1297">
            <v>520140</v>
          </cell>
          <cell r="C1297" t="str">
            <v>NOT USED</v>
          </cell>
          <cell r="D1297" t="str">
            <v>BENEFITS - SERP</v>
          </cell>
          <cell r="E1297" t="str">
            <v/>
          </cell>
          <cell r="F1297" t="str">
            <v/>
          </cell>
          <cell r="G1297" t="str">
            <v/>
          </cell>
          <cell r="H1297" t="str">
            <v/>
          </cell>
          <cell r="I1297" t="str">
            <v/>
          </cell>
          <cell r="J1297" t="str">
            <v/>
          </cell>
          <cell r="K1297" t="str">
            <v/>
          </cell>
          <cell r="L1297">
            <v>1376.2990400000001</v>
          </cell>
          <cell r="M1297">
            <v>131.63433000000001</v>
          </cell>
          <cell r="N1297">
            <v>263.26866000000001</v>
          </cell>
          <cell r="O1297">
            <v>382.82938999999999</v>
          </cell>
          <cell r="P1297">
            <v>514.46371999999997</v>
          </cell>
          <cell r="Q1297">
            <v>681.06431999999995</v>
          </cell>
          <cell r="R1297">
            <v>742.30688999999995</v>
          </cell>
          <cell r="S1297">
            <v>880.93447000000003</v>
          </cell>
          <cell r="T1297">
            <v>1019.56205</v>
          </cell>
          <cell r="U1297">
            <v>1107.73368</v>
          </cell>
          <cell r="V1297">
            <v>1246.3612599999999</v>
          </cell>
          <cell r="W1297">
            <v>1384.98884</v>
          </cell>
          <cell r="X1297">
            <v>1352.21569</v>
          </cell>
          <cell r="Y1297">
            <v>809.95041500000002</v>
          </cell>
        </row>
        <row r="1298">
          <cell r="B1298">
            <v>520142</v>
          </cell>
          <cell r="C1298" t="str">
            <v>NOT USED</v>
          </cell>
          <cell r="D1298" t="str">
            <v>BENEFITS - SERP - INTEREST</v>
          </cell>
          <cell r="E1298">
            <v>0</v>
          </cell>
        </row>
        <row r="1299">
          <cell r="B1299">
            <v>520144</v>
          </cell>
          <cell r="C1299" t="str">
            <v>NOT USED</v>
          </cell>
          <cell r="D1299" t="str">
            <v>BENEFITS - SERP - AMORTIZATION GAIN/LOSS</v>
          </cell>
          <cell r="E1299">
            <v>0</v>
          </cell>
        </row>
        <row r="1300">
          <cell r="B1300">
            <v>520150</v>
          </cell>
          <cell r="C1300" t="str">
            <v>NOT USED</v>
          </cell>
          <cell r="D1300" t="str">
            <v>BENEFITS - GROUP LIFE INSURANCE-ACTIVE</v>
          </cell>
          <cell r="E1300" t="str">
            <v/>
          </cell>
          <cell r="F1300" t="str">
            <v/>
          </cell>
          <cell r="G1300" t="str">
            <v/>
          </cell>
          <cell r="H1300" t="str">
            <v/>
          </cell>
          <cell r="I1300" t="str">
            <v/>
          </cell>
          <cell r="J1300" t="str">
            <v/>
          </cell>
          <cell r="K1300" t="str">
            <v/>
          </cell>
          <cell r="L1300">
            <v>847.52673000000004</v>
          </cell>
          <cell r="M1300">
            <v>-24.287479999999999</v>
          </cell>
          <cell r="N1300">
            <v>36.946809999999999</v>
          </cell>
          <cell r="O1300">
            <v>98.196489999999997</v>
          </cell>
          <cell r="P1300">
            <v>151.43258</v>
          </cell>
          <cell r="Q1300">
            <v>212.85565</v>
          </cell>
          <cell r="R1300">
            <v>274.15917000000002</v>
          </cell>
          <cell r="S1300">
            <v>330.78456999999997</v>
          </cell>
          <cell r="T1300">
            <v>479.05363999999997</v>
          </cell>
          <cell r="U1300">
            <v>446.9932</v>
          </cell>
          <cell r="V1300">
            <v>593.52211</v>
          </cell>
          <cell r="W1300">
            <v>654.85056999999995</v>
          </cell>
          <cell r="X1300">
            <v>709.37473</v>
          </cell>
          <cell r="Y1300">
            <v>336.079837</v>
          </cell>
        </row>
        <row r="1301">
          <cell r="B1301">
            <v>520151</v>
          </cell>
          <cell r="C1301" t="str">
            <v>NOT USED</v>
          </cell>
          <cell r="D1301" t="str">
            <v>BENEFITS - GROUP LIFE INSURANCE-RETIREE</v>
          </cell>
          <cell r="E1301" t="str">
            <v/>
          </cell>
          <cell r="F1301" t="str">
            <v/>
          </cell>
          <cell r="G1301" t="str">
            <v/>
          </cell>
          <cell r="H1301" t="str">
            <v/>
          </cell>
          <cell r="I1301" t="str">
            <v/>
          </cell>
          <cell r="J1301" t="str">
            <v/>
          </cell>
          <cell r="K1301" t="str">
            <v/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</row>
        <row r="1302">
          <cell r="B1302">
            <v>520155</v>
          </cell>
          <cell r="C1302" t="str">
            <v>NOT USED</v>
          </cell>
          <cell r="D1302" t="str">
            <v>BENEFITS - ORDINARY LIFE INSURANCE</v>
          </cell>
          <cell r="E1302" t="str">
            <v/>
          </cell>
          <cell r="F1302" t="str">
            <v/>
          </cell>
          <cell r="G1302" t="str">
            <v/>
          </cell>
          <cell r="H1302" t="str">
            <v/>
          </cell>
          <cell r="I1302" t="str">
            <v/>
          </cell>
          <cell r="J1302" t="str">
            <v/>
          </cell>
          <cell r="K1302" t="str">
            <v/>
          </cell>
          <cell r="L1302">
            <v>15.421340000000001</v>
          </cell>
          <cell r="M1302">
            <v>0</v>
          </cell>
          <cell r="N1302">
            <v>2.7595499999999999</v>
          </cell>
          <cell r="O1302">
            <v>9.0061</v>
          </cell>
          <cell r="P1302">
            <v>9.0061</v>
          </cell>
          <cell r="Q1302">
            <v>11.17864</v>
          </cell>
          <cell r="R1302">
            <v>11.17864</v>
          </cell>
          <cell r="S1302">
            <v>10.888479999999999</v>
          </cell>
          <cell r="T1302">
            <v>7.3085599999999999</v>
          </cell>
          <cell r="U1302">
            <v>9.7063000000000006</v>
          </cell>
          <cell r="V1302">
            <v>9.7063000000000006</v>
          </cell>
          <cell r="W1302">
            <v>10.887</v>
          </cell>
          <cell r="X1302">
            <v>14.11528</v>
          </cell>
          <cell r="Y1302">
            <v>8.8661650000000005</v>
          </cell>
        </row>
        <row r="1303">
          <cell r="B1303">
            <v>520160</v>
          </cell>
          <cell r="C1303" t="str">
            <v>NOT USED</v>
          </cell>
          <cell r="D1303" t="str">
            <v>BENEFITS - DENTAL</v>
          </cell>
          <cell r="E1303" t="str">
            <v/>
          </cell>
          <cell r="F1303" t="str">
            <v/>
          </cell>
          <cell r="G1303" t="str">
            <v/>
          </cell>
          <cell r="H1303" t="str">
            <v/>
          </cell>
          <cell r="I1303" t="str">
            <v/>
          </cell>
          <cell r="J1303" t="str">
            <v/>
          </cell>
          <cell r="K1303" t="str">
            <v/>
          </cell>
          <cell r="L1303">
            <v>398.49281000000002</v>
          </cell>
          <cell r="M1303">
            <v>26.94398</v>
          </cell>
          <cell r="N1303">
            <v>73.250640000000004</v>
          </cell>
          <cell r="O1303">
            <v>106.26237</v>
          </cell>
          <cell r="P1303">
            <v>145.59291999999999</v>
          </cell>
          <cell r="Q1303">
            <v>160.02575999999999</v>
          </cell>
          <cell r="R1303">
            <v>189.44382999999999</v>
          </cell>
          <cell r="S1303">
            <v>218.58823000000001</v>
          </cell>
          <cell r="T1303">
            <v>246.33430000000001</v>
          </cell>
          <cell r="U1303">
            <v>282.01341000000002</v>
          </cell>
          <cell r="V1303">
            <v>318.29378000000003</v>
          </cell>
          <cell r="W1303">
            <v>333.76020999999997</v>
          </cell>
          <cell r="X1303">
            <v>355.79396000000003</v>
          </cell>
          <cell r="Y1303">
            <v>206.471068</v>
          </cell>
        </row>
        <row r="1304">
          <cell r="B1304">
            <v>520170</v>
          </cell>
          <cell r="C1304" t="str">
            <v>NOT USED</v>
          </cell>
          <cell r="D1304" t="str">
            <v>BENEFITS - WORKMEN'S COMPENSATION</v>
          </cell>
          <cell r="E1304" t="str">
            <v/>
          </cell>
          <cell r="F1304" t="str">
            <v/>
          </cell>
          <cell r="G1304" t="str">
            <v/>
          </cell>
          <cell r="H1304" t="str">
            <v/>
          </cell>
          <cell r="I1304" t="str">
            <v/>
          </cell>
          <cell r="J1304" t="str">
            <v/>
          </cell>
          <cell r="K1304" t="str">
            <v/>
          </cell>
          <cell r="L1304">
            <v>1590.7994699999999</v>
          </cell>
          <cell r="M1304">
            <v>35.029919999999997</v>
          </cell>
          <cell r="N1304">
            <v>139.70707999999999</v>
          </cell>
          <cell r="O1304">
            <v>431.17840000000001</v>
          </cell>
          <cell r="P1304">
            <v>466.20832000000001</v>
          </cell>
          <cell r="Q1304">
            <v>633.20854999999995</v>
          </cell>
          <cell r="R1304">
            <v>668.97855000000004</v>
          </cell>
          <cell r="S1304">
            <v>944.94613000000004</v>
          </cell>
          <cell r="T1304">
            <v>1052.21578</v>
          </cell>
          <cell r="U1304">
            <v>2731.5895</v>
          </cell>
          <cell r="V1304">
            <v>2828.1863600000001</v>
          </cell>
          <cell r="W1304">
            <v>2866.48477</v>
          </cell>
          <cell r="X1304">
            <v>3678.10034</v>
          </cell>
          <cell r="Y1304">
            <v>1286.0152720000001</v>
          </cell>
        </row>
        <row r="1305">
          <cell r="B1305">
            <v>520171</v>
          </cell>
          <cell r="C1305" t="str">
            <v>NOT USED</v>
          </cell>
          <cell r="D1305" t="str">
            <v>BENEFITS - WORKMEN'S COMPENSATION-ACCRUAL</v>
          </cell>
          <cell r="E1305" t="str">
            <v/>
          </cell>
          <cell r="F1305" t="str">
            <v/>
          </cell>
          <cell r="G1305" t="str">
            <v/>
          </cell>
          <cell r="H1305" t="str">
            <v/>
          </cell>
          <cell r="I1305" t="str">
            <v/>
          </cell>
          <cell r="J1305" t="str">
            <v/>
          </cell>
          <cell r="K1305" t="str">
            <v/>
          </cell>
          <cell r="U1305">
            <v>-568.60589000000004</v>
          </cell>
          <cell r="V1305">
            <v>-532.82906000000003</v>
          </cell>
          <cell r="W1305">
            <v>-497.0317</v>
          </cell>
          <cell r="X1305">
            <v>-1090.7946999999999</v>
          </cell>
          <cell r="Y1305">
            <v>-178.65533300000001</v>
          </cell>
        </row>
        <row r="1306">
          <cell r="B1306">
            <v>520180</v>
          </cell>
          <cell r="C1306" t="str">
            <v>NOT USED</v>
          </cell>
          <cell r="D1306" t="str">
            <v>BENEFITS - 401K</v>
          </cell>
          <cell r="E1306" t="str">
            <v/>
          </cell>
          <cell r="F1306" t="str">
            <v/>
          </cell>
          <cell r="G1306" t="str">
            <v/>
          </cell>
          <cell r="H1306" t="str">
            <v/>
          </cell>
          <cell r="I1306" t="str">
            <v/>
          </cell>
          <cell r="J1306" t="str">
            <v/>
          </cell>
          <cell r="K1306" t="str">
            <v/>
          </cell>
          <cell r="L1306">
            <v>1552.4385500000001</v>
          </cell>
          <cell r="M1306">
            <v>114.57015</v>
          </cell>
          <cell r="N1306">
            <v>229.08656999999999</v>
          </cell>
          <cell r="O1306">
            <v>352.26447999999999</v>
          </cell>
          <cell r="P1306">
            <v>505.38270999999997</v>
          </cell>
          <cell r="Q1306">
            <v>620.80759999999998</v>
          </cell>
          <cell r="R1306">
            <v>735.60702000000003</v>
          </cell>
          <cell r="S1306">
            <v>869.97667999999999</v>
          </cell>
          <cell r="T1306">
            <v>982.61315000000002</v>
          </cell>
          <cell r="U1306">
            <v>1127.6885299999999</v>
          </cell>
          <cell r="V1306">
            <v>1232.9508599999999</v>
          </cell>
          <cell r="W1306">
            <v>1333.6244899999999</v>
          </cell>
          <cell r="X1306">
            <v>1543.59331</v>
          </cell>
          <cell r="Y1306">
            <v>804.38234799999998</v>
          </cell>
        </row>
        <row r="1307">
          <cell r="B1307">
            <v>520190</v>
          </cell>
          <cell r="C1307" t="str">
            <v>NOT USED</v>
          </cell>
          <cell r="D1307" t="str">
            <v>BENEFITS - OPEB</v>
          </cell>
          <cell r="E1307" t="str">
            <v/>
          </cell>
          <cell r="F1307" t="str">
            <v/>
          </cell>
          <cell r="G1307" t="str">
            <v/>
          </cell>
          <cell r="H1307" t="str">
            <v/>
          </cell>
          <cell r="I1307" t="str">
            <v/>
          </cell>
          <cell r="J1307" t="str">
            <v/>
          </cell>
          <cell r="K1307" t="str">
            <v/>
          </cell>
          <cell r="L1307">
            <v>-15.5305</v>
          </cell>
          <cell r="M1307">
            <v>-4.29183</v>
          </cell>
          <cell r="N1307">
            <v>-8.5836600000000001</v>
          </cell>
          <cell r="O1307">
            <v>-12.875489999999999</v>
          </cell>
          <cell r="P1307">
            <v>-17.16732</v>
          </cell>
          <cell r="Q1307">
            <v>-21.459150000000001</v>
          </cell>
          <cell r="R1307">
            <v>-25.750979999999998</v>
          </cell>
          <cell r="S1307">
            <v>-30.042809999999999</v>
          </cell>
          <cell r="T1307">
            <v>-37.59281</v>
          </cell>
          <cell r="U1307">
            <v>-42.291809999999998</v>
          </cell>
          <cell r="V1307">
            <v>-46.990810000000003</v>
          </cell>
          <cell r="W1307">
            <v>-51.689810000000001</v>
          </cell>
          <cell r="X1307">
            <v>-56.388809999999999</v>
          </cell>
          <cell r="Y1307">
            <v>-27.891345000000001</v>
          </cell>
        </row>
        <row r="1308">
          <cell r="B1308">
            <v>520195</v>
          </cell>
          <cell r="C1308" t="str">
            <v>NOT USED</v>
          </cell>
          <cell r="D1308" t="str">
            <v>BENEFITS - FAS 112</v>
          </cell>
          <cell r="E1308" t="str">
            <v/>
          </cell>
          <cell r="F1308" t="str">
            <v/>
          </cell>
          <cell r="G1308" t="str">
            <v/>
          </cell>
          <cell r="H1308" t="str">
            <v/>
          </cell>
          <cell r="I1308" t="str">
            <v/>
          </cell>
          <cell r="J1308" t="str">
            <v/>
          </cell>
          <cell r="K1308" t="str">
            <v/>
          </cell>
          <cell r="L1308">
            <v>-1238.0857699999999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478.66665999999998</v>
          </cell>
          <cell r="U1308">
            <v>538.49999000000003</v>
          </cell>
          <cell r="V1308">
            <v>598.33331999999996</v>
          </cell>
          <cell r="W1308">
            <v>658.16665</v>
          </cell>
          <cell r="X1308">
            <v>-151.74786</v>
          </cell>
          <cell r="Y1308">
            <v>131.56248400000001</v>
          </cell>
        </row>
        <row r="1309">
          <cell r="B1309">
            <v>520200</v>
          </cell>
          <cell r="C1309" t="str">
            <v>NOT USED</v>
          </cell>
          <cell r="D1309" t="str">
            <v>BENEFITS - LONG TERM DISABILITIES (LTD)</v>
          </cell>
          <cell r="E1309" t="str">
            <v/>
          </cell>
          <cell r="F1309" t="str">
            <v/>
          </cell>
          <cell r="G1309" t="str">
            <v/>
          </cell>
          <cell r="H1309" t="str">
            <v/>
          </cell>
          <cell r="I1309" t="str">
            <v/>
          </cell>
          <cell r="J1309" t="str">
            <v/>
          </cell>
          <cell r="K1309" t="str">
            <v/>
          </cell>
          <cell r="L1309">
            <v>261.96359000000001</v>
          </cell>
          <cell r="M1309">
            <v>15.43704</v>
          </cell>
          <cell r="N1309">
            <v>18.250579999999999</v>
          </cell>
          <cell r="O1309">
            <v>108.70742</v>
          </cell>
          <cell r="P1309">
            <v>128.17418000000001</v>
          </cell>
          <cell r="Q1309">
            <v>136.03354999999999</v>
          </cell>
          <cell r="R1309">
            <v>162.90468999999999</v>
          </cell>
          <cell r="S1309">
            <v>184.31432000000001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73.733631000000003</v>
          </cell>
        </row>
        <row r="1310">
          <cell r="B1310">
            <v>520210</v>
          </cell>
          <cell r="C1310" t="str">
            <v>NOT USED</v>
          </cell>
          <cell r="D1310" t="str">
            <v>BENEFITS - MAJOR MEDICAL</v>
          </cell>
          <cell r="E1310" t="str">
            <v/>
          </cell>
          <cell r="F1310" t="str">
            <v/>
          </cell>
          <cell r="G1310" t="str">
            <v/>
          </cell>
          <cell r="H1310" t="str">
            <v/>
          </cell>
          <cell r="I1310" t="str">
            <v/>
          </cell>
          <cell r="J1310" t="str">
            <v/>
          </cell>
          <cell r="K1310" t="str">
            <v/>
          </cell>
          <cell r="L1310">
            <v>4033.20271</v>
          </cell>
          <cell r="M1310">
            <v>330.51346999999998</v>
          </cell>
          <cell r="N1310">
            <v>763.51932999999997</v>
          </cell>
          <cell r="O1310">
            <v>1640.43867</v>
          </cell>
          <cell r="P1310">
            <v>2001.88885</v>
          </cell>
          <cell r="Q1310">
            <v>2542.6137600000002</v>
          </cell>
          <cell r="R1310">
            <v>2956.0117700000001</v>
          </cell>
          <cell r="S1310">
            <v>3583.34906</v>
          </cell>
          <cell r="T1310">
            <v>3744.2031699999998</v>
          </cell>
          <cell r="U1310">
            <v>5071.0387899999996</v>
          </cell>
          <cell r="V1310">
            <v>4398.9811900000004</v>
          </cell>
          <cell r="W1310">
            <v>4853.6158699999996</v>
          </cell>
          <cell r="X1310">
            <v>5550.6193199999998</v>
          </cell>
          <cell r="Y1310">
            <v>3056.507079</v>
          </cell>
        </row>
        <row r="1311">
          <cell r="B1311">
            <v>520215</v>
          </cell>
          <cell r="C1311" t="str">
            <v>NOT USED</v>
          </cell>
          <cell r="D1311" t="str">
            <v>BENEFITS - RETIREE MEDICAL</v>
          </cell>
          <cell r="E1311" t="str">
            <v/>
          </cell>
          <cell r="F1311" t="str">
            <v/>
          </cell>
          <cell r="G1311" t="str">
            <v/>
          </cell>
          <cell r="H1311" t="str">
            <v/>
          </cell>
          <cell r="I1311" t="str">
            <v/>
          </cell>
          <cell r="J1311" t="str">
            <v/>
          </cell>
          <cell r="K1311" t="str">
            <v/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</row>
        <row r="1312">
          <cell r="B1312">
            <v>520220</v>
          </cell>
          <cell r="C1312" t="str">
            <v>NOT USED</v>
          </cell>
          <cell r="D1312" t="str">
            <v>BENEFITS - REGULAR EDUCATION PLAN</v>
          </cell>
          <cell r="E1312" t="str">
            <v/>
          </cell>
          <cell r="F1312" t="str">
            <v/>
          </cell>
          <cell r="G1312" t="str">
            <v/>
          </cell>
          <cell r="H1312" t="str">
            <v/>
          </cell>
          <cell r="I1312" t="str">
            <v/>
          </cell>
          <cell r="J1312" t="str">
            <v/>
          </cell>
          <cell r="K1312" t="str">
            <v/>
          </cell>
          <cell r="L1312">
            <v>185.33559</v>
          </cell>
          <cell r="M1312">
            <v>34.654000000000003</v>
          </cell>
          <cell r="N1312">
            <v>41.998249999999999</v>
          </cell>
          <cell r="O1312">
            <v>56.083500000000001</v>
          </cell>
          <cell r="P1312">
            <v>60.984999999999999</v>
          </cell>
          <cell r="Q1312">
            <v>92.261499999999998</v>
          </cell>
          <cell r="R1312">
            <v>95.386499999999998</v>
          </cell>
          <cell r="S1312">
            <v>102.8595</v>
          </cell>
          <cell r="T1312">
            <v>130.93350000000001</v>
          </cell>
          <cell r="U1312">
            <v>163.61349999999999</v>
          </cell>
          <cell r="V1312">
            <v>173.77350000000001</v>
          </cell>
          <cell r="W1312">
            <v>190.65049999999999</v>
          </cell>
          <cell r="X1312">
            <v>196.31649999999999</v>
          </cell>
          <cell r="Y1312">
            <v>111.168775</v>
          </cell>
        </row>
        <row r="1313">
          <cell r="B1313">
            <v>520225</v>
          </cell>
          <cell r="C1313" t="str">
            <v>NOT USED</v>
          </cell>
          <cell r="D1313" t="str">
            <v>BENEFITS - EXECUTIVE EDUCATION PLAN</v>
          </cell>
          <cell r="E1313" t="str">
            <v/>
          </cell>
          <cell r="F1313" t="str">
            <v/>
          </cell>
          <cell r="G1313" t="str">
            <v/>
          </cell>
          <cell r="H1313" t="str">
            <v/>
          </cell>
          <cell r="I1313" t="str">
            <v/>
          </cell>
          <cell r="J1313" t="str">
            <v/>
          </cell>
          <cell r="K1313" t="str">
            <v/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</row>
        <row r="1314">
          <cell r="B1314">
            <v>520230</v>
          </cell>
          <cell r="C1314" t="str">
            <v>NOT USED</v>
          </cell>
          <cell r="D1314" t="str">
            <v>BENEFITS - VISION PLAN</v>
          </cell>
          <cell r="E1314" t="str">
            <v/>
          </cell>
          <cell r="F1314" t="str">
            <v/>
          </cell>
          <cell r="G1314" t="str">
            <v/>
          </cell>
          <cell r="H1314" t="str">
            <v/>
          </cell>
          <cell r="I1314" t="str">
            <v/>
          </cell>
          <cell r="J1314" t="str">
            <v/>
          </cell>
          <cell r="K1314" t="str">
            <v/>
          </cell>
          <cell r="L1314">
            <v>65.011849999999995</v>
          </cell>
          <cell r="M1314">
            <v>4.4403199999999998</v>
          </cell>
          <cell r="N1314">
            <v>9.8513900000000003</v>
          </cell>
          <cell r="O1314">
            <v>12.87895</v>
          </cell>
          <cell r="P1314">
            <v>17.763190000000002</v>
          </cell>
          <cell r="Q1314">
            <v>20.6617</v>
          </cell>
          <cell r="R1314">
            <v>24.575430000000001</v>
          </cell>
          <cell r="S1314">
            <v>27.403089999999999</v>
          </cell>
          <cell r="T1314">
            <v>31.26003</v>
          </cell>
          <cell r="U1314">
            <v>35.516460000000002</v>
          </cell>
          <cell r="V1314">
            <v>39.746949999999998</v>
          </cell>
          <cell r="W1314">
            <v>43.405439999999999</v>
          </cell>
          <cell r="X1314">
            <v>45.437609999999999</v>
          </cell>
          <cell r="Y1314">
            <v>26.893972999999999</v>
          </cell>
        </row>
        <row r="1315">
          <cell r="B1315">
            <v>520240</v>
          </cell>
          <cell r="C1315" t="str">
            <v>NOT USED</v>
          </cell>
          <cell r="D1315" t="str">
            <v>BENEFITS - REWARD &amp; RECOGNITION (R&amp;R)</v>
          </cell>
          <cell r="E1315" t="str">
            <v/>
          </cell>
          <cell r="F1315" t="str">
            <v/>
          </cell>
          <cell r="G1315" t="str">
            <v/>
          </cell>
          <cell r="H1315" t="str">
            <v/>
          </cell>
          <cell r="I1315" t="str">
            <v/>
          </cell>
          <cell r="J1315" t="str">
            <v/>
          </cell>
          <cell r="K1315" t="str">
            <v/>
          </cell>
          <cell r="L1315">
            <v>404.54223999999999</v>
          </cell>
          <cell r="M1315">
            <v>0</v>
          </cell>
          <cell r="N1315">
            <v>7.5</v>
          </cell>
          <cell r="O1315">
            <v>28.96912</v>
          </cell>
          <cell r="P1315">
            <v>134.05170000000001</v>
          </cell>
          <cell r="Q1315">
            <v>134.05170000000001</v>
          </cell>
          <cell r="R1315">
            <v>163.37405000000001</v>
          </cell>
          <cell r="S1315">
            <v>163.37405000000001</v>
          </cell>
          <cell r="T1315">
            <v>164.87405000000001</v>
          </cell>
          <cell r="U1315">
            <v>187.31474</v>
          </cell>
          <cell r="V1315">
            <v>182.82973999999999</v>
          </cell>
          <cell r="W1315">
            <v>183.12974</v>
          </cell>
          <cell r="X1315">
            <v>194.42974000000001</v>
          </cell>
          <cell r="Y1315">
            <v>137.41290699999999</v>
          </cell>
        </row>
        <row r="1316">
          <cell r="B1316">
            <v>520245</v>
          </cell>
          <cell r="C1316" t="str">
            <v>NOT USED</v>
          </cell>
          <cell r="D1316" t="str">
            <v>BENEFITS - REWARD &amp; RECOGNITION (R&amp;R) NON CASH</v>
          </cell>
          <cell r="E1316" t="str">
            <v/>
          </cell>
          <cell r="F1316" t="str">
            <v/>
          </cell>
          <cell r="G1316" t="str">
            <v/>
          </cell>
          <cell r="H1316" t="str">
            <v/>
          </cell>
          <cell r="I1316" t="str">
            <v/>
          </cell>
          <cell r="J1316" t="str">
            <v/>
          </cell>
          <cell r="K1316" t="str">
            <v/>
          </cell>
          <cell r="L1316">
            <v>17.862459999999999</v>
          </cell>
          <cell r="M1316">
            <v>2.7755999999999998</v>
          </cell>
          <cell r="N1316">
            <v>3.3415599999999999</v>
          </cell>
          <cell r="O1316">
            <v>3.35012</v>
          </cell>
          <cell r="P1316">
            <v>3.8618899999999998</v>
          </cell>
          <cell r="Q1316">
            <v>4.1118899999999998</v>
          </cell>
          <cell r="R1316">
            <v>4.9756999999999998</v>
          </cell>
          <cell r="S1316">
            <v>5.84009</v>
          </cell>
          <cell r="T1316">
            <v>5.84009</v>
          </cell>
          <cell r="U1316">
            <v>6.1775700000000002</v>
          </cell>
          <cell r="V1316">
            <v>7.8853499999999999</v>
          </cell>
          <cell r="W1316">
            <v>11.571809999999999</v>
          </cell>
          <cell r="X1316">
            <v>19.697379999999999</v>
          </cell>
          <cell r="Y1316">
            <v>6.5426330000000004</v>
          </cell>
        </row>
        <row r="1317">
          <cell r="B1317">
            <v>520250</v>
          </cell>
          <cell r="C1317" t="str">
            <v>NOT USED</v>
          </cell>
          <cell r="D1317" t="str">
            <v>BENEFITS - SAFETY</v>
          </cell>
          <cell r="E1317" t="str">
            <v/>
          </cell>
          <cell r="F1317" t="str">
            <v/>
          </cell>
          <cell r="G1317" t="str">
            <v/>
          </cell>
          <cell r="H1317" t="str">
            <v/>
          </cell>
          <cell r="I1317" t="str">
            <v/>
          </cell>
          <cell r="J1317" t="str">
            <v/>
          </cell>
          <cell r="K1317" t="str">
            <v/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</row>
        <row r="1318">
          <cell r="B1318">
            <v>520260</v>
          </cell>
          <cell r="C1318" t="str">
            <v>NOT USED</v>
          </cell>
          <cell r="D1318" t="str">
            <v>BENEFITS - FLEX CREDITS</v>
          </cell>
          <cell r="E1318" t="str">
            <v/>
          </cell>
          <cell r="F1318" t="str">
            <v/>
          </cell>
          <cell r="G1318" t="str">
            <v/>
          </cell>
          <cell r="H1318" t="str">
            <v/>
          </cell>
          <cell r="I1318" t="str">
            <v/>
          </cell>
          <cell r="J1318" t="str">
            <v/>
          </cell>
          <cell r="K1318" t="str">
            <v/>
          </cell>
          <cell r="L1318">
            <v>3.848E-2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1.603E-3</v>
          </cell>
        </row>
        <row r="1319">
          <cell r="B1319">
            <v>520270</v>
          </cell>
          <cell r="C1319" t="str">
            <v>NOT USED</v>
          </cell>
          <cell r="D1319" t="str">
            <v>BENEFITS - PLAN ADMINISTRATION</v>
          </cell>
          <cell r="E1319" t="str">
            <v/>
          </cell>
          <cell r="F1319" t="str">
            <v/>
          </cell>
          <cell r="G1319" t="str">
            <v/>
          </cell>
          <cell r="H1319" t="str">
            <v/>
          </cell>
          <cell r="I1319" t="str">
            <v/>
          </cell>
          <cell r="J1319" t="str">
            <v/>
          </cell>
          <cell r="K1319" t="str">
            <v/>
          </cell>
          <cell r="L1319">
            <v>-57.899380000000001</v>
          </cell>
          <cell r="M1319">
            <v>3.3490799999999998</v>
          </cell>
          <cell r="N1319">
            <v>4.5322300000000002</v>
          </cell>
          <cell r="O1319">
            <v>15.672180000000001</v>
          </cell>
          <cell r="P1319">
            <v>9.7980300000000007</v>
          </cell>
          <cell r="Q1319">
            <v>12.47237</v>
          </cell>
          <cell r="R1319">
            <v>14.489750000000001</v>
          </cell>
          <cell r="S1319">
            <v>16.59093</v>
          </cell>
          <cell r="T1319">
            <v>18.499359999999999</v>
          </cell>
          <cell r="U1319">
            <v>21.18421</v>
          </cell>
          <cell r="V1319">
            <v>23.036960000000001</v>
          </cell>
          <cell r="W1319">
            <v>24.320589999999999</v>
          </cell>
          <cell r="X1319">
            <v>27.29222</v>
          </cell>
          <cell r="Y1319">
            <v>12.386843000000001</v>
          </cell>
        </row>
        <row r="1320">
          <cell r="B1320">
            <v>520280</v>
          </cell>
          <cell r="C1320" t="str">
            <v>NOT USED</v>
          </cell>
          <cell r="D1320" t="str">
            <v>BENEFITS - FINANCIAL PLANNING</v>
          </cell>
          <cell r="E1320" t="str">
            <v/>
          </cell>
          <cell r="F1320" t="str">
            <v/>
          </cell>
          <cell r="G1320" t="str">
            <v/>
          </cell>
          <cell r="H1320" t="str">
            <v/>
          </cell>
          <cell r="I1320" t="str">
            <v/>
          </cell>
          <cell r="J1320" t="str">
            <v/>
          </cell>
          <cell r="K1320" t="str">
            <v/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</row>
        <row r="1321">
          <cell r="B1321">
            <v>520300</v>
          </cell>
          <cell r="C1321" t="str">
            <v>NOT USED</v>
          </cell>
          <cell r="D1321" t="str">
            <v>BENEFITS - PERSONAL DAYS-FASB 112</v>
          </cell>
          <cell r="E1321" t="str">
            <v/>
          </cell>
          <cell r="F1321" t="str">
            <v/>
          </cell>
          <cell r="G1321" t="str">
            <v/>
          </cell>
          <cell r="H1321" t="str">
            <v/>
          </cell>
          <cell r="I1321" t="str">
            <v/>
          </cell>
          <cell r="J1321" t="str">
            <v/>
          </cell>
          <cell r="K1321" t="str">
            <v/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</row>
        <row r="1322">
          <cell r="B1322">
            <v>520301</v>
          </cell>
          <cell r="C1322" t="str">
            <v>NOT USED</v>
          </cell>
          <cell r="D1322" t="str">
            <v>BENEFITS - EEMC HC ALLOCATION-RGE</v>
          </cell>
          <cell r="E1322" t="str">
            <v/>
          </cell>
          <cell r="F1322" t="str">
            <v/>
          </cell>
          <cell r="G1322" t="str">
            <v/>
          </cell>
          <cell r="H1322" t="str">
            <v/>
          </cell>
          <cell r="I1322" t="str">
            <v/>
          </cell>
          <cell r="J1322" t="str">
            <v/>
          </cell>
          <cell r="K1322" t="str">
            <v/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</row>
        <row r="1323">
          <cell r="B1323">
            <v>520400</v>
          </cell>
          <cell r="C1323" t="str">
            <v>NOT USED</v>
          </cell>
          <cell r="D1323" t="str">
            <v>BENEFITS-PENSIONS-SERVICES</v>
          </cell>
          <cell r="E1323" t="str">
            <v/>
          </cell>
          <cell r="F1323" t="str">
            <v/>
          </cell>
          <cell r="G1323" t="str">
            <v/>
          </cell>
          <cell r="H1323" t="str">
            <v/>
          </cell>
          <cell r="I1323" t="str">
            <v/>
          </cell>
          <cell r="J1323" t="str">
            <v/>
          </cell>
          <cell r="K1323" t="str">
            <v/>
          </cell>
          <cell r="L1323">
            <v>9516.33</v>
          </cell>
          <cell r="M1323">
            <v>339.09307999999999</v>
          </cell>
          <cell r="N1323">
            <v>678.18615999999997</v>
          </cell>
          <cell r="O1323">
            <v>1017.27924</v>
          </cell>
          <cell r="P1323">
            <v>1356.3723199999999</v>
          </cell>
          <cell r="Q1323">
            <v>1607.13913</v>
          </cell>
          <cell r="R1323">
            <v>1928.5669800000001</v>
          </cell>
          <cell r="S1323">
            <v>2249.9948100000001</v>
          </cell>
          <cell r="T1323">
            <v>2571.4226399999998</v>
          </cell>
          <cell r="U1323">
            <v>2906.5200300000001</v>
          </cell>
          <cell r="V1323">
            <v>4429.4666900000002</v>
          </cell>
          <cell r="W1323">
            <v>4752.4133499999998</v>
          </cell>
          <cell r="X1323">
            <v>5310.5330100000001</v>
          </cell>
          <cell r="Y1323">
            <v>2604.1571610000001</v>
          </cell>
        </row>
        <row r="1324">
          <cell r="B1324">
            <v>520401</v>
          </cell>
          <cell r="C1324" t="str">
            <v>NOT USED</v>
          </cell>
          <cell r="D1324" t="str">
            <v>BENEFITS-PENSIONS-INTEREST</v>
          </cell>
          <cell r="E1324" t="str">
            <v/>
          </cell>
          <cell r="F1324" t="str">
            <v/>
          </cell>
          <cell r="G1324" t="str">
            <v/>
          </cell>
          <cell r="H1324" t="str">
            <v/>
          </cell>
          <cell r="I1324" t="str">
            <v/>
          </cell>
          <cell r="J1324" t="str">
            <v/>
          </cell>
          <cell r="K1324" t="str">
            <v/>
          </cell>
          <cell r="L1324">
            <v>24540.553049999999</v>
          </cell>
          <cell r="M1324">
            <v>1841.6666700000001</v>
          </cell>
          <cell r="N1324">
            <v>3683.3333400000001</v>
          </cell>
          <cell r="O1324">
            <v>5525.0000099999997</v>
          </cell>
          <cell r="P1324">
            <v>7366.6666800000003</v>
          </cell>
          <cell r="Q1324">
            <v>9041.39</v>
          </cell>
          <cell r="R1324">
            <v>10849.668</v>
          </cell>
          <cell r="S1324">
            <v>12657.946</v>
          </cell>
          <cell r="T1324">
            <v>14466.224</v>
          </cell>
          <cell r="U1324">
            <v>16274.502</v>
          </cell>
          <cell r="V1324">
            <v>18082.78</v>
          </cell>
          <cell r="W1324">
            <v>19891.058000000001</v>
          </cell>
          <cell r="X1324">
            <v>21699.335999999999</v>
          </cell>
          <cell r="Y1324">
            <v>11900.014934999999</v>
          </cell>
        </row>
        <row r="1325">
          <cell r="B1325">
            <v>520402</v>
          </cell>
          <cell r="C1325" t="str">
            <v>NOT USED</v>
          </cell>
          <cell r="D1325" t="str">
            <v>BENEFITS-PENSIONS-RETURN ON ASSETS-ROA</v>
          </cell>
          <cell r="E1325" t="str">
            <v/>
          </cell>
          <cell r="F1325" t="str">
            <v/>
          </cell>
          <cell r="G1325" t="str">
            <v/>
          </cell>
          <cell r="H1325" t="str">
            <v/>
          </cell>
          <cell r="I1325" t="str">
            <v/>
          </cell>
          <cell r="J1325" t="str">
            <v/>
          </cell>
          <cell r="K1325" t="str">
            <v/>
          </cell>
          <cell r="L1325">
            <v>-36183.452039999996</v>
          </cell>
          <cell r="M1325">
            <v>-2691.6666700000001</v>
          </cell>
          <cell r="N1325">
            <v>-5383.3333400000001</v>
          </cell>
          <cell r="O1325">
            <v>-8075.0000099999997</v>
          </cell>
          <cell r="P1325">
            <v>-10766.66668</v>
          </cell>
          <cell r="Q1325">
            <v>-14901.559579999999</v>
          </cell>
          <cell r="R1325">
            <v>-17881.871500000001</v>
          </cell>
          <cell r="S1325">
            <v>-20862.183420000001</v>
          </cell>
          <cell r="T1325">
            <v>-23842.495340000001</v>
          </cell>
          <cell r="U1325">
            <v>-26822.807260000001</v>
          </cell>
          <cell r="V1325">
            <v>-29803.119180000002</v>
          </cell>
          <cell r="W1325">
            <v>-32783.431100000002</v>
          </cell>
          <cell r="X1325">
            <v>-35763.743020000002</v>
          </cell>
          <cell r="Y1325">
            <v>-19148.977633999999</v>
          </cell>
        </row>
        <row r="1326">
          <cell r="B1326">
            <v>520403</v>
          </cell>
          <cell r="C1326" t="str">
            <v>NOT USED</v>
          </cell>
          <cell r="D1326" t="str">
            <v>BENEFITS-OPEB-SERVICE</v>
          </cell>
          <cell r="E1326" t="str">
            <v/>
          </cell>
          <cell r="F1326" t="str">
            <v/>
          </cell>
          <cell r="G1326" t="str">
            <v/>
          </cell>
          <cell r="H1326" t="str">
            <v/>
          </cell>
          <cell r="I1326" t="str">
            <v/>
          </cell>
          <cell r="J1326" t="str">
            <v/>
          </cell>
          <cell r="K1326" t="str">
            <v/>
          </cell>
          <cell r="L1326">
            <v>563.92692999999997</v>
          </cell>
          <cell r="M1326">
            <v>58.083329999999997</v>
          </cell>
          <cell r="N1326">
            <v>116.16665999999999</v>
          </cell>
          <cell r="O1326">
            <v>174.24999</v>
          </cell>
          <cell r="P1326">
            <v>232.33331999999999</v>
          </cell>
          <cell r="Q1326">
            <v>253.32832999999999</v>
          </cell>
          <cell r="R1326">
            <v>303.99400000000003</v>
          </cell>
          <cell r="S1326">
            <v>354.65967000000001</v>
          </cell>
          <cell r="T1326">
            <v>405.32533999999998</v>
          </cell>
          <cell r="U1326">
            <v>455.99101000000002</v>
          </cell>
          <cell r="V1326">
            <v>506.65667999999999</v>
          </cell>
          <cell r="W1326">
            <v>557.32235000000003</v>
          </cell>
          <cell r="X1326">
            <v>607.98802000000001</v>
          </cell>
          <cell r="Y1326">
            <v>333.672346</v>
          </cell>
        </row>
        <row r="1327">
          <cell r="B1327">
            <v>520404</v>
          </cell>
          <cell r="C1327" t="str">
            <v>NOT USED</v>
          </cell>
          <cell r="D1327" t="str">
            <v>BENEFITS-OPEB-INTEREST</v>
          </cell>
          <cell r="E1327" t="str">
            <v/>
          </cell>
          <cell r="F1327" t="str">
            <v/>
          </cell>
          <cell r="G1327" t="str">
            <v/>
          </cell>
          <cell r="H1327" t="str">
            <v/>
          </cell>
          <cell r="I1327" t="str">
            <v/>
          </cell>
          <cell r="J1327" t="str">
            <v/>
          </cell>
          <cell r="K1327" t="str">
            <v/>
          </cell>
          <cell r="L1327">
            <v>4613.2980900000002</v>
          </cell>
          <cell r="M1327">
            <v>351.91667000000001</v>
          </cell>
          <cell r="N1327">
            <v>703.83334000000002</v>
          </cell>
          <cell r="O1327">
            <v>1055.75001</v>
          </cell>
          <cell r="P1327">
            <v>1407.66668</v>
          </cell>
          <cell r="Q1327">
            <v>1761.6587500000001</v>
          </cell>
          <cell r="R1327">
            <v>2113.9904999999999</v>
          </cell>
          <cell r="S1327">
            <v>2466.3222500000002</v>
          </cell>
          <cell r="T1327">
            <v>2818.654</v>
          </cell>
          <cell r="U1327">
            <v>3170.9857499999998</v>
          </cell>
          <cell r="V1327">
            <v>3523.3175000000001</v>
          </cell>
          <cell r="W1327">
            <v>3875.6492499999999</v>
          </cell>
          <cell r="X1327">
            <v>4227.9809999999998</v>
          </cell>
          <cell r="Y1327">
            <v>2305.865354</v>
          </cell>
        </row>
        <row r="1328">
          <cell r="B1328">
            <v>520406</v>
          </cell>
          <cell r="C1328" t="str">
            <v>NOT USED</v>
          </cell>
          <cell r="D1328" t="str">
            <v>BENEFITS-PENSIONS-AMORTIZATION GAIN/LOSS</v>
          </cell>
          <cell r="E1328" t="str">
            <v/>
          </cell>
          <cell r="F1328" t="str">
            <v/>
          </cell>
          <cell r="G1328" t="str">
            <v/>
          </cell>
          <cell r="H1328" t="str">
            <v/>
          </cell>
          <cell r="I1328" t="str">
            <v/>
          </cell>
          <cell r="J1328" t="str">
            <v/>
          </cell>
          <cell r="K1328" t="str">
            <v/>
          </cell>
          <cell r="L1328">
            <v>8761.0298700000003</v>
          </cell>
          <cell r="M1328">
            <v>958.33333000000005</v>
          </cell>
          <cell r="N1328">
            <v>1916.6666600000001</v>
          </cell>
          <cell r="O1328">
            <v>2874.9999899999998</v>
          </cell>
          <cell r="P1328">
            <v>3833.3333200000002</v>
          </cell>
          <cell r="Q1328">
            <v>4458.3720800000001</v>
          </cell>
          <cell r="R1328">
            <v>5350.0465000000004</v>
          </cell>
          <cell r="S1328">
            <v>6241.7209199999998</v>
          </cell>
          <cell r="T1328">
            <v>7133.39534</v>
          </cell>
          <cell r="U1328">
            <v>8025.0697600000003</v>
          </cell>
          <cell r="V1328">
            <v>8916.7441799999997</v>
          </cell>
          <cell r="W1328">
            <v>9808.4186000000009</v>
          </cell>
          <cell r="X1328">
            <v>10700.09302</v>
          </cell>
          <cell r="Y1328">
            <v>5770.6385099999998</v>
          </cell>
        </row>
        <row r="1329">
          <cell r="B1329">
            <v>520407</v>
          </cell>
          <cell r="C1329" t="str">
            <v>NOT USED</v>
          </cell>
          <cell r="D1329" t="str">
            <v>BENEFITS-OPEB-AMORTIZATION GAIN/LOSS</v>
          </cell>
          <cell r="E1329" t="str">
            <v/>
          </cell>
          <cell r="F1329" t="str">
            <v/>
          </cell>
          <cell r="G1329" t="str">
            <v/>
          </cell>
          <cell r="H1329" t="str">
            <v/>
          </cell>
          <cell r="I1329" t="str">
            <v/>
          </cell>
          <cell r="J1329" t="str">
            <v/>
          </cell>
          <cell r="K1329" t="str">
            <v/>
          </cell>
          <cell r="L1329">
            <v>601.19899999999996</v>
          </cell>
          <cell r="M1329">
            <v>104.75</v>
          </cell>
          <cell r="N1329">
            <v>209.5</v>
          </cell>
          <cell r="O1329">
            <v>314.25</v>
          </cell>
          <cell r="P1329">
            <v>419</v>
          </cell>
          <cell r="Q1329">
            <v>423.79374999999999</v>
          </cell>
          <cell r="R1329">
            <v>508.55250000000001</v>
          </cell>
          <cell r="S1329">
            <v>593.31124999999997</v>
          </cell>
          <cell r="T1329">
            <v>678.07</v>
          </cell>
          <cell r="U1329">
            <v>762.82875000000001</v>
          </cell>
          <cell r="V1329">
            <v>847.58749999999998</v>
          </cell>
          <cell r="W1329">
            <v>932.34625000000005</v>
          </cell>
          <cell r="X1329">
            <v>1017.105</v>
          </cell>
          <cell r="Y1329">
            <v>550.26183300000002</v>
          </cell>
        </row>
        <row r="1330">
          <cell r="B1330">
            <v>530100</v>
          </cell>
          <cell r="C1330" t="str">
            <v>NOT USED</v>
          </cell>
          <cell r="D1330" t="str">
            <v>MATERIALS EXPENSES - STOCK</v>
          </cell>
          <cell r="E1330" t="str">
            <v/>
          </cell>
          <cell r="F1330" t="str">
            <v/>
          </cell>
          <cell r="G1330" t="str">
            <v/>
          </cell>
          <cell r="H1330" t="str">
            <v/>
          </cell>
          <cell r="I1330" t="str">
            <v/>
          </cell>
          <cell r="J1330" t="str">
            <v/>
          </cell>
          <cell r="K1330" t="str">
            <v/>
          </cell>
          <cell r="L1330">
            <v>17136.85385</v>
          </cell>
          <cell r="M1330">
            <v>874.52557000000002</v>
          </cell>
          <cell r="N1330">
            <v>2612.6136499999998</v>
          </cell>
          <cell r="O1330">
            <v>3452.4269599999998</v>
          </cell>
          <cell r="P1330">
            <v>4245.4100099999996</v>
          </cell>
          <cell r="Q1330">
            <v>5144.69841</v>
          </cell>
          <cell r="R1330">
            <v>6257.32629</v>
          </cell>
          <cell r="S1330">
            <v>8095.6770800000004</v>
          </cell>
          <cell r="T1330">
            <v>9692.5803099999994</v>
          </cell>
          <cell r="U1330">
            <v>10646.87708</v>
          </cell>
          <cell r="V1330">
            <v>11913.92815</v>
          </cell>
          <cell r="W1330">
            <v>13269.3905</v>
          </cell>
          <cell r="X1330">
            <v>17735.618549999999</v>
          </cell>
          <cell r="Y1330">
            <v>7803.4741839999997</v>
          </cell>
        </row>
        <row r="1331">
          <cell r="B1331">
            <v>530101</v>
          </cell>
          <cell r="C1331" t="str">
            <v>NOT USED</v>
          </cell>
          <cell r="D1331" t="str">
            <v>FUEL - STOCK</v>
          </cell>
          <cell r="E1331" t="str">
            <v/>
          </cell>
          <cell r="F1331" t="str">
            <v/>
          </cell>
          <cell r="G1331" t="str">
            <v/>
          </cell>
          <cell r="H1331" t="str">
            <v/>
          </cell>
          <cell r="I1331" t="str">
            <v/>
          </cell>
          <cell r="J1331" t="str">
            <v/>
          </cell>
          <cell r="K1331" t="str">
            <v/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</row>
        <row r="1332">
          <cell r="B1332">
            <v>530110</v>
          </cell>
          <cell r="C1332" t="str">
            <v>NOT USED</v>
          </cell>
          <cell r="D1332" t="str">
            <v>MATERIALS EXPENSES - NON-STOCK</v>
          </cell>
          <cell r="E1332" t="str">
            <v/>
          </cell>
          <cell r="F1332" t="str">
            <v/>
          </cell>
          <cell r="G1332" t="str">
            <v/>
          </cell>
          <cell r="H1332" t="str">
            <v/>
          </cell>
          <cell r="I1332" t="str">
            <v/>
          </cell>
          <cell r="J1332" t="str">
            <v/>
          </cell>
          <cell r="K1332" t="str">
            <v/>
          </cell>
          <cell r="L1332">
            <v>26189.421600000001</v>
          </cell>
          <cell r="M1332">
            <v>-1211.03918</v>
          </cell>
          <cell r="N1332">
            <v>-620.05625999999995</v>
          </cell>
          <cell r="O1332">
            <v>-107.88733000000001</v>
          </cell>
          <cell r="P1332">
            <v>361.29266999999999</v>
          </cell>
          <cell r="Q1332">
            <v>860.80448000000001</v>
          </cell>
          <cell r="R1332">
            <v>1737.9147599999999</v>
          </cell>
          <cell r="S1332">
            <v>2298.9771900000001</v>
          </cell>
          <cell r="T1332">
            <v>5614.5692499999996</v>
          </cell>
          <cell r="U1332">
            <v>9746.3286700000008</v>
          </cell>
          <cell r="V1332">
            <v>10797.802309999999</v>
          </cell>
          <cell r="W1332">
            <v>14411.35636</v>
          </cell>
          <cell r="X1332">
            <v>28460.245699999999</v>
          </cell>
          <cell r="Y1332">
            <v>5934.5747140000003</v>
          </cell>
        </row>
        <row r="1333">
          <cell r="B1333">
            <v>530111</v>
          </cell>
          <cell r="C1333" t="str">
            <v>NOT USED</v>
          </cell>
          <cell r="D1333" t="str">
            <v>MATERIALS EXPENSES - TRANSFORMER/REG/METER STOCK</v>
          </cell>
          <cell r="E1333" t="str">
            <v/>
          </cell>
          <cell r="F1333" t="str">
            <v/>
          </cell>
          <cell r="G1333" t="str">
            <v/>
          </cell>
          <cell r="H1333" t="str">
            <v/>
          </cell>
          <cell r="I1333" t="str">
            <v/>
          </cell>
          <cell r="J1333" t="str">
            <v/>
          </cell>
          <cell r="K1333" t="str">
            <v/>
          </cell>
          <cell r="L1333">
            <v>5369.3757800000003</v>
          </cell>
          <cell r="M1333">
            <v>281.00567000000001</v>
          </cell>
          <cell r="N1333">
            <v>531.01306999999997</v>
          </cell>
          <cell r="O1333">
            <v>740.31655000000001</v>
          </cell>
          <cell r="P1333">
            <v>1085.62156</v>
          </cell>
          <cell r="Q1333">
            <v>1458.61824</v>
          </cell>
          <cell r="R1333">
            <v>1699.40662</v>
          </cell>
          <cell r="S1333">
            <v>2073.4837200000002</v>
          </cell>
          <cell r="T1333">
            <v>2310.0588400000001</v>
          </cell>
          <cell r="U1333">
            <v>2674.52666</v>
          </cell>
          <cell r="V1333">
            <v>3072.0272799999998</v>
          </cell>
          <cell r="W1333">
            <v>3695.4074000000001</v>
          </cell>
          <cell r="X1333">
            <v>4444.5500400000001</v>
          </cell>
          <cell r="Y1333">
            <v>2044.0373770000001</v>
          </cell>
        </row>
        <row r="1334">
          <cell r="B1334">
            <v>530115</v>
          </cell>
          <cell r="C1334" t="str">
            <v>NOT USED</v>
          </cell>
          <cell r="D1334" t="str">
            <v>MATERIALS EXPENSES - NON-STOCK PLANT TRANSFERS</v>
          </cell>
          <cell r="E1334" t="str">
            <v/>
          </cell>
          <cell r="F1334" t="str">
            <v/>
          </cell>
          <cell r="G1334" t="str">
            <v/>
          </cell>
          <cell r="H1334" t="str">
            <v/>
          </cell>
          <cell r="I1334" t="str">
            <v/>
          </cell>
          <cell r="J1334" t="str">
            <v/>
          </cell>
          <cell r="K1334" t="str">
            <v/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</row>
        <row r="1335">
          <cell r="B1335">
            <v>530120</v>
          </cell>
          <cell r="C1335" t="str">
            <v>NOT USED</v>
          </cell>
          <cell r="D1335" t="str">
            <v>MATERIALS EXPENSES - SCRAP/OBSOLETE</v>
          </cell>
          <cell r="E1335" t="str">
            <v/>
          </cell>
          <cell r="F1335" t="str">
            <v/>
          </cell>
          <cell r="G1335" t="str">
            <v/>
          </cell>
          <cell r="H1335" t="str">
            <v/>
          </cell>
          <cell r="I1335" t="str">
            <v/>
          </cell>
          <cell r="J1335" t="str">
            <v/>
          </cell>
          <cell r="K1335" t="str">
            <v/>
          </cell>
          <cell r="L1335">
            <v>17.815259999999999</v>
          </cell>
          <cell r="M1335">
            <v>1.08484</v>
          </cell>
          <cell r="N1335">
            <v>1.08484</v>
          </cell>
          <cell r="O1335">
            <v>1.08484</v>
          </cell>
          <cell r="P1335">
            <v>1.08484</v>
          </cell>
          <cell r="Q1335">
            <v>1.08484</v>
          </cell>
          <cell r="R1335">
            <v>1.08484</v>
          </cell>
          <cell r="S1335">
            <v>1.08484</v>
          </cell>
          <cell r="T1335">
            <v>1.08484</v>
          </cell>
          <cell r="U1335">
            <v>1.08484</v>
          </cell>
          <cell r="V1335">
            <v>1.5971</v>
          </cell>
          <cell r="W1335">
            <v>1.5971</v>
          </cell>
          <cell r="X1335">
            <v>3.1952199999999999</v>
          </cell>
          <cell r="Y1335">
            <v>1.9552499999999999</v>
          </cell>
        </row>
        <row r="1336">
          <cell r="B1336">
            <v>530125</v>
          </cell>
          <cell r="C1336" t="str">
            <v>NOT USED</v>
          </cell>
          <cell r="D1336" t="str">
            <v>MATERIALS EXPENSES - OBSOLETE</v>
          </cell>
          <cell r="E1336" t="str">
            <v/>
          </cell>
          <cell r="F1336" t="str">
            <v/>
          </cell>
          <cell r="G1336" t="str">
            <v/>
          </cell>
          <cell r="H1336" t="str">
            <v/>
          </cell>
          <cell r="I1336" t="str">
            <v/>
          </cell>
          <cell r="J1336" t="str">
            <v/>
          </cell>
          <cell r="K1336" t="str">
            <v/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</row>
        <row r="1337">
          <cell r="B1337">
            <v>530200</v>
          </cell>
          <cell r="C1337" t="str">
            <v>NOT USED</v>
          </cell>
          <cell r="D1337" t="str">
            <v>MATERIALS - AUP DIFFERCE (SAP RECON ACCOUNT)</v>
          </cell>
          <cell r="E1337" t="str">
            <v/>
          </cell>
          <cell r="F1337" t="str">
            <v/>
          </cell>
          <cell r="G1337" t="str">
            <v/>
          </cell>
          <cell r="H1337" t="str">
            <v/>
          </cell>
          <cell r="I1337" t="str">
            <v/>
          </cell>
          <cell r="J1337" t="str">
            <v/>
          </cell>
          <cell r="K1337" t="str">
            <v/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</row>
        <row r="1338">
          <cell r="B1338">
            <v>530210</v>
          </cell>
          <cell r="C1338" t="str">
            <v>NOT USED</v>
          </cell>
          <cell r="D1338" t="str">
            <v>MATERIALS - FREIGHT CHARGES</v>
          </cell>
          <cell r="E1338" t="str">
            <v/>
          </cell>
          <cell r="F1338" t="str">
            <v/>
          </cell>
          <cell r="G1338" t="str">
            <v/>
          </cell>
          <cell r="H1338" t="str">
            <v/>
          </cell>
          <cell r="I1338" t="str">
            <v/>
          </cell>
          <cell r="J1338" t="str">
            <v/>
          </cell>
          <cell r="K1338" t="str">
            <v/>
          </cell>
          <cell r="L1338">
            <v>68.790409999999994</v>
          </cell>
          <cell r="M1338">
            <v>8.3567</v>
          </cell>
          <cell r="N1338">
            <v>11.171200000000001</v>
          </cell>
          <cell r="O1338">
            <v>17.110749999999999</v>
          </cell>
          <cell r="P1338">
            <v>19.791499999999999</v>
          </cell>
          <cell r="Q1338">
            <v>25.832000000000001</v>
          </cell>
          <cell r="R1338">
            <v>28.340250000000001</v>
          </cell>
          <cell r="S1338">
            <v>30.635750000000002</v>
          </cell>
          <cell r="T1338">
            <v>33.173999999999999</v>
          </cell>
          <cell r="U1338">
            <v>34.246749999999999</v>
          </cell>
          <cell r="V1338">
            <v>35.947249999999997</v>
          </cell>
          <cell r="W1338">
            <v>36.840000000000003</v>
          </cell>
          <cell r="X1338">
            <v>37.69905</v>
          </cell>
          <cell r="Y1338">
            <v>27.890906999999999</v>
          </cell>
        </row>
        <row r="1339">
          <cell r="B1339">
            <v>530220</v>
          </cell>
          <cell r="C1339" t="str">
            <v>NOT USED</v>
          </cell>
          <cell r="D1339" t="str">
            <v>MATERIALS - INVENTORY ADJUSTMENTS</v>
          </cell>
          <cell r="E1339" t="str">
            <v/>
          </cell>
          <cell r="F1339" t="str">
            <v/>
          </cell>
          <cell r="G1339" t="str">
            <v/>
          </cell>
          <cell r="H1339" t="str">
            <v/>
          </cell>
          <cell r="I1339" t="str">
            <v/>
          </cell>
          <cell r="J1339" t="str">
            <v/>
          </cell>
          <cell r="K1339" t="str">
            <v/>
          </cell>
          <cell r="L1339">
            <v>38.559379999999997</v>
          </cell>
          <cell r="M1339">
            <v>0.84577000000000002</v>
          </cell>
          <cell r="N1339">
            <v>1.57054</v>
          </cell>
          <cell r="O1339">
            <v>3.8233700000000002</v>
          </cell>
          <cell r="P1339">
            <v>4.3681099999999997</v>
          </cell>
          <cell r="Q1339">
            <v>5.1796899999999999</v>
          </cell>
          <cell r="R1339">
            <v>150.16284999999999</v>
          </cell>
          <cell r="S1339">
            <v>152.59110000000001</v>
          </cell>
          <cell r="T1339">
            <v>153.33716999999999</v>
          </cell>
          <cell r="U1339">
            <v>159.36445000000001</v>
          </cell>
          <cell r="V1339">
            <v>160.47519</v>
          </cell>
          <cell r="W1339">
            <v>160.41184000000001</v>
          </cell>
          <cell r="X1339">
            <v>153.80081000000001</v>
          </cell>
          <cell r="Y1339">
            <v>87.359181000000007</v>
          </cell>
        </row>
        <row r="1340">
          <cell r="B1340">
            <v>530230</v>
          </cell>
          <cell r="C1340" t="str">
            <v>NOT USED</v>
          </cell>
          <cell r="D1340" t="str">
            <v>MATERIALS - SAP DISCOUNTS</v>
          </cell>
          <cell r="E1340" t="str">
            <v/>
          </cell>
          <cell r="F1340" t="str">
            <v/>
          </cell>
          <cell r="G1340" t="str">
            <v/>
          </cell>
          <cell r="H1340" t="str">
            <v/>
          </cell>
          <cell r="I1340" t="str">
            <v/>
          </cell>
          <cell r="J1340" t="str">
            <v/>
          </cell>
          <cell r="K1340" t="str">
            <v/>
          </cell>
          <cell r="L1340">
            <v>-1.58E-3</v>
          </cell>
          <cell r="M1340">
            <v>0</v>
          </cell>
          <cell r="N1340">
            <v>0</v>
          </cell>
          <cell r="O1340">
            <v>0</v>
          </cell>
          <cell r="P1340">
            <v>-2.7369999999999998E-2</v>
          </cell>
          <cell r="Q1340">
            <v>-2.7369999999999998E-2</v>
          </cell>
          <cell r="R1340">
            <v>4.8300000000000001E-3</v>
          </cell>
          <cell r="S1340">
            <v>-0.10417999999999999</v>
          </cell>
          <cell r="T1340">
            <v>-0.10417999999999999</v>
          </cell>
          <cell r="U1340">
            <v>-0.10417999999999999</v>
          </cell>
          <cell r="V1340">
            <v>-0.10417999999999999</v>
          </cell>
          <cell r="W1340">
            <v>-0.10417999999999999</v>
          </cell>
          <cell r="X1340">
            <v>-0.10417999999999999</v>
          </cell>
          <cell r="Y1340">
            <v>-5.1973999999999999E-2</v>
          </cell>
        </row>
        <row r="1341">
          <cell r="B1341">
            <v>530240</v>
          </cell>
          <cell r="C1341" t="str">
            <v>NOT USED</v>
          </cell>
          <cell r="D1341" t="str">
            <v>MATERIALS - REVALUATION</v>
          </cell>
          <cell r="E1341" t="str">
            <v/>
          </cell>
          <cell r="F1341" t="str">
            <v/>
          </cell>
          <cell r="G1341" t="str">
            <v/>
          </cell>
          <cell r="H1341" t="str">
            <v/>
          </cell>
          <cell r="I1341" t="str">
            <v/>
          </cell>
          <cell r="J1341" t="str">
            <v/>
          </cell>
          <cell r="K1341" t="str">
            <v/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</row>
        <row r="1342">
          <cell r="B1342">
            <v>530999</v>
          </cell>
          <cell r="C1342" t="str">
            <v>NOT USED</v>
          </cell>
          <cell r="D1342" t="str">
            <v>MATERIALS RECLASSIFICATION - CO</v>
          </cell>
          <cell r="E1342" t="str">
            <v/>
          </cell>
          <cell r="F1342" t="str">
            <v/>
          </cell>
          <cell r="G1342" t="str">
            <v/>
          </cell>
          <cell r="H1342" t="str">
            <v/>
          </cell>
          <cell r="I1342" t="str">
            <v/>
          </cell>
          <cell r="J1342" t="str">
            <v/>
          </cell>
          <cell r="K1342" t="str">
            <v/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</row>
        <row r="1343">
          <cell r="B1343">
            <v>540010</v>
          </cell>
          <cell r="C1343" t="str">
            <v>NOT USED</v>
          </cell>
          <cell r="D1343" t="str">
            <v>PURCHASED GAS-CITY GATE PURCHASES</v>
          </cell>
          <cell r="E1343" t="str">
            <v/>
          </cell>
          <cell r="F1343" t="str">
            <v/>
          </cell>
          <cell r="G1343" t="str">
            <v/>
          </cell>
          <cell r="H1343" t="str">
            <v/>
          </cell>
          <cell r="I1343" t="str">
            <v/>
          </cell>
          <cell r="J1343" t="str">
            <v/>
          </cell>
          <cell r="K1343" t="str">
            <v/>
          </cell>
          <cell r="L1343">
            <v>197.28164000000001</v>
          </cell>
          <cell r="M1343">
            <v>16.21782</v>
          </cell>
          <cell r="N1343">
            <v>29.651479999999999</v>
          </cell>
          <cell r="O1343">
            <v>43.771419999999999</v>
          </cell>
          <cell r="P1343">
            <v>62.268259999999998</v>
          </cell>
          <cell r="Q1343">
            <v>78.749369999999999</v>
          </cell>
          <cell r="R1343">
            <v>94.777389999999997</v>
          </cell>
          <cell r="S1343">
            <v>115.34477</v>
          </cell>
          <cell r="T1343">
            <v>130.94752</v>
          </cell>
          <cell r="U1343">
            <v>146.15350000000001</v>
          </cell>
          <cell r="V1343">
            <v>160.5204</v>
          </cell>
          <cell r="W1343">
            <v>173.09181000000001</v>
          </cell>
          <cell r="X1343">
            <v>187.62477999999999</v>
          </cell>
          <cell r="Y1343">
            <v>103.662246</v>
          </cell>
        </row>
        <row r="1344">
          <cell r="B1344">
            <v>540020</v>
          </cell>
          <cell r="C1344" t="str">
            <v>NOT USED</v>
          </cell>
          <cell r="D1344" t="str">
            <v>PURCHASED GAS-DEFERRED</v>
          </cell>
          <cell r="E1344" t="str">
            <v/>
          </cell>
          <cell r="F1344" t="str">
            <v/>
          </cell>
          <cell r="G1344" t="str">
            <v/>
          </cell>
          <cell r="H1344" t="str">
            <v/>
          </cell>
          <cell r="I1344" t="str">
            <v/>
          </cell>
          <cell r="J1344" t="str">
            <v/>
          </cell>
          <cell r="K1344" t="str">
            <v/>
          </cell>
          <cell r="L1344">
            <v>4028.9185299999999</v>
          </cell>
          <cell r="M1344">
            <v>2693.2982499999998</v>
          </cell>
          <cell r="N1344">
            <v>5488.1398200000003</v>
          </cell>
          <cell r="O1344">
            <v>6117.4109099999996</v>
          </cell>
          <cell r="P1344">
            <v>6047.9615700000004</v>
          </cell>
          <cell r="Q1344">
            <v>5717.4210400000002</v>
          </cell>
          <cell r="R1344">
            <v>3509.5763900000002</v>
          </cell>
          <cell r="S1344">
            <v>1324.7045499999999</v>
          </cell>
          <cell r="T1344">
            <v>493.16248000000002</v>
          </cell>
          <cell r="U1344">
            <v>-1262.83053</v>
          </cell>
          <cell r="V1344">
            <v>-2130.0233400000002</v>
          </cell>
          <cell r="W1344">
            <v>-2195.5716200000002</v>
          </cell>
          <cell r="X1344">
            <v>-1027.9169899999999</v>
          </cell>
          <cell r="Y1344">
            <v>2275.3125239999999</v>
          </cell>
        </row>
        <row r="1345">
          <cell r="B1345">
            <v>540030</v>
          </cell>
          <cell r="C1345" t="str">
            <v>NOT USED</v>
          </cell>
          <cell r="D1345" t="str">
            <v>PURCHASED GAS-WHOLESALE</v>
          </cell>
          <cell r="E1345" t="str">
            <v/>
          </cell>
          <cell r="F1345" t="str">
            <v/>
          </cell>
          <cell r="G1345" t="str">
            <v/>
          </cell>
          <cell r="H1345" t="str">
            <v/>
          </cell>
          <cell r="I1345" t="str">
            <v/>
          </cell>
          <cell r="J1345" t="str">
            <v/>
          </cell>
          <cell r="K1345" t="str">
            <v/>
          </cell>
          <cell r="L1345">
            <v>2394.3153499999999</v>
          </cell>
          <cell r="M1345">
            <v>284.16422</v>
          </cell>
          <cell r="N1345">
            <v>497.31927000000002</v>
          </cell>
          <cell r="O1345">
            <v>795.67151999999999</v>
          </cell>
          <cell r="P1345">
            <v>795.67151000000001</v>
          </cell>
          <cell r="Q1345">
            <v>1201.92705</v>
          </cell>
          <cell r="R1345">
            <v>1201.92705</v>
          </cell>
          <cell r="S1345">
            <v>1201.92705</v>
          </cell>
          <cell r="T1345">
            <v>1201.92705</v>
          </cell>
          <cell r="U1345">
            <v>1201.92705</v>
          </cell>
          <cell r="V1345">
            <v>1201.92705</v>
          </cell>
          <cell r="W1345">
            <v>1218.1619599999999</v>
          </cell>
          <cell r="X1345">
            <v>1218.1619599999999</v>
          </cell>
          <cell r="Y1345">
            <v>1050.7324530000001</v>
          </cell>
        </row>
        <row r="1346">
          <cell r="B1346">
            <v>540100</v>
          </cell>
          <cell r="C1346" t="str">
            <v>NOT USED</v>
          </cell>
          <cell r="D1346" t="str">
            <v>PURCHASED GAS - FLOWING SUPPLY COSTS</v>
          </cell>
          <cell r="E1346" t="str">
            <v/>
          </cell>
          <cell r="F1346" t="str">
            <v/>
          </cell>
          <cell r="G1346" t="str">
            <v/>
          </cell>
          <cell r="H1346" t="str">
            <v/>
          </cell>
          <cell r="I1346" t="str">
            <v/>
          </cell>
          <cell r="J1346" t="str">
            <v/>
          </cell>
          <cell r="K1346" t="str">
            <v/>
          </cell>
          <cell r="L1346">
            <v>90594.69627</v>
          </cell>
          <cell r="M1346">
            <v>14958.8706</v>
          </cell>
          <cell r="N1346">
            <v>27288.59533</v>
          </cell>
          <cell r="O1346">
            <v>38441.645640000002</v>
          </cell>
          <cell r="P1346">
            <v>48960.832439999998</v>
          </cell>
          <cell r="Q1346">
            <v>53841.888140000003</v>
          </cell>
          <cell r="R1346">
            <v>56265.721490000004</v>
          </cell>
          <cell r="S1346">
            <v>58157.473429999998</v>
          </cell>
          <cell r="T1346">
            <v>60111.921880000002</v>
          </cell>
          <cell r="U1346">
            <v>62052.728900000002</v>
          </cell>
          <cell r="V1346">
            <v>67494.18462</v>
          </cell>
          <cell r="W1346">
            <v>72714.23504</v>
          </cell>
          <cell r="X1346">
            <v>78940.490040000004</v>
          </cell>
          <cell r="Y1346">
            <v>53754.640889000002</v>
          </cell>
        </row>
        <row r="1347">
          <cell r="B1347">
            <v>540110</v>
          </cell>
          <cell r="C1347" t="str">
            <v>NOT USED</v>
          </cell>
          <cell r="D1347" t="str">
            <v>PURCHASED GAS - PIPELINE TRANSPORTATION COSTS</v>
          </cell>
          <cell r="E1347" t="str">
            <v/>
          </cell>
          <cell r="F1347" t="str">
            <v/>
          </cell>
          <cell r="G1347" t="str">
            <v/>
          </cell>
          <cell r="H1347" t="str">
            <v/>
          </cell>
          <cell r="I1347" t="str">
            <v/>
          </cell>
          <cell r="J1347" t="str">
            <v/>
          </cell>
          <cell r="K1347" t="str">
            <v/>
          </cell>
          <cell r="L1347">
            <v>34458.643680000001</v>
          </cell>
          <cell r="M1347">
            <v>3334.7026300000002</v>
          </cell>
          <cell r="N1347">
            <v>6635.45579</v>
          </cell>
          <cell r="O1347">
            <v>10385.27619</v>
          </cell>
          <cell r="P1347">
            <v>13437.632460000001</v>
          </cell>
          <cell r="Q1347">
            <v>16434.476040000001</v>
          </cell>
          <cell r="R1347">
            <v>19433.794160000001</v>
          </cell>
          <cell r="S1347">
            <v>22456.74036</v>
          </cell>
          <cell r="T1347">
            <v>25385.627120000001</v>
          </cell>
          <cell r="U1347">
            <v>28232.743160000002</v>
          </cell>
          <cell r="V1347">
            <v>31290.954580000001</v>
          </cell>
          <cell r="W1347">
            <v>34825.760840000003</v>
          </cell>
          <cell r="X1347">
            <v>38426.60916</v>
          </cell>
          <cell r="Y1347">
            <v>20691.315813000001</v>
          </cell>
        </row>
        <row r="1348">
          <cell r="B1348">
            <v>540120</v>
          </cell>
          <cell r="C1348" t="str">
            <v>NOT USED</v>
          </cell>
          <cell r="D1348" t="str">
            <v>PURCHASED GAS - PIPELINE STORAGE DEMAND COSTS</v>
          </cell>
          <cell r="E1348" t="str">
            <v/>
          </cell>
          <cell r="F1348" t="str">
            <v/>
          </cell>
          <cell r="G1348" t="str">
            <v/>
          </cell>
          <cell r="H1348" t="str">
            <v/>
          </cell>
          <cell r="I1348" t="str">
            <v/>
          </cell>
          <cell r="J1348" t="str">
            <v/>
          </cell>
          <cell r="K1348" t="str">
            <v/>
          </cell>
          <cell r="L1348">
            <v>8622.6236100000006</v>
          </cell>
          <cell r="M1348">
            <v>708.84412999999995</v>
          </cell>
          <cell r="N1348">
            <v>1417.6882599999999</v>
          </cell>
          <cell r="O1348">
            <v>2126.5323899999999</v>
          </cell>
          <cell r="P1348">
            <v>2835.3765199999998</v>
          </cell>
          <cell r="Q1348">
            <v>3544.2206500000002</v>
          </cell>
          <cell r="R1348">
            <v>4253.0647799999997</v>
          </cell>
          <cell r="S1348">
            <v>4961.9089100000001</v>
          </cell>
          <cell r="T1348">
            <v>5670.7530399999996</v>
          </cell>
          <cell r="U1348">
            <v>6379.59717</v>
          </cell>
          <cell r="V1348">
            <v>7088.4413000000004</v>
          </cell>
          <cell r="W1348">
            <v>7795.9958299999998</v>
          </cell>
          <cell r="X1348">
            <v>8503.5503599999993</v>
          </cell>
          <cell r="Y1348">
            <v>4612.12583</v>
          </cell>
        </row>
        <row r="1349">
          <cell r="B1349">
            <v>540130</v>
          </cell>
          <cell r="C1349" t="str">
            <v>NOT USED</v>
          </cell>
          <cell r="D1349" t="str">
            <v>PURCHASED GAS - CAPACITY RELEASE</v>
          </cell>
          <cell r="E1349" t="str">
            <v/>
          </cell>
          <cell r="F1349" t="str">
            <v/>
          </cell>
          <cell r="G1349" t="str">
            <v/>
          </cell>
          <cell r="H1349" t="str">
            <v/>
          </cell>
          <cell r="I1349" t="str">
            <v/>
          </cell>
          <cell r="J1349" t="str">
            <v/>
          </cell>
          <cell r="K1349" t="str">
            <v/>
          </cell>
          <cell r="L1349">
            <v>-11876.610500000001</v>
          </cell>
          <cell r="M1349">
            <v>-1135.7488699999999</v>
          </cell>
          <cell r="N1349">
            <v>-2286.0109600000001</v>
          </cell>
          <cell r="O1349">
            <v>-3555.7180400000002</v>
          </cell>
          <cell r="P1349">
            <v>-4381.9321099999997</v>
          </cell>
          <cell r="Q1349">
            <v>-5214.4677000000001</v>
          </cell>
          <cell r="R1349">
            <v>-6041.20496</v>
          </cell>
          <cell r="S1349">
            <v>-6876.1420699999999</v>
          </cell>
          <cell r="T1349">
            <v>-7702.11816</v>
          </cell>
          <cell r="U1349">
            <v>-8503.5815700000003</v>
          </cell>
          <cell r="V1349">
            <v>-9325.4002799999998</v>
          </cell>
          <cell r="W1349">
            <v>-10283.21212</v>
          </cell>
          <cell r="X1349">
            <v>-11254.149310000001</v>
          </cell>
          <cell r="Y1349">
            <v>-6405.909729</v>
          </cell>
        </row>
        <row r="1350">
          <cell r="B1350">
            <v>540140</v>
          </cell>
          <cell r="C1350" t="str">
            <v>NOT USED</v>
          </cell>
          <cell r="D1350" t="str">
            <v>PURCHASED GAS - SUPPLIER REFUND</v>
          </cell>
          <cell r="E1350" t="str">
            <v/>
          </cell>
          <cell r="F1350" t="str">
            <v/>
          </cell>
          <cell r="G1350" t="str">
            <v/>
          </cell>
          <cell r="H1350" t="str">
            <v/>
          </cell>
          <cell r="I1350" t="str">
            <v/>
          </cell>
          <cell r="J1350" t="str">
            <v/>
          </cell>
          <cell r="K1350" t="str">
            <v/>
          </cell>
          <cell r="L1350">
            <v>-818.05669999999998</v>
          </cell>
          <cell r="M1350">
            <v>-57.756189999999997</v>
          </cell>
          <cell r="N1350">
            <v>-181.12381999999999</v>
          </cell>
          <cell r="O1350">
            <v>-282.94112000000001</v>
          </cell>
          <cell r="P1350">
            <v>-342.94182999999998</v>
          </cell>
          <cell r="Q1350">
            <v>-375.88348000000002</v>
          </cell>
          <cell r="R1350">
            <v>-459.21946000000003</v>
          </cell>
          <cell r="S1350">
            <v>-543.50508000000002</v>
          </cell>
          <cell r="T1350">
            <v>-664.82132999999999</v>
          </cell>
          <cell r="U1350">
            <v>-700.22681999999998</v>
          </cell>
          <cell r="V1350">
            <v>-779.17726000000005</v>
          </cell>
          <cell r="W1350">
            <v>-904.40421000000003</v>
          </cell>
          <cell r="X1350">
            <v>-976.47113000000002</v>
          </cell>
          <cell r="Y1350">
            <v>-515.77204300000005</v>
          </cell>
        </row>
        <row r="1351">
          <cell r="B1351">
            <v>540199</v>
          </cell>
          <cell r="C1351" t="str">
            <v>NOT USED</v>
          </cell>
          <cell r="D1351" t="str">
            <v>NATURAL GAS PURCHASES - INTERCOMPANY</v>
          </cell>
          <cell r="E1351" t="str">
            <v/>
          </cell>
          <cell r="F1351" t="str">
            <v/>
          </cell>
          <cell r="G1351" t="str">
            <v/>
          </cell>
          <cell r="H1351" t="str">
            <v/>
          </cell>
          <cell r="I1351" t="str">
            <v/>
          </cell>
          <cell r="J1351" t="str">
            <v/>
          </cell>
          <cell r="K1351" t="str">
            <v/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</row>
        <row r="1352">
          <cell r="B1352">
            <v>540200</v>
          </cell>
          <cell r="C1352" t="str">
            <v>NOT USED</v>
          </cell>
          <cell r="D1352" t="str">
            <v>PURCHASED GAS FOR STORAGE - COMMODITY</v>
          </cell>
          <cell r="E1352" t="str">
            <v/>
          </cell>
          <cell r="F1352" t="str">
            <v/>
          </cell>
          <cell r="G1352" t="str">
            <v/>
          </cell>
          <cell r="H1352" t="str">
            <v/>
          </cell>
          <cell r="I1352" t="str">
            <v/>
          </cell>
          <cell r="J1352" t="str">
            <v/>
          </cell>
          <cell r="K1352" t="str">
            <v/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</row>
        <row r="1353">
          <cell r="B1353">
            <v>540210</v>
          </cell>
          <cell r="C1353" t="str">
            <v>NOT USED</v>
          </cell>
          <cell r="D1353" t="str">
            <v>GAS DELIVERED TO STORAGE - COMMODITY</v>
          </cell>
          <cell r="E1353" t="str">
            <v/>
          </cell>
          <cell r="F1353" t="str">
            <v/>
          </cell>
          <cell r="G1353" t="str">
            <v/>
          </cell>
          <cell r="H1353" t="str">
            <v/>
          </cell>
          <cell r="I1353" t="str">
            <v/>
          </cell>
          <cell r="J1353" t="str">
            <v/>
          </cell>
          <cell r="K1353" t="str">
            <v/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</row>
        <row r="1354">
          <cell r="B1354">
            <v>540300</v>
          </cell>
          <cell r="C1354" t="str">
            <v>NOT USED</v>
          </cell>
          <cell r="D1354" t="str">
            <v>GAS WITHDRAWN FROM STORAGE - COMMODITY</v>
          </cell>
          <cell r="E1354" t="str">
            <v/>
          </cell>
          <cell r="F1354" t="str">
            <v/>
          </cell>
          <cell r="G1354" t="str">
            <v/>
          </cell>
          <cell r="H1354" t="str">
            <v/>
          </cell>
          <cell r="I1354" t="str">
            <v/>
          </cell>
          <cell r="J1354" t="str">
            <v/>
          </cell>
          <cell r="K1354" t="str">
            <v/>
          </cell>
          <cell r="L1354">
            <v>36580.951410000001</v>
          </cell>
          <cell r="M1354">
            <v>9992.7225799999997</v>
          </cell>
          <cell r="N1354">
            <v>18802.161980000001</v>
          </cell>
          <cell r="O1354">
            <v>24564.8282</v>
          </cell>
          <cell r="P1354">
            <v>24794.316480000001</v>
          </cell>
          <cell r="Q1354">
            <v>25008.847819999999</v>
          </cell>
          <cell r="R1354">
            <v>25008.847819999999</v>
          </cell>
          <cell r="S1354">
            <v>25008.847819999999</v>
          </cell>
          <cell r="T1354">
            <v>25008.847819999999</v>
          </cell>
          <cell r="U1354">
            <v>25008.847819999999</v>
          </cell>
          <cell r="V1354">
            <v>25387.164369999999</v>
          </cell>
          <cell r="W1354">
            <v>28314.9401</v>
          </cell>
          <cell r="X1354">
            <v>35662.658470000002</v>
          </cell>
          <cell r="Y1354">
            <v>24418.514813000002</v>
          </cell>
        </row>
        <row r="1355">
          <cell r="B1355">
            <v>540400</v>
          </cell>
          <cell r="C1355" t="str">
            <v>NOT USED</v>
          </cell>
          <cell r="D1355" t="str">
            <v>PURCHASED GAS - SC3 CASH OUTS</v>
          </cell>
          <cell r="E1355" t="str">
            <v/>
          </cell>
          <cell r="F1355" t="str">
            <v/>
          </cell>
          <cell r="G1355" t="str">
            <v/>
          </cell>
          <cell r="H1355" t="str">
            <v/>
          </cell>
          <cell r="I1355" t="str">
            <v/>
          </cell>
          <cell r="J1355" t="str">
            <v/>
          </cell>
          <cell r="K1355" t="str">
            <v/>
          </cell>
          <cell r="L1355">
            <v>-32.80254</v>
          </cell>
          <cell r="M1355">
            <v>135.36183</v>
          </cell>
          <cell r="N1355">
            <v>-15.602639999999999</v>
          </cell>
          <cell r="O1355">
            <v>5.4052899999999999</v>
          </cell>
          <cell r="P1355">
            <v>-41.248950000000001</v>
          </cell>
          <cell r="Q1355">
            <v>-64.703050000000005</v>
          </cell>
          <cell r="R1355">
            <v>-55.572040000000001</v>
          </cell>
          <cell r="S1355">
            <v>-94.930710000000005</v>
          </cell>
          <cell r="T1355">
            <v>-115.74079</v>
          </cell>
          <cell r="U1355">
            <v>-128.44839999999999</v>
          </cell>
          <cell r="V1355">
            <v>-230.43257</v>
          </cell>
          <cell r="W1355">
            <v>-268.60874999999999</v>
          </cell>
          <cell r="X1355">
            <v>-160.88583</v>
          </cell>
          <cell r="Y1355">
            <v>-80.94708</v>
          </cell>
        </row>
        <row r="1356">
          <cell r="B1356">
            <v>540410</v>
          </cell>
          <cell r="C1356" t="str">
            <v>NOT USED</v>
          </cell>
          <cell r="D1356" t="str">
            <v>PURCHASED GAS-EXP</v>
          </cell>
          <cell r="E1356" t="str">
            <v/>
          </cell>
          <cell r="F1356" t="str">
            <v/>
          </cell>
          <cell r="G1356" t="str">
            <v/>
          </cell>
          <cell r="H1356" t="str">
            <v/>
          </cell>
          <cell r="I1356" t="str">
            <v/>
          </cell>
          <cell r="J1356" t="str">
            <v/>
          </cell>
          <cell r="K1356" t="str">
            <v/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</row>
        <row r="1357">
          <cell r="B1357">
            <v>540420</v>
          </cell>
          <cell r="C1357" t="str">
            <v>NOT USED</v>
          </cell>
          <cell r="D1357" t="str">
            <v>PURCHASED GAS-MISC</v>
          </cell>
          <cell r="E1357" t="str">
            <v/>
          </cell>
          <cell r="F1357" t="str">
            <v/>
          </cell>
          <cell r="G1357" t="str">
            <v/>
          </cell>
          <cell r="H1357" t="str">
            <v/>
          </cell>
          <cell r="I1357" t="str">
            <v/>
          </cell>
          <cell r="J1357" t="str">
            <v/>
          </cell>
          <cell r="K1357" t="str">
            <v/>
          </cell>
          <cell r="L1357">
            <v>2.5</v>
          </cell>
          <cell r="M1357">
            <v>1.09006</v>
          </cell>
          <cell r="N1357">
            <v>2.6179299999999999</v>
          </cell>
          <cell r="O1357">
            <v>3.1742400000000002</v>
          </cell>
          <cell r="P1357">
            <v>19.298410000000001</v>
          </cell>
          <cell r="Q1357">
            <v>20.35472</v>
          </cell>
          <cell r="R1357">
            <v>20.91103</v>
          </cell>
          <cell r="S1357">
            <v>21.71734</v>
          </cell>
          <cell r="T1357">
            <v>22.27365</v>
          </cell>
          <cell r="U1357">
            <v>22.82996</v>
          </cell>
          <cell r="V1357">
            <v>23.38627</v>
          </cell>
          <cell r="W1357">
            <v>23.94258</v>
          </cell>
          <cell r="X1357">
            <v>24.498889999999999</v>
          </cell>
          <cell r="Y1357">
            <v>16.25797</v>
          </cell>
        </row>
        <row r="1358">
          <cell r="B1358">
            <v>540450</v>
          </cell>
          <cell r="C1358" t="str">
            <v>NOT USED</v>
          </cell>
          <cell r="D1358" t="str">
            <v>PURCHASED GAS - SC5 CASH OUTS</v>
          </cell>
          <cell r="E1358" t="str">
            <v/>
          </cell>
          <cell r="F1358" t="str">
            <v/>
          </cell>
          <cell r="G1358" t="str">
            <v/>
          </cell>
          <cell r="H1358" t="str">
            <v/>
          </cell>
          <cell r="I1358" t="str">
            <v/>
          </cell>
          <cell r="J1358" t="str">
            <v/>
          </cell>
          <cell r="K1358" t="str">
            <v/>
          </cell>
          <cell r="L1358">
            <v>1818.24539</v>
          </cell>
          <cell r="M1358">
            <v>-158.59546</v>
          </cell>
          <cell r="N1358">
            <v>-440.63940000000002</v>
          </cell>
          <cell r="O1358">
            <v>-299.88767000000001</v>
          </cell>
          <cell r="P1358">
            <v>-1211.9975300000001</v>
          </cell>
          <cell r="Q1358">
            <v>-1737.28882</v>
          </cell>
          <cell r="R1358">
            <v>-1857.24396</v>
          </cell>
          <cell r="S1358">
            <v>-1637.0359699999999</v>
          </cell>
          <cell r="T1358">
            <v>-1568.96585</v>
          </cell>
          <cell r="U1358">
            <v>-1462.02775</v>
          </cell>
          <cell r="V1358">
            <v>-1614.0630900000001</v>
          </cell>
          <cell r="W1358">
            <v>-1191.13976</v>
          </cell>
          <cell r="X1358">
            <v>-1224.6761899999999</v>
          </cell>
          <cell r="Y1358">
            <v>-1073.508388</v>
          </cell>
        </row>
        <row r="1359">
          <cell r="B1359">
            <v>540460</v>
          </cell>
          <cell r="C1359" t="str">
            <v>NOT USED</v>
          </cell>
          <cell r="D1359" t="str">
            <v>PURCHASED GAS - SC5 INFIELD TRANSFERS</v>
          </cell>
          <cell r="E1359" t="str">
            <v/>
          </cell>
          <cell r="F1359" t="str">
            <v/>
          </cell>
          <cell r="G1359" t="str">
            <v/>
          </cell>
          <cell r="H1359" t="str">
            <v/>
          </cell>
          <cell r="I1359" t="str">
            <v/>
          </cell>
          <cell r="J1359" t="str">
            <v/>
          </cell>
          <cell r="K1359" t="str">
            <v/>
          </cell>
          <cell r="L1359">
            <v>187.79365999999999</v>
          </cell>
          <cell r="M1359">
            <v>-2.9847199999999998</v>
          </cell>
          <cell r="N1359">
            <v>46.97437</v>
          </cell>
          <cell r="O1359">
            <v>61.854730000000004</v>
          </cell>
          <cell r="P1359">
            <v>50.788890000000002</v>
          </cell>
          <cell r="Q1359">
            <v>94.383409999999998</v>
          </cell>
          <cell r="R1359">
            <v>83.318809999999999</v>
          </cell>
          <cell r="S1359">
            <v>50.007620000000003</v>
          </cell>
          <cell r="T1359">
            <v>75.239170000000001</v>
          </cell>
          <cell r="U1359">
            <v>52.892339999999997</v>
          </cell>
          <cell r="V1359">
            <v>96.055800000000005</v>
          </cell>
          <cell r="W1359">
            <v>-131.24222</v>
          </cell>
          <cell r="X1359">
            <v>-158.73142000000001</v>
          </cell>
          <cell r="Y1359">
            <v>40.984943000000001</v>
          </cell>
        </row>
        <row r="1360">
          <cell r="B1360">
            <v>540470</v>
          </cell>
          <cell r="C1360" t="str">
            <v>NOT USED</v>
          </cell>
          <cell r="D1360" t="str">
            <v>PURCHASED GAS - COMPANY USE CREDITS</v>
          </cell>
          <cell r="E1360" t="str">
            <v/>
          </cell>
          <cell r="F1360" t="str">
            <v/>
          </cell>
          <cell r="G1360" t="str">
            <v/>
          </cell>
          <cell r="H1360" t="str">
            <v/>
          </cell>
          <cell r="I1360" t="str">
            <v/>
          </cell>
          <cell r="J1360" t="str">
            <v/>
          </cell>
          <cell r="K1360" t="str">
            <v/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</row>
        <row r="1361">
          <cell r="B1361">
            <v>550100</v>
          </cell>
          <cell r="C1361" t="str">
            <v>NOT USED</v>
          </cell>
          <cell r="D1361" t="str">
            <v>FUEL - COAL (FUEL EXP CHARGES ONLY)</v>
          </cell>
          <cell r="E1361" t="str">
            <v/>
          </cell>
          <cell r="F1361" t="str">
            <v/>
          </cell>
          <cell r="G1361" t="str">
            <v/>
          </cell>
          <cell r="H1361" t="str">
            <v/>
          </cell>
          <cell r="I1361" t="str">
            <v/>
          </cell>
          <cell r="J1361" t="str">
            <v/>
          </cell>
          <cell r="K1361" t="str">
            <v/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</row>
        <row r="1362">
          <cell r="B1362">
            <v>550110</v>
          </cell>
          <cell r="C1362" t="str">
            <v>NOT USED</v>
          </cell>
          <cell r="D1362" t="str">
            <v>FUEL HANDLING - COAL (NON-FUEL EXP CHG)</v>
          </cell>
          <cell r="E1362" t="str">
            <v/>
          </cell>
          <cell r="F1362" t="str">
            <v/>
          </cell>
          <cell r="G1362" t="str">
            <v/>
          </cell>
          <cell r="H1362" t="str">
            <v/>
          </cell>
          <cell r="I1362" t="str">
            <v/>
          </cell>
          <cell r="J1362" t="str">
            <v/>
          </cell>
          <cell r="K1362" t="str">
            <v/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</row>
        <row r="1363">
          <cell r="B1363">
            <v>550199</v>
          </cell>
          <cell r="C1363" t="str">
            <v>NOT USED</v>
          </cell>
          <cell r="D1363" t="str">
            <v>PURCHASED GAS FOR GENERATION - INTERCOMPANY</v>
          </cell>
          <cell r="E1363" t="str">
            <v/>
          </cell>
          <cell r="F1363" t="str">
            <v/>
          </cell>
          <cell r="G1363" t="str">
            <v/>
          </cell>
          <cell r="H1363" t="str">
            <v/>
          </cell>
          <cell r="I1363" t="str">
            <v/>
          </cell>
          <cell r="J1363" t="str">
            <v/>
          </cell>
          <cell r="K1363" t="str">
            <v/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</row>
        <row r="1364">
          <cell r="B1364">
            <v>550200</v>
          </cell>
          <cell r="C1364" t="str">
            <v>NOT USED</v>
          </cell>
          <cell r="D1364" t="str">
            <v>FUEL - OIL.</v>
          </cell>
          <cell r="E1364" t="str">
            <v/>
          </cell>
          <cell r="F1364" t="str">
            <v/>
          </cell>
          <cell r="G1364" t="str">
            <v/>
          </cell>
          <cell r="H1364" t="str">
            <v/>
          </cell>
          <cell r="I1364" t="str">
            <v/>
          </cell>
          <cell r="J1364" t="str">
            <v/>
          </cell>
          <cell r="K1364" t="str">
            <v/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</row>
        <row r="1365">
          <cell r="B1365">
            <v>550230</v>
          </cell>
          <cell r="C1365" t="str">
            <v>NOT USED</v>
          </cell>
          <cell r="D1365" t="str">
            <v>FUEL-#2 FUEL USED FOR GENERATION-STEAM STATION</v>
          </cell>
          <cell r="E1365" t="str">
            <v/>
          </cell>
          <cell r="F1365" t="str">
            <v/>
          </cell>
          <cell r="G1365" t="str">
            <v/>
          </cell>
          <cell r="H1365" t="str">
            <v/>
          </cell>
          <cell r="I1365" t="str">
            <v/>
          </cell>
          <cell r="J1365" t="str">
            <v/>
          </cell>
          <cell r="K1365" t="str">
            <v/>
          </cell>
          <cell r="L1365">
            <v>67.927629999999994</v>
          </cell>
          <cell r="M1365">
            <v>0</v>
          </cell>
          <cell r="N1365">
            <v>0.83774999999999999</v>
          </cell>
          <cell r="O1365">
            <v>0.83774999999999999</v>
          </cell>
          <cell r="P1365">
            <v>8.2657699999999998</v>
          </cell>
          <cell r="Q1365">
            <v>46.489069999999998</v>
          </cell>
          <cell r="R1365">
            <v>85.299549999999996</v>
          </cell>
          <cell r="S1365">
            <v>113.79107999999999</v>
          </cell>
          <cell r="T1365">
            <v>113.79107999999999</v>
          </cell>
          <cell r="U1365">
            <v>129.17843999999999</v>
          </cell>
          <cell r="V1365">
            <v>130.08816999999999</v>
          </cell>
          <cell r="W1365">
            <v>130.08816999999999</v>
          </cell>
          <cell r="X1365">
            <v>128.71603999999999</v>
          </cell>
          <cell r="Y1365">
            <v>71.415722000000002</v>
          </cell>
        </row>
        <row r="1366">
          <cell r="B1366">
            <v>550235</v>
          </cell>
          <cell r="C1366" t="str">
            <v>NOT USED</v>
          </cell>
          <cell r="D1366" t="str">
            <v>FUEL-NATURAL GAS USED FOR GENERATION-STEAM STATIO</v>
          </cell>
          <cell r="E1366" t="str">
            <v/>
          </cell>
          <cell r="F1366" t="str">
            <v/>
          </cell>
          <cell r="G1366" t="str">
            <v/>
          </cell>
          <cell r="H1366" t="str">
            <v/>
          </cell>
          <cell r="I1366" t="str">
            <v/>
          </cell>
          <cell r="J1366" t="str">
            <v/>
          </cell>
          <cell r="K1366" t="str">
            <v/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</row>
        <row r="1367">
          <cell r="B1367">
            <v>550240</v>
          </cell>
          <cell r="C1367" t="str">
            <v>NOT USED</v>
          </cell>
          <cell r="D1367" t="str">
            <v>FUEL-DIESEL USED FOR GENERATION-INTERNL COMBUSTIO</v>
          </cell>
          <cell r="E1367" t="str">
            <v/>
          </cell>
          <cell r="F1367" t="str">
            <v/>
          </cell>
          <cell r="G1367" t="str">
            <v/>
          </cell>
          <cell r="H1367" t="str">
            <v/>
          </cell>
          <cell r="I1367" t="str">
            <v/>
          </cell>
          <cell r="J1367" t="str">
            <v/>
          </cell>
          <cell r="K1367" t="str">
            <v/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</row>
        <row r="1368">
          <cell r="B1368">
            <v>550245</v>
          </cell>
          <cell r="C1368" t="str">
            <v>NOT USED</v>
          </cell>
          <cell r="D1368" t="str">
            <v>FUEL-NATGAS USED FOR GENERATION-INTERNL COMBUSTIO</v>
          </cell>
          <cell r="E1368" t="str">
            <v/>
          </cell>
          <cell r="F1368" t="str">
            <v/>
          </cell>
          <cell r="G1368" t="str">
            <v/>
          </cell>
          <cell r="H1368" t="str">
            <v/>
          </cell>
          <cell r="I1368" t="str">
            <v/>
          </cell>
          <cell r="J1368" t="str">
            <v/>
          </cell>
          <cell r="K1368" t="str">
            <v/>
          </cell>
          <cell r="L1368">
            <v>2297.6760100000001</v>
          </cell>
          <cell r="M1368">
            <v>55.97025</v>
          </cell>
          <cell r="N1368">
            <v>64.022210000000001</v>
          </cell>
          <cell r="O1368">
            <v>79.613950000000003</v>
          </cell>
          <cell r="P1368">
            <v>89.477930000000001</v>
          </cell>
          <cell r="Q1368">
            <v>102.02078</v>
          </cell>
          <cell r="R1368">
            <v>374.62094999999999</v>
          </cell>
          <cell r="S1368">
            <v>1158.3267800000001</v>
          </cell>
          <cell r="T1368">
            <v>1616.3786600000001</v>
          </cell>
          <cell r="U1368">
            <v>2047.7470000000001</v>
          </cell>
          <cell r="V1368">
            <v>2453.2306800000001</v>
          </cell>
          <cell r="W1368">
            <v>2922.4375700000001</v>
          </cell>
          <cell r="X1368">
            <v>3288.2053099999998</v>
          </cell>
          <cell r="Y1368">
            <v>1146.398952</v>
          </cell>
        </row>
        <row r="1369">
          <cell r="B1369">
            <v>550250</v>
          </cell>
          <cell r="C1369" t="str">
            <v>NOT USED</v>
          </cell>
          <cell r="D1369" t="str">
            <v>FUEL-PROPANE FOR GENERATION</v>
          </cell>
          <cell r="E1369" t="str">
            <v/>
          </cell>
          <cell r="F1369" t="str">
            <v/>
          </cell>
          <cell r="G1369" t="str">
            <v/>
          </cell>
          <cell r="H1369" t="str">
            <v/>
          </cell>
          <cell r="I1369" t="str">
            <v/>
          </cell>
          <cell r="J1369" t="str">
            <v/>
          </cell>
          <cell r="K1369" t="str">
            <v/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</row>
        <row r="1370">
          <cell r="B1370">
            <v>550300</v>
          </cell>
          <cell r="C1370" t="str">
            <v>NOT USED</v>
          </cell>
          <cell r="D1370" t="str">
            <v>FUEL - NUCLEAR - AMORTIZATION</v>
          </cell>
          <cell r="E1370" t="str">
            <v/>
          </cell>
          <cell r="F1370" t="str">
            <v/>
          </cell>
          <cell r="G1370" t="str">
            <v/>
          </cell>
          <cell r="H1370" t="str">
            <v/>
          </cell>
          <cell r="I1370" t="str">
            <v/>
          </cell>
          <cell r="J1370" t="str">
            <v/>
          </cell>
          <cell r="K1370" t="str">
            <v/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</row>
        <row r="1371">
          <cell r="B1371">
            <v>550305</v>
          </cell>
          <cell r="C1371" t="str">
            <v>NOT USED</v>
          </cell>
          <cell r="D1371" t="str">
            <v>FUEL - NUCLEAR - DISPOSAL FEES</v>
          </cell>
          <cell r="E1371" t="str">
            <v/>
          </cell>
          <cell r="F1371" t="str">
            <v/>
          </cell>
          <cell r="G1371" t="str">
            <v/>
          </cell>
          <cell r="H1371" t="str">
            <v/>
          </cell>
          <cell r="I1371" t="str">
            <v/>
          </cell>
          <cell r="J1371" t="str">
            <v/>
          </cell>
          <cell r="K1371" t="str">
            <v/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</row>
        <row r="1372">
          <cell r="B1372">
            <v>550310</v>
          </cell>
          <cell r="C1372" t="str">
            <v>NOT USED</v>
          </cell>
          <cell r="D1372" t="str">
            <v>FUEL - NUCLEAR - DECOMMISSIONING</v>
          </cell>
          <cell r="E1372" t="str">
            <v/>
          </cell>
          <cell r="F1372" t="str">
            <v/>
          </cell>
          <cell r="G1372" t="str">
            <v/>
          </cell>
          <cell r="H1372" t="str">
            <v/>
          </cell>
          <cell r="I1372" t="str">
            <v/>
          </cell>
          <cell r="J1372" t="str">
            <v/>
          </cell>
          <cell r="K1372" t="str">
            <v/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</row>
        <row r="1373">
          <cell r="B1373">
            <v>550400</v>
          </cell>
          <cell r="C1373" t="str">
            <v>NOT USED</v>
          </cell>
          <cell r="D1373" t="str">
            <v>FUEL - GAS</v>
          </cell>
          <cell r="E1373" t="str">
            <v/>
          </cell>
          <cell r="F1373" t="str">
            <v/>
          </cell>
          <cell r="G1373" t="str">
            <v/>
          </cell>
          <cell r="H1373" t="str">
            <v/>
          </cell>
          <cell r="I1373" t="str">
            <v/>
          </cell>
          <cell r="J1373" t="str">
            <v/>
          </cell>
          <cell r="K1373" t="str">
            <v/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</row>
        <row r="1374">
          <cell r="B1374">
            <v>550500</v>
          </cell>
          <cell r="C1374" t="str">
            <v>NOT USED</v>
          </cell>
          <cell r="D1374" t="str">
            <v>FUEL - NOX ALLOWANCES - FEDERAL</v>
          </cell>
          <cell r="E1374" t="str">
            <v/>
          </cell>
          <cell r="F1374" t="str">
            <v/>
          </cell>
          <cell r="G1374" t="str">
            <v/>
          </cell>
          <cell r="H1374" t="str">
            <v/>
          </cell>
          <cell r="I1374" t="str">
            <v/>
          </cell>
          <cell r="J1374" t="str">
            <v/>
          </cell>
          <cell r="K1374" t="str">
            <v/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</row>
        <row r="1375">
          <cell r="B1375">
            <v>550502</v>
          </cell>
          <cell r="C1375" t="str">
            <v>NOT USED</v>
          </cell>
          <cell r="D1375" t="str">
            <v>FUEL - NOX ALLOWANCES - NY STATE</v>
          </cell>
          <cell r="E1375" t="str">
            <v/>
          </cell>
          <cell r="F1375" t="str">
            <v/>
          </cell>
          <cell r="G1375" t="str">
            <v/>
          </cell>
          <cell r="H1375" t="str">
            <v/>
          </cell>
          <cell r="I1375" t="str">
            <v/>
          </cell>
          <cell r="J1375" t="str">
            <v/>
          </cell>
          <cell r="K1375" t="str">
            <v/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</row>
        <row r="1376">
          <cell r="B1376">
            <v>550510</v>
          </cell>
          <cell r="C1376" t="str">
            <v>NOT USED</v>
          </cell>
          <cell r="D1376" t="str">
            <v>FUEL - SO2 ALLOWANCES - FEDERAL</v>
          </cell>
          <cell r="E1376" t="str">
            <v/>
          </cell>
          <cell r="F1376" t="str">
            <v/>
          </cell>
          <cell r="G1376" t="str">
            <v/>
          </cell>
          <cell r="H1376" t="str">
            <v/>
          </cell>
          <cell r="I1376" t="str">
            <v/>
          </cell>
          <cell r="J1376" t="str">
            <v/>
          </cell>
          <cell r="K1376" t="str">
            <v/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</row>
        <row r="1377">
          <cell r="B1377">
            <v>550512</v>
          </cell>
          <cell r="C1377" t="str">
            <v>NOT USED</v>
          </cell>
          <cell r="D1377" t="str">
            <v>FUEL - SO2 ALLOWANCES - NY STATE</v>
          </cell>
          <cell r="E1377" t="str">
            <v/>
          </cell>
          <cell r="F1377" t="str">
            <v/>
          </cell>
          <cell r="G1377" t="str">
            <v/>
          </cell>
          <cell r="H1377" t="str">
            <v/>
          </cell>
          <cell r="I1377" t="str">
            <v/>
          </cell>
          <cell r="J1377" t="str">
            <v/>
          </cell>
          <cell r="K1377" t="str">
            <v/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</row>
        <row r="1378">
          <cell r="B1378">
            <v>550513</v>
          </cell>
          <cell r="C1378" t="str">
            <v>NOT USED</v>
          </cell>
          <cell r="D1378" t="str">
            <v>FUEL - CO2 ALLOWANCES - RGGI</v>
          </cell>
          <cell r="E1378" t="str">
            <v/>
          </cell>
          <cell r="F1378" t="str">
            <v/>
          </cell>
          <cell r="G1378" t="str">
            <v/>
          </cell>
          <cell r="H1378" t="str">
            <v/>
          </cell>
          <cell r="I1378" t="str">
            <v/>
          </cell>
          <cell r="J1378" t="str">
            <v/>
          </cell>
          <cell r="K1378" t="str">
            <v/>
          </cell>
          <cell r="L1378">
            <v>47.235390000000002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5.5361599999999997</v>
          </cell>
          <cell r="S1378">
            <v>23.915990000000001</v>
          </cell>
          <cell r="T1378">
            <v>36.221530000000001</v>
          </cell>
          <cell r="U1378">
            <v>40.552329999999998</v>
          </cell>
          <cell r="V1378">
            <v>50.148609999999998</v>
          </cell>
          <cell r="W1378">
            <v>62.805520000000001</v>
          </cell>
          <cell r="X1378">
            <v>73.507069999999999</v>
          </cell>
          <cell r="Y1378">
            <v>23.295947999999999</v>
          </cell>
        </row>
        <row r="1379">
          <cell r="B1379">
            <v>550515</v>
          </cell>
          <cell r="C1379" t="str">
            <v>NOT USED</v>
          </cell>
          <cell r="D1379" t="str">
            <v>FUEL - UREA</v>
          </cell>
          <cell r="E1379" t="str">
            <v/>
          </cell>
          <cell r="F1379" t="str">
            <v/>
          </cell>
          <cell r="G1379" t="str">
            <v/>
          </cell>
          <cell r="H1379" t="str">
            <v/>
          </cell>
          <cell r="I1379" t="str">
            <v/>
          </cell>
          <cell r="J1379" t="str">
            <v/>
          </cell>
          <cell r="K1379" t="str">
            <v/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</row>
        <row r="1380">
          <cell r="B1380">
            <v>550517</v>
          </cell>
          <cell r="C1380" t="str">
            <v>NOT USED</v>
          </cell>
          <cell r="D1380" t="str">
            <v>FUEL - SO3</v>
          </cell>
          <cell r="E1380" t="str">
            <v/>
          </cell>
          <cell r="F1380" t="str">
            <v/>
          </cell>
          <cell r="G1380" t="str">
            <v/>
          </cell>
          <cell r="H1380" t="str">
            <v/>
          </cell>
          <cell r="I1380" t="str">
            <v/>
          </cell>
          <cell r="J1380" t="str">
            <v/>
          </cell>
          <cell r="K1380" t="str">
            <v/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</row>
        <row r="1381">
          <cell r="B1381">
            <v>550520</v>
          </cell>
          <cell r="C1381" t="str">
            <v>NOT USED</v>
          </cell>
          <cell r="D1381" t="str">
            <v>FUEL - GASOLINE FOR VEHICLES</v>
          </cell>
          <cell r="E1381" t="str">
            <v/>
          </cell>
          <cell r="F1381" t="str">
            <v/>
          </cell>
          <cell r="G1381" t="str">
            <v/>
          </cell>
          <cell r="H1381" t="str">
            <v/>
          </cell>
          <cell r="I1381" t="str">
            <v/>
          </cell>
          <cell r="J1381" t="str">
            <v/>
          </cell>
          <cell r="K1381" t="str">
            <v/>
          </cell>
          <cell r="L1381">
            <v>1143.66788</v>
          </cell>
          <cell r="M1381">
            <v>103.42908</v>
          </cell>
          <cell r="N1381">
            <v>213.93439000000001</v>
          </cell>
          <cell r="O1381">
            <v>320.09204</v>
          </cell>
          <cell r="P1381">
            <v>443.57094999999998</v>
          </cell>
          <cell r="Q1381">
            <v>555.51406999999995</v>
          </cell>
          <cell r="R1381">
            <v>679.79727000000003</v>
          </cell>
          <cell r="S1381">
            <v>796.65072999999995</v>
          </cell>
          <cell r="T1381">
            <v>894.84664999999995</v>
          </cell>
          <cell r="U1381">
            <v>1022.5877</v>
          </cell>
          <cell r="V1381">
            <v>1155.64002</v>
          </cell>
          <cell r="W1381">
            <v>1272.2536</v>
          </cell>
          <cell r="X1381">
            <v>1378.4738</v>
          </cell>
          <cell r="Y1381">
            <v>726.61561200000006</v>
          </cell>
        </row>
        <row r="1382">
          <cell r="B1382">
            <v>550521</v>
          </cell>
          <cell r="C1382" t="str">
            <v>NOT USED</v>
          </cell>
          <cell r="D1382" t="str">
            <v>FUEL - DIESEL COSTS TO OPERATE VEHICLES</v>
          </cell>
          <cell r="E1382" t="str">
            <v/>
          </cell>
          <cell r="F1382" t="str">
            <v/>
          </cell>
          <cell r="G1382" t="str">
            <v/>
          </cell>
          <cell r="H1382" t="str">
            <v/>
          </cell>
          <cell r="I1382" t="str">
            <v/>
          </cell>
          <cell r="J1382" t="str">
            <v/>
          </cell>
          <cell r="K1382" t="str">
            <v/>
          </cell>
          <cell r="L1382">
            <v>624.78868</v>
          </cell>
          <cell r="M1382">
            <v>49.690480000000001</v>
          </cell>
          <cell r="N1382">
            <v>99.599990000000005</v>
          </cell>
          <cell r="O1382">
            <v>151.56461999999999</v>
          </cell>
          <cell r="P1382">
            <v>217.21028999999999</v>
          </cell>
          <cell r="Q1382">
            <v>277.90285999999998</v>
          </cell>
          <cell r="R1382">
            <v>342.33884</v>
          </cell>
          <cell r="S1382">
            <v>409.50321000000002</v>
          </cell>
          <cell r="T1382">
            <v>464.56254999999999</v>
          </cell>
          <cell r="U1382">
            <v>538.82234000000005</v>
          </cell>
          <cell r="V1382">
            <v>609.45890999999995</v>
          </cell>
          <cell r="W1382">
            <v>667.78858000000002</v>
          </cell>
          <cell r="X1382">
            <v>725.95817</v>
          </cell>
          <cell r="Y1382">
            <v>375.31800800000002</v>
          </cell>
        </row>
        <row r="1383">
          <cell r="B1383">
            <v>550540</v>
          </cell>
          <cell r="C1383" t="str">
            <v>NOT USED</v>
          </cell>
          <cell r="D1383" t="str">
            <v>FUEL - OTHER</v>
          </cell>
          <cell r="E1383" t="str">
            <v/>
          </cell>
          <cell r="F1383" t="str">
            <v/>
          </cell>
          <cell r="G1383" t="str">
            <v/>
          </cell>
          <cell r="H1383" t="str">
            <v/>
          </cell>
          <cell r="I1383" t="str">
            <v/>
          </cell>
          <cell r="J1383" t="str">
            <v/>
          </cell>
          <cell r="K1383" t="str">
            <v/>
          </cell>
          <cell r="L1383">
            <v>0.25013999999999997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0.83835000000000004</v>
          </cell>
          <cell r="S1383">
            <v>0.83835000000000004</v>
          </cell>
          <cell r="T1383">
            <v>0.83835000000000004</v>
          </cell>
          <cell r="U1383">
            <v>0.83835000000000004</v>
          </cell>
          <cell r="V1383">
            <v>0.83835000000000004</v>
          </cell>
          <cell r="W1383">
            <v>0.91335</v>
          </cell>
          <cell r="X1383">
            <v>1.1085499999999999</v>
          </cell>
          <cell r="Y1383">
            <v>0.48203699999999999</v>
          </cell>
        </row>
        <row r="1384">
          <cell r="B1384">
            <v>550541</v>
          </cell>
          <cell r="C1384" t="str">
            <v>NOT USED</v>
          </cell>
          <cell r="D1384" t="str">
            <v>GENERAL - FUEL OIL FOR HEATING</v>
          </cell>
          <cell r="E1384" t="str">
            <v/>
          </cell>
          <cell r="F1384" t="str">
            <v/>
          </cell>
          <cell r="G1384" t="str">
            <v/>
          </cell>
          <cell r="H1384" t="str">
            <v/>
          </cell>
          <cell r="I1384" t="str">
            <v/>
          </cell>
          <cell r="J1384" t="str">
            <v/>
          </cell>
          <cell r="K1384" t="str">
            <v/>
          </cell>
          <cell r="L1384">
            <v>1.5312699999999999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6.3802999999999999E-2</v>
          </cell>
        </row>
        <row r="1385">
          <cell r="B1385">
            <v>550543</v>
          </cell>
          <cell r="C1385" t="str">
            <v>NOT USED</v>
          </cell>
          <cell r="D1385" t="str">
            <v>GENERAL - PROPANE FOR HEATING</v>
          </cell>
          <cell r="E1385" t="str">
            <v/>
          </cell>
          <cell r="F1385" t="str">
            <v/>
          </cell>
          <cell r="G1385" t="str">
            <v/>
          </cell>
          <cell r="H1385" t="str">
            <v/>
          </cell>
          <cell r="I1385" t="str">
            <v/>
          </cell>
          <cell r="J1385" t="str">
            <v/>
          </cell>
          <cell r="K1385" t="str">
            <v/>
          </cell>
          <cell r="L1385">
            <v>0.41517999999999999</v>
          </cell>
          <cell r="M1385">
            <v>4.5339999999999998E-2</v>
          </cell>
          <cell r="N1385">
            <v>4.5339999999999998E-2</v>
          </cell>
          <cell r="O1385">
            <v>0.33428999999999998</v>
          </cell>
          <cell r="P1385">
            <v>0.33428999999999998</v>
          </cell>
          <cell r="Q1385">
            <v>0.27133000000000002</v>
          </cell>
          <cell r="R1385">
            <v>0.27133000000000002</v>
          </cell>
          <cell r="S1385">
            <v>0.27133000000000002</v>
          </cell>
          <cell r="T1385">
            <v>0.27133000000000002</v>
          </cell>
          <cell r="U1385">
            <v>0.27133000000000002</v>
          </cell>
          <cell r="V1385">
            <v>0.27133000000000002</v>
          </cell>
          <cell r="W1385">
            <v>0.27133000000000002</v>
          </cell>
          <cell r="X1385">
            <v>0.27133000000000002</v>
          </cell>
          <cell r="Y1385">
            <v>0.25015199999999999</v>
          </cell>
        </row>
        <row r="1386">
          <cell r="B1386">
            <v>550557</v>
          </cell>
          <cell r="C1386" t="str">
            <v>NOT USED</v>
          </cell>
          <cell r="D1386" t="str">
            <v>OTHER POWER SUPPLY EXPENSES - OTHER</v>
          </cell>
          <cell r="E1386" t="str">
            <v/>
          </cell>
          <cell r="F1386" t="str">
            <v/>
          </cell>
          <cell r="G1386" t="str">
            <v/>
          </cell>
          <cell r="H1386" t="str">
            <v/>
          </cell>
          <cell r="I1386" t="str">
            <v/>
          </cell>
          <cell r="J1386" t="str">
            <v/>
          </cell>
          <cell r="K1386" t="str">
            <v/>
          </cell>
          <cell r="L1386">
            <v>3.5609000000000002</v>
          </cell>
          <cell r="M1386">
            <v>0.71855000000000002</v>
          </cell>
          <cell r="N1386">
            <v>1.6372599999999999</v>
          </cell>
          <cell r="O1386">
            <v>3.2542200000000001</v>
          </cell>
          <cell r="P1386">
            <v>16.59347</v>
          </cell>
          <cell r="Q1386">
            <v>18.012180000000001</v>
          </cell>
          <cell r="R1386">
            <v>18.930890000000002</v>
          </cell>
          <cell r="S1386">
            <v>20.099599999999999</v>
          </cell>
          <cell r="T1386">
            <v>21.01831</v>
          </cell>
          <cell r="U1386">
            <v>21.93702</v>
          </cell>
          <cell r="V1386">
            <v>22.855730000000001</v>
          </cell>
          <cell r="W1386">
            <v>23.630590000000002</v>
          </cell>
          <cell r="X1386">
            <v>24.693149999999999</v>
          </cell>
          <cell r="Y1386">
            <v>15.23457</v>
          </cell>
        </row>
        <row r="1387">
          <cell r="B1387">
            <v>550600</v>
          </cell>
          <cell r="C1387" t="str">
            <v>NOT USED</v>
          </cell>
          <cell r="D1387" t="str">
            <v>PURCHASED POWER - ENERGY</v>
          </cell>
          <cell r="E1387" t="str">
            <v/>
          </cell>
          <cell r="F1387" t="str">
            <v/>
          </cell>
          <cell r="G1387" t="str">
            <v/>
          </cell>
          <cell r="H1387" t="str">
            <v/>
          </cell>
          <cell r="I1387" t="str">
            <v/>
          </cell>
          <cell r="J1387" t="str">
            <v/>
          </cell>
          <cell r="K1387" t="str">
            <v/>
          </cell>
          <cell r="L1387">
            <v>250852.94321999999</v>
          </cell>
          <cell r="M1387">
            <v>21998.692569999999</v>
          </cell>
          <cell r="N1387">
            <v>42632.374839999997</v>
          </cell>
          <cell r="O1387">
            <v>62899.751850000001</v>
          </cell>
          <cell r="P1387">
            <v>78922.805179999996</v>
          </cell>
          <cell r="Q1387">
            <v>86754.415380000006</v>
          </cell>
          <cell r="R1387">
            <v>103125.83515</v>
          </cell>
          <cell r="S1387">
            <v>128370.68442999999</v>
          </cell>
          <cell r="T1387">
            <v>152195.03023999999</v>
          </cell>
          <cell r="U1387">
            <v>176163.78234000001</v>
          </cell>
          <cell r="V1387">
            <v>192417.75628999999</v>
          </cell>
          <cell r="W1387">
            <v>207591.99846999999</v>
          </cell>
          <cell r="X1387">
            <v>221296.62421000001</v>
          </cell>
          <cell r="Y1387">
            <v>124095.659205</v>
          </cell>
        </row>
        <row r="1388">
          <cell r="B1388">
            <v>550605</v>
          </cell>
          <cell r="C1388" t="str">
            <v>NOT USED</v>
          </cell>
          <cell r="D1388" t="str">
            <v>PURCHASED POWER - CAPACITY/DEMAND</v>
          </cell>
          <cell r="E1388" t="str">
            <v/>
          </cell>
          <cell r="F1388" t="str">
            <v/>
          </cell>
          <cell r="G1388" t="str">
            <v/>
          </cell>
          <cell r="H1388" t="str">
            <v/>
          </cell>
          <cell r="I1388" t="str">
            <v/>
          </cell>
          <cell r="J1388" t="str">
            <v/>
          </cell>
          <cell r="K1388" t="str">
            <v/>
          </cell>
          <cell r="L1388">
            <v>18756.054189999999</v>
          </cell>
          <cell r="M1388">
            <v>1344.9833100000001</v>
          </cell>
          <cell r="N1388">
            <v>2692.4613199999999</v>
          </cell>
          <cell r="O1388">
            <v>4013.48081</v>
          </cell>
          <cell r="P1388">
            <v>5319.4411700000001</v>
          </cell>
          <cell r="Q1388">
            <v>7037.1027199999999</v>
          </cell>
          <cell r="R1388">
            <v>8740.0943299999999</v>
          </cell>
          <cell r="S1388">
            <v>10415.63761</v>
          </cell>
          <cell r="T1388">
            <v>11815.041429999999</v>
          </cell>
          <cell r="U1388">
            <v>13217.088030000001</v>
          </cell>
          <cell r="V1388">
            <v>14627.68187</v>
          </cell>
          <cell r="W1388">
            <v>15676.33064</v>
          </cell>
          <cell r="X1388">
            <v>16748.067019999999</v>
          </cell>
          <cell r="Y1388">
            <v>9387.6169869999994</v>
          </cell>
        </row>
        <row r="1389">
          <cell r="B1389">
            <v>550620</v>
          </cell>
          <cell r="C1389" t="str">
            <v>NOT USED</v>
          </cell>
          <cell r="D1389" t="str">
            <v>TRANSMISSION CONTRACTS</v>
          </cell>
          <cell r="E1389" t="str">
            <v/>
          </cell>
          <cell r="F1389" t="str">
            <v/>
          </cell>
          <cell r="G1389" t="str">
            <v/>
          </cell>
          <cell r="H1389" t="str">
            <v/>
          </cell>
          <cell r="I1389" t="str">
            <v/>
          </cell>
          <cell r="J1389" t="str">
            <v/>
          </cell>
          <cell r="K1389" t="str">
            <v/>
          </cell>
          <cell r="L1389">
            <v>319.89600000000002</v>
          </cell>
          <cell r="M1389">
            <v>26.658000000000001</v>
          </cell>
          <cell r="N1389">
            <v>53.316000000000003</v>
          </cell>
          <cell r="O1389">
            <v>79.974000000000004</v>
          </cell>
          <cell r="P1389">
            <v>106.63200000000001</v>
          </cell>
          <cell r="Q1389">
            <v>133.29</v>
          </cell>
          <cell r="R1389">
            <v>159.94800000000001</v>
          </cell>
          <cell r="S1389">
            <v>186.60599999999999</v>
          </cell>
          <cell r="T1389">
            <v>213.26400000000001</v>
          </cell>
          <cell r="U1389">
            <v>239.922</v>
          </cell>
          <cell r="V1389">
            <v>266.58</v>
          </cell>
          <cell r="W1389">
            <v>293.238</v>
          </cell>
          <cell r="X1389">
            <v>319.89600000000002</v>
          </cell>
          <cell r="Y1389">
            <v>173.27699999999999</v>
          </cell>
        </row>
        <row r="1390">
          <cell r="B1390">
            <v>550621</v>
          </cell>
          <cell r="C1390" t="str">
            <v>NOT USED</v>
          </cell>
          <cell r="D1390" t="str">
            <v>TRANSMISSION CONTRACTS-NYPA (NBC)</v>
          </cell>
          <cell r="E1390" t="str">
            <v/>
          </cell>
          <cell r="F1390" t="str">
            <v/>
          </cell>
          <cell r="G1390" t="str">
            <v/>
          </cell>
          <cell r="H1390" t="str">
            <v/>
          </cell>
          <cell r="I1390" t="str">
            <v/>
          </cell>
          <cell r="J1390" t="str">
            <v/>
          </cell>
          <cell r="K1390" t="str">
            <v/>
          </cell>
          <cell r="L1390">
            <v>104.65046</v>
          </cell>
          <cell r="M1390">
            <v>9.9171700000000005</v>
          </cell>
          <cell r="N1390">
            <v>14.39565</v>
          </cell>
          <cell r="O1390">
            <v>29.97015</v>
          </cell>
          <cell r="P1390">
            <v>40.042169999999999</v>
          </cell>
          <cell r="Q1390">
            <v>46.952309999999997</v>
          </cell>
          <cell r="R1390">
            <v>60.054639999999999</v>
          </cell>
          <cell r="S1390">
            <v>66.714449999999999</v>
          </cell>
          <cell r="T1390">
            <v>69.170749999999998</v>
          </cell>
          <cell r="U1390">
            <v>69.820030000000003</v>
          </cell>
          <cell r="V1390">
            <v>69.820030000000003</v>
          </cell>
          <cell r="W1390">
            <v>69.820030000000003</v>
          </cell>
          <cell r="X1390">
            <v>73.227220000000003</v>
          </cell>
          <cell r="Y1390">
            <v>52.968018000000001</v>
          </cell>
        </row>
        <row r="1391">
          <cell r="B1391">
            <v>550625</v>
          </cell>
          <cell r="C1391" t="str">
            <v>NOT USED</v>
          </cell>
          <cell r="D1391" t="str">
            <v>ISO TRANSMISSION EXPENSES</v>
          </cell>
          <cell r="E1391" t="str">
            <v/>
          </cell>
          <cell r="F1391" t="str">
            <v/>
          </cell>
          <cell r="G1391" t="str">
            <v/>
          </cell>
          <cell r="H1391" t="str">
            <v/>
          </cell>
          <cell r="I1391" t="str">
            <v/>
          </cell>
          <cell r="J1391" t="str">
            <v/>
          </cell>
          <cell r="K1391" t="str">
            <v/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</row>
        <row r="1392">
          <cell r="B1392">
            <v>550699</v>
          </cell>
          <cell r="C1392" t="str">
            <v>NOT USED</v>
          </cell>
          <cell r="D1392" t="str">
            <v>TRANSMISSION WHEELING-INTERCOMPANY</v>
          </cell>
          <cell r="E1392" t="str">
            <v/>
          </cell>
          <cell r="F1392" t="str">
            <v/>
          </cell>
          <cell r="G1392" t="str">
            <v/>
          </cell>
          <cell r="H1392" t="str">
            <v/>
          </cell>
          <cell r="I1392" t="str">
            <v/>
          </cell>
          <cell r="J1392" t="str">
            <v/>
          </cell>
          <cell r="K1392" t="str">
            <v/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</row>
        <row r="1393">
          <cell r="B1393">
            <v>550700</v>
          </cell>
          <cell r="C1393" t="str">
            <v>NOT USED</v>
          </cell>
          <cell r="D1393" t="str">
            <v>ISO PURCHASES - NM2</v>
          </cell>
          <cell r="E1393" t="str">
            <v/>
          </cell>
          <cell r="F1393" t="str">
            <v/>
          </cell>
          <cell r="G1393" t="str">
            <v/>
          </cell>
          <cell r="H1393" t="str">
            <v/>
          </cell>
          <cell r="I1393" t="str">
            <v/>
          </cell>
          <cell r="J1393" t="str">
            <v/>
          </cell>
          <cell r="K1393" t="str">
            <v/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</row>
        <row r="1394">
          <cell r="B1394">
            <v>550710</v>
          </cell>
          <cell r="C1394" t="str">
            <v>NOT USED</v>
          </cell>
          <cell r="D1394" t="str">
            <v>ISO PURCHASES - RUSSELL STATION</v>
          </cell>
          <cell r="E1394" t="str">
            <v/>
          </cell>
          <cell r="F1394" t="str">
            <v/>
          </cell>
          <cell r="G1394" t="str">
            <v/>
          </cell>
          <cell r="H1394" t="str">
            <v/>
          </cell>
          <cell r="I1394" t="str">
            <v/>
          </cell>
          <cell r="J1394" t="str">
            <v/>
          </cell>
          <cell r="K1394" t="str">
            <v/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</row>
        <row r="1395">
          <cell r="B1395">
            <v>550720</v>
          </cell>
          <cell r="C1395" t="str">
            <v>NOT USED</v>
          </cell>
          <cell r="D1395" t="str">
            <v>ISO PURCHASES - ALLEGANY</v>
          </cell>
          <cell r="E1395" t="str">
            <v/>
          </cell>
          <cell r="F1395" t="str">
            <v/>
          </cell>
          <cell r="G1395" t="str">
            <v/>
          </cell>
          <cell r="H1395" t="str">
            <v/>
          </cell>
          <cell r="I1395" t="str">
            <v/>
          </cell>
          <cell r="J1395" t="str">
            <v/>
          </cell>
          <cell r="K1395" t="str">
            <v/>
          </cell>
          <cell r="L1395">
            <v>383.56698999999998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0.72275</v>
          </cell>
          <cell r="S1395">
            <v>113.1437</v>
          </cell>
          <cell r="T1395">
            <v>202.20371</v>
          </cell>
          <cell r="U1395">
            <v>243.62711999999999</v>
          </cell>
          <cell r="V1395">
            <v>318.66367000000002</v>
          </cell>
          <cell r="W1395">
            <v>344.37434000000002</v>
          </cell>
          <cell r="X1395">
            <v>457.18711000000002</v>
          </cell>
          <cell r="Y1395">
            <v>136.926028</v>
          </cell>
        </row>
        <row r="1396">
          <cell r="B1396">
            <v>550730</v>
          </cell>
          <cell r="C1396" t="str">
            <v>NOT USED</v>
          </cell>
          <cell r="D1396" t="str">
            <v>ISO PURCHASES - BEEBEE T13</v>
          </cell>
          <cell r="E1396" t="str">
            <v/>
          </cell>
          <cell r="F1396" t="str">
            <v/>
          </cell>
          <cell r="G1396" t="str">
            <v/>
          </cell>
          <cell r="H1396" t="str">
            <v/>
          </cell>
          <cell r="I1396" t="str">
            <v/>
          </cell>
          <cell r="J1396" t="str">
            <v/>
          </cell>
          <cell r="K1396" t="str">
            <v/>
          </cell>
          <cell r="L1396">
            <v>1.0031399999999999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4.1798000000000002E-2</v>
          </cell>
        </row>
        <row r="1397">
          <cell r="B1397">
            <v>550740</v>
          </cell>
          <cell r="C1397" t="str">
            <v>NOT USED</v>
          </cell>
          <cell r="D1397" t="str">
            <v>ISO PURCHASES - STATION 9</v>
          </cell>
          <cell r="E1397" t="str">
            <v/>
          </cell>
          <cell r="F1397" t="str">
            <v/>
          </cell>
          <cell r="G1397" t="str">
            <v/>
          </cell>
          <cell r="H1397" t="str">
            <v/>
          </cell>
          <cell r="I1397" t="str">
            <v/>
          </cell>
          <cell r="J1397" t="str">
            <v/>
          </cell>
          <cell r="K1397" t="str">
            <v/>
          </cell>
          <cell r="L1397">
            <v>19.71041</v>
          </cell>
          <cell r="M1397">
            <v>33.382150000000003</v>
          </cell>
          <cell r="N1397">
            <v>33.382150000000003</v>
          </cell>
          <cell r="O1397">
            <v>33.382150000000003</v>
          </cell>
          <cell r="P1397">
            <v>33.382150000000003</v>
          </cell>
          <cell r="Q1397">
            <v>33.382150000000003</v>
          </cell>
          <cell r="R1397">
            <v>33.382150000000003</v>
          </cell>
          <cell r="S1397">
            <v>42.814680000000003</v>
          </cell>
          <cell r="T1397">
            <v>42.874589999999998</v>
          </cell>
          <cell r="U1397">
            <v>57.561419999999998</v>
          </cell>
          <cell r="V1397">
            <v>57.561419999999998</v>
          </cell>
          <cell r="W1397">
            <v>57.561419999999998</v>
          </cell>
          <cell r="X1397">
            <v>57.561419999999998</v>
          </cell>
          <cell r="Y1397">
            <v>41.441862</v>
          </cell>
        </row>
        <row r="1398">
          <cell r="B1398">
            <v>550750</v>
          </cell>
          <cell r="C1398" t="str">
            <v>NOT USED</v>
          </cell>
          <cell r="D1398" t="str">
            <v>ISO PURCHASES - HYDRO</v>
          </cell>
          <cell r="E1398" t="str">
            <v/>
          </cell>
          <cell r="F1398" t="str">
            <v/>
          </cell>
          <cell r="G1398" t="str">
            <v/>
          </cell>
          <cell r="H1398" t="str">
            <v/>
          </cell>
          <cell r="I1398" t="str">
            <v/>
          </cell>
          <cell r="J1398" t="str">
            <v/>
          </cell>
          <cell r="K1398" t="str">
            <v/>
          </cell>
          <cell r="L1398">
            <v>356.93597999999997</v>
          </cell>
          <cell r="M1398">
            <v>7.5722100000000001</v>
          </cell>
          <cell r="N1398">
            <v>22.392849999999999</v>
          </cell>
          <cell r="O1398">
            <v>35.509390000000003</v>
          </cell>
          <cell r="P1398">
            <v>71.686319999999995</v>
          </cell>
          <cell r="Q1398">
            <v>107.20244</v>
          </cell>
          <cell r="R1398">
            <v>118.38928</v>
          </cell>
          <cell r="S1398">
            <v>165.82391000000001</v>
          </cell>
          <cell r="T1398">
            <v>177.67581000000001</v>
          </cell>
          <cell r="U1398">
            <v>204.4128</v>
          </cell>
          <cell r="V1398">
            <v>217.43206000000001</v>
          </cell>
          <cell r="W1398">
            <v>235.41719000000001</v>
          </cell>
          <cell r="X1398">
            <v>235.82687999999999</v>
          </cell>
          <cell r="Y1398">
            <v>138.32464100000001</v>
          </cell>
        </row>
        <row r="1399">
          <cell r="B1399">
            <v>550760</v>
          </cell>
          <cell r="C1399" t="str">
            <v>NOT USED</v>
          </cell>
          <cell r="D1399" t="str">
            <v>ISO PURCHASES - GINNA</v>
          </cell>
          <cell r="E1399" t="str">
            <v/>
          </cell>
          <cell r="F1399" t="str">
            <v/>
          </cell>
          <cell r="G1399" t="str">
            <v/>
          </cell>
          <cell r="H1399" t="str">
            <v/>
          </cell>
          <cell r="I1399" t="str">
            <v/>
          </cell>
          <cell r="J1399" t="str">
            <v/>
          </cell>
          <cell r="K1399" t="str">
            <v/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</row>
        <row r="1400">
          <cell r="B1400">
            <v>555099</v>
          </cell>
          <cell r="C1400" t="str">
            <v>NOT USED</v>
          </cell>
          <cell r="D1400" t="str">
            <v>PURCHASED POWER - INTERCOMPANY</v>
          </cell>
          <cell r="E1400" t="str">
            <v/>
          </cell>
          <cell r="F1400" t="str">
            <v/>
          </cell>
          <cell r="G1400" t="str">
            <v/>
          </cell>
          <cell r="H1400" t="str">
            <v/>
          </cell>
          <cell r="I1400" t="str">
            <v/>
          </cell>
          <cell r="J1400" t="str">
            <v/>
          </cell>
          <cell r="K1400" t="str">
            <v/>
          </cell>
          <cell r="L1400">
            <v>21.468050000000002</v>
          </cell>
          <cell r="M1400">
            <v>2.5360200000000002</v>
          </cell>
          <cell r="N1400">
            <v>2.8489900000000001</v>
          </cell>
          <cell r="O1400">
            <v>3.00135</v>
          </cell>
          <cell r="P1400">
            <v>4.4626599999999996</v>
          </cell>
          <cell r="Q1400">
            <v>6.1969700000000003</v>
          </cell>
          <cell r="R1400">
            <v>9.9974500000000006</v>
          </cell>
          <cell r="S1400">
            <v>12.080299999999999</v>
          </cell>
          <cell r="T1400">
            <v>12.608650000000001</v>
          </cell>
          <cell r="U1400">
            <v>12.75168</v>
          </cell>
          <cell r="V1400">
            <v>12.75168</v>
          </cell>
          <cell r="W1400">
            <v>12.75168</v>
          </cell>
          <cell r="X1400">
            <v>13.970700000000001</v>
          </cell>
          <cell r="Y1400">
            <v>9.1422340000000002</v>
          </cell>
        </row>
        <row r="1401">
          <cell r="B1401">
            <v>560100</v>
          </cell>
          <cell r="C1401" t="str">
            <v>NOT USED</v>
          </cell>
          <cell r="D1401" t="str">
            <v>CONTRACTORS - CONSULTANTS</v>
          </cell>
          <cell r="E1401" t="str">
            <v/>
          </cell>
          <cell r="F1401" t="str">
            <v/>
          </cell>
          <cell r="G1401" t="str">
            <v/>
          </cell>
          <cell r="H1401" t="str">
            <v/>
          </cell>
          <cell r="I1401" t="str">
            <v/>
          </cell>
          <cell r="J1401" t="str">
            <v/>
          </cell>
          <cell r="K1401" t="str">
            <v/>
          </cell>
          <cell r="L1401">
            <v>2040.9677899999999</v>
          </cell>
          <cell r="M1401">
            <v>8.8456799999999998</v>
          </cell>
          <cell r="N1401">
            <v>82.814899999999994</v>
          </cell>
          <cell r="O1401">
            <v>28.96857</v>
          </cell>
          <cell r="P1401">
            <v>45.991370000000003</v>
          </cell>
          <cell r="Q1401">
            <v>109.18424</v>
          </cell>
          <cell r="R1401">
            <v>134.66772</v>
          </cell>
          <cell r="S1401">
            <v>25.021529999999998</v>
          </cell>
          <cell r="T1401">
            <v>125.51051</v>
          </cell>
          <cell r="U1401">
            <v>22.44003</v>
          </cell>
          <cell r="V1401">
            <v>30.65925</v>
          </cell>
          <cell r="W1401">
            <v>50.051839999999999</v>
          </cell>
          <cell r="X1401">
            <v>123.65186</v>
          </cell>
          <cell r="Y1401">
            <v>145.53878900000001</v>
          </cell>
        </row>
        <row r="1402">
          <cell r="B1402">
            <v>560101</v>
          </cell>
          <cell r="C1402" t="str">
            <v>NOT USED</v>
          </cell>
          <cell r="D1402" t="str">
            <v>CONTRACTORS - CONSULTANTS-EEMC HC ALLOCATION-RGE</v>
          </cell>
          <cell r="E1402" t="str">
            <v/>
          </cell>
          <cell r="F1402" t="str">
            <v/>
          </cell>
          <cell r="G1402" t="str">
            <v/>
          </cell>
          <cell r="H1402" t="str">
            <v/>
          </cell>
          <cell r="I1402" t="str">
            <v/>
          </cell>
          <cell r="J1402" t="str">
            <v/>
          </cell>
          <cell r="K1402" t="str">
            <v/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</row>
        <row r="1403">
          <cell r="B1403">
            <v>560105</v>
          </cell>
          <cell r="C1403" t="str">
            <v>NOT USED</v>
          </cell>
          <cell r="D1403" t="str">
            <v>CONTRACTORS - NORTHBRIDGE COMMODITY FEES</v>
          </cell>
          <cell r="E1403" t="str">
            <v/>
          </cell>
          <cell r="F1403" t="str">
            <v/>
          </cell>
          <cell r="G1403" t="str">
            <v/>
          </cell>
          <cell r="H1403" t="str">
            <v/>
          </cell>
          <cell r="I1403" t="str">
            <v/>
          </cell>
          <cell r="J1403" t="str">
            <v/>
          </cell>
          <cell r="K1403" t="str">
            <v/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</row>
        <row r="1404">
          <cell r="B1404">
            <v>560106</v>
          </cell>
          <cell r="C1404" t="str">
            <v>NOT USED</v>
          </cell>
          <cell r="D1404" t="str">
            <v>CONTRACTORS - COAL LABS / ASH DISPOSAL</v>
          </cell>
          <cell r="E1404" t="str">
            <v/>
          </cell>
          <cell r="F1404" t="str">
            <v/>
          </cell>
          <cell r="G1404" t="str">
            <v/>
          </cell>
          <cell r="H1404" t="str">
            <v/>
          </cell>
          <cell r="I1404" t="str">
            <v/>
          </cell>
          <cell r="J1404" t="str">
            <v/>
          </cell>
          <cell r="K1404" t="str">
            <v/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</row>
        <row r="1405">
          <cell r="B1405">
            <v>560110</v>
          </cell>
          <cell r="C1405" t="str">
            <v>NOT USED</v>
          </cell>
          <cell r="D1405" t="str">
            <v>CONTRACTORS - CONSULTANTS-LEGAL</v>
          </cell>
          <cell r="E1405" t="str">
            <v/>
          </cell>
          <cell r="F1405" t="str">
            <v/>
          </cell>
          <cell r="G1405" t="str">
            <v/>
          </cell>
          <cell r="H1405" t="str">
            <v/>
          </cell>
          <cell r="I1405" t="str">
            <v/>
          </cell>
          <cell r="J1405" t="str">
            <v/>
          </cell>
          <cell r="K1405" t="str">
            <v/>
          </cell>
          <cell r="L1405">
            <v>2778.74487</v>
          </cell>
          <cell r="M1405">
            <v>40.164949999999997</v>
          </cell>
          <cell r="N1405">
            <v>164.81998999999999</v>
          </cell>
          <cell r="O1405">
            <v>333.28852999999998</v>
          </cell>
          <cell r="P1405">
            <v>474.98433999999997</v>
          </cell>
          <cell r="Q1405">
            <v>588.31835999999998</v>
          </cell>
          <cell r="R1405">
            <v>700.04553999999996</v>
          </cell>
          <cell r="S1405">
            <v>788.29123000000004</v>
          </cell>
          <cell r="T1405">
            <v>1047.7872299999999</v>
          </cell>
          <cell r="U1405">
            <v>1087.2720400000001</v>
          </cell>
          <cell r="V1405">
            <v>1180.9542799999999</v>
          </cell>
          <cell r="W1405">
            <v>1269.2799399999999</v>
          </cell>
          <cell r="X1405">
            <v>1659.7229</v>
          </cell>
          <cell r="Y1405">
            <v>824.53669300000001</v>
          </cell>
        </row>
        <row r="1406">
          <cell r="B1406">
            <v>560111</v>
          </cell>
          <cell r="C1406" t="str">
            <v>NOT USED</v>
          </cell>
          <cell r="D1406" t="str">
            <v>EEPS-CONTRACTORS - CONSULTANTS-LEGAL</v>
          </cell>
          <cell r="E1406" t="str">
            <v/>
          </cell>
          <cell r="F1406" t="str">
            <v/>
          </cell>
          <cell r="G1406" t="str">
            <v/>
          </cell>
          <cell r="H1406" t="str">
            <v/>
          </cell>
          <cell r="I1406" t="str">
            <v/>
          </cell>
          <cell r="J1406" t="str">
            <v/>
          </cell>
          <cell r="K1406" t="str">
            <v/>
          </cell>
          <cell r="L1406">
            <v>0</v>
          </cell>
          <cell r="M1406">
            <v>1.2</v>
          </cell>
          <cell r="N1406">
            <v>10.199999999999999</v>
          </cell>
          <cell r="O1406">
            <v>10.20318</v>
          </cell>
          <cell r="P1406">
            <v>12.803179999999999</v>
          </cell>
          <cell r="Q1406">
            <v>7.2031799999999997</v>
          </cell>
          <cell r="R1406">
            <v>11.023680000000001</v>
          </cell>
          <cell r="S1406">
            <v>13.279159999999999</v>
          </cell>
          <cell r="T1406">
            <v>14.72118</v>
          </cell>
          <cell r="U1406">
            <v>14.72118</v>
          </cell>
          <cell r="V1406">
            <v>1.0800700000000001</v>
          </cell>
          <cell r="W1406">
            <v>1.8935200000000001</v>
          </cell>
          <cell r="X1406">
            <v>3.07056</v>
          </cell>
          <cell r="Y1406">
            <v>8.321968</v>
          </cell>
        </row>
        <row r="1407">
          <cell r="B1407">
            <v>560115</v>
          </cell>
          <cell r="C1407" t="str">
            <v>NOT USED</v>
          </cell>
          <cell r="D1407" t="str">
            <v>CONTRACTORS-ACCOUNTING/FINANCIAL SERVICES</v>
          </cell>
          <cell r="E1407" t="str">
            <v/>
          </cell>
          <cell r="F1407" t="str">
            <v/>
          </cell>
          <cell r="G1407" t="str">
            <v/>
          </cell>
          <cell r="H1407" t="str">
            <v/>
          </cell>
          <cell r="I1407" t="str">
            <v/>
          </cell>
          <cell r="J1407" t="str">
            <v/>
          </cell>
          <cell r="K1407" t="str">
            <v/>
          </cell>
          <cell r="L1407">
            <v>31.150749999999999</v>
          </cell>
          <cell r="M1407">
            <v>-5</v>
          </cell>
          <cell r="N1407">
            <v>-5</v>
          </cell>
          <cell r="O1407">
            <v>-5</v>
          </cell>
          <cell r="P1407">
            <v>-5</v>
          </cell>
          <cell r="Q1407">
            <v>-5</v>
          </cell>
          <cell r="R1407">
            <v>-4.2437500000000004</v>
          </cell>
          <cell r="S1407">
            <v>-2.4562499999999998</v>
          </cell>
          <cell r="T1407">
            <v>-2.4562499999999998</v>
          </cell>
          <cell r="U1407">
            <v>-1.35625</v>
          </cell>
          <cell r="V1407">
            <v>-1.35625</v>
          </cell>
          <cell r="W1407">
            <v>-1.35625</v>
          </cell>
          <cell r="X1407">
            <v>-1.35625</v>
          </cell>
          <cell r="Y1407">
            <v>-1.9439789999999999</v>
          </cell>
        </row>
        <row r="1408">
          <cell r="B1408">
            <v>560120</v>
          </cell>
          <cell r="C1408" t="str">
            <v>NOT USED</v>
          </cell>
          <cell r="D1408" t="str">
            <v>CONTRACTORS-AFFILIATED LABOR</v>
          </cell>
          <cell r="E1408" t="str">
            <v/>
          </cell>
          <cell r="F1408" t="str">
            <v/>
          </cell>
          <cell r="G1408" t="str">
            <v/>
          </cell>
          <cell r="H1408" t="str">
            <v/>
          </cell>
          <cell r="I1408" t="str">
            <v/>
          </cell>
          <cell r="J1408" t="str">
            <v/>
          </cell>
          <cell r="K1408" t="str">
            <v/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</row>
        <row r="1409">
          <cell r="B1409">
            <v>560121</v>
          </cell>
          <cell r="C1409" t="str">
            <v>NOT USED</v>
          </cell>
          <cell r="D1409" t="str">
            <v>CONTRACTORS - ENERGY EFFICIENCY PROGRAMS</v>
          </cell>
          <cell r="E1409" t="str">
            <v/>
          </cell>
          <cell r="F1409" t="str">
            <v/>
          </cell>
          <cell r="G1409" t="str">
            <v/>
          </cell>
          <cell r="H1409" t="str">
            <v/>
          </cell>
          <cell r="I1409" t="str">
            <v/>
          </cell>
          <cell r="J1409" t="str">
            <v/>
          </cell>
          <cell r="K1409" t="str">
            <v/>
          </cell>
          <cell r="L1409">
            <v>1153.30332</v>
          </cell>
          <cell r="M1409">
            <v>61.131540000000001</v>
          </cell>
          <cell r="N1409">
            <v>217.73025999999999</v>
          </cell>
          <cell r="O1409">
            <v>371.49015000000003</v>
          </cell>
          <cell r="P1409">
            <v>495.23500000000001</v>
          </cell>
          <cell r="Q1409">
            <v>639.80868999999996</v>
          </cell>
          <cell r="R1409">
            <v>716.20853</v>
          </cell>
          <cell r="S1409">
            <v>849.18841999999995</v>
          </cell>
          <cell r="T1409">
            <v>957.37103999999999</v>
          </cell>
          <cell r="U1409">
            <v>1122.0281</v>
          </cell>
          <cell r="V1409">
            <v>1297.48064</v>
          </cell>
          <cell r="W1409">
            <v>1502.78973</v>
          </cell>
          <cell r="X1409">
            <v>1641.22101</v>
          </cell>
          <cell r="Y1409">
            <v>802.31035499999996</v>
          </cell>
        </row>
        <row r="1410">
          <cell r="B1410">
            <v>560125</v>
          </cell>
          <cell r="C1410" t="str">
            <v>NOT USED</v>
          </cell>
          <cell r="D1410" t="str">
            <v>CONTRACTORS-AUDIT SERVICES</v>
          </cell>
          <cell r="E1410" t="str">
            <v/>
          </cell>
          <cell r="F1410" t="str">
            <v/>
          </cell>
          <cell r="G1410" t="str">
            <v/>
          </cell>
          <cell r="H1410" t="str">
            <v/>
          </cell>
          <cell r="I1410" t="str">
            <v/>
          </cell>
          <cell r="J1410" t="str">
            <v/>
          </cell>
          <cell r="K1410" t="str">
            <v/>
          </cell>
          <cell r="L1410">
            <v>251.50415000000001</v>
          </cell>
          <cell r="M1410">
            <v>57.012999999999998</v>
          </cell>
          <cell r="N1410">
            <v>96.845200000000006</v>
          </cell>
          <cell r="O1410">
            <v>100.32933</v>
          </cell>
          <cell r="P1410">
            <v>101.07812</v>
          </cell>
          <cell r="Q1410">
            <v>101.07812</v>
          </cell>
          <cell r="R1410">
            <v>101.07812</v>
          </cell>
          <cell r="S1410">
            <v>126.96093999999999</v>
          </cell>
          <cell r="T1410">
            <v>126.96093999999999</v>
          </cell>
          <cell r="U1410">
            <v>126.96093999999999</v>
          </cell>
          <cell r="V1410">
            <v>145.34036</v>
          </cell>
          <cell r="W1410">
            <v>150.27511000000001</v>
          </cell>
          <cell r="X1410">
            <v>219.84036</v>
          </cell>
          <cell r="Y1410">
            <v>122.466036</v>
          </cell>
        </row>
        <row r="1411">
          <cell r="B1411">
            <v>560130</v>
          </cell>
          <cell r="C1411" t="str">
            <v>NOT USED</v>
          </cell>
          <cell r="D1411" t="str">
            <v>CONTRACTORS-LINE CLEARANCE SERVICES</v>
          </cell>
          <cell r="E1411" t="str">
            <v/>
          </cell>
          <cell r="F1411" t="str">
            <v/>
          </cell>
          <cell r="G1411" t="str">
            <v/>
          </cell>
          <cell r="H1411" t="str">
            <v/>
          </cell>
          <cell r="I1411" t="str">
            <v/>
          </cell>
          <cell r="J1411" t="str">
            <v/>
          </cell>
          <cell r="K1411" t="str">
            <v/>
          </cell>
          <cell r="L1411">
            <v>6310.1023699999996</v>
          </cell>
          <cell r="M1411">
            <v>128.37819999999999</v>
          </cell>
          <cell r="N1411">
            <v>664.98455000000001</v>
          </cell>
          <cell r="O1411">
            <v>640.13575000000003</v>
          </cell>
          <cell r="P1411">
            <v>451.47638999999998</v>
          </cell>
          <cell r="Q1411">
            <v>1357.97703</v>
          </cell>
          <cell r="R1411">
            <v>1860.75927</v>
          </cell>
          <cell r="S1411">
            <v>2854.1889299999998</v>
          </cell>
          <cell r="T1411">
            <v>4172.5291999999999</v>
          </cell>
          <cell r="U1411">
            <v>5599.6956700000001</v>
          </cell>
          <cell r="V1411">
            <v>7575.4876400000003</v>
          </cell>
          <cell r="W1411">
            <v>9381.1390200000005</v>
          </cell>
          <cell r="X1411">
            <v>12552.43866</v>
          </cell>
          <cell r="Y1411">
            <v>3676.501847</v>
          </cell>
        </row>
        <row r="1412">
          <cell r="B1412">
            <v>560132</v>
          </cell>
          <cell r="C1412" t="str">
            <v>NOT USED</v>
          </cell>
          <cell r="D1412" t="str">
            <v>CONTRACTORS-LOCATING SERVICES</v>
          </cell>
          <cell r="E1412" t="str">
            <v/>
          </cell>
          <cell r="F1412" t="str">
            <v/>
          </cell>
          <cell r="G1412" t="str">
            <v/>
          </cell>
          <cell r="H1412" t="str">
            <v/>
          </cell>
          <cell r="I1412" t="str">
            <v/>
          </cell>
          <cell r="J1412" t="str">
            <v/>
          </cell>
          <cell r="K1412" t="str">
            <v/>
          </cell>
          <cell r="L1412">
            <v>3231.7655</v>
          </cell>
          <cell r="M1412">
            <v>-95.870729999999995</v>
          </cell>
          <cell r="N1412">
            <v>-28.276710000000001</v>
          </cell>
          <cell r="O1412">
            <v>46.480789999999999</v>
          </cell>
          <cell r="P1412">
            <v>64.383210000000005</v>
          </cell>
          <cell r="Q1412">
            <v>116.77734</v>
          </cell>
          <cell r="R1412">
            <v>208.40404000000001</v>
          </cell>
          <cell r="S1412">
            <v>303.71548999999999</v>
          </cell>
          <cell r="T1412">
            <v>445.44689</v>
          </cell>
          <cell r="U1412">
            <v>596.21987999999999</v>
          </cell>
          <cell r="V1412">
            <v>766.70363999999995</v>
          </cell>
          <cell r="W1412">
            <v>827.76517999999999</v>
          </cell>
          <cell r="X1412">
            <v>866.54877999999997</v>
          </cell>
          <cell r="Y1412">
            <v>441.74218000000002</v>
          </cell>
        </row>
        <row r="1413">
          <cell r="B1413">
            <v>560135</v>
          </cell>
          <cell r="C1413" t="str">
            <v>NOT USED</v>
          </cell>
          <cell r="D1413" t="str">
            <v>CONTRACTORS-ENGINEERING</v>
          </cell>
          <cell r="E1413" t="str">
            <v/>
          </cell>
          <cell r="F1413" t="str">
            <v/>
          </cell>
          <cell r="G1413" t="str">
            <v/>
          </cell>
          <cell r="H1413" t="str">
            <v/>
          </cell>
          <cell r="I1413" t="str">
            <v/>
          </cell>
          <cell r="J1413" t="str">
            <v/>
          </cell>
          <cell r="K1413" t="str">
            <v/>
          </cell>
          <cell r="L1413">
            <v>6296.1837699999996</v>
          </cell>
          <cell r="M1413">
            <v>-468.36860999999999</v>
          </cell>
          <cell r="N1413">
            <v>1251.02127</v>
          </cell>
          <cell r="O1413">
            <v>2297.63825</v>
          </cell>
          <cell r="P1413">
            <v>2908.9863599999999</v>
          </cell>
          <cell r="Q1413">
            <v>4610.6930400000001</v>
          </cell>
          <cell r="R1413">
            <v>5696.4846200000002</v>
          </cell>
          <cell r="S1413">
            <v>7976.7610000000004</v>
          </cell>
          <cell r="T1413">
            <v>9678.3413999999993</v>
          </cell>
          <cell r="U1413">
            <v>11431.229359999999</v>
          </cell>
          <cell r="V1413">
            <v>14068.55179</v>
          </cell>
          <cell r="W1413">
            <v>16374.584559999999</v>
          </cell>
          <cell r="X1413">
            <v>19950.79146</v>
          </cell>
          <cell r="Y1413">
            <v>7412.4508880000003</v>
          </cell>
        </row>
        <row r="1414">
          <cell r="B1414">
            <v>560140</v>
          </cell>
          <cell r="C1414" t="str">
            <v>NOT USED</v>
          </cell>
          <cell r="D1414" t="str">
            <v>CONTRACTORS-ENVIRONMENTAL SERVICES</v>
          </cell>
          <cell r="E1414" t="str">
            <v/>
          </cell>
          <cell r="F1414" t="str">
            <v/>
          </cell>
          <cell r="G1414" t="str">
            <v/>
          </cell>
          <cell r="H1414" t="str">
            <v/>
          </cell>
          <cell r="I1414" t="str">
            <v/>
          </cell>
          <cell r="J1414" t="str">
            <v/>
          </cell>
          <cell r="K1414" t="str">
            <v/>
          </cell>
          <cell r="L1414">
            <v>4541.2473399999999</v>
          </cell>
          <cell r="M1414">
            <v>589.68284000000006</v>
          </cell>
          <cell r="N1414">
            <v>1378.51893</v>
          </cell>
          <cell r="O1414">
            <v>2450.6949199999999</v>
          </cell>
          <cell r="P1414">
            <v>3950.99008</v>
          </cell>
          <cell r="Q1414">
            <v>4659.0661899999996</v>
          </cell>
          <cell r="R1414">
            <v>5113.01494</v>
          </cell>
          <cell r="S1414">
            <v>5585.1502300000002</v>
          </cell>
          <cell r="T1414">
            <v>6349.1832199999999</v>
          </cell>
          <cell r="U1414">
            <v>6793.5716000000002</v>
          </cell>
          <cell r="V1414">
            <v>7534.1867199999997</v>
          </cell>
          <cell r="W1414">
            <v>7978.1534000000001</v>
          </cell>
          <cell r="X1414">
            <v>8584.0522500000006</v>
          </cell>
          <cell r="Y1414">
            <v>4912.0719049999998</v>
          </cell>
        </row>
        <row r="1415">
          <cell r="B1415">
            <v>560145</v>
          </cell>
          <cell r="C1415" t="str">
            <v>NOT USED</v>
          </cell>
          <cell r="D1415" t="str">
            <v>CONTRACTORS-ELECTRIC CONSTRUCTION SERVICES</v>
          </cell>
          <cell r="E1415" t="str">
            <v/>
          </cell>
          <cell r="F1415" t="str">
            <v/>
          </cell>
          <cell r="G1415" t="str">
            <v/>
          </cell>
          <cell r="H1415" t="str">
            <v/>
          </cell>
          <cell r="I1415" t="str">
            <v/>
          </cell>
          <cell r="J1415" t="str">
            <v/>
          </cell>
          <cell r="K1415" t="str">
            <v/>
          </cell>
          <cell r="L1415">
            <v>12454.282149999999</v>
          </cell>
          <cell r="M1415">
            <v>1178.15148</v>
          </cell>
          <cell r="N1415">
            <v>1466.3610900000001</v>
          </cell>
          <cell r="O1415">
            <v>4796.7988999999998</v>
          </cell>
          <cell r="P1415">
            <v>8134.6898099999999</v>
          </cell>
          <cell r="Q1415">
            <v>10228.17535</v>
          </cell>
          <cell r="R1415">
            <v>13623.86139</v>
          </cell>
          <cell r="S1415">
            <v>15421.800450000001</v>
          </cell>
          <cell r="T1415">
            <v>20274.386310000002</v>
          </cell>
          <cell r="U1415">
            <v>22274.997100000001</v>
          </cell>
          <cell r="V1415">
            <v>25567.38594</v>
          </cell>
          <cell r="W1415">
            <v>28324.659370000001</v>
          </cell>
          <cell r="X1415">
            <v>39601.460500000001</v>
          </cell>
          <cell r="Y1415">
            <v>14776.594875999999</v>
          </cell>
        </row>
        <row r="1416">
          <cell r="B1416">
            <v>560146</v>
          </cell>
          <cell r="C1416" t="str">
            <v>NOT USED</v>
          </cell>
          <cell r="D1416" t="str">
            <v>CONTRACTORS-FLAGGING</v>
          </cell>
          <cell r="E1416" t="str">
            <v/>
          </cell>
          <cell r="F1416" t="str">
            <v/>
          </cell>
          <cell r="G1416" t="str">
            <v/>
          </cell>
          <cell r="H1416" t="str">
            <v/>
          </cell>
          <cell r="I1416" t="str">
            <v/>
          </cell>
          <cell r="J1416" t="str">
            <v/>
          </cell>
          <cell r="K1416" t="str">
            <v/>
          </cell>
          <cell r="L1416">
            <v>170.27135999999999</v>
          </cell>
          <cell r="M1416">
            <v>-1.9962</v>
          </cell>
          <cell r="N1416">
            <v>26.39949</v>
          </cell>
          <cell r="O1416">
            <v>38.906849999999999</v>
          </cell>
          <cell r="P1416">
            <v>66.615030000000004</v>
          </cell>
          <cell r="Q1416">
            <v>97.310940000000002</v>
          </cell>
          <cell r="R1416">
            <v>112.11060999999999</v>
          </cell>
          <cell r="S1416">
            <v>125.63697999999999</v>
          </cell>
          <cell r="T1416">
            <v>131.49732</v>
          </cell>
          <cell r="U1416">
            <v>147.59249</v>
          </cell>
          <cell r="V1416">
            <v>175.6198</v>
          </cell>
          <cell r="W1416">
            <v>197.36369999999999</v>
          </cell>
          <cell r="X1416">
            <v>224.80957000000001</v>
          </cell>
          <cell r="Y1416">
            <v>109.54979</v>
          </cell>
        </row>
        <row r="1417">
          <cell r="B1417">
            <v>560147</v>
          </cell>
          <cell r="C1417" t="str">
            <v>NOT USED</v>
          </cell>
          <cell r="D1417" t="str">
            <v>CONTRACTORS-OTHER</v>
          </cell>
          <cell r="E1417" t="str">
            <v/>
          </cell>
          <cell r="F1417" t="str">
            <v/>
          </cell>
          <cell r="G1417" t="str">
            <v/>
          </cell>
          <cell r="H1417" t="str">
            <v/>
          </cell>
          <cell r="I1417" t="str">
            <v/>
          </cell>
          <cell r="J1417" t="str">
            <v/>
          </cell>
          <cell r="K1417" t="str">
            <v/>
          </cell>
          <cell r="L1417">
            <v>26644.72508</v>
          </cell>
          <cell r="M1417">
            <v>-3484.4608699999999</v>
          </cell>
          <cell r="N1417">
            <v>2441.7659800000001</v>
          </cell>
          <cell r="O1417">
            <v>4598.8821099999996</v>
          </cell>
          <cell r="P1417">
            <v>4021.0559199999998</v>
          </cell>
          <cell r="Q1417">
            <v>6954.27394</v>
          </cell>
          <cell r="R1417">
            <v>9588.4785200000006</v>
          </cell>
          <cell r="S1417">
            <v>12135.79696</v>
          </cell>
          <cell r="T1417">
            <v>14990.29638</v>
          </cell>
          <cell r="U1417">
            <v>17864.469590000001</v>
          </cell>
          <cell r="V1417">
            <v>25200.359680000001</v>
          </cell>
          <cell r="W1417">
            <v>30555.462060000002</v>
          </cell>
          <cell r="X1417">
            <v>37272.522570000001</v>
          </cell>
          <cell r="Y1417">
            <v>13068.750341000001</v>
          </cell>
        </row>
        <row r="1418">
          <cell r="B1418">
            <v>560150</v>
          </cell>
          <cell r="C1418" t="str">
            <v>NOT USED</v>
          </cell>
          <cell r="D1418" t="str">
            <v>CONTRACTORS-FACILITY SERVICES</v>
          </cell>
          <cell r="E1418" t="str">
            <v/>
          </cell>
          <cell r="F1418" t="str">
            <v/>
          </cell>
          <cell r="G1418" t="str">
            <v/>
          </cell>
          <cell r="H1418" t="str">
            <v/>
          </cell>
          <cell r="I1418" t="str">
            <v/>
          </cell>
          <cell r="J1418" t="str">
            <v/>
          </cell>
          <cell r="K1418" t="str">
            <v/>
          </cell>
          <cell r="L1418">
            <v>3666.0423700000001</v>
          </cell>
          <cell r="M1418">
            <v>581.02354000000003</v>
          </cell>
          <cell r="N1418">
            <v>830.88888999999995</v>
          </cell>
          <cell r="O1418">
            <v>1173.72793</v>
          </cell>
          <cell r="P1418">
            <v>1312.05663</v>
          </cell>
          <cell r="Q1418">
            <v>1473.35617</v>
          </cell>
          <cell r="R1418">
            <v>1607.8487700000001</v>
          </cell>
          <cell r="S1418">
            <v>1822.16821</v>
          </cell>
          <cell r="T1418">
            <v>1981.7609299999999</v>
          </cell>
          <cell r="U1418">
            <v>2424.2302599999998</v>
          </cell>
          <cell r="V1418">
            <v>2666.0705499999999</v>
          </cell>
          <cell r="W1418">
            <v>3557.6666100000002</v>
          </cell>
          <cell r="X1418">
            <v>6694.4468500000003</v>
          </cell>
          <cell r="Y1418">
            <v>2050.9202580000001</v>
          </cell>
        </row>
        <row r="1419">
          <cell r="B1419">
            <v>560151</v>
          </cell>
          <cell r="C1419" t="str">
            <v>NOT USED</v>
          </cell>
          <cell r="D1419" t="str">
            <v>CONTRACTORS-GAS CONSTRUCTION SERVICES</v>
          </cell>
          <cell r="E1419" t="str">
            <v/>
          </cell>
          <cell r="F1419" t="str">
            <v/>
          </cell>
          <cell r="G1419" t="str">
            <v/>
          </cell>
          <cell r="H1419" t="str">
            <v/>
          </cell>
          <cell r="I1419" t="str">
            <v/>
          </cell>
          <cell r="J1419" t="str">
            <v/>
          </cell>
          <cell r="K1419" t="str">
            <v/>
          </cell>
          <cell r="L1419">
            <v>0.38030999999999998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0.40910000000000002</v>
          </cell>
          <cell r="R1419">
            <v>0.48165999999999998</v>
          </cell>
          <cell r="S1419">
            <v>0.45135999999999998</v>
          </cell>
          <cell r="T1419">
            <v>1.2488999999999999</v>
          </cell>
          <cell r="U1419">
            <v>1.89506</v>
          </cell>
          <cell r="V1419">
            <v>2.0884399999999999</v>
          </cell>
          <cell r="W1419">
            <v>3.6120299999999999</v>
          </cell>
          <cell r="X1419">
            <v>9.5869900000000001</v>
          </cell>
          <cell r="Y1419">
            <v>1.2641830000000001</v>
          </cell>
        </row>
        <row r="1420">
          <cell r="B1420">
            <v>560155</v>
          </cell>
          <cell r="C1420" t="str">
            <v>NOT USED</v>
          </cell>
          <cell r="D1420" t="str">
            <v>CONTRACTORS-GAS CONSTRUCTION SERVICES</v>
          </cell>
          <cell r="E1420" t="str">
            <v/>
          </cell>
          <cell r="F1420" t="str">
            <v/>
          </cell>
          <cell r="G1420" t="str">
            <v/>
          </cell>
          <cell r="H1420" t="str">
            <v/>
          </cell>
          <cell r="I1420" t="str">
            <v/>
          </cell>
          <cell r="J1420" t="str">
            <v/>
          </cell>
          <cell r="K1420" t="str">
            <v/>
          </cell>
          <cell r="L1420">
            <v>12833.554</v>
          </cell>
          <cell r="M1420">
            <v>299.74335000000002</v>
          </cell>
          <cell r="N1420">
            <v>944.17016999999998</v>
          </cell>
          <cell r="O1420">
            <v>2004.0102899999999</v>
          </cell>
          <cell r="P1420">
            <v>2970.67976</v>
          </cell>
          <cell r="Q1420">
            <v>4326.3621899999998</v>
          </cell>
          <cell r="R1420">
            <v>6261.7935600000001</v>
          </cell>
          <cell r="S1420">
            <v>7683.2587899999999</v>
          </cell>
          <cell r="T1420">
            <v>9903.1838299999999</v>
          </cell>
          <cell r="U1420">
            <v>11753.774020000001</v>
          </cell>
          <cell r="V1420">
            <v>14176.858410000001</v>
          </cell>
          <cell r="W1420">
            <v>15762.92683</v>
          </cell>
          <cell r="X1420">
            <v>19588.221079999999</v>
          </cell>
          <cell r="Y1420">
            <v>7691.4707280000002</v>
          </cell>
        </row>
        <row r="1421">
          <cell r="B1421">
            <v>560160</v>
          </cell>
          <cell r="C1421" t="str">
            <v>NOT USED</v>
          </cell>
          <cell r="D1421" t="str">
            <v>CONTRACTORS-IT CONTRACTORS</v>
          </cell>
          <cell r="E1421" t="str">
            <v/>
          </cell>
          <cell r="F1421" t="str">
            <v/>
          </cell>
          <cell r="G1421" t="str">
            <v/>
          </cell>
          <cell r="H1421" t="str">
            <v/>
          </cell>
          <cell r="I1421" t="str">
            <v/>
          </cell>
          <cell r="J1421" t="str">
            <v/>
          </cell>
          <cell r="K1421" t="str">
            <v/>
          </cell>
          <cell r="L1421">
            <v>108.89394</v>
          </cell>
          <cell r="M1421">
            <v>-12.379960000000001</v>
          </cell>
          <cell r="N1421">
            <v>67.244100000000003</v>
          </cell>
          <cell r="O1421">
            <v>84.27946</v>
          </cell>
          <cell r="P1421">
            <v>105.05261</v>
          </cell>
          <cell r="Q1421">
            <v>141.48484999999999</v>
          </cell>
          <cell r="R1421">
            <v>154.53784999999999</v>
          </cell>
          <cell r="S1421">
            <v>165.38865000000001</v>
          </cell>
          <cell r="T1421">
            <v>209.22130000000001</v>
          </cell>
          <cell r="U1421">
            <v>286.98962</v>
          </cell>
          <cell r="V1421">
            <v>322.12761999999998</v>
          </cell>
          <cell r="W1421">
            <v>367.45006999999998</v>
          </cell>
          <cell r="X1421">
            <v>844.30762000000004</v>
          </cell>
          <cell r="Y1421">
            <v>197.333079</v>
          </cell>
        </row>
        <row r="1422">
          <cell r="B1422">
            <v>560165</v>
          </cell>
          <cell r="C1422" t="str">
            <v>NOT USED</v>
          </cell>
          <cell r="D1422" t="str">
            <v>CONTRACTORS-TEMPORARY LABOR SERVICES</v>
          </cell>
          <cell r="E1422" t="str">
            <v/>
          </cell>
          <cell r="F1422" t="str">
            <v/>
          </cell>
          <cell r="G1422" t="str">
            <v/>
          </cell>
          <cell r="H1422" t="str">
            <v/>
          </cell>
          <cell r="I1422" t="str">
            <v/>
          </cell>
          <cell r="J1422" t="str">
            <v/>
          </cell>
          <cell r="K1422" t="str">
            <v/>
          </cell>
          <cell r="L1422">
            <v>437.99547000000001</v>
          </cell>
          <cell r="M1422">
            <v>70.508650000000003</v>
          </cell>
          <cell r="N1422">
            <v>179.00854000000001</v>
          </cell>
          <cell r="O1422">
            <v>323.97829000000002</v>
          </cell>
          <cell r="P1422">
            <v>407.37574999999998</v>
          </cell>
          <cell r="Q1422">
            <v>474.59778</v>
          </cell>
          <cell r="R1422">
            <v>668.54423999999995</v>
          </cell>
          <cell r="S1422">
            <v>790.37932000000001</v>
          </cell>
          <cell r="T1422">
            <v>1085.5046199999999</v>
          </cell>
          <cell r="U1422">
            <v>1213.70919</v>
          </cell>
          <cell r="V1422">
            <v>1358.5697</v>
          </cell>
          <cell r="W1422">
            <v>1496.6741999999999</v>
          </cell>
          <cell r="X1422">
            <v>1646.44328</v>
          </cell>
          <cell r="Y1422">
            <v>759.25580500000001</v>
          </cell>
        </row>
        <row r="1423">
          <cell r="B1423">
            <v>560170</v>
          </cell>
          <cell r="C1423" t="str">
            <v>NOT USED</v>
          </cell>
          <cell r="D1423" t="str">
            <v>CONTRACTORS-SECURITY</v>
          </cell>
          <cell r="E1423" t="str">
            <v/>
          </cell>
          <cell r="F1423" t="str">
            <v/>
          </cell>
          <cell r="G1423" t="str">
            <v/>
          </cell>
          <cell r="H1423" t="str">
            <v/>
          </cell>
          <cell r="I1423" t="str">
            <v/>
          </cell>
          <cell r="J1423" t="str">
            <v/>
          </cell>
          <cell r="K1423" t="str">
            <v/>
          </cell>
          <cell r="L1423">
            <v>1862.77423</v>
          </cell>
          <cell r="M1423">
            <v>178.70821000000001</v>
          </cell>
          <cell r="N1423">
            <v>335.41485</v>
          </cell>
          <cell r="O1423">
            <v>407.95713000000001</v>
          </cell>
          <cell r="P1423">
            <v>541.61374000000001</v>
          </cell>
          <cell r="Q1423">
            <v>801.43574000000001</v>
          </cell>
          <cell r="R1423">
            <v>1012.8774</v>
          </cell>
          <cell r="S1423">
            <v>1119.5785800000001</v>
          </cell>
          <cell r="T1423">
            <v>1117.3662200000001</v>
          </cell>
          <cell r="U1423">
            <v>1162.85383</v>
          </cell>
          <cell r="V1423">
            <v>1499.3884800000001</v>
          </cell>
          <cell r="W1423">
            <v>1684.60186</v>
          </cell>
          <cell r="X1423">
            <v>1683.95046</v>
          </cell>
          <cell r="Y1423">
            <v>969.59653200000002</v>
          </cell>
        </row>
        <row r="1424">
          <cell r="B1424">
            <v>560175</v>
          </cell>
          <cell r="C1424" t="str">
            <v>NOT USED</v>
          </cell>
          <cell r="D1424" t="str">
            <v>CONTRACTORS-LOBBYIST</v>
          </cell>
          <cell r="E1424" t="str">
            <v/>
          </cell>
          <cell r="F1424" t="str">
            <v/>
          </cell>
          <cell r="G1424" t="str">
            <v/>
          </cell>
          <cell r="H1424" t="str">
            <v/>
          </cell>
          <cell r="I1424" t="str">
            <v/>
          </cell>
          <cell r="J1424" t="str">
            <v/>
          </cell>
          <cell r="K1424" t="str">
            <v/>
          </cell>
          <cell r="L1424">
            <v>30</v>
          </cell>
          <cell r="M1424">
            <v>10</v>
          </cell>
          <cell r="N1424">
            <v>10</v>
          </cell>
          <cell r="O1424">
            <v>15</v>
          </cell>
          <cell r="P1424">
            <v>20</v>
          </cell>
          <cell r="Q1424">
            <v>25</v>
          </cell>
          <cell r="R1424">
            <v>30</v>
          </cell>
          <cell r="S1424">
            <v>35</v>
          </cell>
          <cell r="T1424">
            <v>40</v>
          </cell>
          <cell r="U1424">
            <v>45</v>
          </cell>
          <cell r="V1424">
            <v>50</v>
          </cell>
          <cell r="W1424">
            <v>55</v>
          </cell>
          <cell r="X1424">
            <v>60</v>
          </cell>
          <cell r="Y1424">
            <v>31.666667</v>
          </cell>
        </row>
        <row r="1425">
          <cell r="B1425">
            <v>560180</v>
          </cell>
          <cell r="C1425" t="str">
            <v>NOT USED</v>
          </cell>
          <cell r="D1425" t="str">
            <v>CONTRACTORS-DISASTER RECOVERY</v>
          </cell>
          <cell r="E1425" t="str">
            <v/>
          </cell>
          <cell r="F1425" t="str">
            <v/>
          </cell>
          <cell r="G1425" t="str">
            <v/>
          </cell>
          <cell r="H1425" t="str">
            <v/>
          </cell>
          <cell r="I1425" t="str">
            <v/>
          </cell>
          <cell r="J1425" t="str">
            <v/>
          </cell>
          <cell r="K1425" t="str">
            <v/>
          </cell>
          <cell r="L1425">
            <v>16.783619999999999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0.699318</v>
          </cell>
        </row>
        <row r="1426">
          <cell r="B1426">
            <v>570100</v>
          </cell>
          <cell r="C1426" t="str">
            <v>NOT USED</v>
          </cell>
          <cell r="D1426" t="str">
            <v>GENERAL RENTS - BUILDINGS</v>
          </cell>
          <cell r="E1426" t="str">
            <v/>
          </cell>
          <cell r="F1426" t="str">
            <v/>
          </cell>
          <cell r="G1426" t="str">
            <v/>
          </cell>
          <cell r="H1426" t="str">
            <v/>
          </cell>
          <cell r="I1426" t="str">
            <v/>
          </cell>
          <cell r="J1426" t="str">
            <v/>
          </cell>
          <cell r="K1426" t="str">
            <v/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</row>
        <row r="1427">
          <cell r="B1427">
            <v>570101</v>
          </cell>
          <cell r="C1427" t="str">
            <v>NOT USED</v>
          </cell>
          <cell r="D1427" t="str">
            <v>GENERAL RENTS - EEMC HC ALLOCATION-RGE</v>
          </cell>
          <cell r="E1427" t="str">
            <v/>
          </cell>
          <cell r="F1427" t="str">
            <v/>
          </cell>
          <cell r="G1427" t="str">
            <v/>
          </cell>
          <cell r="H1427" t="str">
            <v/>
          </cell>
          <cell r="I1427" t="str">
            <v/>
          </cell>
          <cell r="J1427" t="str">
            <v/>
          </cell>
          <cell r="K1427" t="str">
            <v/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</row>
        <row r="1428">
          <cell r="B1428">
            <v>570110</v>
          </cell>
          <cell r="C1428" t="str">
            <v>NOT USED</v>
          </cell>
          <cell r="D1428" t="str">
            <v>GENERAL RENTS - OTHER</v>
          </cell>
          <cell r="E1428" t="str">
            <v/>
          </cell>
          <cell r="F1428" t="str">
            <v/>
          </cell>
          <cell r="G1428" t="str">
            <v/>
          </cell>
          <cell r="H1428" t="str">
            <v/>
          </cell>
          <cell r="I1428" t="str">
            <v/>
          </cell>
          <cell r="J1428" t="str">
            <v/>
          </cell>
          <cell r="K1428" t="str">
            <v/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</row>
        <row r="1429">
          <cell r="B1429">
            <v>570120</v>
          </cell>
          <cell r="C1429" t="str">
            <v>NOT USED</v>
          </cell>
          <cell r="D1429" t="str">
            <v>POLE ATTACHMENT EXP</v>
          </cell>
          <cell r="E1429" t="str">
            <v/>
          </cell>
          <cell r="F1429" t="str">
            <v/>
          </cell>
          <cell r="G1429" t="str">
            <v/>
          </cell>
          <cell r="H1429" t="str">
            <v/>
          </cell>
          <cell r="I1429" t="str">
            <v/>
          </cell>
          <cell r="J1429" t="str">
            <v/>
          </cell>
          <cell r="K1429" t="str">
            <v/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</row>
        <row r="1430">
          <cell r="B1430">
            <v>570199</v>
          </cell>
          <cell r="C1430" t="str">
            <v>NOT USED</v>
          </cell>
          <cell r="D1430" t="str">
            <v>RENT EXPENSE - EQUIPMENT  INTERCOMPANY</v>
          </cell>
          <cell r="E1430" t="str">
            <v/>
          </cell>
          <cell r="F1430" t="str">
            <v/>
          </cell>
          <cell r="G1430" t="str">
            <v/>
          </cell>
          <cell r="H1430" t="str">
            <v/>
          </cell>
          <cell r="I1430" t="str">
            <v/>
          </cell>
          <cell r="J1430" t="str">
            <v/>
          </cell>
          <cell r="K1430" t="str">
            <v/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</row>
        <row r="1431">
          <cell r="B1431">
            <v>570200</v>
          </cell>
          <cell r="C1431" t="str">
            <v>NOT USED</v>
          </cell>
          <cell r="D1431" t="str">
            <v>LEASES - BUILDINGS</v>
          </cell>
          <cell r="E1431" t="str">
            <v/>
          </cell>
          <cell r="F1431" t="str">
            <v/>
          </cell>
          <cell r="G1431" t="str">
            <v/>
          </cell>
          <cell r="H1431" t="str">
            <v/>
          </cell>
          <cell r="I1431" t="str">
            <v/>
          </cell>
          <cell r="J1431" t="str">
            <v/>
          </cell>
          <cell r="K1431" t="str">
            <v/>
          </cell>
          <cell r="L1431">
            <v>3465.1965599999999</v>
          </cell>
          <cell r="M1431">
            <v>289.13207999999997</v>
          </cell>
          <cell r="N1431">
            <v>576.77233999999999</v>
          </cell>
          <cell r="O1431">
            <v>869.04624000000001</v>
          </cell>
          <cell r="P1431">
            <v>1158.4520500000001</v>
          </cell>
          <cell r="Q1431">
            <v>1447.8118899999999</v>
          </cell>
          <cell r="R1431">
            <v>1739.5863099999999</v>
          </cell>
          <cell r="S1431">
            <v>2035.21604</v>
          </cell>
          <cell r="T1431">
            <v>2324.6765999999998</v>
          </cell>
          <cell r="U1431">
            <v>2638.6921600000001</v>
          </cell>
          <cell r="V1431">
            <v>2976.4682699999998</v>
          </cell>
          <cell r="W1431">
            <v>3307.07683</v>
          </cell>
          <cell r="X1431">
            <v>3606.4180500000002</v>
          </cell>
          <cell r="Y1431">
            <v>1908.2281760000001</v>
          </cell>
        </row>
        <row r="1432">
          <cell r="B1432">
            <v>570210</v>
          </cell>
          <cell r="C1432" t="str">
            <v>NOT USED</v>
          </cell>
          <cell r="D1432" t="str">
            <v>LEASES - OTHER</v>
          </cell>
          <cell r="E1432" t="str">
            <v/>
          </cell>
          <cell r="F1432" t="str">
            <v/>
          </cell>
          <cell r="G1432" t="str">
            <v/>
          </cell>
          <cell r="H1432" t="str">
            <v/>
          </cell>
          <cell r="I1432" t="str">
            <v/>
          </cell>
          <cell r="J1432" t="str">
            <v/>
          </cell>
          <cell r="K1432" t="str">
            <v/>
          </cell>
          <cell r="L1432">
            <v>2233.6166600000001</v>
          </cell>
          <cell r="M1432">
            <v>41.32367</v>
          </cell>
          <cell r="N1432">
            <v>168.8049</v>
          </cell>
          <cell r="O1432">
            <v>803.31691999999998</v>
          </cell>
          <cell r="P1432">
            <v>788.30321000000004</v>
          </cell>
          <cell r="Q1432">
            <v>901.42714000000001</v>
          </cell>
          <cell r="R1432">
            <v>980.96631000000002</v>
          </cell>
          <cell r="S1432">
            <v>1044.9553000000001</v>
          </cell>
          <cell r="T1432">
            <v>1124.17473</v>
          </cell>
          <cell r="U1432">
            <v>1152.6845000000001</v>
          </cell>
          <cell r="V1432">
            <v>1225.4657299999999</v>
          </cell>
          <cell r="W1432">
            <v>1264.4345599999999</v>
          </cell>
          <cell r="X1432">
            <v>2069.0294699999999</v>
          </cell>
          <cell r="Y1432">
            <v>970.59833600000002</v>
          </cell>
        </row>
        <row r="1433">
          <cell r="B1433">
            <v>570300</v>
          </cell>
          <cell r="C1433" t="str">
            <v>NOT USED</v>
          </cell>
          <cell r="D1433" t="str">
            <v>INSURANCE - EXCLUDE NUCLEAR</v>
          </cell>
          <cell r="E1433" t="str">
            <v/>
          </cell>
          <cell r="F1433" t="str">
            <v/>
          </cell>
          <cell r="G1433" t="str">
            <v/>
          </cell>
          <cell r="H1433" t="str">
            <v/>
          </cell>
          <cell r="I1433" t="str">
            <v/>
          </cell>
          <cell r="J1433" t="str">
            <v/>
          </cell>
          <cell r="K1433" t="str">
            <v/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</row>
        <row r="1434">
          <cell r="B1434">
            <v>570310</v>
          </cell>
          <cell r="C1434" t="str">
            <v>NOT USED</v>
          </cell>
          <cell r="D1434" t="str">
            <v>INSURANCE - NUCLEAR</v>
          </cell>
          <cell r="E1434" t="str">
            <v/>
          </cell>
          <cell r="F1434" t="str">
            <v/>
          </cell>
          <cell r="G1434" t="str">
            <v/>
          </cell>
          <cell r="H1434" t="str">
            <v/>
          </cell>
          <cell r="I1434" t="str">
            <v/>
          </cell>
          <cell r="J1434" t="str">
            <v/>
          </cell>
          <cell r="K1434" t="str">
            <v/>
          </cell>
          <cell r="L1434">
            <v>-161.20427000000001</v>
          </cell>
          <cell r="M1434">
            <v>0</v>
          </cell>
          <cell r="N1434">
            <v>36.980969999999999</v>
          </cell>
          <cell r="O1434">
            <v>-1397.39903</v>
          </cell>
          <cell r="P1434">
            <v>-1412.1153400000001</v>
          </cell>
          <cell r="Q1434">
            <v>-1426.8316500000001</v>
          </cell>
          <cell r="R1434">
            <v>-1412.1153400000001</v>
          </cell>
          <cell r="S1434">
            <v>-1412.1153400000001</v>
          </cell>
          <cell r="T1434">
            <v>-1583.36474</v>
          </cell>
          <cell r="U1434">
            <v>-1609.51522</v>
          </cell>
          <cell r="V1434">
            <v>-1609.51522</v>
          </cell>
          <cell r="W1434">
            <v>-1609.51522</v>
          </cell>
          <cell r="X1434">
            <v>-1609.51522</v>
          </cell>
          <cell r="Y1434">
            <v>-1193.4054900000001</v>
          </cell>
        </row>
        <row r="1435">
          <cell r="B1435">
            <v>570400</v>
          </cell>
          <cell r="C1435" t="str">
            <v>NOT USED</v>
          </cell>
          <cell r="D1435" t="str">
            <v>INJURY &amp; DAMAGES</v>
          </cell>
          <cell r="E1435" t="str">
            <v/>
          </cell>
          <cell r="F1435" t="str">
            <v/>
          </cell>
          <cell r="G1435" t="str">
            <v/>
          </cell>
          <cell r="H1435" t="str">
            <v/>
          </cell>
          <cell r="I1435" t="str">
            <v/>
          </cell>
          <cell r="J1435" t="str">
            <v/>
          </cell>
          <cell r="K1435" t="str">
            <v/>
          </cell>
          <cell r="L1435">
            <v>227.16698</v>
          </cell>
          <cell r="M1435">
            <v>-1.49183</v>
          </cell>
          <cell r="N1435">
            <v>48.792969999999997</v>
          </cell>
          <cell r="O1435">
            <v>54.894730000000003</v>
          </cell>
          <cell r="P1435">
            <v>77.883049999999997</v>
          </cell>
          <cell r="Q1435">
            <v>96.554760000000002</v>
          </cell>
          <cell r="R1435">
            <v>185.93397999999999</v>
          </cell>
          <cell r="S1435">
            <v>193.05342999999999</v>
          </cell>
          <cell r="T1435">
            <v>357.30962</v>
          </cell>
          <cell r="U1435">
            <v>370.23581000000001</v>
          </cell>
          <cell r="V1435">
            <v>385.37849</v>
          </cell>
          <cell r="W1435">
            <v>433.19549999999998</v>
          </cell>
          <cell r="X1435">
            <v>547.66827000000001</v>
          </cell>
          <cell r="Y1435">
            <v>215.76317800000001</v>
          </cell>
        </row>
        <row r="1436">
          <cell r="B1436">
            <v>570401</v>
          </cell>
          <cell r="C1436" t="str">
            <v>NOT USED</v>
          </cell>
          <cell r="D1436" t="str">
            <v>INJURY &amp; DAMAGES - EEMC HC ALLOCATION-RGE</v>
          </cell>
          <cell r="E1436" t="str">
            <v/>
          </cell>
          <cell r="F1436" t="str">
            <v/>
          </cell>
          <cell r="G1436" t="str">
            <v/>
          </cell>
          <cell r="H1436" t="str">
            <v/>
          </cell>
          <cell r="I1436" t="str">
            <v/>
          </cell>
          <cell r="J1436" t="str">
            <v/>
          </cell>
          <cell r="K1436" t="str">
            <v/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</row>
        <row r="1437">
          <cell r="B1437">
            <v>570402</v>
          </cell>
          <cell r="C1437" t="str">
            <v>NOT USED</v>
          </cell>
          <cell r="D1437" t="str">
            <v>INJURY &amp; DAMAGES - RESERVE</v>
          </cell>
          <cell r="E1437" t="str">
            <v/>
          </cell>
          <cell r="F1437" t="str">
            <v/>
          </cell>
          <cell r="G1437" t="str">
            <v/>
          </cell>
          <cell r="H1437" t="str">
            <v/>
          </cell>
          <cell r="I1437" t="str">
            <v/>
          </cell>
          <cell r="J1437" t="str">
            <v/>
          </cell>
          <cell r="K1437" t="str">
            <v/>
          </cell>
          <cell r="L1437">
            <v>200</v>
          </cell>
          <cell r="M1437">
            <v>0</v>
          </cell>
          <cell r="N1437">
            <v>0</v>
          </cell>
          <cell r="O1437">
            <v>0</v>
          </cell>
          <cell r="P1437">
            <v>-650</v>
          </cell>
          <cell r="Q1437">
            <v>-650</v>
          </cell>
          <cell r="R1437">
            <v>-650</v>
          </cell>
          <cell r="S1437">
            <v>-450</v>
          </cell>
          <cell r="T1437">
            <v>-600</v>
          </cell>
          <cell r="U1437">
            <v>-600</v>
          </cell>
          <cell r="V1437">
            <v>-600</v>
          </cell>
          <cell r="W1437">
            <v>-600</v>
          </cell>
          <cell r="X1437">
            <v>-800</v>
          </cell>
          <cell r="Y1437">
            <v>-425</v>
          </cell>
        </row>
        <row r="1438">
          <cell r="B1438">
            <v>570500</v>
          </cell>
          <cell r="C1438" t="str">
            <v>NOT USED</v>
          </cell>
          <cell r="D1438" t="str">
            <v>INSURANCE - PROPERTY</v>
          </cell>
          <cell r="E1438" t="str">
            <v/>
          </cell>
          <cell r="F1438" t="str">
            <v/>
          </cell>
          <cell r="G1438" t="str">
            <v/>
          </cell>
          <cell r="H1438" t="str">
            <v/>
          </cell>
          <cell r="I1438" t="str">
            <v/>
          </cell>
          <cell r="J1438" t="str">
            <v/>
          </cell>
          <cell r="K1438" t="str">
            <v/>
          </cell>
          <cell r="L1438">
            <v>567.02895999999998</v>
          </cell>
          <cell r="M1438">
            <v>48.577860000000001</v>
          </cell>
          <cell r="N1438">
            <v>97.155720000000002</v>
          </cell>
          <cell r="O1438">
            <v>145.70354</v>
          </cell>
          <cell r="P1438">
            <v>194.28139999999999</v>
          </cell>
          <cell r="Q1438">
            <v>242.85926000000001</v>
          </cell>
          <cell r="R1438">
            <v>291.63404000000003</v>
          </cell>
          <cell r="S1438">
            <v>324.83873999999997</v>
          </cell>
          <cell r="T1438">
            <v>365.82848999999999</v>
          </cell>
          <cell r="U1438">
            <v>406.81823000000003</v>
          </cell>
          <cell r="V1438">
            <v>447.80797999999999</v>
          </cell>
          <cell r="W1438">
            <v>488.79773</v>
          </cell>
          <cell r="X1438">
            <v>529.78747999999996</v>
          </cell>
          <cell r="Y1438">
            <v>300.225934</v>
          </cell>
        </row>
        <row r="1439">
          <cell r="B1439">
            <v>570510</v>
          </cell>
          <cell r="C1439" t="str">
            <v>NOT USED</v>
          </cell>
          <cell r="D1439" t="str">
            <v>INSURANCE - NON-PROPERTY</v>
          </cell>
          <cell r="E1439" t="str">
            <v/>
          </cell>
          <cell r="F1439" t="str">
            <v/>
          </cell>
          <cell r="G1439" t="str">
            <v/>
          </cell>
          <cell r="H1439" t="str">
            <v/>
          </cell>
          <cell r="I1439" t="str">
            <v/>
          </cell>
          <cell r="J1439" t="str">
            <v/>
          </cell>
          <cell r="K1439" t="str">
            <v/>
          </cell>
          <cell r="L1439">
            <v>1141.3885399999999</v>
          </cell>
          <cell r="M1439">
            <v>101.70738</v>
          </cell>
          <cell r="N1439">
            <v>203.41476</v>
          </cell>
          <cell r="O1439">
            <v>305.12209000000001</v>
          </cell>
          <cell r="P1439">
            <v>417.99547999999999</v>
          </cell>
          <cell r="Q1439">
            <v>516.73068000000001</v>
          </cell>
          <cell r="R1439">
            <v>617.91815999999994</v>
          </cell>
          <cell r="S1439">
            <v>725.91048999999998</v>
          </cell>
          <cell r="T1439">
            <v>841.20653000000004</v>
          </cell>
          <cell r="U1439">
            <v>944.22256000000004</v>
          </cell>
          <cell r="V1439">
            <v>999.60756000000003</v>
          </cell>
          <cell r="W1439">
            <v>1093.33412</v>
          </cell>
          <cell r="X1439">
            <v>1241.1722600000001</v>
          </cell>
          <cell r="Y1439">
            <v>663.20418400000005</v>
          </cell>
        </row>
        <row r="1440">
          <cell r="B1440">
            <v>580102</v>
          </cell>
          <cell r="C1440" t="str">
            <v>NOT USED</v>
          </cell>
          <cell r="D1440" t="str">
            <v>AMORT-REG ASSET (DEBIT)-EL OP EXP(COST TO ACHIEVE</v>
          </cell>
          <cell r="E1440" t="str">
            <v/>
          </cell>
          <cell r="F1440" t="str">
            <v/>
          </cell>
          <cell r="G1440" t="str">
            <v/>
          </cell>
          <cell r="H1440" t="str">
            <v/>
          </cell>
          <cell r="I1440" t="str">
            <v/>
          </cell>
          <cell r="J1440" t="str">
            <v/>
          </cell>
          <cell r="K1440" t="str">
            <v/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</row>
        <row r="1441">
          <cell r="B1441">
            <v>580104</v>
          </cell>
          <cell r="C1441" t="str">
            <v>NOT USED</v>
          </cell>
          <cell r="D1441" t="str">
            <v>AMORT-REG ASSET (DEBIT)-ELECTRIC PURCHASED POWER</v>
          </cell>
          <cell r="E1441" t="str">
            <v/>
          </cell>
          <cell r="F1441" t="str">
            <v/>
          </cell>
          <cell r="G1441" t="str">
            <v/>
          </cell>
          <cell r="H1441" t="str">
            <v/>
          </cell>
          <cell r="I1441" t="str">
            <v/>
          </cell>
          <cell r="J1441" t="str">
            <v/>
          </cell>
          <cell r="K1441" t="str">
            <v/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</row>
        <row r="1442">
          <cell r="B1442">
            <v>580106</v>
          </cell>
          <cell r="C1442" t="str">
            <v>NOT USED</v>
          </cell>
          <cell r="D1442" t="str">
            <v>AMORT-REG LIAB (CR)-FERC 407.4 (GAAP REVENUE)-ELE</v>
          </cell>
          <cell r="E1442" t="str">
            <v/>
          </cell>
          <cell r="F1442" t="str">
            <v/>
          </cell>
          <cell r="G1442" t="str">
            <v/>
          </cell>
          <cell r="H1442" t="str">
            <v/>
          </cell>
          <cell r="I1442" t="str">
            <v/>
          </cell>
          <cell r="J1442" t="str">
            <v/>
          </cell>
          <cell r="K1442" t="str">
            <v/>
          </cell>
          <cell r="L1442">
            <v>-1139.8578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-47.494075000000002</v>
          </cell>
        </row>
        <row r="1443">
          <cell r="B1443">
            <v>580107</v>
          </cell>
          <cell r="C1443" t="str">
            <v>NOT USED</v>
          </cell>
          <cell r="D1443" t="str">
            <v>AMORT-REG LIAB (CREDIT)-ELECTRIC PBA</v>
          </cell>
          <cell r="E1443" t="str">
            <v/>
          </cell>
          <cell r="F1443" t="str">
            <v/>
          </cell>
          <cell r="G1443" t="str">
            <v/>
          </cell>
          <cell r="H1443" t="str">
            <v/>
          </cell>
          <cell r="I1443" t="str">
            <v/>
          </cell>
          <cell r="J1443" t="str">
            <v/>
          </cell>
          <cell r="K1443" t="str">
            <v/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-3333.3333200000002</v>
          </cell>
          <cell r="Q1443">
            <v>-4166.6666500000001</v>
          </cell>
          <cell r="R1443">
            <v>-4999.9999799999996</v>
          </cell>
          <cell r="S1443">
            <v>-5833.33331</v>
          </cell>
          <cell r="T1443">
            <v>-6666.6666400000004</v>
          </cell>
          <cell r="U1443">
            <v>-7083.33331</v>
          </cell>
          <cell r="V1443">
            <v>-7499.9999799999996</v>
          </cell>
          <cell r="W1443">
            <v>-7916.6666500000001</v>
          </cell>
          <cell r="X1443">
            <v>-8333.3333199999997</v>
          </cell>
          <cell r="Y1443">
            <v>-4305.5555420000001</v>
          </cell>
        </row>
        <row r="1444">
          <cell r="B1444">
            <v>580108</v>
          </cell>
          <cell r="C1444" t="str">
            <v>NOT USED</v>
          </cell>
          <cell r="D1444" t="str">
            <v>AMORT-REG LIAB (CREDIT)-ELECTRIC OPERATING EXPENS</v>
          </cell>
          <cell r="E1444" t="str">
            <v/>
          </cell>
          <cell r="F1444" t="str">
            <v/>
          </cell>
          <cell r="G1444" t="str">
            <v/>
          </cell>
          <cell r="H1444" t="str">
            <v/>
          </cell>
          <cell r="I1444" t="str">
            <v/>
          </cell>
          <cell r="J1444" t="str">
            <v/>
          </cell>
          <cell r="K1444" t="str">
            <v/>
          </cell>
          <cell r="L1444">
            <v>-28842.133419999998</v>
          </cell>
          <cell r="M1444">
            <v>-960.53332999999998</v>
          </cell>
          <cell r="N1444">
            <v>-1921.06666</v>
          </cell>
          <cell r="O1444">
            <v>-2881.5999900000002</v>
          </cell>
          <cell r="P1444">
            <v>-508.8</v>
          </cell>
          <cell r="Q1444">
            <v>-636</v>
          </cell>
          <cell r="R1444">
            <v>-763.2</v>
          </cell>
          <cell r="S1444">
            <v>-890.4</v>
          </cell>
          <cell r="T1444">
            <v>-1017.6</v>
          </cell>
          <cell r="U1444">
            <v>-1144.8</v>
          </cell>
          <cell r="V1444">
            <v>-1272</v>
          </cell>
          <cell r="W1444">
            <v>-1399.2</v>
          </cell>
          <cell r="X1444">
            <v>-1526.4</v>
          </cell>
          <cell r="Y1444">
            <v>-2381.6222240000002</v>
          </cell>
        </row>
        <row r="1445">
          <cell r="B1445">
            <v>580110</v>
          </cell>
          <cell r="C1445" t="str">
            <v>NOT USED</v>
          </cell>
          <cell r="D1445" t="str">
            <v>AMORT - ICE STORM</v>
          </cell>
          <cell r="E1445" t="str">
            <v/>
          </cell>
          <cell r="F1445" t="str">
            <v/>
          </cell>
          <cell r="G1445" t="str">
            <v/>
          </cell>
          <cell r="H1445" t="str">
            <v/>
          </cell>
          <cell r="I1445" t="str">
            <v/>
          </cell>
          <cell r="J1445" t="str">
            <v/>
          </cell>
          <cell r="K1445" t="str">
            <v/>
          </cell>
          <cell r="L1445">
            <v>20710.56655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862.94027300000005</v>
          </cell>
        </row>
        <row r="1446">
          <cell r="B1446">
            <v>580112</v>
          </cell>
          <cell r="C1446" t="str">
            <v>NOT USED</v>
          </cell>
          <cell r="D1446" t="str">
            <v>AMORT-REG ASSET (DEBIT)-GS OP EXP(COST TO ACHIEVE</v>
          </cell>
          <cell r="E1446" t="str">
            <v/>
          </cell>
          <cell r="F1446" t="str">
            <v/>
          </cell>
          <cell r="G1446" t="str">
            <v/>
          </cell>
          <cell r="H1446" t="str">
            <v/>
          </cell>
          <cell r="I1446" t="str">
            <v/>
          </cell>
          <cell r="J1446" t="str">
            <v/>
          </cell>
          <cell r="K1446" t="str">
            <v/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</row>
        <row r="1447">
          <cell r="B1447">
            <v>580116</v>
          </cell>
          <cell r="C1447" t="str">
            <v>NOT USED</v>
          </cell>
          <cell r="D1447" t="str">
            <v>AMORT-REG LIAB (CREDIT)-GAS OPERATING REVENUE</v>
          </cell>
          <cell r="E1447" t="str">
            <v/>
          </cell>
          <cell r="F1447" t="str">
            <v/>
          </cell>
          <cell r="G1447" t="str">
            <v/>
          </cell>
          <cell r="H1447" t="str">
            <v/>
          </cell>
          <cell r="I1447" t="str">
            <v/>
          </cell>
          <cell r="J1447" t="str">
            <v/>
          </cell>
          <cell r="K1447" t="str">
            <v/>
          </cell>
          <cell r="L1447">
            <v>-809.40548999999999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-33.725228999999999</v>
          </cell>
        </row>
        <row r="1448">
          <cell r="B1448">
            <v>580117</v>
          </cell>
          <cell r="C1448" t="str">
            <v>NOT USED</v>
          </cell>
          <cell r="D1448" t="str">
            <v>AMORT-REG LIAB (CREDIT)-GAS PBA</v>
          </cell>
          <cell r="E1448" t="str">
            <v/>
          </cell>
          <cell r="F1448" t="str">
            <v/>
          </cell>
          <cell r="G1448" t="str">
            <v/>
          </cell>
          <cell r="H1448" t="str">
            <v/>
          </cell>
          <cell r="I1448" t="str">
            <v/>
          </cell>
          <cell r="J1448" t="str">
            <v/>
          </cell>
          <cell r="K1448" t="str">
            <v/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-5666.6666800000003</v>
          </cell>
          <cell r="Q1448">
            <v>-7083.3333499999999</v>
          </cell>
          <cell r="R1448">
            <v>-8500.0000199999995</v>
          </cell>
          <cell r="S1448">
            <v>-9916.66669</v>
          </cell>
          <cell r="T1448">
            <v>-11333.333360000001</v>
          </cell>
          <cell r="U1448">
            <v>-12195.833360000001</v>
          </cell>
          <cell r="V1448">
            <v>-13058.333360000001</v>
          </cell>
          <cell r="W1448">
            <v>-13920.833360000001</v>
          </cell>
          <cell r="X1448">
            <v>-14783.333360000001</v>
          </cell>
          <cell r="Y1448">
            <v>-7422.2222380000003</v>
          </cell>
        </row>
        <row r="1449">
          <cell r="B1449">
            <v>580118</v>
          </cell>
          <cell r="C1449" t="str">
            <v>NOT USED</v>
          </cell>
          <cell r="D1449" t="str">
            <v>AMORT-REG LIAB (CREDIT)-GAS OPERATING EXPENSE</v>
          </cell>
          <cell r="E1449" t="str">
            <v/>
          </cell>
          <cell r="F1449" t="str">
            <v/>
          </cell>
          <cell r="G1449" t="str">
            <v/>
          </cell>
          <cell r="H1449" t="str">
            <v/>
          </cell>
          <cell r="I1449" t="str">
            <v/>
          </cell>
          <cell r="J1449" t="str">
            <v/>
          </cell>
          <cell r="K1449" t="str">
            <v/>
          </cell>
          <cell r="L1449">
            <v>-5885.7454799999996</v>
          </cell>
          <cell r="M1449">
            <v>-1471.4363699999999</v>
          </cell>
          <cell r="N1449">
            <v>-2942.8727399999998</v>
          </cell>
          <cell r="O1449">
            <v>-4414.3091100000001</v>
          </cell>
          <cell r="P1449">
            <v>-219.0788</v>
          </cell>
          <cell r="Q1449">
            <v>-273.8485</v>
          </cell>
          <cell r="R1449">
            <v>-328.6182</v>
          </cell>
          <cell r="S1449">
            <v>-383.3879</v>
          </cell>
          <cell r="T1449">
            <v>-438.1576</v>
          </cell>
          <cell r="U1449">
            <v>-492.9273</v>
          </cell>
          <cell r="V1449">
            <v>-547.697</v>
          </cell>
          <cell r="W1449">
            <v>-602.46669999999995</v>
          </cell>
          <cell r="X1449">
            <v>-657.2364</v>
          </cell>
          <cell r="Y1449">
            <v>-1282.19093</v>
          </cell>
        </row>
        <row r="1450">
          <cell r="B1450">
            <v>580122</v>
          </cell>
          <cell r="C1450" t="str">
            <v>NOT USED</v>
          </cell>
          <cell r="D1450" t="str">
            <v>AMORT-ELEC PURCHASED POWER AMORTIZATION</v>
          </cell>
          <cell r="E1450" t="str">
            <v/>
          </cell>
          <cell r="F1450" t="str">
            <v/>
          </cell>
          <cell r="G1450" t="str">
            <v/>
          </cell>
          <cell r="H1450" t="str">
            <v/>
          </cell>
          <cell r="I1450" t="str">
            <v/>
          </cell>
          <cell r="J1450" t="str">
            <v/>
          </cell>
          <cell r="K1450" t="str">
            <v/>
          </cell>
          <cell r="L1450">
            <v>10068.737719999999</v>
          </cell>
          <cell r="M1450">
            <v>980.18443000000002</v>
          </cell>
          <cell r="N1450">
            <v>1960.36886</v>
          </cell>
          <cell r="O1450">
            <v>2940.5532899999998</v>
          </cell>
          <cell r="P1450">
            <v>3920.7377200000001</v>
          </cell>
          <cell r="Q1450">
            <v>4900.9221500000003</v>
          </cell>
          <cell r="R1450">
            <v>5881.1065799999997</v>
          </cell>
          <cell r="S1450">
            <v>6861.2910099999999</v>
          </cell>
          <cell r="T1450">
            <v>7841.4754400000002</v>
          </cell>
          <cell r="U1450">
            <v>8821.6598699999995</v>
          </cell>
          <cell r="V1450">
            <v>9801.8443000000007</v>
          </cell>
          <cell r="W1450">
            <v>10782.02873</v>
          </cell>
          <cell r="X1450">
            <v>11762.213159999999</v>
          </cell>
          <cell r="Y1450">
            <v>6300.6373180000001</v>
          </cell>
        </row>
        <row r="1451">
          <cell r="B1451">
            <v>580123</v>
          </cell>
          <cell r="C1451" t="str">
            <v>NOT USED</v>
          </cell>
          <cell r="D1451" t="str">
            <v>AMORT-ELECTRIC O&amp;M AMORTIZATION</v>
          </cell>
          <cell r="E1451" t="str">
            <v/>
          </cell>
          <cell r="F1451" t="str">
            <v/>
          </cell>
          <cell r="G1451" t="str">
            <v/>
          </cell>
          <cell r="H1451" t="str">
            <v/>
          </cell>
          <cell r="I1451" t="str">
            <v/>
          </cell>
          <cell r="J1451" t="str">
            <v/>
          </cell>
          <cell r="K1451" t="str">
            <v/>
          </cell>
          <cell r="L1451">
            <v>488.50380000000001</v>
          </cell>
          <cell r="M1451">
            <v>105.57595000000001</v>
          </cell>
          <cell r="N1451">
            <v>211.15190000000001</v>
          </cell>
          <cell r="O1451">
            <v>316.72784999999999</v>
          </cell>
          <cell r="P1451">
            <v>422.30380000000002</v>
          </cell>
          <cell r="Q1451">
            <v>527.87974999999994</v>
          </cell>
          <cell r="R1451">
            <v>633.45569999999998</v>
          </cell>
          <cell r="S1451">
            <v>739.03165000000001</v>
          </cell>
          <cell r="T1451">
            <v>844.60760000000005</v>
          </cell>
          <cell r="U1451">
            <v>950.18354999999997</v>
          </cell>
          <cell r="V1451">
            <v>1055.7594999999999</v>
          </cell>
          <cell r="W1451">
            <v>1161.33545</v>
          </cell>
          <cell r="X1451">
            <v>1266.9114</v>
          </cell>
          <cell r="Y1451">
            <v>653.810025</v>
          </cell>
        </row>
        <row r="1452">
          <cell r="B1452">
            <v>580126</v>
          </cell>
          <cell r="C1452" t="str">
            <v>NOT USED</v>
          </cell>
          <cell r="D1452" t="str">
            <v>AMORT-GAS O&amp;M AMORTIZATION</v>
          </cell>
          <cell r="E1452" t="str">
            <v/>
          </cell>
          <cell r="F1452" t="str">
            <v/>
          </cell>
          <cell r="G1452" t="str">
            <v/>
          </cell>
          <cell r="H1452" t="str">
            <v/>
          </cell>
          <cell r="I1452" t="str">
            <v/>
          </cell>
          <cell r="J1452" t="str">
            <v/>
          </cell>
          <cell r="K1452" t="str">
            <v/>
          </cell>
          <cell r="L1452">
            <v>246.11160000000001</v>
          </cell>
          <cell r="M1452">
            <v>54.5779</v>
          </cell>
          <cell r="N1452">
            <v>109.1558</v>
          </cell>
          <cell r="O1452">
            <v>163.7337</v>
          </cell>
          <cell r="P1452">
            <v>218.3116</v>
          </cell>
          <cell r="Q1452">
            <v>272.8895</v>
          </cell>
          <cell r="R1452">
            <v>327.4674</v>
          </cell>
          <cell r="S1452">
            <v>382.0453</v>
          </cell>
          <cell r="T1452">
            <v>436.6232</v>
          </cell>
          <cell r="U1452">
            <v>491.2011</v>
          </cell>
          <cell r="V1452">
            <v>545.779</v>
          </cell>
          <cell r="W1452">
            <v>600.3569</v>
          </cell>
          <cell r="X1452">
            <v>654.9348</v>
          </cell>
          <cell r="Y1452">
            <v>337.72205000000002</v>
          </cell>
        </row>
        <row r="1453">
          <cell r="B1453">
            <v>580128</v>
          </cell>
          <cell r="C1453" t="str">
            <v>NOT USED</v>
          </cell>
          <cell r="D1453" t="str">
            <v>AMORTIZATION-ELECTRIC LABOR</v>
          </cell>
          <cell r="E1453" t="str">
            <v/>
          </cell>
          <cell r="F1453" t="str">
            <v/>
          </cell>
          <cell r="G1453" t="str">
            <v/>
          </cell>
          <cell r="H1453" t="str">
            <v/>
          </cell>
          <cell r="I1453" t="str">
            <v/>
          </cell>
          <cell r="J1453" t="str">
            <v/>
          </cell>
          <cell r="K1453" t="str">
            <v/>
          </cell>
          <cell r="L1453">
            <v>471</v>
          </cell>
          <cell r="M1453">
            <v>117.75</v>
          </cell>
          <cell r="N1453">
            <v>235.5</v>
          </cell>
          <cell r="O1453">
            <v>353.25</v>
          </cell>
          <cell r="P1453">
            <v>471</v>
          </cell>
          <cell r="Q1453">
            <v>588.75</v>
          </cell>
          <cell r="R1453">
            <v>706.5</v>
          </cell>
          <cell r="S1453">
            <v>824.25</v>
          </cell>
          <cell r="T1453">
            <v>942</v>
          </cell>
          <cell r="U1453">
            <v>1059.75</v>
          </cell>
          <cell r="V1453">
            <v>1177.5</v>
          </cell>
          <cell r="W1453">
            <v>1295.25</v>
          </cell>
          <cell r="X1453">
            <v>1413</v>
          </cell>
          <cell r="Y1453">
            <v>726.125</v>
          </cell>
        </row>
        <row r="1454">
          <cell r="B1454">
            <v>580129</v>
          </cell>
          <cell r="C1454" t="str">
            <v>NOT USED</v>
          </cell>
          <cell r="D1454" t="str">
            <v>AMORTIZATION-GAS LABOR</v>
          </cell>
          <cell r="E1454" t="str">
            <v/>
          </cell>
          <cell r="F1454" t="str">
            <v/>
          </cell>
          <cell r="G1454" t="str">
            <v/>
          </cell>
          <cell r="H1454" t="str">
            <v/>
          </cell>
          <cell r="I1454" t="str">
            <v/>
          </cell>
          <cell r="J1454" t="str">
            <v/>
          </cell>
          <cell r="K1454" t="str">
            <v/>
          </cell>
          <cell r="L1454">
            <v>211</v>
          </cell>
          <cell r="M1454">
            <v>52.75</v>
          </cell>
          <cell r="N1454">
            <v>105.5</v>
          </cell>
          <cell r="O1454">
            <v>158.25</v>
          </cell>
          <cell r="P1454">
            <v>211</v>
          </cell>
          <cell r="Q1454">
            <v>263.75</v>
          </cell>
          <cell r="R1454">
            <v>316.5</v>
          </cell>
          <cell r="S1454">
            <v>369.25</v>
          </cell>
          <cell r="T1454">
            <v>422</v>
          </cell>
          <cell r="U1454">
            <v>474.75</v>
          </cell>
          <cell r="V1454">
            <v>527.5</v>
          </cell>
          <cell r="W1454">
            <v>580.25</v>
          </cell>
          <cell r="X1454">
            <v>633</v>
          </cell>
          <cell r="Y1454">
            <v>325.29166700000002</v>
          </cell>
        </row>
        <row r="1455">
          <cell r="B1455">
            <v>580135</v>
          </cell>
          <cell r="C1455" t="str">
            <v>NOT USED</v>
          </cell>
          <cell r="D1455" t="str">
            <v>AMORT - OSWEGO 6</v>
          </cell>
          <cell r="E1455" t="str">
            <v/>
          </cell>
          <cell r="F1455" t="str">
            <v/>
          </cell>
          <cell r="G1455" t="str">
            <v/>
          </cell>
          <cell r="H1455" t="str">
            <v/>
          </cell>
          <cell r="I1455" t="str">
            <v/>
          </cell>
          <cell r="J1455" t="str">
            <v/>
          </cell>
          <cell r="K1455" t="str">
            <v/>
          </cell>
          <cell r="L1455">
            <v>6132.2991599999996</v>
          </cell>
          <cell r="M1455">
            <v>453.74144999999999</v>
          </cell>
          <cell r="N1455">
            <v>907.48289999999997</v>
          </cell>
          <cell r="O1455">
            <v>1361.22435</v>
          </cell>
          <cell r="P1455">
            <v>1814.9657999999999</v>
          </cell>
          <cell r="Q1455">
            <v>2268.7072499999999</v>
          </cell>
          <cell r="R1455">
            <v>2722.4486999999999</v>
          </cell>
          <cell r="S1455">
            <v>3176.1901499999999</v>
          </cell>
          <cell r="T1455">
            <v>3629.9315999999999</v>
          </cell>
          <cell r="U1455">
            <v>4083.6730499999999</v>
          </cell>
          <cell r="V1455">
            <v>4537.4144999999999</v>
          </cell>
          <cell r="W1455">
            <v>4991.1559500000003</v>
          </cell>
          <cell r="X1455">
            <v>5444.8973999999998</v>
          </cell>
          <cell r="Y1455">
            <v>2977.9611650000002</v>
          </cell>
        </row>
        <row r="1456">
          <cell r="B1456">
            <v>580150</v>
          </cell>
          <cell r="C1456" t="str">
            <v>NOT USED</v>
          </cell>
          <cell r="D1456" t="str">
            <v>AMORT - NUCLEAR FUEL STORAGE COSTS</v>
          </cell>
          <cell r="E1456" t="str">
            <v/>
          </cell>
          <cell r="F1456" t="str">
            <v/>
          </cell>
          <cell r="G1456" t="str">
            <v/>
          </cell>
          <cell r="H1456" t="str">
            <v/>
          </cell>
          <cell r="I1456" t="str">
            <v/>
          </cell>
          <cell r="J1456" t="str">
            <v/>
          </cell>
          <cell r="K1456" t="str">
            <v/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</row>
        <row r="1457">
          <cell r="B1457">
            <v>580160</v>
          </cell>
          <cell r="C1457" t="str">
            <v>NOT USED</v>
          </cell>
          <cell r="D1457" t="str">
            <v>AMORT - CONTRACTOR SETTLEMENT - ELECTRIC</v>
          </cell>
          <cell r="E1457" t="str">
            <v/>
          </cell>
          <cell r="F1457" t="str">
            <v/>
          </cell>
          <cell r="G1457" t="str">
            <v/>
          </cell>
          <cell r="H1457" t="str">
            <v/>
          </cell>
          <cell r="I1457" t="str">
            <v/>
          </cell>
          <cell r="J1457" t="str">
            <v/>
          </cell>
          <cell r="K1457" t="str">
            <v/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</row>
        <row r="1458">
          <cell r="B1458">
            <v>580175</v>
          </cell>
          <cell r="C1458" t="str">
            <v>NOT USED</v>
          </cell>
          <cell r="D1458" t="str">
            <v>AMORT - KAMINE CONTRACT BUYOUT</v>
          </cell>
          <cell r="E1458" t="str">
            <v/>
          </cell>
          <cell r="F1458" t="str">
            <v/>
          </cell>
          <cell r="G1458" t="str">
            <v/>
          </cell>
          <cell r="H1458" t="str">
            <v/>
          </cell>
          <cell r="I1458" t="str">
            <v/>
          </cell>
          <cell r="J1458" t="str">
            <v/>
          </cell>
          <cell r="K1458" t="str">
            <v/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</row>
        <row r="1459">
          <cell r="B1459">
            <v>580180</v>
          </cell>
          <cell r="C1459" t="str">
            <v>NOT USED</v>
          </cell>
          <cell r="D1459" t="str">
            <v>AMORT - NINE MILE 2 SALE</v>
          </cell>
          <cell r="E1459" t="str">
            <v/>
          </cell>
          <cell r="F1459" t="str">
            <v/>
          </cell>
          <cell r="G1459" t="str">
            <v/>
          </cell>
          <cell r="H1459" t="str">
            <v/>
          </cell>
          <cell r="I1459" t="str">
            <v/>
          </cell>
          <cell r="J1459" t="str">
            <v/>
          </cell>
          <cell r="K1459" t="str">
            <v/>
          </cell>
          <cell r="L1459">
            <v>24702.02564</v>
          </cell>
          <cell r="M1459">
            <v>1397.17309</v>
          </cell>
          <cell r="N1459">
            <v>2794.34618</v>
          </cell>
          <cell r="O1459">
            <v>4191.5192699999998</v>
          </cell>
          <cell r="P1459">
            <v>5588.69236</v>
          </cell>
          <cell r="Q1459">
            <v>6985.8654500000002</v>
          </cell>
          <cell r="R1459">
            <v>8383.0385399999996</v>
          </cell>
          <cell r="S1459">
            <v>9780.2116299999998</v>
          </cell>
          <cell r="T1459">
            <v>11177.38472</v>
          </cell>
          <cell r="U1459">
            <v>12574.55781</v>
          </cell>
          <cell r="V1459">
            <v>13971.7309</v>
          </cell>
          <cell r="W1459">
            <v>15368.903990000001</v>
          </cell>
          <cell r="X1459">
            <v>16766.077079999999</v>
          </cell>
          <cell r="Y1459">
            <v>9412.2896079999991</v>
          </cell>
        </row>
        <row r="1460">
          <cell r="B1460">
            <v>580186</v>
          </cell>
          <cell r="C1460" t="str">
            <v>NOT USED</v>
          </cell>
          <cell r="D1460" t="str">
            <v>AMORT-MISC</v>
          </cell>
          <cell r="E1460" t="str">
            <v/>
          </cell>
          <cell r="F1460" t="str">
            <v/>
          </cell>
          <cell r="G1460" t="str">
            <v/>
          </cell>
          <cell r="H1460" t="str">
            <v/>
          </cell>
          <cell r="I1460" t="str">
            <v/>
          </cell>
          <cell r="J1460" t="str">
            <v/>
          </cell>
          <cell r="K1460" t="str">
            <v/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</row>
        <row r="1461">
          <cell r="B1461">
            <v>580190</v>
          </cell>
          <cell r="C1461" t="str">
            <v>NOT USED</v>
          </cell>
          <cell r="D1461" t="str">
            <v>AMORT - WATER RIGHTS</v>
          </cell>
          <cell r="E1461" t="str">
            <v/>
          </cell>
          <cell r="F1461" t="str">
            <v/>
          </cell>
          <cell r="G1461" t="str">
            <v/>
          </cell>
          <cell r="H1461" t="str">
            <v/>
          </cell>
          <cell r="I1461" t="str">
            <v/>
          </cell>
          <cell r="J1461" t="str">
            <v/>
          </cell>
          <cell r="K1461" t="str">
            <v/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</row>
        <row r="1462">
          <cell r="B1462">
            <v>580193</v>
          </cell>
          <cell r="C1462" t="str">
            <v>NOT USED</v>
          </cell>
          <cell r="D1462" t="str">
            <v>AMORTIZATION - MERGER SYNERGIES - ELECTRIC</v>
          </cell>
          <cell r="E1462" t="str">
            <v/>
          </cell>
          <cell r="F1462" t="str">
            <v/>
          </cell>
          <cell r="G1462" t="str">
            <v/>
          </cell>
          <cell r="H1462" t="str">
            <v/>
          </cell>
          <cell r="I1462" t="str">
            <v/>
          </cell>
          <cell r="J1462" t="str">
            <v/>
          </cell>
          <cell r="K1462" t="str">
            <v/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</row>
        <row r="1463">
          <cell r="B1463">
            <v>580194</v>
          </cell>
          <cell r="C1463" t="str">
            <v>NOT USED</v>
          </cell>
          <cell r="D1463" t="str">
            <v>AMORTIZATION - MERGER SYNERGIES - GAS</v>
          </cell>
          <cell r="E1463" t="str">
            <v/>
          </cell>
          <cell r="F1463" t="str">
            <v/>
          </cell>
          <cell r="G1463" t="str">
            <v/>
          </cell>
          <cell r="H1463" t="str">
            <v/>
          </cell>
          <cell r="I1463" t="str">
            <v/>
          </cell>
          <cell r="J1463" t="str">
            <v/>
          </cell>
          <cell r="K1463" t="str">
            <v/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</row>
        <row r="1464">
          <cell r="B1464">
            <v>580200</v>
          </cell>
          <cell r="C1464" t="str">
            <v>NOT USED</v>
          </cell>
          <cell r="D1464" t="str">
            <v>DEPRECIATION EXPENSE - ELECTRIC</v>
          </cell>
          <cell r="E1464" t="str">
            <v/>
          </cell>
          <cell r="F1464" t="str">
            <v/>
          </cell>
          <cell r="G1464" t="str">
            <v/>
          </cell>
          <cell r="H1464" t="str">
            <v/>
          </cell>
          <cell r="I1464" t="str">
            <v/>
          </cell>
          <cell r="J1464" t="str">
            <v/>
          </cell>
          <cell r="K1464" t="str">
            <v/>
          </cell>
          <cell r="L1464">
            <v>34979.186829999999</v>
          </cell>
          <cell r="M1464">
            <v>2464.07251</v>
          </cell>
          <cell r="N1464">
            <v>4932.1823700000004</v>
          </cell>
          <cell r="O1464">
            <v>7412.4551099999999</v>
          </cell>
          <cell r="P1464">
            <v>9895.7039499999992</v>
          </cell>
          <cell r="Q1464">
            <v>12374.74475</v>
          </cell>
          <cell r="R1464">
            <v>14864.30364</v>
          </cell>
          <cell r="S1464">
            <v>17368.370859999999</v>
          </cell>
          <cell r="T1464">
            <v>19896.916369999999</v>
          </cell>
          <cell r="U1464">
            <v>22430.73488</v>
          </cell>
          <cell r="V1464">
            <v>24976.397860000001</v>
          </cell>
          <cell r="W1464">
            <v>27533.70204</v>
          </cell>
          <cell r="X1464">
            <v>30109.406340000001</v>
          </cell>
          <cell r="Y1464">
            <v>16391.156744</v>
          </cell>
        </row>
        <row r="1465">
          <cell r="B1465">
            <v>580205</v>
          </cell>
          <cell r="C1465" t="str">
            <v>NOT USED</v>
          </cell>
          <cell r="D1465" t="str">
            <v>DEPRECIATION EXPENSE - ELECTRIC</v>
          </cell>
          <cell r="E1465" t="str">
            <v/>
          </cell>
          <cell r="F1465" t="str">
            <v/>
          </cell>
          <cell r="G1465" t="str">
            <v/>
          </cell>
          <cell r="H1465" t="str">
            <v/>
          </cell>
          <cell r="I1465" t="str">
            <v/>
          </cell>
          <cell r="J1465" t="str">
            <v/>
          </cell>
          <cell r="K1465" t="str">
            <v/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</row>
        <row r="1466">
          <cell r="B1466">
            <v>580210</v>
          </cell>
          <cell r="C1466" t="str">
            <v>NOT USED</v>
          </cell>
          <cell r="D1466" t="str">
            <v>DEPRECIATION EXPENSE - GAS</v>
          </cell>
          <cell r="E1466" t="str">
            <v/>
          </cell>
          <cell r="F1466" t="str">
            <v/>
          </cell>
          <cell r="G1466" t="str">
            <v/>
          </cell>
          <cell r="H1466" t="str">
            <v/>
          </cell>
          <cell r="I1466" t="str">
            <v/>
          </cell>
          <cell r="J1466" t="str">
            <v/>
          </cell>
          <cell r="K1466" t="str">
            <v/>
          </cell>
          <cell r="L1466">
            <v>15345.144969999999</v>
          </cell>
          <cell r="M1466">
            <v>1358.7408499999999</v>
          </cell>
          <cell r="N1466">
            <v>2714.9684600000001</v>
          </cell>
          <cell r="O1466">
            <v>4076.65445</v>
          </cell>
          <cell r="P1466">
            <v>5440.7655299999997</v>
          </cell>
          <cell r="Q1466">
            <v>6805.4452899999997</v>
          </cell>
          <cell r="R1466">
            <v>8177.1277600000003</v>
          </cell>
          <cell r="S1466">
            <v>9549.5017100000005</v>
          </cell>
          <cell r="T1466">
            <v>10922.645420000001</v>
          </cell>
          <cell r="U1466">
            <v>12303.17088</v>
          </cell>
          <cell r="V1466">
            <v>13687.47443</v>
          </cell>
          <cell r="W1466">
            <v>15079.592259999999</v>
          </cell>
          <cell r="X1466">
            <v>16472.775099999999</v>
          </cell>
          <cell r="Y1466">
            <v>8835.4205899999997</v>
          </cell>
        </row>
        <row r="1467">
          <cell r="B1467">
            <v>580211</v>
          </cell>
          <cell r="C1467" t="str">
            <v>NOT USED</v>
          </cell>
          <cell r="D1467" t="str">
            <v>DEPRECIATION EXPENSE - EEMC HC ALLOCATION-RGE</v>
          </cell>
          <cell r="E1467" t="str">
            <v/>
          </cell>
          <cell r="F1467" t="str">
            <v/>
          </cell>
          <cell r="G1467" t="str">
            <v/>
          </cell>
          <cell r="H1467" t="str">
            <v/>
          </cell>
          <cell r="I1467" t="str">
            <v/>
          </cell>
          <cell r="J1467" t="str">
            <v/>
          </cell>
          <cell r="K1467" t="str">
            <v/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</row>
        <row r="1468">
          <cell r="B1468">
            <v>580215</v>
          </cell>
          <cell r="C1468" t="str">
            <v>NOT USED</v>
          </cell>
          <cell r="D1468" t="str">
            <v>DEPRECIATION EXPENSE - COMMON</v>
          </cell>
          <cell r="E1468" t="str">
            <v/>
          </cell>
          <cell r="F1468" t="str">
            <v/>
          </cell>
          <cell r="G1468" t="str">
            <v/>
          </cell>
          <cell r="H1468" t="str">
            <v/>
          </cell>
          <cell r="I1468" t="str">
            <v/>
          </cell>
          <cell r="J1468" t="str">
            <v/>
          </cell>
          <cell r="K1468" t="str">
            <v/>
          </cell>
          <cell r="L1468">
            <v>4061.4597199999998</v>
          </cell>
          <cell r="M1468">
            <v>334.53649999999999</v>
          </cell>
          <cell r="N1468">
            <v>667.50404000000003</v>
          </cell>
          <cell r="O1468">
            <v>1020.64547</v>
          </cell>
          <cell r="P1468">
            <v>1373.7566099999999</v>
          </cell>
          <cell r="Q1468">
            <v>1763.81511</v>
          </cell>
          <cell r="R1468">
            <v>2122.3045200000001</v>
          </cell>
          <cell r="S1468">
            <v>2480.9427700000001</v>
          </cell>
          <cell r="T1468">
            <v>2839.99163</v>
          </cell>
          <cell r="U1468">
            <v>3199.9954400000001</v>
          </cell>
          <cell r="V1468">
            <v>3559.8253199999999</v>
          </cell>
          <cell r="W1468">
            <v>3914.3258999999998</v>
          </cell>
          <cell r="X1468">
            <v>4260.4888000000001</v>
          </cell>
          <cell r="Y1468">
            <v>2286.5514640000001</v>
          </cell>
        </row>
        <row r="1469">
          <cell r="B1469">
            <v>580220</v>
          </cell>
          <cell r="C1469" t="str">
            <v>NOT USED</v>
          </cell>
          <cell r="D1469" t="str">
            <v>DEPRECIATION EXPENSE - DECOMM-GINNA</v>
          </cell>
          <cell r="E1469" t="str">
            <v/>
          </cell>
          <cell r="F1469" t="str">
            <v/>
          </cell>
          <cell r="G1469" t="str">
            <v/>
          </cell>
          <cell r="H1469" t="str">
            <v/>
          </cell>
          <cell r="I1469" t="str">
            <v/>
          </cell>
          <cell r="J1469" t="str">
            <v/>
          </cell>
          <cell r="K1469" t="str">
            <v/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</row>
        <row r="1470">
          <cell r="B1470">
            <v>580225</v>
          </cell>
          <cell r="C1470" t="str">
            <v>NOT USED</v>
          </cell>
          <cell r="D1470" t="str">
            <v>DEPRECIATION EXPENSE-DECOMMISSIONING-BEEBEE</v>
          </cell>
          <cell r="E1470" t="str">
            <v/>
          </cell>
          <cell r="F1470" t="str">
            <v/>
          </cell>
          <cell r="G1470" t="str">
            <v/>
          </cell>
          <cell r="H1470" t="str">
            <v/>
          </cell>
          <cell r="I1470" t="str">
            <v/>
          </cell>
          <cell r="J1470" t="str">
            <v/>
          </cell>
          <cell r="K1470" t="str">
            <v/>
          </cell>
          <cell r="L1470">
            <v>1333.3333600000001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55.555557</v>
          </cell>
        </row>
        <row r="1471">
          <cell r="B1471">
            <v>580226</v>
          </cell>
          <cell r="C1471" t="str">
            <v>NOT USED</v>
          </cell>
          <cell r="D1471" t="str">
            <v>DEPRECIATION EXPENSE-DECOMMISSIONING-RUSSELL</v>
          </cell>
          <cell r="E1471" t="str">
            <v/>
          </cell>
          <cell r="F1471" t="str">
            <v/>
          </cell>
          <cell r="G1471" t="str">
            <v/>
          </cell>
          <cell r="H1471" t="str">
            <v/>
          </cell>
          <cell r="I1471" t="str">
            <v/>
          </cell>
          <cell r="J1471" t="str">
            <v/>
          </cell>
          <cell r="K1471" t="str">
            <v/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</row>
        <row r="1472">
          <cell r="B1472">
            <v>580240</v>
          </cell>
          <cell r="C1472" t="str">
            <v>NOT USED</v>
          </cell>
          <cell r="D1472" t="str">
            <v>DEPRECIATION EXPENSE - VEHICLES - ELEC</v>
          </cell>
          <cell r="E1472" t="str">
            <v/>
          </cell>
          <cell r="F1472" t="str">
            <v/>
          </cell>
          <cell r="G1472" t="str">
            <v/>
          </cell>
          <cell r="H1472" t="str">
            <v/>
          </cell>
          <cell r="I1472" t="str">
            <v/>
          </cell>
          <cell r="J1472" t="str">
            <v/>
          </cell>
          <cell r="K1472" t="str">
            <v/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</row>
        <row r="1473">
          <cell r="B1473">
            <v>580242</v>
          </cell>
          <cell r="C1473" t="str">
            <v>NOT USED</v>
          </cell>
          <cell r="D1473" t="str">
            <v>DEPR EXP-VEHICLES-COMMON</v>
          </cell>
          <cell r="E1473" t="str">
            <v/>
          </cell>
          <cell r="F1473" t="str">
            <v/>
          </cell>
          <cell r="G1473" t="str">
            <v/>
          </cell>
          <cell r="H1473" t="str">
            <v/>
          </cell>
          <cell r="I1473" t="str">
            <v/>
          </cell>
          <cell r="J1473" t="str">
            <v/>
          </cell>
          <cell r="K1473" t="str">
            <v/>
          </cell>
          <cell r="L1473">
            <v>2457.0098200000002</v>
          </cell>
          <cell r="M1473">
            <v>244.12483</v>
          </cell>
          <cell r="N1473">
            <v>443.78541000000001</v>
          </cell>
          <cell r="O1473">
            <v>679.76715000000002</v>
          </cell>
          <cell r="P1473">
            <v>919.26146000000006</v>
          </cell>
          <cell r="Q1473">
            <v>1145.38471</v>
          </cell>
          <cell r="R1473">
            <v>1458.68075</v>
          </cell>
          <cell r="S1473">
            <v>1685.5911599999999</v>
          </cell>
          <cell r="T1473">
            <v>1912.1460999999999</v>
          </cell>
          <cell r="U1473">
            <v>2135.6818499999999</v>
          </cell>
          <cell r="V1473">
            <v>2360.7294200000001</v>
          </cell>
          <cell r="W1473">
            <v>2579.2693599999998</v>
          </cell>
          <cell r="X1473">
            <v>2543.3991900000001</v>
          </cell>
          <cell r="Y1473">
            <v>1505.3855590000001</v>
          </cell>
        </row>
        <row r="1474">
          <cell r="B1474">
            <v>580243</v>
          </cell>
          <cell r="C1474" t="str">
            <v>NOT USED</v>
          </cell>
          <cell r="D1474" t="str">
            <v>DEPR EXPENSE-VEHICLES ADJUSTMENT-ELECTRIC</v>
          </cell>
          <cell r="E1474" t="str">
            <v/>
          </cell>
          <cell r="F1474" t="str">
            <v/>
          </cell>
          <cell r="G1474" t="str">
            <v/>
          </cell>
          <cell r="H1474" t="str">
            <v/>
          </cell>
          <cell r="I1474" t="str">
            <v/>
          </cell>
          <cell r="J1474" t="str">
            <v/>
          </cell>
          <cell r="K1474" t="str">
            <v/>
          </cell>
          <cell r="L1474">
            <v>1023.832</v>
          </cell>
          <cell r="M1474">
            <v>108.91</v>
          </cell>
          <cell r="N1474">
            <v>200.43199999999999</v>
          </cell>
          <cell r="O1474">
            <v>299.79300000000001</v>
          </cell>
          <cell r="P1474">
            <v>410.161</v>
          </cell>
          <cell r="Q1474">
            <v>519.73800000000006</v>
          </cell>
          <cell r="R1474">
            <v>674.09500000000003</v>
          </cell>
          <cell r="S1474">
            <v>787.04300000000001</v>
          </cell>
          <cell r="T1474">
            <v>831.28800000000001</v>
          </cell>
          <cell r="U1474">
            <v>916.61</v>
          </cell>
          <cell r="V1474">
            <v>1016.276</v>
          </cell>
          <cell r="W1474">
            <v>1120.8109999999999</v>
          </cell>
          <cell r="X1474">
            <v>1092.4780000000001</v>
          </cell>
          <cell r="Y1474">
            <v>661.94266700000003</v>
          </cell>
        </row>
        <row r="1475">
          <cell r="B1475">
            <v>580244</v>
          </cell>
          <cell r="C1475" t="str">
            <v>NOT USED</v>
          </cell>
          <cell r="D1475" t="str">
            <v>DEPR EXPENSE-VEHICLES ADJUSTMENT-GAS</v>
          </cell>
          <cell r="E1475" t="str">
            <v/>
          </cell>
          <cell r="F1475" t="str">
            <v/>
          </cell>
          <cell r="G1475" t="str">
            <v/>
          </cell>
          <cell r="H1475" t="str">
            <v/>
          </cell>
          <cell r="I1475" t="str">
            <v/>
          </cell>
          <cell r="J1475" t="str">
            <v/>
          </cell>
          <cell r="K1475" t="str">
            <v/>
          </cell>
          <cell r="L1475">
            <v>675.60699999999997</v>
          </cell>
          <cell r="M1475">
            <v>71.085999999999999</v>
          </cell>
          <cell r="N1475">
            <v>127.66200000000001</v>
          </cell>
          <cell r="O1475">
            <v>189.01900000000001</v>
          </cell>
          <cell r="P1475">
            <v>256.053</v>
          </cell>
          <cell r="Q1475">
            <v>320.202</v>
          </cell>
          <cell r="R1475">
            <v>411.93900000000002</v>
          </cell>
          <cell r="S1475">
            <v>479.55900000000003</v>
          </cell>
          <cell r="T1475">
            <v>513.24900000000002</v>
          </cell>
          <cell r="U1475">
            <v>563.86</v>
          </cell>
          <cell r="V1475">
            <v>619.846</v>
          </cell>
          <cell r="W1475">
            <v>676.74400000000003</v>
          </cell>
          <cell r="X1475">
            <v>662.43499999999995</v>
          </cell>
          <cell r="Y1475">
            <v>408.186667</v>
          </cell>
        </row>
        <row r="1476">
          <cell r="B1476">
            <v>580251</v>
          </cell>
          <cell r="C1476" t="str">
            <v>NOT USED</v>
          </cell>
          <cell r="D1476" t="str">
            <v>AMORT EXP-INTANGIBLES-GAS</v>
          </cell>
          <cell r="E1476" t="str">
            <v/>
          </cell>
          <cell r="F1476" t="str">
            <v/>
          </cell>
          <cell r="G1476" t="str">
            <v/>
          </cell>
          <cell r="H1476" t="str">
            <v/>
          </cell>
          <cell r="I1476" t="str">
            <v/>
          </cell>
          <cell r="J1476" t="str">
            <v/>
          </cell>
          <cell r="K1476" t="str">
            <v/>
          </cell>
          <cell r="L1476">
            <v>171.27117000000001</v>
          </cell>
          <cell r="M1476">
            <v>14.272600000000001</v>
          </cell>
          <cell r="N1476">
            <v>28.545190000000002</v>
          </cell>
          <cell r="O1476">
            <v>42.817790000000002</v>
          </cell>
          <cell r="P1476">
            <v>57.090380000000003</v>
          </cell>
          <cell r="Q1476">
            <v>71.362979999999993</v>
          </cell>
          <cell r="R1476">
            <v>85.635570000000001</v>
          </cell>
          <cell r="S1476">
            <v>99.908169999999998</v>
          </cell>
          <cell r="T1476">
            <v>114.18077</v>
          </cell>
          <cell r="U1476">
            <v>128.45336</v>
          </cell>
          <cell r="V1476">
            <v>142.72595999999999</v>
          </cell>
          <cell r="W1476">
            <v>156.99854999999999</v>
          </cell>
          <cell r="X1476">
            <v>171.27115000000001</v>
          </cell>
          <cell r="Y1476">
            <v>92.771872999999999</v>
          </cell>
        </row>
        <row r="1477">
          <cell r="B1477">
            <v>580252</v>
          </cell>
          <cell r="C1477" t="str">
            <v>NOT USED</v>
          </cell>
          <cell r="D1477" t="str">
            <v>AMORT EXP-INTANGIBLES-COMMON</v>
          </cell>
          <cell r="E1477" t="str">
            <v/>
          </cell>
          <cell r="F1477" t="str">
            <v/>
          </cell>
          <cell r="G1477" t="str">
            <v/>
          </cell>
          <cell r="H1477" t="str">
            <v/>
          </cell>
          <cell r="I1477" t="str">
            <v/>
          </cell>
          <cell r="J1477" t="str">
            <v/>
          </cell>
          <cell r="K1477" t="str">
            <v/>
          </cell>
          <cell r="L1477">
            <v>14006.784180000001</v>
          </cell>
          <cell r="M1477">
            <v>283.51886000000002</v>
          </cell>
          <cell r="N1477">
            <v>567.03773000000001</v>
          </cell>
          <cell r="O1477">
            <v>866.07376999999997</v>
          </cell>
          <cell r="P1477">
            <v>1165.3339900000001</v>
          </cell>
          <cell r="Q1477">
            <v>1464.8444099999999</v>
          </cell>
          <cell r="R1477">
            <v>1764.3996</v>
          </cell>
          <cell r="S1477">
            <v>2066.15852</v>
          </cell>
          <cell r="T1477">
            <v>2355.6752700000002</v>
          </cell>
          <cell r="U1477">
            <v>2646.3160200000002</v>
          </cell>
          <cell r="V1477">
            <v>2937.7497899999998</v>
          </cell>
          <cell r="W1477">
            <v>3229.8782099999999</v>
          </cell>
          <cell r="X1477">
            <v>3522.5790999999999</v>
          </cell>
          <cell r="Y1477">
            <v>2342.6389840000002</v>
          </cell>
        </row>
        <row r="1478">
          <cell r="B1478">
            <v>580253</v>
          </cell>
          <cell r="C1478" t="str">
            <v>NOT USED</v>
          </cell>
          <cell r="D1478" t="str">
            <v>AMORT EXP-INTANGIBLES-ELEC</v>
          </cell>
          <cell r="E1478" t="str">
            <v/>
          </cell>
          <cell r="F1478" t="str">
            <v/>
          </cell>
          <cell r="G1478" t="str">
            <v/>
          </cell>
          <cell r="H1478" t="str">
            <v/>
          </cell>
          <cell r="I1478" t="str">
            <v/>
          </cell>
          <cell r="J1478" t="str">
            <v/>
          </cell>
          <cell r="K1478" t="str">
            <v/>
          </cell>
          <cell r="L1478">
            <v>198.15291999999999</v>
          </cell>
          <cell r="M1478">
            <v>7.8549300000000004</v>
          </cell>
          <cell r="N1478">
            <v>15.709860000000001</v>
          </cell>
          <cell r="O1478">
            <v>23.564789999999999</v>
          </cell>
          <cell r="P1478">
            <v>31.419709999999998</v>
          </cell>
          <cell r="Q1478">
            <v>39.274639999999998</v>
          </cell>
          <cell r="R1478">
            <v>47.129570000000001</v>
          </cell>
          <cell r="S1478">
            <v>54.984490000000001</v>
          </cell>
          <cell r="T1478">
            <v>62.839410000000001</v>
          </cell>
          <cell r="U1478">
            <v>70.694339999999997</v>
          </cell>
          <cell r="V1478">
            <v>78.549270000000007</v>
          </cell>
          <cell r="W1478">
            <v>86.404200000000003</v>
          </cell>
          <cell r="X1478">
            <v>94.259129999999999</v>
          </cell>
          <cell r="Y1478">
            <v>55.385936000000001</v>
          </cell>
        </row>
        <row r="1479">
          <cell r="B1479">
            <v>580300</v>
          </cell>
          <cell r="C1479" t="str">
            <v>CAP</v>
          </cell>
          <cell r="D1479" t="str">
            <v>INTEREST EXPENSE - LONG TERM DEBT</v>
          </cell>
          <cell r="E1479" t="str">
            <v/>
          </cell>
          <cell r="F1479" t="str">
            <v/>
          </cell>
          <cell r="G1479" t="str">
            <v/>
          </cell>
          <cell r="H1479" t="str">
            <v/>
          </cell>
          <cell r="I1479" t="str">
            <v/>
          </cell>
          <cell r="J1479" t="str">
            <v/>
          </cell>
          <cell r="K1479">
            <v>580300</v>
          </cell>
          <cell r="L1479">
            <v>48928.086759999998</v>
          </cell>
          <cell r="M1479">
            <v>3577.77918</v>
          </cell>
          <cell r="N1479">
            <v>7905.1986200000001</v>
          </cell>
          <cell r="O1479">
            <v>11342.309719999999</v>
          </cell>
          <cell r="P1479">
            <v>14564.719429999999</v>
          </cell>
          <cell r="Q1479">
            <v>17783.35138</v>
          </cell>
          <cell r="R1479">
            <v>21001.03888</v>
          </cell>
          <cell r="S1479">
            <v>24237.943050000002</v>
          </cell>
          <cell r="T1479">
            <v>27880.636109999999</v>
          </cell>
          <cell r="U1479">
            <v>31525.406950000001</v>
          </cell>
          <cell r="V1479">
            <v>35168.477789999997</v>
          </cell>
          <cell r="W1479">
            <v>38807.58195</v>
          </cell>
          <cell r="X1479">
            <v>42447.441659999997</v>
          </cell>
          <cell r="Y1479">
            <v>23290.183938999999</v>
          </cell>
        </row>
        <row r="1480">
          <cell r="B1480">
            <v>580310</v>
          </cell>
          <cell r="C1480" t="str">
            <v>CAP</v>
          </cell>
          <cell r="D1480" t="str">
            <v>INTEREST EXPENSE - SHORT TERM DEBT</v>
          </cell>
          <cell r="E1480" t="str">
            <v/>
          </cell>
          <cell r="F1480" t="str">
            <v/>
          </cell>
          <cell r="G1480" t="str">
            <v/>
          </cell>
          <cell r="H1480" t="str">
            <v/>
          </cell>
          <cell r="I1480" t="str">
            <v/>
          </cell>
          <cell r="J1480" t="str">
            <v/>
          </cell>
          <cell r="K1480">
            <v>580310</v>
          </cell>
          <cell r="L1480">
            <v>7.6870000000000003</v>
          </cell>
          <cell r="M1480">
            <v>0</v>
          </cell>
          <cell r="N1480">
            <v>1.4461200000000001</v>
          </cell>
          <cell r="O1480">
            <v>4.6686399999999999</v>
          </cell>
          <cell r="P1480">
            <v>4.6686399999999999</v>
          </cell>
          <cell r="Q1480">
            <v>4.6686399999999999</v>
          </cell>
          <cell r="R1480">
            <v>5.3245300000000002</v>
          </cell>
          <cell r="S1480">
            <v>5.3245300000000002</v>
          </cell>
          <cell r="T1480">
            <v>5.3245300000000002</v>
          </cell>
          <cell r="U1480">
            <v>5.3245300000000002</v>
          </cell>
          <cell r="V1480">
            <v>5.3245300000000002</v>
          </cell>
          <cell r="W1480">
            <v>5.3245300000000002</v>
          </cell>
          <cell r="X1480">
            <v>5.3245300000000002</v>
          </cell>
          <cell r="Y1480">
            <v>4.4920819999999999</v>
          </cell>
        </row>
        <row r="1481">
          <cell r="B1481">
            <v>580320</v>
          </cell>
          <cell r="C1481" t="str">
            <v>CAP</v>
          </cell>
          <cell r="D1481" t="str">
            <v>INTEREST EXPENSE - CUSTOMER DEPOSITS</v>
          </cell>
          <cell r="E1481" t="str">
            <v/>
          </cell>
          <cell r="F1481" t="str">
            <v/>
          </cell>
          <cell r="G1481" t="str">
            <v/>
          </cell>
          <cell r="H1481" t="str">
            <v/>
          </cell>
          <cell r="I1481" t="str">
            <v/>
          </cell>
          <cell r="J1481" t="str">
            <v/>
          </cell>
          <cell r="K1481">
            <v>580320</v>
          </cell>
          <cell r="L1481">
            <v>147.71643</v>
          </cell>
          <cell r="M1481">
            <v>9.0750200000000003</v>
          </cell>
          <cell r="N1481">
            <v>17.707100000000001</v>
          </cell>
          <cell r="O1481">
            <v>26.516200000000001</v>
          </cell>
          <cell r="P1481">
            <v>35.311419999999998</v>
          </cell>
          <cell r="Q1481">
            <v>44.381659999999997</v>
          </cell>
          <cell r="R1481">
            <v>53.1723</v>
          </cell>
          <cell r="S1481">
            <v>61.953539999999997</v>
          </cell>
          <cell r="T1481">
            <v>70.987799999999993</v>
          </cell>
          <cell r="U1481">
            <v>80.008089999999996</v>
          </cell>
          <cell r="V1481">
            <v>80.322190000000006</v>
          </cell>
          <cell r="W1481">
            <v>88.230559999999997</v>
          </cell>
          <cell r="X1481">
            <v>96.177599999999998</v>
          </cell>
          <cell r="Y1481">
            <v>57.467740999999997</v>
          </cell>
        </row>
        <row r="1482">
          <cell r="B1482">
            <v>580330</v>
          </cell>
          <cell r="C1482" t="str">
            <v>CAP</v>
          </cell>
          <cell r="D1482" t="str">
            <v>INTEREST EXPENSE - MISCELLANEOUS</v>
          </cell>
          <cell r="E1482" t="str">
            <v/>
          </cell>
          <cell r="F1482" t="str">
            <v/>
          </cell>
          <cell r="G1482" t="str">
            <v/>
          </cell>
          <cell r="H1482" t="str">
            <v/>
          </cell>
          <cell r="I1482" t="str">
            <v/>
          </cell>
          <cell r="J1482" t="str">
            <v/>
          </cell>
          <cell r="K1482">
            <v>580330</v>
          </cell>
          <cell r="L1482">
            <v>564.64823000000001</v>
          </cell>
          <cell r="M1482">
            <v>71.971760000000003</v>
          </cell>
          <cell r="N1482">
            <v>105.32415</v>
          </cell>
          <cell r="O1482">
            <v>209.31541999999999</v>
          </cell>
          <cell r="P1482">
            <v>209.53086999999999</v>
          </cell>
          <cell r="Q1482">
            <v>210.60106999999999</v>
          </cell>
          <cell r="R1482">
            <v>212.57597999999999</v>
          </cell>
          <cell r="S1482">
            <v>212.61598000000001</v>
          </cell>
          <cell r="T1482">
            <v>222.80157</v>
          </cell>
          <cell r="U1482">
            <v>224.24170000000001</v>
          </cell>
          <cell r="V1482">
            <v>224.21422000000001</v>
          </cell>
          <cell r="W1482">
            <v>224.21422000000001</v>
          </cell>
          <cell r="X1482">
            <v>234.21344999999999</v>
          </cell>
          <cell r="Y1482">
            <v>210.56981500000001</v>
          </cell>
        </row>
        <row r="1483">
          <cell r="B1483">
            <v>580331</v>
          </cell>
          <cell r="C1483" t="str">
            <v>CAP</v>
          </cell>
          <cell r="D1483" t="str">
            <v>INTEREST EXPENSE - OTHER-EEMC HC ALLOCATION-RGE</v>
          </cell>
          <cell r="E1483" t="str">
            <v/>
          </cell>
          <cell r="F1483" t="str">
            <v/>
          </cell>
          <cell r="G1483" t="str">
            <v/>
          </cell>
          <cell r="H1483" t="str">
            <v/>
          </cell>
          <cell r="I1483" t="str">
            <v/>
          </cell>
          <cell r="J1483" t="str">
            <v/>
          </cell>
          <cell r="K1483">
            <v>580331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</row>
        <row r="1484">
          <cell r="B1484">
            <v>580332</v>
          </cell>
          <cell r="C1484" t="str">
            <v>CAP</v>
          </cell>
          <cell r="D1484" t="str">
            <v>INTEREST EXPENSE - ASSOC CO-EEMC HC ALLOCATION</v>
          </cell>
          <cell r="E1484" t="str">
            <v/>
          </cell>
          <cell r="F1484" t="str">
            <v/>
          </cell>
          <cell r="G1484" t="str">
            <v/>
          </cell>
          <cell r="H1484" t="str">
            <v/>
          </cell>
          <cell r="I1484" t="str">
            <v/>
          </cell>
          <cell r="J1484" t="str">
            <v/>
          </cell>
          <cell r="K1484">
            <v>580332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</row>
        <row r="1485">
          <cell r="B1485">
            <v>580334</v>
          </cell>
          <cell r="C1485" t="str">
            <v>CAP</v>
          </cell>
          <cell r="D1485" t="str">
            <v>INT EXP-POLLUTION CONTROL</v>
          </cell>
          <cell r="E1485" t="str">
            <v/>
          </cell>
          <cell r="F1485" t="str">
            <v/>
          </cell>
          <cell r="G1485" t="str">
            <v/>
          </cell>
          <cell r="H1485" t="str">
            <v/>
          </cell>
          <cell r="I1485" t="str">
            <v/>
          </cell>
          <cell r="J1485" t="str">
            <v/>
          </cell>
          <cell r="K1485">
            <v>580334</v>
          </cell>
          <cell r="L1485">
            <v>37.208889999999997</v>
          </cell>
          <cell r="M1485">
            <v>4.3729300000000002</v>
          </cell>
          <cell r="N1485">
            <v>12.42919</v>
          </cell>
          <cell r="O1485">
            <v>16.802119999999999</v>
          </cell>
          <cell r="P1485">
            <v>23.347270000000002</v>
          </cell>
          <cell r="Q1485">
            <v>33.575749999999999</v>
          </cell>
          <cell r="R1485">
            <v>43.332009999999997</v>
          </cell>
          <cell r="S1485">
            <v>65.271590000000003</v>
          </cell>
          <cell r="T1485">
            <v>78.522289999999998</v>
          </cell>
          <cell r="U1485">
            <v>89.789659999999998</v>
          </cell>
          <cell r="V1485">
            <v>102.66258000000001</v>
          </cell>
          <cell r="W1485">
            <v>119.59662</v>
          </cell>
          <cell r="X1485">
            <v>135.68065999999999</v>
          </cell>
          <cell r="Y1485">
            <v>56.345565000000001</v>
          </cell>
        </row>
        <row r="1486">
          <cell r="B1486">
            <v>580336</v>
          </cell>
          <cell r="C1486" t="str">
            <v>CAP</v>
          </cell>
          <cell r="D1486" t="str">
            <v>INT EXP- REVOLVER - FEES</v>
          </cell>
          <cell r="E1486" t="str">
            <v/>
          </cell>
          <cell r="F1486" t="str">
            <v/>
          </cell>
          <cell r="G1486" t="str">
            <v/>
          </cell>
          <cell r="H1486" t="str">
            <v/>
          </cell>
          <cell r="I1486" t="str">
            <v/>
          </cell>
          <cell r="J1486" t="str">
            <v/>
          </cell>
          <cell r="K1486">
            <v>580336</v>
          </cell>
          <cell r="L1486">
            <v>916.66182000000003</v>
          </cell>
          <cell r="M1486">
            <v>66.408869999999993</v>
          </cell>
          <cell r="N1486">
            <v>123.43441</v>
          </cell>
          <cell r="O1486">
            <v>230.73213000000001</v>
          </cell>
          <cell r="P1486">
            <v>287.79239000000001</v>
          </cell>
          <cell r="Q1486">
            <v>348.18597999999997</v>
          </cell>
          <cell r="R1486">
            <v>447.68975999999998</v>
          </cell>
          <cell r="S1486">
            <v>510.56356</v>
          </cell>
          <cell r="T1486">
            <v>581.82051000000001</v>
          </cell>
          <cell r="U1486">
            <v>704.35464000000002</v>
          </cell>
          <cell r="V1486">
            <v>774.04908999999998</v>
          </cell>
          <cell r="W1486">
            <v>852.68195000000003</v>
          </cell>
          <cell r="X1486">
            <v>930.31782999999996</v>
          </cell>
          <cell r="Y1486">
            <v>487.60025999999999</v>
          </cell>
        </row>
        <row r="1487">
          <cell r="B1487">
            <v>580338</v>
          </cell>
          <cell r="C1487" t="str">
            <v>NOT USED</v>
          </cell>
          <cell r="D1487" t="str">
            <v>INT EXP-WEEKLY AUCTION PERCENT FEES</v>
          </cell>
          <cell r="E1487" t="str">
            <v/>
          </cell>
          <cell r="F1487" t="str">
            <v/>
          </cell>
          <cell r="G1487" t="str">
            <v/>
          </cell>
          <cell r="H1487" t="str">
            <v/>
          </cell>
          <cell r="I1487" t="str">
            <v/>
          </cell>
          <cell r="J1487" t="str">
            <v/>
          </cell>
          <cell r="K1487" t="str">
            <v/>
          </cell>
          <cell r="L1487">
            <v>33.055599999999998</v>
          </cell>
          <cell r="M1487">
            <v>3.3055599999999998</v>
          </cell>
          <cell r="N1487">
            <v>6.6111199999999997</v>
          </cell>
          <cell r="O1487">
            <v>9.9166799999999995</v>
          </cell>
          <cell r="P1487">
            <v>13.222239999999999</v>
          </cell>
          <cell r="Q1487">
            <v>13.222239999999999</v>
          </cell>
          <cell r="R1487">
            <v>16.527799999999999</v>
          </cell>
          <cell r="S1487">
            <v>19.833359999999999</v>
          </cell>
          <cell r="T1487">
            <v>23.138919999999999</v>
          </cell>
          <cell r="U1487">
            <v>26.444479999999999</v>
          </cell>
          <cell r="V1487">
            <v>29.750039999999998</v>
          </cell>
          <cell r="W1487">
            <v>33.055599999999998</v>
          </cell>
          <cell r="X1487">
            <v>36.361159999999998</v>
          </cell>
          <cell r="Y1487">
            <v>19.144701999999999</v>
          </cell>
        </row>
        <row r="1488">
          <cell r="B1488">
            <v>580339</v>
          </cell>
          <cell r="C1488" t="str">
            <v>NOT USED</v>
          </cell>
          <cell r="D1488" t="str">
            <v>INTEREST EXPENSE - LONG TERM DEBT FEES</v>
          </cell>
          <cell r="E1488" t="str">
            <v/>
          </cell>
          <cell r="F1488" t="str">
            <v/>
          </cell>
          <cell r="G1488" t="str">
            <v/>
          </cell>
          <cell r="H1488" t="str">
            <v/>
          </cell>
          <cell r="I1488" t="str">
            <v/>
          </cell>
          <cell r="J1488" t="str">
            <v/>
          </cell>
          <cell r="K1488" t="str">
            <v/>
          </cell>
          <cell r="L1488">
            <v>4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3.38</v>
          </cell>
          <cell r="S1488">
            <v>24.57</v>
          </cell>
          <cell r="T1488">
            <v>24.57</v>
          </cell>
          <cell r="U1488">
            <v>27.95</v>
          </cell>
          <cell r="V1488">
            <v>27.95</v>
          </cell>
          <cell r="W1488">
            <v>27.95</v>
          </cell>
          <cell r="X1488">
            <v>27.95</v>
          </cell>
          <cell r="Y1488">
            <v>12.695417000000001</v>
          </cell>
        </row>
        <row r="1489">
          <cell r="B1489">
            <v>580350</v>
          </cell>
          <cell r="C1489" t="str">
            <v>NOT USED</v>
          </cell>
          <cell r="D1489" t="str">
            <v>INTEREST - ALLCE FOR FUNDS USED DURING CONSTR-PRO</v>
          </cell>
          <cell r="E1489" t="str">
            <v/>
          </cell>
          <cell r="F1489" t="str">
            <v/>
          </cell>
          <cell r="G1489" t="str">
            <v/>
          </cell>
          <cell r="H1489" t="str">
            <v/>
          </cell>
          <cell r="I1489" t="str">
            <v/>
          </cell>
          <cell r="J1489" t="str">
            <v/>
          </cell>
          <cell r="K1489" t="str">
            <v/>
          </cell>
          <cell r="L1489">
            <v>3052.97633</v>
          </cell>
          <cell r="M1489">
            <v>396.65321</v>
          </cell>
          <cell r="N1489">
            <v>797.20163000000002</v>
          </cell>
          <cell r="O1489">
            <v>1218.12319</v>
          </cell>
          <cell r="P1489">
            <v>1643.3843899999999</v>
          </cell>
          <cell r="Q1489">
            <v>2007.8115</v>
          </cell>
          <cell r="R1489">
            <v>2634.3486699999999</v>
          </cell>
          <cell r="S1489">
            <v>3255.7144400000002</v>
          </cell>
          <cell r="T1489">
            <v>3877.1581999999999</v>
          </cell>
          <cell r="U1489">
            <v>7154.2962200000002</v>
          </cell>
          <cell r="V1489">
            <v>8185.8189300000004</v>
          </cell>
          <cell r="W1489">
            <v>9289.1376099999998</v>
          </cell>
          <cell r="X1489">
            <v>10602.33987</v>
          </cell>
          <cell r="Y1489">
            <v>3940.6088410000002</v>
          </cell>
        </row>
        <row r="1490">
          <cell r="B1490">
            <v>580370</v>
          </cell>
          <cell r="C1490" t="str">
            <v>NOT USED</v>
          </cell>
          <cell r="D1490" t="str">
            <v>INTEREST EXP-CARRYING COST - ELECTRIC</v>
          </cell>
          <cell r="E1490" t="str">
            <v/>
          </cell>
          <cell r="F1490" t="str">
            <v/>
          </cell>
          <cell r="G1490" t="str">
            <v/>
          </cell>
          <cell r="H1490" t="str">
            <v/>
          </cell>
          <cell r="I1490" t="str">
            <v/>
          </cell>
          <cell r="J1490" t="str">
            <v/>
          </cell>
          <cell r="K1490" t="str">
            <v/>
          </cell>
          <cell r="L1490">
            <v>5807.5115800000003</v>
          </cell>
          <cell r="M1490">
            <v>125.64934</v>
          </cell>
          <cell r="N1490">
            <v>361.01618999999999</v>
          </cell>
          <cell r="O1490">
            <v>568.66785000000004</v>
          </cell>
          <cell r="P1490">
            <v>789.99348999999995</v>
          </cell>
          <cell r="Q1490">
            <v>1056.6479300000001</v>
          </cell>
          <cell r="R1490">
            <v>1352.2786100000001</v>
          </cell>
          <cell r="S1490">
            <v>1677.9619700000001</v>
          </cell>
          <cell r="T1490">
            <v>2033.2942599999999</v>
          </cell>
          <cell r="U1490">
            <v>3107.53</v>
          </cell>
          <cell r="V1490">
            <v>3717.8238500000002</v>
          </cell>
          <cell r="W1490">
            <v>14367.14863</v>
          </cell>
          <cell r="X1490">
            <v>15061.106379999999</v>
          </cell>
          <cell r="Y1490">
            <v>3299.3600919999999</v>
          </cell>
        </row>
        <row r="1491">
          <cell r="B1491">
            <v>580371</v>
          </cell>
          <cell r="C1491" t="str">
            <v>NOT USED</v>
          </cell>
          <cell r="D1491" t="str">
            <v>INTEREST EXP-CARRYING COST - GAS</v>
          </cell>
          <cell r="E1491" t="str">
            <v/>
          </cell>
          <cell r="F1491" t="str">
            <v/>
          </cell>
          <cell r="G1491" t="str">
            <v/>
          </cell>
          <cell r="H1491" t="str">
            <v/>
          </cell>
          <cell r="I1491" t="str">
            <v/>
          </cell>
          <cell r="J1491" t="str">
            <v/>
          </cell>
          <cell r="K1491" t="str">
            <v/>
          </cell>
          <cell r="L1491">
            <v>2082.44994</v>
          </cell>
          <cell r="M1491">
            <v>15.19735</v>
          </cell>
          <cell r="N1491">
            <v>135.92500000000001</v>
          </cell>
          <cell r="O1491">
            <v>217.62172000000001</v>
          </cell>
          <cell r="P1491">
            <v>308.46548000000001</v>
          </cell>
          <cell r="Q1491">
            <v>409.93137000000002</v>
          </cell>
          <cell r="R1491">
            <v>520.69785999999999</v>
          </cell>
          <cell r="S1491">
            <v>641.19316000000003</v>
          </cell>
          <cell r="T1491">
            <v>774.41654000000005</v>
          </cell>
          <cell r="U1491">
            <v>688.33937000000003</v>
          </cell>
          <cell r="V1491">
            <v>805.74298999999996</v>
          </cell>
          <cell r="W1491">
            <v>928.21150999999998</v>
          </cell>
          <cell r="X1491">
            <v>1052.53602</v>
          </cell>
          <cell r="Y1491">
            <v>584.43627800000002</v>
          </cell>
        </row>
        <row r="1492">
          <cell r="B1492">
            <v>580372</v>
          </cell>
          <cell r="C1492" t="str">
            <v>NOT USED</v>
          </cell>
          <cell r="D1492" t="str">
            <v>INTEREST EXP-CARRYING COST - ELECTRIC COMMODITY</v>
          </cell>
          <cell r="E1492" t="str">
            <v/>
          </cell>
          <cell r="F1492" t="str">
            <v/>
          </cell>
          <cell r="G1492" t="str">
            <v/>
          </cell>
          <cell r="H1492" t="str">
            <v/>
          </cell>
          <cell r="I1492" t="str">
            <v/>
          </cell>
          <cell r="J1492" t="str">
            <v/>
          </cell>
          <cell r="K1492" t="str">
            <v/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</row>
        <row r="1493">
          <cell r="B1493">
            <v>580400</v>
          </cell>
          <cell r="C1493" t="str">
            <v>CAP</v>
          </cell>
          <cell r="D1493" t="str">
            <v>AMORTIZATION DEBT EXPENSES</v>
          </cell>
          <cell r="E1493" t="str">
            <v/>
          </cell>
          <cell r="F1493" t="str">
            <v/>
          </cell>
          <cell r="G1493" t="str">
            <v/>
          </cell>
          <cell r="H1493" t="str">
            <v/>
          </cell>
          <cell r="I1493" t="str">
            <v/>
          </cell>
          <cell r="J1493" t="str">
            <v/>
          </cell>
          <cell r="K1493">
            <v>580400</v>
          </cell>
          <cell r="L1493">
            <v>1097.6013600000001</v>
          </cell>
          <cell r="M1493">
            <v>67.927040000000005</v>
          </cell>
          <cell r="N1493">
            <v>135.85408000000001</v>
          </cell>
          <cell r="O1493">
            <v>203.78111999999999</v>
          </cell>
          <cell r="P1493">
            <v>271.70816000000002</v>
          </cell>
          <cell r="Q1493">
            <v>339.6352</v>
          </cell>
          <cell r="R1493">
            <v>407.56223999999997</v>
          </cell>
          <cell r="S1493">
            <v>475.48928000000001</v>
          </cell>
          <cell r="T1493">
            <v>561.68883000000005</v>
          </cell>
          <cell r="U1493">
            <v>647.88837999999998</v>
          </cell>
          <cell r="V1493">
            <v>734.18966999999998</v>
          </cell>
          <cell r="W1493">
            <v>820.44084999999995</v>
          </cell>
          <cell r="X1493">
            <v>907.12040999999999</v>
          </cell>
          <cell r="Y1493">
            <v>472.37714499999998</v>
          </cell>
        </row>
        <row r="1494">
          <cell r="B1494">
            <v>580410</v>
          </cell>
          <cell r="C1494" t="str">
            <v>CAP</v>
          </cell>
          <cell r="D1494" t="str">
            <v>AMORTIZATION OF DEBT PREMIUM</v>
          </cell>
          <cell r="E1494" t="str">
            <v/>
          </cell>
          <cell r="F1494" t="str">
            <v/>
          </cell>
          <cell r="G1494" t="str">
            <v/>
          </cell>
          <cell r="H1494" t="str">
            <v/>
          </cell>
          <cell r="I1494" t="str">
            <v/>
          </cell>
          <cell r="J1494" t="str">
            <v/>
          </cell>
          <cell r="K1494">
            <v>580410</v>
          </cell>
          <cell r="L1494">
            <v>5767.6399199999996</v>
          </cell>
          <cell r="M1494">
            <v>480.63666000000001</v>
          </cell>
          <cell r="N1494">
            <v>961.27332000000001</v>
          </cell>
          <cell r="O1494">
            <v>1441.9099799999999</v>
          </cell>
          <cell r="P1494">
            <v>1922.54664</v>
          </cell>
          <cell r="Q1494">
            <v>2403.1833000000001</v>
          </cell>
          <cell r="R1494">
            <v>2883.8199599999998</v>
          </cell>
          <cell r="S1494">
            <v>3364.4566199999999</v>
          </cell>
          <cell r="T1494">
            <v>3845.09328</v>
          </cell>
          <cell r="U1494">
            <v>4325.7299400000002</v>
          </cell>
          <cell r="V1494">
            <v>4806.3666000000003</v>
          </cell>
          <cell r="W1494">
            <v>5287.0032600000004</v>
          </cell>
          <cell r="X1494">
            <v>5767.6399199999996</v>
          </cell>
          <cell r="Y1494">
            <v>3124.1382899999999</v>
          </cell>
        </row>
        <row r="1495">
          <cell r="B1495">
            <v>580411</v>
          </cell>
          <cell r="C1495" t="str">
            <v>CAP</v>
          </cell>
          <cell r="D1495" t="str">
            <v>AMORTIZATION PREMIUM ON REQUIRED PREFERRED STOCK</v>
          </cell>
          <cell r="E1495" t="str">
            <v/>
          </cell>
          <cell r="F1495" t="str">
            <v/>
          </cell>
          <cell r="G1495" t="str">
            <v/>
          </cell>
          <cell r="H1495" t="str">
            <v/>
          </cell>
          <cell r="I1495" t="str">
            <v/>
          </cell>
          <cell r="J1495" t="str">
            <v/>
          </cell>
          <cell r="K1495">
            <v>580411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</row>
        <row r="1496">
          <cell r="B1496">
            <v>580420</v>
          </cell>
          <cell r="C1496" t="str">
            <v>CAP</v>
          </cell>
          <cell r="D1496" t="str">
            <v>AMORTIZATION DEBT DISCOUNT</v>
          </cell>
          <cell r="E1496" t="str">
            <v/>
          </cell>
          <cell r="F1496" t="str">
            <v/>
          </cell>
          <cell r="G1496" t="str">
            <v/>
          </cell>
          <cell r="H1496" t="str">
            <v/>
          </cell>
          <cell r="I1496" t="str">
            <v/>
          </cell>
          <cell r="J1496" t="str">
            <v/>
          </cell>
          <cell r="K1496">
            <v>580420</v>
          </cell>
          <cell r="L1496">
            <v>51.469679999999997</v>
          </cell>
          <cell r="M1496">
            <v>4.3881399999999999</v>
          </cell>
          <cell r="N1496">
            <v>8.7762799999999999</v>
          </cell>
          <cell r="O1496">
            <v>13.16442</v>
          </cell>
          <cell r="P1496">
            <v>17.55256</v>
          </cell>
          <cell r="Q1496">
            <v>21.9407</v>
          </cell>
          <cell r="R1496">
            <v>26.32884</v>
          </cell>
          <cell r="S1496">
            <v>30.71698</v>
          </cell>
          <cell r="T1496">
            <v>35.105119999999999</v>
          </cell>
          <cell r="U1496">
            <v>39.493259999999999</v>
          </cell>
          <cell r="V1496">
            <v>43.881399999999999</v>
          </cell>
          <cell r="W1496">
            <v>48.269539999999999</v>
          </cell>
          <cell r="X1496">
            <v>52.657679999999999</v>
          </cell>
          <cell r="Y1496">
            <v>28.473410000000001</v>
          </cell>
        </row>
        <row r="1497">
          <cell r="B1497">
            <v>580430</v>
          </cell>
          <cell r="C1497" t="str">
            <v>CAP</v>
          </cell>
          <cell r="D1497" t="str">
            <v>AMORT LOSS REACQ DEBT</v>
          </cell>
          <cell r="E1497" t="str">
            <v/>
          </cell>
          <cell r="F1497" t="str">
            <v/>
          </cell>
          <cell r="G1497" t="str">
            <v/>
          </cell>
          <cell r="H1497" t="str">
            <v/>
          </cell>
          <cell r="I1497" t="str">
            <v/>
          </cell>
          <cell r="J1497" t="str">
            <v/>
          </cell>
          <cell r="K1497">
            <v>580430</v>
          </cell>
          <cell r="L1497">
            <v>1565.10025</v>
          </cell>
          <cell r="M1497">
            <v>695.84902</v>
          </cell>
          <cell r="N1497">
            <v>1450.0716500000001</v>
          </cell>
          <cell r="O1497">
            <v>2507.8374600000002</v>
          </cell>
          <cell r="P1497">
            <v>2587.4835800000001</v>
          </cell>
          <cell r="Q1497">
            <v>2667.1297</v>
          </cell>
          <cell r="R1497">
            <v>2746.7758199999998</v>
          </cell>
          <cell r="S1497">
            <v>2821.4229399999999</v>
          </cell>
          <cell r="T1497">
            <v>2898.5585599999999</v>
          </cell>
          <cell r="U1497">
            <v>2975.69418</v>
          </cell>
          <cell r="V1497">
            <v>3052.8298</v>
          </cell>
          <cell r="W1497">
            <v>3129.96542</v>
          </cell>
          <cell r="X1497">
            <v>3207.10104</v>
          </cell>
          <cell r="Y1497">
            <v>2493.309898</v>
          </cell>
        </row>
        <row r="1498">
          <cell r="B1498">
            <v>580500</v>
          </cell>
          <cell r="C1498" t="str">
            <v>NOT USED</v>
          </cell>
          <cell r="D1498" t="str">
            <v>DIVIDENDS - COMMON STOCK</v>
          </cell>
          <cell r="E1498" t="str">
            <v/>
          </cell>
          <cell r="F1498" t="str">
            <v/>
          </cell>
          <cell r="G1498" t="str">
            <v/>
          </cell>
          <cell r="H1498" t="str">
            <v/>
          </cell>
          <cell r="I1498" t="str">
            <v/>
          </cell>
          <cell r="J1498" t="str">
            <v/>
          </cell>
          <cell r="K1498" t="str">
            <v/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</row>
        <row r="1499">
          <cell r="B1499">
            <v>580505</v>
          </cell>
          <cell r="C1499" t="str">
            <v>CAP</v>
          </cell>
          <cell r="D1499" t="str">
            <v>DIVIDENDS - PREFERRED STOCK-SERIES F</v>
          </cell>
          <cell r="E1499" t="str">
            <v/>
          </cell>
          <cell r="F1499" t="str">
            <v/>
          </cell>
          <cell r="G1499" t="str">
            <v/>
          </cell>
          <cell r="H1499" t="str">
            <v/>
          </cell>
          <cell r="I1499" t="str">
            <v/>
          </cell>
          <cell r="J1499" t="str">
            <v/>
          </cell>
          <cell r="K1499">
            <v>580505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</row>
        <row r="1500">
          <cell r="B1500">
            <v>580510</v>
          </cell>
          <cell r="C1500" t="str">
            <v>CAP</v>
          </cell>
          <cell r="D1500" t="str">
            <v>DIVIDENDS - PREFERRED STOCK-SERIES H</v>
          </cell>
          <cell r="E1500" t="str">
            <v/>
          </cell>
          <cell r="F1500" t="str">
            <v/>
          </cell>
          <cell r="G1500" t="str">
            <v/>
          </cell>
          <cell r="H1500" t="str">
            <v/>
          </cell>
          <cell r="I1500" t="str">
            <v/>
          </cell>
          <cell r="J1500" t="str">
            <v/>
          </cell>
          <cell r="K1500">
            <v>580510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</row>
        <row r="1501">
          <cell r="B1501">
            <v>580515</v>
          </cell>
          <cell r="C1501" t="str">
            <v>CAP</v>
          </cell>
          <cell r="D1501" t="str">
            <v>DIVIDENDS - PREFERRED STOCK-SERIES I</v>
          </cell>
          <cell r="E1501" t="str">
            <v/>
          </cell>
          <cell r="F1501" t="str">
            <v/>
          </cell>
          <cell r="G1501" t="str">
            <v/>
          </cell>
          <cell r="H1501" t="str">
            <v/>
          </cell>
          <cell r="I1501" t="str">
            <v/>
          </cell>
          <cell r="J1501" t="str">
            <v/>
          </cell>
          <cell r="K1501">
            <v>580515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</row>
        <row r="1502">
          <cell r="B1502">
            <v>580520</v>
          </cell>
          <cell r="C1502" t="str">
            <v>CAP</v>
          </cell>
          <cell r="D1502" t="str">
            <v>DIVIDENDS - PREFERRED STOCK-SERIES J</v>
          </cell>
          <cell r="E1502" t="str">
            <v/>
          </cell>
          <cell r="F1502" t="str">
            <v/>
          </cell>
          <cell r="G1502" t="str">
            <v/>
          </cell>
          <cell r="H1502" t="str">
            <v/>
          </cell>
          <cell r="I1502" t="str">
            <v/>
          </cell>
          <cell r="J1502" t="str">
            <v/>
          </cell>
          <cell r="K1502">
            <v>580520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</row>
        <row r="1503">
          <cell r="B1503">
            <v>580525</v>
          </cell>
          <cell r="C1503" t="str">
            <v>CAP</v>
          </cell>
          <cell r="D1503" t="str">
            <v>DIVIDENDS - PREFERRED STOCK-SERIES K</v>
          </cell>
          <cell r="E1503" t="str">
            <v/>
          </cell>
          <cell r="F1503" t="str">
            <v/>
          </cell>
          <cell r="G1503" t="str">
            <v/>
          </cell>
          <cell r="H1503" t="str">
            <v/>
          </cell>
          <cell r="I1503" t="str">
            <v/>
          </cell>
          <cell r="J1503" t="str">
            <v/>
          </cell>
          <cell r="K1503">
            <v>580525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</row>
        <row r="1504">
          <cell r="B1504">
            <v>580530</v>
          </cell>
          <cell r="C1504" t="str">
            <v>CAP</v>
          </cell>
          <cell r="D1504" t="str">
            <v>DIVIDENDS - PREFERRED STOCK-SERIES M</v>
          </cell>
          <cell r="E1504" t="str">
            <v/>
          </cell>
          <cell r="F1504" t="str">
            <v/>
          </cell>
          <cell r="G1504" t="str">
            <v/>
          </cell>
          <cell r="H1504" t="str">
            <v/>
          </cell>
          <cell r="I1504" t="str">
            <v/>
          </cell>
          <cell r="J1504" t="str">
            <v/>
          </cell>
          <cell r="K1504">
            <v>580530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</row>
        <row r="1505">
          <cell r="B1505">
            <v>580535</v>
          </cell>
          <cell r="C1505" t="str">
            <v>CAP</v>
          </cell>
          <cell r="D1505" t="str">
            <v>DIVIDENDS - PREFERRED STOCK-SERIES V</v>
          </cell>
          <cell r="E1505" t="str">
            <v/>
          </cell>
          <cell r="F1505" t="str">
            <v/>
          </cell>
          <cell r="G1505" t="str">
            <v/>
          </cell>
          <cell r="H1505" t="str">
            <v/>
          </cell>
          <cell r="I1505" t="str">
            <v/>
          </cell>
          <cell r="J1505" t="str">
            <v/>
          </cell>
          <cell r="K1505">
            <v>580535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</row>
        <row r="1506">
          <cell r="B1506">
            <v>590100</v>
          </cell>
          <cell r="C1506" t="str">
            <v>NOT USED</v>
          </cell>
          <cell r="D1506" t="str">
            <v>TRAVEL EXPENSES EXCLUDE MEALS AND ENTERTAINMENT</v>
          </cell>
          <cell r="E1506" t="str">
            <v/>
          </cell>
          <cell r="F1506" t="str">
            <v/>
          </cell>
          <cell r="G1506" t="str">
            <v/>
          </cell>
          <cell r="H1506" t="str">
            <v/>
          </cell>
          <cell r="I1506" t="str">
            <v/>
          </cell>
          <cell r="J1506" t="str">
            <v/>
          </cell>
          <cell r="K1506" t="str">
            <v/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</row>
        <row r="1507">
          <cell r="B1507">
            <v>590101</v>
          </cell>
          <cell r="C1507" t="str">
            <v>NOT USED</v>
          </cell>
          <cell r="D1507" t="str">
            <v>"OFFICER TRAVEL EXP, EXCLUDING MEALS&amp;ENTERTAIN"</v>
          </cell>
          <cell r="E1507" t="str">
            <v/>
          </cell>
          <cell r="F1507" t="str">
            <v/>
          </cell>
          <cell r="G1507" t="str">
            <v/>
          </cell>
          <cell r="H1507" t="str">
            <v/>
          </cell>
          <cell r="I1507" t="str">
            <v/>
          </cell>
          <cell r="J1507" t="str">
            <v/>
          </cell>
          <cell r="K1507" t="str">
            <v/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</row>
        <row r="1508">
          <cell r="B1508">
            <v>590110</v>
          </cell>
          <cell r="C1508" t="str">
            <v>NOT USED</v>
          </cell>
          <cell r="D1508" t="str">
            <v>TRAVEL - TRANSPORTATION</v>
          </cell>
          <cell r="E1508" t="str">
            <v/>
          </cell>
          <cell r="F1508" t="str">
            <v/>
          </cell>
          <cell r="G1508" t="str">
            <v/>
          </cell>
          <cell r="H1508" t="str">
            <v/>
          </cell>
          <cell r="I1508" t="str">
            <v/>
          </cell>
          <cell r="J1508" t="str">
            <v/>
          </cell>
          <cell r="K1508" t="str">
            <v/>
          </cell>
          <cell r="L1508">
            <v>126.67074</v>
          </cell>
          <cell r="M1508">
            <v>2.2806099999999998</v>
          </cell>
          <cell r="N1508">
            <v>4.9466000000000001</v>
          </cell>
          <cell r="O1508">
            <v>12.456619999999999</v>
          </cell>
          <cell r="P1508">
            <v>19.00656</v>
          </cell>
          <cell r="Q1508">
            <v>26.800560000000001</v>
          </cell>
          <cell r="R1508">
            <v>36.948360000000001</v>
          </cell>
          <cell r="S1508">
            <v>45.073790000000002</v>
          </cell>
          <cell r="T1508">
            <v>51.050109999999997</v>
          </cell>
          <cell r="U1508">
            <v>59.077100000000002</v>
          </cell>
          <cell r="V1508">
            <v>76.273539999999997</v>
          </cell>
          <cell r="W1508">
            <v>86.294060000000002</v>
          </cell>
          <cell r="X1508">
            <v>75.41198</v>
          </cell>
          <cell r="Y1508">
            <v>43.437438999999998</v>
          </cell>
        </row>
        <row r="1509">
          <cell r="B1509">
            <v>590111</v>
          </cell>
          <cell r="C1509" t="str">
            <v>NOT USED</v>
          </cell>
          <cell r="D1509" t="str">
            <v>EEPS-EMPLOYEE TRANSPORTATION</v>
          </cell>
          <cell r="E1509" t="str">
            <v/>
          </cell>
          <cell r="F1509" t="str">
            <v/>
          </cell>
          <cell r="G1509" t="str">
            <v/>
          </cell>
          <cell r="H1509" t="str">
            <v/>
          </cell>
          <cell r="I1509" t="str">
            <v/>
          </cell>
          <cell r="J1509" t="str">
            <v/>
          </cell>
          <cell r="K1509" t="str">
            <v/>
          </cell>
          <cell r="O1509">
            <v>4.4000000000000003E-3</v>
          </cell>
          <cell r="P1509">
            <v>1.056E-2</v>
          </cell>
          <cell r="Q1509">
            <v>0.20449999999999999</v>
          </cell>
          <cell r="R1509">
            <v>0.98501000000000005</v>
          </cell>
          <cell r="S1509">
            <v>1.07805</v>
          </cell>
          <cell r="T1509">
            <v>1.0894900000000001</v>
          </cell>
          <cell r="U1509">
            <v>1.0894900000000001</v>
          </cell>
          <cell r="V1509">
            <v>1.12117</v>
          </cell>
          <cell r="W1509">
            <v>0.96089999999999998</v>
          </cell>
          <cell r="X1509">
            <v>1.2533799999999999</v>
          </cell>
          <cell r="Y1509">
            <v>0.597522</v>
          </cell>
        </row>
        <row r="1510">
          <cell r="B1510">
            <v>590120</v>
          </cell>
          <cell r="C1510" t="str">
            <v>NOT USED</v>
          </cell>
          <cell r="D1510" t="str">
            <v>TRAVEL - MEALS AND ENTERTAINMENT</v>
          </cell>
          <cell r="E1510" t="str">
            <v/>
          </cell>
          <cell r="F1510" t="str">
            <v/>
          </cell>
          <cell r="G1510" t="str">
            <v/>
          </cell>
          <cell r="H1510" t="str">
            <v/>
          </cell>
          <cell r="I1510" t="str">
            <v/>
          </cell>
          <cell r="J1510" t="str">
            <v/>
          </cell>
          <cell r="K1510" t="str">
            <v/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</row>
        <row r="1511">
          <cell r="B1511">
            <v>590121</v>
          </cell>
          <cell r="C1511" t="str">
            <v>NOT USED</v>
          </cell>
          <cell r="D1511" t="str">
            <v>OFFICER TRAVEL-MEALS&amp;ENTERTAIN (NON-TAX)</v>
          </cell>
          <cell r="E1511" t="str">
            <v/>
          </cell>
          <cell r="F1511" t="str">
            <v/>
          </cell>
          <cell r="G1511" t="str">
            <v/>
          </cell>
          <cell r="H1511" t="str">
            <v/>
          </cell>
          <cell r="I1511" t="str">
            <v/>
          </cell>
          <cell r="J1511" t="str">
            <v/>
          </cell>
          <cell r="K1511" t="str">
            <v/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</row>
        <row r="1512">
          <cell r="B1512">
            <v>590130</v>
          </cell>
          <cell r="C1512" t="str">
            <v>NOT USED</v>
          </cell>
          <cell r="D1512" t="str">
            <v>TRAVEL - MILEAGE</v>
          </cell>
          <cell r="E1512" t="str">
            <v/>
          </cell>
          <cell r="F1512" t="str">
            <v/>
          </cell>
          <cell r="G1512" t="str">
            <v/>
          </cell>
          <cell r="H1512" t="str">
            <v/>
          </cell>
          <cell r="I1512" t="str">
            <v/>
          </cell>
          <cell r="J1512" t="str">
            <v/>
          </cell>
          <cell r="K1512" t="str">
            <v/>
          </cell>
          <cell r="L1512">
            <v>302.36342000000002</v>
          </cell>
          <cell r="M1512">
            <v>13.829879999999999</v>
          </cell>
          <cell r="N1512">
            <v>38.424079999999996</v>
          </cell>
          <cell r="O1512">
            <v>58.660530000000001</v>
          </cell>
          <cell r="P1512">
            <v>91.633179999999996</v>
          </cell>
          <cell r="Q1512">
            <v>117.82763</v>
          </cell>
          <cell r="R1512">
            <v>144.26644999999999</v>
          </cell>
          <cell r="S1512">
            <v>169.99806000000001</v>
          </cell>
          <cell r="T1512">
            <v>195.24879999999999</v>
          </cell>
          <cell r="U1512">
            <v>235.39534</v>
          </cell>
          <cell r="V1512">
            <v>263.69096999999999</v>
          </cell>
          <cell r="W1512">
            <v>290.30376999999999</v>
          </cell>
          <cell r="X1512">
            <v>313.43781000000001</v>
          </cell>
          <cell r="Y1512">
            <v>160.598275</v>
          </cell>
        </row>
        <row r="1513">
          <cell r="B1513">
            <v>590200</v>
          </cell>
          <cell r="C1513" t="str">
            <v>NOT USED</v>
          </cell>
          <cell r="D1513" t="str">
            <v>TRAINING - REGISTRATION FEES</v>
          </cell>
          <cell r="E1513" t="str">
            <v/>
          </cell>
          <cell r="F1513" t="str">
            <v/>
          </cell>
          <cell r="G1513" t="str">
            <v/>
          </cell>
          <cell r="H1513" t="str">
            <v/>
          </cell>
          <cell r="I1513" t="str">
            <v/>
          </cell>
          <cell r="J1513" t="str">
            <v/>
          </cell>
          <cell r="K1513" t="str">
            <v/>
          </cell>
          <cell r="L1513">
            <v>10.668329999999999</v>
          </cell>
          <cell r="M1513">
            <v>1.7444599999999999</v>
          </cell>
          <cell r="N1513">
            <v>1.9094599999999999</v>
          </cell>
          <cell r="O1513">
            <v>2.7914599999999998</v>
          </cell>
          <cell r="P1513">
            <v>5.3850600000000002</v>
          </cell>
          <cell r="Q1513">
            <v>11.55016</v>
          </cell>
          <cell r="R1513">
            <v>17.071660000000001</v>
          </cell>
          <cell r="S1513">
            <v>18.669409999999999</v>
          </cell>
          <cell r="T1513">
            <v>23.44641</v>
          </cell>
          <cell r="U1513">
            <v>23.738409999999998</v>
          </cell>
          <cell r="V1513">
            <v>30.096810000000001</v>
          </cell>
          <cell r="W1513">
            <v>40.806310000000003</v>
          </cell>
          <cell r="X1513">
            <v>54.87988</v>
          </cell>
          <cell r="Y1513">
            <v>17.498643000000001</v>
          </cell>
        </row>
        <row r="1514">
          <cell r="B1514">
            <v>590202</v>
          </cell>
          <cell r="C1514" t="str">
            <v>NOT USED</v>
          </cell>
          <cell r="D1514" t="str">
            <v>TRAINING - MANAGEMENT AND PROFESSIONAL DEVELOPMEN</v>
          </cell>
          <cell r="E1514" t="str">
            <v/>
          </cell>
          <cell r="F1514" t="str">
            <v/>
          </cell>
          <cell r="G1514" t="str">
            <v/>
          </cell>
          <cell r="H1514" t="str">
            <v/>
          </cell>
          <cell r="I1514" t="str">
            <v/>
          </cell>
          <cell r="J1514" t="str">
            <v/>
          </cell>
          <cell r="K1514" t="str">
            <v/>
          </cell>
          <cell r="V1514">
            <v>1.09795</v>
          </cell>
          <cell r="W1514">
            <v>1.12696</v>
          </cell>
          <cell r="X1514">
            <v>1.9517500000000001</v>
          </cell>
          <cell r="Y1514">
            <v>0.26673200000000002</v>
          </cell>
        </row>
        <row r="1515">
          <cell r="B1515">
            <v>590205</v>
          </cell>
          <cell r="C1515" t="str">
            <v>NOT USED</v>
          </cell>
          <cell r="D1515" t="str">
            <v>TRAINING - MANAGEMENT AND PROFESSIONAL DEVELOPMEN</v>
          </cell>
          <cell r="E1515" t="str">
            <v/>
          </cell>
          <cell r="F1515" t="str">
            <v/>
          </cell>
          <cell r="G1515" t="str">
            <v/>
          </cell>
          <cell r="H1515" t="str">
            <v/>
          </cell>
          <cell r="I1515" t="str">
            <v/>
          </cell>
          <cell r="J1515" t="str">
            <v/>
          </cell>
          <cell r="K1515" t="str">
            <v/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</row>
        <row r="1516">
          <cell r="B1516">
            <v>590210</v>
          </cell>
          <cell r="C1516" t="str">
            <v>NOT USED</v>
          </cell>
          <cell r="D1516" t="str">
            <v>TRAINING - MATERIALS AND OTHER</v>
          </cell>
          <cell r="E1516" t="str">
            <v/>
          </cell>
          <cell r="F1516" t="str">
            <v/>
          </cell>
          <cell r="G1516" t="str">
            <v/>
          </cell>
          <cell r="H1516" t="str">
            <v/>
          </cell>
          <cell r="I1516" t="str">
            <v/>
          </cell>
          <cell r="J1516" t="str">
            <v/>
          </cell>
          <cell r="K1516" t="str">
            <v/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</row>
        <row r="1517">
          <cell r="B1517">
            <v>590225</v>
          </cell>
          <cell r="C1517" t="str">
            <v>NOT USED</v>
          </cell>
          <cell r="D1517" t="str">
            <v>EMPLOYEE - MEALS</v>
          </cell>
          <cell r="E1517" t="str">
            <v/>
          </cell>
          <cell r="F1517" t="str">
            <v/>
          </cell>
          <cell r="G1517" t="str">
            <v/>
          </cell>
          <cell r="H1517" t="str">
            <v/>
          </cell>
          <cell r="I1517" t="str">
            <v/>
          </cell>
          <cell r="J1517" t="str">
            <v/>
          </cell>
          <cell r="K1517" t="str">
            <v/>
          </cell>
          <cell r="L1517">
            <v>95.034040000000005</v>
          </cell>
          <cell r="M1517">
            <v>6.2148199999999996</v>
          </cell>
          <cell r="N1517">
            <v>8.7655999999999992</v>
          </cell>
          <cell r="O1517">
            <v>13.32166</v>
          </cell>
          <cell r="P1517">
            <v>20.87312</v>
          </cell>
          <cell r="Q1517">
            <v>28.582460000000001</v>
          </cell>
          <cell r="R1517">
            <v>37.149529999999999</v>
          </cell>
          <cell r="S1517">
            <v>44.622459999999997</v>
          </cell>
          <cell r="T1517">
            <v>53.30592</v>
          </cell>
          <cell r="U1517">
            <v>59.596420000000002</v>
          </cell>
          <cell r="V1517">
            <v>72.637339999999995</v>
          </cell>
          <cell r="W1517">
            <v>81.372590000000002</v>
          </cell>
          <cell r="X1517">
            <v>106.59914000000001</v>
          </cell>
          <cell r="Y1517">
            <v>43.938209000000001</v>
          </cell>
        </row>
        <row r="1518">
          <cell r="B1518">
            <v>590226</v>
          </cell>
          <cell r="C1518" t="str">
            <v>NOT USED</v>
          </cell>
          <cell r="D1518" t="str">
            <v>MEAL ENTITLEMENT</v>
          </cell>
          <cell r="E1518" t="str">
            <v/>
          </cell>
          <cell r="F1518" t="str">
            <v/>
          </cell>
          <cell r="G1518" t="str">
            <v/>
          </cell>
          <cell r="H1518" t="str">
            <v/>
          </cell>
          <cell r="I1518" t="str">
            <v/>
          </cell>
          <cell r="J1518" t="str">
            <v/>
          </cell>
          <cell r="K1518" t="str">
            <v/>
          </cell>
          <cell r="L1518">
            <v>1.7999999999999999E-2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-1.25</v>
          </cell>
          <cell r="U1518">
            <v>-1.25</v>
          </cell>
          <cell r="V1518">
            <v>-1.25</v>
          </cell>
          <cell r="W1518">
            <v>-1.25</v>
          </cell>
          <cell r="X1518">
            <v>-1.25</v>
          </cell>
          <cell r="Y1518">
            <v>-0.46800000000000003</v>
          </cell>
        </row>
        <row r="1519">
          <cell r="B1519">
            <v>590227</v>
          </cell>
          <cell r="C1519" t="str">
            <v>NOT USED</v>
          </cell>
          <cell r="D1519" t="str">
            <v>EEPS-EMPLOYEE - MEALS</v>
          </cell>
          <cell r="E1519" t="str">
            <v/>
          </cell>
          <cell r="F1519" t="str">
            <v/>
          </cell>
          <cell r="G1519" t="str">
            <v/>
          </cell>
          <cell r="H1519" t="str">
            <v/>
          </cell>
          <cell r="I1519" t="str">
            <v/>
          </cell>
          <cell r="J1519" t="str">
            <v/>
          </cell>
          <cell r="K1519" t="str">
            <v/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0.11501</v>
          </cell>
          <cell r="Q1519">
            <v>0.22153</v>
          </cell>
          <cell r="R1519">
            <v>0.36057</v>
          </cell>
          <cell r="S1519">
            <v>0.46615000000000001</v>
          </cell>
          <cell r="T1519">
            <v>0.59665999999999997</v>
          </cell>
          <cell r="U1519">
            <v>0.63246000000000002</v>
          </cell>
          <cell r="V1519">
            <v>0.65890000000000004</v>
          </cell>
          <cell r="W1519">
            <v>0.68067</v>
          </cell>
          <cell r="X1519">
            <v>1.1653</v>
          </cell>
          <cell r="Y1519">
            <v>0.35954999999999998</v>
          </cell>
        </row>
        <row r="1520">
          <cell r="B1520">
            <v>590230</v>
          </cell>
          <cell r="C1520" t="str">
            <v>NOT USED</v>
          </cell>
          <cell r="D1520" t="str">
            <v>EMPLOYEE - MEALS - NON-TAXABLE TO EMPLOYEE</v>
          </cell>
          <cell r="E1520" t="str">
            <v/>
          </cell>
          <cell r="F1520" t="str">
            <v/>
          </cell>
          <cell r="G1520" t="str">
            <v/>
          </cell>
          <cell r="H1520" t="str">
            <v/>
          </cell>
          <cell r="I1520" t="str">
            <v/>
          </cell>
          <cell r="J1520" t="str">
            <v/>
          </cell>
          <cell r="K1520" t="str">
            <v/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</row>
        <row r="1521">
          <cell r="B1521">
            <v>590235</v>
          </cell>
          <cell r="C1521" t="str">
            <v>NOT USED</v>
          </cell>
          <cell r="D1521" t="str">
            <v>EMPLOYEE - MEALS - TAXABLE TO EMPLOYEE</v>
          </cell>
          <cell r="E1521" t="str">
            <v/>
          </cell>
          <cell r="F1521" t="str">
            <v/>
          </cell>
          <cell r="G1521" t="str">
            <v/>
          </cell>
          <cell r="H1521" t="str">
            <v/>
          </cell>
          <cell r="I1521" t="str">
            <v/>
          </cell>
          <cell r="J1521" t="str">
            <v/>
          </cell>
          <cell r="K1521" t="str">
            <v/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</row>
        <row r="1522">
          <cell r="B1522">
            <v>590240</v>
          </cell>
          <cell r="C1522" t="str">
            <v>NOT USED</v>
          </cell>
          <cell r="D1522" t="str">
            <v>EMPLOYEE - MEALS - COMPANY SPONSORED EVENTS</v>
          </cell>
          <cell r="E1522" t="str">
            <v/>
          </cell>
          <cell r="F1522" t="str">
            <v/>
          </cell>
          <cell r="G1522" t="str">
            <v/>
          </cell>
          <cell r="H1522" t="str">
            <v/>
          </cell>
          <cell r="I1522" t="str">
            <v/>
          </cell>
          <cell r="J1522" t="str">
            <v/>
          </cell>
          <cell r="K1522" t="str">
            <v/>
          </cell>
          <cell r="L1522">
            <v>0.29315999999999998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1.2215E-2</v>
          </cell>
        </row>
        <row r="1523">
          <cell r="B1523">
            <v>590245</v>
          </cell>
          <cell r="C1523" t="str">
            <v>NOT USED</v>
          </cell>
          <cell r="D1523" t="str">
            <v>EMPLOYEE - LODGING</v>
          </cell>
          <cell r="E1523" t="str">
            <v/>
          </cell>
          <cell r="F1523" t="str">
            <v/>
          </cell>
          <cell r="G1523" t="str">
            <v/>
          </cell>
          <cell r="H1523" t="str">
            <v/>
          </cell>
          <cell r="I1523" t="str">
            <v/>
          </cell>
          <cell r="J1523" t="str">
            <v/>
          </cell>
          <cell r="K1523" t="str">
            <v/>
          </cell>
          <cell r="L1523">
            <v>147.90096</v>
          </cell>
          <cell r="M1523">
            <v>2.2122299999999999</v>
          </cell>
          <cell r="N1523">
            <v>7.1151200000000001</v>
          </cell>
          <cell r="O1523">
            <v>20.320589999999999</v>
          </cell>
          <cell r="P1523">
            <v>30.11928</v>
          </cell>
          <cell r="Q1523">
            <v>39.828040000000001</v>
          </cell>
          <cell r="R1523">
            <v>64.631990000000002</v>
          </cell>
          <cell r="S1523">
            <v>76.773210000000006</v>
          </cell>
          <cell r="T1523">
            <v>90.334220000000002</v>
          </cell>
          <cell r="U1523">
            <v>97.470529999999997</v>
          </cell>
          <cell r="V1523">
            <v>113.93068</v>
          </cell>
          <cell r="W1523">
            <v>134.90701000000001</v>
          </cell>
          <cell r="X1523">
            <v>161.93594999999999</v>
          </cell>
          <cell r="Y1523">
            <v>69.380112999999994</v>
          </cell>
        </row>
        <row r="1524">
          <cell r="B1524">
            <v>590246</v>
          </cell>
          <cell r="C1524" t="str">
            <v>NOT USED</v>
          </cell>
          <cell r="D1524" t="str">
            <v>EEPS-EMPLOYEE - LODGING</v>
          </cell>
          <cell r="E1524" t="str">
            <v/>
          </cell>
          <cell r="F1524" t="str">
            <v/>
          </cell>
          <cell r="G1524" t="str">
            <v/>
          </cell>
          <cell r="H1524" t="str">
            <v/>
          </cell>
          <cell r="I1524" t="str">
            <v/>
          </cell>
          <cell r="J1524" t="str">
            <v/>
          </cell>
          <cell r="K1524" t="str">
            <v/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0.41208</v>
          </cell>
          <cell r="Q1524">
            <v>0.70998000000000006</v>
          </cell>
          <cell r="R1524">
            <v>0.70998000000000006</v>
          </cell>
          <cell r="S1524">
            <v>1.3972599999999999</v>
          </cell>
          <cell r="T1524">
            <v>1.3972599999999999</v>
          </cell>
          <cell r="U1524">
            <v>1.58849</v>
          </cell>
          <cell r="V1524">
            <v>1.8346</v>
          </cell>
          <cell r="W1524">
            <v>2.6238600000000001</v>
          </cell>
          <cell r="X1524">
            <v>3.8289399999999998</v>
          </cell>
          <cell r="Y1524">
            <v>1.0489980000000001</v>
          </cell>
        </row>
        <row r="1525">
          <cell r="B1525">
            <v>590250</v>
          </cell>
          <cell r="C1525" t="str">
            <v>NOT USED</v>
          </cell>
          <cell r="D1525" t="str">
            <v>EMPLOYEE - MEMBERSHIP DUES</v>
          </cell>
          <cell r="E1525" t="str">
            <v/>
          </cell>
          <cell r="F1525" t="str">
            <v/>
          </cell>
          <cell r="G1525" t="str">
            <v/>
          </cell>
          <cell r="H1525" t="str">
            <v/>
          </cell>
          <cell r="I1525" t="str">
            <v/>
          </cell>
          <cell r="J1525" t="str">
            <v/>
          </cell>
          <cell r="K1525" t="str">
            <v/>
          </cell>
          <cell r="L1525">
            <v>13.10009</v>
          </cell>
          <cell r="M1525">
            <v>9.1499999999999998E-2</v>
          </cell>
          <cell r="N1525">
            <v>0.86899999999999999</v>
          </cell>
          <cell r="O1525">
            <v>0.86899999999999999</v>
          </cell>
          <cell r="P1525">
            <v>2.2768600000000001</v>
          </cell>
          <cell r="Q1525">
            <v>4.5116399999999999</v>
          </cell>
          <cell r="R1525">
            <v>4.7563199999999997</v>
          </cell>
          <cell r="S1525">
            <v>5.4509999999999996</v>
          </cell>
          <cell r="T1525">
            <v>6.2510000000000003</v>
          </cell>
          <cell r="U1525">
            <v>6.4260000000000002</v>
          </cell>
          <cell r="V1525">
            <v>7.1414999999999997</v>
          </cell>
          <cell r="W1525">
            <v>13.9415</v>
          </cell>
          <cell r="X1525">
            <v>15.554500000000001</v>
          </cell>
          <cell r="Y1525">
            <v>5.5760509999999996</v>
          </cell>
        </row>
        <row r="1526">
          <cell r="B1526">
            <v>590251</v>
          </cell>
          <cell r="C1526" t="str">
            <v>NOT USED</v>
          </cell>
          <cell r="D1526" t="str">
            <v>EEPS-EMPLOYEE - MEMBERSHIP DUES</v>
          </cell>
          <cell r="E1526" t="str">
            <v/>
          </cell>
          <cell r="F1526" t="str">
            <v/>
          </cell>
          <cell r="G1526" t="str">
            <v/>
          </cell>
          <cell r="H1526" t="str">
            <v/>
          </cell>
          <cell r="I1526" t="str">
            <v/>
          </cell>
          <cell r="J1526" t="str">
            <v/>
          </cell>
          <cell r="K1526" t="str">
            <v/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2.2000000000000002</v>
          </cell>
          <cell r="U1526">
            <v>2.2000000000000002</v>
          </cell>
          <cell r="V1526">
            <v>2.2000000000000002</v>
          </cell>
          <cell r="W1526">
            <v>2.2000000000000002</v>
          </cell>
          <cell r="X1526">
            <v>2.2000000000000002</v>
          </cell>
          <cell r="Y1526">
            <v>0.82499999999999996</v>
          </cell>
        </row>
        <row r="1527">
          <cell r="B1527">
            <v>590255</v>
          </cell>
          <cell r="C1527" t="str">
            <v>NOT USED</v>
          </cell>
          <cell r="D1527" t="str">
            <v>EMPLOYEE - ENTERTAINMENT EXPENSES</v>
          </cell>
          <cell r="E1527" t="str">
            <v/>
          </cell>
          <cell r="F1527" t="str">
            <v/>
          </cell>
          <cell r="G1527" t="str">
            <v/>
          </cell>
          <cell r="H1527" t="str">
            <v/>
          </cell>
          <cell r="I1527" t="str">
            <v/>
          </cell>
          <cell r="J1527" t="str">
            <v/>
          </cell>
          <cell r="K1527" t="str">
            <v/>
          </cell>
          <cell r="L1527">
            <v>0.11912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0.27789000000000003</v>
          </cell>
          <cell r="W1527">
            <v>0.30288999999999999</v>
          </cell>
          <cell r="X1527">
            <v>0.30288999999999999</v>
          </cell>
          <cell r="Y1527">
            <v>6.5981999999999999E-2</v>
          </cell>
        </row>
        <row r="1528">
          <cell r="B1528">
            <v>590260</v>
          </cell>
          <cell r="C1528" t="str">
            <v>NOT USED</v>
          </cell>
          <cell r="D1528" t="str">
            <v>EMPLOYEE (OFFICERS) - CLUB DUES</v>
          </cell>
          <cell r="E1528" t="str">
            <v/>
          </cell>
          <cell r="F1528" t="str">
            <v/>
          </cell>
          <cell r="G1528" t="str">
            <v/>
          </cell>
          <cell r="H1528" t="str">
            <v/>
          </cell>
          <cell r="I1528" t="str">
            <v/>
          </cell>
          <cell r="J1528" t="str">
            <v/>
          </cell>
          <cell r="K1528" t="str">
            <v/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</row>
        <row r="1529">
          <cell r="B1529">
            <v>590300</v>
          </cell>
          <cell r="C1529" t="str">
            <v>NOT USED</v>
          </cell>
          <cell r="D1529" t="str">
            <v>MEMBERSHIPS &amp; SUBSCRIPTIONS</v>
          </cell>
          <cell r="E1529" t="str">
            <v/>
          </cell>
          <cell r="F1529" t="str">
            <v/>
          </cell>
          <cell r="G1529" t="str">
            <v/>
          </cell>
          <cell r="H1529" t="str">
            <v/>
          </cell>
          <cell r="I1529" t="str">
            <v/>
          </cell>
          <cell r="J1529" t="str">
            <v/>
          </cell>
          <cell r="K1529" t="str">
            <v/>
          </cell>
          <cell r="L1529">
            <v>48.969540000000002</v>
          </cell>
          <cell r="M1529">
            <v>8.65</v>
          </cell>
          <cell r="N1529">
            <v>9.8696999999999999</v>
          </cell>
          <cell r="O1529">
            <v>28.25197</v>
          </cell>
          <cell r="P1529">
            <v>31.328880000000002</v>
          </cell>
          <cell r="Q1529">
            <v>32.667589999999997</v>
          </cell>
          <cell r="R1529">
            <v>47.20429</v>
          </cell>
          <cell r="S1529">
            <v>50.258020000000002</v>
          </cell>
          <cell r="T1529">
            <v>50.43676</v>
          </cell>
          <cell r="U1529">
            <v>65.11206</v>
          </cell>
          <cell r="V1529">
            <v>68.643349999999998</v>
          </cell>
          <cell r="W1529">
            <v>70.148420000000002</v>
          </cell>
          <cell r="X1529">
            <v>71.96208</v>
          </cell>
          <cell r="Y1529">
            <v>43.586404000000002</v>
          </cell>
        </row>
        <row r="1530">
          <cell r="B1530">
            <v>590301</v>
          </cell>
          <cell r="C1530" t="str">
            <v>NOT USED</v>
          </cell>
          <cell r="D1530" t="str">
            <v>CORPORATE DUES&amp;MEMBERSHIPS FEES</v>
          </cell>
          <cell r="E1530" t="str">
            <v/>
          </cell>
          <cell r="F1530" t="str">
            <v/>
          </cell>
          <cell r="G1530" t="str">
            <v/>
          </cell>
          <cell r="H1530" t="str">
            <v/>
          </cell>
          <cell r="I1530" t="str">
            <v/>
          </cell>
          <cell r="J1530" t="str">
            <v/>
          </cell>
          <cell r="K1530" t="str">
            <v/>
          </cell>
          <cell r="L1530">
            <v>61.662500000000001</v>
          </cell>
          <cell r="M1530">
            <v>0</v>
          </cell>
          <cell r="N1530">
            <v>0.125</v>
          </cell>
          <cell r="O1530">
            <v>0.55000000000000004</v>
          </cell>
          <cell r="P1530">
            <v>98.510279999999995</v>
          </cell>
          <cell r="Q1530">
            <v>101.51027999999999</v>
          </cell>
          <cell r="R1530">
            <v>98.510279999999995</v>
          </cell>
          <cell r="S1530">
            <v>98.956280000000007</v>
          </cell>
          <cell r="T1530">
            <v>98.956280000000007</v>
          </cell>
          <cell r="U1530">
            <v>99.301280000000006</v>
          </cell>
          <cell r="V1530">
            <v>99.301280000000006</v>
          </cell>
          <cell r="W1530">
            <v>102.04628</v>
          </cell>
          <cell r="X1530">
            <v>151.36870999999999</v>
          </cell>
          <cell r="Y1530">
            <v>75.356904</v>
          </cell>
        </row>
        <row r="1531">
          <cell r="B1531">
            <v>590390</v>
          </cell>
          <cell r="C1531" t="str">
            <v>NOT USED</v>
          </cell>
          <cell r="D1531" t="str">
            <v>GENERAL - CARRY FORWARD BALANCE TRANSFERS</v>
          </cell>
          <cell r="E1531" t="str">
            <v/>
          </cell>
          <cell r="F1531" t="str">
            <v/>
          </cell>
          <cell r="G1531" t="str">
            <v/>
          </cell>
          <cell r="H1531" t="str">
            <v/>
          </cell>
          <cell r="I1531" t="str">
            <v/>
          </cell>
          <cell r="J1531" t="str">
            <v/>
          </cell>
          <cell r="K1531" t="str">
            <v/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</row>
        <row r="1532">
          <cell r="B1532">
            <v>590400</v>
          </cell>
          <cell r="C1532" t="str">
            <v>NOT USED</v>
          </cell>
          <cell r="D1532" t="str">
            <v>GENERAL - CIAC-TAXABLE</v>
          </cell>
          <cell r="E1532" t="str">
            <v/>
          </cell>
          <cell r="F1532" t="str">
            <v/>
          </cell>
          <cell r="G1532" t="str">
            <v/>
          </cell>
          <cell r="H1532" t="str">
            <v/>
          </cell>
          <cell r="I1532" t="str">
            <v/>
          </cell>
          <cell r="J1532" t="str">
            <v/>
          </cell>
          <cell r="K1532" t="str">
            <v/>
          </cell>
          <cell r="L1532">
            <v>-3480.93768</v>
          </cell>
          <cell r="M1532">
            <v>-68.197270000000003</v>
          </cell>
          <cell r="N1532">
            <v>-143.45756</v>
          </cell>
          <cell r="O1532">
            <v>-312.25202000000002</v>
          </cell>
          <cell r="P1532">
            <v>-453.47773999999998</v>
          </cell>
          <cell r="Q1532">
            <v>-624.69091000000003</v>
          </cell>
          <cell r="R1532">
            <v>-1001.56697</v>
          </cell>
          <cell r="S1532">
            <v>-1530.1476</v>
          </cell>
          <cell r="T1532">
            <v>-1689.2198000000001</v>
          </cell>
          <cell r="U1532">
            <v>-1778.55466</v>
          </cell>
          <cell r="V1532">
            <v>-2061.9007200000001</v>
          </cell>
          <cell r="W1532">
            <v>-2217.16131</v>
          </cell>
          <cell r="X1532">
            <v>-2350.1587300000001</v>
          </cell>
          <cell r="Y1532">
            <v>-1233.0145640000001</v>
          </cell>
        </row>
        <row r="1533">
          <cell r="B1533">
            <v>590405</v>
          </cell>
          <cell r="C1533" t="str">
            <v>NOT USED</v>
          </cell>
          <cell r="D1533" t="str">
            <v>GENERAL - CIAC-NONTAXABLE</v>
          </cell>
          <cell r="E1533" t="str">
            <v/>
          </cell>
          <cell r="F1533" t="str">
            <v/>
          </cell>
          <cell r="G1533" t="str">
            <v/>
          </cell>
          <cell r="H1533" t="str">
            <v/>
          </cell>
          <cell r="I1533" t="str">
            <v/>
          </cell>
          <cell r="J1533" t="str">
            <v/>
          </cell>
          <cell r="K1533" t="str">
            <v/>
          </cell>
          <cell r="L1533">
            <v>-786.65275999999994</v>
          </cell>
          <cell r="M1533">
            <v>13.629189999999999</v>
          </cell>
          <cell r="N1533">
            <v>-18.792259999999999</v>
          </cell>
          <cell r="O1533">
            <v>-61.498109999999997</v>
          </cell>
          <cell r="P1533">
            <v>-127.45605999999999</v>
          </cell>
          <cell r="Q1533">
            <v>-146.10162</v>
          </cell>
          <cell r="R1533">
            <v>-168.45567</v>
          </cell>
          <cell r="S1533">
            <v>-154.46065999999999</v>
          </cell>
          <cell r="T1533">
            <v>-150.52741</v>
          </cell>
          <cell r="U1533">
            <v>-144.27622</v>
          </cell>
          <cell r="V1533">
            <v>-184.55080000000001</v>
          </cell>
          <cell r="W1533">
            <v>-463.52656999999999</v>
          </cell>
          <cell r="X1533">
            <v>-627.82286999999997</v>
          </cell>
          <cell r="Y1533">
            <v>-192.77116699999999</v>
          </cell>
        </row>
        <row r="1534">
          <cell r="B1534">
            <v>590406</v>
          </cell>
          <cell r="C1534" t="str">
            <v>NOT USED</v>
          </cell>
          <cell r="D1534" t="str">
            <v>GENERAL - GRANTS - CREDIT TO CAPITAL</v>
          </cell>
          <cell r="E1534" t="str">
            <v/>
          </cell>
          <cell r="F1534" t="str">
            <v/>
          </cell>
          <cell r="G1534" t="str">
            <v/>
          </cell>
          <cell r="H1534" t="str">
            <v/>
          </cell>
          <cell r="I1534" t="str">
            <v/>
          </cell>
          <cell r="J1534" t="str">
            <v/>
          </cell>
          <cell r="K1534" t="str">
            <v/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-5.7502399999999998</v>
          </cell>
          <cell r="S1534">
            <v>-7.68187</v>
          </cell>
          <cell r="T1534">
            <v>-7.68187</v>
          </cell>
          <cell r="U1534">
            <v>-7.68187</v>
          </cell>
          <cell r="V1534">
            <v>-7.68187</v>
          </cell>
          <cell r="W1534">
            <v>-31.622990000000001</v>
          </cell>
          <cell r="X1534">
            <v>-623.15261999999996</v>
          </cell>
          <cell r="Y1534">
            <v>-31.639752000000001</v>
          </cell>
        </row>
        <row r="1535">
          <cell r="B1535">
            <v>590408</v>
          </cell>
          <cell r="C1535" t="str">
            <v>NOT USED</v>
          </cell>
          <cell r="D1535" t="str">
            <v>GENERAL-JOINT OWNED ELECTRIC PROPERTY PURCHASES</v>
          </cell>
          <cell r="E1535" t="str">
            <v/>
          </cell>
          <cell r="F1535" t="str">
            <v/>
          </cell>
          <cell r="G1535" t="str">
            <v/>
          </cell>
          <cell r="H1535" t="str">
            <v/>
          </cell>
          <cell r="I1535" t="str">
            <v/>
          </cell>
          <cell r="J1535" t="str">
            <v/>
          </cell>
          <cell r="K1535" t="str">
            <v/>
          </cell>
          <cell r="L1535">
            <v>13.893000000000001</v>
          </cell>
          <cell r="M1535">
            <v>8.3000000000000004E-2</v>
          </cell>
          <cell r="N1535">
            <v>0.16600000000000001</v>
          </cell>
          <cell r="O1535">
            <v>2.6379999999999999</v>
          </cell>
          <cell r="P1535">
            <v>2.6379999999999999</v>
          </cell>
          <cell r="Q1535">
            <v>22.263000000000002</v>
          </cell>
          <cell r="R1535">
            <v>31.067</v>
          </cell>
          <cell r="S1535">
            <v>34.137999999999998</v>
          </cell>
          <cell r="T1535">
            <v>36.927</v>
          </cell>
          <cell r="U1535">
            <v>40.027999999999999</v>
          </cell>
          <cell r="V1535">
            <v>40.027999999999999</v>
          </cell>
          <cell r="W1535">
            <v>53.423000000000002</v>
          </cell>
          <cell r="X1535">
            <v>53.423000000000002</v>
          </cell>
          <cell r="Y1535">
            <v>24.754750000000001</v>
          </cell>
        </row>
        <row r="1536">
          <cell r="B1536">
            <v>590409</v>
          </cell>
          <cell r="C1536" t="str">
            <v>NOT USED</v>
          </cell>
          <cell r="D1536" t="str">
            <v>JOINT OWNED ELECTRIC PROPERTY SALES</v>
          </cell>
          <cell r="E1536" t="str">
            <v/>
          </cell>
          <cell r="F1536" t="str">
            <v/>
          </cell>
          <cell r="G1536" t="str">
            <v/>
          </cell>
          <cell r="H1536" t="str">
            <v/>
          </cell>
          <cell r="I1536" t="str">
            <v/>
          </cell>
          <cell r="J1536" t="str">
            <v/>
          </cell>
          <cell r="K1536" t="str">
            <v/>
          </cell>
          <cell r="L1536">
            <v>-558.77350000000001</v>
          </cell>
          <cell r="M1536">
            <v>-69.357740000000007</v>
          </cell>
          <cell r="N1536">
            <v>-107.27464000000001</v>
          </cell>
          <cell r="O1536">
            <v>-139.49163999999999</v>
          </cell>
          <cell r="P1536">
            <v>-152.69408999999999</v>
          </cell>
          <cell r="Q1536">
            <v>-146.26209</v>
          </cell>
          <cell r="R1536">
            <v>-207.06009</v>
          </cell>
          <cell r="S1536">
            <v>-229.64909</v>
          </cell>
          <cell r="T1536">
            <v>-236.42309</v>
          </cell>
          <cell r="U1536">
            <v>-247.62409</v>
          </cell>
          <cell r="V1536">
            <v>-307.57909000000001</v>
          </cell>
          <cell r="W1536">
            <v>-316.38709</v>
          </cell>
          <cell r="X1536">
            <v>-315.61509000000001</v>
          </cell>
          <cell r="Y1536">
            <v>-216.41641999999999</v>
          </cell>
        </row>
        <row r="1537">
          <cell r="B1537">
            <v>590410</v>
          </cell>
          <cell r="C1537" t="str">
            <v>NOT USED</v>
          </cell>
          <cell r="D1537" t="str">
            <v>GENERAL - MISCELLANEOUS BILLING EXPENSES</v>
          </cell>
          <cell r="E1537" t="str">
            <v/>
          </cell>
          <cell r="F1537" t="str">
            <v/>
          </cell>
          <cell r="G1537" t="str">
            <v/>
          </cell>
          <cell r="H1537" t="str">
            <v/>
          </cell>
          <cell r="I1537" t="str">
            <v/>
          </cell>
          <cell r="J1537" t="str">
            <v/>
          </cell>
          <cell r="K1537" t="str">
            <v/>
          </cell>
          <cell r="L1537">
            <v>41.736229999999999</v>
          </cell>
          <cell r="M1537">
            <v>0</v>
          </cell>
          <cell r="N1537">
            <v>3.44699</v>
          </cell>
          <cell r="O1537">
            <v>15.87406</v>
          </cell>
          <cell r="P1537">
            <v>16.908180000000002</v>
          </cell>
          <cell r="Q1537">
            <v>16.908180000000002</v>
          </cell>
          <cell r="R1537">
            <v>18.903829999999999</v>
          </cell>
          <cell r="S1537">
            <v>18.903829999999999</v>
          </cell>
          <cell r="T1537">
            <v>20.74653</v>
          </cell>
          <cell r="U1537">
            <v>24.075089999999999</v>
          </cell>
          <cell r="V1537">
            <v>26.491689999999998</v>
          </cell>
          <cell r="W1537">
            <v>30.5747</v>
          </cell>
          <cell r="X1537">
            <v>30.5747</v>
          </cell>
          <cell r="Y1537">
            <v>19.082379</v>
          </cell>
        </row>
        <row r="1538">
          <cell r="B1538">
            <v>590411</v>
          </cell>
          <cell r="C1538" t="str">
            <v>NOT USED</v>
          </cell>
          <cell r="D1538" t="str">
            <v>GENERAL - LOW INCOME PROGRAM</v>
          </cell>
          <cell r="E1538" t="str">
            <v/>
          </cell>
          <cell r="F1538" t="str">
            <v/>
          </cell>
          <cell r="G1538" t="str">
            <v/>
          </cell>
          <cell r="H1538" t="str">
            <v/>
          </cell>
          <cell r="I1538" t="str">
            <v/>
          </cell>
          <cell r="J1538" t="str">
            <v/>
          </cell>
          <cell r="K1538" t="str">
            <v/>
          </cell>
          <cell r="L1538">
            <v>816.96972000000005</v>
          </cell>
          <cell r="M1538">
            <v>377.15994000000001</v>
          </cell>
          <cell r="N1538">
            <v>762.56669999999997</v>
          </cell>
          <cell r="O1538">
            <v>1170.0538799999999</v>
          </cell>
          <cell r="P1538">
            <v>1590.12328</v>
          </cell>
          <cell r="Q1538">
            <v>2021.57996</v>
          </cell>
          <cell r="R1538">
            <v>2459.39113</v>
          </cell>
          <cell r="S1538">
            <v>2896.94668</v>
          </cell>
          <cell r="T1538">
            <v>3337.4482899999998</v>
          </cell>
          <cell r="U1538">
            <v>3770.9750800000002</v>
          </cell>
          <cell r="V1538">
            <v>4202.0535600000003</v>
          </cell>
          <cell r="W1538">
            <v>4624.6392400000004</v>
          </cell>
          <cell r="X1538">
            <v>5103.9306699999997</v>
          </cell>
          <cell r="Y1538">
            <v>2514.4489950000002</v>
          </cell>
        </row>
        <row r="1539">
          <cell r="B1539">
            <v>590415</v>
          </cell>
          <cell r="C1539" t="str">
            <v>NOT USED</v>
          </cell>
          <cell r="D1539" t="str">
            <v>GENERAL - CASH SUNDRIES</v>
          </cell>
          <cell r="E1539" t="str">
            <v/>
          </cell>
          <cell r="F1539" t="str">
            <v/>
          </cell>
          <cell r="G1539" t="str">
            <v/>
          </cell>
          <cell r="H1539" t="str">
            <v/>
          </cell>
          <cell r="I1539" t="str">
            <v/>
          </cell>
          <cell r="J1539" t="str">
            <v/>
          </cell>
          <cell r="K1539" t="str">
            <v/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</row>
        <row r="1540">
          <cell r="B1540">
            <v>590420</v>
          </cell>
          <cell r="C1540" t="str">
            <v>NOT USED</v>
          </cell>
          <cell r="D1540" t="str">
            <v>GENERAL - OVERHEAD LOADING-PLANNING</v>
          </cell>
          <cell r="E1540" t="str">
            <v/>
          </cell>
          <cell r="F1540" t="str">
            <v/>
          </cell>
          <cell r="G1540" t="str">
            <v/>
          </cell>
          <cell r="H1540" t="str">
            <v/>
          </cell>
          <cell r="I1540" t="str">
            <v/>
          </cell>
          <cell r="J1540" t="str">
            <v/>
          </cell>
          <cell r="K1540" t="str">
            <v/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</row>
        <row r="1541">
          <cell r="B1541">
            <v>590422</v>
          </cell>
          <cell r="C1541" t="str">
            <v>NOT USED</v>
          </cell>
          <cell r="D1541" t="str">
            <v>GENERAL - BANK SERVICE FEES</v>
          </cell>
          <cell r="E1541" t="str">
            <v/>
          </cell>
          <cell r="F1541" t="str">
            <v/>
          </cell>
          <cell r="G1541" t="str">
            <v/>
          </cell>
          <cell r="H1541" t="str">
            <v/>
          </cell>
          <cell r="I1541" t="str">
            <v/>
          </cell>
          <cell r="J1541" t="str">
            <v/>
          </cell>
          <cell r="K1541" t="str">
            <v/>
          </cell>
          <cell r="L1541">
            <v>352.23662000000002</v>
          </cell>
          <cell r="M1541">
            <v>62.38599</v>
          </cell>
          <cell r="N1541">
            <v>68.504720000000006</v>
          </cell>
          <cell r="O1541">
            <v>74.262200000000007</v>
          </cell>
          <cell r="P1541">
            <v>83.528279999999995</v>
          </cell>
          <cell r="Q1541">
            <v>93.541780000000003</v>
          </cell>
          <cell r="R1541">
            <v>97.468270000000004</v>
          </cell>
          <cell r="S1541">
            <v>149.32965999999999</v>
          </cell>
          <cell r="T1541">
            <v>153.01465999999999</v>
          </cell>
          <cell r="U1541">
            <v>144.06128000000001</v>
          </cell>
          <cell r="V1541">
            <v>149.85954000000001</v>
          </cell>
          <cell r="W1541">
            <v>153.43755999999999</v>
          </cell>
          <cell r="X1541">
            <v>438.77053000000001</v>
          </cell>
          <cell r="Y1541">
            <v>135.40812600000001</v>
          </cell>
        </row>
        <row r="1542">
          <cell r="B1542">
            <v>590423</v>
          </cell>
          <cell r="C1542" t="str">
            <v>NOT USED</v>
          </cell>
          <cell r="D1542" t="str">
            <v>GENERAL - RATING AGENCY FEES</v>
          </cell>
          <cell r="E1542" t="str">
            <v/>
          </cell>
          <cell r="F1542" t="str">
            <v/>
          </cell>
          <cell r="G1542" t="str">
            <v/>
          </cell>
          <cell r="H1542" t="str">
            <v/>
          </cell>
          <cell r="I1542" t="str">
            <v/>
          </cell>
          <cell r="J1542" t="str">
            <v/>
          </cell>
          <cell r="K1542" t="str">
            <v/>
          </cell>
          <cell r="L1542">
            <v>36.393410000000003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60.570070000000001</v>
          </cell>
          <cell r="W1542">
            <v>60.570070000000001</v>
          </cell>
          <cell r="X1542">
            <v>76.157070000000004</v>
          </cell>
          <cell r="Y1542">
            <v>14.784615000000001</v>
          </cell>
        </row>
        <row r="1543">
          <cell r="B1543">
            <v>590425</v>
          </cell>
          <cell r="C1543" t="str">
            <v>NOT USED</v>
          </cell>
          <cell r="D1543" t="str">
            <v>GENERAL - PURCHASE OF PROPERTY</v>
          </cell>
          <cell r="E1543" t="str">
            <v/>
          </cell>
          <cell r="F1543" t="str">
            <v/>
          </cell>
          <cell r="G1543" t="str">
            <v/>
          </cell>
          <cell r="H1543" t="str">
            <v/>
          </cell>
          <cell r="I1543" t="str">
            <v/>
          </cell>
          <cell r="J1543" t="str">
            <v/>
          </cell>
          <cell r="K1543" t="str">
            <v/>
          </cell>
          <cell r="L1543">
            <v>19.605</v>
          </cell>
          <cell r="M1543">
            <v>0</v>
          </cell>
          <cell r="N1543">
            <v>1</v>
          </cell>
          <cell r="O1543">
            <v>1</v>
          </cell>
          <cell r="P1543">
            <v>1</v>
          </cell>
          <cell r="Q1543">
            <v>7.5</v>
          </cell>
          <cell r="R1543">
            <v>16.004999999999999</v>
          </cell>
          <cell r="S1543">
            <v>16.004999999999999</v>
          </cell>
          <cell r="T1543">
            <v>19.254999999999999</v>
          </cell>
          <cell r="U1543">
            <v>19.254999999999999</v>
          </cell>
          <cell r="V1543">
            <v>19.254999999999999</v>
          </cell>
          <cell r="W1543">
            <v>19.254999999999999</v>
          </cell>
          <cell r="X1543">
            <v>19.483000000000001</v>
          </cell>
          <cell r="Y1543">
            <v>11.589499999999999</v>
          </cell>
        </row>
        <row r="1544">
          <cell r="B1544">
            <v>590430</v>
          </cell>
          <cell r="C1544" t="str">
            <v>NOT USED</v>
          </cell>
          <cell r="D1544" t="str">
            <v>GENERAL - COLLECTIONS - ELECTRIC</v>
          </cell>
          <cell r="E1544" t="str">
            <v/>
          </cell>
          <cell r="F1544" t="str">
            <v/>
          </cell>
          <cell r="G1544" t="str">
            <v/>
          </cell>
          <cell r="H1544" t="str">
            <v/>
          </cell>
          <cell r="I1544" t="str">
            <v/>
          </cell>
          <cell r="J1544" t="str">
            <v/>
          </cell>
          <cell r="K1544" t="str">
            <v/>
          </cell>
          <cell r="L1544">
            <v>1523.1238800000001</v>
          </cell>
          <cell r="M1544">
            <v>23.447469999999999</v>
          </cell>
          <cell r="N1544">
            <v>221.64525</v>
          </cell>
          <cell r="O1544">
            <v>460.88889999999998</v>
          </cell>
          <cell r="P1544">
            <v>607.41859999999997</v>
          </cell>
          <cell r="Q1544">
            <v>716.47388000000001</v>
          </cell>
          <cell r="R1544">
            <v>833.17773999999997</v>
          </cell>
          <cell r="S1544">
            <v>943.03799000000004</v>
          </cell>
          <cell r="T1544">
            <v>992.04521</v>
          </cell>
          <cell r="U1544">
            <v>1087.3731700000001</v>
          </cell>
          <cell r="V1544">
            <v>1111.53801</v>
          </cell>
          <cell r="W1544">
            <v>1175.49504</v>
          </cell>
          <cell r="X1544">
            <v>1531.7369900000001</v>
          </cell>
          <cell r="Y1544">
            <v>808.33097499999997</v>
          </cell>
        </row>
        <row r="1545">
          <cell r="B1545">
            <v>590431</v>
          </cell>
          <cell r="C1545" t="str">
            <v>NOT USED</v>
          </cell>
          <cell r="D1545" t="str">
            <v>GENERAL - COLLECTIONS -GAS</v>
          </cell>
          <cell r="E1545" t="str">
            <v/>
          </cell>
          <cell r="F1545" t="str">
            <v/>
          </cell>
          <cell r="G1545" t="str">
            <v/>
          </cell>
          <cell r="H1545" t="str">
            <v/>
          </cell>
          <cell r="I1545" t="str">
            <v/>
          </cell>
          <cell r="J1545" t="str">
            <v/>
          </cell>
          <cell r="K1545" t="str">
            <v/>
          </cell>
          <cell r="L1545">
            <v>185.33454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7.7222730000000004</v>
          </cell>
        </row>
        <row r="1546">
          <cell r="B1546">
            <v>590432</v>
          </cell>
          <cell r="C1546" t="str">
            <v>NOT USED</v>
          </cell>
          <cell r="D1546" t="str">
            <v>GENERAL-CCS-OVER/SHORT POSTINGS</v>
          </cell>
          <cell r="E1546" t="str">
            <v/>
          </cell>
          <cell r="F1546" t="str">
            <v/>
          </cell>
          <cell r="G1546" t="str">
            <v/>
          </cell>
          <cell r="H1546" t="str">
            <v/>
          </cell>
          <cell r="I1546" t="str">
            <v/>
          </cell>
          <cell r="J1546" t="str">
            <v/>
          </cell>
          <cell r="K1546" t="str">
            <v/>
          </cell>
          <cell r="L1546">
            <v>1.74024</v>
          </cell>
          <cell r="M1546">
            <v>4.5700000000000003E-3</v>
          </cell>
          <cell r="N1546">
            <v>0.27482000000000001</v>
          </cell>
          <cell r="O1546">
            <v>0.59621000000000002</v>
          </cell>
          <cell r="P1546">
            <v>0.75719999999999998</v>
          </cell>
          <cell r="Q1546">
            <v>1.08216</v>
          </cell>
          <cell r="R1546">
            <v>1.4841</v>
          </cell>
          <cell r="S1546">
            <v>2.3762799999999999</v>
          </cell>
          <cell r="T1546">
            <v>2.7868300000000001</v>
          </cell>
          <cell r="U1546">
            <v>2.9102299999999999</v>
          </cell>
          <cell r="V1546">
            <v>3.2548699999999999</v>
          </cell>
          <cell r="W1546">
            <v>3.48732</v>
          </cell>
          <cell r="X1546">
            <v>3.4209000000000001</v>
          </cell>
          <cell r="Y1546">
            <v>1.7995969999999999</v>
          </cell>
        </row>
        <row r="1547">
          <cell r="B1547">
            <v>590433</v>
          </cell>
          <cell r="C1547" t="str">
            <v>NOT USED</v>
          </cell>
          <cell r="D1547" t="str">
            <v>GENERAL-MISCELLANEOUS CUSTOMER ADJUSTMENTS (CCS)</v>
          </cell>
          <cell r="E1547" t="str">
            <v/>
          </cell>
          <cell r="F1547" t="str">
            <v/>
          </cell>
          <cell r="G1547" t="str">
            <v/>
          </cell>
          <cell r="H1547" t="str">
            <v/>
          </cell>
          <cell r="I1547" t="str">
            <v/>
          </cell>
          <cell r="J1547" t="str">
            <v/>
          </cell>
          <cell r="K1547" t="str">
            <v/>
          </cell>
          <cell r="L1547">
            <v>4.5849799999999998</v>
          </cell>
          <cell r="M1547">
            <v>1.1715599999999999</v>
          </cell>
          <cell r="N1547">
            <v>1.30331</v>
          </cell>
          <cell r="O1547">
            <v>1.4292499999999999</v>
          </cell>
          <cell r="P1547">
            <v>1.57369</v>
          </cell>
          <cell r="Q1547">
            <v>1.76478</v>
          </cell>
          <cell r="R1547">
            <v>2.0821900000000002</v>
          </cell>
          <cell r="S1547">
            <v>2.4701599999999999</v>
          </cell>
          <cell r="T1547">
            <v>2.5207299999999999</v>
          </cell>
          <cell r="U1547">
            <v>2.7265100000000002</v>
          </cell>
          <cell r="V1547">
            <v>3.1349200000000002</v>
          </cell>
          <cell r="W1547">
            <v>3.2794699999999999</v>
          </cell>
          <cell r="X1547">
            <v>3.4911799999999999</v>
          </cell>
          <cell r="Y1547">
            <v>2.2912210000000002</v>
          </cell>
        </row>
        <row r="1548">
          <cell r="B1548">
            <v>590434</v>
          </cell>
          <cell r="C1548" t="str">
            <v>NOT USED</v>
          </cell>
          <cell r="D1548" t="str">
            <v>GENERAL-CUSTOMER ADJUSTMENTS-OVER/SHORT POSTINGS</v>
          </cell>
          <cell r="E1548" t="str">
            <v/>
          </cell>
          <cell r="F1548" t="str">
            <v/>
          </cell>
          <cell r="G1548" t="str">
            <v/>
          </cell>
          <cell r="H1548" t="str">
            <v/>
          </cell>
          <cell r="I1548" t="str">
            <v/>
          </cell>
          <cell r="J1548" t="str">
            <v/>
          </cell>
          <cell r="K1548" t="str">
            <v/>
          </cell>
          <cell r="L1548">
            <v>-2.0899999999999998E-3</v>
          </cell>
          <cell r="M1548">
            <v>8.7000000000000001E-4</v>
          </cell>
          <cell r="N1548">
            <v>1.2700000000000001E-3</v>
          </cell>
          <cell r="O1548">
            <v>9.3500000000000007E-3</v>
          </cell>
          <cell r="P1548">
            <v>8.5000000000000006E-3</v>
          </cell>
          <cell r="Q1548">
            <v>1.065E-2</v>
          </cell>
          <cell r="R1548">
            <v>1.6539999999999999E-2</v>
          </cell>
          <cell r="S1548">
            <v>2.3609999999999999E-2</v>
          </cell>
          <cell r="T1548">
            <v>1.461E-2</v>
          </cell>
          <cell r="U1548">
            <v>1.5980000000000001E-2</v>
          </cell>
          <cell r="V1548">
            <v>1.806E-2</v>
          </cell>
          <cell r="W1548">
            <v>2.043E-2</v>
          </cell>
          <cell r="X1548">
            <v>1.6580000000000001E-2</v>
          </cell>
          <cell r="Y1548">
            <v>1.226E-2</v>
          </cell>
        </row>
        <row r="1549">
          <cell r="B1549">
            <v>590435</v>
          </cell>
          <cell r="C1549" t="str">
            <v>NOT USED</v>
          </cell>
          <cell r="D1549" t="str">
            <v>GENERAL - UNCOLLECTIBLES - ELECTRIC</v>
          </cell>
          <cell r="E1549" t="str">
            <v/>
          </cell>
          <cell r="F1549" t="str">
            <v/>
          </cell>
          <cell r="G1549" t="str">
            <v/>
          </cell>
          <cell r="H1549" t="str">
            <v/>
          </cell>
          <cell r="I1549" t="str">
            <v/>
          </cell>
          <cell r="J1549" t="str">
            <v/>
          </cell>
          <cell r="K1549" t="str">
            <v/>
          </cell>
          <cell r="L1549">
            <v>7743.0209999999997</v>
          </cell>
          <cell r="M1549">
            <v>190.71831</v>
          </cell>
          <cell r="N1549">
            <v>247.29638</v>
          </cell>
          <cell r="O1549">
            <v>341.11736000000002</v>
          </cell>
          <cell r="P1549">
            <v>415.7978</v>
          </cell>
          <cell r="Q1549">
            <v>731.06487000000004</v>
          </cell>
          <cell r="R1549">
            <v>1244.08673</v>
          </cell>
          <cell r="S1549">
            <v>1678.7209499999999</v>
          </cell>
          <cell r="T1549">
            <v>3583.7092899999998</v>
          </cell>
          <cell r="U1549">
            <v>4419.2745299999997</v>
          </cell>
          <cell r="V1549">
            <v>5381.6934899999997</v>
          </cell>
          <cell r="W1549">
            <v>6205.7712000000001</v>
          </cell>
          <cell r="X1549">
            <v>6786.8236299999999</v>
          </cell>
          <cell r="Y1549">
            <v>2642.014435</v>
          </cell>
        </row>
        <row r="1550">
          <cell r="B1550">
            <v>590436</v>
          </cell>
          <cell r="C1550" t="str">
            <v>NOT USED</v>
          </cell>
          <cell r="D1550" t="str">
            <v>GENERAL - UNCOLLECTIBLES - GAS</v>
          </cell>
          <cell r="E1550" t="str">
            <v/>
          </cell>
          <cell r="F1550" t="str">
            <v/>
          </cell>
          <cell r="G1550" t="str">
            <v/>
          </cell>
          <cell r="H1550" t="str">
            <v/>
          </cell>
          <cell r="I1550" t="str">
            <v/>
          </cell>
          <cell r="J1550" t="str">
            <v/>
          </cell>
          <cell r="K1550" t="str">
            <v/>
          </cell>
          <cell r="L1550">
            <v>6767.2595199999996</v>
          </cell>
          <cell r="M1550">
            <v>78.018659999999997</v>
          </cell>
          <cell r="N1550">
            <v>-9.7774000000000001</v>
          </cell>
          <cell r="O1550">
            <v>72.581100000000006</v>
          </cell>
          <cell r="P1550">
            <v>192.91972000000001</v>
          </cell>
          <cell r="Q1550">
            <v>555.11260000000004</v>
          </cell>
          <cell r="R1550">
            <v>1189.2660000000001</v>
          </cell>
          <cell r="S1550">
            <v>1742.0293300000001</v>
          </cell>
          <cell r="T1550">
            <v>2327.6611899999998</v>
          </cell>
          <cell r="U1550">
            <v>3135.6212700000001</v>
          </cell>
          <cell r="V1550">
            <v>3854.9609099999998</v>
          </cell>
          <cell r="W1550">
            <v>4447.8552900000004</v>
          </cell>
          <cell r="X1550">
            <v>4765.7596400000002</v>
          </cell>
          <cell r="Y1550">
            <v>1946.0631880000001</v>
          </cell>
        </row>
        <row r="1551">
          <cell r="B1551">
            <v>590437</v>
          </cell>
          <cell r="C1551" t="str">
            <v>NOT USED</v>
          </cell>
          <cell r="D1551" t="str">
            <v>GENERAL - DOE PRE 83 NUCLEAR FUEL STORAGE INT COS</v>
          </cell>
          <cell r="E1551" t="str">
            <v/>
          </cell>
          <cell r="F1551" t="str">
            <v/>
          </cell>
          <cell r="G1551" t="str">
            <v/>
          </cell>
          <cell r="H1551" t="str">
            <v/>
          </cell>
          <cell r="I1551" t="str">
            <v/>
          </cell>
          <cell r="J1551" t="str">
            <v/>
          </cell>
          <cell r="K1551" t="str">
            <v/>
          </cell>
          <cell r="L1551">
            <v>1985.9999800000001</v>
          </cell>
          <cell r="M1551">
            <v>165.5</v>
          </cell>
          <cell r="N1551">
            <v>331</v>
          </cell>
          <cell r="O1551">
            <v>496.5</v>
          </cell>
          <cell r="P1551">
            <v>662</v>
          </cell>
          <cell r="Q1551">
            <v>827.5</v>
          </cell>
          <cell r="R1551">
            <v>993</v>
          </cell>
          <cell r="S1551">
            <v>1158.5</v>
          </cell>
          <cell r="T1551">
            <v>1324</v>
          </cell>
          <cell r="U1551">
            <v>1489.5</v>
          </cell>
          <cell r="V1551">
            <v>1647.3782699999999</v>
          </cell>
          <cell r="W1551">
            <v>1820.5</v>
          </cell>
          <cell r="X1551">
            <v>1986</v>
          </cell>
          <cell r="Y1551">
            <v>1075.114855</v>
          </cell>
        </row>
        <row r="1552">
          <cell r="B1552">
            <v>590438</v>
          </cell>
          <cell r="C1552" t="str">
            <v>NOT USED</v>
          </cell>
          <cell r="D1552" t="str">
            <v>GENERAL - O&amp;M COST DEFERRAL - ELECTRIC</v>
          </cell>
          <cell r="E1552" t="str">
            <v/>
          </cell>
          <cell r="F1552" t="str">
            <v/>
          </cell>
          <cell r="G1552" t="str">
            <v/>
          </cell>
          <cell r="H1552" t="str">
            <v/>
          </cell>
          <cell r="I1552" t="str">
            <v/>
          </cell>
          <cell r="J1552" t="str">
            <v/>
          </cell>
          <cell r="K1552" t="str">
            <v/>
          </cell>
          <cell r="L1552">
            <v>-4568.7041499999996</v>
          </cell>
          <cell r="M1552">
            <v>931.74328000000003</v>
          </cell>
          <cell r="N1552">
            <v>1047.23017</v>
          </cell>
          <cell r="O1552">
            <v>1197.95108</v>
          </cell>
          <cell r="P1552">
            <v>985.52545999999995</v>
          </cell>
          <cell r="Q1552">
            <v>1386.1738499999999</v>
          </cell>
          <cell r="R1552">
            <v>1877.6659199999999</v>
          </cell>
          <cell r="S1552">
            <v>2399.4878600000002</v>
          </cell>
          <cell r="T1552">
            <v>2747.3582799999999</v>
          </cell>
          <cell r="U1552">
            <v>3302.1212300000002</v>
          </cell>
          <cell r="V1552">
            <v>3564.7548200000001</v>
          </cell>
          <cell r="W1552">
            <v>4089.0264200000001</v>
          </cell>
          <cell r="X1552">
            <v>5136.3066699999999</v>
          </cell>
          <cell r="Y1552">
            <v>1984.4033030000001</v>
          </cell>
        </row>
        <row r="1553">
          <cell r="B1553">
            <v>590439</v>
          </cell>
          <cell r="C1553" t="str">
            <v>NOT USED</v>
          </cell>
          <cell r="D1553" t="str">
            <v>GENERAL - O&amp;M COST DEFERRAL - GAS</v>
          </cell>
          <cell r="E1553" t="str">
            <v/>
          </cell>
          <cell r="F1553" t="str">
            <v/>
          </cell>
          <cell r="G1553" t="str">
            <v/>
          </cell>
          <cell r="H1553" t="str">
            <v/>
          </cell>
          <cell r="I1553" t="str">
            <v/>
          </cell>
          <cell r="J1553" t="str">
            <v/>
          </cell>
          <cell r="K1553" t="str">
            <v/>
          </cell>
          <cell r="L1553">
            <v>-3053.4557399999999</v>
          </cell>
          <cell r="M1553">
            <v>378.27046000000001</v>
          </cell>
          <cell r="N1553">
            <v>328.40713</v>
          </cell>
          <cell r="O1553">
            <v>297.24578000000002</v>
          </cell>
          <cell r="P1553">
            <v>100.10848</v>
          </cell>
          <cell r="Q1553">
            <v>194.53596999999999</v>
          </cell>
          <cell r="R1553">
            <v>335.51449000000002</v>
          </cell>
          <cell r="S1553">
            <v>491.59663999999998</v>
          </cell>
          <cell r="T1553">
            <v>559.32146999999998</v>
          </cell>
          <cell r="U1553">
            <v>743.55481999999995</v>
          </cell>
          <cell r="V1553">
            <v>756.32331999999997</v>
          </cell>
          <cell r="W1553">
            <v>913.31367999999998</v>
          </cell>
          <cell r="X1553">
            <v>1047.2408700000001</v>
          </cell>
          <cell r="Y1553">
            <v>341.25706700000001</v>
          </cell>
        </row>
        <row r="1554">
          <cell r="B1554">
            <v>590440</v>
          </cell>
          <cell r="C1554" t="str">
            <v>NOT USED</v>
          </cell>
          <cell r="D1554" t="str">
            <v>GENERAL - REGULATORY EXPENSES</v>
          </cell>
          <cell r="E1554" t="str">
            <v/>
          </cell>
          <cell r="F1554" t="str">
            <v/>
          </cell>
          <cell r="G1554" t="str">
            <v/>
          </cell>
          <cell r="H1554" t="str">
            <v/>
          </cell>
          <cell r="I1554" t="str">
            <v/>
          </cell>
          <cell r="J1554" t="str">
            <v/>
          </cell>
          <cell r="K1554" t="str">
            <v/>
          </cell>
          <cell r="L1554">
            <v>-5.75</v>
          </cell>
          <cell r="M1554">
            <v>-0.25</v>
          </cell>
          <cell r="N1554">
            <v>-0.5</v>
          </cell>
          <cell r="O1554">
            <v>-1.5</v>
          </cell>
          <cell r="P1554">
            <v>-3</v>
          </cell>
          <cell r="Q1554">
            <v>-3.75</v>
          </cell>
          <cell r="R1554">
            <v>-5</v>
          </cell>
          <cell r="S1554">
            <v>-6.5</v>
          </cell>
          <cell r="T1554">
            <v>-7</v>
          </cell>
          <cell r="U1554">
            <v>-7.25</v>
          </cell>
          <cell r="V1554">
            <v>-7.75</v>
          </cell>
          <cell r="W1554">
            <v>-9.5</v>
          </cell>
          <cell r="X1554">
            <v>-10.5</v>
          </cell>
          <cell r="Y1554">
            <v>-5.0104170000000003</v>
          </cell>
        </row>
        <row r="1555">
          <cell r="B1555">
            <v>590441</v>
          </cell>
          <cell r="C1555" t="str">
            <v>NOT USED</v>
          </cell>
          <cell r="D1555" t="str">
            <v>GENERAL-REGULATORY ASSESSMENT</v>
          </cell>
          <cell r="E1555" t="str">
            <v/>
          </cell>
          <cell r="F1555" t="str">
            <v/>
          </cell>
          <cell r="G1555" t="str">
            <v/>
          </cell>
          <cell r="H1555" t="str">
            <v/>
          </cell>
          <cell r="I1555" t="str">
            <v/>
          </cell>
          <cell r="J1555" t="str">
            <v/>
          </cell>
          <cell r="K1555" t="str">
            <v/>
          </cell>
          <cell r="L1555">
            <v>26577.900699999998</v>
          </cell>
          <cell r="M1555">
            <v>2120.4148700000001</v>
          </cell>
          <cell r="N1555">
            <v>4240.8297400000001</v>
          </cell>
          <cell r="O1555">
            <v>6361.2446499999996</v>
          </cell>
          <cell r="P1555">
            <v>8481.6595300000008</v>
          </cell>
          <cell r="Q1555">
            <v>10602.074409999999</v>
          </cell>
          <cell r="R1555">
            <v>12722.48929</v>
          </cell>
          <cell r="S1555">
            <v>14842.90417</v>
          </cell>
          <cell r="T1555">
            <v>16740.514230000001</v>
          </cell>
          <cell r="U1555">
            <v>18841.269899999999</v>
          </cell>
          <cell r="V1555">
            <v>20917.123820000001</v>
          </cell>
          <cell r="W1555">
            <v>22992.977739999998</v>
          </cell>
          <cell r="X1555">
            <v>25068.83166</v>
          </cell>
          <cell r="Y1555">
            <v>13723.905710999999</v>
          </cell>
        </row>
        <row r="1556">
          <cell r="B1556">
            <v>590442</v>
          </cell>
          <cell r="C1556" t="str">
            <v>NOT USED</v>
          </cell>
          <cell r="D1556" t="str">
            <v>GENERAL-OTHER SERVICE FEES</v>
          </cell>
          <cell r="E1556" t="str">
            <v/>
          </cell>
          <cell r="F1556" t="str">
            <v/>
          </cell>
          <cell r="G1556" t="str">
            <v/>
          </cell>
          <cell r="H1556" t="str">
            <v/>
          </cell>
          <cell r="I1556" t="str">
            <v/>
          </cell>
          <cell r="J1556" t="str">
            <v/>
          </cell>
          <cell r="K1556" t="str">
            <v/>
          </cell>
          <cell r="L1556">
            <v>240.33457000000001</v>
          </cell>
          <cell r="M1556">
            <v>28.73658</v>
          </cell>
          <cell r="N1556">
            <v>119.63347</v>
          </cell>
          <cell r="O1556">
            <v>228.99536000000001</v>
          </cell>
          <cell r="P1556">
            <v>245.55528000000001</v>
          </cell>
          <cell r="Q1556">
            <v>372.26438000000002</v>
          </cell>
          <cell r="R1556">
            <v>447.78730000000002</v>
          </cell>
          <cell r="S1556">
            <v>461.91773000000001</v>
          </cell>
          <cell r="T1556">
            <v>536.29346999999996</v>
          </cell>
          <cell r="U1556">
            <v>680.80305999999996</v>
          </cell>
          <cell r="V1556">
            <v>681.40741000000003</v>
          </cell>
          <cell r="W1556">
            <v>732.74188000000004</v>
          </cell>
          <cell r="X1556">
            <v>766.35153000000003</v>
          </cell>
          <cell r="Y1556">
            <v>419.95658100000003</v>
          </cell>
        </row>
        <row r="1557">
          <cell r="B1557">
            <v>590444</v>
          </cell>
          <cell r="C1557" t="str">
            <v>NOT USED</v>
          </cell>
          <cell r="D1557" t="str">
            <v>GENERAL-CONSERVATION EXPENSE - RECOVERABLE</v>
          </cell>
          <cell r="E1557" t="str">
            <v/>
          </cell>
          <cell r="F1557" t="str">
            <v/>
          </cell>
          <cell r="G1557" t="str">
            <v/>
          </cell>
          <cell r="H1557" t="str">
            <v/>
          </cell>
          <cell r="I1557" t="str">
            <v/>
          </cell>
          <cell r="J1557" t="str">
            <v/>
          </cell>
          <cell r="K1557" t="str">
            <v/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</row>
        <row r="1558">
          <cell r="B1558">
            <v>590445</v>
          </cell>
          <cell r="C1558" t="str">
            <v>NOT USED</v>
          </cell>
          <cell r="D1558" t="str">
            <v>GENERAL - COMPANY USE</v>
          </cell>
          <cell r="E1558" t="str">
            <v/>
          </cell>
          <cell r="F1558" t="str">
            <v/>
          </cell>
          <cell r="G1558" t="str">
            <v/>
          </cell>
          <cell r="H1558" t="str">
            <v/>
          </cell>
          <cell r="I1558" t="str">
            <v/>
          </cell>
          <cell r="J1558" t="str">
            <v/>
          </cell>
          <cell r="K1558" t="str">
            <v/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</row>
        <row r="1559">
          <cell r="B1559">
            <v>590446</v>
          </cell>
          <cell r="C1559" t="str">
            <v>NOT USED</v>
          </cell>
          <cell r="D1559" t="str">
            <v>GENERAL-CONSERVATION EXPENSE - OTHER</v>
          </cell>
          <cell r="E1559" t="str">
            <v/>
          </cell>
          <cell r="F1559" t="str">
            <v/>
          </cell>
          <cell r="G1559" t="str">
            <v/>
          </cell>
          <cell r="H1559" t="str">
            <v/>
          </cell>
          <cell r="I1559" t="str">
            <v/>
          </cell>
          <cell r="J1559" t="str">
            <v/>
          </cell>
          <cell r="K1559" t="str">
            <v/>
          </cell>
          <cell r="L1559">
            <v>28038.541079999999</v>
          </cell>
          <cell r="M1559">
            <v>2694.12077</v>
          </cell>
          <cell r="N1559">
            <v>3815.8314399999999</v>
          </cell>
          <cell r="O1559">
            <v>5705.32233</v>
          </cell>
          <cell r="P1559">
            <v>7612.2034999999996</v>
          </cell>
          <cell r="Q1559">
            <v>9519.0846700000002</v>
          </cell>
          <cell r="R1559">
            <v>11425.965829999999</v>
          </cell>
          <cell r="S1559">
            <v>13332.847</v>
          </cell>
          <cell r="T1559">
            <v>15239.72817</v>
          </cell>
          <cell r="U1559">
            <v>17146.609329999999</v>
          </cell>
          <cell r="V1559">
            <v>19245.520909999999</v>
          </cell>
          <cell r="W1559">
            <v>21344.432489999999</v>
          </cell>
          <cell r="X1559">
            <v>23443.344089999999</v>
          </cell>
          <cell r="Y1559">
            <v>12735.217419000001</v>
          </cell>
        </row>
        <row r="1560">
          <cell r="B1560">
            <v>590447</v>
          </cell>
          <cell r="C1560" t="str">
            <v>NOT USED</v>
          </cell>
          <cell r="D1560" t="str">
            <v>GENERAL-TRUSTEE FEES</v>
          </cell>
          <cell r="E1560" t="str">
            <v/>
          </cell>
          <cell r="F1560" t="str">
            <v/>
          </cell>
          <cell r="G1560" t="str">
            <v/>
          </cell>
          <cell r="H1560" t="str">
            <v/>
          </cell>
          <cell r="I1560" t="str">
            <v/>
          </cell>
          <cell r="J1560" t="str">
            <v/>
          </cell>
          <cell r="K1560" t="str">
            <v/>
          </cell>
          <cell r="L1560">
            <v>65.260000000000005</v>
          </cell>
          <cell r="M1560">
            <v>0</v>
          </cell>
          <cell r="N1560">
            <v>5</v>
          </cell>
          <cell r="O1560">
            <v>5</v>
          </cell>
          <cell r="P1560">
            <v>30</v>
          </cell>
          <cell r="Q1560">
            <v>34</v>
          </cell>
          <cell r="R1560">
            <v>34</v>
          </cell>
          <cell r="S1560">
            <v>44.2</v>
          </cell>
          <cell r="T1560">
            <v>49.2</v>
          </cell>
          <cell r="U1560">
            <v>74.2</v>
          </cell>
          <cell r="V1560">
            <v>74.2</v>
          </cell>
          <cell r="W1560">
            <v>74.2</v>
          </cell>
          <cell r="X1560">
            <v>84.7</v>
          </cell>
          <cell r="Y1560">
            <v>41.581667000000003</v>
          </cell>
        </row>
        <row r="1561">
          <cell r="B1561">
            <v>590448</v>
          </cell>
          <cell r="C1561" t="str">
            <v>NOT USED</v>
          </cell>
          <cell r="D1561" t="str">
            <v>UNCOLLECTIBLES - ELECTRIC SUNDRY</v>
          </cell>
          <cell r="E1561" t="str">
            <v/>
          </cell>
          <cell r="F1561" t="str">
            <v/>
          </cell>
          <cell r="G1561" t="str">
            <v/>
          </cell>
          <cell r="H1561" t="str">
            <v/>
          </cell>
          <cell r="I1561" t="str">
            <v/>
          </cell>
          <cell r="J1561" t="str">
            <v/>
          </cell>
          <cell r="K1561" t="str">
            <v/>
          </cell>
          <cell r="L1561">
            <v>157.04175000000001</v>
          </cell>
          <cell r="M1561">
            <v>-17.11056</v>
          </cell>
          <cell r="N1561">
            <v>-16.18356</v>
          </cell>
          <cell r="O1561">
            <v>-16.123560000000001</v>
          </cell>
          <cell r="P1561">
            <v>-8.9486500000000007</v>
          </cell>
          <cell r="Q1561">
            <v>-7.1320399999999999</v>
          </cell>
          <cell r="R1561">
            <v>-8.6770600000000009</v>
          </cell>
          <cell r="S1561">
            <v>79.585350000000005</v>
          </cell>
          <cell r="T1561">
            <v>81.303370000000001</v>
          </cell>
          <cell r="U1561">
            <v>84.781270000000006</v>
          </cell>
          <cell r="V1561">
            <v>85.435699999999997</v>
          </cell>
          <cell r="W1561">
            <v>88.984700000000004</v>
          </cell>
          <cell r="X1561">
            <v>95.148769999999999</v>
          </cell>
          <cell r="Y1561">
            <v>39.334184999999998</v>
          </cell>
        </row>
        <row r="1562">
          <cell r="B1562">
            <v>590449</v>
          </cell>
          <cell r="C1562" t="str">
            <v>NOT USED</v>
          </cell>
          <cell r="D1562" t="str">
            <v>UNCOLLECTIBLES - GAS SUNDRY</v>
          </cell>
          <cell r="E1562" t="str">
            <v/>
          </cell>
          <cell r="F1562" t="str">
            <v/>
          </cell>
          <cell r="G1562" t="str">
            <v/>
          </cell>
          <cell r="H1562" t="str">
            <v/>
          </cell>
          <cell r="I1562" t="str">
            <v/>
          </cell>
          <cell r="J1562" t="str">
            <v/>
          </cell>
          <cell r="K1562" t="str">
            <v/>
          </cell>
          <cell r="L1562">
            <v>108.25572</v>
          </cell>
          <cell r="M1562">
            <v>1.89218</v>
          </cell>
          <cell r="N1562">
            <v>-3.3574099999999998</v>
          </cell>
          <cell r="O1562">
            <v>-0.78746000000000005</v>
          </cell>
          <cell r="P1562">
            <v>-1.76111</v>
          </cell>
          <cell r="Q1562">
            <v>0.17474000000000001</v>
          </cell>
          <cell r="R1562">
            <v>4.10365</v>
          </cell>
          <cell r="S1562">
            <v>7.30985</v>
          </cell>
          <cell r="T1562">
            <v>9.1638199999999994</v>
          </cell>
          <cell r="U1562">
            <v>9.55382</v>
          </cell>
          <cell r="V1562">
            <v>9.2642299999999995</v>
          </cell>
          <cell r="W1562">
            <v>9.2935199999999991</v>
          </cell>
          <cell r="X1562">
            <v>9.7572700000000001</v>
          </cell>
          <cell r="Y1562">
            <v>8.6546939999999992</v>
          </cell>
        </row>
        <row r="1563">
          <cell r="B1563">
            <v>590450</v>
          </cell>
          <cell r="C1563" t="str">
            <v>NOT USED</v>
          </cell>
          <cell r="D1563" t="str">
            <v>GENERAL - POSTAGE</v>
          </cell>
          <cell r="E1563" t="str">
            <v/>
          </cell>
          <cell r="F1563" t="str">
            <v/>
          </cell>
          <cell r="G1563" t="str">
            <v/>
          </cell>
          <cell r="H1563" t="str">
            <v/>
          </cell>
          <cell r="I1563" t="str">
            <v/>
          </cell>
          <cell r="J1563" t="str">
            <v/>
          </cell>
          <cell r="K1563" t="str">
            <v/>
          </cell>
          <cell r="L1563">
            <v>2200.5631800000001</v>
          </cell>
          <cell r="M1563">
            <v>164.21372</v>
          </cell>
          <cell r="N1563">
            <v>315.90890999999999</v>
          </cell>
          <cell r="O1563">
            <v>511.67667</v>
          </cell>
          <cell r="P1563">
            <v>685.80313000000001</v>
          </cell>
          <cell r="Q1563">
            <v>857.44821000000002</v>
          </cell>
          <cell r="R1563">
            <v>1031.5730599999999</v>
          </cell>
          <cell r="S1563">
            <v>1202.63121</v>
          </cell>
          <cell r="T1563">
            <v>1377.03513</v>
          </cell>
          <cell r="U1563">
            <v>1547.3954100000001</v>
          </cell>
          <cell r="V1563">
            <v>1724.0954400000001</v>
          </cell>
          <cell r="W1563">
            <v>1888.1170099999999</v>
          </cell>
          <cell r="X1563">
            <v>2073.7079600000002</v>
          </cell>
          <cell r="Y1563">
            <v>1120.2527889999999</v>
          </cell>
        </row>
        <row r="1564">
          <cell r="B1564">
            <v>590451</v>
          </cell>
          <cell r="C1564" t="str">
            <v>NOT USED</v>
          </cell>
          <cell r="D1564" t="str">
            <v>UNCOLLECTIBLES RESERVE ADJUSTMENT UTILITY-ELECTRI</v>
          </cell>
          <cell r="E1564" t="str">
            <v/>
          </cell>
          <cell r="F1564" t="str">
            <v/>
          </cell>
          <cell r="G1564" t="str">
            <v/>
          </cell>
          <cell r="H1564" t="str">
            <v/>
          </cell>
          <cell r="I1564" t="str">
            <v/>
          </cell>
          <cell r="J1564" t="str">
            <v/>
          </cell>
          <cell r="K1564" t="str">
            <v/>
          </cell>
          <cell r="L1564">
            <v>106</v>
          </cell>
          <cell r="M1564">
            <v>384</v>
          </cell>
          <cell r="N1564">
            <v>1088</v>
          </cell>
          <cell r="O1564">
            <v>1728</v>
          </cell>
          <cell r="P1564">
            <v>2176</v>
          </cell>
          <cell r="Q1564">
            <v>2752</v>
          </cell>
          <cell r="R1564">
            <v>3008</v>
          </cell>
          <cell r="S1564">
            <v>3200</v>
          </cell>
          <cell r="T1564">
            <v>2092</v>
          </cell>
          <cell r="U1564">
            <v>2028</v>
          </cell>
          <cell r="V1564">
            <v>1644</v>
          </cell>
          <cell r="W1564">
            <v>1772</v>
          </cell>
          <cell r="X1564">
            <v>1260</v>
          </cell>
          <cell r="Y1564">
            <v>1879.583333</v>
          </cell>
        </row>
        <row r="1565">
          <cell r="B1565">
            <v>590452</v>
          </cell>
          <cell r="C1565" t="str">
            <v>NOT USED</v>
          </cell>
          <cell r="D1565" t="str">
            <v>UNCOLLECTIBLES RESERVE ADJUSTMENT UTILITY-GAS</v>
          </cell>
          <cell r="E1565" t="str">
            <v/>
          </cell>
          <cell r="F1565" t="str">
            <v/>
          </cell>
          <cell r="G1565" t="str">
            <v/>
          </cell>
          <cell r="H1565" t="str">
            <v/>
          </cell>
          <cell r="I1565" t="str">
            <v/>
          </cell>
          <cell r="J1565" t="str">
            <v/>
          </cell>
          <cell r="K1565" t="str">
            <v/>
          </cell>
          <cell r="L1565">
            <v>-306</v>
          </cell>
          <cell r="M1565">
            <v>216</v>
          </cell>
          <cell r="N1565">
            <v>612</v>
          </cell>
          <cell r="O1565">
            <v>972</v>
          </cell>
          <cell r="P1565">
            <v>1224</v>
          </cell>
          <cell r="Q1565">
            <v>1548</v>
          </cell>
          <cell r="R1565">
            <v>1692</v>
          </cell>
          <cell r="S1565">
            <v>1800</v>
          </cell>
          <cell r="T1565">
            <v>1908</v>
          </cell>
          <cell r="U1565">
            <v>1872</v>
          </cell>
          <cell r="V1565">
            <v>1656</v>
          </cell>
          <cell r="W1565">
            <v>1728</v>
          </cell>
          <cell r="X1565">
            <v>1440</v>
          </cell>
          <cell r="Y1565">
            <v>1316.25</v>
          </cell>
        </row>
        <row r="1566">
          <cell r="B1566">
            <v>590453</v>
          </cell>
          <cell r="C1566" t="str">
            <v>NOT USED</v>
          </cell>
          <cell r="D1566" t="str">
            <v>UNCOLLECTIBLES RESERVE ADJUSTMENT SUNDRY-ELECTRIC</v>
          </cell>
          <cell r="E1566" t="str">
            <v/>
          </cell>
          <cell r="F1566" t="str">
            <v/>
          </cell>
          <cell r="G1566" t="str">
            <v/>
          </cell>
          <cell r="H1566" t="str">
            <v/>
          </cell>
          <cell r="I1566" t="str">
            <v/>
          </cell>
          <cell r="J1566" t="str">
            <v/>
          </cell>
          <cell r="K1566" t="str">
            <v/>
          </cell>
          <cell r="L1566">
            <v>-183.42619999999999</v>
          </cell>
          <cell r="M1566">
            <v>-5.76</v>
          </cell>
          <cell r="N1566">
            <v>1.28</v>
          </cell>
          <cell r="O1566">
            <v>1.28</v>
          </cell>
          <cell r="P1566">
            <v>14.08</v>
          </cell>
          <cell r="Q1566">
            <v>19.2</v>
          </cell>
          <cell r="R1566">
            <v>34.56</v>
          </cell>
          <cell r="S1566">
            <v>26.88</v>
          </cell>
          <cell r="T1566">
            <v>39.68</v>
          </cell>
          <cell r="U1566">
            <v>41.6</v>
          </cell>
          <cell r="V1566">
            <v>42.24</v>
          </cell>
          <cell r="W1566">
            <v>42.24</v>
          </cell>
          <cell r="X1566">
            <v>39.68</v>
          </cell>
          <cell r="Y1566">
            <v>15.450575000000001</v>
          </cell>
        </row>
        <row r="1567">
          <cell r="B1567">
            <v>590454</v>
          </cell>
          <cell r="C1567" t="str">
            <v>NOT USED</v>
          </cell>
          <cell r="D1567" t="str">
            <v>UNCOLLECTIBLES RESERVE ADJUSTMENT SUNDRY-GAS</v>
          </cell>
          <cell r="E1567" t="str">
            <v/>
          </cell>
          <cell r="F1567" t="str">
            <v/>
          </cell>
          <cell r="G1567" t="str">
            <v/>
          </cell>
          <cell r="H1567" t="str">
            <v/>
          </cell>
          <cell r="I1567" t="str">
            <v/>
          </cell>
          <cell r="J1567" t="str">
            <v/>
          </cell>
          <cell r="K1567" t="str">
            <v/>
          </cell>
          <cell r="L1567">
            <v>-44.328049999999998</v>
          </cell>
          <cell r="M1567">
            <v>-3.24</v>
          </cell>
          <cell r="N1567">
            <v>0.72</v>
          </cell>
          <cell r="O1567">
            <v>0.72</v>
          </cell>
          <cell r="P1567">
            <v>7.92</v>
          </cell>
          <cell r="Q1567">
            <v>10.8</v>
          </cell>
          <cell r="R1567">
            <v>19.440000000000001</v>
          </cell>
          <cell r="S1567">
            <v>15.12</v>
          </cell>
          <cell r="T1567">
            <v>22.32</v>
          </cell>
          <cell r="U1567">
            <v>23.4</v>
          </cell>
          <cell r="V1567">
            <v>23.76</v>
          </cell>
          <cell r="W1567">
            <v>23.76</v>
          </cell>
          <cell r="X1567">
            <v>22.32</v>
          </cell>
          <cell r="Y1567">
            <v>11.142998</v>
          </cell>
        </row>
        <row r="1568">
          <cell r="B1568">
            <v>590455</v>
          </cell>
          <cell r="C1568" t="str">
            <v>NOT USED</v>
          </cell>
          <cell r="D1568" t="str">
            <v>GENERAL - MEALS AND ENTERTAINMENT.</v>
          </cell>
          <cell r="E1568" t="str">
            <v/>
          </cell>
          <cell r="F1568" t="str">
            <v/>
          </cell>
          <cell r="G1568" t="str">
            <v/>
          </cell>
          <cell r="H1568" t="str">
            <v/>
          </cell>
          <cell r="I1568" t="str">
            <v/>
          </cell>
          <cell r="J1568" t="str">
            <v/>
          </cell>
          <cell r="K1568" t="str">
            <v/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</row>
        <row r="1569">
          <cell r="B1569">
            <v>590456</v>
          </cell>
          <cell r="C1569" t="str">
            <v>NOT USED</v>
          </cell>
          <cell r="D1569" t="str">
            <v>GENERAL-OFFICERS MEALS&amp;ENTERTAIN (TAX)</v>
          </cell>
          <cell r="E1569" t="str">
            <v/>
          </cell>
          <cell r="F1569" t="str">
            <v/>
          </cell>
          <cell r="G1569" t="str">
            <v/>
          </cell>
          <cell r="H1569" t="str">
            <v/>
          </cell>
          <cell r="I1569" t="str">
            <v/>
          </cell>
          <cell r="J1569" t="str">
            <v/>
          </cell>
          <cell r="K1569" t="str">
            <v/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</row>
        <row r="1570">
          <cell r="B1570">
            <v>590458</v>
          </cell>
          <cell r="C1570" t="str">
            <v>NOT USED</v>
          </cell>
          <cell r="D1570" t="str">
            <v>EEPS-GENERAL - POSTAGE/MAIL SERVICE</v>
          </cell>
          <cell r="E1570" t="str">
            <v/>
          </cell>
          <cell r="F1570" t="str">
            <v/>
          </cell>
          <cell r="G1570" t="str">
            <v/>
          </cell>
          <cell r="H1570" t="str">
            <v/>
          </cell>
          <cell r="I1570" t="str">
            <v/>
          </cell>
          <cell r="J1570" t="str">
            <v/>
          </cell>
          <cell r="K1570" t="str">
            <v/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5.0063700000000004</v>
          </cell>
          <cell r="T1570">
            <v>5.0063700000000004</v>
          </cell>
          <cell r="U1570">
            <v>5.0063700000000004</v>
          </cell>
          <cell r="V1570">
            <v>5.0063700000000004</v>
          </cell>
          <cell r="W1570">
            <v>5.0063700000000004</v>
          </cell>
          <cell r="X1570">
            <v>5.0063700000000004</v>
          </cell>
          <cell r="Y1570">
            <v>2.2945859999999998</v>
          </cell>
        </row>
        <row r="1571">
          <cell r="B1571">
            <v>590460</v>
          </cell>
          <cell r="C1571" t="str">
            <v>NOT USED</v>
          </cell>
          <cell r="D1571" t="str">
            <v>GENERAL - TELEPHONE</v>
          </cell>
          <cell r="E1571" t="str">
            <v/>
          </cell>
          <cell r="F1571" t="str">
            <v/>
          </cell>
          <cell r="G1571" t="str">
            <v/>
          </cell>
          <cell r="H1571" t="str">
            <v/>
          </cell>
          <cell r="I1571" t="str">
            <v/>
          </cell>
          <cell r="J1571" t="str">
            <v/>
          </cell>
          <cell r="K1571" t="str">
            <v/>
          </cell>
          <cell r="L1571">
            <v>799.7758</v>
          </cell>
          <cell r="M1571">
            <v>47.393650000000001</v>
          </cell>
          <cell r="N1571">
            <v>66.618949999999998</v>
          </cell>
          <cell r="O1571">
            <v>155.19515000000001</v>
          </cell>
          <cell r="P1571">
            <v>152.37075999999999</v>
          </cell>
          <cell r="Q1571">
            <v>279.04019</v>
          </cell>
          <cell r="R1571">
            <v>327.17209000000003</v>
          </cell>
          <cell r="S1571">
            <v>372.91046</v>
          </cell>
          <cell r="T1571">
            <v>382.80635000000001</v>
          </cell>
          <cell r="U1571">
            <v>444.27972999999997</v>
          </cell>
          <cell r="V1571">
            <v>468.17577999999997</v>
          </cell>
          <cell r="W1571">
            <v>561.31255999999996</v>
          </cell>
          <cell r="X1571">
            <v>661.18754000000001</v>
          </cell>
          <cell r="Y1571">
            <v>332.31311199999999</v>
          </cell>
        </row>
        <row r="1572">
          <cell r="B1572">
            <v>590461</v>
          </cell>
          <cell r="C1572" t="str">
            <v>NOT USED</v>
          </cell>
          <cell r="D1572" t="str">
            <v>GENERAL-COMMUNICATION EXPENSES</v>
          </cell>
          <cell r="E1572" t="str">
            <v/>
          </cell>
          <cell r="F1572" t="str">
            <v/>
          </cell>
          <cell r="G1572" t="str">
            <v/>
          </cell>
          <cell r="H1572" t="str">
            <v/>
          </cell>
          <cell r="I1572" t="str">
            <v/>
          </cell>
          <cell r="J1572" t="str">
            <v/>
          </cell>
          <cell r="K1572" t="str">
            <v/>
          </cell>
          <cell r="L1572">
            <v>72.797910000000002</v>
          </cell>
          <cell r="M1572">
            <v>83.154269999999997</v>
          </cell>
          <cell r="N1572">
            <v>118.40112000000001</v>
          </cell>
          <cell r="O1572">
            <v>118.61529</v>
          </cell>
          <cell r="P1572">
            <v>165.02474000000001</v>
          </cell>
          <cell r="Q1572">
            <v>165.06056000000001</v>
          </cell>
          <cell r="R1572">
            <v>193.38478000000001</v>
          </cell>
          <cell r="S1572">
            <v>209.46549999999999</v>
          </cell>
          <cell r="T1572">
            <v>225.22864000000001</v>
          </cell>
          <cell r="U1572">
            <v>254.48167000000001</v>
          </cell>
          <cell r="V1572">
            <v>322.3612</v>
          </cell>
          <cell r="W1572">
            <v>340.50733000000002</v>
          </cell>
          <cell r="X1572">
            <v>347.02933000000002</v>
          </cell>
          <cell r="Y1572">
            <v>200.46655999999999</v>
          </cell>
        </row>
        <row r="1573">
          <cell r="B1573">
            <v>590465</v>
          </cell>
          <cell r="C1573" t="str">
            <v>NOT USED</v>
          </cell>
          <cell r="D1573" t="str">
            <v>GENERAL - SOFTWARE</v>
          </cell>
          <cell r="E1573" t="str">
            <v/>
          </cell>
          <cell r="F1573" t="str">
            <v/>
          </cell>
          <cell r="G1573" t="str">
            <v/>
          </cell>
          <cell r="H1573" t="str">
            <v/>
          </cell>
          <cell r="I1573" t="str">
            <v/>
          </cell>
          <cell r="J1573" t="str">
            <v/>
          </cell>
          <cell r="K1573" t="str">
            <v/>
          </cell>
          <cell r="L1573">
            <v>416.20226000000002</v>
          </cell>
          <cell r="M1573">
            <v>0.13950000000000001</v>
          </cell>
          <cell r="N1573">
            <v>12.2035</v>
          </cell>
          <cell r="O1573">
            <v>11.741</v>
          </cell>
          <cell r="P1573">
            <v>11.741</v>
          </cell>
          <cell r="Q1573">
            <v>25.437000000000001</v>
          </cell>
          <cell r="R1573">
            <v>26.286999999999999</v>
          </cell>
          <cell r="S1573">
            <v>71.830920000000006</v>
          </cell>
          <cell r="T1573">
            <v>73.968729999999994</v>
          </cell>
          <cell r="U1573">
            <v>89.045330000000007</v>
          </cell>
          <cell r="V1573">
            <v>92.465289999999996</v>
          </cell>
          <cell r="W1573">
            <v>101.35424999999999</v>
          </cell>
          <cell r="X1573">
            <v>229.23602</v>
          </cell>
          <cell r="Y1573">
            <v>69.911055000000005</v>
          </cell>
        </row>
        <row r="1574">
          <cell r="B1574">
            <v>590470</v>
          </cell>
          <cell r="C1574" t="str">
            <v>NOT USED</v>
          </cell>
          <cell r="D1574" t="str">
            <v>GENERAL - SOFTWARE MAINTENANCE</v>
          </cell>
          <cell r="E1574" t="str">
            <v/>
          </cell>
          <cell r="F1574" t="str">
            <v/>
          </cell>
          <cell r="G1574" t="str">
            <v/>
          </cell>
          <cell r="H1574" t="str">
            <v/>
          </cell>
          <cell r="I1574" t="str">
            <v/>
          </cell>
          <cell r="J1574" t="str">
            <v/>
          </cell>
          <cell r="K1574" t="str">
            <v/>
          </cell>
          <cell r="L1574">
            <v>239.66201000000001</v>
          </cell>
          <cell r="M1574">
            <v>5.5350000000000001</v>
          </cell>
          <cell r="N1574">
            <v>62.526389999999999</v>
          </cell>
          <cell r="O1574">
            <v>62.526389999999999</v>
          </cell>
          <cell r="P1574">
            <v>62.526389999999999</v>
          </cell>
          <cell r="Q1574">
            <v>62.526389999999999</v>
          </cell>
          <cell r="R1574">
            <v>62.526389999999999</v>
          </cell>
          <cell r="S1574">
            <v>62.526389999999999</v>
          </cell>
          <cell r="T1574">
            <v>90.404470000000003</v>
          </cell>
          <cell r="U1574">
            <v>90.404470000000003</v>
          </cell>
          <cell r="V1574">
            <v>139.59267</v>
          </cell>
          <cell r="W1574">
            <v>161.33171999999999</v>
          </cell>
          <cell r="X1574">
            <v>162.85858999999999</v>
          </cell>
          <cell r="Y1574">
            <v>88.640580999999997</v>
          </cell>
        </row>
        <row r="1575">
          <cell r="B1575">
            <v>590473</v>
          </cell>
          <cell r="C1575" t="str">
            <v>NOT USED</v>
          </cell>
          <cell r="D1575" t="str">
            <v>GENERAL - HARDWARE/EQUIPMENT</v>
          </cell>
          <cell r="E1575" t="str">
            <v/>
          </cell>
          <cell r="F1575" t="str">
            <v/>
          </cell>
          <cell r="G1575" t="str">
            <v/>
          </cell>
          <cell r="H1575" t="str">
            <v/>
          </cell>
          <cell r="I1575" t="str">
            <v/>
          </cell>
          <cell r="J1575" t="str">
            <v/>
          </cell>
          <cell r="K1575" t="str">
            <v/>
          </cell>
          <cell r="L1575">
            <v>1200.85943</v>
          </cell>
          <cell r="M1575">
            <v>29.524699999999999</v>
          </cell>
          <cell r="N1575">
            <v>29.62846</v>
          </cell>
          <cell r="O1575">
            <v>38.480080000000001</v>
          </cell>
          <cell r="P1575">
            <v>390.02175</v>
          </cell>
          <cell r="Q1575">
            <v>618.73830999999996</v>
          </cell>
          <cell r="R1575">
            <v>621.56775000000005</v>
          </cell>
          <cell r="S1575">
            <v>702.34118000000001</v>
          </cell>
          <cell r="T1575">
            <v>778.90026</v>
          </cell>
          <cell r="U1575">
            <v>917.96902</v>
          </cell>
          <cell r="V1575">
            <v>1349.05978</v>
          </cell>
          <cell r="W1575">
            <v>1404.5253600000001</v>
          </cell>
          <cell r="X1575">
            <v>3095.48765</v>
          </cell>
          <cell r="Y1575">
            <v>752.41084899999998</v>
          </cell>
        </row>
        <row r="1576">
          <cell r="B1576">
            <v>590475</v>
          </cell>
          <cell r="C1576" t="str">
            <v>NOT USED</v>
          </cell>
          <cell r="D1576" t="str">
            <v>GENERAL - HARDWARE MAINTENANCE</v>
          </cell>
          <cell r="E1576" t="str">
            <v/>
          </cell>
          <cell r="F1576" t="str">
            <v/>
          </cell>
          <cell r="G1576" t="str">
            <v/>
          </cell>
          <cell r="H1576" t="str">
            <v/>
          </cell>
          <cell r="I1576" t="str">
            <v/>
          </cell>
          <cell r="J1576" t="str">
            <v/>
          </cell>
          <cell r="K1576" t="str">
            <v/>
          </cell>
          <cell r="L1576">
            <v>92.883669999999995</v>
          </cell>
          <cell r="M1576">
            <v>0</v>
          </cell>
          <cell r="N1576">
            <v>6.1185</v>
          </cell>
          <cell r="O1576">
            <v>6.6924999999999999</v>
          </cell>
          <cell r="P1576">
            <v>6.7508699999999999</v>
          </cell>
          <cell r="Q1576">
            <v>6.3226800000000001</v>
          </cell>
          <cell r="R1576">
            <v>11.98799</v>
          </cell>
          <cell r="S1576">
            <v>12.292149999999999</v>
          </cell>
          <cell r="T1576">
            <v>18.666360000000001</v>
          </cell>
          <cell r="U1576">
            <v>18.666360000000001</v>
          </cell>
          <cell r="V1576">
            <v>19.061800000000002</v>
          </cell>
          <cell r="W1576">
            <v>19.061800000000002</v>
          </cell>
          <cell r="X1576">
            <v>25.183700000000002</v>
          </cell>
          <cell r="Y1576">
            <v>15.387891</v>
          </cell>
        </row>
        <row r="1577">
          <cell r="B1577">
            <v>590477</v>
          </cell>
          <cell r="C1577" t="str">
            <v>NOT USED</v>
          </cell>
          <cell r="D1577" t="str">
            <v>GENERAL - DISASTER RECOVERY</v>
          </cell>
          <cell r="E1577" t="str">
            <v/>
          </cell>
          <cell r="F1577" t="str">
            <v/>
          </cell>
          <cell r="G1577" t="str">
            <v/>
          </cell>
          <cell r="H1577" t="str">
            <v/>
          </cell>
          <cell r="I1577" t="str">
            <v/>
          </cell>
          <cell r="J1577" t="str">
            <v/>
          </cell>
          <cell r="K1577" t="str">
            <v/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</row>
        <row r="1578">
          <cell r="B1578">
            <v>590478</v>
          </cell>
          <cell r="C1578" t="str">
            <v>NOT USED</v>
          </cell>
          <cell r="D1578" t="str">
            <v>GENERAL - EQUIPMENT MAINTENANCE</v>
          </cell>
          <cell r="E1578" t="str">
            <v/>
          </cell>
          <cell r="F1578" t="str">
            <v/>
          </cell>
          <cell r="G1578" t="str">
            <v/>
          </cell>
          <cell r="H1578" t="str">
            <v/>
          </cell>
          <cell r="I1578" t="str">
            <v/>
          </cell>
          <cell r="J1578" t="str">
            <v/>
          </cell>
          <cell r="K1578" t="str">
            <v/>
          </cell>
          <cell r="L1578">
            <v>154.05974000000001</v>
          </cell>
          <cell r="M1578">
            <v>0.60748999999999997</v>
          </cell>
          <cell r="N1578">
            <v>7.67082</v>
          </cell>
          <cell r="O1578">
            <v>30.96116</v>
          </cell>
          <cell r="P1578">
            <v>38.916699999999999</v>
          </cell>
          <cell r="Q1578">
            <v>44.951819999999998</v>
          </cell>
          <cell r="R1578">
            <v>58.356610000000003</v>
          </cell>
          <cell r="S1578">
            <v>65.775210000000001</v>
          </cell>
          <cell r="T1578">
            <v>71.070959999999999</v>
          </cell>
          <cell r="U1578">
            <v>73.986739999999998</v>
          </cell>
          <cell r="V1578">
            <v>82.154330000000002</v>
          </cell>
          <cell r="W1578">
            <v>86.677329999999998</v>
          </cell>
          <cell r="X1578">
            <v>99.001900000000006</v>
          </cell>
          <cell r="Y1578">
            <v>57.304999000000002</v>
          </cell>
        </row>
        <row r="1579">
          <cell r="B1579">
            <v>590479</v>
          </cell>
          <cell r="C1579" t="str">
            <v>NOT USED</v>
          </cell>
          <cell r="D1579" t="str">
            <v>GENERAL - FURNITURE AND EQUIPMENT</v>
          </cell>
          <cell r="E1579" t="str">
            <v/>
          </cell>
          <cell r="F1579" t="str">
            <v/>
          </cell>
          <cell r="G1579" t="str">
            <v/>
          </cell>
          <cell r="H1579" t="str">
            <v/>
          </cell>
          <cell r="I1579" t="str">
            <v/>
          </cell>
          <cell r="J1579" t="str">
            <v/>
          </cell>
          <cell r="K1579" t="str">
            <v/>
          </cell>
          <cell r="L1579">
            <v>170.85176000000001</v>
          </cell>
          <cell r="M1579">
            <v>0.77488000000000001</v>
          </cell>
          <cell r="N1579">
            <v>13.300190000000001</v>
          </cell>
          <cell r="O1579">
            <v>13.300190000000001</v>
          </cell>
          <cell r="P1579">
            <v>13.35149</v>
          </cell>
          <cell r="Q1579">
            <v>680.75148999999999</v>
          </cell>
          <cell r="R1579">
            <v>699.33239000000003</v>
          </cell>
          <cell r="S1579">
            <v>716.48539000000005</v>
          </cell>
          <cell r="T1579">
            <v>716.48539000000005</v>
          </cell>
          <cell r="U1579">
            <v>738.19271000000003</v>
          </cell>
          <cell r="V1579">
            <v>775.76918999999998</v>
          </cell>
          <cell r="W1579">
            <v>784.99616000000003</v>
          </cell>
          <cell r="X1579">
            <v>850.22663999999997</v>
          </cell>
          <cell r="Y1579">
            <v>471.93988899999999</v>
          </cell>
        </row>
        <row r="1580">
          <cell r="B1580">
            <v>590480</v>
          </cell>
          <cell r="C1580" t="str">
            <v>NOT USED</v>
          </cell>
          <cell r="D1580" t="str">
            <v>GENERAL - VACATION PAY ACCRUAL</v>
          </cell>
          <cell r="E1580" t="str">
            <v/>
          </cell>
          <cell r="F1580" t="str">
            <v/>
          </cell>
          <cell r="G1580" t="str">
            <v/>
          </cell>
          <cell r="H1580" t="str">
            <v/>
          </cell>
          <cell r="I1580" t="str">
            <v/>
          </cell>
          <cell r="J1580" t="str">
            <v/>
          </cell>
          <cell r="K1580" t="str">
            <v/>
          </cell>
          <cell r="L1580">
            <v>-86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-3.5833330000000001</v>
          </cell>
        </row>
        <row r="1581">
          <cell r="B1581">
            <v>590481</v>
          </cell>
          <cell r="C1581" t="str">
            <v>NOT USED</v>
          </cell>
          <cell r="D1581" t="str">
            <v>GENERAL - RECRUITMENT</v>
          </cell>
          <cell r="E1581" t="str">
            <v/>
          </cell>
          <cell r="F1581" t="str">
            <v/>
          </cell>
          <cell r="G1581" t="str">
            <v/>
          </cell>
          <cell r="H1581" t="str">
            <v/>
          </cell>
          <cell r="I1581" t="str">
            <v/>
          </cell>
          <cell r="J1581" t="str">
            <v/>
          </cell>
          <cell r="K1581" t="str">
            <v/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</row>
        <row r="1582">
          <cell r="B1582">
            <v>590484</v>
          </cell>
          <cell r="C1582" t="str">
            <v>NOT USED</v>
          </cell>
          <cell r="D1582" t="str">
            <v>GENERAL - ADVERTISING - EEPS</v>
          </cell>
          <cell r="E1582" t="str">
            <v/>
          </cell>
          <cell r="F1582" t="str">
            <v/>
          </cell>
          <cell r="G1582" t="str">
            <v/>
          </cell>
          <cell r="H1582" t="str">
            <v/>
          </cell>
          <cell r="I1582" t="str">
            <v/>
          </cell>
          <cell r="J1582" t="str">
            <v/>
          </cell>
          <cell r="K1582" t="str">
            <v/>
          </cell>
          <cell r="L1582">
            <v>14.476710000000001</v>
          </cell>
          <cell r="M1582">
            <v>0</v>
          </cell>
          <cell r="N1582">
            <v>18.011109999999999</v>
          </cell>
          <cell r="O1582">
            <v>18.011119999999998</v>
          </cell>
          <cell r="P1582">
            <v>18.011119999999998</v>
          </cell>
          <cell r="Q1582">
            <v>19.678619999999999</v>
          </cell>
          <cell r="R1582">
            <v>39.306310000000003</v>
          </cell>
          <cell r="S1582">
            <v>68.978009999999998</v>
          </cell>
          <cell r="T1582">
            <v>90.294489999999996</v>
          </cell>
          <cell r="U1582">
            <v>112.85759</v>
          </cell>
          <cell r="V1582">
            <v>131.12629999999999</v>
          </cell>
          <cell r="W1582">
            <v>140.65937</v>
          </cell>
          <cell r="X1582">
            <v>146.11044000000001</v>
          </cell>
          <cell r="Y1582">
            <v>61.435634999999998</v>
          </cell>
        </row>
        <row r="1583">
          <cell r="B1583">
            <v>590485</v>
          </cell>
          <cell r="C1583" t="str">
            <v>NOT USED</v>
          </cell>
          <cell r="D1583" t="str">
            <v>GENERAL - ADVERTISING</v>
          </cell>
          <cell r="E1583" t="str">
            <v/>
          </cell>
          <cell r="F1583" t="str">
            <v/>
          </cell>
          <cell r="G1583" t="str">
            <v/>
          </cell>
          <cell r="H1583" t="str">
            <v/>
          </cell>
          <cell r="I1583" t="str">
            <v/>
          </cell>
          <cell r="J1583" t="str">
            <v/>
          </cell>
          <cell r="K1583" t="str">
            <v/>
          </cell>
          <cell r="L1583">
            <v>142.91548</v>
          </cell>
          <cell r="M1583">
            <v>2.9767000000000001</v>
          </cell>
          <cell r="N1583">
            <v>36.33231</v>
          </cell>
          <cell r="O1583">
            <v>39.628309999999999</v>
          </cell>
          <cell r="P1583">
            <v>45.67801</v>
          </cell>
          <cell r="Q1583">
            <v>77.481570000000005</v>
          </cell>
          <cell r="R1583">
            <v>90.795389999999998</v>
          </cell>
          <cell r="S1583">
            <v>109.10517</v>
          </cell>
          <cell r="T1583">
            <v>193.32491999999999</v>
          </cell>
          <cell r="U1583">
            <v>158.70527999999999</v>
          </cell>
          <cell r="V1583">
            <v>186.60028</v>
          </cell>
          <cell r="W1583">
            <v>199.63595000000001</v>
          </cell>
          <cell r="X1583">
            <v>286.70981</v>
          </cell>
          <cell r="Y1583">
            <v>112.923045</v>
          </cell>
        </row>
        <row r="1584">
          <cell r="B1584">
            <v>590486</v>
          </cell>
          <cell r="C1584" t="str">
            <v>NOT USED</v>
          </cell>
          <cell r="D1584" t="str">
            <v>GENERAL-LICENSES / PERMITS</v>
          </cell>
          <cell r="E1584" t="str">
            <v/>
          </cell>
          <cell r="F1584" t="str">
            <v/>
          </cell>
          <cell r="G1584" t="str">
            <v/>
          </cell>
          <cell r="H1584" t="str">
            <v/>
          </cell>
          <cell r="I1584" t="str">
            <v/>
          </cell>
          <cell r="J1584" t="str">
            <v/>
          </cell>
          <cell r="K1584" t="str">
            <v/>
          </cell>
          <cell r="L1584">
            <v>216.07333</v>
          </cell>
          <cell r="M1584">
            <v>6.9359999999999999</v>
          </cell>
          <cell r="N1584">
            <v>13.14096</v>
          </cell>
          <cell r="O1584">
            <v>32.558489999999999</v>
          </cell>
          <cell r="P1584">
            <v>38.655990000000003</v>
          </cell>
          <cell r="Q1584">
            <v>40.38599</v>
          </cell>
          <cell r="R1584">
            <v>47.292990000000003</v>
          </cell>
          <cell r="S1584">
            <v>64.513289999999998</v>
          </cell>
          <cell r="T1584">
            <v>68.341790000000003</v>
          </cell>
          <cell r="U1584">
            <v>84.041290000000004</v>
          </cell>
          <cell r="V1584">
            <v>90.535730000000001</v>
          </cell>
          <cell r="W1584">
            <v>90.897229999999993</v>
          </cell>
          <cell r="X1584">
            <v>96.005229999999997</v>
          </cell>
          <cell r="Y1584">
            <v>61.111586000000003</v>
          </cell>
        </row>
        <row r="1585">
          <cell r="B1585">
            <v>590490</v>
          </cell>
          <cell r="C1585" t="str">
            <v>NOT USED</v>
          </cell>
          <cell r="D1585" t="str">
            <v>CLEARING - INTERFACE</v>
          </cell>
          <cell r="E1585" t="str">
            <v/>
          </cell>
          <cell r="F1585" t="str">
            <v/>
          </cell>
          <cell r="G1585" t="str">
            <v/>
          </cell>
          <cell r="H1585" t="str">
            <v/>
          </cell>
          <cell r="I1585" t="str">
            <v/>
          </cell>
          <cell r="J1585" t="str">
            <v/>
          </cell>
          <cell r="K1585" t="str">
            <v/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</row>
        <row r="1586">
          <cell r="B1586">
            <v>590495</v>
          </cell>
          <cell r="C1586" t="str">
            <v>NOT USED</v>
          </cell>
          <cell r="D1586" t="str">
            <v>RESEARCH &amp; DEVELOPMENT (R&amp;D) EXPENSES</v>
          </cell>
          <cell r="E1586" t="str">
            <v/>
          </cell>
          <cell r="F1586" t="str">
            <v/>
          </cell>
          <cell r="G1586" t="str">
            <v/>
          </cell>
          <cell r="H1586" t="str">
            <v/>
          </cell>
          <cell r="I1586" t="str">
            <v/>
          </cell>
          <cell r="J1586" t="str">
            <v/>
          </cell>
          <cell r="K1586" t="str">
            <v/>
          </cell>
          <cell r="L1586">
            <v>1834.7897800000001</v>
          </cell>
          <cell r="M1586">
            <v>67.283730000000006</v>
          </cell>
          <cell r="N1586">
            <v>134.56746000000001</v>
          </cell>
          <cell r="O1586">
            <v>201.85120000000001</v>
          </cell>
          <cell r="P1586">
            <v>501.08945</v>
          </cell>
          <cell r="Q1586">
            <v>576.84209999999996</v>
          </cell>
          <cell r="R1586">
            <v>877.99229000000003</v>
          </cell>
          <cell r="S1586">
            <v>953.74494000000004</v>
          </cell>
          <cell r="T1586">
            <v>1188.44057</v>
          </cell>
          <cell r="U1586">
            <v>1264.1932200000001</v>
          </cell>
          <cell r="V1586">
            <v>1339.94587</v>
          </cell>
          <cell r="W1586">
            <v>1466.40166</v>
          </cell>
          <cell r="X1586">
            <v>2471.7613999999999</v>
          </cell>
          <cell r="Y1586">
            <v>893.80233999999996</v>
          </cell>
        </row>
        <row r="1587">
          <cell r="B1587">
            <v>590500</v>
          </cell>
          <cell r="C1587" t="str">
            <v>NOT USED</v>
          </cell>
          <cell r="D1587" t="str">
            <v>CORPORATE AND FISCAL EXPENSES</v>
          </cell>
          <cell r="E1587" t="str">
            <v/>
          </cell>
          <cell r="F1587" t="str">
            <v/>
          </cell>
          <cell r="G1587" t="str">
            <v/>
          </cell>
          <cell r="H1587" t="str">
            <v/>
          </cell>
          <cell r="I1587" t="str">
            <v/>
          </cell>
          <cell r="J1587" t="str">
            <v/>
          </cell>
          <cell r="K1587" t="str">
            <v/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</row>
        <row r="1588">
          <cell r="B1588">
            <v>590505</v>
          </cell>
          <cell r="C1588" t="str">
            <v>NOT USED</v>
          </cell>
          <cell r="D1588" t="str">
            <v>GENERAL - SAFETY APPAREL</v>
          </cell>
          <cell r="E1588" t="str">
            <v/>
          </cell>
          <cell r="F1588" t="str">
            <v/>
          </cell>
          <cell r="G1588" t="str">
            <v/>
          </cell>
          <cell r="H1588" t="str">
            <v/>
          </cell>
          <cell r="I1588" t="str">
            <v/>
          </cell>
          <cell r="J1588" t="str">
            <v/>
          </cell>
          <cell r="K1588" t="str">
            <v/>
          </cell>
          <cell r="L1588">
            <v>195.71418</v>
          </cell>
          <cell r="M1588">
            <v>7.06853</v>
          </cell>
          <cell r="N1588">
            <v>19.052510000000002</v>
          </cell>
          <cell r="O1588">
            <v>78.86506</v>
          </cell>
          <cell r="P1588">
            <v>91.280699999999996</v>
          </cell>
          <cell r="Q1588">
            <v>147.68841</v>
          </cell>
          <cell r="R1588">
            <v>206.40173999999999</v>
          </cell>
          <cell r="S1588">
            <v>205.40186</v>
          </cell>
          <cell r="T1588">
            <v>218.64685</v>
          </cell>
          <cell r="U1588">
            <v>235.95855</v>
          </cell>
          <cell r="V1588">
            <v>241.79267999999999</v>
          </cell>
          <cell r="W1588">
            <v>257.74822999999998</v>
          </cell>
          <cell r="X1588">
            <v>296.45057000000003</v>
          </cell>
          <cell r="Y1588">
            <v>162.99895799999999</v>
          </cell>
        </row>
        <row r="1589">
          <cell r="B1589">
            <v>590510</v>
          </cell>
          <cell r="C1589" t="str">
            <v>NOT USED</v>
          </cell>
          <cell r="D1589" t="str">
            <v>OTHER GENERAL EXPENSES -OFFICE SUPPLIES &amp; EXPENSE</v>
          </cell>
          <cell r="E1589" t="str">
            <v/>
          </cell>
          <cell r="F1589" t="str">
            <v/>
          </cell>
          <cell r="G1589" t="str">
            <v/>
          </cell>
          <cell r="H1589" t="str">
            <v/>
          </cell>
          <cell r="I1589" t="str">
            <v/>
          </cell>
          <cell r="J1589" t="str">
            <v/>
          </cell>
          <cell r="K1589" t="str">
            <v/>
          </cell>
          <cell r="L1589">
            <v>164.19682</v>
          </cell>
          <cell r="M1589">
            <v>17.498200000000001</v>
          </cell>
          <cell r="N1589">
            <v>26.263200000000001</v>
          </cell>
          <cell r="O1589">
            <v>39.882469999999998</v>
          </cell>
          <cell r="P1589">
            <v>56.6798</v>
          </cell>
          <cell r="Q1589">
            <v>70.036860000000004</v>
          </cell>
          <cell r="R1589">
            <v>80.567760000000007</v>
          </cell>
          <cell r="S1589">
            <v>96.473579999999998</v>
          </cell>
          <cell r="T1589">
            <v>113.56098</v>
          </cell>
          <cell r="U1589">
            <v>134.84679</v>
          </cell>
          <cell r="V1589">
            <v>161.15882999999999</v>
          </cell>
          <cell r="W1589">
            <v>192.98246</v>
          </cell>
          <cell r="X1589">
            <v>249.99782999999999</v>
          </cell>
          <cell r="Y1589">
            <v>99.754020999999995</v>
          </cell>
        </row>
        <row r="1590">
          <cell r="B1590">
            <v>590511</v>
          </cell>
          <cell r="C1590" t="str">
            <v>NOT USED</v>
          </cell>
          <cell r="D1590" t="str">
            <v>OFFICE SUPPLIES &amp; EXPENSES - EEMC HC ALLOCATION</v>
          </cell>
          <cell r="E1590" t="str">
            <v/>
          </cell>
          <cell r="F1590" t="str">
            <v/>
          </cell>
          <cell r="G1590" t="str">
            <v/>
          </cell>
          <cell r="H1590" t="str">
            <v/>
          </cell>
          <cell r="I1590" t="str">
            <v/>
          </cell>
          <cell r="J1590" t="str">
            <v/>
          </cell>
          <cell r="K1590" t="str">
            <v/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</row>
        <row r="1591">
          <cell r="B1591">
            <v>590512</v>
          </cell>
          <cell r="C1591" t="str">
            <v>NOT USED</v>
          </cell>
          <cell r="D1591" t="str">
            <v>EEPS-GENERAL -OFFICE SUPPLIES &amp; EXPENSES</v>
          </cell>
          <cell r="E1591" t="str">
            <v/>
          </cell>
          <cell r="F1591" t="str">
            <v/>
          </cell>
          <cell r="G1591" t="str">
            <v/>
          </cell>
          <cell r="H1591" t="str">
            <v/>
          </cell>
          <cell r="I1591" t="str">
            <v/>
          </cell>
          <cell r="J1591" t="str">
            <v/>
          </cell>
          <cell r="K1591" t="str">
            <v/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48.403700000000001</v>
          </cell>
          <cell r="U1591">
            <v>48.428060000000002</v>
          </cell>
          <cell r="V1591">
            <v>48.428060000000002</v>
          </cell>
          <cell r="W1591">
            <v>48.428060000000002</v>
          </cell>
          <cell r="X1591">
            <v>48.428060000000002</v>
          </cell>
          <cell r="Y1591">
            <v>18.158493</v>
          </cell>
        </row>
        <row r="1592">
          <cell r="B1592">
            <v>590520</v>
          </cell>
          <cell r="C1592" t="str">
            <v>NOT USED</v>
          </cell>
          <cell r="D1592" t="str">
            <v>OTHER GENERAL EXPENSES -PER DIEM</v>
          </cell>
          <cell r="E1592" t="str">
            <v/>
          </cell>
          <cell r="F1592" t="str">
            <v/>
          </cell>
          <cell r="G1592" t="str">
            <v/>
          </cell>
          <cell r="H1592" t="str">
            <v/>
          </cell>
          <cell r="I1592" t="str">
            <v/>
          </cell>
          <cell r="J1592" t="str">
            <v/>
          </cell>
          <cell r="K1592" t="str">
            <v/>
          </cell>
          <cell r="L1592">
            <v>27.32066</v>
          </cell>
          <cell r="M1592">
            <v>1.9888399999999999</v>
          </cell>
          <cell r="N1592">
            <v>4.1076800000000002</v>
          </cell>
          <cell r="O1592">
            <v>5.7055400000000001</v>
          </cell>
          <cell r="P1592">
            <v>8.4823199999999996</v>
          </cell>
          <cell r="Q1592">
            <v>11.54266</v>
          </cell>
          <cell r="R1592">
            <v>13.39742</v>
          </cell>
          <cell r="S1592">
            <v>15.845280000000001</v>
          </cell>
          <cell r="T1592">
            <v>18.36412</v>
          </cell>
          <cell r="U1592">
            <v>21.463889999999999</v>
          </cell>
          <cell r="V1592">
            <v>23.69473</v>
          </cell>
          <cell r="W1592">
            <v>26.712569999999999</v>
          </cell>
          <cell r="X1592">
            <v>28.71942</v>
          </cell>
          <cell r="Y1592">
            <v>14.943758000000001</v>
          </cell>
        </row>
        <row r="1593">
          <cell r="B1593">
            <v>590525</v>
          </cell>
          <cell r="C1593" t="str">
            <v>NOT USED</v>
          </cell>
          <cell r="D1593" t="str">
            <v>COMPANY USE CREDITS - ELECTRIC</v>
          </cell>
          <cell r="E1593" t="str">
            <v/>
          </cell>
          <cell r="F1593" t="str">
            <v/>
          </cell>
          <cell r="G1593" t="str">
            <v/>
          </cell>
          <cell r="H1593" t="str">
            <v/>
          </cell>
          <cell r="I1593" t="str">
            <v/>
          </cell>
          <cell r="J1593" t="str">
            <v/>
          </cell>
          <cell r="K1593" t="str">
            <v/>
          </cell>
          <cell r="L1593">
            <v>-1443.0400299999999</v>
          </cell>
          <cell r="M1593">
            <v>-141.2868</v>
          </cell>
          <cell r="N1593">
            <v>-266.56328999999999</v>
          </cell>
          <cell r="O1593">
            <v>-296.33076</v>
          </cell>
          <cell r="P1593">
            <v>-424.59712000000002</v>
          </cell>
          <cell r="Q1593">
            <v>-542.26314000000002</v>
          </cell>
          <cell r="R1593">
            <v>-664.68255999999997</v>
          </cell>
          <cell r="S1593">
            <v>-797.50591999999995</v>
          </cell>
          <cell r="T1593">
            <v>-921.20690999999999</v>
          </cell>
          <cell r="U1593">
            <v>-1049.1332500000001</v>
          </cell>
          <cell r="V1593">
            <v>-1170.3118300000001</v>
          </cell>
          <cell r="W1593">
            <v>-1274.7409500000001</v>
          </cell>
          <cell r="X1593">
            <v>-1398.72486</v>
          </cell>
          <cell r="Y1593">
            <v>-747.45874800000001</v>
          </cell>
        </row>
        <row r="1594">
          <cell r="B1594">
            <v>590526</v>
          </cell>
          <cell r="C1594" t="str">
            <v>NOT USED</v>
          </cell>
          <cell r="D1594" t="str">
            <v>GENERAL - COMPANY USE CREDITS - GAS</v>
          </cell>
          <cell r="E1594" t="str">
            <v/>
          </cell>
          <cell r="F1594" t="str">
            <v/>
          </cell>
          <cell r="G1594" t="str">
            <v/>
          </cell>
          <cell r="H1594" t="str">
            <v/>
          </cell>
          <cell r="I1594" t="str">
            <v/>
          </cell>
          <cell r="J1594" t="str">
            <v/>
          </cell>
          <cell r="K1594" t="str">
            <v/>
          </cell>
          <cell r="L1594">
            <v>-358.09721000000002</v>
          </cell>
          <cell r="M1594">
            <v>-75.865610000000004</v>
          </cell>
          <cell r="N1594">
            <v>-152.70742000000001</v>
          </cell>
          <cell r="O1594">
            <v>-215.06649999999999</v>
          </cell>
          <cell r="P1594">
            <v>-251.43295000000001</v>
          </cell>
          <cell r="Q1594">
            <v>-272.13175999999999</v>
          </cell>
          <cell r="R1594">
            <v>-294.97825999999998</v>
          </cell>
          <cell r="S1594">
            <v>-302.44279</v>
          </cell>
          <cell r="T1594">
            <v>-309.52758</v>
          </cell>
          <cell r="U1594">
            <v>-318.85145999999997</v>
          </cell>
          <cell r="V1594">
            <v>-334.86340000000001</v>
          </cell>
          <cell r="W1594">
            <v>-349.27051</v>
          </cell>
          <cell r="X1594">
            <v>-385.82431000000003</v>
          </cell>
          <cell r="Y1594">
            <v>-270.75824999999998</v>
          </cell>
        </row>
        <row r="1595">
          <cell r="B1595">
            <v>590530</v>
          </cell>
          <cell r="C1595" t="str">
            <v>NOT USED</v>
          </cell>
          <cell r="D1595" t="str">
            <v>GINNA OUTAGE ACCRUAL</v>
          </cell>
          <cell r="E1595" t="str">
            <v/>
          </cell>
          <cell r="F1595" t="str">
            <v/>
          </cell>
          <cell r="G1595" t="str">
            <v/>
          </cell>
          <cell r="H1595" t="str">
            <v/>
          </cell>
          <cell r="I1595" t="str">
            <v/>
          </cell>
          <cell r="J1595" t="str">
            <v/>
          </cell>
          <cell r="K1595" t="str">
            <v/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</row>
        <row r="1596">
          <cell r="B1596">
            <v>590535</v>
          </cell>
          <cell r="C1596" t="str">
            <v>NOT USED</v>
          </cell>
          <cell r="D1596" t="str">
            <v>PERFORMANCE PLUS PLAN INCENTIVE</v>
          </cell>
          <cell r="E1596" t="str">
            <v/>
          </cell>
          <cell r="F1596" t="str">
            <v/>
          </cell>
          <cell r="G1596" t="str">
            <v/>
          </cell>
          <cell r="H1596" t="str">
            <v/>
          </cell>
          <cell r="I1596" t="str">
            <v/>
          </cell>
          <cell r="J1596" t="str">
            <v/>
          </cell>
          <cell r="K1596" t="str">
            <v/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Y1596">
            <v>0</v>
          </cell>
        </row>
        <row r="1597">
          <cell r="B1597">
            <v>590536</v>
          </cell>
          <cell r="C1597" t="str">
            <v>NOT USED</v>
          </cell>
          <cell r="D1597" t="str">
            <v>GENERAL-LONG TERM INCENTIVE</v>
          </cell>
          <cell r="E1597" t="str">
            <v/>
          </cell>
          <cell r="F1597" t="str">
            <v/>
          </cell>
          <cell r="G1597" t="str">
            <v/>
          </cell>
          <cell r="H1597" t="str">
            <v/>
          </cell>
          <cell r="I1597" t="str">
            <v/>
          </cell>
          <cell r="J1597" t="str">
            <v/>
          </cell>
          <cell r="K1597" t="str">
            <v/>
          </cell>
          <cell r="L1597">
            <v>65.516909999999996</v>
          </cell>
          <cell r="M1597">
            <v>17.245819999999998</v>
          </cell>
          <cell r="N1597">
            <v>24.697430000000001</v>
          </cell>
          <cell r="O1597">
            <v>29.391380000000002</v>
          </cell>
          <cell r="P1597">
            <v>44.278559999999999</v>
          </cell>
          <cell r="Q1597">
            <v>42.204839999999997</v>
          </cell>
          <cell r="R1597">
            <v>48.241489999999999</v>
          </cell>
          <cell r="S1597">
            <v>39.798870000000001</v>
          </cell>
          <cell r="T1597">
            <v>53.685270000000003</v>
          </cell>
          <cell r="U1597">
            <v>178.95921000000001</v>
          </cell>
          <cell r="V1597">
            <v>212.43838</v>
          </cell>
          <cell r="W1597">
            <v>271.13019000000003</v>
          </cell>
          <cell r="X1597">
            <v>282.14510000000001</v>
          </cell>
          <cell r="Y1597">
            <v>94.658536999999995</v>
          </cell>
        </row>
        <row r="1598">
          <cell r="B1598">
            <v>590538</v>
          </cell>
          <cell r="C1598" t="str">
            <v>NOT USED</v>
          </cell>
          <cell r="D1598" t="str">
            <v>GENERAL - LABOR COST DEFERRAL - REGULATORY</v>
          </cell>
          <cell r="E1598" t="str">
            <v/>
          </cell>
          <cell r="F1598" t="str">
            <v/>
          </cell>
          <cell r="G1598" t="str">
            <v/>
          </cell>
          <cell r="H1598" t="str">
            <v/>
          </cell>
          <cell r="I1598" t="str">
            <v/>
          </cell>
          <cell r="J1598" t="str">
            <v/>
          </cell>
          <cell r="K1598" t="str">
            <v/>
          </cell>
          <cell r="L1598">
            <v>-5720.4908400000004</v>
          </cell>
          <cell r="M1598">
            <v>-139.471</v>
          </cell>
          <cell r="N1598">
            <v>-252.87887000000001</v>
          </cell>
          <cell r="O1598">
            <v>-397.65390000000002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-304.187433</v>
          </cell>
        </row>
        <row r="1599">
          <cell r="B1599">
            <v>590539</v>
          </cell>
          <cell r="C1599" t="str">
            <v>NOT USED</v>
          </cell>
          <cell r="D1599" t="str">
            <v>GENERAL - LABOR COST GAS DEFERRAL - REGULATORY</v>
          </cell>
          <cell r="E1599" t="str">
            <v/>
          </cell>
          <cell r="F1599" t="str">
            <v/>
          </cell>
          <cell r="G1599" t="str">
            <v/>
          </cell>
          <cell r="H1599" t="str">
            <v/>
          </cell>
          <cell r="I1599" t="str">
            <v/>
          </cell>
          <cell r="J1599" t="str">
            <v/>
          </cell>
          <cell r="K1599" t="str">
            <v/>
          </cell>
          <cell r="L1599">
            <v>-2479.8799399999998</v>
          </cell>
          <cell r="M1599">
            <v>-108.89838</v>
          </cell>
          <cell r="N1599">
            <v>-242.20482000000001</v>
          </cell>
          <cell r="O1599">
            <v>-352.28894000000003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-161.944343</v>
          </cell>
        </row>
        <row r="1600">
          <cell r="B1600">
            <v>590540</v>
          </cell>
          <cell r="C1600" t="str">
            <v>NOT USED</v>
          </cell>
          <cell r="D1600" t="str">
            <v>EMPLOYEE REFERRAL PAYMENT</v>
          </cell>
          <cell r="E1600" t="str">
            <v/>
          </cell>
          <cell r="F1600" t="str">
            <v/>
          </cell>
          <cell r="G1600" t="str">
            <v/>
          </cell>
          <cell r="H1600" t="str">
            <v/>
          </cell>
          <cell r="I1600" t="str">
            <v/>
          </cell>
          <cell r="J1600" t="str">
            <v/>
          </cell>
          <cell r="K1600" t="str">
            <v/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</row>
        <row r="1601">
          <cell r="B1601">
            <v>590541</v>
          </cell>
          <cell r="C1601" t="str">
            <v>NOT USED</v>
          </cell>
          <cell r="D1601" t="str">
            <v>LABOR - EEMC HC ALLOCATION-RGE</v>
          </cell>
          <cell r="E1601" t="str">
            <v/>
          </cell>
          <cell r="F1601" t="str">
            <v/>
          </cell>
          <cell r="G1601" t="str">
            <v/>
          </cell>
          <cell r="H1601" t="str">
            <v/>
          </cell>
          <cell r="I1601" t="str">
            <v/>
          </cell>
          <cell r="J1601" t="str">
            <v/>
          </cell>
          <cell r="K1601" t="str">
            <v/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</row>
        <row r="1602">
          <cell r="B1602">
            <v>590544</v>
          </cell>
          <cell r="C1602" t="str">
            <v>NOT USED</v>
          </cell>
          <cell r="D1602" t="str">
            <v>GENERAL-CONSERVATION EXPENSE - EEPS</v>
          </cell>
          <cell r="E1602" t="str">
            <v/>
          </cell>
          <cell r="F1602" t="str">
            <v/>
          </cell>
          <cell r="G1602" t="str">
            <v/>
          </cell>
          <cell r="H1602" t="str">
            <v/>
          </cell>
          <cell r="I1602" t="str">
            <v/>
          </cell>
          <cell r="J1602" t="str">
            <v/>
          </cell>
          <cell r="K1602" t="str">
            <v/>
          </cell>
          <cell r="L1602">
            <v>4151.9927600000001</v>
          </cell>
          <cell r="M1602">
            <v>351.80425000000002</v>
          </cell>
          <cell r="N1602">
            <v>1591.3099400000001</v>
          </cell>
          <cell r="O1602">
            <v>2291.8719500000002</v>
          </cell>
          <cell r="P1602">
            <v>2736.44598</v>
          </cell>
          <cell r="Q1602">
            <v>3501.50495</v>
          </cell>
          <cell r="R1602">
            <v>4014.1644299999998</v>
          </cell>
          <cell r="S1602">
            <v>4711.8720599999997</v>
          </cell>
          <cell r="T1602">
            <v>4973.6242300000004</v>
          </cell>
          <cell r="U1602">
            <v>5711.2402199999997</v>
          </cell>
          <cell r="V1602">
            <v>6386.3185000000003</v>
          </cell>
          <cell r="W1602">
            <v>7233.9481800000003</v>
          </cell>
          <cell r="X1602">
            <v>8260.1391199999998</v>
          </cell>
          <cell r="Y1602">
            <v>4142.5142189999997</v>
          </cell>
        </row>
        <row r="1603">
          <cell r="B1603">
            <v>590550</v>
          </cell>
          <cell r="C1603" t="str">
            <v>NOT USED</v>
          </cell>
          <cell r="D1603" t="str">
            <v>RESTRUCTURING CHARGES</v>
          </cell>
          <cell r="E1603" t="str">
            <v/>
          </cell>
          <cell r="F1603" t="str">
            <v/>
          </cell>
          <cell r="G1603" t="str">
            <v/>
          </cell>
          <cell r="H1603" t="str">
            <v/>
          </cell>
          <cell r="I1603" t="str">
            <v/>
          </cell>
          <cell r="J1603" t="str">
            <v/>
          </cell>
          <cell r="K1603" t="str">
            <v/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</row>
        <row r="1604">
          <cell r="B1604">
            <v>590551</v>
          </cell>
          <cell r="C1604" t="str">
            <v>NOT USED</v>
          </cell>
          <cell r="D1604" t="str">
            <v>GENERAL - PENSION DEFERRAL SERVICE</v>
          </cell>
          <cell r="E1604" t="str">
            <v/>
          </cell>
          <cell r="F1604" t="str">
            <v/>
          </cell>
          <cell r="G1604" t="str">
            <v/>
          </cell>
          <cell r="H1604" t="str">
            <v/>
          </cell>
          <cell r="I1604" t="str">
            <v/>
          </cell>
          <cell r="J1604" t="str">
            <v/>
          </cell>
          <cell r="K1604" t="str">
            <v/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-58.437379999999997</v>
          </cell>
          <cell r="Q1604">
            <v>5.6134599999999999</v>
          </cell>
          <cell r="R1604">
            <v>31.807510000000001</v>
          </cell>
          <cell r="S1604">
            <v>149.82387</v>
          </cell>
          <cell r="T1604">
            <v>-316.73250999999999</v>
          </cell>
          <cell r="U1604">
            <v>-292.50608</v>
          </cell>
          <cell r="V1604">
            <v>-226.73445000000001</v>
          </cell>
          <cell r="W1604">
            <v>-147.50361000000001</v>
          </cell>
          <cell r="X1604">
            <v>-48.014020000000002</v>
          </cell>
          <cell r="Y1604">
            <v>-73.223016999999999</v>
          </cell>
        </row>
        <row r="1605">
          <cell r="B1605">
            <v>590552</v>
          </cell>
          <cell r="C1605" t="str">
            <v>NOT USED</v>
          </cell>
          <cell r="D1605" t="str">
            <v>GENERAL - PENSION DEFERRAL INTEREST</v>
          </cell>
          <cell r="E1605" t="str">
            <v/>
          </cell>
          <cell r="F1605" t="str">
            <v/>
          </cell>
          <cell r="G1605" t="str">
            <v/>
          </cell>
          <cell r="H1605" t="str">
            <v/>
          </cell>
          <cell r="I1605" t="str">
            <v/>
          </cell>
          <cell r="J1605" t="str">
            <v/>
          </cell>
          <cell r="K1605" t="str">
            <v/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-977.71668</v>
          </cell>
          <cell r="Q1605">
            <v>-1025.44193</v>
          </cell>
          <cell r="R1605">
            <v>-1089.4846299999999</v>
          </cell>
          <cell r="S1605">
            <v>-688.79989</v>
          </cell>
          <cell r="T1605">
            <v>-1494.0030899999999</v>
          </cell>
          <cell r="U1605">
            <v>-1651.9730300000001</v>
          </cell>
          <cell r="V1605">
            <v>-1635.7660100000001</v>
          </cell>
          <cell r="W1605">
            <v>-1591.5594900000001</v>
          </cell>
          <cell r="X1605">
            <v>-1671.2629899999999</v>
          </cell>
          <cell r="Y1605">
            <v>-915.864687</v>
          </cell>
        </row>
        <row r="1606">
          <cell r="B1606">
            <v>590553</v>
          </cell>
          <cell r="C1606" t="str">
            <v>NOT USED</v>
          </cell>
          <cell r="D1606" t="str">
            <v>GENERAL - PENSION DEFERRAL ROA</v>
          </cell>
          <cell r="E1606" t="str">
            <v/>
          </cell>
          <cell r="F1606" t="str">
            <v/>
          </cell>
          <cell r="G1606" t="str">
            <v/>
          </cell>
          <cell r="H1606" t="str">
            <v/>
          </cell>
          <cell r="I1606" t="str">
            <v/>
          </cell>
          <cell r="J1606" t="str">
            <v/>
          </cell>
          <cell r="K1606" t="str">
            <v/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1310.28334</v>
          </cell>
          <cell r="Q1606">
            <v>2593.8452400000001</v>
          </cell>
          <cell r="R1606">
            <v>2880.1499600000002</v>
          </cell>
          <cell r="S1606">
            <v>2400.5145299999999</v>
          </cell>
          <cell r="T1606">
            <v>3836.4094500000001</v>
          </cell>
          <cell r="U1606">
            <v>4440.1030600000004</v>
          </cell>
          <cell r="V1606">
            <v>4720.1015600000001</v>
          </cell>
          <cell r="W1606">
            <v>4938.0071900000003</v>
          </cell>
          <cell r="X1606">
            <v>5334.2237100000002</v>
          </cell>
          <cell r="Y1606">
            <v>2482.2105150000002</v>
          </cell>
        </row>
        <row r="1607">
          <cell r="B1607">
            <v>590554</v>
          </cell>
          <cell r="C1607" t="str">
            <v>NOT USED</v>
          </cell>
          <cell r="D1607" t="str">
            <v>GENERAL - PENSION DEFERRAL GAIN / LOSS</v>
          </cell>
          <cell r="E1607" t="str">
            <v/>
          </cell>
          <cell r="F1607" t="str">
            <v/>
          </cell>
          <cell r="G1607" t="str">
            <v/>
          </cell>
          <cell r="H1607" t="str">
            <v/>
          </cell>
          <cell r="I1607" t="str">
            <v/>
          </cell>
          <cell r="J1607" t="str">
            <v/>
          </cell>
          <cell r="K1607" t="str">
            <v/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-730.79331999999999</v>
          </cell>
          <cell r="Q1607">
            <v>-629.52021999999999</v>
          </cell>
          <cell r="R1607">
            <v>-685.87366999999995</v>
          </cell>
          <cell r="S1607">
            <v>-513.06677999999999</v>
          </cell>
          <cell r="T1607">
            <v>-1615.45029</v>
          </cell>
          <cell r="U1607">
            <v>-1771.1281799999999</v>
          </cell>
          <cell r="V1607">
            <v>-1830.9034999999999</v>
          </cell>
          <cell r="W1607">
            <v>-1865.4593600000001</v>
          </cell>
          <cell r="X1607">
            <v>-1973.9443000000001</v>
          </cell>
          <cell r="Y1607">
            <v>-885.76395600000001</v>
          </cell>
        </row>
        <row r="1608">
          <cell r="B1608">
            <v>590556</v>
          </cell>
          <cell r="C1608" t="str">
            <v>NOT USED</v>
          </cell>
          <cell r="D1608" t="str">
            <v>GENERAL - OPEB DEFERRAL SERVICE</v>
          </cell>
          <cell r="E1608" t="str">
            <v/>
          </cell>
          <cell r="F1608" t="str">
            <v/>
          </cell>
          <cell r="G1608" t="str">
            <v/>
          </cell>
          <cell r="H1608" t="str">
            <v/>
          </cell>
          <cell r="I1608" t="str">
            <v/>
          </cell>
          <cell r="J1608" t="str">
            <v/>
          </cell>
          <cell r="K1608" t="str">
            <v/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-11.031610000000001</v>
          </cell>
          <cell r="Q1608">
            <v>-15.009309999999999</v>
          </cell>
          <cell r="R1608">
            <v>301.50481000000002</v>
          </cell>
          <cell r="S1608">
            <v>359.69716</v>
          </cell>
          <cell r="T1608">
            <v>439.94715000000002</v>
          </cell>
          <cell r="U1608">
            <v>468.84809999999999</v>
          </cell>
          <cell r="V1608">
            <v>487.45620000000002</v>
          </cell>
          <cell r="W1608">
            <v>492.89366999999999</v>
          </cell>
          <cell r="X1608">
            <v>530.82861000000003</v>
          </cell>
          <cell r="Y1608">
            <v>232.47670600000001</v>
          </cell>
        </row>
        <row r="1609">
          <cell r="B1609">
            <v>590557</v>
          </cell>
          <cell r="C1609" t="str">
            <v>NOT USED</v>
          </cell>
          <cell r="D1609" t="str">
            <v>GENERAL - OPEB DEFERRAL INTEREST</v>
          </cell>
          <cell r="E1609" t="str">
            <v/>
          </cell>
          <cell r="F1609" t="str">
            <v/>
          </cell>
          <cell r="G1609" t="str">
            <v/>
          </cell>
          <cell r="H1609" t="str">
            <v/>
          </cell>
          <cell r="I1609" t="str">
            <v/>
          </cell>
          <cell r="J1609" t="str">
            <v/>
          </cell>
          <cell r="K1609" t="str">
            <v/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40.51728</v>
          </cell>
          <cell r="Q1609">
            <v>43.256340000000002</v>
          </cell>
          <cell r="R1609">
            <v>31.3963</v>
          </cell>
          <cell r="S1609">
            <v>90.888109999999998</v>
          </cell>
          <cell r="T1609">
            <v>196.23772</v>
          </cell>
          <cell r="U1609">
            <v>349.14402999999999</v>
          </cell>
          <cell r="V1609">
            <v>423.17827</v>
          </cell>
          <cell r="W1609">
            <v>405.65600000000001</v>
          </cell>
          <cell r="X1609">
            <v>584.11662000000001</v>
          </cell>
          <cell r="Y1609">
            <v>156.02769699999999</v>
          </cell>
        </row>
        <row r="1610">
          <cell r="B1610">
            <v>590558</v>
          </cell>
          <cell r="C1610" t="str">
            <v>NOT USED</v>
          </cell>
          <cell r="D1610" t="str">
            <v>GENERAL - OPEB DEFERRAL ROA</v>
          </cell>
          <cell r="E1610" t="str">
            <v/>
          </cell>
          <cell r="F1610" t="str">
            <v/>
          </cell>
          <cell r="G1610" t="str">
            <v/>
          </cell>
          <cell r="H1610" t="str">
            <v/>
          </cell>
          <cell r="I1610" t="str">
            <v/>
          </cell>
          <cell r="J1610" t="str">
            <v/>
          </cell>
          <cell r="K1610" t="str">
            <v/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75.931259999999995</v>
          </cell>
          <cell r="U1610">
            <v>84.720569999999995</v>
          </cell>
          <cell r="V1610">
            <v>92.374409999999997</v>
          </cell>
          <cell r="W1610">
            <v>98.306439999999995</v>
          </cell>
          <cell r="X1610">
            <v>106.35129999999999</v>
          </cell>
          <cell r="Y1610">
            <v>33.709028000000004</v>
          </cell>
        </row>
        <row r="1611">
          <cell r="B1611">
            <v>590559</v>
          </cell>
          <cell r="C1611" t="str">
            <v>NOT USED</v>
          </cell>
          <cell r="D1611" t="str">
            <v>GENERAL - OPEB DEFERRAL GAIN / LOSS</v>
          </cell>
          <cell r="E1611" t="str">
            <v/>
          </cell>
          <cell r="F1611" t="str">
            <v/>
          </cell>
          <cell r="G1611" t="str">
            <v/>
          </cell>
          <cell r="H1611" t="str">
            <v/>
          </cell>
          <cell r="I1611" t="str">
            <v/>
          </cell>
          <cell r="J1611" t="str">
            <v/>
          </cell>
          <cell r="K1611" t="str">
            <v/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-579.99965999999995</v>
          </cell>
          <cell r="Q1611">
            <v>-727.20033000000001</v>
          </cell>
          <cell r="R1611">
            <v>-785.21068000000002</v>
          </cell>
          <cell r="S1611">
            <v>-903.02628000000004</v>
          </cell>
          <cell r="T1611">
            <v>-1139.30081</v>
          </cell>
          <cell r="U1611">
            <v>-1314.88724</v>
          </cell>
          <cell r="V1611">
            <v>-1452.1538700000001</v>
          </cell>
          <cell r="W1611">
            <v>-1563.5383300000001</v>
          </cell>
          <cell r="X1611">
            <v>-1734.81385</v>
          </cell>
          <cell r="Y1611">
            <v>-777.72700999999995</v>
          </cell>
        </row>
        <row r="1612">
          <cell r="B1612">
            <v>590599</v>
          </cell>
          <cell r="C1612" t="str">
            <v>NOT USED</v>
          </cell>
          <cell r="D1612" t="str">
            <v>GENERAL-CONSERVATION EXPENSE - EEPS-IC</v>
          </cell>
          <cell r="E1612" t="str">
            <v/>
          </cell>
          <cell r="F1612" t="str">
            <v/>
          </cell>
          <cell r="G1612" t="str">
            <v/>
          </cell>
          <cell r="H1612" t="str">
            <v/>
          </cell>
          <cell r="I1612" t="str">
            <v/>
          </cell>
          <cell r="J1612" t="str">
            <v/>
          </cell>
          <cell r="K1612" t="str">
            <v/>
          </cell>
          <cell r="L1612">
            <v>0</v>
          </cell>
          <cell r="M1612">
            <v>0</v>
          </cell>
          <cell r="N1612">
            <v>0</v>
          </cell>
          <cell r="O1612">
            <v>549.22400000000005</v>
          </cell>
          <cell r="P1612">
            <v>564.66499999999996</v>
          </cell>
          <cell r="Q1612">
            <v>564.66499999999996</v>
          </cell>
          <cell r="R1612">
            <v>564.66499999999996</v>
          </cell>
          <cell r="S1612">
            <v>564.66499999999996</v>
          </cell>
          <cell r="T1612">
            <v>564.66499999999996</v>
          </cell>
          <cell r="U1612">
            <v>564.66499999999996</v>
          </cell>
          <cell r="V1612">
            <v>564.66499999999996</v>
          </cell>
          <cell r="W1612">
            <v>564.66499999999996</v>
          </cell>
          <cell r="X1612">
            <v>564.66499999999996</v>
          </cell>
          <cell r="Y1612">
            <v>445.73970800000001</v>
          </cell>
        </row>
        <row r="1613">
          <cell r="B1613">
            <v>590600</v>
          </cell>
          <cell r="C1613" t="str">
            <v>NOT USED</v>
          </cell>
          <cell r="D1613" t="str">
            <v>OTHER GENERAL EXPENSES</v>
          </cell>
          <cell r="E1613" t="str">
            <v/>
          </cell>
          <cell r="F1613" t="str">
            <v/>
          </cell>
          <cell r="G1613" t="str">
            <v/>
          </cell>
          <cell r="H1613" t="str">
            <v/>
          </cell>
          <cell r="I1613" t="str">
            <v/>
          </cell>
          <cell r="J1613" t="str">
            <v/>
          </cell>
          <cell r="K1613" t="str">
            <v/>
          </cell>
          <cell r="L1613">
            <v>2888.4644899999998</v>
          </cell>
          <cell r="M1613">
            <v>-62.661090000000002</v>
          </cell>
          <cell r="N1613">
            <v>-36.732550000000003</v>
          </cell>
          <cell r="O1613">
            <v>-7.2839900000000002</v>
          </cell>
          <cell r="P1613">
            <v>34.290260000000004</v>
          </cell>
          <cell r="Q1613">
            <v>434.66162000000003</v>
          </cell>
          <cell r="R1613">
            <v>609.92264999999998</v>
          </cell>
          <cell r="S1613">
            <v>605.00160000000005</v>
          </cell>
          <cell r="T1613">
            <v>1064.18058</v>
          </cell>
          <cell r="U1613">
            <v>1332.7580399999999</v>
          </cell>
          <cell r="V1613">
            <v>1426.07564</v>
          </cell>
          <cell r="W1613">
            <v>1642.24332</v>
          </cell>
          <cell r="X1613">
            <v>3689.6759900000002</v>
          </cell>
          <cell r="Y1613">
            <v>860.96052699999996</v>
          </cell>
        </row>
        <row r="1614">
          <cell r="B1614">
            <v>590601</v>
          </cell>
          <cell r="C1614" t="str">
            <v>NOT USED</v>
          </cell>
          <cell r="D1614" t="str">
            <v>OTHER GENERAL EXPENSES - EEMC HC ALLOCATION-RGE</v>
          </cell>
          <cell r="E1614" t="str">
            <v/>
          </cell>
          <cell r="F1614" t="str">
            <v/>
          </cell>
          <cell r="G1614" t="str">
            <v/>
          </cell>
          <cell r="H1614" t="str">
            <v/>
          </cell>
          <cell r="I1614" t="str">
            <v/>
          </cell>
          <cell r="J1614" t="str">
            <v/>
          </cell>
          <cell r="K1614" t="str">
            <v/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</row>
        <row r="1615">
          <cell r="B1615">
            <v>590605</v>
          </cell>
          <cell r="C1615" t="str">
            <v>NOT USED</v>
          </cell>
          <cell r="D1615" t="str">
            <v>GENERAL - NERC / ERO FEES</v>
          </cell>
          <cell r="E1615" t="str">
            <v/>
          </cell>
          <cell r="F1615" t="str">
            <v/>
          </cell>
          <cell r="G1615" t="str">
            <v/>
          </cell>
          <cell r="H1615" t="str">
            <v/>
          </cell>
          <cell r="I1615" t="str">
            <v/>
          </cell>
          <cell r="J1615" t="str">
            <v/>
          </cell>
          <cell r="K1615" t="str">
            <v/>
          </cell>
          <cell r="L1615">
            <v>104.80597</v>
          </cell>
          <cell r="M1615">
            <v>0</v>
          </cell>
          <cell r="N1615">
            <v>27.895479999999999</v>
          </cell>
          <cell r="O1615">
            <v>27.895479999999999</v>
          </cell>
          <cell r="P1615">
            <v>27.895479999999999</v>
          </cell>
          <cell r="Q1615">
            <v>56.761040000000001</v>
          </cell>
          <cell r="R1615">
            <v>56.761040000000001</v>
          </cell>
          <cell r="S1615">
            <v>56.761040000000001</v>
          </cell>
          <cell r="T1615">
            <v>83.896590000000003</v>
          </cell>
          <cell r="U1615">
            <v>56.761040000000001</v>
          </cell>
          <cell r="V1615">
            <v>56.761040000000001</v>
          </cell>
          <cell r="W1615">
            <v>83.617580000000004</v>
          </cell>
          <cell r="X1615">
            <v>110.75313</v>
          </cell>
          <cell r="Y1615">
            <v>53.565446999999999</v>
          </cell>
        </row>
        <row r="1616">
          <cell r="B1616">
            <v>590610</v>
          </cell>
          <cell r="C1616" t="str">
            <v>NOT USED</v>
          </cell>
          <cell r="D1616" t="str">
            <v>OTHER GENERAL EXPENSES - EEMC ALLOCATION</v>
          </cell>
          <cell r="E1616" t="str">
            <v/>
          </cell>
          <cell r="F1616" t="str">
            <v/>
          </cell>
          <cell r="G1616" t="str">
            <v/>
          </cell>
          <cell r="H1616" t="str">
            <v/>
          </cell>
          <cell r="I1616" t="str">
            <v/>
          </cell>
          <cell r="J1616" t="str">
            <v/>
          </cell>
          <cell r="K1616" t="str">
            <v/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</row>
        <row r="1617">
          <cell r="B1617">
            <v>590620</v>
          </cell>
          <cell r="C1617" t="str">
            <v>NOT USED</v>
          </cell>
          <cell r="D1617" t="str">
            <v>OTHER GENERAL EXPENSES - IEE STOCK OPTION</v>
          </cell>
          <cell r="E1617" t="str">
            <v/>
          </cell>
          <cell r="F1617" t="str">
            <v/>
          </cell>
          <cell r="G1617" t="str">
            <v/>
          </cell>
          <cell r="H1617" t="str">
            <v/>
          </cell>
          <cell r="I1617" t="str">
            <v/>
          </cell>
          <cell r="J1617" t="str">
            <v/>
          </cell>
          <cell r="K1617" t="str">
            <v/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</row>
        <row r="1618">
          <cell r="B1618">
            <v>590621</v>
          </cell>
          <cell r="C1618" t="str">
            <v>NOT USED</v>
          </cell>
          <cell r="D1618" t="str">
            <v>GENERAL-VEHICLE REGISTRATION FEES</v>
          </cell>
          <cell r="E1618" t="str">
            <v/>
          </cell>
          <cell r="F1618" t="str">
            <v/>
          </cell>
          <cell r="G1618" t="str">
            <v/>
          </cell>
          <cell r="H1618" t="str">
            <v/>
          </cell>
          <cell r="I1618" t="str">
            <v/>
          </cell>
          <cell r="J1618" t="str">
            <v/>
          </cell>
          <cell r="K1618" t="str">
            <v/>
          </cell>
          <cell r="L1618">
            <v>74.133529999999993</v>
          </cell>
          <cell r="M1618">
            <v>0</v>
          </cell>
          <cell r="N1618">
            <v>0</v>
          </cell>
          <cell r="O1618">
            <v>0.23426</v>
          </cell>
          <cell r="P1618">
            <v>0.28760999999999998</v>
          </cell>
          <cell r="Q1618">
            <v>3.9466100000000002</v>
          </cell>
          <cell r="R1618">
            <v>4.0796200000000002</v>
          </cell>
          <cell r="S1618">
            <v>4.4104799999999997</v>
          </cell>
          <cell r="T1618">
            <v>5.1872299999999996</v>
          </cell>
          <cell r="U1618">
            <v>68.580020000000005</v>
          </cell>
          <cell r="V1618">
            <v>68.619619999999998</v>
          </cell>
          <cell r="W1618">
            <v>69.279820000000001</v>
          </cell>
          <cell r="X1618">
            <v>72.349069999999998</v>
          </cell>
          <cell r="Y1618">
            <v>24.822213999999999</v>
          </cell>
        </row>
        <row r="1619">
          <cell r="B1619">
            <v>590625</v>
          </cell>
          <cell r="C1619" t="str">
            <v>NOT USED</v>
          </cell>
          <cell r="D1619" t="str">
            <v>LATE PAYMENT FEES</v>
          </cell>
          <cell r="E1619" t="str">
            <v/>
          </cell>
          <cell r="F1619" t="str">
            <v/>
          </cell>
          <cell r="G1619" t="str">
            <v/>
          </cell>
          <cell r="H1619" t="str">
            <v/>
          </cell>
          <cell r="I1619" t="str">
            <v/>
          </cell>
          <cell r="J1619" t="str">
            <v/>
          </cell>
          <cell r="K1619" t="str">
            <v/>
          </cell>
          <cell r="L1619">
            <v>0.54501999999999995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6.8399999999999997E-3</v>
          </cell>
          <cell r="X1619">
            <v>6.8399999999999997E-3</v>
          </cell>
          <cell r="Y1619">
            <v>2.3564000000000002E-2</v>
          </cell>
        </row>
        <row r="1620">
          <cell r="B1620">
            <v>590630</v>
          </cell>
          <cell r="C1620" t="str">
            <v>NOT USED</v>
          </cell>
          <cell r="D1620" t="str">
            <v>OTH GENERAL EXP-UTILITIES (WATER, GAS, ELEC)</v>
          </cell>
          <cell r="E1620" t="str">
            <v/>
          </cell>
          <cell r="F1620" t="str">
            <v/>
          </cell>
          <cell r="G1620" t="str">
            <v/>
          </cell>
          <cell r="H1620" t="str">
            <v/>
          </cell>
          <cell r="I1620" t="str">
            <v/>
          </cell>
          <cell r="J1620" t="str">
            <v/>
          </cell>
          <cell r="K1620" t="str">
            <v/>
          </cell>
          <cell r="L1620">
            <v>95.626909999999995</v>
          </cell>
          <cell r="M1620">
            <v>17.812470000000001</v>
          </cell>
          <cell r="N1620">
            <v>27.095580000000002</v>
          </cell>
          <cell r="O1620">
            <v>42.050510000000003</v>
          </cell>
          <cell r="P1620">
            <v>58.082900000000002</v>
          </cell>
          <cell r="Q1620">
            <v>70.887799999999999</v>
          </cell>
          <cell r="R1620">
            <v>81.471490000000003</v>
          </cell>
          <cell r="S1620">
            <v>87.110900000000001</v>
          </cell>
          <cell r="T1620">
            <v>100.1324</v>
          </cell>
          <cell r="U1620">
            <v>111.52255</v>
          </cell>
          <cell r="V1620">
            <v>123.08835000000001</v>
          </cell>
          <cell r="W1620">
            <v>126.51394999999999</v>
          </cell>
          <cell r="X1620">
            <v>139.50861</v>
          </cell>
          <cell r="Y1620">
            <v>80.278054999999995</v>
          </cell>
        </row>
        <row r="1621">
          <cell r="B1621">
            <v>590631</v>
          </cell>
          <cell r="C1621" t="str">
            <v>NOT USED</v>
          </cell>
          <cell r="D1621" t="str">
            <v>GENERAL - COMPANY USE DEBITS - ELECTRIC</v>
          </cell>
          <cell r="E1621" t="str">
            <v/>
          </cell>
          <cell r="F1621" t="str">
            <v/>
          </cell>
          <cell r="G1621" t="str">
            <v/>
          </cell>
          <cell r="H1621" t="str">
            <v/>
          </cell>
          <cell r="I1621" t="str">
            <v/>
          </cell>
          <cell r="J1621" t="str">
            <v/>
          </cell>
          <cell r="K1621" t="str">
            <v/>
          </cell>
          <cell r="L1621">
            <v>1443.0400299999999</v>
          </cell>
          <cell r="M1621">
            <v>141.2868</v>
          </cell>
          <cell r="N1621">
            <v>266.56328999999999</v>
          </cell>
          <cell r="O1621">
            <v>296.33076</v>
          </cell>
          <cell r="P1621">
            <v>424.59712000000002</v>
          </cell>
          <cell r="Q1621">
            <v>542.26314000000002</v>
          </cell>
          <cell r="R1621">
            <v>664.68255999999997</v>
          </cell>
          <cell r="S1621">
            <v>797.50591999999995</v>
          </cell>
          <cell r="T1621">
            <v>921.20690999999999</v>
          </cell>
          <cell r="U1621">
            <v>1049.1332500000001</v>
          </cell>
          <cell r="V1621">
            <v>1170.3118300000001</v>
          </cell>
          <cell r="W1621">
            <v>1276.77601</v>
          </cell>
          <cell r="X1621">
            <v>1398.72486</v>
          </cell>
          <cell r="Y1621">
            <v>747.62833599999999</v>
          </cell>
        </row>
        <row r="1622">
          <cell r="B1622">
            <v>590632</v>
          </cell>
          <cell r="C1622" t="str">
            <v>NOT USED</v>
          </cell>
          <cell r="D1622" t="str">
            <v>GENERAL - COMPANY USE DEBITS - GAS</v>
          </cell>
          <cell r="E1622" t="str">
            <v/>
          </cell>
          <cell r="F1622" t="str">
            <v/>
          </cell>
          <cell r="G1622" t="str">
            <v/>
          </cell>
          <cell r="H1622" t="str">
            <v/>
          </cell>
          <cell r="I1622" t="str">
            <v/>
          </cell>
          <cell r="J1622" t="str">
            <v/>
          </cell>
          <cell r="K1622" t="str">
            <v/>
          </cell>
          <cell r="L1622">
            <v>358.09721000000002</v>
          </cell>
          <cell r="M1622">
            <v>75.865610000000004</v>
          </cell>
          <cell r="N1622">
            <v>152.70742000000001</v>
          </cell>
          <cell r="O1622">
            <v>215.06649999999999</v>
          </cell>
          <cell r="P1622">
            <v>251.43295000000001</v>
          </cell>
          <cell r="Q1622">
            <v>272.13175999999999</v>
          </cell>
          <cell r="R1622">
            <v>294.97825999999998</v>
          </cell>
          <cell r="S1622">
            <v>302.44279</v>
          </cell>
          <cell r="T1622">
            <v>309.52758</v>
          </cell>
          <cell r="U1622">
            <v>318.85145999999997</v>
          </cell>
          <cell r="V1622">
            <v>334.86340000000001</v>
          </cell>
          <cell r="W1622">
            <v>349.27051</v>
          </cell>
          <cell r="X1622">
            <v>385.82431000000003</v>
          </cell>
          <cell r="Y1622">
            <v>270.75824999999998</v>
          </cell>
        </row>
        <row r="1623">
          <cell r="B1623">
            <v>590650</v>
          </cell>
          <cell r="C1623" t="str">
            <v>NOT USED</v>
          </cell>
          <cell r="D1623" t="str">
            <v>INVENTORY/PRICE/OTHER SMALL DIFFERENCES</v>
          </cell>
          <cell r="E1623" t="str">
            <v/>
          </cell>
          <cell r="F1623" t="str">
            <v/>
          </cell>
          <cell r="G1623" t="str">
            <v/>
          </cell>
          <cell r="H1623" t="str">
            <v/>
          </cell>
          <cell r="I1623" t="str">
            <v/>
          </cell>
          <cell r="J1623" t="str">
            <v/>
          </cell>
          <cell r="K1623" t="str">
            <v/>
          </cell>
          <cell r="L1623">
            <v>43.577930000000002</v>
          </cell>
          <cell r="M1623">
            <v>6.18893</v>
          </cell>
          <cell r="N1623">
            <v>10.200839999999999</v>
          </cell>
          <cell r="O1623">
            <v>14.412660000000001</v>
          </cell>
          <cell r="P1623">
            <v>17.24465</v>
          </cell>
          <cell r="Q1623">
            <v>21.27732</v>
          </cell>
          <cell r="R1623">
            <v>25.66573</v>
          </cell>
          <cell r="S1623">
            <v>27.378309999999999</v>
          </cell>
          <cell r="T1623">
            <v>31.588180000000001</v>
          </cell>
          <cell r="U1623">
            <v>38.230780000000003</v>
          </cell>
          <cell r="V1623">
            <v>46.742750000000001</v>
          </cell>
          <cell r="W1623">
            <v>55.179949999999998</v>
          </cell>
          <cell r="X1623">
            <v>-103.03175</v>
          </cell>
          <cell r="Y1623">
            <v>22.031932999999999</v>
          </cell>
        </row>
        <row r="1624">
          <cell r="B1624">
            <v>590700</v>
          </cell>
          <cell r="C1624" t="str">
            <v>NOT USED</v>
          </cell>
          <cell r="D1624" t="str">
            <v>SALVAGE</v>
          </cell>
          <cell r="E1624" t="str">
            <v/>
          </cell>
          <cell r="F1624" t="str">
            <v/>
          </cell>
          <cell r="G1624" t="str">
            <v/>
          </cell>
          <cell r="H1624" t="str">
            <v/>
          </cell>
          <cell r="I1624" t="str">
            <v/>
          </cell>
          <cell r="J1624" t="str">
            <v/>
          </cell>
          <cell r="K1624" t="str">
            <v/>
          </cell>
          <cell r="L1624">
            <v>-9464.6736400000009</v>
          </cell>
          <cell r="M1624">
            <v>-218.7131</v>
          </cell>
          <cell r="N1624">
            <v>-291.60831999999999</v>
          </cell>
          <cell r="O1624">
            <v>-613.38427999999999</v>
          </cell>
          <cell r="P1624">
            <v>-980.82950000000005</v>
          </cell>
          <cell r="Q1624">
            <v>-1062.4073699999999</v>
          </cell>
          <cell r="R1624">
            <v>-1572.1124299999999</v>
          </cell>
          <cell r="S1624">
            <v>-1538.25341</v>
          </cell>
          <cell r="T1624">
            <v>-2059.5548399999998</v>
          </cell>
          <cell r="U1624">
            <v>-2669.12428</v>
          </cell>
          <cell r="V1624">
            <v>-3185.7133600000002</v>
          </cell>
          <cell r="W1624">
            <v>-3557.6847699999998</v>
          </cell>
          <cell r="X1624">
            <v>-3728.1131599999999</v>
          </cell>
          <cell r="Y1624">
            <v>-2028.814922</v>
          </cell>
        </row>
        <row r="1625">
          <cell r="B1625">
            <v>590720</v>
          </cell>
          <cell r="C1625" t="str">
            <v>NOT USED</v>
          </cell>
          <cell r="D1625" t="str">
            <v>GENERAL - REMOVAL COSTS</v>
          </cell>
          <cell r="E1625" t="str">
            <v/>
          </cell>
          <cell r="F1625" t="str">
            <v/>
          </cell>
          <cell r="G1625" t="str">
            <v/>
          </cell>
          <cell r="H1625" t="str">
            <v/>
          </cell>
          <cell r="I1625" t="str">
            <v/>
          </cell>
          <cell r="J1625" t="str">
            <v/>
          </cell>
          <cell r="K1625" t="str">
            <v/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</row>
        <row r="1626">
          <cell r="B1626">
            <v>590990</v>
          </cell>
          <cell r="C1626" t="str">
            <v>NOT USED</v>
          </cell>
          <cell r="D1626" t="str">
            <v>GENERAL - CONVEYED ASSET</v>
          </cell>
          <cell r="E1626" t="str">
            <v/>
          </cell>
          <cell r="F1626" t="str">
            <v/>
          </cell>
          <cell r="G1626" t="str">
            <v/>
          </cell>
          <cell r="H1626" t="str">
            <v/>
          </cell>
          <cell r="I1626" t="str">
            <v/>
          </cell>
          <cell r="J1626" t="str">
            <v/>
          </cell>
          <cell r="K1626" t="str">
            <v/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</row>
        <row r="1627">
          <cell r="B1627">
            <v>590991</v>
          </cell>
          <cell r="C1627" t="str">
            <v>NOT USED</v>
          </cell>
          <cell r="D1627" t="str">
            <v>GENERAL - CONVEYED ASSET-OFFSET</v>
          </cell>
          <cell r="E1627" t="str">
            <v/>
          </cell>
          <cell r="F1627" t="str">
            <v/>
          </cell>
          <cell r="G1627" t="str">
            <v/>
          </cell>
          <cell r="H1627" t="str">
            <v/>
          </cell>
          <cell r="I1627" t="str">
            <v/>
          </cell>
          <cell r="J1627" t="str">
            <v/>
          </cell>
          <cell r="K1627" t="str">
            <v/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</row>
        <row r="1628">
          <cell r="B1628">
            <v>590999</v>
          </cell>
          <cell r="C1628" t="str">
            <v>NOT USED</v>
          </cell>
          <cell r="D1628" t="str">
            <v>OTHER RECLASSIFICATION - CO</v>
          </cell>
          <cell r="E1628" t="str">
            <v/>
          </cell>
          <cell r="F1628" t="str">
            <v/>
          </cell>
          <cell r="G1628" t="str">
            <v/>
          </cell>
          <cell r="H1628" t="str">
            <v/>
          </cell>
          <cell r="I1628" t="str">
            <v/>
          </cell>
          <cell r="J1628" t="str">
            <v/>
          </cell>
          <cell r="K1628" t="str">
            <v/>
          </cell>
          <cell r="L1628">
            <v>-547.15470000000005</v>
          </cell>
          <cell r="M1628">
            <v>0</v>
          </cell>
          <cell r="N1628">
            <v>139.4134</v>
          </cell>
          <cell r="O1628">
            <v>139.4134</v>
          </cell>
          <cell r="P1628">
            <v>139.4134</v>
          </cell>
          <cell r="Q1628">
            <v>139.4134</v>
          </cell>
          <cell r="R1628">
            <v>139.4134</v>
          </cell>
          <cell r="S1628">
            <v>139.4134</v>
          </cell>
          <cell r="T1628">
            <v>139.4134</v>
          </cell>
          <cell r="U1628">
            <v>139.4134</v>
          </cell>
          <cell r="V1628">
            <v>139.4134</v>
          </cell>
          <cell r="W1628">
            <v>139.4134</v>
          </cell>
          <cell r="X1628">
            <v>139.4134</v>
          </cell>
          <cell r="Y1628">
            <v>99.188613000000004</v>
          </cell>
        </row>
        <row r="1629">
          <cell r="B1629">
            <v>591010</v>
          </cell>
          <cell r="C1629" t="str">
            <v>NOT USED</v>
          </cell>
          <cell r="D1629" t="str">
            <v>CORPORATE TAXES - ELEC GROSS RECEIPTS TAXES</v>
          </cell>
          <cell r="E1629" t="str">
            <v/>
          </cell>
          <cell r="F1629" t="str">
            <v/>
          </cell>
          <cell r="G1629" t="str">
            <v/>
          </cell>
          <cell r="H1629" t="str">
            <v/>
          </cell>
          <cell r="I1629" t="str">
            <v/>
          </cell>
          <cell r="J1629" t="str">
            <v/>
          </cell>
          <cell r="K1629" t="str">
            <v/>
          </cell>
          <cell r="L1629">
            <v>3960.50263</v>
          </cell>
          <cell r="M1629">
            <v>394.23696000000001</v>
          </cell>
          <cell r="N1629">
            <v>673.56960000000004</v>
          </cell>
          <cell r="O1629">
            <v>964.91285000000005</v>
          </cell>
          <cell r="P1629">
            <v>1211.16608</v>
          </cell>
          <cell r="Q1629">
            <v>1561.8444199999999</v>
          </cell>
          <cell r="R1629">
            <v>2372.59809</v>
          </cell>
          <cell r="S1629">
            <v>2290.2934300000002</v>
          </cell>
          <cell r="T1629">
            <v>2805.2523799999999</v>
          </cell>
          <cell r="U1629">
            <v>3002.3482899999999</v>
          </cell>
          <cell r="V1629">
            <v>3254.6625899999999</v>
          </cell>
          <cell r="W1629">
            <v>6086.1742299999996</v>
          </cell>
          <cell r="X1629">
            <v>6458.1705899999997</v>
          </cell>
          <cell r="Y1629">
            <v>2485.5329609999999</v>
          </cell>
        </row>
        <row r="1630">
          <cell r="B1630">
            <v>591011</v>
          </cell>
          <cell r="C1630" t="str">
            <v>NOT USED</v>
          </cell>
          <cell r="D1630" t="str">
            <v>CORPORATE TAXES - ELEC GROSS RECEIPT TAX-COMMODIT</v>
          </cell>
          <cell r="E1630" t="str">
            <v/>
          </cell>
          <cell r="F1630" t="str">
            <v/>
          </cell>
          <cell r="G1630" t="str">
            <v/>
          </cell>
          <cell r="H1630" t="str">
            <v/>
          </cell>
          <cell r="I1630" t="str">
            <v/>
          </cell>
          <cell r="J1630" t="str">
            <v/>
          </cell>
          <cell r="K1630" t="str">
            <v/>
          </cell>
          <cell r="L1630">
            <v>1202.08691</v>
          </cell>
          <cell r="M1630">
            <v>167.19081</v>
          </cell>
          <cell r="N1630">
            <v>240.80933999999999</v>
          </cell>
          <cell r="O1630">
            <v>341.70200999999997</v>
          </cell>
          <cell r="P1630">
            <v>406.16730000000001</v>
          </cell>
          <cell r="Q1630">
            <v>519.56584999999995</v>
          </cell>
          <cell r="R1630">
            <v>726.93690000000004</v>
          </cell>
          <cell r="S1630">
            <v>740.63010999999995</v>
          </cell>
          <cell r="T1630">
            <v>843.52679000000001</v>
          </cell>
          <cell r="U1630">
            <v>895.58232999999996</v>
          </cell>
          <cell r="V1630">
            <v>995.39886000000001</v>
          </cell>
          <cell r="W1630">
            <v>1080.7223100000001</v>
          </cell>
          <cell r="X1630">
            <v>1159.83772</v>
          </cell>
          <cell r="Y1630">
            <v>678.26624400000003</v>
          </cell>
        </row>
        <row r="1631">
          <cell r="B1631">
            <v>591020</v>
          </cell>
          <cell r="C1631" t="str">
            <v>NOT USED</v>
          </cell>
          <cell r="D1631" t="str">
            <v>CORPORATE TAXES - GAS GROSS RECEIPTS TAXES</v>
          </cell>
          <cell r="E1631" t="str">
            <v/>
          </cell>
          <cell r="F1631" t="str">
            <v/>
          </cell>
          <cell r="G1631" t="str">
            <v/>
          </cell>
          <cell r="H1631" t="str">
            <v/>
          </cell>
          <cell r="I1631" t="str">
            <v/>
          </cell>
          <cell r="J1631" t="str">
            <v/>
          </cell>
          <cell r="K1631" t="str">
            <v/>
          </cell>
          <cell r="L1631">
            <v>4455.7126500000004</v>
          </cell>
          <cell r="M1631">
            <v>653.72918000000004</v>
          </cell>
          <cell r="N1631">
            <v>1333.28439</v>
          </cell>
          <cell r="O1631">
            <v>1937.89771</v>
          </cell>
          <cell r="P1631">
            <v>2286.0012999999999</v>
          </cell>
          <cell r="Q1631">
            <v>2547.09548</v>
          </cell>
          <cell r="R1631">
            <v>2938.6789800000001</v>
          </cell>
          <cell r="S1631">
            <v>2802.7062900000001</v>
          </cell>
          <cell r="T1631">
            <v>2975.7965100000001</v>
          </cell>
          <cell r="U1631">
            <v>3079.0785000000001</v>
          </cell>
          <cell r="V1631">
            <v>3343.2912999999999</v>
          </cell>
          <cell r="W1631">
            <v>4169.2916400000004</v>
          </cell>
          <cell r="X1631">
            <v>4528.1099299999996</v>
          </cell>
          <cell r="Y1631">
            <v>2713.2302140000002</v>
          </cell>
        </row>
        <row r="1632">
          <cell r="B1632">
            <v>591030</v>
          </cell>
          <cell r="C1632" t="str">
            <v>NOT USED</v>
          </cell>
          <cell r="D1632" t="str">
            <v>CORPORATE TAXES - GROSS RECEIPTS TAXES-NONOP</v>
          </cell>
          <cell r="E1632" t="str">
            <v/>
          </cell>
          <cell r="F1632" t="str">
            <v/>
          </cell>
          <cell r="G1632" t="str">
            <v/>
          </cell>
          <cell r="H1632" t="str">
            <v/>
          </cell>
          <cell r="I1632" t="str">
            <v/>
          </cell>
          <cell r="J1632" t="str">
            <v/>
          </cell>
          <cell r="K1632" t="str">
            <v/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</row>
        <row r="1633">
          <cell r="B1633">
            <v>591035</v>
          </cell>
          <cell r="C1633" t="str">
            <v>NOT USED</v>
          </cell>
          <cell r="D1633" t="str">
            <v>CORPORATE TAXES - SALES &amp; USE TAX-COMMON</v>
          </cell>
          <cell r="E1633" t="str">
            <v/>
          </cell>
          <cell r="F1633" t="str">
            <v/>
          </cell>
          <cell r="G1633" t="str">
            <v/>
          </cell>
          <cell r="H1633" t="str">
            <v/>
          </cell>
          <cell r="I1633" t="str">
            <v/>
          </cell>
          <cell r="J1633" t="str">
            <v/>
          </cell>
          <cell r="K1633" t="str">
            <v/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</row>
        <row r="1634">
          <cell r="B1634">
            <v>591040</v>
          </cell>
          <cell r="C1634" t="str">
            <v>NOT USED</v>
          </cell>
          <cell r="D1634" t="str">
            <v>CORPORATE TAXES - ELEC PROPERTY TAXES</v>
          </cell>
          <cell r="E1634" t="str">
            <v/>
          </cell>
          <cell r="F1634" t="str">
            <v/>
          </cell>
          <cell r="G1634" t="str">
            <v/>
          </cell>
          <cell r="H1634" t="str">
            <v/>
          </cell>
          <cell r="I1634" t="str">
            <v/>
          </cell>
          <cell r="J1634" t="str">
            <v/>
          </cell>
          <cell r="K1634" t="str">
            <v/>
          </cell>
          <cell r="L1634">
            <v>57795.768750000003</v>
          </cell>
          <cell r="M1634">
            <v>4750.31585</v>
          </cell>
          <cell r="N1634">
            <v>9473.7427900000002</v>
          </cell>
          <cell r="O1634">
            <v>14207.08908</v>
          </cell>
          <cell r="P1634">
            <v>18944.464199999999</v>
          </cell>
          <cell r="Q1634">
            <v>23669.76931</v>
          </cell>
          <cell r="R1634">
            <v>28407.56583</v>
          </cell>
          <cell r="S1634">
            <v>33304.285900000003</v>
          </cell>
          <cell r="T1634">
            <v>38188.4254</v>
          </cell>
          <cell r="U1634">
            <v>42735.211739999999</v>
          </cell>
          <cell r="V1634">
            <v>47494.607889999999</v>
          </cell>
          <cell r="W1634">
            <v>52283.410329999999</v>
          </cell>
          <cell r="X1634">
            <v>56810.013809999997</v>
          </cell>
          <cell r="Y1634">
            <v>30896.814966999998</v>
          </cell>
        </row>
        <row r="1635">
          <cell r="B1635">
            <v>591041</v>
          </cell>
          <cell r="C1635" t="str">
            <v>NOT USED</v>
          </cell>
          <cell r="D1635" t="str">
            <v>CORPORATE TAXES - ELEC PROPERTY TAXES DEFERRAL</v>
          </cell>
          <cell r="E1635" t="str">
            <v/>
          </cell>
          <cell r="F1635" t="str">
            <v/>
          </cell>
          <cell r="G1635" t="str">
            <v/>
          </cell>
          <cell r="H1635" t="str">
            <v/>
          </cell>
          <cell r="I1635" t="str">
            <v/>
          </cell>
          <cell r="J1635" t="str">
            <v/>
          </cell>
          <cell r="K1635" t="str">
            <v/>
          </cell>
          <cell r="L1635">
            <v>-2722.9390800000001</v>
          </cell>
          <cell r="M1635">
            <v>150.51416</v>
          </cell>
          <cell r="N1635">
            <v>301.02832000000001</v>
          </cell>
          <cell r="O1635">
            <v>451.54248000000001</v>
          </cell>
          <cell r="P1635">
            <v>602.05664000000002</v>
          </cell>
          <cell r="Q1635">
            <v>752.57079999999996</v>
          </cell>
          <cell r="R1635">
            <v>903.08496000000002</v>
          </cell>
          <cell r="S1635">
            <v>1053.5991200000001</v>
          </cell>
          <cell r="T1635">
            <v>1204.11328</v>
          </cell>
          <cell r="U1635">
            <v>1354.62744</v>
          </cell>
          <cell r="V1635">
            <v>1505.1415999999999</v>
          </cell>
          <cell r="W1635">
            <v>1655.6557600000001</v>
          </cell>
          <cell r="X1635">
            <v>1806.16992</v>
          </cell>
          <cell r="Y1635">
            <v>789.62916499999994</v>
          </cell>
        </row>
        <row r="1636">
          <cell r="B1636">
            <v>591050</v>
          </cell>
          <cell r="C1636" t="str">
            <v>NOT USED</v>
          </cell>
          <cell r="D1636" t="str">
            <v>CORPORATE TAXES - GAS PROPERTY TAXES</v>
          </cell>
          <cell r="E1636" t="str">
            <v/>
          </cell>
          <cell r="F1636" t="str">
            <v/>
          </cell>
          <cell r="G1636" t="str">
            <v/>
          </cell>
          <cell r="H1636" t="str">
            <v/>
          </cell>
          <cell r="I1636" t="str">
            <v/>
          </cell>
          <cell r="J1636" t="str">
            <v/>
          </cell>
          <cell r="K1636" t="str">
            <v/>
          </cell>
          <cell r="L1636">
            <v>24207.551810000001</v>
          </cell>
          <cell r="M1636">
            <v>1960.11761</v>
          </cell>
          <cell r="N1636">
            <v>3921.0718000000002</v>
          </cell>
          <cell r="O1636">
            <v>5878.8314399999999</v>
          </cell>
          <cell r="P1636">
            <v>7832.5610399999996</v>
          </cell>
          <cell r="Q1636">
            <v>9782.2839299999996</v>
          </cell>
          <cell r="R1636">
            <v>11733.347009999999</v>
          </cell>
          <cell r="S1636">
            <v>13737.30348</v>
          </cell>
          <cell r="T1636">
            <v>15746.79664</v>
          </cell>
          <cell r="U1636">
            <v>17603.032889999999</v>
          </cell>
          <cell r="V1636">
            <v>19568.590250000001</v>
          </cell>
          <cell r="W1636">
            <v>21510.36046</v>
          </cell>
          <cell r="X1636">
            <v>23334.148590000001</v>
          </cell>
          <cell r="Y1636">
            <v>12753.762229</v>
          </cell>
        </row>
        <row r="1637">
          <cell r="B1637">
            <v>591051</v>
          </cell>
          <cell r="C1637" t="str">
            <v>NOT USED</v>
          </cell>
          <cell r="D1637" t="str">
            <v>CORPORATE TAXES - GAS PROPERTY TAXES DEFERRAL</v>
          </cell>
          <cell r="E1637" t="str">
            <v/>
          </cell>
          <cell r="F1637" t="str">
            <v/>
          </cell>
          <cell r="G1637" t="str">
            <v/>
          </cell>
          <cell r="H1637" t="str">
            <v/>
          </cell>
          <cell r="I1637" t="str">
            <v/>
          </cell>
          <cell r="J1637" t="str">
            <v/>
          </cell>
          <cell r="K1637" t="str">
            <v/>
          </cell>
          <cell r="L1637">
            <v>-3361.8671199999999</v>
          </cell>
          <cell r="M1637">
            <v>317.625</v>
          </cell>
          <cell r="N1637">
            <v>635.25</v>
          </cell>
          <cell r="O1637">
            <v>952.875</v>
          </cell>
          <cell r="P1637">
            <v>1270.5</v>
          </cell>
          <cell r="Q1637">
            <v>1588.125</v>
          </cell>
          <cell r="R1637">
            <v>1905.75</v>
          </cell>
          <cell r="S1637">
            <v>2223.375</v>
          </cell>
          <cell r="T1637">
            <v>2541</v>
          </cell>
          <cell r="U1637">
            <v>2858.625</v>
          </cell>
          <cell r="V1637">
            <v>3176.25</v>
          </cell>
          <cell r="W1637">
            <v>3493.875</v>
          </cell>
          <cell r="X1637">
            <v>3811.5</v>
          </cell>
          <cell r="Y1637">
            <v>1765.6722030000001</v>
          </cell>
        </row>
        <row r="1638">
          <cell r="B1638">
            <v>591070</v>
          </cell>
          <cell r="C1638" t="str">
            <v>NOT USED</v>
          </cell>
          <cell r="D1638" t="str">
            <v>CORPORATE TAXES - ELEC PAYROLL TAXES</v>
          </cell>
          <cell r="E1638" t="str">
            <v/>
          </cell>
          <cell r="F1638" t="str">
            <v/>
          </cell>
          <cell r="G1638" t="str">
            <v/>
          </cell>
          <cell r="H1638" t="str">
            <v/>
          </cell>
          <cell r="I1638" t="str">
            <v/>
          </cell>
          <cell r="J1638" t="str">
            <v/>
          </cell>
          <cell r="K1638" t="str">
            <v/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</row>
        <row r="1639">
          <cell r="B1639">
            <v>591080</v>
          </cell>
          <cell r="C1639" t="str">
            <v>NOT USED</v>
          </cell>
          <cell r="D1639" t="str">
            <v>CORPORATE TAXES - GAS PAYROLL TAXES</v>
          </cell>
          <cell r="E1639" t="str">
            <v/>
          </cell>
          <cell r="F1639" t="str">
            <v/>
          </cell>
          <cell r="G1639" t="str">
            <v/>
          </cell>
          <cell r="H1639" t="str">
            <v/>
          </cell>
          <cell r="I1639" t="str">
            <v/>
          </cell>
          <cell r="J1639" t="str">
            <v/>
          </cell>
          <cell r="K1639" t="str">
            <v/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</row>
        <row r="1640">
          <cell r="B1640">
            <v>591090</v>
          </cell>
          <cell r="C1640" t="str">
            <v>NOT USED</v>
          </cell>
          <cell r="D1640" t="str">
            <v>CORPORATE TAXES - TOTAL PAYROLL TAXES (EMPLOYER)</v>
          </cell>
          <cell r="E1640" t="str">
            <v/>
          </cell>
          <cell r="F1640" t="str">
            <v/>
          </cell>
          <cell r="G1640" t="str">
            <v/>
          </cell>
          <cell r="H1640" t="str">
            <v/>
          </cell>
          <cell r="I1640" t="str">
            <v/>
          </cell>
          <cell r="J1640" t="str">
            <v/>
          </cell>
          <cell r="K1640" t="str">
            <v/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</row>
        <row r="1641">
          <cell r="B1641">
            <v>591100</v>
          </cell>
          <cell r="C1641" t="str">
            <v>NOT USED</v>
          </cell>
          <cell r="D1641" t="str">
            <v>CORPORATE TAXES - OTHER TAXES-ELEC</v>
          </cell>
          <cell r="E1641" t="str">
            <v/>
          </cell>
          <cell r="F1641" t="str">
            <v/>
          </cell>
          <cell r="G1641" t="str">
            <v/>
          </cell>
          <cell r="H1641" t="str">
            <v/>
          </cell>
          <cell r="I1641" t="str">
            <v/>
          </cell>
          <cell r="J1641" t="str">
            <v/>
          </cell>
          <cell r="K1641" t="str">
            <v/>
          </cell>
          <cell r="L1641">
            <v>2770.0088700000001</v>
          </cell>
          <cell r="M1641">
            <v>1214.76082</v>
          </cell>
          <cell r="N1641">
            <v>1593.8663899999999</v>
          </cell>
          <cell r="O1641">
            <v>1803.42309</v>
          </cell>
          <cell r="P1641">
            <v>2149.5141699999999</v>
          </cell>
          <cell r="Q1641">
            <v>2413.3139999999999</v>
          </cell>
          <cell r="R1641">
            <v>2705.2572100000002</v>
          </cell>
          <cell r="S1641">
            <v>2837.3190300000001</v>
          </cell>
          <cell r="T1641">
            <v>3303.8958600000001</v>
          </cell>
          <cell r="U1641">
            <v>3771.8908000000001</v>
          </cell>
          <cell r="V1641">
            <v>4676.42263</v>
          </cell>
          <cell r="W1641">
            <v>4523.3719700000001</v>
          </cell>
          <cell r="X1641">
            <v>5359.6346700000004</v>
          </cell>
          <cell r="Y1641">
            <v>2921.4881449999998</v>
          </cell>
        </row>
        <row r="1642">
          <cell r="B1642">
            <v>591101</v>
          </cell>
          <cell r="C1642" t="str">
            <v>NOT USED</v>
          </cell>
          <cell r="D1642" t="str">
            <v>CORPORATE TAXES - OTHER TAXES-ELEC-EEMC HC ALLOC</v>
          </cell>
          <cell r="E1642" t="str">
            <v/>
          </cell>
          <cell r="F1642" t="str">
            <v/>
          </cell>
          <cell r="G1642" t="str">
            <v/>
          </cell>
          <cell r="H1642" t="str">
            <v/>
          </cell>
          <cell r="I1642" t="str">
            <v/>
          </cell>
          <cell r="J1642" t="str">
            <v/>
          </cell>
          <cell r="K1642" t="str">
            <v/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</row>
        <row r="1643">
          <cell r="B1643">
            <v>591110</v>
          </cell>
          <cell r="C1643" t="str">
            <v>NOT USED</v>
          </cell>
          <cell r="D1643" t="str">
            <v>CORPORATE TAXES - OTHER TAXES-GAS</v>
          </cell>
          <cell r="E1643" t="str">
            <v/>
          </cell>
          <cell r="F1643" t="str">
            <v/>
          </cell>
          <cell r="G1643" t="str">
            <v/>
          </cell>
          <cell r="H1643" t="str">
            <v/>
          </cell>
          <cell r="I1643" t="str">
            <v/>
          </cell>
          <cell r="J1643" t="str">
            <v/>
          </cell>
          <cell r="K1643" t="str">
            <v/>
          </cell>
          <cell r="L1643">
            <v>938.75984000000005</v>
          </cell>
          <cell r="M1643">
            <v>124.53762</v>
          </cell>
          <cell r="N1643">
            <v>188.46495999999999</v>
          </cell>
          <cell r="O1643">
            <v>277.19398999999999</v>
          </cell>
          <cell r="P1643">
            <v>443.06666999999999</v>
          </cell>
          <cell r="Q1643">
            <v>654.15337</v>
          </cell>
          <cell r="R1643">
            <v>760.60091</v>
          </cell>
          <cell r="S1643">
            <v>861.49964</v>
          </cell>
          <cell r="T1643">
            <v>1079.6624999999999</v>
          </cell>
          <cell r="U1643">
            <v>1221.1161199999999</v>
          </cell>
          <cell r="V1643">
            <v>1497.019</v>
          </cell>
          <cell r="W1643">
            <v>1511.7471800000001</v>
          </cell>
          <cell r="X1643">
            <v>1730.8380400000001</v>
          </cell>
          <cell r="Y1643">
            <v>829.48840800000005</v>
          </cell>
        </row>
        <row r="1644">
          <cell r="B1644">
            <v>591111</v>
          </cell>
          <cell r="C1644" t="str">
            <v>NOT USED</v>
          </cell>
          <cell r="D1644" t="str">
            <v>CORPORATE TAXES - OTHER TAXES-GAS-EEMC HC ALLOC</v>
          </cell>
          <cell r="E1644" t="str">
            <v/>
          </cell>
          <cell r="F1644" t="str">
            <v/>
          </cell>
          <cell r="G1644" t="str">
            <v/>
          </cell>
          <cell r="H1644" t="str">
            <v/>
          </cell>
          <cell r="I1644" t="str">
            <v/>
          </cell>
          <cell r="J1644" t="str">
            <v/>
          </cell>
          <cell r="K1644" t="str">
            <v/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</row>
        <row r="1645">
          <cell r="B1645">
            <v>591112</v>
          </cell>
          <cell r="C1645" t="str">
            <v>NOT USED</v>
          </cell>
          <cell r="D1645" t="str">
            <v>CORPORATE TAXES - AUTO</v>
          </cell>
          <cell r="E1645" t="str">
            <v/>
          </cell>
          <cell r="F1645" t="str">
            <v/>
          </cell>
          <cell r="G1645" t="str">
            <v/>
          </cell>
          <cell r="H1645" t="str">
            <v/>
          </cell>
          <cell r="I1645" t="str">
            <v/>
          </cell>
          <cell r="J1645" t="str">
            <v/>
          </cell>
          <cell r="K1645" t="str">
            <v/>
          </cell>
          <cell r="L1645">
            <v>0</v>
          </cell>
          <cell r="M1645">
            <v>29.71236</v>
          </cell>
          <cell r="N1645">
            <v>39.353879999999997</v>
          </cell>
          <cell r="O1645">
            <v>39.353879999999997</v>
          </cell>
          <cell r="P1645">
            <v>39.353879999999997</v>
          </cell>
          <cell r="Q1645">
            <v>39.353879999999997</v>
          </cell>
          <cell r="R1645">
            <v>39.353879999999997</v>
          </cell>
          <cell r="S1645">
            <v>39.353879999999997</v>
          </cell>
          <cell r="T1645">
            <v>39.353879999999997</v>
          </cell>
          <cell r="U1645">
            <v>39.353879999999997</v>
          </cell>
          <cell r="V1645">
            <v>39.353879999999997</v>
          </cell>
          <cell r="W1645">
            <v>39.353879999999997</v>
          </cell>
          <cell r="X1645">
            <v>39.353879999999997</v>
          </cell>
          <cell r="Y1645">
            <v>36.910674999999998</v>
          </cell>
        </row>
        <row r="1646">
          <cell r="B1646">
            <v>591113</v>
          </cell>
          <cell r="C1646" t="str">
            <v>NOT USED</v>
          </cell>
          <cell r="D1646" t="str">
            <v>CORPORATE TAXES - OTHER TAXES-ELECTRIC</v>
          </cell>
          <cell r="E1646" t="str">
            <v/>
          </cell>
          <cell r="F1646" t="str">
            <v/>
          </cell>
          <cell r="G1646" t="str">
            <v/>
          </cell>
          <cell r="H1646" t="str">
            <v/>
          </cell>
          <cell r="I1646" t="str">
            <v/>
          </cell>
          <cell r="J1646" t="str">
            <v/>
          </cell>
          <cell r="K1646" t="str">
            <v/>
          </cell>
          <cell r="L1646">
            <v>69.361810000000006</v>
          </cell>
          <cell r="M1646">
            <v>160.27848</v>
          </cell>
          <cell r="N1646">
            <v>185.35703000000001</v>
          </cell>
          <cell r="O1646">
            <v>186.81817000000001</v>
          </cell>
          <cell r="P1646">
            <v>188.86096000000001</v>
          </cell>
          <cell r="Q1646">
            <v>190.99005</v>
          </cell>
          <cell r="R1646">
            <v>194.36322000000001</v>
          </cell>
          <cell r="S1646">
            <v>197.63553999999999</v>
          </cell>
          <cell r="T1646">
            <v>200.58367000000001</v>
          </cell>
          <cell r="U1646">
            <v>202.86580000000001</v>
          </cell>
          <cell r="V1646">
            <v>205.06912</v>
          </cell>
          <cell r="W1646">
            <v>206.94427999999999</v>
          </cell>
          <cell r="X1646">
            <v>235.27351999999999</v>
          </cell>
          <cell r="Y1646">
            <v>189.34033199999999</v>
          </cell>
        </row>
        <row r="1647">
          <cell r="B1647">
            <v>591114</v>
          </cell>
          <cell r="C1647" t="str">
            <v>NOT USED</v>
          </cell>
          <cell r="D1647" t="str">
            <v>CORPORATE TAXES - OTHER TAXES-GAS</v>
          </cell>
          <cell r="E1647" t="str">
            <v/>
          </cell>
          <cell r="F1647" t="str">
            <v/>
          </cell>
          <cell r="G1647" t="str">
            <v/>
          </cell>
          <cell r="H1647" t="str">
            <v/>
          </cell>
          <cell r="I1647" t="str">
            <v/>
          </cell>
          <cell r="J1647" t="str">
            <v/>
          </cell>
          <cell r="K1647" t="str">
            <v/>
          </cell>
          <cell r="L1647">
            <v>13.45501</v>
          </cell>
          <cell r="M1647">
            <v>0.68201000000000001</v>
          </cell>
          <cell r="N1647">
            <v>1.4352199999999999</v>
          </cell>
          <cell r="O1647">
            <v>2.1745999999999999</v>
          </cell>
          <cell r="P1647">
            <v>3.0238999999999998</v>
          </cell>
          <cell r="Q1647">
            <v>3.9549400000000001</v>
          </cell>
          <cell r="R1647">
            <v>4.8408899999999999</v>
          </cell>
          <cell r="S1647">
            <v>5.7926200000000003</v>
          </cell>
          <cell r="T1647">
            <v>6.8524500000000002</v>
          </cell>
          <cell r="U1647">
            <v>8.0072600000000005</v>
          </cell>
          <cell r="V1647">
            <v>8.9121699999999997</v>
          </cell>
          <cell r="W1647">
            <v>9.8610500000000005</v>
          </cell>
          <cell r="X1647">
            <v>10.62641</v>
          </cell>
          <cell r="Y1647">
            <v>5.6314849999999996</v>
          </cell>
        </row>
        <row r="1648">
          <cell r="B1648">
            <v>591120</v>
          </cell>
          <cell r="C1648" t="str">
            <v>NOT USED</v>
          </cell>
          <cell r="D1648" t="str">
            <v>CORPORATE TAXES - LOCAL TAX PRIOR AUDIT ADJUSTMEN</v>
          </cell>
          <cell r="E1648" t="str">
            <v/>
          </cell>
          <cell r="F1648" t="str">
            <v/>
          </cell>
          <cell r="G1648" t="str">
            <v/>
          </cell>
          <cell r="H1648" t="str">
            <v/>
          </cell>
          <cell r="I1648" t="str">
            <v/>
          </cell>
          <cell r="J1648" t="str">
            <v/>
          </cell>
          <cell r="K1648" t="str">
            <v/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</row>
        <row r="1649">
          <cell r="B1649">
            <v>592010</v>
          </cell>
          <cell r="C1649" t="str">
            <v>NOT USED</v>
          </cell>
          <cell r="D1649" t="str">
            <v>INCOME TAXES - ELECTRIC CURRENT-FEDERAL</v>
          </cell>
          <cell r="E1649" t="str">
            <v/>
          </cell>
          <cell r="F1649" t="str">
            <v/>
          </cell>
          <cell r="G1649" t="str">
            <v/>
          </cell>
          <cell r="H1649" t="str">
            <v/>
          </cell>
          <cell r="I1649" t="str">
            <v/>
          </cell>
          <cell r="J1649" t="str">
            <v/>
          </cell>
          <cell r="K1649" t="str">
            <v/>
          </cell>
          <cell r="L1649">
            <v>21295.640609999999</v>
          </cell>
          <cell r="M1649">
            <v>965.23839999999996</v>
          </cell>
          <cell r="N1649">
            <v>-1002.9577399999999</v>
          </cell>
          <cell r="O1649">
            <v>-749.86455000000001</v>
          </cell>
          <cell r="P1649">
            <v>-1269.0153</v>
          </cell>
          <cell r="Q1649">
            <v>902.0299</v>
          </cell>
          <cell r="R1649">
            <v>1009.24138</v>
          </cell>
          <cell r="S1649">
            <v>2596.2819399999998</v>
          </cell>
          <cell r="T1649">
            <v>2616.2031499999998</v>
          </cell>
          <cell r="U1649">
            <v>-11897.340560000001</v>
          </cell>
          <cell r="V1649">
            <v>-14490.520710000001</v>
          </cell>
          <cell r="W1649">
            <v>-14296.70289</v>
          </cell>
          <cell r="X1649">
            <v>-12878.944949999999</v>
          </cell>
          <cell r="Y1649">
            <v>-2617.4215960000001</v>
          </cell>
        </row>
        <row r="1650">
          <cell r="B1650">
            <v>592012</v>
          </cell>
          <cell r="C1650" t="str">
            <v>NOT USED</v>
          </cell>
          <cell r="D1650" t="str">
            <v>INCOME TAXES - ELECTRIC COMMODITY CURRENT-FEDERAL</v>
          </cell>
          <cell r="E1650" t="str">
            <v/>
          </cell>
          <cell r="F1650" t="str">
            <v/>
          </cell>
          <cell r="G1650" t="str">
            <v/>
          </cell>
          <cell r="H1650" t="str">
            <v/>
          </cell>
          <cell r="I1650" t="str">
            <v/>
          </cell>
          <cell r="J1650" t="str">
            <v/>
          </cell>
          <cell r="K1650" t="str">
            <v/>
          </cell>
          <cell r="L1650">
            <v>795.51850000000002</v>
          </cell>
          <cell r="M1650">
            <v>-2.7532299999999998</v>
          </cell>
          <cell r="N1650">
            <v>134.37116</v>
          </cell>
          <cell r="O1650">
            <v>206.72555</v>
          </cell>
          <cell r="P1650">
            <v>263.65046999999998</v>
          </cell>
          <cell r="Q1650">
            <v>321.42212999999998</v>
          </cell>
          <cell r="R1650">
            <v>367.36703999999997</v>
          </cell>
          <cell r="S1650">
            <v>426.83983999999998</v>
          </cell>
          <cell r="T1650">
            <v>491.42338999999998</v>
          </cell>
          <cell r="U1650">
            <v>543.60576000000003</v>
          </cell>
          <cell r="V1650">
            <v>608.24332000000004</v>
          </cell>
          <cell r="W1650">
            <v>682.33240000000001</v>
          </cell>
          <cell r="X1650">
            <v>745.92264999999998</v>
          </cell>
          <cell r="Y1650">
            <v>401.16236700000002</v>
          </cell>
        </row>
        <row r="1651">
          <cell r="B1651">
            <v>592014</v>
          </cell>
          <cell r="C1651" t="str">
            <v>NOT USED</v>
          </cell>
          <cell r="D1651" t="str">
            <v>INCOME TAXES - ELECT CUR-FED-FERC FIN 48 INTEREST</v>
          </cell>
          <cell r="E1651" t="str">
            <v/>
          </cell>
          <cell r="F1651" t="str">
            <v/>
          </cell>
          <cell r="G1651" t="str">
            <v/>
          </cell>
          <cell r="H1651" t="str">
            <v/>
          </cell>
          <cell r="I1651" t="str">
            <v/>
          </cell>
          <cell r="J1651" t="str">
            <v/>
          </cell>
          <cell r="K1651" t="str">
            <v/>
          </cell>
          <cell r="L1651">
            <v>118</v>
          </cell>
          <cell r="M1651">
            <v>8</v>
          </cell>
          <cell r="N1651">
            <v>15</v>
          </cell>
          <cell r="O1651">
            <v>22</v>
          </cell>
          <cell r="P1651">
            <v>30</v>
          </cell>
          <cell r="Q1651">
            <v>38</v>
          </cell>
          <cell r="R1651">
            <v>53</v>
          </cell>
          <cell r="S1651">
            <v>63</v>
          </cell>
          <cell r="T1651">
            <v>74</v>
          </cell>
          <cell r="U1651">
            <v>85</v>
          </cell>
          <cell r="V1651">
            <v>94</v>
          </cell>
          <cell r="W1651">
            <v>101</v>
          </cell>
          <cell r="X1651">
            <v>130</v>
          </cell>
          <cell r="Y1651">
            <v>58.916666999999997</v>
          </cell>
        </row>
        <row r="1652">
          <cell r="B1652">
            <v>592015</v>
          </cell>
          <cell r="C1652" t="str">
            <v>NOT USED</v>
          </cell>
          <cell r="D1652" t="str">
            <v>INCOME TAXES - ELECTRIC CUR-FIT-EEMC</v>
          </cell>
          <cell r="E1652" t="str">
            <v/>
          </cell>
          <cell r="F1652" t="str">
            <v/>
          </cell>
          <cell r="G1652" t="str">
            <v/>
          </cell>
          <cell r="H1652" t="str">
            <v/>
          </cell>
          <cell r="I1652" t="str">
            <v/>
          </cell>
          <cell r="J1652" t="str">
            <v/>
          </cell>
          <cell r="K1652" t="str">
            <v/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</row>
        <row r="1653">
          <cell r="B1653">
            <v>592040</v>
          </cell>
          <cell r="C1653" t="str">
            <v>NOT USED</v>
          </cell>
          <cell r="D1653" t="str">
            <v>INCOME TAXES - GAS CURRENT-FEDERAL</v>
          </cell>
          <cell r="E1653" t="str">
            <v/>
          </cell>
          <cell r="F1653" t="str">
            <v/>
          </cell>
          <cell r="G1653" t="str">
            <v/>
          </cell>
          <cell r="H1653" t="str">
            <v/>
          </cell>
          <cell r="I1653" t="str">
            <v/>
          </cell>
          <cell r="J1653" t="str">
            <v/>
          </cell>
          <cell r="K1653" t="str">
            <v/>
          </cell>
          <cell r="L1653">
            <v>-1675.00694</v>
          </cell>
          <cell r="M1653">
            <v>2061.4430699999998</v>
          </cell>
          <cell r="N1653">
            <v>3581.82987</v>
          </cell>
          <cell r="O1653">
            <v>4772.2323399999996</v>
          </cell>
          <cell r="P1653">
            <v>4128.9541200000003</v>
          </cell>
          <cell r="Q1653">
            <v>3025.7160600000002</v>
          </cell>
          <cell r="R1653">
            <v>481.64726000000002</v>
          </cell>
          <cell r="S1653">
            <v>-1836.60825</v>
          </cell>
          <cell r="T1653">
            <v>-2966.2196100000001</v>
          </cell>
          <cell r="U1653">
            <v>-5069.8147600000002</v>
          </cell>
          <cell r="V1653">
            <v>-5810.3537100000003</v>
          </cell>
          <cell r="W1653">
            <v>-6241.9385599999996</v>
          </cell>
          <cell r="X1653">
            <v>-3538.1370499999998</v>
          </cell>
          <cell r="Y1653">
            <v>-539.97367999999994</v>
          </cell>
        </row>
        <row r="1654">
          <cell r="B1654">
            <v>592042</v>
          </cell>
          <cell r="C1654" t="str">
            <v>NOT USED</v>
          </cell>
          <cell r="D1654" t="str">
            <v>INCOME TAXES - GAS CUR-FED-FERC FIN 48 INTEREST</v>
          </cell>
          <cell r="E1654" t="str">
            <v/>
          </cell>
          <cell r="F1654" t="str">
            <v/>
          </cell>
          <cell r="G1654" t="str">
            <v/>
          </cell>
          <cell r="H1654" t="str">
            <v/>
          </cell>
          <cell r="I1654" t="str">
            <v/>
          </cell>
          <cell r="J1654" t="str">
            <v/>
          </cell>
          <cell r="K1654" t="str">
            <v/>
          </cell>
          <cell r="L1654">
            <v>26</v>
          </cell>
          <cell r="M1654">
            <v>1</v>
          </cell>
          <cell r="N1654">
            <v>3</v>
          </cell>
          <cell r="O1654">
            <v>5</v>
          </cell>
          <cell r="P1654">
            <v>6</v>
          </cell>
          <cell r="Q1654">
            <v>8</v>
          </cell>
          <cell r="R1654">
            <v>11</v>
          </cell>
          <cell r="S1654">
            <v>14</v>
          </cell>
          <cell r="T1654">
            <v>16</v>
          </cell>
          <cell r="U1654">
            <v>18</v>
          </cell>
          <cell r="V1654">
            <v>20</v>
          </cell>
          <cell r="W1654">
            <v>21</v>
          </cell>
          <cell r="X1654">
            <v>157</v>
          </cell>
          <cell r="Y1654">
            <v>17.875</v>
          </cell>
        </row>
        <row r="1655">
          <cell r="B1655">
            <v>592045</v>
          </cell>
          <cell r="C1655" t="str">
            <v>NOT USED</v>
          </cell>
          <cell r="D1655" t="str">
            <v>INCOME TAXES - GAS CURRENT-FIT-EEMC</v>
          </cell>
          <cell r="E1655" t="str">
            <v/>
          </cell>
          <cell r="F1655" t="str">
            <v/>
          </cell>
          <cell r="G1655" t="str">
            <v/>
          </cell>
          <cell r="H1655" t="str">
            <v/>
          </cell>
          <cell r="I1655" t="str">
            <v/>
          </cell>
          <cell r="J1655" t="str">
            <v/>
          </cell>
          <cell r="K1655" t="str">
            <v/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</row>
        <row r="1656">
          <cell r="B1656">
            <v>592068</v>
          </cell>
          <cell r="C1656" t="str">
            <v>NOT USED</v>
          </cell>
          <cell r="D1656" t="str">
            <v>INCOME TAXES - NON-OPERATING-FEDERAL-ELECTRIC</v>
          </cell>
          <cell r="E1656" t="str">
            <v/>
          </cell>
          <cell r="F1656" t="str">
            <v/>
          </cell>
          <cell r="G1656" t="str">
            <v/>
          </cell>
          <cell r="H1656" t="str">
            <v/>
          </cell>
          <cell r="I1656" t="str">
            <v/>
          </cell>
          <cell r="J1656" t="str">
            <v/>
          </cell>
          <cell r="K1656" t="str">
            <v/>
          </cell>
          <cell r="L1656">
            <v>2243.66239</v>
          </cell>
          <cell r="M1656">
            <v>139.61447999999999</v>
          </cell>
          <cell r="N1656">
            <v>273.36804999999998</v>
          </cell>
          <cell r="O1656">
            <v>421.20846999999998</v>
          </cell>
          <cell r="P1656">
            <v>567.50773000000004</v>
          </cell>
          <cell r="Q1656">
            <v>696.18592999999998</v>
          </cell>
          <cell r="R1656">
            <v>865.94197999999994</v>
          </cell>
          <cell r="S1656">
            <v>1030.2529199999999</v>
          </cell>
          <cell r="T1656">
            <v>1173.04666</v>
          </cell>
          <cell r="U1656">
            <v>1788.9302399999999</v>
          </cell>
          <cell r="V1656">
            <v>2035.1949199999999</v>
          </cell>
          <cell r="W1656">
            <v>2308.94848</v>
          </cell>
          <cell r="X1656">
            <v>2519.0997900000002</v>
          </cell>
          <cell r="Y1656">
            <v>1140.131746</v>
          </cell>
        </row>
        <row r="1657">
          <cell r="B1657">
            <v>592069</v>
          </cell>
          <cell r="C1657" t="str">
            <v>NOT USED</v>
          </cell>
          <cell r="D1657" t="str">
            <v>INCOME TAXES - NON-OPERATING-FEDERAL-GAS</v>
          </cell>
          <cell r="E1657" t="str">
            <v/>
          </cell>
          <cell r="F1657" t="str">
            <v/>
          </cell>
          <cell r="G1657" t="str">
            <v/>
          </cell>
          <cell r="H1657" t="str">
            <v/>
          </cell>
          <cell r="I1657" t="str">
            <v/>
          </cell>
          <cell r="J1657" t="str">
            <v/>
          </cell>
          <cell r="K1657" t="str">
            <v/>
          </cell>
          <cell r="L1657">
            <v>974.21776</v>
          </cell>
          <cell r="M1657">
            <v>74.772199999999998</v>
          </cell>
          <cell r="N1657">
            <v>138.50832</v>
          </cell>
          <cell r="O1657">
            <v>135.3579</v>
          </cell>
          <cell r="P1657">
            <v>187.99003999999999</v>
          </cell>
          <cell r="Q1657">
            <v>229.60854</v>
          </cell>
          <cell r="R1657">
            <v>276.54052999999999</v>
          </cell>
          <cell r="S1657">
            <v>322.60343999999998</v>
          </cell>
          <cell r="T1657">
            <v>365.30689000000001</v>
          </cell>
          <cell r="U1657">
            <v>465.89420999999999</v>
          </cell>
          <cell r="V1657">
            <v>515.33253999999999</v>
          </cell>
          <cell r="W1657">
            <v>572.23109999999997</v>
          </cell>
          <cell r="X1657">
            <v>629.24451999999997</v>
          </cell>
          <cell r="Y1657">
            <v>340.48973799999999</v>
          </cell>
        </row>
        <row r="1658">
          <cell r="B1658">
            <v>592070</v>
          </cell>
          <cell r="C1658" t="str">
            <v>NOT USED</v>
          </cell>
          <cell r="D1658" t="str">
            <v>INCOME TAXES - NON-OPERATING-FEDERAL</v>
          </cell>
          <cell r="E1658" t="str">
            <v/>
          </cell>
          <cell r="F1658" t="str">
            <v/>
          </cell>
          <cell r="G1658" t="str">
            <v/>
          </cell>
          <cell r="H1658" t="str">
            <v/>
          </cell>
          <cell r="I1658" t="str">
            <v/>
          </cell>
          <cell r="J1658" t="str">
            <v/>
          </cell>
          <cell r="K1658" t="str">
            <v/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</row>
        <row r="1659">
          <cell r="B1659">
            <v>592074</v>
          </cell>
          <cell r="C1659" t="str">
            <v>NOT USED</v>
          </cell>
          <cell r="D1659" t="str">
            <v>INCOME TAXES-NON-OPERATING-FEDERAL-ELECTRIC-SERP</v>
          </cell>
          <cell r="E1659" t="str">
            <v/>
          </cell>
          <cell r="F1659" t="str">
            <v/>
          </cell>
          <cell r="G1659" t="str">
            <v/>
          </cell>
          <cell r="H1659" t="str">
            <v/>
          </cell>
          <cell r="I1659" t="str">
            <v/>
          </cell>
          <cell r="J1659" t="str">
            <v/>
          </cell>
          <cell r="K1659" t="str">
            <v/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  <cell r="Y1659">
            <v>0</v>
          </cell>
        </row>
        <row r="1660">
          <cell r="B1660">
            <v>592075</v>
          </cell>
          <cell r="C1660" t="str">
            <v>NOT USED</v>
          </cell>
          <cell r="D1660" t="str">
            <v>INCOME TAXES-NON-OPERATING-FEDERAL-GAS-SERP</v>
          </cell>
          <cell r="E1660" t="str">
            <v/>
          </cell>
          <cell r="F1660" t="str">
            <v/>
          </cell>
          <cell r="G1660" t="str">
            <v/>
          </cell>
          <cell r="H1660" t="str">
            <v/>
          </cell>
          <cell r="I1660" t="str">
            <v/>
          </cell>
          <cell r="J1660" t="str">
            <v/>
          </cell>
          <cell r="K1660" t="str">
            <v/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</row>
        <row r="1661">
          <cell r="B1661">
            <v>592100</v>
          </cell>
          <cell r="C1661" t="str">
            <v>NOT USED</v>
          </cell>
          <cell r="D1661" t="str">
            <v>INCOME TAXES - ELECTRIC DEFERRED-FEDERAL</v>
          </cell>
          <cell r="E1661" t="str">
            <v/>
          </cell>
          <cell r="F1661" t="str">
            <v/>
          </cell>
          <cell r="G1661" t="str">
            <v/>
          </cell>
          <cell r="H1661" t="str">
            <v/>
          </cell>
          <cell r="I1661" t="str">
            <v/>
          </cell>
          <cell r="J1661" t="str">
            <v/>
          </cell>
          <cell r="K1661" t="str">
            <v/>
          </cell>
          <cell r="L1661">
            <v>75873.37775</v>
          </cell>
          <cell r="M1661">
            <v>4335.7402199999997</v>
          </cell>
          <cell r="N1661">
            <v>9644.2838100000008</v>
          </cell>
          <cell r="O1661">
            <v>14107.71146</v>
          </cell>
          <cell r="P1661">
            <v>18907.147099999998</v>
          </cell>
          <cell r="Q1661">
            <v>21985.311420000002</v>
          </cell>
          <cell r="R1661">
            <v>26332.430759999999</v>
          </cell>
          <cell r="S1661">
            <v>30639.259969999999</v>
          </cell>
          <cell r="T1661">
            <v>37207.00621</v>
          </cell>
          <cell r="U1661">
            <v>61260.938139999998</v>
          </cell>
          <cell r="V1661">
            <v>66610.101450000002</v>
          </cell>
          <cell r="W1661">
            <v>72068.297460000002</v>
          </cell>
          <cell r="X1661">
            <v>84608.385880000002</v>
          </cell>
          <cell r="Y1661">
            <v>36944.925818000003</v>
          </cell>
        </row>
        <row r="1662">
          <cell r="B1662">
            <v>592111</v>
          </cell>
          <cell r="C1662" t="str">
            <v>NOT USED</v>
          </cell>
          <cell r="D1662" t="str">
            <v>INCOME TAXES - ELECTRIC DEFERRED-FEDERAL-EEMC HC</v>
          </cell>
          <cell r="E1662" t="str">
            <v/>
          </cell>
          <cell r="F1662" t="str">
            <v/>
          </cell>
          <cell r="G1662" t="str">
            <v/>
          </cell>
          <cell r="H1662" t="str">
            <v/>
          </cell>
          <cell r="I1662" t="str">
            <v/>
          </cell>
          <cell r="J1662" t="str">
            <v/>
          </cell>
          <cell r="K1662" t="str">
            <v/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</row>
        <row r="1663">
          <cell r="B1663">
            <v>592130</v>
          </cell>
          <cell r="C1663" t="str">
            <v>NOT USED</v>
          </cell>
          <cell r="D1663" t="str">
            <v>INCOME TAXES - GAS DEFERRED-FEDERAL</v>
          </cell>
          <cell r="E1663" t="str">
            <v/>
          </cell>
          <cell r="F1663" t="str">
            <v/>
          </cell>
          <cell r="G1663" t="str">
            <v/>
          </cell>
          <cell r="H1663" t="str">
            <v/>
          </cell>
          <cell r="I1663" t="str">
            <v/>
          </cell>
          <cell r="J1663" t="str">
            <v/>
          </cell>
          <cell r="K1663" t="str">
            <v/>
          </cell>
          <cell r="L1663">
            <v>33303.670789999996</v>
          </cell>
          <cell r="M1663">
            <v>2571.3558400000002</v>
          </cell>
          <cell r="N1663">
            <v>4679.5124999999998</v>
          </cell>
          <cell r="O1663">
            <v>7746.3072899999997</v>
          </cell>
          <cell r="P1663">
            <v>10711.108260000001</v>
          </cell>
          <cell r="Q1663">
            <v>12782.44965</v>
          </cell>
          <cell r="R1663">
            <v>15364.213830000001</v>
          </cell>
          <cell r="S1663">
            <v>17905.826089999999</v>
          </cell>
          <cell r="T1663">
            <v>20397.117979999999</v>
          </cell>
          <cell r="U1663">
            <v>27128.56683</v>
          </cell>
          <cell r="V1663">
            <v>28997.49986</v>
          </cell>
          <cell r="W1663">
            <v>31393.758880000001</v>
          </cell>
          <cell r="X1663">
            <v>37606.841070000002</v>
          </cell>
          <cell r="Y1663">
            <v>17927.747745000001</v>
          </cell>
        </row>
        <row r="1664">
          <cell r="B1664">
            <v>592131</v>
          </cell>
          <cell r="C1664" t="str">
            <v>NOT USED</v>
          </cell>
          <cell r="D1664" t="str">
            <v>INCOME TAXES - GAS DEFERRED-FEDERAL-EEMC HC ALLOC</v>
          </cell>
          <cell r="E1664" t="str">
            <v/>
          </cell>
          <cell r="F1664" t="str">
            <v/>
          </cell>
          <cell r="G1664" t="str">
            <v/>
          </cell>
          <cell r="H1664" t="str">
            <v/>
          </cell>
          <cell r="I1664" t="str">
            <v/>
          </cell>
          <cell r="J1664" t="str">
            <v/>
          </cell>
          <cell r="K1664" t="str">
            <v/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</row>
        <row r="1665">
          <cell r="B1665">
            <v>592158</v>
          </cell>
          <cell r="C1665" t="str">
            <v>NOT USED</v>
          </cell>
          <cell r="D1665" t="str">
            <v>INCOME TAXES - NON-OPERATING DEFERRED-FED-ELEC</v>
          </cell>
          <cell r="E1665" t="str">
            <v/>
          </cell>
          <cell r="F1665" t="str">
            <v/>
          </cell>
          <cell r="G1665" t="str">
            <v/>
          </cell>
          <cell r="H1665" t="str">
            <v/>
          </cell>
          <cell r="I1665" t="str">
            <v/>
          </cell>
          <cell r="J1665" t="str">
            <v/>
          </cell>
          <cell r="K1665" t="str">
            <v/>
          </cell>
          <cell r="L1665">
            <v>2.1000000000000001E-2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7.67354</v>
          </cell>
          <cell r="V1665">
            <v>7.67354</v>
          </cell>
          <cell r="W1665">
            <v>7.67354</v>
          </cell>
          <cell r="X1665">
            <v>7.67354</v>
          </cell>
          <cell r="Y1665">
            <v>2.238991</v>
          </cell>
        </row>
        <row r="1666">
          <cell r="B1666">
            <v>592159</v>
          </cell>
          <cell r="C1666" t="str">
            <v>NOT USED</v>
          </cell>
          <cell r="D1666" t="str">
            <v>INCOME TAXES - NON-OPERATING DEFERRED-FED-GAS</v>
          </cell>
          <cell r="E1666" t="str">
            <v/>
          </cell>
          <cell r="F1666" t="str">
            <v/>
          </cell>
          <cell r="G1666" t="str">
            <v/>
          </cell>
          <cell r="H1666" t="str">
            <v/>
          </cell>
          <cell r="I1666" t="str">
            <v/>
          </cell>
          <cell r="J1666" t="str">
            <v/>
          </cell>
          <cell r="K1666" t="str">
            <v/>
          </cell>
          <cell r="L1666">
            <v>1.0999999999999999E-2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4.1320100000000002</v>
          </cell>
          <cell r="V1666">
            <v>4.1320100000000002</v>
          </cell>
          <cell r="W1666">
            <v>4.1320100000000002</v>
          </cell>
          <cell r="X1666">
            <v>4.1320100000000002</v>
          </cell>
          <cell r="Y1666">
            <v>1.2056279999999999</v>
          </cell>
        </row>
        <row r="1667">
          <cell r="B1667">
            <v>592160</v>
          </cell>
          <cell r="C1667" t="str">
            <v>NOT USED</v>
          </cell>
          <cell r="D1667" t="str">
            <v>INCOME TAXES - NON-OPERATING DEFERRED-FED</v>
          </cell>
          <cell r="E1667" t="str">
            <v/>
          </cell>
          <cell r="F1667" t="str">
            <v/>
          </cell>
          <cell r="G1667" t="str">
            <v/>
          </cell>
          <cell r="H1667" t="str">
            <v/>
          </cell>
          <cell r="I1667" t="str">
            <v/>
          </cell>
          <cell r="J1667" t="str">
            <v/>
          </cell>
          <cell r="K1667" t="str">
            <v/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</row>
        <row r="1668">
          <cell r="B1668">
            <v>592190</v>
          </cell>
          <cell r="C1668" t="str">
            <v>NOT USED</v>
          </cell>
          <cell r="D1668" t="str">
            <v>INCOME TAXES - ELEC PRIOR YR DEFERRED-CR-FED</v>
          </cell>
          <cell r="E1668" t="str">
            <v/>
          </cell>
          <cell r="F1668" t="str">
            <v/>
          </cell>
          <cell r="G1668" t="str">
            <v/>
          </cell>
          <cell r="H1668" t="str">
            <v/>
          </cell>
          <cell r="I1668" t="str">
            <v/>
          </cell>
          <cell r="J1668" t="str">
            <v/>
          </cell>
          <cell r="K1668" t="str">
            <v/>
          </cell>
          <cell r="L1668">
            <v>-83561.126139999993</v>
          </cell>
          <cell r="M1668">
            <v>-3064.18649</v>
          </cell>
          <cell r="N1668">
            <v>-5417.6386400000001</v>
          </cell>
          <cell r="O1668">
            <v>-8717.6807499999995</v>
          </cell>
          <cell r="P1668">
            <v>-11719.551509999999</v>
          </cell>
          <cell r="Q1668">
            <v>-15691.43584</v>
          </cell>
          <cell r="R1668">
            <v>-18744.59087</v>
          </cell>
          <cell r="S1668">
            <v>-21956.127229999998</v>
          </cell>
          <cell r="T1668">
            <v>-26806.346580000001</v>
          </cell>
          <cell r="U1668">
            <v>-36496.804889999999</v>
          </cell>
          <cell r="V1668">
            <v>-39171.49</v>
          </cell>
          <cell r="W1668">
            <v>-48118.03673</v>
          </cell>
          <cell r="X1668">
            <v>-61724.262849999999</v>
          </cell>
          <cell r="Y1668">
            <v>-25712.215335000001</v>
          </cell>
        </row>
        <row r="1669">
          <cell r="B1669">
            <v>592192</v>
          </cell>
          <cell r="C1669" t="str">
            <v>NOT USED</v>
          </cell>
          <cell r="D1669" t="str">
            <v>INCOME TAX-ELEC COMMODITY PRIOR YR DEFERRED-CR-FE</v>
          </cell>
          <cell r="E1669" t="str">
            <v/>
          </cell>
          <cell r="F1669" t="str">
            <v/>
          </cell>
          <cell r="G1669" t="str">
            <v/>
          </cell>
          <cell r="H1669" t="str">
            <v/>
          </cell>
          <cell r="I1669" t="str">
            <v/>
          </cell>
          <cell r="J1669" t="str">
            <v/>
          </cell>
          <cell r="K1669" t="str">
            <v/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</row>
        <row r="1670">
          <cell r="B1670">
            <v>592220</v>
          </cell>
          <cell r="C1670" t="str">
            <v>NOT USED</v>
          </cell>
          <cell r="D1670" t="str">
            <v>INCOME TAXES - GAS PRIOR YR DEFERRED-CR-FED</v>
          </cell>
          <cell r="E1670" t="str">
            <v/>
          </cell>
          <cell r="F1670" t="str">
            <v/>
          </cell>
          <cell r="G1670" t="str">
            <v/>
          </cell>
          <cell r="H1670" t="str">
            <v/>
          </cell>
          <cell r="I1670" t="str">
            <v/>
          </cell>
          <cell r="J1670" t="str">
            <v/>
          </cell>
          <cell r="K1670" t="str">
            <v/>
          </cell>
          <cell r="L1670">
            <v>-23276.594929999999</v>
          </cell>
          <cell r="M1670">
            <v>-1918.2184099999999</v>
          </cell>
          <cell r="N1670">
            <v>-3262.9833800000001</v>
          </cell>
          <cell r="O1670">
            <v>-5405.3861500000003</v>
          </cell>
          <cell r="P1670">
            <v>-6611.3621300000004</v>
          </cell>
          <cell r="Q1670">
            <v>-7498.6290799999997</v>
          </cell>
          <cell r="R1670">
            <v>-8268.9474399999999</v>
          </cell>
          <cell r="S1670">
            <v>-9163.5388199999998</v>
          </cell>
          <cell r="T1670">
            <v>-10576.25208</v>
          </cell>
          <cell r="U1670">
            <v>-15599.24698</v>
          </cell>
          <cell r="V1670">
            <v>-16496.100160000002</v>
          </cell>
          <cell r="W1670">
            <v>-17460.38941</v>
          </cell>
          <cell r="X1670">
            <v>-22397.420590000002</v>
          </cell>
          <cell r="Y1670">
            <v>-10424.838483</v>
          </cell>
        </row>
        <row r="1671">
          <cell r="B1671">
            <v>592250</v>
          </cell>
          <cell r="C1671" t="str">
            <v>NOT USED</v>
          </cell>
          <cell r="D1671" t="str">
            <v>INCOME TAXES - NON-OP PRIOR YR DEFERED-CR-FED</v>
          </cell>
          <cell r="E1671" t="str">
            <v/>
          </cell>
          <cell r="F1671" t="str">
            <v/>
          </cell>
          <cell r="G1671" t="str">
            <v/>
          </cell>
          <cell r="H1671" t="str">
            <v/>
          </cell>
          <cell r="I1671" t="str">
            <v/>
          </cell>
          <cell r="J1671" t="str">
            <v/>
          </cell>
          <cell r="K1671" t="str">
            <v/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</row>
        <row r="1672">
          <cell r="B1672">
            <v>592251</v>
          </cell>
          <cell r="C1672" t="str">
            <v>NOT USED</v>
          </cell>
          <cell r="D1672" t="str">
            <v>INCOME TAXES - NON-OP PRIOR YR DEFERRED-CR-FED-EL</v>
          </cell>
          <cell r="E1672" t="str">
            <v/>
          </cell>
          <cell r="F1672" t="str">
            <v/>
          </cell>
          <cell r="G1672" t="str">
            <v/>
          </cell>
          <cell r="H1672" t="str">
            <v/>
          </cell>
          <cell r="I1672" t="str">
            <v/>
          </cell>
          <cell r="J1672" t="str">
            <v/>
          </cell>
          <cell r="K1672" t="str">
            <v/>
          </cell>
          <cell r="L1672">
            <v>-118.09484999999999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-4.9206190000000003</v>
          </cell>
        </row>
        <row r="1673">
          <cell r="B1673">
            <v>592252</v>
          </cell>
          <cell r="C1673" t="str">
            <v>NOT USED</v>
          </cell>
          <cell r="D1673" t="str">
            <v>INCOME TAXES - NON-OP PRIOR YR DEFERRED-CR-FED-GA</v>
          </cell>
          <cell r="E1673" t="str">
            <v/>
          </cell>
          <cell r="F1673" t="str">
            <v/>
          </cell>
          <cell r="G1673" t="str">
            <v/>
          </cell>
          <cell r="H1673" t="str">
            <v/>
          </cell>
          <cell r="I1673" t="str">
            <v/>
          </cell>
          <cell r="J1673" t="str">
            <v/>
          </cell>
          <cell r="K1673" t="str">
            <v/>
          </cell>
          <cell r="L1673">
            <v>-57.941800000000001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-2.4142420000000002</v>
          </cell>
        </row>
        <row r="1674">
          <cell r="B1674">
            <v>592264</v>
          </cell>
          <cell r="C1674" t="str">
            <v>NOT USED</v>
          </cell>
          <cell r="D1674" t="str">
            <v>INCOME TAXES-NON-OPERATING DEFERRED-FED-ELEC-SERP</v>
          </cell>
          <cell r="E1674" t="str">
            <v/>
          </cell>
          <cell r="F1674" t="str">
            <v/>
          </cell>
          <cell r="G1674" t="str">
            <v/>
          </cell>
          <cell r="H1674" t="str">
            <v/>
          </cell>
          <cell r="I1674" t="str">
            <v/>
          </cell>
          <cell r="J1674" t="str">
            <v/>
          </cell>
          <cell r="K1674" t="str">
            <v/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</row>
        <row r="1675">
          <cell r="B1675">
            <v>592265</v>
          </cell>
          <cell r="C1675" t="str">
            <v>NOT USED</v>
          </cell>
          <cell r="D1675" t="str">
            <v>INCOME TAXES-NON-OPERATING DEFERRED-FED-GAS-SERP</v>
          </cell>
          <cell r="E1675" t="str">
            <v/>
          </cell>
          <cell r="F1675" t="str">
            <v/>
          </cell>
          <cell r="G1675" t="str">
            <v/>
          </cell>
          <cell r="H1675" t="str">
            <v/>
          </cell>
          <cell r="I1675" t="str">
            <v/>
          </cell>
          <cell r="J1675" t="str">
            <v/>
          </cell>
          <cell r="K1675" t="str">
            <v/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</row>
        <row r="1676">
          <cell r="B1676">
            <v>592280</v>
          </cell>
          <cell r="C1676" t="str">
            <v>NOT USED</v>
          </cell>
          <cell r="D1676" t="str">
            <v>INCOME TAXES - ELECTRIC ITC-FEDERAL-ABOVE THE LIN</v>
          </cell>
          <cell r="E1676" t="str">
            <v/>
          </cell>
          <cell r="F1676" t="str">
            <v/>
          </cell>
          <cell r="G1676" t="str">
            <v/>
          </cell>
          <cell r="H1676" t="str">
            <v/>
          </cell>
          <cell r="I1676" t="str">
            <v/>
          </cell>
          <cell r="J1676" t="str">
            <v/>
          </cell>
          <cell r="K1676" t="str">
            <v/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</row>
        <row r="1677">
          <cell r="B1677">
            <v>592281</v>
          </cell>
          <cell r="C1677" t="str">
            <v>NOT USED</v>
          </cell>
          <cell r="D1677" t="str">
            <v>INCOME TAXES - ELECTRIC ITC-FEDERAL-BELOW THE LIN</v>
          </cell>
          <cell r="E1677" t="str">
            <v/>
          </cell>
          <cell r="F1677" t="str">
            <v/>
          </cell>
          <cell r="G1677" t="str">
            <v/>
          </cell>
          <cell r="H1677" t="str">
            <v/>
          </cell>
          <cell r="I1677" t="str">
            <v/>
          </cell>
          <cell r="J1677" t="str">
            <v/>
          </cell>
          <cell r="K1677" t="str">
            <v/>
          </cell>
          <cell r="L1677">
            <v>-580.73599999999999</v>
          </cell>
          <cell r="M1677">
            <v>-39.416670000000003</v>
          </cell>
          <cell r="N1677">
            <v>-78.833340000000007</v>
          </cell>
          <cell r="O1677">
            <v>-118.25001</v>
          </cell>
          <cell r="P1677">
            <v>-157.66668000000001</v>
          </cell>
          <cell r="Q1677">
            <v>-242.08335</v>
          </cell>
          <cell r="R1677">
            <v>-236.50002000000001</v>
          </cell>
          <cell r="S1677">
            <v>-275.91665</v>
          </cell>
          <cell r="T1677">
            <v>-315.33332000000001</v>
          </cell>
          <cell r="U1677">
            <v>-354.74999000000003</v>
          </cell>
          <cell r="V1677">
            <v>-394.16665999999998</v>
          </cell>
          <cell r="W1677">
            <v>-433.58332999999999</v>
          </cell>
          <cell r="X1677">
            <v>-473</v>
          </cell>
          <cell r="Y1677">
            <v>-264.44733500000001</v>
          </cell>
        </row>
        <row r="1678">
          <cell r="B1678">
            <v>592310</v>
          </cell>
          <cell r="C1678" t="str">
            <v>NOT USED</v>
          </cell>
          <cell r="D1678" t="str">
            <v>INCOME TAXES - GAS ITC-FEDERAL-ABOVE THE LINE</v>
          </cell>
          <cell r="E1678" t="str">
            <v/>
          </cell>
          <cell r="F1678" t="str">
            <v/>
          </cell>
          <cell r="G1678" t="str">
            <v/>
          </cell>
          <cell r="H1678" t="str">
            <v/>
          </cell>
          <cell r="I1678" t="str">
            <v/>
          </cell>
          <cell r="J1678" t="str">
            <v/>
          </cell>
          <cell r="K1678" t="str">
            <v/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</row>
        <row r="1679">
          <cell r="B1679">
            <v>592311</v>
          </cell>
          <cell r="C1679" t="str">
            <v>NOT USED</v>
          </cell>
          <cell r="D1679" t="str">
            <v>INCOME TAXES - GAS ITC-FEDERAL-BELOW THE LINE</v>
          </cell>
          <cell r="E1679" t="str">
            <v/>
          </cell>
          <cell r="F1679" t="str">
            <v/>
          </cell>
          <cell r="G1679" t="str">
            <v/>
          </cell>
          <cell r="H1679" t="str">
            <v/>
          </cell>
          <cell r="I1679" t="str">
            <v/>
          </cell>
          <cell r="J1679" t="str">
            <v/>
          </cell>
          <cell r="K1679" t="str">
            <v/>
          </cell>
          <cell r="L1679">
            <v>-272.00700000000001</v>
          </cell>
          <cell r="M1679">
            <v>-19.25</v>
          </cell>
          <cell r="N1679">
            <v>-38.5</v>
          </cell>
          <cell r="O1679">
            <v>-57.75</v>
          </cell>
          <cell r="P1679">
            <v>-77</v>
          </cell>
          <cell r="Q1679">
            <v>-96.25</v>
          </cell>
          <cell r="R1679">
            <v>-115.5</v>
          </cell>
          <cell r="S1679">
            <v>-134.75</v>
          </cell>
          <cell r="T1679">
            <v>-154</v>
          </cell>
          <cell r="U1679">
            <v>-173.25</v>
          </cell>
          <cell r="V1679">
            <v>-192.5</v>
          </cell>
          <cell r="W1679">
            <v>-211.75</v>
          </cell>
          <cell r="X1679">
            <v>-231</v>
          </cell>
          <cell r="Y1679">
            <v>-126.833625</v>
          </cell>
        </row>
        <row r="1680">
          <cell r="B1680">
            <v>592340</v>
          </cell>
          <cell r="C1680" t="str">
            <v>NOT USED</v>
          </cell>
          <cell r="D1680" t="str">
            <v>INCOME TAXES - ELECTRIC CURRENT-STATE</v>
          </cell>
          <cell r="E1680" t="str">
            <v/>
          </cell>
          <cell r="F1680" t="str">
            <v/>
          </cell>
          <cell r="G1680" t="str">
            <v/>
          </cell>
          <cell r="H1680" t="str">
            <v/>
          </cell>
          <cell r="I1680" t="str">
            <v/>
          </cell>
          <cell r="J1680" t="str">
            <v/>
          </cell>
          <cell r="K1680" t="str">
            <v/>
          </cell>
          <cell r="L1680">
            <v>2483.7727399999999</v>
          </cell>
          <cell r="M1680">
            <v>771.07892000000004</v>
          </cell>
          <cell r="N1680">
            <v>628.37127999999996</v>
          </cell>
          <cell r="O1680">
            <v>1030.2579499999999</v>
          </cell>
          <cell r="P1680">
            <v>1368.54225</v>
          </cell>
          <cell r="Q1680">
            <v>1857.25676</v>
          </cell>
          <cell r="R1680">
            <v>2197.4612299999999</v>
          </cell>
          <cell r="S1680">
            <v>2942.1009300000001</v>
          </cell>
          <cell r="T1680">
            <v>3253.3180900000002</v>
          </cell>
          <cell r="U1680">
            <v>2214.2588500000002</v>
          </cell>
          <cell r="V1680">
            <v>1950.1986899999999</v>
          </cell>
          <cell r="W1680">
            <v>2013.2220400000001</v>
          </cell>
          <cell r="X1680">
            <v>3094.0769700000001</v>
          </cell>
          <cell r="Y1680">
            <v>1917.9159870000001</v>
          </cell>
        </row>
        <row r="1681">
          <cell r="B1681">
            <v>592341</v>
          </cell>
          <cell r="C1681" t="str">
            <v>NOT USED</v>
          </cell>
          <cell r="D1681" t="str">
            <v>INCOME TAXES - ELECTRIC CURRENT-SIT DEFERRAL</v>
          </cell>
          <cell r="E1681" t="str">
            <v/>
          </cell>
          <cell r="F1681" t="str">
            <v/>
          </cell>
          <cell r="G1681" t="str">
            <v/>
          </cell>
          <cell r="H1681" t="str">
            <v/>
          </cell>
          <cell r="I1681" t="str">
            <v/>
          </cell>
          <cell r="J1681" t="str">
            <v/>
          </cell>
          <cell r="K1681" t="str">
            <v/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</row>
        <row r="1682">
          <cell r="B1682">
            <v>592342</v>
          </cell>
          <cell r="C1682" t="str">
            <v>NOT USED</v>
          </cell>
          <cell r="D1682" t="str">
            <v>INCOME TAXES - ELECTRIC COMMODITY CURRENT-STATE</v>
          </cell>
          <cell r="E1682" t="str">
            <v/>
          </cell>
          <cell r="F1682" t="str">
            <v/>
          </cell>
          <cell r="G1682" t="str">
            <v/>
          </cell>
          <cell r="H1682" t="str">
            <v/>
          </cell>
          <cell r="I1682" t="str">
            <v/>
          </cell>
          <cell r="J1682" t="str">
            <v/>
          </cell>
          <cell r="K1682" t="str">
            <v/>
          </cell>
          <cell r="L1682">
            <v>173.71001999999999</v>
          </cell>
          <cell r="M1682">
            <v>-0.60119999999999996</v>
          </cell>
          <cell r="N1682">
            <v>29.341390000000001</v>
          </cell>
          <cell r="O1682">
            <v>45.140749999999997</v>
          </cell>
          <cell r="P1682">
            <v>57.570920000000001</v>
          </cell>
          <cell r="Q1682">
            <v>70.185980000000001</v>
          </cell>
          <cell r="R1682">
            <v>80.218549999999993</v>
          </cell>
          <cell r="S1682">
            <v>93.205070000000006</v>
          </cell>
          <cell r="T1682">
            <v>107.30758</v>
          </cell>
          <cell r="U1682">
            <v>118.70216000000001</v>
          </cell>
          <cell r="V1682">
            <v>132.81647000000001</v>
          </cell>
          <cell r="W1682">
            <v>148.99462</v>
          </cell>
          <cell r="X1682">
            <v>162.88023000000001</v>
          </cell>
          <cell r="Y1682">
            <v>87.598117999999999</v>
          </cell>
        </row>
        <row r="1683">
          <cell r="B1683">
            <v>592344</v>
          </cell>
          <cell r="C1683" t="str">
            <v>NOT USED</v>
          </cell>
          <cell r="D1683" t="str">
            <v>INCOME TAXES - ELECT CUR-STATE-FERC FIN 48 INT</v>
          </cell>
          <cell r="E1683" t="str">
            <v/>
          </cell>
          <cell r="F1683" t="str">
            <v/>
          </cell>
          <cell r="G1683" t="str">
            <v/>
          </cell>
          <cell r="H1683" t="str">
            <v/>
          </cell>
          <cell r="I1683" t="str">
            <v/>
          </cell>
          <cell r="J1683" t="str">
            <v/>
          </cell>
          <cell r="K1683" t="str">
            <v/>
          </cell>
          <cell r="L1683">
            <v>50</v>
          </cell>
          <cell r="M1683">
            <v>4</v>
          </cell>
          <cell r="N1683">
            <v>8</v>
          </cell>
          <cell r="O1683">
            <v>12</v>
          </cell>
          <cell r="P1683">
            <v>17</v>
          </cell>
          <cell r="Q1683">
            <v>21</v>
          </cell>
          <cell r="R1683">
            <v>26</v>
          </cell>
          <cell r="S1683">
            <v>30</v>
          </cell>
          <cell r="T1683">
            <v>35</v>
          </cell>
          <cell r="U1683">
            <v>39</v>
          </cell>
          <cell r="V1683">
            <v>44</v>
          </cell>
          <cell r="W1683">
            <v>48</v>
          </cell>
          <cell r="X1683">
            <v>-34</v>
          </cell>
          <cell r="Y1683">
            <v>24.333333</v>
          </cell>
        </row>
        <row r="1684">
          <cell r="B1684">
            <v>592370</v>
          </cell>
          <cell r="C1684" t="str">
            <v>NOT USED</v>
          </cell>
          <cell r="D1684" t="str">
            <v>INCOME TAXES - GAS CURRENT-STATE</v>
          </cell>
          <cell r="E1684" t="str">
            <v/>
          </cell>
          <cell r="F1684" t="str">
            <v/>
          </cell>
          <cell r="G1684" t="str">
            <v/>
          </cell>
          <cell r="H1684" t="str">
            <v/>
          </cell>
          <cell r="I1684" t="str">
            <v/>
          </cell>
          <cell r="J1684" t="str">
            <v/>
          </cell>
          <cell r="K1684" t="str">
            <v/>
          </cell>
          <cell r="L1684">
            <v>-47.555680000000002</v>
          </cell>
          <cell r="M1684">
            <v>691.02823000000001</v>
          </cell>
          <cell r="N1684">
            <v>1202.70876</v>
          </cell>
          <cell r="O1684">
            <v>1639.6079299999999</v>
          </cell>
          <cell r="P1684">
            <v>1682.40957</v>
          </cell>
          <cell r="Q1684">
            <v>1546.22162</v>
          </cell>
          <cell r="R1684">
            <v>1137.3906199999999</v>
          </cell>
          <cell r="S1684">
            <v>774.28886</v>
          </cell>
          <cell r="T1684">
            <v>669.68453</v>
          </cell>
          <cell r="U1684">
            <v>288.64582000000001</v>
          </cell>
          <cell r="V1684">
            <v>196.90393</v>
          </cell>
          <cell r="W1684">
            <v>347.49065999999999</v>
          </cell>
          <cell r="X1684">
            <v>1031.0768599999999</v>
          </cell>
          <cell r="Y1684">
            <v>889.01175999999998</v>
          </cell>
        </row>
        <row r="1685">
          <cell r="B1685">
            <v>592371</v>
          </cell>
          <cell r="C1685" t="str">
            <v>NOT USED</v>
          </cell>
          <cell r="D1685" t="str">
            <v>INCOME TAXES - GAS CURRENT-SIT DEFERRAL</v>
          </cell>
          <cell r="E1685" t="str">
            <v/>
          </cell>
          <cell r="F1685" t="str">
            <v/>
          </cell>
          <cell r="G1685" t="str">
            <v/>
          </cell>
          <cell r="H1685" t="str">
            <v/>
          </cell>
          <cell r="I1685" t="str">
            <v/>
          </cell>
          <cell r="J1685" t="str">
            <v/>
          </cell>
          <cell r="K1685" t="str">
            <v/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</row>
        <row r="1686">
          <cell r="B1686">
            <v>592372</v>
          </cell>
          <cell r="C1686" t="str">
            <v>NOT USED</v>
          </cell>
          <cell r="D1686" t="str">
            <v>INCOME TAXES - GAS CUR-STATE-FERC FIN 48 INT</v>
          </cell>
          <cell r="E1686" t="str">
            <v/>
          </cell>
          <cell r="F1686" t="str">
            <v/>
          </cell>
          <cell r="G1686" t="str">
            <v/>
          </cell>
          <cell r="H1686" t="str">
            <v/>
          </cell>
          <cell r="I1686" t="str">
            <v/>
          </cell>
          <cell r="J1686" t="str">
            <v/>
          </cell>
          <cell r="K1686" t="str">
            <v/>
          </cell>
          <cell r="L1686">
            <v>11</v>
          </cell>
          <cell r="M1686">
            <v>1</v>
          </cell>
          <cell r="N1686">
            <v>2</v>
          </cell>
          <cell r="O1686">
            <v>3</v>
          </cell>
          <cell r="P1686">
            <v>3</v>
          </cell>
          <cell r="Q1686">
            <v>4</v>
          </cell>
          <cell r="R1686">
            <v>5</v>
          </cell>
          <cell r="S1686">
            <v>6</v>
          </cell>
          <cell r="T1686">
            <v>7</v>
          </cell>
          <cell r="U1686">
            <v>8</v>
          </cell>
          <cell r="V1686">
            <v>9</v>
          </cell>
          <cell r="W1686">
            <v>10</v>
          </cell>
          <cell r="X1686">
            <v>27</v>
          </cell>
          <cell r="Y1686">
            <v>6.4166670000000003</v>
          </cell>
        </row>
        <row r="1687">
          <cell r="B1687">
            <v>592398</v>
          </cell>
          <cell r="C1687" t="str">
            <v>NOT USED</v>
          </cell>
          <cell r="D1687" t="str">
            <v>INCOME TAXES - NON-OPERATING-STATE-ELECTRIC</v>
          </cell>
          <cell r="E1687" t="str">
            <v/>
          </cell>
          <cell r="F1687" t="str">
            <v/>
          </cell>
          <cell r="G1687" t="str">
            <v/>
          </cell>
          <cell r="H1687" t="str">
            <v/>
          </cell>
          <cell r="I1687" t="str">
            <v/>
          </cell>
          <cell r="J1687" t="str">
            <v/>
          </cell>
          <cell r="K1687" t="str">
            <v/>
          </cell>
          <cell r="L1687">
            <v>489.92782</v>
          </cell>
          <cell r="M1687">
            <v>30.486319999999999</v>
          </cell>
          <cell r="N1687">
            <v>59.69285</v>
          </cell>
          <cell r="O1687">
            <v>91.975399999999993</v>
          </cell>
          <cell r="P1687">
            <v>123.92142</v>
          </cell>
          <cell r="Q1687">
            <v>152.01969</v>
          </cell>
          <cell r="R1687">
            <v>189.08775</v>
          </cell>
          <cell r="S1687">
            <v>224.96681000000001</v>
          </cell>
          <cell r="T1687">
            <v>256.14735999999999</v>
          </cell>
          <cell r="U1687">
            <v>390.63216999999997</v>
          </cell>
          <cell r="V1687">
            <v>444.40670999999998</v>
          </cell>
          <cell r="W1687">
            <v>504.18374</v>
          </cell>
          <cell r="X1687">
            <v>550.07254</v>
          </cell>
          <cell r="Y1687">
            <v>248.96003300000001</v>
          </cell>
        </row>
        <row r="1688">
          <cell r="B1688">
            <v>592399</v>
          </cell>
          <cell r="C1688" t="str">
            <v>NOT USED</v>
          </cell>
          <cell r="D1688" t="str">
            <v>INCOME TAXES - NON-OPERATING-STATE-GAS</v>
          </cell>
          <cell r="E1688" t="str">
            <v/>
          </cell>
          <cell r="F1688" t="str">
            <v/>
          </cell>
          <cell r="G1688" t="str">
            <v/>
          </cell>
          <cell r="H1688" t="str">
            <v/>
          </cell>
          <cell r="I1688" t="str">
            <v/>
          </cell>
          <cell r="J1688" t="str">
            <v/>
          </cell>
          <cell r="K1688" t="str">
            <v/>
          </cell>
          <cell r="L1688">
            <v>212.73093</v>
          </cell>
          <cell r="M1688">
            <v>16.327310000000001</v>
          </cell>
          <cell r="N1688">
            <v>30.244779999999999</v>
          </cell>
          <cell r="O1688">
            <v>29.556850000000001</v>
          </cell>
          <cell r="P1688">
            <v>41.04965</v>
          </cell>
          <cell r="Q1688">
            <v>50.13749</v>
          </cell>
          <cell r="R1688">
            <v>60.385599999999997</v>
          </cell>
          <cell r="S1688">
            <v>70.443929999999995</v>
          </cell>
          <cell r="T1688">
            <v>79.768690000000007</v>
          </cell>
          <cell r="U1688">
            <v>101.73300999999999</v>
          </cell>
          <cell r="V1688">
            <v>112.52840999999999</v>
          </cell>
          <cell r="W1688">
            <v>124.95282</v>
          </cell>
          <cell r="X1688">
            <v>137.40231</v>
          </cell>
          <cell r="Y1688">
            <v>74.349597000000003</v>
          </cell>
        </row>
        <row r="1689">
          <cell r="B1689">
            <v>592400</v>
          </cell>
          <cell r="C1689" t="str">
            <v>NOT USED</v>
          </cell>
          <cell r="D1689" t="str">
            <v>INCOME TAXES - NON-OPERATING-STATE</v>
          </cell>
          <cell r="E1689" t="str">
            <v/>
          </cell>
          <cell r="F1689" t="str">
            <v/>
          </cell>
          <cell r="G1689" t="str">
            <v/>
          </cell>
          <cell r="H1689" t="str">
            <v/>
          </cell>
          <cell r="I1689" t="str">
            <v/>
          </cell>
          <cell r="J1689" t="str">
            <v/>
          </cell>
          <cell r="K1689" t="str">
            <v/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</row>
        <row r="1690">
          <cell r="B1690">
            <v>592404</v>
          </cell>
          <cell r="C1690" t="str">
            <v>NOT USED</v>
          </cell>
          <cell r="D1690" t="str">
            <v>INCOME TAXES-NON-OPERATING-STATE-ELECTRIC-SERP</v>
          </cell>
          <cell r="E1690" t="str">
            <v/>
          </cell>
          <cell r="F1690" t="str">
            <v/>
          </cell>
          <cell r="G1690" t="str">
            <v/>
          </cell>
          <cell r="H1690" t="str">
            <v/>
          </cell>
          <cell r="I1690" t="str">
            <v/>
          </cell>
          <cell r="J1690" t="str">
            <v/>
          </cell>
          <cell r="K1690" t="str">
            <v/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</row>
        <row r="1691">
          <cell r="B1691">
            <v>592405</v>
          </cell>
          <cell r="C1691" t="str">
            <v>NOT USED</v>
          </cell>
          <cell r="D1691" t="str">
            <v>INCOME TAXES-NON-OPERATING-STATE-GAS-SERP</v>
          </cell>
          <cell r="E1691" t="str">
            <v/>
          </cell>
          <cell r="F1691" t="str">
            <v/>
          </cell>
          <cell r="G1691" t="str">
            <v/>
          </cell>
          <cell r="H1691" t="str">
            <v/>
          </cell>
          <cell r="I1691" t="str">
            <v/>
          </cell>
          <cell r="J1691" t="str">
            <v/>
          </cell>
          <cell r="K1691" t="str">
            <v/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</row>
        <row r="1692">
          <cell r="B1692">
            <v>592430</v>
          </cell>
          <cell r="C1692" t="str">
            <v>NOT USED</v>
          </cell>
          <cell r="D1692" t="str">
            <v>INCOME TAXES - ELECTRIC DEFERRED-STATE</v>
          </cell>
          <cell r="E1692" t="str">
            <v/>
          </cell>
          <cell r="F1692" t="str">
            <v/>
          </cell>
          <cell r="G1692" t="str">
            <v/>
          </cell>
          <cell r="H1692" t="str">
            <v/>
          </cell>
          <cell r="I1692" t="str">
            <v/>
          </cell>
          <cell r="J1692" t="str">
            <v/>
          </cell>
          <cell r="K1692" t="str">
            <v/>
          </cell>
          <cell r="L1692">
            <v>15702.883970000001</v>
          </cell>
          <cell r="M1692">
            <v>552.08585000000005</v>
          </cell>
          <cell r="N1692">
            <v>1316.71019</v>
          </cell>
          <cell r="O1692">
            <v>1874.479</v>
          </cell>
          <cell r="P1692">
            <v>2548.7270100000001</v>
          </cell>
          <cell r="Q1692">
            <v>3331.3973000000001</v>
          </cell>
          <cell r="R1692">
            <v>3984.97804</v>
          </cell>
          <cell r="S1692">
            <v>4629.3994499999999</v>
          </cell>
          <cell r="T1692">
            <v>5769.4977399999998</v>
          </cell>
          <cell r="U1692">
            <v>8728.9850999999999</v>
          </cell>
          <cell r="V1692">
            <v>9489.0509899999997</v>
          </cell>
          <cell r="W1692">
            <v>10272.024079999999</v>
          </cell>
          <cell r="X1692">
            <v>12262.53658</v>
          </cell>
          <cell r="Y1692">
            <v>5540.0037519999996</v>
          </cell>
        </row>
        <row r="1693">
          <cell r="B1693">
            <v>592460</v>
          </cell>
          <cell r="C1693" t="str">
            <v>NOT USED</v>
          </cell>
          <cell r="D1693" t="str">
            <v>INCOME TAXES - GAS DEFERRED-STATE</v>
          </cell>
          <cell r="E1693" t="str">
            <v/>
          </cell>
          <cell r="F1693" t="str">
            <v/>
          </cell>
          <cell r="G1693" t="str">
            <v/>
          </cell>
          <cell r="H1693" t="str">
            <v/>
          </cell>
          <cell r="I1693" t="str">
            <v/>
          </cell>
          <cell r="J1693" t="str">
            <v/>
          </cell>
          <cell r="K1693" t="str">
            <v/>
          </cell>
          <cell r="L1693">
            <v>7374.1946399999997</v>
          </cell>
          <cell r="M1693">
            <v>473.27409</v>
          </cell>
          <cell r="N1693">
            <v>845.55921000000001</v>
          </cell>
          <cell r="O1693">
            <v>1427.75008</v>
          </cell>
          <cell r="P1693">
            <v>1985.93507</v>
          </cell>
          <cell r="Q1693">
            <v>2429.7760199999998</v>
          </cell>
          <cell r="R1693">
            <v>2920.6337400000002</v>
          </cell>
          <cell r="S1693">
            <v>3402.8459499999999</v>
          </cell>
          <cell r="T1693">
            <v>3874.62104</v>
          </cell>
          <cell r="U1693">
            <v>5138.8549800000001</v>
          </cell>
          <cell r="V1693">
            <v>5477.5730000000003</v>
          </cell>
          <cell r="W1693">
            <v>5930.8042699999996</v>
          </cell>
          <cell r="X1693">
            <v>6835.4388099999996</v>
          </cell>
          <cell r="Y1693">
            <v>3417.703681</v>
          </cell>
        </row>
        <row r="1694">
          <cell r="B1694">
            <v>592488</v>
          </cell>
          <cell r="C1694" t="str">
            <v>NOT USED</v>
          </cell>
          <cell r="D1694" t="str">
            <v>INCOME TAXES - NON-OPERATING DEFERRED-STATE-ELEC</v>
          </cell>
          <cell r="E1694" t="str">
            <v/>
          </cell>
          <cell r="F1694" t="str">
            <v/>
          </cell>
          <cell r="G1694" t="str">
            <v/>
          </cell>
          <cell r="H1694" t="str">
            <v/>
          </cell>
          <cell r="I1694" t="str">
            <v/>
          </cell>
          <cell r="J1694" t="str">
            <v/>
          </cell>
          <cell r="K1694" t="str">
            <v/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1.6756</v>
          </cell>
          <cell r="V1694">
            <v>1.6756</v>
          </cell>
          <cell r="W1694">
            <v>1.6756</v>
          </cell>
          <cell r="X1694">
            <v>1.6756</v>
          </cell>
          <cell r="Y1694">
            <v>0.48871700000000001</v>
          </cell>
        </row>
        <row r="1695">
          <cell r="B1695">
            <v>592489</v>
          </cell>
          <cell r="C1695" t="str">
            <v>NOT USED</v>
          </cell>
          <cell r="D1695" t="str">
            <v>INCOME TAXES - NON-OPERATING DEFERRED-STATE-GAS</v>
          </cell>
          <cell r="E1695" t="str">
            <v/>
          </cell>
          <cell r="F1695" t="str">
            <v/>
          </cell>
          <cell r="G1695" t="str">
            <v/>
          </cell>
          <cell r="H1695" t="str">
            <v/>
          </cell>
          <cell r="I1695" t="str">
            <v/>
          </cell>
          <cell r="J1695" t="str">
            <v/>
          </cell>
          <cell r="K1695" t="str">
            <v/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0.90227000000000002</v>
          </cell>
          <cell r="V1695">
            <v>0.90227000000000002</v>
          </cell>
          <cell r="W1695">
            <v>0.90227000000000002</v>
          </cell>
          <cell r="X1695">
            <v>0.90227000000000002</v>
          </cell>
          <cell r="Y1695">
            <v>0.26316200000000001</v>
          </cell>
        </row>
        <row r="1696">
          <cell r="B1696">
            <v>592490</v>
          </cell>
          <cell r="C1696" t="str">
            <v>NOT USED</v>
          </cell>
          <cell r="D1696" t="str">
            <v>INCOME TAXES - NON-OPERATING DEFERRED-STATE</v>
          </cell>
          <cell r="E1696" t="str">
            <v/>
          </cell>
          <cell r="F1696" t="str">
            <v/>
          </cell>
          <cell r="G1696" t="str">
            <v/>
          </cell>
          <cell r="H1696" t="str">
            <v/>
          </cell>
          <cell r="I1696" t="str">
            <v/>
          </cell>
          <cell r="J1696" t="str">
            <v/>
          </cell>
          <cell r="K1696" t="str">
            <v/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0</v>
          </cell>
        </row>
        <row r="1697">
          <cell r="B1697">
            <v>592494</v>
          </cell>
          <cell r="C1697" t="str">
            <v>NOT USED</v>
          </cell>
          <cell r="D1697" t="str">
            <v>INCOME TAX-NON-OPERATING DEFERRED-STATE-ELEC-SERP</v>
          </cell>
          <cell r="E1697" t="str">
            <v/>
          </cell>
          <cell r="F1697" t="str">
            <v/>
          </cell>
          <cell r="G1697" t="str">
            <v/>
          </cell>
          <cell r="H1697" t="str">
            <v/>
          </cell>
          <cell r="I1697" t="str">
            <v/>
          </cell>
          <cell r="J1697" t="str">
            <v/>
          </cell>
          <cell r="K1697" t="str">
            <v/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</row>
        <row r="1698">
          <cell r="B1698">
            <v>592495</v>
          </cell>
          <cell r="C1698" t="str">
            <v>NOT USED</v>
          </cell>
          <cell r="D1698" t="str">
            <v>INCOME TAX-NON-OPERATING DEFERRED-STATE-GAS-SERP</v>
          </cell>
          <cell r="E1698" t="str">
            <v/>
          </cell>
          <cell r="F1698" t="str">
            <v/>
          </cell>
          <cell r="G1698" t="str">
            <v/>
          </cell>
          <cell r="H1698" t="str">
            <v/>
          </cell>
          <cell r="I1698" t="str">
            <v/>
          </cell>
          <cell r="J1698" t="str">
            <v/>
          </cell>
          <cell r="K1698" t="str">
            <v/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</row>
        <row r="1699">
          <cell r="B1699">
            <v>592520</v>
          </cell>
          <cell r="C1699" t="str">
            <v>NOT USED</v>
          </cell>
          <cell r="D1699" t="str">
            <v>INCOME TAXES - ELEC PRIOR YR DEFERRED-CR-STATE</v>
          </cell>
          <cell r="E1699" t="str">
            <v/>
          </cell>
          <cell r="F1699" t="str">
            <v/>
          </cell>
          <cell r="G1699" t="str">
            <v/>
          </cell>
          <cell r="H1699" t="str">
            <v/>
          </cell>
          <cell r="I1699" t="str">
            <v/>
          </cell>
          <cell r="J1699" t="str">
            <v/>
          </cell>
          <cell r="K1699" t="str">
            <v/>
          </cell>
          <cell r="L1699">
            <v>-15945.18073</v>
          </cell>
          <cell r="M1699">
            <v>-756.36360000000002</v>
          </cell>
          <cell r="N1699">
            <v>-1354.3400099999999</v>
          </cell>
          <cell r="O1699">
            <v>-2165.0992700000002</v>
          </cell>
          <cell r="P1699">
            <v>-2908.52241</v>
          </cell>
          <cell r="Q1699">
            <v>-3857.0899199999999</v>
          </cell>
          <cell r="R1699">
            <v>-4617.8898399999998</v>
          </cell>
          <cell r="S1699">
            <v>-5406.6820500000003</v>
          </cell>
          <cell r="T1699">
            <v>-6551.2942800000001</v>
          </cell>
          <cell r="U1699">
            <v>-8624.2325600000004</v>
          </cell>
          <cell r="V1699">
            <v>-9299.5837599999995</v>
          </cell>
          <cell r="W1699">
            <v>-11344.27045</v>
          </cell>
          <cell r="X1699">
            <v>-14285.34316</v>
          </cell>
          <cell r="Y1699">
            <v>-6000.0525079999998</v>
          </cell>
        </row>
        <row r="1700">
          <cell r="B1700">
            <v>592522</v>
          </cell>
          <cell r="C1700" t="str">
            <v>NOT USED</v>
          </cell>
          <cell r="D1700" t="str">
            <v>INCOME TAX-EL COMMODITY PRIOR YR DEFERRED-CR-STAT</v>
          </cell>
          <cell r="E1700" t="str">
            <v/>
          </cell>
          <cell r="F1700" t="str">
            <v/>
          </cell>
          <cell r="G1700" t="str">
            <v/>
          </cell>
          <cell r="H1700" t="str">
            <v/>
          </cell>
          <cell r="I1700" t="str">
            <v/>
          </cell>
          <cell r="J1700" t="str">
            <v/>
          </cell>
          <cell r="K1700" t="str">
            <v/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</row>
        <row r="1701">
          <cell r="B1701">
            <v>592550</v>
          </cell>
          <cell r="C1701" t="str">
            <v>NOT USED</v>
          </cell>
          <cell r="D1701" t="str">
            <v>INCOME TAXES - GAS PRIOR YR DEFERRED-CR-STATE</v>
          </cell>
          <cell r="E1701" t="str">
            <v/>
          </cell>
          <cell r="F1701" t="str">
            <v/>
          </cell>
          <cell r="G1701" t="str">
            <v/>
          </cell>
          <cell r="H1701" t="str">
            <v/>
          </cell>
          <cell r="I1701" t="str">
            <v/>
          </cell>
          <cell r="J1701" t="str">
            <v/>
          </cell>
          <cell r="K1701" t="str">
            <v/>
          </cell>
          <cell r="L1701">
            <v>-6271.9191000000001</v>
          </cell>
          <cell r="M1701">
            <v>-535.87432999999999</v>
          </cell>
          <cell r="N1701">
            <v>-944.15206000000001</v>
          </cell>
          <cell r="O1701">
            <v>-1529.88824</v>
          </cell>
          <cell r="P1701">
            <v>-1910.12958</v>
          </cell>
          <cell r="Q1701">
            <v>-2218.8132999999998</v>
          </cell>
          <cell r="R1701">
            <v>-2508.1941400000001</v>
          </cell>
          <cell r="S1701">
            <v>-2820.7952</v>
          </cell>
          <cell r="T1701">
            <v>-3244.22444</v>
          </cell>
          <cell r="U1701">
            <v>-4284.5191299999997</v>
          </cell>
          <cell r="V1701">
            <v>-4598.1548899999998</v>
          </cell>
          <cell r="W1701">
            <v>-4926.2507800000003</v>
          </cell>
          <cell r="X1701">
            <v>-5949.72775</v>
          </cell>
          <cell r="Y1701">
            <v>-2969.3182929999998</v>
          </cell>
        </row>
        <row r="1702">
          <cell r="B1702">
            <v>592579</v>
          </cell>
          <cell r="C1702" t="str">
            <v>NOT USED</v>
          </cell>
          <cell r="D1702" t="str">
            <v>INCOME TAXES - NON-OP PR YR DEFERRED-CR-STATE-ELE</v>
          </cell>
          <cell r="E1702" t="str">
            <v/>
          </cell>
          <cell r="F1702" t="str">
            <v/>
          </cell>
          <cell r="G1702" t="str">
            <v/>
          </cell>
          <cell r="H1702" t="str">
            <v/>
          </cell>
          <cell r="I1702" t="str">
            <v/>
          </cell>
          <cell r="J1702" t="str">
            <v/>
          </cell>
          <cell r="K1702" t="str">
            <v/>
          </cell>
          <cell r="L1702">
            <v>-23.490559999999999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-0.978773</v>
          </cell>
        </row>
        <row r="1703">
          <cell r="B1703">
            <v>592580</v>
          </cell>
          <cell r="C1703" t="str">
            <v>NOT USED</v>
          </cell>
          <cell r="D1703" t="str">
            <v>INCOME TAXES - NON-OP PR YR DEFERRED-CR-STATE-GAS</v>
          </cell>
          <cell r="E1703" t="str">
            <v/>
          </cell>
          <cell r="F1703" t="str">
            <v/>
          </cell>
          <cell r="G1703" t="str">
            <v/>
          </cell>
          <cell r="H1703" t="str">
            <v/>
          </cell>
          <cell r="I1703" t="str">
            <v/>
          </cell>
          <cell r="J1703" t="str">
            <v/>
          </cell>
          <cell r="K1703" t="str">
            <v/>
          </cell>
          <cell r="L1703">
            <v>-12.648720000000001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-0.52703</v>
          </cell>
        </row>
        <row r="1704">
          <cell r="B1704">
            <v>593000</v>
          </cell>
          <cell r="C1704" t="str">
            <v>NOT USED</v>
          </cell>
          <cell r="D1704" t="str">
            <v>OTHER INCOME &amp; DEDUCT - PAYROLL</v>
          </cell>
          <cell r="E1704" t="str">
            <v/>
          </cell>
          <cell r="F1704" t="str">
            <v/>
          </cell>
          <cell r="G1704" t="str">
            <v/>
          </cell>
          <cell r="H1704" t="str">
            <v/>
          </cell>
          <cell r="I1704" t="str">
            <v/>
          </cell>
          <cell r="J1704" t="str">
            <v/>
          </cell>
          <cell r="K1704" t="str">
            <v/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</row>
        <row r="1705">
          <cell r="B1705">
            <v>593005</v>
          </cell>
          <cell r="C1705" t="str">
            <v>NOT USED</v>
          </cell>
          <cell r="D1705" t="str">
            <v>OTHER INCOME &amp; DEDUCT - DONATIONS</v>
          </cell>
          <cell r="E1705" t="str">
            <v/>
          </cell>
          <cell r="F1705" t="str">
            <v/>
          </cell>
          <cell r="G1705" t="str">
            <v/>
          </cell>
          <cell r="H1705" t="str">
            <v/>
          </cell>
          <cell r="I1705" t="str">
            <v/>
          </cell>
          <cell r="J1705" t="str">
            <v/>
          </cell>
          <cell r="K1705" t="str">
            <v/>
          </cell>
          <cell r="L1705">
            <v>212.10792000000001</v>
          </cell>
          <cell r="M1705">
            <v>0</v>
          </cell>
          <cell r="N1705">
            <v>0</v>
          </cell>
          <cell r="O1705">
            <v>0</v>
          </cell>
          <cell r="P1705">
            <v>0.5</v>
          </cell>
          <cell r="Q1705">
            <v>15.5</v>
          </cell>
          <cell r="R1705">
            <v>22.65</v>
          </cell>
          <cell r="S1705">
            <v>27.65</v>
          </cell>
          <cell r="T1705">
            <v>37.15</v>
          </cell>
          <cell r="U1705">
            <v>58.85</v>
          </cell>
          <cell r="V1705">
            <v>70.849999999999994</v>
          </cell>
          <cell r="W1705">
            <v>76.349999999999994</v>
          </cell>
          <cell r="X1705">
            <v>350.2</v>
          </cell>
          <cell r="Y1705">
            <v>49.221162999999997</v>
          </cell>
        </row>
        <row r="1706">
          <cell r="B1706">
            <v>593007</v>
          </cell>
          <cell r="C1706" t="str">
            <v>NOT USED</v>
          </cell>
          <cell r="D1706" t="str">
            <v>OTHER INCOME &amp; DEDUCT-CURRENCY EXCHANGE GAIN/LOS</v>
          </cell>
          <cell r="E1706" t="str">
            <v/>
          </cell>
          <cell r="F1706" t="str">
            <v/>
          </cell>
          <cell r="G1706" t="str">
            <v/>
          </cell>
          <cell r="H1706" t="str">
            <v/>
          </cell>
          <cell r="I1706" t="str">
            <v/>
          </cell>
          <cell r="J1706" t="str">
            <v/>
          </cell>
          <cell r="K1706" t="str">
            <v/>
          </cell>
          <cell r="L1706">
            <v>99.228049999999996</v>
          </cell>
          <cell r="M1706">
            <v>-20.168189999999999</v>
          </cell>
          <cell r="N1706">
            <v>-20.4558</v>
          </cell>
          <cell r="O1706">
            <v>-17.92623</v>
          </cell>
          <cell r="P1706">
            <v>-40.983199999999997</v>
          </cell>
          <cell r="Q1706">
            <v>-41.957099999999997</v>
          </cell>
          <cell r="R1706">
            <v>-50.314369999999997</v>
          </cell>
          <cell r="S1706">
            <v>-50.314369999999997</v>
          </cell>
          <cell r="T1706">
            <v>-36.589660000000002</v>
          </cell>
          <cell r="U1706">
            <v>-22.706800000000001</v>
          </cell>
          <cell r="V1706">
            <v>20.884550000000001</v>
          </cell>
          <cell r="W1706">
            <v>20.884550000000001</v>
          </cell>
          <cell r="X1706">
            <v>20.884550000000001</v>
          </cell>
          <cell r="Y1706">
            <v>-16.632527</v>
          </cell>
        </row>
        <row r="1707">
          <cell r="B1707">
            <v>593010</v>
          </cell>
          <cell r="C1707" t="str">
            <v>NOT USED</v>
          </cell>
          <cell r="D1707" t="str">
            <v>OTHER INCOME &amp; DEDUCT - PENALTIES</v>
          </cell>
          <cell r="E1707" t="str">
            <v/>
          </cell>
          <cell r="F1707" t="str">
            <v/>
          </cell>
          <cell r="G1707" t="str">
            <v/>
          </cell>
          <cell r="H1707" t="str">
            <v/>
          </cell>
          <cell r="I1707" t="str">
            <v/>
          </cell>
          <cell r="J1707" t="str">
            <v/>
          </cell>
          <cell r="K1707" t="str">
            <v/>
          </cell>
          <cell r="L1707">
            <v>4.7499999999999999E-3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1.9799999999999999E-4</v>
          </cell>
        </row>
        <row r="1708">
          <cell r="B1708">
            <v>593015</v>
          </cell>
          <cell r="C1708" t="str">
            <v>NOT USED</v>
          </cell>
          <cell r="D1708" t="str">
            <v>OTHER INCOME &amp; DEDUCT - CIVIC AND POLITICAL.</v>
          </cell>
          <cell r="E1708" t="str">
            <v/>
          </cell>
          <cell r="F1708" t="str">
            <v/>
          </cell>
          <cell r="G1708" t="str">
            <v/>
          </cell>
          <cell r="H1708" t="str">
            <v/>
          </cell>
          <cell r="I1708" t="str">
            <v/>
          </cell>
          <cell r="J1708" t="str">
            <v/>
          </cell>
          <cell r="K1708" t="str">
            <v/>
          </cell>
          <cell r="L1708">
            <v>5</v>
          </cell>
          <cell r="M1708">
            <v>0</v>
          </cell>
          <cell r="N1708">
            <v>0</v>
          </cell>
          <cell r="O1708">
            <v>0</v>
          </cell>
          <cell r="P1708">
            <v>-178</v>
          </cell>
          <cell r="Q1708">
            <v>-173</v>
          </cell>
          <cell r="R1708">
            <v>-173</v>
          </cell>
          <cell r="S1708">
            <v>-173</v>
          </cell>
          <cell r="T1708">
            <v>-173</v>
          </cell>
          <cell r="U1708">
            <v>-173</v>
          </cell>
          <cell r="V1708">
            <v>-173</v>
          </cell>
          <cell r="W1708">
            <v>-173</v>
          </cell>
          <cell r="X1708">
            <v>-173</v>
          </cell>
          <cell r="Y1708">
            <v>-122.75</v>
          </cell>
        </row>
        <row r="1709">
          <cell r="B1709">
            <v>593020</v>
          </cell>
          <cell r="C1709" t="str">
            <v>NOT USED</v>
          </cell>
          <cell r="D1709" t="str">
            <v>OTHER INCOME &amp; DEDUCT - OUTSIDE SERVICES</v>
          </cell>
          <cell r="E1709" t="str">
            <v/>
          </cell>
          <cell r="F1709" t="str">
            <v/>
          </cell>
          <cell r="G1709" t="str">
            <v/>
          </cell>
          <cell r="H1709" t="str">
            <v/>
          </cell>
          <cell r="I1709" t="str">
            <v/>
          </cell>
          <cell r="J1709" t="str">
            <v/>
          </cell>
          <cell r="K1709" t="str">
            <v/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>
            <v>0</v>
          </cell>
        </row>
        <row r="1710">
          <cell r="B1710">
            <v>593030</v>
          </cell>
          <cell r="C1710" t="str">
            <v>NOT USED</v>
          </cell>
          <cell r="D1710" t="str">
            <v>OTHER INCOME &amp; DEDUCT - MATERIALS</v>
          </cell>
          <cell r="E1710" t="str">
            <v/>
          </cell>
          <cell r="F1710" t="str">
            <v/>
          </cell>
          <cell r="G1710" t="str">
            <v/>
          </cell>
          <cell r="H1710" t="str">
            <v/>
          </cell>
          <cell r="I1710" t="str">
            <v/>
          </cell>
          <cell r="J1710" t="str">
            <v/>
          </cell>
          <cell r="K1710" t="str">
            <v/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</row>
        <row r="1711">
          <cell r="B1711">
            <v>593040</v>
          </cell>
          <cell r="C1711" t="str">
            <v>NOT USED</v>
          </cell>
          <cell r="D1711" t="str">
            <v>OTHER INCOME &amp; DEDUCT - MISC DEDUCTIONS-COMMON</v>
          </cell>
          <cell r="E1711" t="str">
            <v/>
          </cell>
          <cell r="F1711" t="str">
            <v/>
          </cell>
          <cell r="G1711" t="str">
            <v/>
          </cell>
          <cell r="H1711" t="str">
            <v/>
          </cell>
          <cell r="I1711" t="str">
            <v/>
          </cell>
          <cell r="J1711" t="str">
            <v/>
          </cell>
          <cell r="K1711" t="str">
            <v/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</row>
        <row r="1712">
          <cell r="B1712">
            <v>593041</v>
          </cell>
          <cell r="C1712" t="str">
            <v>NOT USED</v>
          </cell>
          <cell r="D1712" t="str">
            <v>OTHER INCOME &amp; DEDUCT - GOODWILL</v>
          </cell>
          <cell r="E1712" t="str">
            <v/>
          </cell>
          <cell r="F1712" t="str">
            <v/>
          </cell>
          <cell r="G1712" t="str">
            <v/>
          </cell>
          <cell r="H1712" t="str">
            <v/>
          </cell>
          <cell r="I1712" t="str">
            <v/>
          </cell>
          <cell r="J1712" t="str">
            <v/>
          </cell>
          <cell r="K1712" t="str">
            <v/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</row>
        <row r="1713">
          <cell r="B1713">
            <v>593042</v>
          </cell>
          <cell r="C1713" t="str">
            <v>NOT USED</v>
          </cell>
          <cell r="D1713" t="str">
            <v>OTHER INCOME &amp; DEDUCT - MISC DEDUCTIONS-ELEC</v>
          </cell>
          <cell r="E1713" t="str">
            <v/>
          </cell>
          <cell r="F1713" t="str">
            <v/>
          </cell>
          <cell r="G1713" t="str">
            <v/>
          </cell>
          <cell r="H1713" t="str">
            <v/>
          </cell>
          <cell r="I1713" t="str">
            <v/>
          </cell>
          <cell r="J1713" t="str">
            <v/>
          </cell>
          <cell r="K1713" t="str">
            <v/>
          </cell>
          <cell r="L1713">
            <v>-6.6316499999999996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1.4238599999999999</v>
          </cell>
          <cell r="Y1713">
            <v>-0.21699099999999999</v>
          </cell>
        </row>
        <row r="1714">
          <cell r="B1714">
            <v>593043</v>
          </cell>
          <cell r="C1714" t="str">
            <v>NOT USED</v>
          </cell>
          <cell r="D1714" t="str">
            <v>OTHER INCOME &amp; DEDUCT - MISC DEDUCTIONS-GAS</v>
          </cell>
          <cell r="E1714" t="str">
            <v/>
          </cell>
          <cell r="F1714" t="str">
            <v/>
          </cell>
          <cell r="G1714" t="str">
            <v/>
          </cell>
          <cell r="H1714" t="str">
            <v/>
          </cell>
          <cell r="I1714" t="str">
            <v/>
          </cell>
          <cell r="J1714" t="str">
            <v/>
          </cell>
          <cell r="K1714" t="str">
            <v/>
          </cell>
          <cell r="L1714">
            <v>-3.3557800000000002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0.72050000000000003</v>
          </cell>
          <cell r="Y1714">
            <v>-0.109803</v>
          </cell>
        </row>
        <row r="1715">
          <cell r="B1715">
            <v>593044</v>
          </cell>
          <cell r="C1715" t="str">
            <v>NOT USED</v>
          </cell>
          <cell r="D1715" t="str">
            <v>OTHER INCOME &amp; DEDUCT - CUSTOMER REBATES</v>
          </cell>
          <cell r="E1715" t="str">
            <v/>
          </cell>
          <cell r="F1715" t="str">
            <v/>
          </cell>
          <cell r="G1715" t="str">
            <v/>
          </cell>
          <cell r="H1715" t="str">
            <v/>
          </cell>
          <cell r="I1715" t="str">
            <v/>
          </cell>
          <cell r="J1715" t="str">
            <v/>
          </cell>
          <cell r="K1715" t="str">
            <v/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</row>
        <row r="1716">
          <cell r="B1716">
            <v>593050</v>
          </cell>
          <cell r="C1716" t="str">
            <v>NOT USED</v>
          </cell>
          <cell r="D1716" t="str">
            <v>OTHER INCOME &amp; DEDUCT - EXECUTIVE INCENTIVE PLAN</v>
          </cell>
          <cell r="E1716" t="str">
            <v/>
          </cell>
          <cell r="F1716" t="str">
            <v/>
          </cell>
          <cell r="G1716" t="str">
            <v/>
          </cell>
          <cell r="H1716" t="str">
            <v/>
          </cell>
          <cell r="I1716" t="str">
            <v/>
          </cell>
          <cell r="J1716" t="str">
            <v/>
          </cell>
          <cell r="K1716" t="str">
            <v/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</row>
        <row r="1717">
          <cell r="B1717">
            <v>593055</v>
          </cell>
          <cell r="C1717" t="str">
            <v>NOT USED</v>
          </cell>
          <cell r="D1717" t="str">
            <v>OTHER INCOME &amp; DEDUCT - EXP OF NONUTILITY OP</v>
          </cell>
          <cell r="E1717" t="str">
            <v/>
          </cell>
          <cell r="F1717" t="str">
            <v/>
          </cell>
          <cell r="G1717" t="str">
            <v/>
          </cell>
          <cell r="H1717" t="str">
            <v/>
          </cell>
          <cell r="I1717" t="str">
            <v/>
          </cell>
          <cell r="J1717" t="str">
            <v/>
          </cell>
          <cell r="K1717" t="str">
            <v/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</row>
        <row r="1718">
          <cell r="B1718">
            <v>593066</v>
          </cell>
          <cell r="C1718" t="str">
            <v>NOT USED</v>
          </cell>
          <cell r="D1718" t="str">
            <v>OTHER INCOME &amp; DEDUCT - PROPERTY TAXES-ELECTRIC</v>
          </cell>
          <cell r="E1718" t="str">
            <v/>
          </cell>
          <cell r="F1718" t="str">
            <v/>
          </cell>
          <cell r="G1718" t="str">
            <v/>
          </cell>
          <cell r="H1718" t="str">
            <v/>
          </cell>
          <cell r="I1718" t="str">
            <v/>
          </cell>
          <cell r="J1718" t="str">
            <v/>
          </cell>
          <cell r="K1718" t="str">
            <v/>
          </cell>
          <cell r="L1718">
            <v>265.60027000000002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268.25628</v>
          </cell>
          <cell r="Y1718">
            <v>22.244022999999999</v>
          </cell>
        </row>
        <row r="1719">
          <cell r="B1719">
            <v>593067</v>
          </cell>
          <cell r="C1719" t="str">
            <v>NOT USED</v>
          </cell>
          <cell r="D1719" t="str">
            <v>OTHER INCOME &amp; DEDUCT - PROPERTY TAXES-GAS</v>
          </cell>
          <cell r="E1719" t="str">
            <v/>
          </cell>
          <cell r="F1719" t="str">
            <v/>
          </cell>
          <cell r="G1719" t="str">
            <v/>
          </cell>
          <cell r="H1719" t="str">
            <v/>
          </cell>
          <cell r="I1719" t="str">
            <v/>
          </cell>
          <cell r="J1719" t="str">
            <v/>
          </cell>
          <cell r="K1719" t="str">
            <v/>
          </cell>
          <cell r="L1719">
            <v>110.81437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111.92251</v>
          </cell>
          <cell r="Y1719">
            <v>9.2807030000000008</v>
          </cell>
        </row>
        <row r="1720">
          <cell r="B1720">
            <v>593080</v>
          </cell>
          <cell r="C1720" t="str">
            <v>NOT USED</v>
          </cell>
          <cell r="D1720" t="str">
            <v>OTHER INCOME &amp; DEDUCT - TRAVEL EXCL MEALS &amp; ENTER</v>
          </cell>
          <cell r="E1720" t="str">
            <v/>
          </cell>
          <cell r="F1720" t="str">
            <v/>
          </cell>
          <cell r="G1720" t="str">
            <v/>
          </cell>
          <cell r="H1720" t="str">
            <v/>
          </cell>
          <cell r="I1720" t="str">
            <v/>
          </cell>
          <cell r="J1720" t="str">
            <v/>
          </cell>
          <cell r="K1720" t="str">
            <v/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</row>
        <row r="1721">
          <cell r="B1721">
            <v>593085</v>
          </cell>
          <cell r="C1721" t="str">
            <v>NOT USED</v>
          </cell>
          <cell r="D1721" t="str">
            <v>OTHER INCOME &amp; DEDUCT - TRAVEL MEALS &amp; ENTERTAIN</v>
          </cell>
          <cell r="E1721" t="str">
            <v/>
          </cell>
          <cell r="F1721" t="str">
            <v/>
          </cell>
          <cell r="G1721" t="str">
            <v/>
          </cell>
          <cell r="H1721" t="str">
            <v/>
          </cell>
          <cell r="I1721" t="str">
            <v/>
          </cell>
          <cell r="J1721" t="str">
            <v/>
          </cell>
          <cell r="K1721" t="str">
            <v/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</row>
        <row r="1722">
          <cell r="B1722">
            <v>593090</v>
          </cell>
          <cell r="C1722" t="str">
            <v>NOT USED</v>
          </cell>
          <cell r="D1722" t="str">
            <v>OTHER INCOME &amp; DEDUCT - MEALS &amp; ENTER (NOT TRAVEL</v>
          </cell>
          <cell r="E1722" t="str">
            <v/>
          </cell>
          <cell r="F1722" t="str">
            <v/>
          </cell>
          <cell r="G1722" t="str">
            <v/>
          </cell>
          <cell r="H1722" t="str">
            <v/>
          </cell>
          <cell r="I1722" t="str">
            <v/>
          </cell>
          <cell r="J1722" t="str">
            <v/>
          </cell>
          <cell r="K1722" t="str">
            <v/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</row>
        <row r="1723">
          <cell r="B1723">
            <v>595099</v>
          </cell>
          <cell r="C1723" t="str">
            <v>NOT USED</v>
          </cell>
          <cell r="D1723" t="str">
            <v>BILLING / PAYMENT EXPENSES -  INTERCOMPANY</v>
          </cell>
          <cell r="E1723" t="str">
            <v/>
          </cell>
          <cell r="F1723" t="str">
            <v/>
          </cell>
          <cell r="G1723" t="str">
            <v/>
          </cell>
          <cell r="H1723" t="str">
            <v/>
          </cell>
          <cell r="I1723" t="str">
            <v/>
          </cell>
          <cell r="J1723" t="str">
            <v/>
          </cell>
          <cell r="K1723" t="str">
            <v/>
          </cell>
          <cell r="L1723">
            <v>11.601850000000001</v>
          </cell>
          <cell r="M1723">
            <v>0.23358000000000001</v>
          </cell>
          <cell r="N1723">
            <v>0.23358000000000001</v>
          </cell>
          <cell r="O1723">
            <v>0.23358000000000001</v>
          </cell>
          <cell r="P1723">
            <v>0.23358000000000001</v>
          </cell>
          <cell r="Q1723">
            <v>0.23358000000000001</v>
          </cell>
          <cell r="R1723">
            <v>0.23358000000000001</v>
          </cell>
          <cell r="S1723">
            <v>0.23358000000000001</v>
          </cell>
          <cell r="T1723">
            <v>0.23358000000000001</v>
          </cell>
          <cell r="U1723">
            <v>0.23358000000000001</v>
          </cell>
          <cell r="V1723">
            <v>0.23358000000000001</v>
          </cell>
          <cell r="W1723">
            <v>0.23358000000000001</v>
          </cell>
          <cell r="X1723">
            <v>0.23358000000000001</v>
          </cell>
          <cell r="Y1723">
            <v>0.70725800000000005</v>
          </cell>
        </row>
        <row r="1724">
          <cell r="B1724">
            <v>600000</v>
          </cell>
          <cell r="C1724" t="str">
            <v>NOT USED</v>
          </cell>
          <cell r="D1724" t="str">
            <v>AFDC - SETTLEMENT TO ASSET MANAGEMENT</v>
          </cell>
          <cell r="E1724" t="str">
            <v/>
          </cell>
          <cell r="F1724" t="str">
            <v/>
          </cell>
          <cell r="G1724" t="str">
            <v/>
          </cell>
          <cell r="H1724" t="str">
            <v/>
          </cell>
          <cell r="I1724" t="str">
            <v/>
          </cell>
          <cell r="J1724" t="str">
            <v/>
          </cell>
          <cell r="K1724" t="str">
            <v/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</row>
        <row r="1725">
          <cell r="B1725">
            <v>600001</v>
          </cell>
          <cell r="C1725" t="str">
            <v>NOT USED</v>
          </cell>
          <cell r="D1725" t="str">
            <v>MATERIALS - SETTLEMENT TO ASSET MANAGEMENT</v>
          </cell>
          <cell r="E1725" t="str">
            <v/>
          </cell>
          <cell r="F1725" t="str">
            <v/>
          </cell>
          <cell r="G1725" t="str">
            <v/>
          </cell>
          <cell r="H1725" t="str">
            <v/>
          </cell>
          <cell r="I1725" t="str">
            <v/>
          </cell>
          <cell r="J1725" t="str">
            <v/>
          </cell>
          <cell r="K1725" t="str">
            <v/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</row>
        <row r="1726">
          <cell r="B1726">
            <v>600002</v>
          </cell>
          <cell r="C1726" t="str">
            <v>NOT USED</v>
          </cell>
          <cell r="D1726" t="str">
            <v>PAYROLL &amp; WELFARE - SETTLEMENT TO ASSET MANAGEMEN</v>
          </cell>
          <cell r="E1726" t="str">
            <v/>
          </cell>
          <cell r="F1726" t="str">
            <v/>
          </cell>
          <cell r="G1726" t="str">
            <v/>
          </cell>
          <cell r="H1726" t="str">
            <v/>
          </cell>
          <cell r="I1726" t="str">
            <v/>
          </cell>
          <cell r="J1726" t="str">
            <v/>
          </cell>
          <cell r="K1726" t="str">
            <v/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</row>
        <row r="1727">
          <cell r="B1727">
            <v>600003</v>
          </cell>
          <cell r="C1727" t="str">
            <v>NOT USED</v>
          </cell>
          <cell r="D1727" t="str">
            <v>OUTSIDE SERVICES - SETTLEMENT TO ASSET MANAGEMENT</v>
          </cell>
          <cell r="E1727" t="str">
            <v/>
          </cell>
          <cell r="F1727" t="str">
            <v/>
          </cell>
          <cell r="G1727" t="str">
            <v/>
          </cell>
          <cell r="H1727" t="str">
            <v/>
          </cell>
          <cell r="I1727" t="str">
            <v/>
          </cell>
          <cell r="J1727" t="str">
            <v/>
          </cell>
          <cell r="K1727" t="str">
            <v/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</row>
        <row r="1728">
          <cell r="B1728">
            <v>600004</v>
          </cell>
          <cell r="C1728" t="str">
            <v>NOT USED</v>
          </cell>
          <cell r="D1728" t="str">
            <v>TRAVEL - SETTLEMENT TO ASSET MANAGEMENT</v>
          </cell>
          <cell r="E1728" t="str">
            <v/>
          </cell>
          <cell r="F1728" t="str">
            <v/>
          </cell>
          <cell r="G1728" t="str">
            <v/>
          </cell>
          <cell r="H1728" t="str">
            <v/>
          </cell>
          <cell r="I1728" t="str">
            <v/>
          </cell>
          <cell r="J1728" t="str">
            <v/>
          </cell>
          <cell r="K1728" t="str">
            <v/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</row>
        <row r="1729">
          <cell r="B1729">
            <v>600005</v>
          </cell>
          <cell r="C1729" t="str">
            <v>NOT USED</v>
          </cell>
          <cell r="D1729" t="str">
            <v>TRANSPORTATION - SETTLEMENT TO ASSET MANAGEMENT</v>
          </cell>
          <cell r="E1729" t="str">
            <v/>
          </cell>
          <cell r="F1729" t="str">
            <v/>
          </cell>
          <cell r="G1729" t="str">
            <v/>
          </cell>
          <cell r="H1729" t="str">
            <v/>
          </cell>
          <cell r="I1729" t="str">
            <v/>
          </cell>
          <cell r="J1729" t="str">
            <v/>
          </cell>
          <cell r="K1729" t="str">
            <v/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</row>
        <row r="1730">
          <cell r="B1730">
            <v>600006</v>
          </cell>
          <cell r="C1730" t="str">
            <v>NOT USED</v>
          </cell>
          <cell r="D1730" t="str">
            <v>CIAC - SETTLEMENT TO ASSET MANAGEMENT</v>
          </cell>
          <cell r="E1730" t="str">
            <v/>
          </cell>
          <cell r="F1730" t="str">
            <v/>
          </cell>
          <cell r="G1730" t="str">
            <v/>
          </cell>
          <cell r="H1730" t="str">
            <v/>
          </cell>
          <cell r="I1730" t="str">
            <v/>
          </cell>
          <cell r="J1730" t="str">
            <v/>
          </cell>
          <cell r="K1730" t="str">
            <v/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</row>
        <row r="1731">
          <cell r="B1731">
            <v>600007</v>
          </cell>
          <cell r="C1731" t="str">
            <v>NOT USED</v>
          </cell>
          <cell r="D1731" t="str">
            <v>TRAINING - SETTLEMENT TO ASSET MANAGEMENT</v>
          </cell>
          <cell r="E1731" t="str">
            <v/>
          </cell>
          <cell r="F1731" t="str">
            <v/>
          </cell>
          <cell r="G1731" t="str">
            <v/>
          </cell>
          <cell r="H1731" t="str">
            <v/>
          </cell>
          <cell r="I1731" t="str">
            <v/>
          </cell>
          <cell r="J1731" t="str">
            <v/>
          </cell>
          <cell r="K1731" t="str">
            <v/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</row>
        <row r="1732">
          <cell r="B1732">
            <v>600008</v>
          </cell>
          <cell r="C1732" t="str">
            <v>NOT USED</v>
          </cell>
          <cell r="D1732" t="str">
            <v>OVERHEADS - SETTLEMENT TO ASSET MANAGEMENT</v>
          </cell>
          <cell r="E1732" t="str">
            <v/>
          </cell>
          <cell r="F1732" t="str">
            <v/>
          </cell>
          <cell r="G1732" t="str">
            <v/>
          </cell>
          <cell r="H1732" t="str">
            <v/>
          </cell>
          <cell r="I1732" t="str">
            <v/>
          </cell>
          <cell r="J1732" t="str">
            <v/>
          </cell>
          <cell r="K1732" t="str">
            <v/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</row>
        <row r="1733">
          <cell r="B1733">
            <v>600009</v>
          </cell>
          <cell r="C1733" t="str">
            <v>NOT USED</v>
          </cell>
          <cell r="D1733" t="str">
            <v>LEGAL - SETTLEMENT TO ASSET MANAGEMENT</v>
          </cell>
          <cell r="E1733" t="str">
            <v/>
          </cell>
          <cell r="F1733" t="str">
            <v/>
          </cell>
          <cell r="G1733" t="str">
            <v/>
          </cell>
          <cell r="H1733" t="str">
            <v/>
          </cell>
          <cell r="I1733" t="str">
            <v/>
          </cell>
          <cell r="J1733" t="str">
            <v/>
          </cell>
          <cell r="K1733" t="str">
            <v/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</row>
        <row r="1734">
          <cell r="B1734">
            <v>600010</v>
          </cell>
          <cell r="C1734" t="str">
            <v>NOT USED</v>
          </cell>
          <cell r="D1734" t="str">
            <v>OTHER - SETTLEMENT TO ASSET MANAGEMENT</v>
          </cell>
          <cell r="E1734" t="str">
            <v/>
          </cell>
          <cell r="F1734" t="str">
            <v/>
          </cell>
          <cell r="G1734" t="str">
            <v/>
          </cell>
          <cell r="H1734" t="str">
            <v/>
          </cell>
          <cell r="I1734" t="str">
            <v/>
          </cell>
          <cell r="J1734" t="str">
            <v/>
          </cell>
          <cell r="K1734" t="str">
            <v/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</row>
        <row r="1735">
          <cell r="B1735">
            <v>600011</v>
          </cell>
          <cell r="C1735" t="str">
            <v>NOT USED</v>
          </cell>
          <cell r="D1735" t="str">
            <v>R &amp; R - SETTLEMENT TO ASSET MANAGEMENT</v>
          </cell>
          <cell r="E1735" t="str">
            <v/>
          </cell>
          <cell r="F1735" t="str">
            <v/>
          </cell>
          <cell r="G1735" t="str">
            <v/>
          </cell>
          <cell r="H1735" t="str">
            <v/>
          </cell>
          <cell r="I1735" t="str">
            <v/>
          </cell>
          <cell r="J1735" t="str">
            <v/>
          </cell>
          <cell r="K1735" t="str">
            <v/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</row>
        <row r="1736">
          <cell r="B1736">
            <v>600012</v>
          </cell>
          <cell r="C1736" t="str">
            <v>NOT USED</v>
          </cell>
          <cell r="D1736" t="str">
            <v>OTHER TAXES-ELE - SETTLEMENT TO ASSET MANAGEMENT</v>
          </cell>
          <cell r="E1736" t="str">
            <v/>
          </cell>
          <cell r="F1736" t="str">
            <v/>
          </cell>
          <cell r="G1736" t="str">
            <v/>
          </cell>
          <cell r="H1736" t="str">
            <v/>
          </cell>
          <cell r="I1736" t="str">
            <v/>
          </cell>
          <cell r="J1736" t="str">
            <v/>
          </cell>
          <cell r="K1736" t="str">
            <v/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</row>
        <row r="1737">
          <cell r="B1737">
            <v>600013</v>
          </cell>
          <cell r="C1737" t="str">
            <v>NOT USED</v>
          </cell>
          <cell r="D1737" t="str">
            <v>OTHER TAXES-GAS - SETTLEMENT TO ASSET MANAGEMENT</v>
          </cell>
          <cell r="E1737" t="str">
            <v/>
          </cell>
          <cell r="F1737" t="str">
            <v/>
          </cell>
          <cell r="G1737" t="str">
            <v/>
          </cell>
          <cell r="H1737" t="str">
            <v/>
          </cell>
          <cell r="I1737" t="str">
            <v/>
          </cell>
          <cell r="J1737" t="str">
            <v/>
          </cell>
          <cell r="K1737" t="str">
            <v/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</row>
        <row r="1738">
          <cell r="B1738">
            <v>680043</v>
          </cell>
          <cell r="C1738" t="str">
            <v>NOT USED</v>
          </cell>
          <cell r="D1738" t="str">
            <v>BENEFITS-PENSIONS-AMORTIZATION GAIN/LOSS</v>
          </cell>
          <cell r="E1738" t="str">
            <v/>
          </cell>
          <cell r="F1738" t="str">
            <v/>
          </cell>
          <cell r="G1738" t="str">
            <v/>
          </cell>
          <cell r="H1738" t="str">
            <v/>
          </cell>
          <cell r="I1738" t="str">
            <v/>
          </cell>
          <cell r="J1738" t="str">
            <v/>
          </cell>
          <cell r="K1738" t="str">
            <v/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-4458.3720800000001</v>
          </cell>
          <cell r="R1738">
            <v>-5350.0465000000004</v>
          </cell>
          <cell r="S1738">
            <v>-6241.7209199999998</v>
          </cell>
          <cell r="T1738">
            <v>-7133.39534</v>
          </cell>
          <cell r="U1738">
            <v>-8025.0697600000003</v>
          </cell>
          <cell r="V1738">
            <v>0</v>
          </cell>
          <cell r="W1738">
            <v>0</v>
          </cell>
          <cell r="X1738">
            <v>0</v>
          </cell>
          <cell r="Y1738">
            <v>-2600.7170500000002</v>
          </cell>
        </row>
        <row r="1739">
          <cell r="B1739">
            <v>680049</v>
          </cell>
          <cell r="C1739" t="str">
            <v>NOT USED</v>
          </cell>
          <cell r="D1739" t="str">
            <v>BENEFITS - WORKMEN'S COMPENSATION</v>
          </cell>
          <cell r="E1739" t="str">
            <v/>
          </cell>
          <cell r="F1739" t="str">
            <v/>
          </cell>
          <cell r="G1739" t="str">
            <v/>
          </cell>
          <cell r="H1739" t="str">
            <v/>
          </cell>
          <cell r="I1739" t="str">
            <v/>
          </cell>
          <cell r="J1739" t="str">
            <v/>
          </cell>
          <cell r="K1739" t="str">
            <v/>
          </cell>
          <cell r="U1739">
            <v>-792.53139999999996</v>
          </cell>
          <cell r="V1739">
            <v>0</v>
          </cell>
          <cell r="W1739">
            <v>0</v>
          </cell>
          <cell r="X1739">
            <v>0</v>
          </cell>
          <cell r="Y1739">
            <v>-66.044282999999993</v>
          </cell>
        </row>
        <row r="1740">
          <cell r="B1740">
            <v>680050</v>
          </cell>
          <cell r="C1740" t="str">
            <v>NOT USED</v>
          </cell>
          <cell r="D1740" t="str">
            <v>BENEFITS-OTHER</v>
          </cell>
          <cell r="E1740" t="str">
            <v/>
          </cell>
          <cell r="F1740" t="str">
            <v/>
          </cell>
          <cell r="G1740" t="str">
            <v/>
          </cell>
          <cell r="H1740" t="str">
            <v/>
          </cell>
          <cell r="I1740" t="str">
            <v/>
          </cell>
          <cell r="J1740" t="str">
            <v/>
          </cell>
          <cell r="K1740" t="str">
            <v/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-4316.2563499999997</v>
          </cell>
          <cell r="R1740">
            <v>-4997.4384099999997</v>
          </cell>
          <cell r="S1740">
            <v>-6140.5380400000004</v>
          </cell>
          <cell r="T1740">
            <v>-6505.7261099999996</v>
          </cell>
          <cell r="U1740">
            <v>-7983.2109499999997</v>
          </cell>
          <cell r="V1740">
            <v>0</v>
          </cell>
          <cell r="W1740">
            <v>0</v>
          </cell>
          <cell r="X1740">
            <v>0</v>
          </cell>
          <cell r="Y1740">
            <v>-2495.2641549999998</v>
          </cell>
        </row>
        <row r="1741">
          <cell r="B1741">
            <v>680051</v>
          </cell>
          <cell r="C1741" t="str">
            <v>NOT USED</v>
          </cell>
          <cell r="D1741" t="str">
            <v>BENEFITS-R &amp; R</v>
          </cell>
          <cell r="E1741" t="str">
            <v/>
          </cell>
          <cell r="F1741" t="str">
            <v/>
          </cell>
          <cell r="G1741" t="str">
            <v/>
          </cell>
          <cell r="H1741" t="str">
            <v/>
          </cell>
          <cell r="I1741" t="str">
            <v/>
          </cell>
          <cell r="J1741" t="str">
            <v/>
          </cell>
          <cell r="K1741" t="str">
            <v/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-2.5</v>
          </cell>
          <cell r="X1741">
            <v>-2.5</v>
          </cell>
          <cell r="Y1741">
            <v>-0.3125</v>
          </cell>
        </row>
        <row r="1742">
          <cell r="B1742">
            <v>680052</v>
          </cell>
          <cell r="C1742" t="str">
            <v>NOT USED</v>
          </cell>
          <cell r="D1742" t="str">
            <v>BENEFITS-PENSIONS-SERVICES</v>
          </cell>
          <cell r="E1742" t="str">
            <v/>
          </cell>
          <cell r="F1742" t="str">
            <v/>
          </cell>
          <cell r="G1742" t="str">
            <v/>
          </cell>
          <cell r="H1742" t="str">
            <v/>
          </cell>
          <cell r="I1742" t="str">
            <v/>
          </cell>
          <cell r="J1742" t="str">
            <v/>
          </cell>
          <cell r="K1742" t="str">
            <v/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-1870.0070800000001</v>
          </cell>
          <cell r="R1742">
            <v>-2191.4349299999999</v>
          </cell>
          <cell r="S1742">
            <v>-2249.9948100000001</v>
          </cell>
          <cell r="T1742">
            <v>-2571.4226399999998</v>
          </cell>
          <cell r="U1742">
            <v>-2906.5200300000001</v>
          </cell>
          <cell r="V1742">
            <v>0</v>
          </cell>
          <cell r="W1742">
            <v>0</v>
          </cell>
          <cell r="X1742">
            <v>0</v>
          </cell>
          <cell r="Y1742">
            <v>-982.44829100000004</v>
          </cell>
        </row>
        <row r="1743">
          <cell r="B1743">
            <v>680053</v>
          </cell>
          <cell r="C1743" t="str">
            <v>NOT USED</v>
          </cell>
          <cell r="D1743" t="str">
            <v>BENEFITS-PENSIONS-INTEREST</v>
          </cell>
          <cell r="E1743" t="str">
            <v/>
          </cell>
          <cell r="F1743" t="str">
            <v/>
          </cell>
          <cell r="G1743" t="str">
            <v/>
          </cell>
          <cell r="H1743" t="str">
            <v/>
          </cell>
          <cell r="I1743" t="str">
            <v/>
          </cell>
          <cell r="J1743" t="str">
            <v/>
          </cell>
          <cell r="K1743" t="str">
            <v/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-9041.39</v>
          </cell>
          <cell r="R1743">
            <v>-10849.668</v>
          </cell>
          <cell r="S1743">
            <v>-12657.946</v>
          </cell>
          <cell r="T1743">
            <v>-14466.224</v>
          </cell>
          <cell r="U1743">
            <v>-16274.502</v>
          </cell>
          <cell r="V1743">
            <v>0</v>
          </cell>
          <cell r="W1743">
            <v>0</v>
          </cell>
          <cell r="X1743">
            <v>0</v>
          </cell>
          <cell r="Y1743">
            <v>-5274.1441670000004</v>
          </cell>
        </row>
        <row r="1744">
          <cell r="B1744">
            <v>680054</v>
          </cell>
          <cell r="C1744" t="str">
            <v>NOT USED</v>
          </cell>
          <cell r="D1744" t="str">
            <v>BENEFITS-PENSIONS-RETURN ON ASSETS-ROA</v>
          </cell>
          <cell r="E1744" t="str">
            <v/>
          </cell>
          <cell r="F1744" t="str">
            <v/>
          </cell>
          <cell r="G1744" t="str">
            <v/>
          </cell>
          <cell r="H1744" t="str">
            <v/>
          </cell>
          <cell r="I1744" t="str">
            <v/>
          </cell>
          <cell r="J1744" t="str">
            <v/>
          </cell>
          <cell r="K1744" t="str">
            <v/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14901.559579999999</v>
          </cell>
          <cell r="R1744">
            <v>17881.871500000001</v>
          </cell>
          <cell r="S1744">
            <v>20862.183420000001</v>
          </cell>
          <cell r="T1744">
            <v>23842.495340000001</v>
          </cell>
          <cell r="U1744">
            <v>26822.807260000001</v>
          </cell>
          <cell r="V1744">
            <v>0</v>
          </cell>
          <cell r="W1744">
            <v>0</v>
          </cell>
          <cell r="X1744">
            <v>0</v>
          </cell>
          <cell r="Y1744">
            <v>8692.5764249999993</v>
          </cell>
        </row>
        <row r="1745">
          <cell r="B1745">
            <v>680056</v>
          </cell>
          <cell r="C1745" t="str">
            <v>NOT USED</v>
          </cell>
          <cell r="D1745" t="str">
            <v>BENEFITS-R &amp; R - NON CASH</v>
          </cell>
          <cell r="E1745" t="str">
            <v/>
          </cell>
          <cell r="F1745" t="str">
            <v/>
          </cell>
          <cell r="G1745" t="str">
            <v/>
          </cell>
          <cell r="H1745" t="str">
            <v/>
          </cell>
          <cell r="I1745" t="str">
            <v/>
          </cell>
          <cell r="J1745" t="str">
            <v/>
          </cell>
          <cell r="K1745" t="str">
            <v/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-0.05</v>
          </cell>
          <cell r="R1745">
            <v>-0.05</v>
          </cell>
          <cell r="S1745">
            <v>-0.05</v>
          </cell>
          <cell r="T1745">
            <v>-0.05</v>
          </cell>
          <cell r="U1745">
            <v>-0.05</v>
          </cell>
          <cell r="V1745">
            <v>-0.05</v>
          </cell>
          <cell r="W1745">
            <v>-0.05</v>
          </cell>
          <cell r="X1745">
            <v>-0.05</v>
          </cell>
          <cell r="Y1745">
            <v>-3.125E-2</v>
          </cell>
        </row>
        <row r="1746">
          <cell r="B1746">
            <v>680058</v>
          </cell>
          <cell r="C1746" t="str">
            <v>NOT USED</v>
          </cell>
          <cell r="D1746" t="str">
            <v>PAYROLL-ALL EMPLOYEE INCENTIVE PROGRAM</v>
          </cell>
          <cell r="E1746" t="str">
            <v/>
          </cell>
          <cell r="F1746" t="str">
            <v/>
          </cell>
          <cell r="G1746" t="str">
            <v/>
          </cell>
          <cell r="H1746" t="str">
            <v/>
          </cell>
          <cell r="I1746" t="str">
            <v/>
          </cell>
          <cell r="J1746" t="str">
            <v/>
          </cell>
          <cell r="K1746" t="str">
            <v/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-658.47385999999995</v>
          </cell>
          <cell r="R1746">
            <v>-776.90286000000003</v>
          </cell>
          <cell r="S1746">
            <v>-895.33186000000001</v>
          </cell>
          <cell r="T1746">
            <v>-1013.76086</v>
          </cell>
          <cell r="U1746">
            <v>-1132.18986</v>
          </cell>
          <cell r="V1746">
            <v>0</v>
          </cell>
          <cell r="W1746">
            <v>0</v>
          </cell>
          <cell r="X1746">
            <v>0</v>
          </cell>
          <cell r="Y1746">
            <v>-373.05494199999998</v>
          </cell>
        </row>
        <row r="1747">
          <cell r="B1747">
            <v>680059</v>
          </cell>
          <cell r="C1747" t="str">
            <v>NOT USED</v>
          </cell>
          <cell r="D1747" t="str">
            <v>BENEFITS - WORKMEN'S COMPENSATION-ACCRUAL</v>
          </cell>
          <cell r="E1747" t="str">
            <v/>
          </cell>
          <cell r="F1747" t="str">
            <v/>
          </cell>
          <cell r="G1747" t="str">
            <v/>
          </cell>
          <cell r="H1747" t="str">
            <v/>
          </cell>
          <cell r="I1747" t="str">
            <v/>
          </cell>
          <cell r="J1747" t="str">
            <v/>
          </cell>
          <cell r="K1747" t="str">
            <v/>
          </cell>
          <cell r="U1747">
            <v>-318.23642999999998</v>
          </cell>
          <cell r="V1747">
            <v>0</v>
          </cell>
          <cell r="W1747">
            <v>0</v>
          </cell>
          <cell r="X1747">
            <v>0</v>
          </cell>
          <cell r="Y1747">
            <v>-26.519703</v>
          </cell>
        </row>
        <row r="1748">
          <cell r="B1748">
            <v>680060</v>
          </cell>
          <cell r="C1748" t="str">
            <v>NOT USED</v>
          </cell>
          <cell r="D1748" t="str">
            <v>BILLING</v>
          </cell>
          <cell r="E1748" t="str">
            <v/>
          </cell>
          <cell r="F1748" t="str">
            <v/>
          </cell>
          <cell r="G1748" t="str">
            <v/>
          </cell>
          <cell r="H1748" t="str">
            <v/>
          </cell>
          <cell r="I1748" t="str">
            <v/>
          </cell>
          <cell r="J1748" t="str">
            <v/>
          </cell>
          <cell r="K1748" t="str">
            <v/>
          </cell>
          <cell r="L1748">
            <v>-41.223329999999997</v>
          </cell>
          <cell r="M1748">
            <v>0</v>
          </cell>
          <cell r="N1748">
            <v>-3.44699</v>
          </cell>
          <cell r="O1748">
            <v>-15.87406</v>
          </cell>
          <cell r="P1748">
            <v>-16.908180000000002</v>
          </cell>
          <cell r="Q1748">
            <v>-16.908180000000002</v>
          </cell>
          <cell r="R1748">
            <v>-18.903829999999999</v>
          </cell>
          <cell r="S1748">
            <v>-18.903829999999999</v>
          </cell>
          <cell r="T1748">
            <v>-20.74653</v>
          </cell>
          <cell r="U1748">
            <v>-24.075089999999999</v>
          </cell>
          <cell r="V1748">
            <v>-26.491689999999998</v>
          </cell>
          <cell r="W1748">
            <v>-30.5747</v>
          </cell>
          <cell r="X1748">
            <v>-30.5747</v>
          </cell>
          <cell r="Y1748">
            <v>-19.061008000000001</v>
          </cell>
        </row>
        <row r="1749">
          <cell r="B1749">
            <v>680070</v>
          </cell>
          <cell r="C1749" t="str">
            <v>NOT USED</v>
          </cell>
          <cell r="D1749" t="str">
            <v>CASH SUNDRIES</v>
          </cell>
          <cell r="E1749" t="str">
            <v/>
          </cell>
          <cell r="F1749" t="str">
            <v/>
          </cell>
          <cell r="G1749" t="str">
            <v/>
          </cell>
          <cell r="H1749" t="str">
            <v/>
          </cell>
          <cell r="I1749" t="str">
            <v/>
          </cell>
          <cell r="J1749" t="str">
            <v/>
          </cell>
          <cell r="K1749" t="str">
            <v/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</row>
        <row r="1750">
          <cell r="B1750">
            <v>680089</v>
          </cell>
          <cell r="C1750" t="str">
            <v>NOT USED</v>
          </cell>
          <cell r="D1750" t="str">
            <v>CONTRACTORS-IT CONTRACTORS</v>
          </cell>
          <cell r="E1750" t="str">
            <v/>
          </cell>
          <cell r="F1750" t="str">
            <v/>
          </cell>
          <cell r="G1750" t="str">
            <v/>
          </cell>
          <cell r="H1750" t="str">
            <v/>
          </cell>
          <cell r="I1750" t="str">
            <v/>
          </cell>
          <cell r="J1750" t="str">
            <v/>
          </cell>
          <cell r="K1750" t="str">
            <v/>
          </cell>
          <cell r="L1750">
            <v>-36.312739999999998</v>
          </cell>
          <cell r="M1750">
            <v>18.529959999999999</v>
          </cell>
          <cell r="N1750">
            <v>-58.280340000000002</v>
          </cell>
          <cell r="O1750">
            <v>-58.280340000000002</v>
          </cell>
          <cell r="P1750">
            <v>-71.930340000000001</v>
          </cell>
          <cell r="Q1750">
            <v>-95.380340000000004</v>
          </cell>
          <cell r="R1750">
            <v>-99.865340000000003</v>
          </cell>
          <cell r="S1750">
            <v>-109.76414</v>
          </cell>
          <cell r="T1750">
            <v>-149.58479</v>
          </cell>
          <cell r="U1750">
            <v>-226.33311</v>
          </cell>
          <cell r="V1750">
            <v>-257.47845000000001</v>
          </cell>
          <cell r="W1750">
            <v>-273.98905999999999</v>
          </cell>
          <cell r="X1750">
            <v>-709.97060999999997</v>
          </cell>
          <cell r="Y1750">
            <v>-146.29149699999999</v>
          </cell>
        </row>
        <row r="1751">
          <cell r="B1751">
            <v>680090</v>
          </cell>
          <cell r="C1751" t="str">
            <v>NOT USED</v>
          </cell>
          <cell r="D1751" t="str">
            <v>CONTRACTORS / OUTSIDE SERVICES</v>
          </cell>
          <cell r="E1751" t="str">
            <v/>
          </cell>
          <cell r="F1751" t="str">
            <v/>
          </cell>
          <cell r="G1751" t="str">
            <v/>
          </cell>
          <cell r="H1751" t="str">
            <v/>
          </cell>
          <cell r="I1751" t="str">
            <v/>
          </cell>
          <cell r="J1751" t="str">
            <v/>
          </cell>
          <cell r="K1751" t="str">
            <v/>
          </cell>
          <cell r="L1751">
            <v>-23834.333859999999</v>
          </cell>
          <cell r="M1751">
            <v>3454.8789999999999</v>
          </cell>
          <cell r="N1751">
            <v>-2614.9847100000002</v>
          </cell>
          <cell r="O1751">
            <v>-4928.2159499999998</v>
          </cell>
          <cell r="P1751">
            <v>-4010.1535899999999</v>
          </cell>
          <cell r="Q1751">
            <v>-7232.38627</v>
          </cell>
          <cell r="R1751">
            <v>-10836.67885</v>
          </cell>
          <cell r="S1751">
            <v>-12294.15842</v>
          </cell>
          <cell r="T1751">
            <v>-13810.872719999999</v>
          </cell>
          <cell r="U1751">
            <v>-16227.0314</v>
          </cell>
          <cell r="V1751">
            <v>-22345.219010000001</v>
          </cell>
          <cell r="W1751">
            <v>-26418.789659999999</v>
          </cell>
          <cell r="X1751">
            <v>-31612.480589999999</v>
          </cell>
          <cell r="Y1751">
            <v>-12082.251566999999</v>
          </cell>
        </row>
        <row r="1752">
          <cell r="B1752">
            <v>680093</v>
          </cell>
          <cell r="C1752" t="str">
            <v>NOT USED</v>
          </cell>
          <cell r="D1752" t="str">
            <v>CONTRACTORS - LOCATING SERVICES</v>
          </cell>
          <cell r="E1752" t="str">
            <v/>
          </cell>
          <cell r="F1752" t="str">
            <v/>
          </cell>
          <cell r="G1752" t="str">
            <v/>
          </cell>
          <cell r="H1752" t="str">
            <v/>
          </cell>
          <cell r="I1752" t="str">
            <v/>
          </cell>
          <cell r="J1752" t="str">
            <v/>
          </cell>
          <cell r="K1752" t="str">
            <v/>
          </cell>
          <cell r="L1752">
            <v>-1040.72865</v>
          </cell>
          <cell r="M1752">
            <v>0</v>
          </cell>
          <cell r="N1752">
            <v>34.365200000000002</v>
          </cell>
          <cell r="O1752">
            <v>34.365200000000002</v>
          </cell>
          <cell r="P1752">
            <v>34.365200000000002</v>
          </cell>
          <cell r="Q1752">
            <v>34.365200000000002</v>
          </cell>
          <cell r="R1752">
            <v>34.365200000000002</v>
          </cell>
          <cell r="S1752">
            <v>34.365200000000002</v>
          </cell>
          <cell r="T1752">
            <v>34.365200000000002</v>
          </cell>
          <cell r="U1752">
            <v>34.365200000000002</v>
          </cell>
          <cell r="V1752">
            <v>34.365200000000002</v>
          </cell>
          <cell r="W1752">
            <v>34.365200000000002</v>
          </cell>
          <cell r="X1752">
            <v>34.365200000000002</v>
          </cell>
          <cell r="Y1752">
            <v>-13.294143999999999</v>
          </cell>
        </row>
        <row r="1753">
          <cell r="B1753">
            <v>680095</v>
          </cell>
          <cell r="C1753" t="str">
            <v>NOT USED</v>
          </cell>
          <cell r="D1753" t="str">
            <v>CONTRACTORS LEGAL</v>
          </cell>
          <cell r="E1753" t="str">
            <v/>
          </cell>
          <cell r="F1753" t="str">
            <v/>
          </cell>
          <cell r="G1753" t="str">
            <v/>
          </cell>
          <cell r="H1753" t="str">
            <v/>
          </cell>
          <cell r="I1753" t="str">
            <v/>
          </cell>
          <cell r="J1753" t="str">
            <v/>
          </cell>
          <cell r="K1753" t="str">
            <v/>
          </cell>
          <cell r="L1753">
            <v>-92.511740000000003</v>
          </cell>
          <cell r="M1753">
            <v>1.10155</v>
          </cell>
          <cell r="N1753">
            <v>-16.411200000000001</v>
          </cell>
          <cell r="O1753">
            <v>-65.370980000000003</v>
          </cell>
          <cell r="P1753">
            <v>-121.2479</v>
          </cell>
          <cell r="Q1753">
            <v>-162.13383999999999</v>
          </cell>
          <cell r="R1753">
            <v>-182.41747000000001</v>
          </cell>
          <cell r="S1753">
            <v>-254.31618</v>
          </cell>
          <cell r="T1753">
            <v>-329.72440999999998</v>
          </cell>
          <cell r="U1753">
            <v>-331.40597000000002</v>
          </cell>
          <cell r="V1753">
            <v>-374.38247000000001</v>
          </cell>
          <cell r="W1753">
            <v>-396.39157999999998</v>
          </cell>
          <cell r="X1753">
            <v>-221.10310999999999</v>
          </cell>
          <cell r="Y1753">
            <v>-199.12565599999999</v>
          </cell>
        </row>
        <row r="1754">
          <cell r="B1754">
            <v>680096</v>
          </cell>
          <cell r="C1754" t="str">
            <v>NOT USED</v>
          </cell>
          <cell r="D1754" t="str">
            <v>CONTRACTORS-LINE CLEARANCE SERVICES</v>
          </cell>
          <cell r="E1754" t="str">
            <v/>
          </cell>
          <cell r="F1754" t="str">
            <v/>
          </cell>
          <cell r="G1754" t="str">
            <v/>
          </cell>
          <cell r="H1754" t="str">
            <v/>
          </cell>
          <cell r="I1754" t="str">
            <v/>
          </cell>
          <cell r="J1754" t="str">
            <v/>
          </cell>
          <cell r="K1754" t="str">
            <v/>
          </cell>
          <cell r="L1754">
            <v>-776.48559</v>
          </cell>
          <cell r="M1754">
            <v>-51.347999999999999</v>
          </cell>
          <cell r="N1754">
            <v>-51.347999999999999</v>
          </cell>
          <cell r="O1754">
            <v>-61.86224</v>
          </cell>
          <cell r="P1754">
            <v>-61.86224</v>
          </cell>
          <cell r="Q1754">
            <v>-239.11277000000001</v>
          </cell>
          <cell r="R1754">
            <v>-200.33476999999999</v>
          </cell>
          <cell r="S1754">
            <v>-249.87326999999999</v>
          </cell>
          <cell r="T1754">
            <v>-365.20704999999998</v>
          </cell>
          <cell r="U1754">
            <v>-488.14652999999998</v>
          </cell>
          <cell r="V1754">
            <v>-545.43352000000004</v>
          </cell>
          <cell r="W1754">
            <v>-596.45198000000005</v>
          </cell>
          <cell r="X1754">
            <v>-597.53628000000003</v>
          </cell>
          <cell r="Y1754">
            <v>-299.83260899999999</v>
          </cell>
        </row>
        <row r="1755">
          <cell r="B1755">
            <v>680097</v>
          </cell>
          <cell r="C1755" t="str">
            <v>NOT USED</v>
          </cell>
          <cell r="D1755" t="str">
            <v>CONTRACTORS-ENVIRONMENTAL SERVICES</v>
          </cell>
          <cell r="E1755" t="str">
            <v/>
          </cell>
          <cell r="F1755" t="str">
            <v/>
          </cell>
          <cell r="G1755" t="str">
            <v/>
          </cell>
          <cell r="H1755" t="str">
            <v/>
          </cell>
          <cell r="I1755" t="str">
            <v/>
          </cell>
          <cell r="J1755" t="str">
            <v/>
          </cell>
          <cell r="K1755" t="str">
            <v/>
          </cell>
          <cell r="L1755">
            <v>-295.67302999999998</v>
          </cell>
          <cell r="M1755">
            <v>-14.656499999999999</v>
          </cell>
          <cell r="N1755">
            <v>-43.944459999999999</v>
          </cell>
          <cell r="O1755">
            <v>-117.48390000000001</v>
          </cell>
          <cell r="P1755">
            <v>-179.42354</v>
          </cell>
          <cell r="Q1755">
            <v>-256.62178999999998</v>
          </cell>
          <cell r="R1755">
            <v>-230.74705</v>
          </cell>
          <cell r="S1755">
            <v>-240.94363000000001</v>
          </cell>
          <cell r="T1755">
            <v>-258.15996999999999</v>
          </cell>
          <cell r="U1755">
            <v>-290.37356999999997</v>
          </cell>
          <cell r="V1755">
            <v>-324.02911999999998</v>
          </cell>
          <cell r="W1755">
            <v>-380.07808</v>
          </cell>
          <cell r="X1755">
            <v>-375.81180999999998</v>
          </cell>
          <cell r="Y1755">
            <v>-222.68366900000001</v>
          </cell>
        </row>
        <row r="1756">
          <cell r="B1756">
            <v>680098</v>
          </cell>
          <cell r="C1756" t="str">
            <v>NOT USED</v>
          </cell>
          <cell r="D1756" t="str">
            <v>CONTRACTORS-ELECTRIC CONSTRUCTION SERVICES</v>
          </cell>
          <cell r="E1756" t="str">
            <v/>
          </cell>
          <cell r="F1756" t="str">
            <v/>
          </cell>
          <cell r="G1756" t="str">
            <v/>
          </cell>
          <cell r="H1756" t="str">
            <v/>
          </cell>
          <cell r="I1756" t="str">
            <v/>
          </cell>
          <cell r="J1756" t="str">
            <v/>
          </cell>
          <cell r="K1756" t="str">
            <v/>
          </cell>
          <cell r="L1756">
            <v>-10190.72114</v>
          </cell>
          <cell r="M1756">
            <v>-924.49491999999998</v>
          </cell>
          <cell r="N1756">
            <v>-1032.03981</v>
          </cell>
          <cell r="O1756">
            <v>-4123.8714200000004</v>
          </cell>
          <cell r="P1756">
            <v>-7086.1104599999999</v>
          </cell>
          <cell r="Q1756">
            <v>-8828.7703099999999</v>
          </cell>
          <cell r="R1756">
            <v>-10793.36024</v>
          </cell>
          <cell r="S1756">
            <v>-12196.09165</v>
          </cell>
          <cell r="T1756">
            <v>-16014.11238</v>
          </cell>
          <cell r="U1756">
            <v>-17287.428230000001</v>
          </cell>
          <cell r="V1756">
            <v>-19813.57214</v>
          </cell>
          <cell r="W1756">
            <v>-21980.70552</v>
          </cell>
          <cell r="X1756">
            <v>-31370.139940000001</v>
          </cell>
          <cell r="Y1756">
            <v>-11738.415634999999</v>
          </cell>
        </row>
        <row r="1757">
          <cell r="B1757">
            <v>680099</v>
          </cell>
          <cell r="C1757" t="str">
            <v>NOT USED</v>
          </cell>
          <cell r="D1757" t="str">
            <v>CONTRACTORS-GAS CONSTRUCTION SERVICES</v>
          </cell>
          <cell r="E1757" t="str">
            <v/>
          </cell>
          <cell r="F1757" t="str">
            <v/>
          </cell>
          <cell r="G1757" t="str">
            <v/>
          </cell>
          <cell r="H1757" t="str">
            <v/>
          </cell>
          <cell r="I1757" t="str">
            <v/>
          </cell>
          <cell r="J1757" t="str">
            <v/>
          </cell>
          <cell r="K1757" t="str">
            <v/>
          </cell>
          <cell r="L1757">
            <v>-10182.594660000001</v>
          </cell>
          <cell r="M1757">
            <v>-126.55188</v>
          </cell>
          <cell r="N1757">
            <v>-679.75649999999996</v>
          </cell>
          <cell r="O1757">
            <v>-1490.4490699999999</v>
          </cell>
          <cell r="P1757">
            <v>-2343.6826799999999</v>
          </cell>
          <cell r="Q1757">
            <v>-3535.1327500000002</v>
          </cell>
          <cell r="R1757">
            <v>-5197.3226599999998</v>
          </cell>
          <cell r="S1757">
            <v>-6387.5070800000003</v>
          </cell>
          <cell r="T1757">
            <v>-8089.5348800000002</v>
          </cell>
          <cell r="U1757">
            <v>-9724.9752900000003</v>
          </cell>
          <cell r="V1757">
            <v>-11951.853209999999</v>
          </cell>
          <cell r="W1757">
            <v>-13387.671689999999</v>
          </cell>
          <cell r="X1757">
            <v>-16877.84404</v>
          </cell>
          <cell r="Y1757">
            <v>-6370.3880870000003</v>
          </cell>
        </row>
        <row r="1758">
          <cell r="B1758">
            <v>680100</v>
          </cell>
          <cell r="C1758" t="str">
            <v>NOT USED</v>
          </cell>
          <cell r="D1758" t="str">
            <v>CORPORATE TAX-AUTO</v>
          </cell>
          <cell r="E1758" t="str">
            <v/>
          </cell>
          <cell r="F1758" t="str">
            <v/>
          </cell>
          <cell r="G1758" t="str">
            <v/>
          </cell>
          <cell r="H1758" t="str">
            <v/>
          </cell>
          <cell r="I1758" t="str">
            <v/>
          </cell>
          <cell r="J1758" t="str">
            <v/>
          </cell>
          <cell r="K1758" t="str">
            <v/>
          </cell>
          <cell r="L1758">
            <v>0</v>
          </cell>
          <cell r="M1758">
            <v>-29.71236</v>
          </cell>
          <cell r="N1758">
            <v>-39.353879999999997</v>
          </cell>
          <cell r="O1758">
            <v>-39.353879999999997</v>
          </cell>
          <cell r="P1758">
            <v>-39.353879999999997</v>
          </cell>
          <cell r="Q1758">
            <v>-39.353879999999997</v>
          </cell>
          <cell r="R1758">
            <v>-39.353879999999997</v>
          </cell>
          <cell r="S1758">
            <v>-39.353879999999997</v>
          </cell>
          <cell r="T1758">
            <v>-39.353879999999997</v>
          </cell>
          <cell r="U1758">
            <v>-39.353879999999997</v>
          </cell>
          <cell r="V1758">
            <v>-39.353879999999997</v>
          </cell>
          <cell r="W1758">
            <v>-39.353879999999997</v>
          </cell>
          <cell r="X1758">
            <v>-39.353879999999997</v>
          </cell>
          <cell r="Y1758">
            <v>-36.910674999999998</v>
          </cell>
        </row>
        <row r="1759">
          <cell r="B1759">
            <v>680120</v>
          </cell>
          <cell r="C1759" t="str">
            <v>NOT USED</v>
          </cell>
          <cell r="D1759" t="str">
            <v>MEMBERSHIPS &amp; SUBSCRIPTIONS</v>
          </cell>
          <cell r="E1759" t="str">
            <v/>
          </cell>
          <cell r="F1759" t="str">
            <v/>
          </cell>
          <cell r="G1759" t="str">
            <v/>
          </cell>
          <cell r="H1759" t="str">
            <v/>
          </cell>
          <cell r="I1759" t="str">
            <v/>
          </cell>
          <cell r="J1759" t="str">
            <v/>
          </cell>
          <cell r="K1759" t="str">
            <v/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</row>
        <row r="1760">
          <cell r="B1760">
            <v>680130</v>
          </cell>
          <cell r="C1760" t="str">
            <v>NOT USED</v>
          </cell>
          <cell r="D1760" t="str">
            <v>FEES-OTHER</v>
          </cell>
          <cell r="E1760" t="str">
            <v/>
          </cell>
          <cell r="F1760" t="str">
            <v/>
          </cell>
          <cell r="G1760" t="str">
            <v/>
          </cell>
          <cell r="H1760" t="str">
            <v/>
          </cell>
          <cell r="I1760" t="str">
            <v/>
          </cell>
          <cell r="J1760" t="str">
            <v/>
          </cell>
          <cell r="K1760" t="str">
            <v/>
          </cell>
          <cell r="L1760">
            <v>-100.69195000000001</v>
          </cell>
          <cell r="M1760">
            <v>-12.03983</v>
          </cell>
          <cell r="N1760">
            <v>-22.623570000000001</v>
          </cell>
          <cell r="O1760">
            <v>-31.47805</v>
          </cell>
          <cell r="P1760">
            <v>-45.302050000000001</v>
          </cell>
          <cell r="Q1760">
            <v>-84.860470000000007</v>
          </cell>
          <cell r="R1760">
            <v>-132.64259000000001</v>
          </cell>
          <cell r="S1760">
            <v>-111.16797</v>
          </cell>
          <cell r="T1760">
            <v>-153.15076999999999</v>
          </cell>
          <cell r="U1760">
            <v>-188.94560999999999</v>
          </cell>
          <cell r="V1760">
            <v>-211.12459000000001</v>
          </cell>
          <cell r="W1760">
            <v>-231.99789000000001</v>
          </cell>
          <cell r="X1760">
            <v>-245.05949000000001</v>
          </cell>
          <cell r="Y1760">
            <v>-116.517426</v>
          </cell>
        </row>
        <row r="1761">
          <cell r="B1761">
            <v>680146</v>
          </cell>
          <cell r="C1761" t="str">
            <v>NOT USED</v>
          </cell>
          <cell r="D1761" t="str">
            <v>CONTRACTORS FLAGGING</v>
          </cell>
          <cell r="E1761">
            <v>0</v>
          </cell>
        </row>
        <row r="1762">
          <cell r="B1762">
            <v>680147</v>
          </cell>
          <cell r="C1762" t="str">
            <v>NOT USED</v>
          </cell>
          <cell r="D1762" t="str">
            <v>CONTRACTORS OTHERS</v>
          </cell>
          <cell r="E1762">
            <v>0</v>
          </cell>
        </row>
        <row r="1763">
          <cell r="B1763">
            <v>680150</v>
          </cell>
          <cell r="C1763" t="str">
            <v>NOT USED</v>
          </cell>
          <cell r="D1763" t="str">
            <v>FUEL FOR HEATING - OIL</v>
          </cell>
          <cell r="E1763" t="str">
            <v/>
          </cell>
          <cell r="F1763" t="str">
            <v/>
          </cell>
          <cell r="G1763" t="str">
            <v/>
          </cell>
          <cell r="H1763" t="str">
            <v/>
          </cell>
          <cell r="I1763" t="str">
            <v/>
          </cell>
          <cell r="J1763" t="str">
            <v/>
          </cell>
          <cell r="K1763" t="str">
            <v/>
          </cell>
          <cell r="L1763">
            <v>-1.4E-2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-5.8299999999999997E-4</v>
          </cell>
        </row>
        <row r="1764">
          <cell r="B1764">
            <v>680160</v>
          </cell>
          <cell r="C1764" t="str">
            <v>NOT USED</v>
          </cell>
          <cell r="D1764" t="str">
            <v>FUEL FOR HEATING - PROPANE</v>
          </cell>
          <cell r="E1764" t="str">
            <v/>
          </cell>
          <cell r="F1764" t="str">
            <v/>
          </cell>
          <cell r="G1764" t="str">
            <v/>
          </cell>
          <cell r="H1764" t="str">
            <v/>
          </cell>
          <cell r="I1764" t="str">
            <v/>
          </cell>
          <cell r="J1764" t="str">
            <v/>
          </cell>
          <cell r="K1764" t="str">
            <v/>
          </cell>
          <cell r="L1764">
            <v>0</v>
          </cell>
          <cell r="M1764">
            <v>0</v>
          </cell>
          <cell r="N1764">
            <v>0</v>
          </cell>
          <cell r="O1764">
            <v>-0.28894999999999998</v>
          </cell>
          <cell r="P1764">
            <v>-0.28894999999999998</v>
          </cell>
          <cell r="Q1764">
            <v>-0.22599</v>
          </cell>
          <cell r="R1764">
            <v>-0.22599</v>
          </cell>
          <cell r="S1764">
            <v>-0.22599</v>
          </cell>
          <cell r="T1764">
            <v>-0.22599</v>
          </cell>
          <cell r="U1764">
            <v>-0.22599</v>
          </cell>
          <cell r="V1764">
            <v>-0.22599</v>
          </cell>
          <cell r="W1764">
            <v>-0.22599</v>
          </cell>
          <cell r="X1764">
            <v>-0.22599</v>
          </cell>
          <cell r="Y1764">
            <v>-0.18940199999999999</v>
          </cell>
        </row>
        <row r="1765">
          <cell r="B1765">
            <v>680180</v>
          </cell>
          <cell r="C1765" t="str">
            <v>NOT USED</v>
          </cell>
          <cell r="D1765" t="str">
            <v>FUEL-DIESEL FOR VEH</v>
          </cell>
          <cell r="E1765" t="str">
            <v/>
          </cell>
          <cell r="F1765" t="str">
            <v/>
          </cell>
          <cell r="G1765" t="str">
            <v/>
          </cell>
          <cell r="H1765" t="str">
            <v/>
          </cell>
          <cell r="I1765" t="str">
            <v/>
          </cell>
          <cell r="J1765" t="str">
            <v/>
          </cell>
          <cell r="K1765" t="str">
            <v/>
          </cell>
          <cell r="L1765">
            <v>-8.0210000000000008</v>
          </cell>
          <cell r="M1765">
            <v>-0.31461</v>
          </cell>
          <cell r="N1765">
            <v>-0.31461</v>
          </cell>
          <cell r="O1765">
            <v>-0.31461</v>
          </cell>
          <cell r="P1765">
            <v>-0.31461</v>
          </cell>
          <cell r="Q1765">
            <v>-0.31461</v>
          </cell>
          <cell r="R1765">
            <v>-0.31461</v>
          </cell>
          <cell r="S1765">
            <v>-0.31461</v>
          </cell>
          <cell r="T1765">
            <v>-0.31461</v>
          </cell>
          <cell r="U1765">
            <v>-0.31461</v>
          </cell>
          <cell r="V1765">
            <v>-0.31461</v>
          </cell>
          <cell r="W1765">
            <v>-0.31461</v>
          </cell>
          <cell r="X1765">
            <v>-0.90761000000000003</v>
          </cell>
          <cell r="Y1765">
            <v>-0.66041799999999995</v>
          </cell>
        </row>
        <row r="1766">
          <cell r="B1766">
            <v>680190</v>
          </cell>
          <cell r="C1766" t="str">
            <v>NOT USED</v>
          </cell>
          <cell r="D1766" t="str">
            <v>FUEL-GASOLINE FOR VEH</v>
          </cell>
          <cell r="E1766" t="str">
            <v/>
          </cell>
          <cell r="F1766" t="str">
            <v/>
          </cell>
          <cell r="G1766" t="str">
            <v/>
          </cell>
          <cell r="H1766" t="str">
            <v/>
          </cell>
          <cell r="I1766" t="str">
            <v/>
          </cell>
          <cell r="J1766" t="str">
            <v/>
          </cell>
          <cell r="K1766" t="str">
            <v/>
          </cell>
          <cell r="L1766">
            <v>-0.27744000000000002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-0.16742000000000001</v>
          </cell>
          <cell r="R1766">
            <v>-0.21751999999999999</v>
          </cell>
          <cell r="S1766">
            <v>-0.21751999999999999</v>
          </cell>
          <cell r="T1766">
            <v>-0.21751999999999999</v>
          </cell>
          <cell r="U1766">
            <v>-0.21751999999999999</v>
          </cell>
          <cell r="V1766">
            <v>-0.21751999999999999</v>
          </cell>
          <cell r="W1766">
            <v>-0.21751999999999999</v>
          </cell>
          <cell r="X1766">
            <v>-0.21751999999999999</v>
          </cell>
          <cell r="Y1766">
            <v>-0.14333499999999999</v>
          </cell>
        </row>
        <row r="1767">
          <cell r="B1767">
            <v>680205</v>
          </cell>
          <cell r="C1767" t="str">
            <v>NOT USED</v>
          </cell>
          <cell r="D1767" t="str">
            <v>HARDWARE</v>
          </cell>
          <cell r="E1767" t="str">
            <v/>
          </cell>
          <cell r="F1767" t="str">
            <v/>
          </cell>
          <cell r="G1767" t="str">
            <v/>
          </cell>
          <cell r="H1767" t="str">
            <v/>
          </cell>
          <cell r="I1767" t="str">
            <v/>
          </cell>
          <cell r="J1767" t="str">
            <v/>
          </cell>
          <cell r="K1767" t="str">
            <v/>
          </cell>
          <cell r="L1767">
            <v>-1178.49386</v>
          </cell>
          <cell r="M1767">
            <v>-29.327539999999999</v>
          </cell>
          <cell r="N1767">
            <v>-29.418489999999998</v>
          </cell>
          <cell r="O1767">
            <v>-38.270110000000003</v>
          </cell>
          <cell r="P1767">
            <v>-388.87477999999999</v>
          </cell>
          <cell r="Q1767">
            <v>-617.32421999999997</v>
          </cell>
          <cell r="R1767">
            <v>-619.73960999999997</v>
          </cell>
          <cell r="S1767">
            <v>-692.64398000000006</v>
          </cell>
          <cell r="T1767">
            <v>-768.42363999999998</v>
          </cell>
          <cell r="U1767">
            <v>-906.41623000000004</v>
          </cell>
          <cell r="V1767">
            <v>-1324.95012</v>
          </cell>
          <cell r="W1767">
            <v>-1379.3233600000001</v>
          </cell>
          <cell r="X1767">
            <v>-3079.5806600000001</v>
          </cell>
          <cell r="Y1767">
            <v>-743.64577799999995</v>
          </cell>
        </row>
        <row r="1768">
          <cell r="B1768">
            <v>680240</v>
          </cell>
          <cell r="C1768" t="str">
            <v>NOT USED</v>
          </cell>
          <cell r="D1768" t="str">
            <v>LABOR-STRAIGHT TIME</v>
          </cell>
          <cell r="E1768" t="str">
            <v/>
          </cell>
          <cell r="F1768" t="str">
            <v/>
          </cell>
          <cell r="G1768" t="str">
            <v/>
          </cell>
          <cell r="H1768" t="str">
            <v/>
          </cell>
          <cell r="I1768" t="str">
            <v/>
          </cell>
          <cell r="J1768" t="str">
            <v/>
          </cell>
          <cell r="K1768" t="str">
            <v/>
          </cell>
          <cell r="L1768">
            <v>-8021.82906</v>
          </cell>
          <cell r="M1768">
            <v>-814.54678000000001</v>
          </cell>
          <cell r="N1768">
            <v>-1555.8936699999999</v>
          </cell>
          <cell r="O1768">
            <v>-2341.7030800000002</v>
          </cell>
          <cell r="P1768">
            <v>-3095.5653499999999</v>
          </cell>
          <cell r="Q1768">
            <v>-3908.0700499999998</v>
          </cell>
          <cell r="R1768">
            <v>-4585.4888000000001</v>
          </cell>
          <cell r="S1768">
            <v>-5240.7714900000001</v>
          </cell>
          <cell r="T1768">
            <v>-6045.4428699999999</v>
          </cell>
          <cell r="U1768">
            <v>-6636.8551699999998</v>
          </cell>
          <cell r="V1768">
            <v>-7565.7773699999998</v>
          </cell>
          <cell r="W1768">
            <v>-8164.0430900000001</v>
          </cell>
          <cell r="X1768">
            <v>-8874.3838899999992</v>
          </cell>
          <cell r="Y1768">
            <v>-4866.8553499999998</v>
          </cell>
        </row>
        <row r="1769">
          <cell r="B1769">
            <v>680244</v>
          </cell>
          <cell r="C1769" t="str">
            <v>NOT USED</v>
          </cell>
          <cell r="D1769" t="str">
            <v>GENERAL-VACATION PAY ACCRUAL</v>
          </cell>
          <cell r="E1769" t="str">
            <v/>
          </cell>
          <cell r="F1769" t="str">
            <v/>
          </cell>
          <cell r="G1769" t="str">
            <v/>
          </cell>
          <cell r="H1769" t="str">
            <v/>
          </cell>
          <cell r="I1769" t="str">
            <v/>
          </cell>
          <cell r="J1769" t="str">
            <v/>
          </cell>
          <cell r="K1769" t="str">
            <v/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</row>
        <row r="1770">
          <cell r="B1770">
            <v>680250</v>
          </cell>
          <cell r="C1770" t="str">
            <v>NOT USED</v>
          </cell>
          <cell r="D1770" t="str">
            <v>LABOR-OVERTIME</v>
          </cell>
          <cell r="E1770" t="str">
            <v/>
          </cell>
          <cell r="F1770" t="str">
            <v/>
          </cell>
          <cell r="G1770" t="str">
            <v/>
          </cell>
          <cell r="H1770" t="str">
            <v/>
          </cell>
          <cell r="I1770" t="str">
            <v/>
          </cell>
          <cell r="J1770" t="str">
            <v/>
          </cell>
          <cell r="K1770" t="str">
            <v/>
          </cell>
          <cell r="L1770">
            <v>-1810.44245</v>
          </cell>
          <cell r="M1770">
            <v>-214.31379000000001</v>
          </cell>
          <cell r="N1770">
            <v>-423.22212000000002</v>
          </cell>
          <cell r="O1770">
            <v>-623.36742000000004</v>
          </cell>
          <cell r="P1770">
            <v>-796.29506000000003</v>
          </cell>
          <cell r="Q1770">
            <v>-929.24099999999999</v>
          </cell>
          <cell r="R1770">
            <v>-1047.50344</v>
          </cell>
          <cell r="S1770">
            <v>-1138.2815599999999</v>
          </cell>
          <cell r="T1770">
            <v>-1296.6421700000001</v>
          </cell>
          <cell r="U1770">
            <v>-1438.6276800000001</v>
          </cell>
          <cell r="V1770">
            <v>-1657.7816399999999</v>
          </cell>
          <cell r="W1770">
            <v>-1805.1068499999999</v>
          </cell>
          <cell r="X1770">
            <v>-1984.5339799999999</v>
          </cell>
          <cell r="Y1770">
            <v>-1105.6559119999999</v>
          </cell>
        </row>
        <row r="1771">
          <cell r="B1771">
            <v>680255</v>
          </cell>
          <cell r="C1771" t="str">
            <v>NOT USED</v>
          </cell>
          <cell r="D1771" t="str">
            <v>LABOR-RECLASS - OVERTIME</v>
          </cell>
          <cell r="E1771" t="str">
            <v/>
          </cell>
          <cell r="F1771" t="str">
            <v/>
          </cell>
          <cell r="G1771" t="str">
            <v/>
          </cell>
          <cell r="H1771" t="str">
            <v/>
          </cell>
          <cell r="I1771" t="str">
            <v/>
          </cell>
          <cell r="J1771" t="str">
            <v/>
          </cell>
          <cell r="K1771" t="str">
            <v/>
          </cell>
          <cell r="L1771">
            <v>0</v>
          </cell>
          <cell r="M1771">
            <v>0</v>
          </cell>
          <cell r="N1771">
            <v>1.618E-2</v>
          </cell>
          <cell r="O1771">
            <v>0.22276000000000001</v>
          </cell>
          <cell r="P1771">
            <v>0.22276000000000001</v>
          </cell>
          <cell r="Q1771">
            <v>0.22276000000000001</v>
          </cell>
          <cell r="R1771">
            <v>-21.526160000000001</v>
          </cell>
          <cell r="S1771">
            <v>-21.526160000000001</v>
          </cell>
          <cell r="T1771">
            <v>-21.469100000000001</v>
          </cell>
          <cell r="U1771">
            <v>-21.469100000000001</v>
          </cell>
          <cell r="V1771">
            <v>-21.469100000000001</v>
          </cell>
          <cell r="W1771">
            <v>-21.469100000000001</v>
          </cell>
          <cell r="X1771">
            <v>-21.469100000000001</v>
          </cell>
          <cell r="Y1771">
            <v>-11.581568000000001</v>
          </cell>
        </row>
        <row r="1772">
          <cell r="B1772">
            <v>680260</v>
          </cell>
          <cell r="C1772" t="str">
            <v>NOT USED</v>
          </cell>
          <cell r="D1772" t="str">
            <v>LABOR-DOUBLE OVERTIME</v>
          </cell>
          <cell r="E1772" t="str">
            <v/>
          </cell>
          <cell r="F1772" t="str">
            <v/>
          </cell>
          <cell r="G1772" t="str">
            <v/>
          </cell>
          <cell r="H1772" t="str">
            <v/>
          </cell>
          <cell r="I1772" t="str">
            <v/>
          </cell>
          <cell r="J1772" t="str">
            <v/>
          </cell>
          <cell r="K1772" t="str">
            <v/>
          </cell>
          <cell r="L1772">
            <v>-299.60523000000001</v>
          </cell>
          <cell r="M1772">
            <v>-34.872230000000002</v>
          </cell>
          <cell r="N1772">
            <v>-93.637249999999995</v>
          </cell>
          <cell r="O1772">
            <v>-167.14407</v>
          </cell>
          <cell r="P1772">
            <v>-188.91748999999999</v>
          </cell>
          <cell r="Q1772">
            <v>-214.46732</v>
          </cell>
          <cell r="R1772">
            <v>-220.58098000000001</v>
          </cell>
          <cell r="S1772">
            <v>-224.35203000000001</v>
          </cell>
          <cell r="T1772">
            <v>-272.71444000000002</v>
          </cell>
          <cell r="U1772">
            <v>-305.07427999999999</v>
          </cell>
          <cell r="V1772">
            <v>-361.14325000000002</v>
          </cell>
          <cell r="W1772">
            <v>-381.99070999999998</v>
          </cell>
          <cell r="X1772">
            <v>-444.88218999999998</v>
          </cell>
          <cell r="Y1772">
            <v>-236.428147</v>
          </cell>
        </row>
        <row r="1773">
          <cell r="B1773">
            <v>680270</v>
          </cell>
          <cell r="C1773" t="str">
            <v>NOT USED</v>
          </cell>
          <cell r="D1773" t="str">
            <v>LABOR-DOUBLE OVERTIME &amp; HALF</v>
          </cell>
          <cell r="E1773" t="str">
            <v/>
          </cell>
          <cell r="F1773" t="str">
            <v/>
          </cell>
          <cell r="G1773" t="str">
            <v/>
          </cell>
          <cell r="H1773" t="str">
            <v/>
          </cell>
          <cell r="I1773" t="str">
            <v/>
          </cell>
          <cell r="J1773" t="str">
            <v/>
          </cell>
          <cell r="K1773" t="str">
            <v/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</row>
        <row r="1774">
          <cell r="B1774">
            <v>680280</v>
          </cell>
          <cell r="C1774" t="str">
            <v>NOT USED</v>
          </cell>
          <cell r="D1774" t="str">
            <v>LABOR-MEALS</v>
          </cell>
          <cell r="E1774" t="str">
            <v/>
          </cell>
          <cell r="F1774" t="str">
            <v/>
          </cell>
          <cell r="G1774" t="str">
            <v/>
          </cell>
          <cell r="H1774" t="str">
            <v/>
          </cell>
          <cell r="I1774" t="str">
            <v/>
          </cell>
          <cell r="J1774" t="str">
            <v/>
          </cell>
          <cell r="K1774" t="str">
            <v/>
          </cell>
          <cell r="L1774">
            <v>-0.108</v>
          </cell>
          <cell r="M1774">
            <v>-3.5999999999999997E-2</v>
          </cell>
          <cell r="N1774">
            <v>-3.5999999999999997E-2</v>
          </cell>
          <cell r="O1774">
            <v>-4.8000000000000001E-2</v>
          </cell>
          <cell r="P1774">
            <v>-7.1999999999999995E-2</v>
          </cell>
          <cell r="Q1774">
            <v>-7.1999999999999995E-2</v>
          </cell>
          <cell r="R1774">
            <v>-0.10730000000000001</v>
          </cell>
          <cell r="S1774">
            <v>-0.1193</v>
          </cell>
          <cell r="T1774">
            <v>-0.1193</v>
          </cell>
          <cell r="U1774">
            <v>-0.1193</v>
          </cell>
          <cell r="V1774">
            <v>-0.1313</v>
          </cell>
          <cell r="W1774">
            <v>-0.1313</v>
          </cell>
          <cell r="X1774">
            <v>-0.13830000000000001</v>
          </cell>
          <cell r="Y1774">
            <v>-9.2912999999999996E-2</v>
          </cell>
        </row>
        <row r="1775">
          <cell r="B1775">
            <v>680290</v>
          </cell>
          <cell r="C1775" t="str">
            <v>NOT USED</v>
          </cell>
          <cell r="D1775" t="str">
            <v>LABOR-PER DIEM</v>
          </cell>
          <cell r="E1775" t="str">
            <v/>
          </cell>
          <cell r="F1775" t="str">
            <v/>
          </cell>
          <cell r="G1775" t="str">
            <v/>
          </cell>
          <cell r="H1775" t="str">
            <v/>
          </cell>
          <cell r="I1775" t="str">
            <v/>
          </cell>
          <cell r="J1775" t="str">
            <v/>
          </cell>
          <cell r="K1775" t="str">
            <v/>
          </cell>
          <cell r="L1775">
            <v>-54.0777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-8.1000000000000003E-2</v>
          </cell>
          <cell r="T1775">
            <v>-8.8999999999999996E-2</v>
          </cell>
          <cell r="U1775">
            <v>-8.8999999999999996E-2</v>
          </cell>
          <cell r="V1775">
            <v>-0.125</v>
          </cell>
          <cell r="W1775">
            <v>-0.17899999999999999</v>
          </cell>
          <cell r="X1775">
            <v>-0.23300000000000001</v>
          </cell>
          <cell r="Y1775">
            <v>-2.309863</v>
          </cell>
        </row>
        <row r="1776">
          <cell r="B1776">
            <v>680291</v>
          </cell>
          <cell r="C1776" t="str">
            <v>NOT USED</v>
          </cell>
          <cell r="D1776" t="str">
            <v>PER DIEM</v>
          </cell>
          <cell r="E1776" t="str">
            <v/>
          </cell>
          <cell r="F1776" t="str">
            <v/>
          </cell>
          <cell r="G1776" t="str">
            <v/>
          </cell>
          <cell r="H1776" t="str">
            <v/>
          </cell>
          <cell r="I1776" t="str">
            <v/>
          </cell>
          <cell r="J1776" t="str">
            <v/>
          </cell>
          <cell r="K1776" t="str">
            <v/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</row>
        <row r="1777">
          <cell r="B1777">
            <v>680298</v>
          </cell>
          <cell r="C1777" t="str">
            <v>NOT USED</v>
          </cell>
          <cell r="D1777" t="str">
            <v>LABOR-STRAIGHT TIME - OT @ 1.0</v>
          </cell>
          <cell r="E1777">
            <v>0</v>
          </cell>
        </row>
        <row r="1778">
          <cell r="B1778">
            <v>680300</v>
          </cell>
          <cell r="C1778" t="str">
            <v>NOT USED</v>
          </cell>
          <cell r="D1778" t="str">
            <v>LABOR-PERSONAL MILES</v>
          </cell>
          <cell r="E1778" t="str">
            <v/>
          </cell>
          <cell r="F1778" t="str">
            <v/>
          </cell>
          <cell r="G1778" t="str">
            <v/>
          </cell>
          <cell r="H1778" t="str">
            <v/>
          </cell>
          <cell r="I1778" t="str">
            <v/>
          </cell>
          <cell r="J1778" t="str">
            <v/>
          </cell>
          <cell r="K1778" t="str">
            <v/>
          </cell>
          <cell r="L1778">
            <v>-27.71902</v>
          </cell>
          <cell r="M1778">
            <v>-1.20705</v>
          </cell>
          <cell r="N1778">
            <v>-2.3216299999999999</v>
          </cell>
          <cell r="O1778">
            <v>-3.2094100000000001</v>
          </cell>
          <cell r="P1778">
            <v>-4.1887699999999999</v>
          </cell>
          <cell r="Q1778">
            <v>-5.0370400000000002</v>
          </cell>
          <cell r="R1778">
            <v>-5.8926800000000004</v>
          </cell>
          <cell r="S1778">
            <v>-6.3795900000000003</v>
          </cell>
          <cell r="T1778">
            <v>-8.5977999999999994</v>
          </cell>
          <cell r="U1778">
            <v>-9.6243300000000005</v>
          </cell>
          <cell r="V1778">
            <v>-11.16797</v>
          </cell>
          <cell r="W1778">
            <v>-12.24652</v>
          </cell>
          <cell r="X1778">
            <v>-13.71598</v>
          </cell>
          <cell r="Y1778">
            <v>-7.5491910000000004</v>
          </cell>
        </row>
        <row r="1779">
          <cell r="B1779">
            <v>680310</v>
          </cell>
          <cell r="C1779" t="str">
            <v>NOT USED</v>
          </cell>
          <cell r="D1779" t="str">
            <v>MATERIALS-STOCK</v>
          </cell>
          <cell r="E1779" t="str">
            <v/>
          </cell>
          <cell r="F1779" t="str">
            <v/>
          </cell>
          <cell r="G1779" t="str">
            <v/>
          </cell>
          <cell r="H1779" t="str">
            <v/>
          </cell>
          <cell r="I1779" t="str">
            <v/>
          </cell>
          <cell r="J1779" t="str">
            <v/>
          </cell>
          <cell r="K1779" t="str">
            <v/>
          </cell>
          <cell r="L1779">
            <v>-14532.78054</v>
          </cell>
          <cell r="M1779">
            <v>-723.02773999999999</v>
          </cell>
          <cell r="N1779">
            <v>-2268.21254</v>
          </cell>
          <cell r="O1779">
            <v>-2865.7647299999999</v>
          </cell>
          <cell r="P1779">
            <v>-3484.1028099999999</v>
          </cell>
          <cell r="Q1779">
            <v>-4095.3110900000001</v>
          </cell>
          <cell r="R1779">
            <v>-4962.6394399999999</v>
          </cell>
          <cell r="S1779">
            <v>-6597.6984499999999</v>
          </cell>
          <cell r="T1779">
            <v>-7963.1185400000004</v>
          </cell>
          <cell r="U1779">
            <v>-8683.9777300000005</v>
          </cell>
          <cell r="V1779">
            <v>-9681.2863300000008</v>
          </cell>
          <cell r="W1779">
            <v>-10683.09232</v>
          </cell>
          <cell r="X1779">
            <v>-14889.044019999999</v>
          </cell>
          <cell r="Y1779">
            <v>-6393.2619999999997</v>
          </cell>
        </row>
        <row r="1780">
          <cell r="B1780">
            <v>680320</v>
          </cell>
          <cell r="C1780" t="str">
            <v>NOT USED</v>
          </cell>
          <cell r="D1780" t="str">
            <v>MATERIALS - NON-STOCK</v>
          </cell>
          <cell r="E1780" t="str">
            <v/>
          </cell>
          <cell r="F1780" t="str">
            <v/>
          </cell>
          <cell r="G1780" t="str">
            <v/>
          </cell>
          <cell r="H1780" t="str">
            <v/>
          </cell>
          <cell r="I1780" t="str">
            <v/>
          </cell>
          <cell r="J1780" t="str">
            <v/>
          </cell>
          <cell r="K1780" t="str">
            <v/>
          </cell>
          <cell r="L1780">
            <v>-23807.462869999999</v>
          </cell>
          <cell r="M1780">
            <v>1321.9048399999999</v>
          </cell>
          <cell r="N1780">
            <v>833.16660999999999</v>
          </cell>
          <cell r="O1780">
            <v>463.92192999999997</v>
          </cell>
          <cell r="P1780">
            <v>229.15886</v>
          </cell>
          <cell r="Q1780">
            <v>-91.060140000000004</v>
          </cell>
          <cell r="R1780">
            <v>-736.17592000000002</v>
          </cell>
          <cell r="S1780">
            <v>-1224.6703399999999</v>
          </cell>
          <cell r="T1780">
            <v>-4401.5508900000004</v>
          </cell>
          <cell r="U1780">
            <v>-8372.9921400000003</v>
          </cell>
          <cell r="V1780">
            <v>-9204.7745200000008</v>
          </cell>
          <cell r="W1780">
            <v>-12483.81259</v>
          </cell>
          <cell r="X1780">
            <v>-26209.526620000001</v>
          </cell>
          <cell r="Y1780">
            <v>-4889.61492</v>
          </cell>
        </row>
        <row r="1781">
          <cell r="B1781">
            <v>680340</v>
          </cell>
          <cell r="C1781" t="str">
            <v>NOT USED</v>
          </cell>
          <cell r="D1781" t="str">
            <v>MATERIALS-FREIGHT CHARGES</v>
          </cell>
          <cell r="E1781" t="str">
            <v/>
          </cell>
          <cell r="F1781" t="str">
            <v/>
          </cell>
          <cell r="G1781" t="str">
            <v/>
          </cell>
          <cell r="H1781" t="str">
            <v/>
          </cell>
          <cell r="I1781" t="str">
            <v/>
          </cell>
          <cell r="J1781" t="str">
            <v/>
          </cell>
          <cell r="K1781" t="str">
            <v/>
          </cell>
          <cell r="L1781">
            <v>-104.07338</v>
          </cell>
          <cell r="M1781">
            <v>-6.1752000000000002</v>
          </cell>
          <cell r="N1781">
            <v>-8.9896999999999991</v>
          </cell>
          <cell r="O1781">
            <v>-14.8172</v>
          </cell>
          <cell r="P1781">
            <v>-17.497949999999999</v>
          </cell>
          <cell r="Q1781">
            <v>-23.538450000000001</v>
          </cell>
          <cell r="R1781">
            <v>-25.238949999999999</v>
          </cell>
          <cell r="S1781">
            <v>-27.53445</v>
          </cell>
          <cell r="T1781">
            <v>-30.072700000000001</v>
          </cell>
          <cell r="U1781">
            <v>-31.14545</v>
          </cell>
          <cell r="V1781">
            <v>-31.953199999999999</v>
          </cell>
          <cell r="W1781">
            <v>-32.845950000000002</v>
          </cell>
          <cell r="X1781">
            <v>-35.534199999999998</v>
          </cell>
          <cell r="Y1781">
            <v>-26.634416000000002</v>
          </cell>
        </row>
        <row r="1782">
          <cell r="B1782">
            <v>680350</v>
          </cell>
          <cell r="C1782" t="str">
            <v>NOT USED</v>
          </cell>
          <cell r="D1782" t="str">
            <v>MATERIALS-RECLASS</v>
          </cell>
          <cell r="E1782" t="str">
            <v/>
          </cell>
          <cell r="F1782" t="str">
            <v/>
          </cell>
          <cell r="G1782" t="str">
            <v/>
          </cell>
          <cell r="H1782" t="str">
            <v/>
          </cell>
          <cell r="I1782" t="str">
            <v/>
          </cell>
          <cell r="J1782" t="str">
            <v/>
          </cell>
          <cell r="K1782" t="str">
            <v/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</row>
        <row r="1783">
          <cell r="B1783">
            <v>680360</v>
          </cell>
          <cell r="C1783" t="str">
            <v>NOT USED</v>
          </cell>
          <cell r="D1783" t="str">
            <v>MATERIALS-SCRAP / OBSOLETE</v>
          </cell>
          <cell r="E1783" t="str">
            <v/>
          </cell>
          <cell r="F1783" t="str">
            <v/>
          </cell>
          <cell r="G1783" t="str">
            <v/>
          </cell>
          <cell r="H1783" t="str">
            <v/>
          </cell>
          <cell r="I1783" t="str">
            <v/>
          </cell>
          <cell r="J1783" t="str">
            <v/>
          </cell>
          <cell r="K1783" t="str">
            <v/>
          </cell>
          <cell r="L1783">
            <v>-5.7000000000000002E-3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-2.3800000000000001E-4</v>
          </cell>
        </row>
        <row r="1784">
          <cell r="B1784">
            <v>680370</v>
          </cell>
          <cell r="C1784" t="str">
            <v>NOT USED</v>
          </cell>
          <cell r="D1784" t="str">
            <v>MATERIALS-TRANSFORMERS/REGULATORS/METERS</v>
          </cell>
          <cell r="E1784" t="str">
            <v/>
          </cell>
          <cell r="F1784" t="str">
            <v/>
          </cell>
          <cell r="G1784" t="str">
            <v/>
          </cell>
          <cell r="H1784" t="str">
            <v/>
          </cell>
          <cell r="I1784" t="str">
            <v/>
          </cell>
          <cell r="J1784" t="str">
            <v/>
          </cell>
          <cell r="K1784" t="str">
            <v/>
          </cell>
          <cell r="L1784">
            <v>-5369.3757800000003</v>
          </cell>
          <cell r="M1784">
            <v>-281.00567000000001</v>
          </cell>
          <cell r="N1784">
            <v>-531.01306999999997</v>
          </cell>
          <cell r="O1784">
            <v>-740.31655000000001</v>
          </cell>
          <cell r="P1784">
            <v>-1085.62156</v>
          </cell>
          <cell r="Q1784">
            <v>-1458.61824</v>
          </cell>
          <cell r="R1784">
            <v>-1699.40662</v>
          </cell>
          <cell r="S1784">
            <v>-2073.4837200000002</v>
          </cell>
          <cell r="T1784">
            <v>-2310.0588400000001</v>
          </cell>
          <cell r="U1784">
            <v>-2674.52666</v>
          </cell>
          <cell r="V1784">
            <v>-3072.0272799999998</v>
          </cell>
          <cell r="W1784">
            <v>-3695.4074000000001</v>
          </cell>
          <cell r="X1784">
            <v>-4444.5500400000001</v>
          </cell>
          <cell r="Y1784">
            <v>-2044.0373770000001</v>
          </cell>
        </row>
        <row r="1785">
          <cell r="B1785">
            <v>680380</v>
          </cell>
          <cell r="C1785" t="str">
            <v>NOT USED</v>
          </cell>
          <cell r="D1785" t="str">
            <v>OFFICE SUPPLIES</v>
          </cell>
          <cell r="E1785" t="str">
            <v/>
          </cell>
          <cell r="F1785" t="str">
            <v/>
          </cell>
          <cell r="G1785" t="str">
            <v/>
          </cell>
          <cell r="H1785" t="str">
            <v/>
          </cell>
          <cell r="I1785" t="str">
            <v/>
          </cell>
          <cell r="J1785" t="str">
            <v/>
          </cell>
          <cell r="K1785" t="str">
            <v/>
          </cell>
          <cell r="L1785">
            <v>-1.2738</v>
          </cell>
          <cell r="M1785">
            <v>0</v>
          </cell>
          <cell r="N1785">
            <v>-0.60699000000000003</v>
          </cell>
          <cell r="O1785">
            <v>-0.92152000000000001</v>
          </cell>
          <cell r="P1785">
            <v>-0.92152000000000001</v>
          </cell>
          <cell r="Q1785">
            <v>-1.23203</v>
          </cell>
          <cell r="R1785">
            <v>-1.4724200000000001</v>
          </cell>
          <cell r="S1785">
            <v>-3.6423299999999998</v>
          </cell>
          <cell r="T1785">
            <v>-3.6004499999999999</v>
          </cell>
          <cell r="U1785">
            <v>-3.6004499999999999</v>
          </cell>
          <cell r="V1785">
            <v>-5.4401999999999999</v>
          </cell>
          <cell r="W1785">
            <v>-6.3214800000000002</v>
          </cell>
          <cell r="X1785">
            <v>-7.0287300000000004</v>
          </cell>
          <cell r="Y1785">
            <v>-2.6592210000000001</v>
          </cell>
        </row>
        <row r="1786">
          <cell r="B1786">
            <v>680384</v>
          </cell>
          <cell r="C1786" t="str">
            <v>NOT USED</v>
          </cell>
          <cell r="D1786" t="str">
            <v>GENERAL  -EQUIPMENT MAINTENANCE</v>
          </cell>
          <cell r="E1786">
            <v>0</v>
          </cell>
        </row>
        <row r="1787">
          <cell r="B1787">
            <v>680385</v>
          </cell>
          <cell r="C1787" t="str">
            <v>NOT USED</v>
          </cell>
          <cell r="D1787" t="str">
            <v>GENERAL  -FURNITURE &amp; EQUIPMENT</v>
          </cell>
          <cell r="E1787" t="str">
            <v/>
          </cell>
          <cell r="F1787" t="str">
            <v/>
          </cell>
          <cell r="G1787" t="str">
            <v/>
          </cell>
          <cell r="H1787" t="str">
            <v/>
          </cell>
          <cell r="I1787" t="str">
            <v/>
          </cell>
          <cell r="J1787" t="str">
            <v/>
          </cell>
          <cell r="K1787" t="str">
            <v/>
          </cell>
          <cell r="L1787">
            <v>-299.22719000000001</v>
          </cell>
          <cell r="M1787">
            <v>0</v>
          </cell>
          <cell r="N1787">
            <v>-11.89621</v>
          </cell>
          <cell r="O1787">
            <v>-11.89621</v>
          </cell>
          <cell r="P1787">
            <v>-11.89621</v>
          </cell>
          <cell r="Q1787">
            <v>-679.29620999999997</v>
          </cell>
          <cell r="R1787">
            <v>-697.69618000000003</v>
          </cell>
          <cell r="S1787">
            <v>-714.84918000000005</v>
          </cell>
          <cell r="T1787">
            <v>-714.84918000000005</v>
          </cell>
          <cell r="U1787">
            <v>-735.92740000000003</v>
          </cell>
          <cell r="V1787">
            <v>-773.50387999999998</v>
          </cell>
          <cell r="W1787">
            <v>-772.83866999999998</v>
          </cell>
          <cell r="X1787">
            <v>-835.64013999999997</v>
          </cell>
          <cell r="Y1787">
            <v>-474.34025000000003</v>
          </cell>
        </row>
        <row r="1788">
          <cell r="B1788">
            <v>680390</v>
          </cell>
          <cell r="C1788" t="str">
            <v>NOT USED</v>
          </cell>
          <cell r="D1788" t="str">
            <v>OTHER GENERAL EXPENSES</v>
          </cell>
          <cell r="E1788" t="str">
            <v/>
          </cell>
          <cell r="F1788" t="str">
            <v/>
          </cell>
          <cell r="G1788" t="str">
            <v/>
          </cell>
          <cell r="H1788" t="str">
            <v/>
          </cell>
          <cell r="I1788" t="str">
            <v/>
          </cell>
          <cell r="J1788" t="str">
            <v/>
          </cell>
          <cell r="K1788" t="str">
            <v/>
          </cell>
          <cell r="L1788">
            <v>-931.83740999999998</v>
          </cell>
          <cell r="M1788">
            <v>0</v>
          </cell>
          <cell r="N1788">
            <v>-0.20898</v>
          </cell>
          <cell r="O1788">
            <v>-39.727910000000001</v>
          </cell>
          <cell r="P1788">
            <v>-40.152909999999999</v>
          </cell>
          <cell r="Q1788">
            <v>-95.96481</v>
          </cell>
          <cell r="R1788">
            <v>-119.67331</v>
          </cell>
          <cell r="S1788">
            <v>-122.19038999999999</v>
          </cell>
          <cell r="T1788">
            <v>-156.59810999999999</v>
          </cell>
          <cell r="U1788">
            <v>-202.24571</v>
          </cell>
          <cell r="V1788">
            <v>-55.438679999999998</v>
          </cell>
          <cell r="W1788">
            <v>-59.928669999999997</v>
          </cell>
          <cell r="X1788">
            <v>-184.09352000000001</v>
          </cell>
          <cell r="Y1788">
            <v>-120.841245</v>
          </cell>
        </row>
        <row r="1789">
          <cell r="B1789">
            <v>680410</v>
          </cell>
          <cell r="C1789" t="str">
            <v>NOT USED</v>
          </cell>
          <cell r="D1789" t="str">
            <v>LICENSES &amp; PERMITS</v>
          </cell>
          <cell r="E1789" t="str">
            <v/>
          </cell>
          <cell r="F1789" t="str">
            <v/>
          </cell>
          <cell r="G1789" t="str">
            <v/>
          </cell>
          <cell r="H1789" t="str">
            <v/>
          </cell>
          <cell r="I1789" t="str">
            <v/>
          </cell>
          <cell r="J1789" t="str">
            <v/>
          </cell>
          <cell r="K1789" t="str">
            <v/>
          </cell>
          <cell r="L1789">
            <v>-113.70384</v>
          </cell>
          <cell r="M1789">
            <v>0</v>
          </cell>
          <cell r="N1789">
            <v>-1.3218000000000001</v>
          </cell>
          <cell r="O1789">
            <v>-12.8218</v>
          </cell>
          <cell r="P1789">
            <v>-15.3218</v>
          </cell>
          <cell r="Q1789">
            <v>-8.8217999999999996</v>
          </cell>
          <cell r="R1789">
            <v>-8.8217999999999996</v>
          </cell>
          <cell r="S1789">
            <v>-15.796799999999999</v>
          </cell>
          <cell r="T1789">
            <v>-16.396799999999999</v>
          </cell>
          <cell r="U1789">
            <v>-19.146799999999999</v>
          </cell>
          <cell r="V1789">
            <v>-19.221800000000002</v>
          </cell>
          <cell r="W1789">
            <v>-19.221800000000002</v>
          </cell>
          <cell r="X1789">
            <v>-21.651800000000001</v>
          </cell>
          <cell r="Y1789">
            <v>-17.047567999999998</v>
          </cell>
        </row>
        <row r="1790">
          <cell r="B1790">
            <v>680411</v>
          </cell>
          <cell r="C1790" t="str">
            <v>NOT USED</v>
          </cell>
          <cell r="D1790" t="str">
            <v>GENERAL-VEHICLE REGISTRATION FEES</v>
          </cell>
          <cell r="E1790" t="str">
            <v/>
          </cell>
          <cell r="F1790" t="str">
            <v/>
          </cell>
          <cell r="G1790" t="str">
            <v/>
          </cell>
          <cell r="H1790" t="str">
            <v/>
          </cell>
          <cell r="I1790" t="str">
            <v/>
          </cell>
          <cell r="J1790" t="str">
            <v/>
          </cell>
          <cell r="K1790" t="str">
            <v/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</row>
        <row r="1791">
          <cell r="B1791">
            <v>680420</v>
          </cell>
          <cell r="C1791" t="str">
            <v>NOT USED</v>
          </cell>
          <cell r="D1791" t="str">
            <v>TELEPHONE</v>
          </cell>
          <cell r="E1791" t="str">
            <v/>
          </cell>
          <cell r="F1791" t="str">
            <v/>
          </cell>
          <cell r="G1791" t="str">
            <v/>
          </cell>
          <cell r="H1791" t="str">
            <v/>
          </cell>
          <cell r="I1791" t="str">
            <v/>
          </cell>
          <cell r="J1791" t="str">
            <v/>
          </cell>
          <cell r="K1791" t="str">
            <v/>
          </cell>
          <cell r="L1791">
            <v>-32.460239999999999</v>
          </cell>
          <cell r="M1791">
            <v>0</v>
          </cell>
          <cell r="N1791">
            <v>-1.79149</v>
          </cell>
          <cell r="O1791">
            <v>-2.43601</v>
          </cell>
          <cell r="P1791">
            <v>-2.43601</v>
          </cell>
          <cell r="Q1791">
            <v>-2.7994699999999999</v>
          </cell>
          <cell r="R1791">
            <v>-2.7994699999999999</v>
          </cell>
          <cell r="S1791">
            <v>-2.7994699999999999</v>
          </cell>
          <cell r="T1791">
            <v>-2.7994699999999999</v>
          </cell>
          <cell r="U1791">
            <v>-2.7994699999999999</v>
          </cell>
          <cell r="V1791">
            <v>-2.7994699999999999</v>
          </cell>
          <cell r="W1791">
            <v>-2.7994699999999999</v>
          </cell>
          <cell r="X1791">
            <v>-2.7994699999999999</v>
          </cell>
          <cell r="Y1791">
            <v>-3.6574710000000001</v>
          </cell>
        </row>
        <row r="1792">
          <cell r="B1792">
            <v>680430</v>
          </cell>
          <cell r="C1792" t="str">
            <v>NOT USED</v>
          </cell>
          <cell r="D1792" t="str">
            <v>POSTAGE</v>
          </cell>
          <cell r="E1792" t="str">
            <v/>
          </cell>
          <cell r="F1792" t="str">
            <v/>
          </cell>
          <cell r="G1792" t="str">
            <v/>
          </cell>
          <cell r="H1792" t="str">
            <v/>
          </cell>
          <cell r="I1792" t="str">
            <v/>
          </cell>
          <cell r="J1792" t="str">
            <v/>
          </cell>
          <cell r="K1792" t="str">
            <v/>
          </cell>
          <cell r="L1792">
            <v>-2.36666</v>
          </cell>
          <cell r="M1792">
            <v>0</v>
          </cell>
          <cell r="N1792">
            <v>0</v>
          </cell>
          <cell r="O1792">
            <v>-0.49102000000000001</v>
          </cell>
          <cell r="P1792">
            <v>-0.94669999999999999</v>
          </cell>
          <cell r="Q1792">
            <v>-1.1322000000000001</v>
          </cell>
          <cell r="R1792">
            <v>-1.3572</v>
          </cell>
          <cell r="S1792">
            <v>-1.3572</v>
          </cell>
          <cell r="T1792">
            <v>-1.8562000000000001</v>
          </cell>
          <cell r="U1792">
            <v>-1.8562000000000001</v>
          </cell>
          <cell r="V1792">
            <v>-1.8562000000000001</v>
          </cell>
          <cell r="W1792">
            <v>-2.0661999999999998</v>
          </cell>
          <cell r="X1792">
            <v>-1.2988299999999999</v>
          </cell>
          <cell r="Y1792">
            <v>-1.229322</v>
          </cell>
        </row>
        <row r="1793">
          <cell r="B1793">
            <v>680440</v>
          </cell>
          <cell r="C1793" t="str">
            <v>NOT USED</v>
          </cell>
          <cell r="D1793" t="str">
            <v>R&amp;D</v>
          </cell>
          <cell r="E1793" t="str">
            <v/>
          </cell>
          <cell r="F1793" t="str">
            <v/>
          </cell>
          <cell r="G1793" t="str">
            <v/>
          </cell>
          <cell r="H1793" t="str">
            <v/>
          </cell>
          <cell r="I1793" t="str">
            <v/>
          </cell>
          <cell r="J1793" t="str">
            <v/>
          </cell>
          <cell r="K1793" t="str">
            <v/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5.7042900000000003</v>
          </cell>
          <cell r="S1793">
            <v>5.7042900000000003</v>
          </cell>
          <cell r="T1793">
            <v>5.7042900000000003</v>
          </cell>
          <cell r="U1793">
            <v>5.7042900000000003</v>
          </cell>
          <cell r="V1793">
            <v>5.7042900000000003</v>
          </cell>
          <cell r="W1793">
            <v>-114.77094</v>
          </cell>
          <cell r="X1793">
            <v>-320.95486</v>
          </cell>
          <cell r="Y1793">
            <v>-20.560576999999999</v>
          </cell>
        </row>
        <row r="1794">
          <cell r="B1794">
            <v>680445</v>
          </cell>
          <cell r="C1794" t="str">
            <v>NOT USED</v>
          </cell>
          <cell r="D1794" t="str">
            <v>RECLASS-OTHER</v>
          </cell>
          <cell r="E1794" t="str">
            <v/>
          </cell>
          <cell r="F1794" t="str">
            <v/>
          </cell>
          <cell r="G1794" t="str">
            <v/>
          </cell>
          <cell r="H1794" t="str">
            <v/>
          </cell>
          <cell r="I1794" t="str">
            <v/>
          </cell>
          <cell r="J1794" t="str">
            <v/>
          </cell>
          <cell r="K1794" t="str">
            <v/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</row>
        <row r="1795">
          <cell r="B1795">
            <v>680446</v>
          </cell>
          <cell r="C1795" t="str">
            <v>NOT USED</v>
          </cell>
          <cell r="D1795" t="str">
            <v>RECLASS-OTHER-GENERAL</v>
          </cell>
          <cell r="E1795" t="str">
            <v/>
          </cell>
          <cell r="F1795" t="str">
            <v/>
          </cell>
          <cell r="G1795" t="str">
            <v/>
          </cell>
          <cell r="H1795" t="str">
            <v/>
          </cell>
          <cell r="I1795" t="str">
            <v/>
          </cell>
          <cell r="J1795" t="str">
            <v/>
          </cell>
          <cell r="K1795" t="str">
            <v/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-1483.2532200000001</v>
          </cell>
          <cell r="Y1795">
            <v>-61.802218000000003</v>
          </cell>
        </row>
        <row r="1796">
          <cell r="B1796">
            <v>680447</v>
          </cell>
          <cell r="C1796" t="str">
            <v>NOT USED</v>
          </cell>
          <cell r="D1796" t="str">
            <v>BILLING</v>
          </cell>
          <cell r="E1796" t="str">
            <v/>
          </cell>
          <cell r="F1796" t="str">
            <v/>
          </cell>
          <cell r="G1796" t="str">
            <v/>
          </cell>
          <cell r="H1796" t="str">
            <v/>
          </cell>
          <cell r="I1796" t="str">
            <v/>
          </cell>
          <cell r="J1796" t="str">
            <v/>
          </cell>
          <cell r="K1796" t="str">
            <v/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</row>
        <row r="1797">
          <cell r="B1797">
            <v>680460</v>
          </cell>
          <cell r="C1797" t="str">
            <v>NOT USED</v>
          </cell>
          <cell r="D1797" t="str">
            <v>RENTS/LEASES - FACILITIES</v>
          </cell>
          <cell r="E1797" t="str">
            <v/>
          </cell>
          <cell r="F1797" t="str">
            <v/>
          </cell>
          <cell r="G1797" t="str">
            <v/>
          </cell>
          <cell r="H1797" t="str">
            <v/>
          </cell>
          <cell r="I1797" t="str">
            <v/>
          </cell>
          <cell r="J1797" t="str">
            <v/>
          </cell>
          <cell r="K1797" t="str">
            <v/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</row>
        <row r="1798">
          <cell r="B1798">
            <v>680461</v>
          </cell>
          <cell r="C1798" t="str">
            <v>NOT USED</v>
          </cell>
          <cell r="D1798" t="str">
            <v>RENTS/LEASES</v>
          </cell>
          <cell r="E1798" t="str">
            <v/>
          </cell>
          <cell r="F1798" t="str">
            <v/>
          </cell>
          <cell r="G1798" t="str">
            <v/>
          </cell>
          <cell r="H1798" t="str">
            <v/>
          </cell>
          <cell r="I1798" t="str">
            <v/>
          </cell>
          <cell r="J1798" t="str">
            <v/>
          </cell>
          <cell r="K1798" t="str">
            <v/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-24.555</v>
          </cell>
          <cell r="V1798">
            <v>-32.555</v>
          </cell>
          <cell r="W1798">
            <v>-40.555</v>
          </cell>
          <cell r="X1798">
            <v>-48.555</v>
          </cell>
          <cell r="Y1798">
            <v>-10.161875</v>
          </cell>
        </row>
        <row r="1799">
          <cell r="B1799">
            <v>680463</v>
          </cell>
          <cell r="C1799" t="str">
            <v>NOT USED</v>
          </cell>
          <cell r="D1799" t="str">
            <v>GENERAL  - COMMUNICATIONS</v>
          </cell>
          <cell r="E1799">
            <v>0</v>
          </cell>
        </row>
        <row r="1800">
          <cell r="B1800">
            <v>680470</v>
          </cell>
          <cell r="C1800" t="str">
            <v>NOT USED</v>
          </cell>
          <cell r="D1800" t="str">
            <v>RENTS/LEASES - OTHER</v>
          </cell>
          <cell r="E1800" t="str">
            <v/>
          </cell>
          <cell r="F1800" t="str">
            <v/>
          </cell>
          <cell r="G1800" t="str">
            <v/>
          </cell>
          <cell r="H1800" t="str">
            <v/>
          </cell>
          <cell r="I1800" t="str">
            <v/>
          </cell>
          <cell r="J1800" t="str">
            <v/>
          </cell>
          <cell r="K1800" t="str">
            <v/>
          </cell>
          <cell r="L1800">
            <v>-1772.8357599999999</v>
          </cell>
          <cell r="M1800">
            <v>30.268429999999999</v>
          </cell>
          <cell r="N1800">
            <v>-40.361319999999999</v>
          </cell>
          <cell r="O1800">
            <v>-611.05701999999997</v>
          </cell>
          <cell r="P1800">
            <v>-564.69476999999995</v>
          </cell>
          <cell r="Q1800">
            <v>-637.30386999999996</v>
          </cell>
          <cell r="R1800">
            <v>-648.23361999999997</v>
          </cell>
          <cell r="S1800">
            <v>-678.94593999999995</v>
          </cell>
          <cell r="T1800">
            <v>-720.01912000000004</v>
          </cell>
          <cell r="U1800">
            <v>-714.48653000000002</v>
          </cell>
          <cell r="V1800">
            <v>-735.41877999999997</v>
          </cell>
          <cell r="W1800">
            <v>-765.37674000000004</v>
          </cell>
          <cell r="X1800">
            <v>-1537.13552</v>
          </cell>
          <cell r="Y1800">
            <v>-645.051243</v>
          </cell>
        </row>
        <row r="1801">
          <cell r="B1801">
            <v>680480</v>
          </cell>
          <cell r="C1801" t="str">
            <v>NOT USED</v>
          </cell>
          <cell r="D1801" t="str">
            <v>SALVAGE</v>
          </cell>
          <cell r="E1801" t="str">
            <v/>
          </cell>
          <cell r="F1801" t="str">
            <v/>
          </cell>
          <cell r="G1801" t="str">
            <v/>
          </cell>
          <cell r="H1801" t="str">
            <v/>
          </cell>
          <cell r="I1801" t="str">
            <v/>
          </cell>
          <cell r="J1801" t="str">
            <v/>
          </cell>
          <cell r="K1801" t="str">
            <v/>
          </cell>
          <cell r="L1801">
            <v>9463.1669500000007</v>
          </cell>
          <cell r="M1801">
            <v>218.7131</v>
          </cell>
          <cell r="N1801">
            <v>291.60831999999999</v>
          </cell>
          <cell r="O1801">
            <v>613.38427999999999</v>
          </cell>
          <cell r="P1801">
            <v>980.82950000000005</v>
          </cell>
          <cell r="Q1801">
            <v>1062.4073699999999</v>
          </cell>
          <cell r="R1801">
            <v>1572.1124299999999</v>
          </cell>
          <cell r="S1801">
            <v>1534.80719</v>
          </cell>
          <cell r="T1801">
            <v>2056.10862</v>
          </cell>
          <cell r="U1801">
            <v>2665.6780600000002</v>
          </cell>
          <cell r="V1801">
            <v>3182.2671399999999</v>
          </cell>
          <cell r="W1801">
            <v>3554.23855</v>
          </cell>
          <cell r="X1801">
            <v>3728.1131599999999</v>
          </cell>
          <cell r="Y1801">
            <v>2027.3162179999999</v>
          </cell>
        </row>
        <row r="1802">
          <cell r="B1802">
            <v>680490</v>
          </cell>
          <cell r="C1802" t="str">
            <v>NOT USED</v>
          </cell>
          <cell r="D1802" t="str">
            <v>SOFTWARE</v>
          </cell>
          <cell r="E1802" t="str">
            <v/>
          </cell>
          <cell r="F1802" t="str">
            <v/>
          </cell>
          <cell r="G1802" t="str">
            <v/>
          </cell>
          <cell r="H1802" t="str">
            <v/>
          </cell>
          <cell r="I1802" t="str">
            <v/>
          </cell>
          <cell r="J1802" t="str">
            <v/>
          </cell>
          <cell r="K1802" t="str">
            <v/>
          </cell>
          <cell r="L1802">
            <v>-376.37173000000001</v>
          </cell>
          <cell r="M1802">
            <v>0</v>
          </cell>
          <cell r="N1802">
            <v>0</v>
          </cell>
          <cell r="O1802">
            <v>0.46250000000000002</v>
          </cell>
          <cell r="P1802">
            <v>0.46250000000000002</v>
          </cell>
          <cell r="Q1802">
            <v>0.46250000000000002</v>
          </cell>
          <cell r="R1802">
            <v>0.46250000000000002</v>
          </cell>
          <cell r="S1802">
            <v>-45.081420000000001</v>
          </cell>
          <cell r="T1802">
            <v>-47.191330000000001</v>
          </cell>
          <cell r="U1802">
            <v>-49.994329999999998</v>
          </cell>
          <cell r="V1802">
            <v>-91.779579999999996</v>
          </cell>
          <cell r="W1802">
            <v>-94.304140000000004</v>
          </cell>
          <cell r="X1802">
            <v>-46.964619999999996</v>
          </cell>
          <cell r="Y1802">
            <v>-44.847414999999998</v>
          </cell>
        </row>
        <row r="1803">
          <cell r="B1803">
            <v>680498</v>
          </cell>
          <cell r="C1803" t="str">
            <v>NOT USED</v>
          </cell>
          <cell r="D1803" t="str">
            <v>LABOR-OVERTIME REGULAR - 2.0</v>
          </cell>
          <cell r="E1803">
            <v>0</v>
          </cell>
        </row>
        <row r="1804">
          <cell r="B1804">
            <v>680500</v>
          </cell>
          <cell r="C1804" t="str">
            <v>NOT USED</v>
          </cell>
          <cell r="D1804" t="str">
            <v>TRAINING</v>
          </cell>
          <cell r="E1804" t="str">
            <v/>
          </cell>
          <cell r="F1804" t="str">
            <v/>
          </cell>
          <cell r="G1804" t="str">
            <v/>
          </cell>
          <cell r="H1804" t="str">
            <v/>
          </cell>
          <cell r="I1804" t="str">
            <v/>
          </cell>
          <cell r="J1804" t="str">
            <v/>
          </cell>
          <cell r="K1804" t="str">
            <v/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</row>
        <row r="1805">
          <cell r="B1805">
            <v>680505</v>
          </cell>
          <cell r="C1805" t="str">
            <v>NOT USED</v>
          </cell>
          <cell r="D1805" t="str">
            <v>EMPLOYEE REGISTRATION FEES</v>
          </cell>
          <cell r="E1805" t="str">
            <v/>
          </cell>
          <cell r="F1805" t="str">
            <v/>
          </cell>
          <cell r="G1805" t="str">
            <v/>
          </cell>
          <cell r="H1805" t="str">
            <v/>
          </cell>
          <cell r="I1805" t="str">
            <v/>
          </cell>
          <cell r="J1805" t="str">
            <v/>
          </cell>
          <cell r="K1805" t="str">
            <v/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-2.7899999999999999E-3</v>
          </cell>
          <cell r="Y1805">
            <v>-1.16E-4</v>
          </cell>
        </row>
        <row r="1806">
          <cell r="B1806">
            <v>680510</v>
          </cell>
          <cell r="C1806" t="str">
            <v>NOT USED</v>
          </cell>
          <cell r="D1806" t="str">
            <v>TRAVEL-MEALS &amp; ENTERTAINMENT-TAXABLE</v>
          </cell>
          <cell r="E1806" t="str">
            <v/>
          </cell>
          <cell r="F1806" t="str">
            <v/>
          </cell>
          <cell r="G1806" t="str">
            <v/>
          </cell>
          <cell r="H1806" t="str">
            <v/>
          </cell>
          <cell r="I1806" t="str">
            <v/>
          </cell>
          <cell r="J1806" t="str">
            <v/>
          </cell>
          <cell r="K1806" t="str">
            <v/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</row>
        <row r="1807">
          <cell r="B1807">
            <v>680525</v>
          </cell>
          <cell r="C1807" t="str">
            <v>NOT USED</v>
          </cell>
          <cell r="D1807" t="str">
            <v>EMPLOYEE - MEALS</v>
          </cell>
          <cell r="E1807" t="str">
            <v/>
          </cell>
          <cell r="F1807" t="str">
            <v/>
          </cell>
          <cell r="G1807" t="str">
            <v/>
          </cell>
          <cell r="H1807" t="str">
            <v/>
          </cell>
          <cell r="I1807" t="str">
            <v/>
          </cell>
          <cell r="J1807" t="str">
            <v/>
          </cell>
          <cell r="K1807" t="str">
            <v/>
          </cell>
          <cell r="L1807">
            <v>-7.74871</v>
          </cell>
          <cell r="M1807">
            <v>-0.31752000000000002</v>
          </cell>
          <cell r="N1807">
            <v>-0.54681999999999997</v>
          </cell>
          <cell r="O1807">
            <v>-0.56411999999999995</v>
          </cell>
          <cell r="P1807">
            <v>-0.87446999999999997</v>
          </cell>
          <cell r="Q1807">
            <v>-1.1856599999999999</v>
          </cell>
          <cell r="R1807">
            <v>-2.68133</v>
          </cell>
          <cell r="S1807">
            <v>-3.08386</v>
          </cell>
          <cell r="T1807">
            <v>-3.9370500000000002</v>
          </cell>
          <cell r="U1807">
            <v>-4.4506899999999998</v>
          </cell>
          <cell r="V1807">
            <v>-5.0394800000000002</v>
          </cell>
          <cell r="W1807">
            <v>-6.0535399999999999</v>
          </cell>
          <cell r="X1807">
            <v>-8.1997999999999998</v>
          </cell>
          <cell r="Y1807">
            <v>-3.0590660000000001</v>
          </cell>
        </row>
        <row r="1808">
          <cell r="B1808">
            <v>680530</v>
          </cell>
          <cell r="C1808" t="str">
            <v>NOT USED</v>
          </cell>
          <cell r="D1808" t="str">
            <v>TRAVEL-MEALS &amp; ENTERTAINMENT</v>
          </cell>
          <cell r="E1808" t="str">
            <v/>
          </cell>
          <cell r="F1808" t="str">
            <v/>
          </cell>
          <cell r="G1808" t="str">
            <v/>
          </cell>
          <cell r="H1808" t="str">
            <v/>
          </cell>
          <cell r="I1808" t="str">
            <v/>
          </cell>
          <cell r="J1808" t="str">
            <v/>
          </cell>
          <cell r="K1808" t="str">
            <v/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</row>
        <row r="1809">
          <cell r="B1809">
            <v>680535</v>
          </cell>
          <cell r="C1809" t="str">
            <v>NOT USED</v>
          </cell>
          <cell r="D1809" t="str">
            <v>EMPLOYEE MEALS-NONTAXABLE</v>
          </cell>
          <cell r="E1809" t="str">
            <v/>
          </cell>
          <cell r="F1809" t="str">
            <v/>
          </cell>
          <cell r="G1809" t="str">
            <v/>
          </cell>
          <cell r="H1809" t="str">
            <v/>
          </cell>
          <cell r="I1809" t="str">
            <v/>
          </cell>
          <cell r="J1809" t="str">
            <v/>
          </cell>
          <cell r="K1809" t="str">
            <v/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</row>
        <row r="1810">
          <cell r="B1810">
            <v>680540</v>
          </cell>
          <cell r="C1810" t="str">
            <v>NOT USED</v>
          </cell>
          <cell r="D1810" t="str">
            <v>TRAVEL-MEALS &amp; ENTERTAINMENT-OFFICERS</v>
          </cell>
          <cell r="E1810" t="str">
            <v/>
          </cell>
          <cell r="F1810" t="str">
            <v/>
          </cell>
          <cell r="G1810" t="str">
            <v/>
          </cell>
          <cell r="H1810" t="str">
            <v/>
          </cell>
          <cell r="I1810" t="str">
            <v/>
          </cell>
          <cell r="J1810" t="str">
            <v/>
          </cell>
          <cell r="K1810" t="str">
            <v/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</row>
        <row r="1811">
          <cell r="B1811">
            <v>680545</v>
          </cell>
          <cell r="C1811" t="str">
            <v>NOT USED</v>
          </cell>
          <cell r="D1811" t="str">
            <v>EMPLOYEE MEALS-COMPANY SPONSORED</v>
          </cell>
          <cell r="E1811" t="str">
            <v/>
          </cell>
          <cell r="F1811" t="str">
            <v/>
          </cell>
          <cell r="G1811" t="str">
            <v/>
          </cell>
          <cell r="H1811" t="str">
            <v/>
          </cell>
          <cell r="I1811" t="str">
            <v/>
          </cell>
          <cell r="J1811" t="str">
            <v/>
          </cell>
          <cell r="K1811" t="str">
            <v/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</row>
        <row r="1812">
          <cell r="B1812">
            <v>680550</v>
          </cell>
          <cell r="C1812" t="str">
            <v>NOT USED</v>
          </cell>
          <cell r="D1812" t="str">
            <v>TRAVEL-EXCLUDING MEALS &amp; ENTERTAINMENT</v>
          </cell>
          <cell r="E1812" t="str">
            <v/>
          </cell>
          <cell r="F1812" t="str">
            <v/>
          </cell>
          <cell r="G1812" t="str">
            <v/>
          </cell>
          <cell r="H1812" t="str">
            <v/>
          </cell>
          <cell r="I1812" t="str">
            <v/>
          </cell>
          <cell r="J1812" t="str">
            <v/>
          </cell>
          <cell r="K1812" t="str">
            <v/>
          </cell>
          <cell r="L1812">
            <v>-31.927700000000002</v>
          </cell>
          <cell r="M1812">
            <v>0</v>
          </cell>
          <cell r="N1812">
            <v>-0.12619</v>
          </cell>
          <cell r="O1812">
            <v>-0.18853</v>
          </cell>
          <cell r="P1812">
            <v>-1.4256800000000001</v>
          </cell>
          <cell r="Q1812">
            <v>-1.8779300000000001</v>
          </cell>
          <cell r="R1812">
            <v>-4.2164599999999997</v>
          </cell>
          <cell r="S1812">
            <v>-4.7062200000000001</v>
          </cell>
          <cell r="T1812">
            <v>-6.7314100000000003</v>
          </cell>
          <cell r="U1812">
            <v>-7.5891900000000003</v>
          </cell>
          <cell r="V1812">
            <v>-8.4355899999999995</v>
          </cell>
          <cell r="W1812">
            <v>-9.9985300000000006</v>
          </cell>
          <cell r="X1812">
            <v>-10.66072</v>
          </cell>
          <cell r="Y1812">
            <v>-5.5491619999999999</v>
          </cell>
        </row>
        <row r="1813">
          <cell r="B1813">
            <v>680555</v>
          </cell>
          <cell r="C1813" t="str">
            <v>NOT USED</v>
          </cell>
          <cell r="D1813" t="str">
            <v>EMPLOYEE -LODGING</v>
          </cell>
          <cell r="E1813" t="str">
            <v/>
          </cell>
          <cell r="F1813" t="str">
            <v/>
          </cell>
          <cell r="G1813" t="str">
            <v/>
          </cell>
          <cell r="H1813" t="str">
            <v/>
          </cell>
          <cell r="I1813" t="str">
            <v/>
          </cell>
          <cell r="J1813" t="str">
            <v/>
          </cell>
          <cell r="K1813" t="str">
            <v/>
          </cell>
          <cell r="L1813">
            <v>-14.699920000000001</v>
          </cell>
          <cell r="M1813">
            <v>0</v>
          </cell>
          <cell r="N1813">
            <v>0</v>
          </cell>
          <cell r="O1813">
            <v>-8.2379999999999995E-2</v>
          </cell>
          <cell r="P1813">
            <v>-0.24593000000000001</v>
          </cell>
          <cell r="Q1813">
            <v>-0.53208999999999995</v>
          </cell>
          <cell r="R1813">
            <v>-1.4691700000000001</v>
          </cell>
          <cell r="S1813">
            <v>-2.7959800000000001</v>
          </cell>
          <cell r="T1813">
            <v>-3.8936899999999999</v>
          </cell>
          <cell r="U1813">
            <v>-5.2451699999999999</v>
          </cell>
          <cell r="V1813">
            <v>-7.10738</v>
          </cell>
          <cell r="W1813">
            <v>-7.5533900000000003</v>
          </cell>
          <cell r="X1813">
            <v>-9.8883399999999995</v>
          </cell>
          <cell r="Y1813">
            <v>-3.4349430000000001</v>
          </cell>
        </row>
        <row r="1814">
          <cell r="B1814">
            <v>680560</v>
          </cell>
          <cell r="C1814" t="str">
            <v>NOT USED</v>
          </cell>
          <cell r="D1814" t="str">
            <v>UTILITIES</v>
          </cell>
          <cell r="E1814" t="str">
            <v/>
          </cell>
          <cell r="F1814" t="str">
            <v/>
          </cell>
          <cell r="G1814" t="str">
            <v/>
          </cell>
          <cell r="H1814" t="str">
            <v/>
          </cell>
          <cell r="I1814" t="str">
            <v/>
          </cell>
          <cell r="J1814" t="str">
            <v/>
          </cell>
          <cell r="K1814" t="str">
            <v/>
          </cell>
          <cell r="L1814">
            <v>-2.1255799999999998</v>
          </cell>
          <cell r="M1814">
            <v>0</v>
          </cell>
          <cell r="N1814">
            <v>0</v>
          </cell>
          <cell r="O1814">
            <v>0</v>
          </cell>
          <cell r="P1814">
            <v>-8.2729599999999994</v>
          </cell>
          <cell r="Q1814">
            <v>-8.2729599999999994</v>
          </cell>
          <cell r="R1814">
            <v>-8.2729599999999994</v>
          </cell>
          <cell r="S1814">
            <v>-8.2729599999999994</v>
          </cell>
          <cell r="T1814">
            <v>-8.2729599999999994</v>
          </cell>
          <cell r="U1814">
            <v>-8.3579600000000003</v>
          </cell>
          <cell r="V1814">
            <v>-8.3579600000000003</v>
          </cell>
          <cell r="W1814">
            <v>-8.3579600000000003</v>
          </cell>
          <cell r="X1814">
            <v>-8.3579600000000003</v>
          </cell>
          <cell r="Y1814">
            <v>-5.9733710000000002</v>
          </cell>
        </row>
        <row r="1815">
          <cell r="B1815">
            <v>680570</v>
          </cell>
          <cell r="C1815" t="str">
            <v>NOT USED</v>
          </cell>
          <cell r="D1815" t="str">
            <v>DEPR EXP - VEHICLES - COM</v>
          </cell>
          <cell r="E1815" t="str">
            <v/>
          </cell>
          <cell r="F1815" t="str">
            <v/>
          </cell>
          <cell r="G1815" t="str">
            <v/>
          </cell>
          <cell r="H1815" t="str">
            <v/>
          </cell>
          <cell r="I1815" t="str">
            <v/>
          </cell>
          <cell r="J1815" t="str">
            <v/>
          </cell>
          <cell r="K1815" t="str">
            <v/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</row>
        <row r="1816">
          <cell r="B1816">
            <v>680600</v>
          </cell>
          <cell r="C1816" t="str">
            <v>NOT USED</v>
          </cell>
          <cell r="D1816" t="str">
            <v>TRANSPORTATION UTILIZATION</v>
          </cell>
          <cell r="E1816" t="str">
            <v/>
          </cell>
          <cell r="F1816" t="str">
            <v/>
          </cell>
          <cell r="G1816" t="str">
            <v/>
          </cell>
          <cell r="H1816" t="str">
            <v/>
          </cell>
          <cell r="I1816" t="str">
            <v/>
          </cell>
          <cell r="J1816" t="str">
            <v/>
          </cell>
          <cell r="K1816" t="str">
            <v/>
          </cell>
          <cell r="L1816">
            <v>-1110.17804</v>
          </cell>
          <cell r="M1816">
            <v>-100.48135000000001</v>
          </cell>
          <cell r="N1816">
            <v>-192.94009</v>
          </cell>
          <cell r="O1816">
            <v>-302.83717000000001</v>
          </cell>
          <cell r="P1816">
            <v>-403.48874999999998</v>
          </cell>
          <cell r="Q1816">
            <v>-508.01909000000001</v>
          </cell>
          <cell r="R1816">
            <v>-594.84483</v>
          </cell>
          <cell r="S1816">
            <v>-673.31030999999996</v>
          </cell>
          <cell r="T1816">
            <v>-771.38120000000004</v>
          </cell>
          <cell r="U1816">
            <v>-842.24480000000005</v>
          </cell>
          <cell r="V1816">
            <v>-961.60979999999995</v>
          </cell>
          <cell r="W1816">
            <v>-1035.71012</v>
          </cell>
          <cell r="X1816">
            <v>-1058.4804999999999</v>
          </cell>
          <cell r="Y1816">
            <v>-622.59973200000002</v>
          </cell>
        </row>
        <row r="1817">
          <cell r="B1817">
            <v>680620</v>
          </cell>
          <cell r="C1817" t="str">
            <v>NOT USED</v>
          </cell>
          <cell r="D1817" t="str">
            <v>BENEFITS LOADER</v>
          </cell>
          <cell r="E1817" t="str">
            <v/>
          </cell>
          <cell r="F1817" t="str">
            <v/>
          </cell>
          <cell r="G1817" t="str">
            <v/>
          </cell>
          <cell r="H1817" t="str">
            <v/>
          </cell>
          <cell r="I1817" t="str">
            <v/>
          </cell>
          <cell r="J1817" t="str">
            <v/>
          </cell>
          <cell r="K1817" t="str">
            <v/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</row>
        <row r="1818">
          <cell r="B1818">
            <v>680621</v>
          </cell>
          <cell r="C1818" t="str">
            <v>NOT USED</v>
          </cell>
          <cell r="D1818" t="str">
            <v>BENEFITS LOADER-CO RECLASS</v>
          </cell>
          <cell r="E1818" t="str">
            <v/>
          </cell>
          <cell r="F1818" t="str">
            <v/>
          </cell>
          <cell r="G1818" t="str">
            <v/>
          </cell>
          <cell r="H1818" t="str">
            <v/>
          </cell>
          <cell r="I1818" t="str">
            <v/>
          </cell>
          <cell r="J1818" t="str">
            <v/>
          </cell>
          <cell r="K1818" t="str">
            <v/>
          </cell>
          <cell r="L1818">
            <v>-0.43744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0.10553999999999999</v>
          </cell>
          <cell r="V1818">
            <v>-32.844769999999997</v>
          </cell>
          <cell r="W1818">
            <v>-31.964729999999999</v>
          </cell>
          <cell r="X1818">
            <v>-42.453290000000003</v>
          </cell>
          <cell r="Y1818">
            <v>-7.1791099999999997</v>
          </cell>
        </row>
        <row r="1819">
          <cell r="B1819">
            <v>680630</v>
          </cell>
          <cell r="C1819" t="str">
            <v>NOT USED</v>
          </cell>
          <cell r="D1819" t="str">
            <v>INSTALLATION LOADER</v>
          </cell>
          <cell r="E1819" t="str">
            <v/>
          </cell>
          <cell r="F1819" t="str">
            <v/>
          </cell>
          <cell r="G1819" t="str">
            <v/>
          </cell>
          <cell r="H1819" t="str">
            <v/>
          </cell>
          <cell r="I1819" t="str">
            <v/>
          </cell>
          <cell r="J1819" t="str">
            <v/>
          </cell>
          <cell r="K1819" t="str">
            <v/>
          </cell>
          <cell r="L1819">
            <v>-4005.2723700000001</v>
          </cell>
          <cell r="M1819">
            <v>-120.57719</v>
          </cell>
          <cell r="N1819">
            <v>-389.57299</v>
          </cell>
          <cell r="O1819">
            <v>-560.38756999999998</v>
          </cell>
          <cell r="P1819">
            <v>-852.64022999999997</v>
          </cell>
          <cell r="Q1819">
            <v>-1232.72045</v>
          </cell>
          <cell r="R1819">
            <v>-1361.26748</v>
          </cell>
          <cell r="S1819">
            <v>-1737.33779</v>
          </cell>
          <cell r="T1819">
            <v>-2057.3236400000001</v>
          </cell>
          <cell r="U1819">
            <v>-2458.49908</v>
          </cell>
          <cell r="V1819">
            <v>-2972.0529999999999</v>
          </cell>
          <cell r="W1819">
            <v>-3618.6641100000002</v>
          </cell>
          <cell r="X1819">
            <v>-4095.9720200000002</v>
          </cell>
          <cell r="Y1819">
            <v>-1784.3054770000001</v>
          </cell>
        </row>
        <row r="1820">
          <cell r="B1820">
            <v>680631</v>
          </cell>
          <cell r="C1820" t="str">
            <v>NOT USED</v>
          </cell>
          <cell r="D1820" t="str">
            <v>GENERAL-COMPANY USE DEBITS-ELECTRIC</v>
          </cell>
          <cell r="E1820">
            <v>0</v>
          </cell>
          <cell r="X1820">
            <v>-18.174050000000001</v>
          </cell>
          <cell r="Y1820">
            <v>-0.75725200000000004</v>
          </cell>
        </row>
        <row r="1821">
          <cell r="B1821">
            <v>680640</v>
          </cell>
          <cell r="C1821" t="str">
            <v>NOT USED</v>
          </cell>
          <cell r="D1821" t="str">
            <v>OCCUPANCY LOADER</v>
          </cell>
          <cell r="E1821" t="str">
            <v/>
          </cell>
          <cell r="F1821" t="str">
            <v/>
          </cell>
          <cell r="G1821" t="str">
            <v/>
          </cell>
          <cell r="H1821" t="str">
            <v/>
          </cell>
          <cell r="I1821" t="str">
            <v/>
          </cell>
          <cell r="J1821" t="str">
            <v/>
          </cell>
          <cell r="K1821" t="str">
            <v/>
          </cell>
          <cell r="L1821">
            <v>-93.826279999999997</v>
          </cell>
          <cell r="M1821">
            <v>-3.2482899999999999</v>
          </cell>
          <cell r="N1821">
            <v>-7.1022299999999996</v>
          </cell>
          <cell r="O1821">
            <v>-11.020910000000001</v>
          </cell>
          <cell r="P1821">
            <v>-15.49934</v>
          </cell>
          <cell r="Q1821">
            <v>-19.432849999999998</v>
          </cell>
          <cell r="R1821">
            <v>-24.833960000000001</v>
          </cell>
          <cell r="S1821">
            <v>-29.09487</v>
          </cell>
          <cell r="T1821">
            <v>-37.386749999999999</v>
          </cell>
          <cell r="U1821">
            <v>-40.889360000000003</v>
          </cell>
          <cell r="V1821">
            <v>-46.155790000000003</v>
          </cell>
          <cell r="W1821">
            <v>-49.72484</v>
          </cell>
          <cell r="X1821">
            <v>-56.940719999999999</v>
          </cell>
          <cell r="Y1821">
            <v>-29.981058000000001</v>
          </cell>
        </row>
        <row r="1822">
          <cell r="B1822">
            <v>680660</v>
          </cell>
          <cell r="C1822" t="str">
            <v>NOT USED</v>
          </cell>
          <cell r="D1822" t="str">
            <v>CAPITALIZED PRELIMINARY ENGINEERING</v>
          </cell>
          <cell r="E1822" t="str">
            <v/>
          </cell>
          <cell r="F1822" t="str">
            <v/>
          </cell>
          <cell r="G1822" t="str">
            <v/>
          </cell>
          <cell r="H1822" t="str">
            <v/>
          </cell>
          <cell r="I1822" t="str">
            <v/>
          </cell>
          <cell r="J1822" t="str">
            <v/>
          </cell>
          <cell r="K1822" t="str">
            <v/>
          </cell>
          <cell r="L1822">
            <v>-5068.4691300000004</v>
          </cell>
          <cell r="M1822">
            <v>-129.11525</v>
          </cell>
          <cell r="N1822">
            <v>-270.45713000000001</v>
          </cell>
          <cell r="O1822">
            <v>-1164.9994200000001</v>
          </cell>
          <cell r="P1822">
            <v>-1673.8234</v>
          </cell>
          <cell r="Q1822">
            <v>-2129.20415</v>
          </cell>
          <cell r="R1822">
            <v>-2595.8534199999999</v>
          </cell>
          <cell r="S1822">
            <v>-2988.9106099999999</v>
          </cell>
          <cell r="T1822">
            <v>-3423.10482</v>
          </cell>
          <cell r="U1822">
            <v>-3716.5944100000002</v>
          </cell>
          <cell r="V1822">
            <v>-4264.1716699999997</v>
          </cell>
          <cell r="W1822">
            <v>-4540.0284799999999</v>
          </cell>
          <cell r="X1822">
            <v>-5044.9024600000002</v>
          </cell>
          <cell r="Y1822">
            <v>-2662.7457129999998</v>
          </cell>
        </row>
        <row r="1823">
          <cell r="B1823">
            <v>680670</v>
          </cell>
          <cell r="C1823" t="str">
            <v>NOT USED</v>
          </cell>
          <cell r="D1823" t="str">
            <v>CAPITALIZED GENERAL &amp; ADMINISTRATION EXPENSE</v>
          </cell>
          <cell r="E1823" t="str">
            <v/>
          </cell>
          <cell r="F1823" t="str">
            <v/>
          </cell>
          <cell r="G1823" t="str">
            <v/>
          </cell>
          <cell r="H1823" t="str">
            <v/>
          </cell>
          <cell r="I1823" t="str">
            <v/>
          </cell>
          <cell r="J1823" t="str">
            <v/>
          </cell>
          <cell r="K1823" t="str">
            <v/>
          </cell>
          <cell r="L1823">
            <v>-571.06791999999996</v>
          </cell>
          <cell r="M1823">
            <v>25.31278</v>
          </cell>
          <cell r="N1823">
            <v>-172.77655999999999</v>
          </cell>
          <cell r="O1823">
            <v>-512.84109000000001</v>
          </cell>
          <cell r="P1823">
            <v>-733.98572000000001</v>
          </cell>
          <cell r="Q1823">
            <v>-1022.0313</v>
          </cell>
          <cell r="R1823">
            <v>-1531.59896</v>
          </cell>
          <cell r="S1823">
            <v>-1961.69</v>
          </cell>
          <cell r="T1823">
            <v>-2610.60628</v>
          </cell>
          <cell r="U1823">
            <v>-3084.8143700000001</v>
          </cell>
          <cell r="V1823">
            <v>-3442.9201400000002</v>
          </cell>
          <cell r="W1823">
            <v>-3550.3531200000002</v>
          </cell>
          <cell r="X1823">
            <v>-2677.1875599999998</v>
          </cell>
          <cell r="Y1823">
            <v>-1685.202708</v>
          </cell>
        </row>
        <row r="1824">
          <cell r="B1824">
            <v>680680</v>
          </cell>
          <cell r="C1824" t="str">
            <v>NOT USED</v>
          </cell>
          <cell r="D1824" t="str">
            <v>ADVERTISING</v>
          </cell>
          <cell r="E1824" t="str">
            <v/>
          </cell>
          <cell r="F1824" t="str">
            <v/>
          </cell>
          <cell r="G1824" t="str">
            <v/>
          </cell>
          <cell r="H1824" t="str">
            <v/>
          </cell>
          <cell r="I1824" t="str">
            <v/>
          </cell>
          <cell r="J1824" t="str">
            <v/>
          </cell>
          <cell r="K1824" t="str">
            <v/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-3.75732</v>
          </cell>
          <cell r="X1824">
            <v>-37.581290000000003</v>
          </cell>
          <cell r="Y1824">
            <v>-1.878997</v>
          </cell>
        </row>
        <row r="1825">
          <cell r="B1825">
            <v>680690</v>
          </cell>
          <cell r="C1825" t="str">
            <v>NOT USED</v>
          </cell>
          <cell r="D1825" t="str">
            <v>INTEREST EXPENSE-AFUDC</v>
          </cell>
          <cell r="E1825" t="str">
            <v/>
          </cell>
          <cell r="F1825" t="str">
            <v/>
          </cell>
          <cell r="G1825" t="str">
            <v/>
          </cell>
          <cell r="H1825" t="str">
            <v/>
          </cell>
          <cell r="I1825" t="str">
            <v/>
          </cell>
          <cell r="J1825" t="str">
            <v/>
          </cell>
          <cell r="K1825" t="str">
            <v/>
          </cell>
          <cell r="L1825">
            <v>-3052.97633</v>
          </cell>
          <cell r="M1825">
            <v>-396.65321</v>
          </cell>
          <cell r="N1825">
            <v>-797.20163000000002</v>
          </cell>
          <cell r="O1825">
            <v>-1218.12319</v>
          </cell>
          <cell r="P1825">
            <v>-1643.3843899999999</v>
          </cell>
          <cell r="Q1825">
            <v>-2007.8115</v>
          </cell>
          <cell r="R1825">
            <v>-2634.3486699999999</v>
          </cell>
          <cell r="S1825">
            <v>-3255.7144400000002</v>
          </cell>
          <cell r="T1825">
            <v>-3877.1581999999999</v>
          </cell>
          <cell r="U1825">
            <v>-7154.2962200000002</v>
          </cell>
          <cell r="V1825">
            <v>-8185.8179300000002</v>
          </cell>
          <cell r="W1825">
            <v>-9289.1317600000002</v>
          </cell>
          <cell r="X1825">
            <v>-10602.195159999999</v>
          </cell>
          <cell r="Y1825">
            <v>-3940.6022400000002</v>
          </cell>
        </row>
        <row r="1826">
          <cell r="B1826">
            <v>680691</v>
          </cell>
          <cell r="C1826" t="str">
            <v>NOT USED</v>
          </cell>
          <cell r="D1826" t="str">
            <v>CONTRACTORS - ENGINEERING</v>
          </cell>
          <cell r="E1826" t="str">
            <v/>
          </cell>
          <cell r="F1826" t="str">
            <v/>
          </cell>
          <cell r="G1826" t="str">
            <v/>
          </cell>
          <cell r="H1826" t="str">
            <v/>
          </cell>
          <cell r="I1826" t="str">
            <v/>
          </cell>
          <cell r="J1826" t="str">
            <v/>
          </cell>
          <cell r="K1826" t="str">
            <v/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-1578.73505</v>
          </cell>
          <cell r="T1826">
            <v>-3020.0861599999998</v>
          </cell>
          <cell r="U1826">
            <v>-4171.0682800000004</v>
          </cell>
          <cell r="V1826">
            <v>-6685.25155</v>
          </cell>
          <cell r="W1826">
            <v>-8536.7909899999995</v>
          </cell>
          <cell r="X1826">
            <v>-11634.25769</v>
          </cell>
          <cell r="Y1826">
            <v>-2484.0884059999998</v>
          </cell>
        </row>
        <row r="1827">
          <cell r="B1827">
            <v>680692</v>
          </cell>
          <cell r="C1827" t="str">
            <v>NOT USED</v>
          </cell>
          <cell r="D1827" t="str">
            <v>CONTRACTORS - FACILITY</v>
          </cell>
          <cell r="E1827" t="str">
            <v/>
          </cell>
          <cell r="F1827" t="str">
            <v/>
          </cell>
          <cell r="G1827" t="str">
            <v/>
          </cell>
          <cell r="H1827" t="str">
            <v/>
          </cell>
          <cell r="I1827" t="str">
            <v/>
          </cell>
          <cell r="J1827" t="str">
            <v/>
          </cell>
          <cell r="K1827" t="str">
            <v/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-73.702520000000007</v>
          </cell>
          <cell r="T1827">
            <v>-128.67663999999999</v>
          </cell>
          <cell r="U1827">
            <v>-311.6121</v>
          </cell>
          <cell r="V1827">
            <v>-464.69371999999998</v>
          </cell>
          <cell r="W1827">
            <v>-1230.40515</v>
          </cell>
          <cell r="X1827">
            <v>-4192.9157100000002</v>
          </cell>
          <cell r="Y1827">
            <v>-358.79566499999999</v>
          </cell>
        </row>
        <row r="1828">
          <cell r="B1828">
            <v>680693</v>
          </cell>
          <cell r="C1828" t="str">
            <v>NOT USED</v>
          </cell>
          <cell r="D1828" t="str">
            <v>CONTRACTORS - TEMPORARY LABOR SERVICES</v>
          </cell>
          <cell r="E1828" t="str">
            <v/>
          </cell>
          <cell r="F1828" t="str">
            <v/>
          </cell>
          <cell r="G1828" t="str">
            <v/>
          </cell>
          <cell r="H1828" t="str">
            <v/>
          </cell>
          <cell r="I1828" t="str">
            <v/>
          </cell>
          <cell r="J1828" t="str">
            <v/>
          </cell>
          <cell r="K1828" t="str">
            <v/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-0.91</v>
          </cell>
          <cell r="T1828">
            <v>-8.4165100000000006</v>
          </cell>
          <cell r="U1828">
            <v>-27.27843</v>
          </cell>
          <cell r="V1828">
            <v>-47.767440000000001</v>
          </cell>
          <cell r="W1828">
            <v>-46.473840000000003</v>
          </cell>
          <cell r="X1828">
            <v>-69.550790000000006</v>
          </cell>
          <cell r="Y1828">
            <v>-13.801800999999999</v>
          </cell>
        </row>
        <row r="1829">
          <cell r="B1829">
            <v>680700</v>
          </cell>
          <cell r="C1829" t="str">
            <v>NOT USED</v>
          </cell>
          <cell r="D1829" t="str">
            <v>CIAC - NON-TAXABLE</v>
          </cell>
          <cell r="E1829" t="str">
            <v/>
          </cell>
          <cell r="F1829" t="str">
            <v/>
          </cell>
          <cell r="G1829" t="str">
            <v/>
          </cell>
          <cell r="H1829" t="str">
            <v/>
          </cell>
          <cell r="I1829" t="str">
            <v/>
          </cell>
          <cell r="J1829" t="str">
            <v/>
          </cell>
          <cell r="K1829" t="str">
            <v/>
          </cell>
          <cell r="L1829">
            <v>786.65275999999994</v>
          </cell>
          <cell r="M1829">
            <v>-27.475180000000002</v>
          </cell>
          <cell r="N1829">
            <v>-1.6394</v>
          </cell>
          <cell r="O1829">
            <v>16.11889</v>
          </cell>
          <cell r="P1829">
            <v>96.435460000000006</v>
          </cell>
          <cell r="Q1829">
            <v>99.789640000000006</v>
          </cell>
          <cell r="R1829">
            <v>122.79424</v>
          </cell>
          <cell r="S1829">
            <v>122.79424</v>
          </cell>
          <cell r="T1829">
            <v>122.79424</v>
          </cell>
          <cell r="U1829">
            <v>123.07962000000001</v>
          </cell>
          <cell r="V1829">
            <v>138.29199</v>
          </cell>
          <cell r="W1829">
            <v>442.31016</v>
          </cell>
          <cell r="X1829">
            <v>627.82286999999997</v>
          </cell>
          <cell r="Y1829">
            <v>163.54431</v>
          </cell>
        </row>
        <row r="1830">
          <cell r="B1830">
            <v>680701</v>
          </cell>
          <cell r="C1830" t="str">
            <v>NOT USED</v>
          </cell>
          <cell r="D1830" t="str">
            <v>GENERAL - GRANTS - CREDIT TO CAPITAL</v>
          </cell>
          <cell r="E1830" t="str">
            <v/>
          </cell>
          <cell r="F1830" t="str">
            <v/>
          </cell>
          <cell r="G1830" t="str">
            <v/>
          </cell>
          <cell r="H1830" t="str">
            <v/>
          </cell>
          <cell r="I1830" t="str">
            <v/>
          </cell>
          <cell r="J1830" t="str">
            <v/>
          </cell>
          <cell r="K1830" t="str">
            <v/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5.7502399999999998</v>
          </cell>
          <cell r="S1830">
            <v>7.68187</v>
          </cell>
          <cell r="T1830">
            <v>7.68187</v>
          </cell>
          <cell r="U1830">
            <v>7.68187</v>
          </cell>
          <cell r="V1830">
            <v>7.68187</v>
          </cell>
          <cell r="W1830">
            <v>31.622990000000001</v>
          </cell>
          <cell r="X1830">
            <v>623.15261999999996</v>
          </cell>
          <cell r="Y1830">
            <v>31.639752000000001</v>
          </cell>
        </row>
        <row r="1831">
          <cell r="B1831">
            <v>680710</v>
          </cell>
          <cell r="C1831" t="str">
            <v>NOT USED</v>
          </cell>
          <cell r="D1831" t="str">
            <v>CIAC - TAXABLE</v>
          </cell>
          <cell r="E1831" t="str">
            <v/>
          </cell>
          <cell r="F1831" t="str">
            <v/>
          </cell>
          <cell r="G1831" t="str">
            <v/>
          </cell>
          <cell r="H1831" t="str">
            <v/>
          </cell>
          <cell r="I1831" t="str">
            <v/>
          </cell>
          <cell r="J1831" t="str">
            <v/>
          </cell>
          <cell r="K1831" t="str">
            <v/>
          </cell>
          <cell r="L1831">
            <v>3480.93768</v>
          </cell>
          <cell r="M1831">
            <v>52.093890000000002</v>
          </cell>
          <cell r="N1831">
            <v>130.47404</v>
          </cell>
          <cell r="O1831">
            <v>278.26607000000001</v>
          </cell>
          <cell r="P1831">
            <v>444.54521</v>
          </cell>
          <cell r="Q1831">
            <v>603.20037000000002</v>
          </cell>
          <cell r="R1831">
            <v>968.04966999999999</v>
          </cell>
          <cell r="S1831">
            <v>1511.3889099999999</v>
          </cell>
          <cell r="T1831">
            <v>1677.6398099999999</v>
          </cell>
          <cell r="U1831">
            <v>1759.6966399999999</v>
          </cell>
          <cell r="V1831">
            <v>2035.4610700000001</v>
          </cell>
          <cell r="W1831">
            <v>2178.1173800000001</v>
          </cell>
          <cell r="X1831">
            <v>2350.1587300000001</v>
          </cell>
          <cell r="Y1831">
            <v>1212.873439</v>
          </cell>
        </row>
        <row r="1832">
          <cell r="B1832">
            <v>680720</v>
          </cell>
          <cell r="C1832" t="str">
            <v>NOT USED</v>
          </cell>
          <cell r="D1832" t="str">
            <v>JOINT OWNED - PURCHASE</v>
          </cell>
          <cell r="E1832" t="str">
            <v/>
          </cell>
          <cell r="F1832" t="str">
            <v/>
          </cell>
          <cell r="G1832" t="str">
            <v/>
          </cell>
          <cell r="H1832" t="str">
            <v/>
          </cell>
          <cell r="I1832" t="str">
            <v/>
          </cell>
          <cell r="J1832" t="str">
            <v/>
          </cell>
          <cell r="K1832" t="str">
            <v/>
          </cell>
          <cell r="L1832">
            <v>-12.903</v>
          </cell>
          <cell r="M1832">
            <v>-8.3000000000000004E-2</v>
          </cell>
          <cell r="N1832">
            <v>-0.16600000000000001</v>
          </cell>
          <cell r="O1832">
            <v>-2.6379999999999999</v>
          </cell>
          <cell r="P1832">
            <v>-2.6379999999999999</v>
          </cell>
          <cell r="Q1832">
            <v>-22.013999999999999</v>
          </cell>
          <cell r="R1832">
            <v>-30.652000000000001</v>
          </cell>
          <cell r="S1832">
            <v>-33.557000000000002</v>
          </cell>
          <cell r="T1832">
            <v>-36.345999999999997</v>
          </cell>
          <cell r="U1832">
            <v>-39.447000000000003</v>
          </cell>
          <cell r="V1832">
            <v>-39.447000000000003</v>
          </cell>
          <cell r="W1832">
            <v>-52.676000000000002</v>
          </cell>
          <cell r="X1832">
            <v>-52.841999999999999</v>
          </cell>
          <cell r="Y1832">
            <v>-24.378042000000001</v>
          </cell>
        </row>
        <row r="1833">
          <cell r="B1833">
            <v>680730</v>
          </cell>
          <cell r="C1833" t="str">
            <v>NOT USED</v>
          </cell>
          <cell r="D1833" t="str">
            <v>JOINT OWNED - SALE</v>
          </cell>
          <cell r="E1833" t="str">
            <v/>
          </cell>
          <cell r="F1833" t="str">
            <v/>
          </cell>
          <cell r="G1833" t="str">
            <v/>
          </cell>
          <cell r="H1833" t="str">
            <v/>
          </cell>
          <cell r="I1833" t="str">
            <v/>
          </cell>
          <cell r="J1833" t="str">
            <v/>
          </cell>
          <cell r="K1833" t="str">
            <v/>
          </cell>
          <cell r="L1833">
            <v>558.67449999999997</v>
          </cell>
          <cell r="M1833">
            <v>69.350999999999999</v>
          </cell>
          <cell r="N1833">
            <v>107.148</v>
          </cell>
          <cell r="O1833">
            <v>139.36500000000001</v>
          </cell>
          <cell r="P1833">
            <v>152.50749999999999</v>
          </cell>
          <cell r="Q1833">
            <v>146.52250000000001</v>
          </cell>
          <cell r="R1833">
            <v>207.32050000000001</v>
          </cell>
          <cell r="S1833">
            <v>229.90950000000001</v>
          </cell>
          <cell r="T1833">
            <v>236.68350000000001</v>
          </cell>
          <cell r="U1833">
            <v>247.8845</v>
          </cell>
          <cell r="V1833">
            <v>307.83949999999999</v>
          </cell>
          <cell r="W1833">
            <v>316.64749999999998</v>
          </cell>
          <cell r="X1833">
            <v>315.87549999999999</v>
          </cell>
          <cell r="Y1833">
            <v>216.53783300000001</v>
          </cell>
        </row>
        <row r="1834">
          <cell r="B1834">
            <v>680740</v>
          </cell>
          <cell r="C1834" t="str">
            <v>NOT USED</v>
          </cell>
          <cell r="D1834" t="str">
            <v>PURCHASE OF PROPERTY</v>
          </cell>
          <cell r="E1834" t="str">
            <v/>
          </cell>
          <cell r="F1834" t="str">
            <v/>
          </cell>
          <cell r="G1834" t="str">
            <v/>
          </cell>
          <cell r="H1834" t="str">
            <v/>
          </cell>
          <cell r="I1834" t="str">
            <v/>
          </cell>
          <cell r="J1834" t="str">
            <v/>
          </cell>
          <cell r="K1834" t="str">
            <v/>
          </cell>
          <cell r="L1834">
            <v>-19.605</v>
          </cell>
          <cell r="M1834">
            <v>0</v>
          </cell>
          <cell r="N1834">
            <v>-1</v>
          </cell>
          <cell r="O1834">
            <v>-1</v>
          </cell>
          <cell r="P1834">
            <v>-1</v>
          </cell>
          <cell r="Q1834">
            <v>-7.5</v>
          </cell>
          <cell r="R1834">
            <v>-16.004999999999999</v>
          </cell>
          <cell r="S1834">
            <v>-16.004999999999999</v>
          </cell>
          <cell r="T1834">
            <v>-19.254999999999999</v>
          </cell>
          <cell r="U1834">
            <v>-19.254999999999999</v>
          </cell>
          <cell r="V1834">
            <v>-19.254999999999999</v>
          </cell>
          <cell r="W1834">
            <v>-19.254999999999999</v>
          </cell>
          <cell r="X1834">
            <v>-19.483000000000001</v>
          </cell>
          <cell r="Y1834">
            <v>-11.589499999999999</v>
          </cell>
        </row>
        <row r="1835">
          <cell r="B1835">
            <v>680747</v>
          </cell>
          <cell r="C1835" t="str">
            <v>NOT USED</v>
          </cell>
          <cell r="D1835" t="str">
            <v>CONVEYED ASSET</v>
          </cell>
          <cell r="E1835" t="str">
            <v/>
          </cell>
          <cell r="F1835" t="str">
            <v/>
          </cell>
          <cell r="G1835" t="str">
            <v/>
          </cell>
          <cell r="H1835" t="str">
            <v/>
          </cell>
          <cell r="I1835" t="str">
            <v/>
          </cell>
          <cell r="J1835" t="str">
            <v/>
          </cell>
          <cell r="K1835" t="str">
            <v/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</row>
        <row r="1836">
          <cell r="B1836">
            <v>680748</v>
          </cell>
          <cell r="C1836" t="str">
            <v>NOT USED</v>
          </cell>
          <cell r="D1836" t="str">
            <v>CONVEYED ASSET-OFFSET</v>
          </cell>
          <cell r="E1836" t="str">
            <v/>
          </cell>
          <cell r="F1836" t="str">
            <v/>
          </cell>
          <cell r="G1836" t="str">
            <v/>
          </cell>
          <cell r="H1836" t="str">
            <v/>
          </cell>
          <cell r="I1836" t="str">
            <v/>
          </cell>
          <cell r="J1836" t="str">
            <v/>
          </cell>
          <cell r="K1836" t="str">
            <v/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</row>
        <row r="1837">
          <cell r="B1837">
            <v>680802</v>
          </cell>
          <cell r="C1837" t="str">
            <v>NOT USED</v>
          </cell>
          <cell r="D1837" t="str">
            <v>CORP TAXES-GAS OTHER</v>
          </cell>
          <cell r="E1837" t="str">
            <v/>
          </cell>
          <cell r="F1837" t="str">
            <v/>
          </cell>
          <cell r="G1837" t="str">
            <v/>
          </cell>
          <cell r="H1837" t="str">
            <v/>
          </cell>
          <cell r="I1837" t="str">
            <v/>
          </cell>
          <cell r="J1837" t="str">
            <v/>
          </cell>
          <cell r="K1837" t="str">
            <v/>
          </cell>
          <cell r="L1837">
            <v>-528.61152000000004</v>
          </cell>
          <cell r="M1837">
            <v>-71.879480000000001</v>
          </cell>
          <cell r="N1837">
            <v>-118.67846</v>
          </cell>
          <cell r="O1837">
            <v>-151.46741</v>
          </cell>
          <cell r="P1837">
            <v>-191.29161999999999</v>
          </cell>
          <cell r="Q1837">
            <v>-293.21877000000001</v>
          </cell>
          <cell r="R1837">
            <v>-345.88229999999999</v>
          </cell>
          <cell r="S1837">
            <v>-398.71744999999999</v>
          </cell>
          <cell r="T1837">
            <v>-573.79754000000003</v>
          </cell>
          <cell r="U1837">
            <v>-644.07646</v>
          </cell>
          <cell r="V1837">
            <v>-801.05799999999999</v>
          </cell>
          <cell r="W1837">
            <v>-832.31776000000002</v>
          </cell>
          <cell r="X1837">
            <v>-993.22224000000006</v>
          </cell>
          <cell r="Y1837">
            <v>-431.941844</v>
          </cell>
        </row>
        <row r="1838">
          <cell r="B1838">
            <v>680810</v>
          </cell>
          <cell r="C1838" t="str">
            <v>NOT USED</v>
          </cell>
          <cell r="D1838" t="str">
            <v>CORP TAXES-COMMON</v>
          </cell>
          <cell r="E1838" t="str">
            <v/>
          </cell>
          <cell r="F1838" t="str">
            <v/>
          </cell>
          <cell r="G1838" t="str">
            <v/>
          </cell>
          <cell r="H1838" t="str">
            <v/>
          </cell>
          <cell r="I1838" t="str">
            <v/>
          </cell>
          <cell r="J1838" t="str">
            <v/>
          </cell>
          <cell r="K1838" t="str">
            <v/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</row>
        <row r="1839">
          <cell r="B1839">
            <v>680819</v>
          </cell>
          <cell r="C1839" t="str">
            <v>NOT USED</v>
          </cell>
          <cell r="D1839" t="str">
            <v>CORPORATE TAXES-ELEC OTHER</v>
          </cell>
          <cell r="E1839" t="str">
            <v/>
          </cell>
          <cell r="F1839" t="str">
            <v/>
          </cell>
          <cell r="G1839" t="str">
            <v/>
          </cell>
          <cell r="H1839" t="str">
            <v/>
          </cell>
          <cell r="I1839" t="str">
            <v/>
          </cell>
          <cell r="J1839" t="str">
            <v/>
          </cell>
          <cell r="K1839" t="str">
            <v/>
          </cell>
          <cell r="L1839">
            <v>-2018.2750900000001</v>
          </cell>
          <cell r="M1839">
            <v>-1178.55485</v>
          </cell>
          <cell r="N1839">
            <v>-1617.35121</v>
          </cell>
          <cell r="O1839">
            <v>-1768.7480800000001</v>
          </cell>
          <cell r="P1839">
            <v>-1925.96524</v>
          </cell>
          <cell r="Q1839">
            <v>-2136.57323</v>
          </cell>
          <cell r="R1839">
            <v>-2288.7748900000001</v>
          </cell>
          <cell r="S1839">
            <v>-2433.0448799999999</v>
          </cell>
          <cell r="T1839">
            <v>-2800.96693</v>
          </cell>
          <cell r="U1839">
            <v>-3158.6798699999999</v>
          </cell>
          <cell r="V1839">
            <v>-3872.4208800000001</v>
          </cell>
          <cell r="W1839">
            <v>-3732.7544499999999</v>
          </cell>
          <cell r="X1839">
            <v>-4390.0726100000002</v>
          </cell>
          <cell r="Y1839">
            <v>-2509.83403</v>
          </cell>
        </row>
        <row r="1840">
          <cell r="B1840">
            <v>680825</v>
          </cell>
          <cell r="C1840" t="str">
            <v>NOT USED</v>
          </cell>
          <cell r="D1840" t="str">
            <v>BENEFITS-FEDERAL / STATE UNEMPLOYMENT INSURANCE</v>
          </cell>
          <cell r="E1840" t="str">
            <v/>
          </cell>
          <cell r="F1840" t="str">
            <v/>
          </cell>
          <cell r="G1840" t="str">
            <v/>
          </cell>
          <cell r="H1840" t="str">
            <v/>
          </cell>
          <cell r="I1840" t="str">
            <v/>
          </cell>
          <cell r="J1840" t="str">
            <v/>
          </cell>
          <cell r="K1840" t="str">
            <v/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-123.58771</v>
          </cell>
          <cell r="R1840">
            <v>-123.54767</v>
          </cell>
          <cell r="S1840">
            <v>-179.80789999999999</v>
          </cell>
          <cell r="T1840">
            <v>-179.90451999999999</v>
          </cell>
          <cell r="U1840">
            <v>-179.95698999999999</v>
          </cell>
          <cell r="V1840">
            <v>0</v>
          </cell>
          <cell r="W1840">
            <v>0</v>
          </cell>
          <cell r="X1840">
            <v>0</v>
          </cell>
          <cell r="Y1840">
            <v>-65.567065999999997</v>
          </cell>
        </row>
        <row r="1841">
          <cell r="B1841">
            <v>680826</v>
          </cell>
          <cell r="C1841" t="str">
            <v>NOT USED</v>
          </cell>
          <cell r="D1841" t="str">
            <v>BENEFITS-FICA / MEDICARE</v>
          </cell>
          <cell r="E1841" t="str">
            <v/>
          </cell>
          <cell r="F1841" t="str">
            <v/>
          </cell>
          <cell r="G1841" t="str">
            <v/>
          </cell>
          <cell r="H1841" t="str">
            <v/>
          </cell>
          <cell r="I1841" t="str">
            <v/>
          </cell>
          <cell r="J1841" t="str">
            <v/>
          </cell>
          <cell r="K1841" t="str">
            <v/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-2110.0118000000002</v>
          </cell>
          <cell r="R1841">
            <v>-2546.5437400000001</v>
          </cell>
          <cell r="S1841">
            <v>-2956.3422700000001</v>
          </cell>
          <cell r="T1841">
            <v>-3388.90807</v>
          </cell>
          <cell r="U1841">
            <v>-3918.3390800000002</v>
          </cell>
          <cell r="V1841">
            <v>0</v>
          </cell>
          <cell r="W1841">
            <v>0</v>
          </cell>
          <cell r="X1841">
            <v>0</v>
          </cell>
          <cell r="Y1841">
            <v>-1243.345413</v>
          </cell>
        </row>
        <row r="1842">
          <cell r="B1842">
            <v>680835</v>
          </cell>
          <cell r="C1842" t="str">
            <v>NOT USED</v>
          </cell>
          <cell r="D1842" t="str">
            <v>BENEFITS - MTA PAYROLL TAX</v>
          </cell>
          <cell r="E1842" t="str">
            <v/>
          </cell>
          <cell r="F1842" t="str">
            <v/>
          </cell>
          <cell r="G1842" t="str">
            <v/>
          </cell>
          <cell r="H1842" t="str">
            <v/>
          </cell>
          <cell r="I1842" t="str">
            <v/>
          </cell>
          <cell r="J1842" t="str">
            <v/>
          </cell>
          <cell r="K1842" t="str">
            <v/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-5.1279999999999999E-2</v>
          </cell>
          <cell r="R1842">
            <v>-5.1279999999999999E-2</v>
          </cell>
          <cell r="S1842">
            <v>-5.1279999999999999E-2</v>
          </cell>
          <cell r="T1842">
            <v>-5.1279999999999999E-2</v>
          </cell>
          <cell r="U1842">
            <v>-5.1279999999999999E-2</v>
          </cell>
          <cell r="V1842">
            <v>0</v>
          </cell>
          <cell r="W1842">
            <v>0</v>
          </cell>
          <cell r="X1842">
            <v>0</v>
          </cell>
          <cell r="Y1842">
            <v>-2.1367000000000001E-2</v>
          </cell>
        </row>
        <row r="1843">
          <cell r="B1843">
            <v>681620</v>
          </cell>
          <cell r="C1843" t="str">
            <v>NOT USED</v>
          </cell>
          <cell r="D1843" t="str">
            <v>BENEFITS-OTHER BENEFITS</v>
          </cell>
          <cell r="E1843" t="str">
            <v/>
          </cell>
          <cell r="F1843" t="str">
            <v/>
          </cell>
          <cell r="G1843" t="str">
            <v/>
          </cell>
          <cell r="H1843" t="str">
            <v/>
          </cell>
          <cell r="I1843" t="str">
            <v/>
          </cell>
          <cell r="J1843" t="str">
            <v/>
          </cell>
          <cell r="K1843" t="str">
            <v/>
          </cell>
          <cell r="L1843">
            <v>-1567.70462</v>
          </cell>
          <cell r="M1843">
            <v>-179.19818000000001</v>
          </cell>
          <cell r="N1843">
            <v>-365.23459000000003</v>
          </cell>
          <cell r="O1843">
            <v>-561.30269999999996</v>
          </cell>
          <cell r="P1843">
            <v>-735.82159000000001</v>
          </cell>
          <cell r="Q1843">
            <v>3872.2195700000002</v>
          </cell>
          <cell r="R1843">
            <v>4695.5038000000004</v>
          </cell>
          <cell r="S1843">
            <v>5540.2518300000002</v>
          </cell>
          <cell r="T1843">
            <v>6374.1537900000003</v>
          </cell>
          <cell r="U1843">
            <v>7581.6054700000004</v>
          </cell>
          <cell r="V1843">
            <v>-1699.50459</v>
          </cell>
          <cell r="W1843">
            <v>-1880.3377399999999</v>
          </cell>
          <cell r="X1843">
            <v>-2109.7220000000002</v>
          </cell>
          <cell r="Y1843">
            <v>1733.635147</v>
          </cell>
        </row>
        <row r="1844">
          <cell r="B1844">
            <v>681621</v>
          </cell>
          <cell r="C1844" t="str">
            <v>NOT USED</v>
          </cell>
          <cell r="D1844" t="str">
            <v>BENEFITS-PAYROLL TAXES</v>
          </cell>
          <cell r="E1844" t="str">
            <v/>
          </cell>
          <cell r="F1844" t="str">
            <v/>
          </cell>
          <cell r="G1844" t="str">
            <v/>
          </cell>
          <cell r="H1844" t="str">
            <v/>
          </cell>
          <cell r="I1844" t="str">
            <v/>
          </cell>
          <cell r="J1844" t="str">
            <v/>
          </cell>
          <cell r="K1844" t="str">
            <v/>
          </cell>
          <cell r="L1844">
            <v>-773.34486000000004</v>
          </cell>
          <cell r="M1844">
            <v>-84.073930000000004</v>
          </cell>
          <cell r="N1844">
            <v>-163.8432</v>
          </cell>
          <cell r="O1844">
            <v>-252.03283999999999</v>
          </cell>
          <cell r="P1844">
            <v>-330.57089999999999</v>
          </cell>
          <cell r="Q1844">
            <v>1747.2172700000001</v>
          </cell>
          <cell r="R1844">
            <v>2131.0367799999999</v>
          </cell>
          <cell r="S1844">
            <v>2506.5244499999999</v>
          </cell>
          <cell r="T1844">
            <v>2884.94182</v>
          </cell>
          <cell r="U1844">
            <v>3433.3435199999999</v>
          </cell>
          <cell r="V1844">
            <v>-753.56750999999997</v>
          </cell>
          <cell r="W1844">
            <v>-798.44916000000001</v>
          </cell>
          <cell r="X1844">
            <v>-851.56964000000005</v>
          </cell>
          <cell r="Y1844">
            <v>792.33908799999995</v>
          </cell>
        </row>
        <row r="1845">
          <cell r="B1845">
            <v>681622</v>
          </cell>
          <cell r="C1845" t="str">
            <v>NOT USED</v>
          </cell>
          <cell r="D1845" t="str">
            <v>BENEFITS-PENSIONS-SERVICES</v>
          </cell>
          <cell r="E1845" t="str">
            <v/>
          </cell>
          <cell r="F1845" t="str">
            <v/>
          </cell>
          <cell r="G1845" t="str">
            <v/>
          </cell>
          <cell r="H1845" t="str">
            <v/>
          </cell>
          <cell r="I1845" t="str">
            <v/>
          </cell>
          <cell r="J1845" t="str">
            <v/>
          </cell>
          <cell r="K1845" t="str">
            <v/>
          </cell>
          <cell r="L1845">
            <v>-320.75222000000002</v>
          </cell>
          <cell r="M1845">
            <v>-122.70706</v>
          </cell>
          <cell r="N1845">
            <v>-197.51155</v>
          </cell>
          <cell r="O1845">
            <v>-258.34964000000002</v>
          </cell>
          <cell r="P1845">
            <v>-313.17223999999999</v>
          </cell>
          <cell r="Q1845">
            <v>1533.5944</v>
          </cell>
          <cell r="R1845">
            <v>1799.05972</v>
          </cell>
          <cell r="S1845">
            <v>2054.8880600000002</v>
          </cell>
          <cell r="T1845">
            <v>2283.9272299999998</v>
          </cell>
          <cell r="U1845">
            <v>2618.4690399999999</v>
          </cell>
          <cell r="V1845">
            <v>-596.99663999999996</v>
          </cell>
          <cell r="W1845">
            <v>-627.50305000000003</v>
          </cell>
          <cell r="X1845">
            <v>-663.70740999999998</v>
          </cell>
          <cell r="Y1845">
            <v>640.12237100000004</v>
          </cell>
        </row>
        <row r="1846">
          <cell r="B1846">
            <v>681623</v>
          </cell>
          <cell r="C1846" t="str">
            <v>NOT USED</v>
          </cell>
          <cell r="D1846" t="str">
            <v>BENEFITS-PENSIONS-INTEREST</v>
          </cell>
          <cell r="E1846" t="str">
            <v/>
          </cell>
          <cell r="F1846" t="str">
            <v/>
          </cell>
          <cell r="G1846" t="str">
            <v/>
          </cell>
          <cell r="H1846" t="str">
            <v/>
          </cell>
          <cell r="I1846" t="str">
            <v/>
          </cell>
          <cell r="J1846" t="str">
            <v/>
          </cell>
          <cell r="K1846" t="str">
            <v/>
          </cell>
          <cell r="L1846">
            <v>-1646.89615</v>
          </cell>
          <cell r="M1846">
            <v>-386.45866000000001</v>
          </cell>
          <cell r="N1846">
            <v>-754.18150000000003</v>
          </cell>
          <cell r="O1846">
            <v>-1105.12033</v>
          </cell>
          <cell r="P1846">
            <v>-1425.2400500000001</v>
          </cell>
          <cell r="Q1846">
            <v>7436.4170800000002</v>
          </cell>
          <cell r="R1846">
            <v>8969.0983300000007</v>
          </cell>
          <cell r="S1846">
            <v>10445.5591</v>
          </cell>
          <cell r="T1846">
            <v>11909.19016</v>
          </cell>
          <cell r="U1846">
            <v>14034.739589999999</v>
          </cell>
          <cell r="V1846">
            <v>-3133.6312200000002</v>
          </cell>
          <cell r="W1846">
            <v>-3344.4949000000001</v>
          </cell>
          <cell r="X1846">
            <v>-3620.9133499999998</v>
          </cell>
          <cell r="Y1846">
            <v>3334.3310710000001</v>
          </cell>
        </row>
        <row r="1847">
          <cell r="B1847">
            <v>681624</v>
          </cell>
          <cell r="C1847" t="str">
            <v>NOT USED</v>
          </cell>
          <cell r="D1847" t="str">
            <v>BENEFITS-PENSIONS-RETURN ON ASSETS-ROA</v>
          </cell>
          <cell r="E1847" t="str">
            <v/>
          </cell>
          <cell r="F1847" t="str">
            <v/>
          </cell>
          <cell r="G1847" t="str">
            <v/>
          </cell>
          <cell r="H1847" t="str">
            <v/>
          </cell>
          <cell r="I1847" t="str">
            <v/>
          </cell>
          <cell r="J1847" t="str">
            <v/>
          </cell>
          <cell r="K1847" t="str">
            <v/>
          </cell>
          <cell r="L1847">
            <v>2510.8121000000001</v>
          </cell>
          <cell r="M1847">
            <v>567.57737999999995</v>
          </cell>
          <cell r="N1847">
            <v>1109.0362</v>
          </cell>
          <cell r="O1847">
            <v>1625.0636400000001</v>
          </cell>
          <cell r="P1847">
            <v>2157.35124</v>
          </cell>
          <cell r="Q1847">
            <v>-11409.682790000001</v>
          </cell>
          <cell r="R1847">
            <v>-14059.37693</v>
          </cell>
          <cell r="S1847">
            <v>-16611.930349999999</v>
          </cell>
          <cell r="T1847">
            <v>-19160.020110000001</v>
          </cell>
          <cell r="U1847">
            <v>-22866.104240000001</v>
          </cell>
          <cell r="V1847">
            <v>5118.0707000000002</v>
          </cell>
          <cell r="W1847">
            <v>5485.1874900000003</v>
          </cell>
          <cell r="X1847">
            <v>5962.6344200000003</v>
          </cell>
          <cell r="Y1847">
            <v>-5317.3420429999996</v>
          </cell>
        </row>
        <row r="1848">
          <cell r="B1848">
            <v>681625</v>
          </cell>
          <cell r="C1848" t="str">
            <v>NOT USED</v>
          </cell>
          <cell r="D1848" t="str">
            <v>BENEFITS-PENSIONS-AMORTIZATION GAIN/LOSS</v>
          </cell>
          <cell r="E1848" t="str">
            <v/>
          </cell>
          <cell r="F1848" t="str">
            <v/>
          </cell>
          <cell r="G1848" t="str">
            <v/>
          </cell>
          <cell r="H1848" t="str">
            <v/>
          </cell>
          <cell r="I1848" t="str">
            <v/>
          </cell>
          <cell r="J1848" t="str">
            <v/>
          </cell>
          <cell r="K1848" t="str">
            <v/>
          </cell>
          <cell r="L1848">
            <v>-671.74995000000001</v>
          </cell>
          <cell r="M1848">
            <v>-206.40505999999999</v>
          </cell>
          <cell r="N1848">
            <v>-405.14238</v>
          </cell>
          <cell r="O1848">
            <v>-594.00319999999999</v>
          </cell>
          <cell r="P1848">
            <v>-761.38773000000003</v>
          </cell>
          <cell r="Q1848">
            <v>3766.8312900000001</v>
          </cell>
          <cell r="R1848">
            <v>4495.3360599999996</v>
          </cell>
          <cell r="S1848">
            <v>5197.6067400000002</v>
          </cell>
          <cell r="T1848">
            <v>5888.3341700000001</v>
          </cell>
          <cell r="U1848">
            <v>6902.8292000000001</v>
          </cell>
          <cell r="V1848">
            <v>-1631.2580700000001</v>
          </cell>
          <cell r="W1848">
            <v>-1737.9703400000001</v>
          </cell>
          <cell r="X1848">
            <v>-1878.8805500000001</v>
          </cell>
          <cell r="Y1848">
            <v>1636.6212860000001</v>
          </cell>
        </row>
        <row r="1849">
          <cell r="B1849">
            <v>681626</v>
          </cell>
          <cell r="C1849" t="str">
            <v>NOT USED</v>
          </cell>
          <cell r="D1849" t="str">
            <v>BENEFITS-OPEB-SERVICE</v>
          </cell>
          <cell r="E1849" t="str">
            <v/>
          </cell>
          <cell r="F1849" t="str">
            <v/>
          </cell>
          <cell r="G1849" t="str">
            <v/>
          </cell>
          <cell r="H1849" t="str">
            <v/>
          </cell>
          <cell r="I1849" t="str">
            <v/>
          </cell>
          <cell r="J1849" t="str">
            <v/>
          </cell>
          <cell r="K1849" t="str">
            <v/>
          </cell>
          <cell r="L1849">
            <v>-262.89972999999998</v>
          </cell>
          <cell r="M1849">
            <v>-12.23274</v>
          </cell>
          <cell r="N1849">
            <v>-23.83417</v>
          </cell>
          <cell r="O1849">
            <v>-33.924509999999998</v>
          </cell>
          <cell r="P1849">
            <v>-41.967210000000001</v>
          </cell>
          <cell r="Q1849">
            <v>210.96666999999999</v>
          </cell>
          <cell r="R1849">
            <v>247.31328999999999</v>
          </cell>
          <cell r="S1849">
            <v>282.38531999999998</v>
          </cell>
          <cell r="T1849">
            <v>316.32996000000003</v>
          </cell>
          <cell r="U1849">
            <v>366.05412999999999</v>
          </cell>
          <cell r="V1849">
            <v>-83.090209999999999</v>
          </cell>
          <cell r="W1849">
            <v>-87.71987</v>
          </cell>
          <cell r="X1849">
            <v>-93.466440000000006</v>
          </cell>
          <cell r="Y1849">
            <v>80.174797999999996</v>
          </cell>
        </row>
        <row r="1850">
          <cell r="B1850">
            <v>681627</v>
          </cell>
          <cell r="C1850" t="str">
            <v>NOT USED</v>
          </cell>
          <cell r="D1850" t="str">
            <v>BENEFITS-OPEB-INTEREST</v>
          </cell>
          <cell r="E1850" t="str">
            <v/>
          </cell>
          <cell r="F1850" t="str">
            <v/>
          </cell>
          <cell r="G1850" t="str">
            <v/>
          </cell>
          <cell r="H1850" t="str">
            <v/>
          </cell>
          <cell r="I1850" t="str">
            <v/>
          </cell>
          <cell r="J1850" t="str">
            <v/>
          </cell>
          <cell r="K1850" t="str">
            <v/>
          </cell>
          <cell r="L1850">
            <v>-533.87052000000006</v>
          </cell>
          <cell r="M1850">
            <v>-73.759680000000003</v>
          </cell>
          <cell r="N1850">
            <v>-143.85875999999999</v>
          </cell>
          <cell r="O1850">
            <v>-210.85034999999999</v>
          </cell>
          <cell r="P1850">
            <v>-273.04825</v>
          </cell>
          <cell r="Q1850">
            <v>1432.3942300000001</v>
          </cell>
          <cell r="R1850">
            <v>1733.7236499999999</v>
          </cell>
          <cell r="S1850">
            <v>2024.0577699999999</v>
          </cell>
          <cell r="T1850">
            <v>2314.1461800000002</v>
          </cell>
          <cell r="U1850">
            <v>2735.3752100000002</v>
          </cell>
          <cell r="V1850">
            <v>-608.56649000000004</v>
          </cell>
          <cell r="W1850">
            <v>-649.83853999999997</v>
          </cell>
          <cell r="X1850">
            <v>-703.7473</v>
          </cell>
          <cell r="Y1850">
            <v>638.41383800000006</v>
          </cell>
        </row>
        <row r="1851">
          <cell r="B1851">
            <v>681628</v>
          </cell>
          <cell r="C1851" t="str">
            <v>NOT USED</v>
          </cell>
          <cell r="D1851" t="str">
            <v>BENEFITS-OPEB-RETURN ON ASSET-ROA</v>
          </cell>
          <cell r="E1851" t="str">
            <v/>
          </cell>
          <cell r="F1851" t="str">
            <v/>
          </cell>
          <cell r="G1851" t="str">
            <v/>
          </cell>
          <cell r="H1851" t="str">
            <v/>
          </cell>
          <cell r="I1851" t="str">
            <v/>
          </cell>
          <cell r="J1851" t="str">
            <v/>
          </cell>
          <cell r="K1851" t="str">
            <v/>
          </cell>
          <cell r="L1851">
            <v>6.1270199999999999</v>
          </cell>
          <cell r="M1851">
            <v>0.67123999999999995</v>
          </cell>
          <cell r="N1851">
            <v>1.56226</v>
          </cell>
          <cell r="O1851">
            <v>2.3073100000000002</v>
          </cell>
          <cell r="P1851">
            <v>3.37818</v>
          </cell>
          <cell r="Q1851">
            <v>4.1542300000000001</v>
          </cell>
          <cell r="R1851">
            <v>5.1182999999999996</v>
          </cell>
          <cell r="S1851">
            <v>5.93567</v>
          </cell>
          <cell r="T1851">
            <v>7.5796299999999999</v>
          </cell>
          <cell r="U1851">
            <v>8.3603000000000005</v>
          </cell>
          <cell r="V1851">
            <v>9.1187699999999996</v>
          </cell>
          <cell r="W1851">
            <v>9.8337199999999996</v>
          </cell>
          <cell r="X1851">
            <v>10.96116</v>
          </cell>
          <cell r="Y1851">
            <v>5.5469749999999998</v>
          </cell>
        </row>
        <row r="1852">
          <cell r="B1852">
            <v>681629</v>
          </cell>
          <cell r="C1852" t="str">
            <v>NOT USED</v>
          </cell>
          <cell r="D1852" t="str">
            <v>BENEFITS-OPEB-AMORTIZATION GAIN/LOSS</v>
          </cell>
          <cell r="E1852" t="str">
            <v/>
          </cell>
          <cell r="F1852" t="str">
            <v/>
          </cell>
          <cell r="G1852" t="str">
            <v/>
          </cell>
          <cell r="H1852" t="str">
            <v/>
          </cell>
          <cell r="I1852" t="str">
            <v/>
          </cell>
          <cell r="J1852" t="str">
            <v/>
          </cell>
          <cell r="K1852" t="str">
            <v/>
          </cell>
          <cell r="L1852">
            <v>-81.50215</v>
          </cell>
          <cell r="M1852">
            <v>-23.298079999999999</v>
          </cell>
          <cell r="N1852">
            <v>-46.175609999999999</v>
          </cell>
          <cell r="O1852">
            <v>-39.413879999999999</v>
          </cell>
          <cell r="P1852">
            <v>-59.231499999999997</v>
          </cell>
          <cell r="Q1852">
            <v>288.50499000000002</v>
          </cell>
          <cell r="R1852">
            <v>366.98599999999999</v>
          </cell>
          <cell r="S1852">
            <v>442.57447999999999</v>
          </cell>
          <cell r="T1852">
            <v>517.05317000000002</v>
          </cell>
          <cell r="U1852">
            <v>627.03700000000003</v>
          </cell>
          <cell r="V1852">
            <v>-157.83600000000001</v>
          </cell>
          <cell r="W1852">
            <v>-169.93467999999999</v>
          </cell>
          <cell r="X1852">
            <v>-185.96203</v>
          </cell>
          <cell r="Y1852">
            <v>134.37781699999999</v>
          </cell>
        </row>
        <row r="1853">
          <cell r="B1853">
            <v>682111</v>
          </cell>
          <cell r="C1853" t="str">
            <v>NOT USED</v>
          </cell>
          <cell r="D1853" t="str">
            <v>GAIN ON DISP OF PROP-ELEC</v>
          </cell>
          <cell r="E1853" t="str">
            <v/>
          </cell>
          <cell r="F1853" t="str">
            <v/>
          </cell>
          <cell r="G1853" t="str">
            <v/>
          </cell>
          <cell r="H1853" t="str">
            <v/>
          </cell>
          <cell r="I1853" t="str">
            <v/>
          </cell>
          <cell r="J1853" t="str">
            <v/>
          </cell>
          <cell r="K1853" t="str">
            <v/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</row>
        <row r="1854">
          <cell r="B1854">
            <v>682121</v>
          </cell>
          <cell r="C1854" t="str">
            <v>NOT USED</v>
          </cell>
          <cell r="D1854" t="str">
            <v>LOSS ON DISP OF PROP-ELEC</v>
          </cell>
          <cell r="E1854" t="str">
            <v/>
          </cell>
          <cell r="F1854" t="str">
            <v/>
          </cell>
          <cell r="G1854" t="str">
            <v/>
          </cell>
          <cell r="H1854" t="str">
            <v/>
          </cell>
          <cell r="I1854" t="str">
            <v/>
          </cell>
          <cell r="J1854" t="str">
            <v/>
          </cell>
          <cell r="K1854" t="str">
            <v/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</row>
        <row r="1855">
          <cell r="B1855">
            <v>682300</v>
          </cell>
          <cell r="C1855" t="str">
            <v>NOT USED</v>
          </cell>
          <cell r="D1855" t="str">
            <v>CONTRACTORS-ACCTG/AUDIT</v>
          </cell>
          <cell r="E1855" t="str">
            <v/>
          </cell>
          <cell r="F1855" t="str">
            <v/>
          </cell>
          <cell r="G1855" t="str">
            <v/>
          </cell>
          <cell r="H1855" t="str">
            <v/>
          </cell>
          <cell r="I1855" t="str">
            <v/>
          </cell>
          <cell r="J1855" t="str">
            <v/>
          </cell>
          <cell r="K1855" t="str">
            <v/>
          </cell>
          <cell r="L1855">
            <v>-10.175000000000001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-0.423958</v>
          </cell>
        </row>
        <row r="1856">
          <cell r="B1856">
            <v>682301</v>
          </cell>
          <cell r="C1856" t="str">
            <v>NOT USED</v>
          </cell>
          <cell r="D1856" t="str">
            <v>USSC SUPPORT</v>
          </cell>
          <cell r="E1856" t="str">
            <v/>
          </cell>
          <cell r="F1856" t="str">
            <v/>
          </cell>
          <cell r="G1856" t="str">
            <v/>
          </cell>
          <cell r="H1856" t="str">
            <v/>
          </cell>
          <cell r="I1856" t="str">
            <v/>
          </cell>
          <cell r="J1856" t="str">
            <v/>
          </cell>
          <cell r="K1856" t="str">
            <v/>
          </cell>
          <cell r="L1856">
            <v>-489.46319</v>
          </cell>
          <cell r="M1856">
            <v>7.5501399999999999</v>
          </cell>
          <cell r="N1856">
            <v>3.9854799999999999</v>
          </cell>
          <cell r="O1856">
            <v>-1.01396</v>
          </cell>
          <cell r="P1856">
            <v>-18.524519999999999</v>
          </cell>
          <cell r="Q1856">
            <v>-44.987870000000001</v>
          </cell>
          <cell r="R1856">
            <v>-71.825720000000004</v>
          </cell>
          <cell r="S1856">
            <v>-165.40867</v>
          </cell>
          <cell r="T1856">
            <v>-449.98935999999998</v>
          </cell>
          <cell r="U1856">
            <v>-486.07738999999998</v>
          </cell>
          <cell r="V1856">
            <v>-621.06574999999998</v>
          </cell>
          <cell r="W1856">
            <v>-719.76950999999997</v>
          </cell>
          <cell r="X1856">
            <v>-1578.84995</v>
          </cell>
          <cell r="Y1856">
            <v>-300.10697499999998</v>
          </cell>
        </row>
        <row r="1857">
          <cell r="B1857">
            <v>682302</v>
          </cell>
          <cell r="C1857" t="str">
            <v>NOT USED</v>
          </cell>
          <cell r="D1857" t="str">
            <v>CONTRACTORS-SECURITY</v>
          </cell>
          <cell r="E1857" t="str">
            <v/>
          </cell>
          <cell r="F1857" t="str">
            <v/>
          </cell>
          <cell r="G1857" t="str">
            <v/>
          </cell>
          <cell r="H1857" t="str">
            <v/>
          </cell>
          <cell r="I1857" t="str">
            <v/>
          </cell>
          <cell r="J1857" t="str">
            <v/>
          </cell>
          <cell r="K1857" t="str">
            <v/>
          </cell>
          <cell r="L1857">
            <v>-768.50617999999997</v>
          </cell>
          <cell r="M1857">
            <v>-75.863969999999995</v>
          </cell>
          <cell r="N1857">
            <v>-91.158169999999998</v>
          </cell>
          <cell r="O1857">
            <v>-62.078629999999997</v>
          </cell>
          <cell r="P1857">
            <v>-137.99967000000001</v>
          </cell>
          <cell r="Q1857">
            <v>-208.89931999999999</v>
          </cell>
          <cell r="R1857">
            <v>-302.54162000000002</v>
          </cell>
          <cell r="S1857">
            <v>-301.58803</v>
          </cell>
          <cell r="T1857">
            <v>-301.37862000000001</v>
          </cell>
          <cell r="U1857">
            <v>-301.37862000000001</v>
          </cell>
          <cell r="V1857">
            <v>-423.41829000000001</v>
          </cell>
          <cell r="W1857">
            <v>-449.62583999999998</v>
          </cell>
          <cell r="X1857">
            <v>-469.40841999999998</v>
          </cell>
          <cell r="Y1857">
            <v>-272.90733999999998</v>
          </cell>
        </row>
        <row r="1858">
          <cell r="B1858">
            <v>682600</v>
          </cell>
          <cell r="C1858" t="str">
            <v>NOT USED</v>
          </cell>
          <cell r="D1858" t="str">
            <v>BENEFITS</v>
          </cell>
          <cell r="E1858" t="str">
            <v/>
          </cell>
          <cell r="F1858" t="str">
            <v/>
          </cell>
          <cell r="G1858" t="str">
            <v/>
          </cell>
          <cell r="H1858" t="str">
            <v/>
          </cell>
          <cell r="I1858" t="str">
            <v/>
          </cell>
          <cell r="J1858" t="str">
            <v/>
          </cell>
          <cell r="K1858" t="str">
            <v/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-12.47237</v>
          </cell>
          <cell r="R1858">
            <v>-14.489750000000001</v>
          </cell>
          <cell r="S1858">
            <v>-16.59093</v>
          </cell>
          <cell r="T1858">
            <v>-18.499359999999999</v>
          </cell>
          <cell r="U1858">
            <v>-21.18421</v>
          </cell>
          <cell r="V1858">
            <v>0</v>
          </cell>
          <cell r="W1858">
            <v>0</v>
          </cell>
          <cell r="X1858">
            <v>0</v>
          </cell>
          <cell r="Y1858">
            <v>-6.9363849999999996</v>
          </cell>
        </row>
        <row r="1859">
          <cell r="B1859">
            <v>682616</v>
          </cell>
          <cell r="C1859" t="str">
            <v>NOT USED</v>
          </cell>
          <cell r="D1859" t="str">
            <v>BENEFITS-FAS 112</v>
          </cell>
          <cell r="E1859" t="str">
            <v/>
          </cell>
          <cell r="F1859" t="str">
            <v/>
          </cell>
          <cell r="G1859" t="str">
            <v/>
          </cell>
          <cell r="H1859" t="str">
            <v/>
          </cell>
          <cell r="I1859" t="str">
            <v/>
          </cell>
          <cell r="J1859" t="str">
            <v/>
          </cell>
          <cell r="K1859" t="str">
            <v/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-478.66665999999998</v>
          </cell>
          <cell r="U1859">
            <v>-538.49999000000003</v>
          </cell>
          <cell r="V1859">
            <v>0</v>
          </cell>
          <cell r="W1859">
            <v>0</v>
          </cell>
          <cell r="X1859">
            <v>0</v>
          </cell>
          <cell r="Y1859">
            <v>-84.763887999999994</v>
          </cell>
        </row>
        <row r="1860">
          <cell r="B1860">
            <v>682660</v>
          </cell>
          <cell r="C1860" t="str">
            <v>NOT USED</v>
          </cell>
          <cell r="D1860" t="str">
            <v>BENEFITS-OPEB-SERVICE</v>
          </cell>
          <cell r="E1860" t="str">
            <v/>
          </cell>
          <cell r="F1860" t="str">
            <v/>
          </cell>
          <cell r="G1860" t="str">
            <v/>
          </cell>
          <cell r="H1860" t="str">
            <v/>
          </cell>
          <cell r="I1860" t="str">
            <v/>
          </cell>
          <cell r="J1860" t="str">
            <v/>
          </cell>
          <cell r="K1860" t="str">
            <v/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-253.32832999999999</v>
          </cell>
          <cell r="R1860">
            <v>-303.99400000000003</v>
          </cell>
          <cell r="S1860">
            <v>-354.65967000000001</v>
          </cell>
          <cell r="T1860">
            <v>-405.32533999999998</v>
          </cell>
          <cell r="U1860">
            <v>-455.99101000000002</v>
          </cell>
          <cell r="V1860">
            <v>0</v>
          </cell>
          <cell r="W1860">
            <v>0</v>
          </cell>
          <cell r="X1860">
            <v>0</v>
          </cell>
          <cell r="Y1860">
            <v>-147.77486300000001</v>
          </cell>
        </row>
        <row r="1861">
          <cell r="B1861">
            <v>682661</v>
          </cell>
          <cell r="C1861" t="str">
            <v>NOT USED</v>
          </cell>
          <cell r="D1861" t="str">
            <v>BENEFITS-OPEB-INTEREST</v>
          </cell>
          <cell r="E1861" t="str">
            <v/>
          </cell>
          <cell r="F1861" t="str">
            <v/>
          </cell>
          <cell r="G1861" t="str">
            <v/>
          </cell>
          <cell r="H1861" t="str">
            <v/>
          </cell>
          <cell r="I1861" t="str">
            <v/>
          </cell>
          <cell r="J1861" t="str">
            <v/>
          </cell>
          <cell r="K1861" t="str">
            <v/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-1761.6587500000001</v>
          </cell>
          <cell r="R1861">
            <v>-2113.9904999999999</v>
          </cell>
          <cell r="S1861">
            <v>-2466.3222500000002</v>
          </cell>
          <cell r="T1861">
            <v>-2818.654</v>
          </cell>
          <cell r="U1861">
            <v>-3170.9857499999998</v>
          </cell>
          <cell r="V1861">
            <v>0</v>
          </cell>
          <cell r="W1861">
            <v>0</v>
          </cell>
          <cell r="X1861">
            <v>0</v>
          </cell>
          <cell r="Y1861">
            <v>-1027.6342709999999</v>
          </cell>
        </row>
        <row r="1862">
          <cell r="B1862">
            <v>682663</v>
          </cell>
          <cell r="C1862" t="str">
            <v>NOT USED</v>
          </cell>
          <cell r="D1862" t="str">
            <v>BENEFITS-OPEB-AMORTIZATION GAIN/LOSS</v>
          </cell>
          <cell r="E1862" t="str">
            <v/>
          </cell>
          <cell r="F1862" t="str">
            <v/>
          </cell>
          <cell r="G1862" t="str">
            <v/>
          </cell>
          <cell r="H1862" t="str">
            <v/>
          </cell>
          <cell r="I1862" t="str">
            <v/>
          </cell>
          <cell r="J1862" t="str">
            <v/>
          </cell>
          <cell r="K1862" t="str">
            <v/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-423.79374999999999</v>
          </cell>
          <cell r="R1862">
            <v>-508.55250000000001</v>
          </cell>
          <cell r="S1862">
            <v>-593.31124999999997</v>
          </cell>
          <cell r="T1862">
            <v>-678.07</v>
          </cell>
          <cell r="U1862">
            <v>-762.82875000000001</v>
          </cell>
          <cell r="V1862">
            <v>0</v>
          </cell>
          <cell r="W1862">
            <v>0</v>
          </cell>
          <cell r="X1862">
            <v>0</v>
          </cell>
          <cell r="Y1862">
            <v>-247.213021</v>
          </cell>
        </row>
        <row r="1863">
          <cell r="B1863">
            <v>682801</v>
          </cell>
          <cell r="C1863" t="str">
            <v>NOT USED</v>
          </cell>
          <cell r="D1863" t="str">
            <v>REGULATORY ASSESSMENT</v>
          </cell>
          <cell r="E1863" t="str">
            <v/>
          </cell>
          <cell r="F1863" t="str">
            <v/>
          </cell>
          <cell r="G1863" t="str">
            <v/>
          </cell>
          <cell r="H1863" t="str">
            <v/>
          </cell>
          <cell r="I1863" t="str">
            <v/>
          </cell>
          <cell r="J1863" t="str">
            <v/>
          </cell>
          <cell r="K1863" t="str">
            <v/>
          </cell>
          <cell r="L1863">
            <v>-2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-8.3333000000000004E-2</v>
          </cell>
        </row>
        <row r="1864">
          <cell r="B1864">
            <v>682900</v>
          </cell>
          <cell r="C1864" t="str">
            <v>NOT USED</v>
          </cell>
          <cell r="D1864" t="str">
            <v>AMORT OF DEBT-PREMIUM</v>
          </cell>
          <cell r="E1864" t="str">
            <v/>
          </cell>
          <cell r="F1864" t="str">
            <v/>
          </cell>
          <cell r="G1864" t="str">
            <v/>
          </cell>
          <cell r="H1864" t="str">
            <v/>
          </cell>
          <cell r="I1864" t="str">
            <v/>
          </cell>
          <cell r="J1864" t="str">
            <v/>
          </cell>
          <cell r="K1864" t="str">
            <v/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</row>
        <row r="1865">
          <cell r="B1865">
            <v>683019</v>
          </cell>
          <cell r="C1865" t="str">
            <v>NOT USED</v>
          </cell>
          <cell r="D1865" t="str">
            <v>FEES-BANK</v>
          </cell>
          <cell r="E1865" t="str">
            <v/>
          </cell>
          <cell r="F1865" t="str">
            <v/>
          </cell>
          <cell r="G1865" t="str">
            <v/>
          </cell>
          <cell r="H1865" t="str">
            <v/>
          </cell>
          <cell r="I1865" t="str">
            <v/>
          </cell>
          <cell r="J1865" t="str">
            <v/>
          </cell>
          <cell r="K1865" t="str">
            <v/>
          </cell>
          <cell r="L1865">
            <v>-0.06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>
            <v>-2.5000000000000001E-3</v>
          </cell>
        </row>
        <row r="1866">
          <cell r="B1866">
            <v>683023</v>
          </cell>
          <cell r="C1866" t="str">
            <v>NOT USED</v>
          </cell>
          <cell r="D1866" t="str">
            <v>MEMBERSHIPS &amp; SUBSCRIPTIONS</v>
          </cell>
          <cell r="E1866">
            <v>0</v>
          </cell>
        </row>
        <row r="1867">
          <cell r="B1867">
            <v>683024</v>
          </cell>
          <cell r="C1867" t="str">
            <v>NOT USED</v>
          </cell>
          <cell r="D1867" t="str">
            <v>EEMC SUPPORT</v>
          </cell>
          <cell r="E1867" t="str">
            <v/>
          </cell>
          <cell r="F1867" t="str">
            <v/>
          </cell>
          <cell r="G1867" t="str">
            <v/>
          </cell>
          <cell r="H1867" t="str">
            <v/>
          </cell>
          <cell r="I1867" t="str">
            <v/>
          </cell>
          <cell r="J1867" t="str">
            <v/>
          </cell>
          <cell r="K1867" t="str">
            <v/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</row>
        <row r="1868">
          <cell r="B1868">
            <v>683102</v>
          </cell>
          <cell r="C1868" t="str">
            <v>NOT USED</v>
          </cell>
          <cell r="D1868" t="str">
            <v>FEES-LATE PAYMENT</v>
          </cell>
          <cell r="E1868" t="str">
            <v/>
          </cell>
          <cell r="F1868" t="str">
            <v/>
          </cell>
          <cell r="G1868" t="str">
            <v/>
          </cell>
          <cell r="H1868" t="str">
            <v/>
          </cell>
          <cell r="I1868" t="str">
            <v/>
          </cell>
          <cell r="J1868" t="str">
            <v/>
          </cell>
          <cell r="K1868" t="str">
            <v/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</row>
        <row r="1869">
          <cell r="B1869">
            <v>683250</v>
          </cell>
          <cell r="C1869" t="str">
            <v>NOT USED</v>
          </cell>
          <cell r="D1869" t="str">
            <v>EMPLOYEE MEMBERSHIP DUES</v>
          </cell>
          <cell r="E1869" t="str">
            <v/>
          </cell>
          <cell r="F1869" t="str">
            <v/>
          </cell>
          <cell r="G1869" t="str">
            <v/>
          </cell>
          <cell r="H1869" t="str">
            <v/>
          </cell>
          <cell r="I1869" t="str">
            <v/>
          </cell>
          <cell r="J1869" t="str">
            <v/>
          </cell>
          <cell r="K1869" t="str">
            <v/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0.127</v>
          </cell>
          <cell r="Y1869">
            <v>5.2919999999999998E-3</v>
          </cell>
        </row>
        <row r="1870">
          <cell r="B1870">
            <v>683255</v>
          </cell>
          <cell r="C1870" t="str">
            <v>NOT USED</v>
          </cell>
          <cell r="D1870" t="str">
            <v>EMPLOYEE - ENTERTAINMENT EXPENSES</v>
          </cell>
          <cell r="E1870" t="str">
            <v/>
          </cell>
          <cell r="F1870" t="str">
            <v/>
          </cell>
          <cell r="G1870" t="str">
            <v/>
          </cell>
          <cell r="H1870" t="str">
            <v/>
          </cell>
          <cell r="I1870" t="str">
            <v/>
          </cell>
          <cell r="J1870" t="str">
            <v/>
          </cell>
          <cell r="K1870" t="str">
            <v/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</row>
        <row r="1871">
          <cell r="B1871">
            <v>684700</v>
          </cell>
          <cell r="C1871" t="str">
            <v>NOT USED</v>
          </cell>
          <cell r="D1871" t="str">
            <v>FUEL-DIESEL FOR GEN-IC</v>
          </cell>
          <cell r="E1871" t="str">
            <v/>
          </cell>
          <cell r="F1871" t="str">
            <v/>
          </cell>
          <cell r="G1871" t="str">
            <v/>
          </cell>
          <cell r="H1871" t="str">
            <v/>
          </cell>
          <cell r="I1871" t="str">
            <v/>
          </cell>
          <cell r="J1871" t="str">
            <v/>
          </cell>
          <cell r="K1871" t="str">
            <v/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</row>
        <row r="1872">
          <cell r="B1872">
            <v>689250</v>
          </cell>
          <cell r="C1872" t="str">
            <v>NOT USED</v>
          </cell>
          <cell r="D1872" t="str">
            <v>INJURY &amp; DAMAGES</v>
          </cell>
          <cell r="E1872" t="str">
            <v/>
          </cell>
          <cell r="F1872" t="str">
            <v/>
          </cell>
          <cell r="G1872" t="str">
            <v/>
          </cell>
          <cell r="H1872" t="str">
            <v/>
          </cell>
          <cell r="I1872" t="str">
            <v/>
          </cell>
          <cell r="J1872" t="str">
            <v/>
          </cell>
          <cell r="K1872" t="str">
            <v/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</row>
        <row r="1873">
          <cell r="B1873">
            <v>689261</v>
          </cell>
          <cell r="C1873" t="str">
            <v>NOT USED</v>
          </cell>
          <cell r="D1873" t="str">
            <v>BENEFITS-PENSION</v>
          </cell>
          <cell r="E1873" t="str">
            <v/>
          </cell>
          <cell r="F1873" t="str">
            <v/>
          </cell>
          <cell r="G1873" t="str">
            <v/>
          </cell>
          <cell r="H1873" t="str">
            <v/>
          </cell>
          <cell r="I1873" t="str">
            <v/>
          </cell>
          <cell r="J1873" t="str">
            <v/>
          </cell>
          <cell r="K1873" t="str">
            <v/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18.312899999999999</v>
          </cell>
          <cell r="R1873">
            <v>21.975480000000001</v>
          </cell>
          <cell r="S1873">
            <v>25.638059999999999</v>
          </cell>
          <cell r="T1873">
            <v>37.183059999999998</v>
          </cell>
          <cell r="U1873">
            <v>41.831060000000001</v>
          </cell>
          <cell r="V1873">
            <v>0</v>
          </cell>
          <cell r="W1873">
            <v>0</v>
          </cell>
          <cell r="X1873">
            <v>0</v>
          </cell>
          <cell r="Y1873">
            <v>12.078379999999999</v>
          </cell>
        </row>
        <row r="1874">
          <cell r="B1874">
            <v>689280</v>
          </cell>
          <cell r="C1874" t="str">
            <v>NOT USED</v>
          </cell>
          <cell r="D1874" t="str">
            <v>REGULATORY EXP</v>
          </cell>
          <cell r="E1874" t="str">
            <v/>
          </cell>
          <cell r="F1874" t="str">
            <v/>
          </cell>
          <cell r="G1874" t="str">
            <v/>
          </cell>
          <cell r="H1874" t="str">
            <v/>
          </cell>
          <cell r="I1874" t="str">
            <v/>
          </cell>
          <cell r="J1874" t="str">
            <v/>
          </cell>
          <cell r="K1874" t="str">
            <v/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</row>
        <row r="1875">
          <cell r="B1875">
            <v>689999</v>
          </cell>
          <cell r="C1875" t="str">
            <v>NOT USED</v>
          </cell>
          <cell r="D1875" t="str">
            <v>FXA RECONCILATION</v>
          </cell>
          <cell r="E1875" t="str">
            <v/>
          </cell>
          <cell r="F1875" t="str">
            <v/>
          </cell>
          <cell r="G1875" t="str">
            <v/>
          </cell>
          <cell r="H1875" t="str">
            <v/>
          </cell>
          <cell r="I1875" t="str">
            <v/>
          </cell>
          <cell r="J1875" t="str">
            <v/>
          </cell>
          <cell r="K1875" t="str">
            <v/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</row>
        <row r="1876">
          <cell r="B1876">
            <v>690050</v>
          </cell>
          <cell r="C1876" t="str">
            <v>NOT USED</v>
          </cell>
          <cell r="D1876" t="str">
            <v>LABOR</v>
          </cell>
          <cell r="E1876" t="str">
            <v/>
          </cell>
          <cell r="F1876" t="str">
            <v/>
          </cell>
          <cell r="G1876" t="str">
            <v/>
          </cell>
          <cell r="H1876" t="str">
            <v/>
          </cell>
          <cell r="I1876" t="str">
            <v/>
          </cell>
          <cell r="J1876" t="str">
            <v/>
          </cell>
          <cell r="K1876" t="str">
            <v/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</row>
        <row r="1877">
          <cell r="B1877">
            <v>690070</v>
          </cell>
          <cell r="C1877" t="str">
            <v>NOT USED</v>
          </cell>
          <cell r="D1877" t="str">
            <v>BENEFITS</v>
          </cell>
          <cell r="E1877" t="str">
            <v/>
          </cell>
          <cell r="F1877" t="str">
            <v/>
          </cell>
          <cell r="G1877" t="str">
            <v/>
          </cell>
          <cell r="H1877" t="str">
            <v/>
          </cell>
          <cell r="I1877" t="str">
            <v/>
          </cell>
          <cell r="J1877" t="str">
            <v/>
          </cell>
          <cell r="K1877" t="str">
            <v/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</row>
        <row r="1878">
          <cell r="B1878">
            <v>690090</v>
          </cell>
          <cell r="C1878" t="str">
            <v>NOT USED</v>
          </cell>
          <cell r="D1878" t="str">
            <v>CONTRACTORS</v>
          </cell>
          <cell r="E1878" t="str">
            <v/>
          </cell>
          <cell r="F1878" t="str">
            <v/>
          </cell>
          <cell r="G1878" t="str">
            <v/>
          </cell>
          <cell r="H1878" t="str">
            <v/>
          </cell>
          <cell r="I1878" t="str">
            <v/>
          </cell>
          <cell r="J1878" t="str">
            <v/>
          </cell>
          <cell r="K1878" t="str">
            <v/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</row>
        <row r="1879">
          <cell r="B1879">
            <v>690120</v>
          </cell>
          <cell r="C1879" t="str">
            <v>NOT USED</v>
          </cell>
          <cell r="D1879" t="str">
            <v>MATERIALS</v>
          </cell>
          <cell r="E1879" t="str">
            <v/>
          </cell>
          <cell r="F1879" t="str">
            <v/>
          </cell>
          <cell r="G1879" t="str">
            <v/>
          </cell>
          <cell r="H1879" t="str">
            <v/>
          </cell>
          <cell r="I1879" t="str">
            <v/>
          </cell>
          <cell r="J1879" t="str">
            <v/>
          </cell>
          <cell r="K1879" t="str">
            <v/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</row>
        <row r="1880">
          <cell r="B1880">
            <v>690130</v>
          </cell>
          <cell r="C1880" t="str">
            <v>NOT USED</v>
          </cell>
          <cell r="D1880" t="str">
            <v>FUEL</v>
          </cell>
          <cell r="E1880" t="str">
            <v/>
          </cell>
          <cell r="F1880" t="str">
            <v/>
          </cell>
          <cell r="G1880" t="str">
            <v/>
          </cell>
          <cell r="H1880" t="str">
            <v/>
          </cell>
          <cell r="I1880" t="str">
            <v/>
          </cell>
          <cell r="J1880" t="str">
            <v/>
          </cell>
          <cell r="K1880" t="str">
            <v/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0</v>
          </cell>
        </row>
        <row r="1881">
          <cell r="B1881">
            <v>690140</v>
          </cell>
          <cell r="C1881" t="str">
            <v>NOT USED</v>
          </cell>
          <cell r="D1881" t="str">
            <v>RENTS-LEASES</v>
          </cell>
          <cell r="E1881" t="str">
            <v/>
          </cell>
          <cell r="F1881" t="str">
            <v/>
          </cell>
          <cell r="G1881" t="str">
            <v/>
          </cell>
          <cell r="H1881" t="str">
            <v/>
          </cell>
          <cell r="I1881" t="str">
            <v/>
          </cell>
          <cell r="J1881" t="str">
            <v/>
          </cell>
          <cell r="K1881" t="str">
            <v/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</row>
        <row r="1882">
          <cell r="B1882">
            <v>690160</v>
          </cell>
          <cell r="C1882" t="str">
            <v>NOT USED</v>
          </cell>
          <cell r="D1882" t="str">
            <v>INJURY DAMAGES</v>
          </cell>
          <cell r="E1882" t="str">
            <v/>
          </cell>
          <cell r="F1882" t="str">
            <v/>
          </cell>
          <cell r="G1882" t="str">
            <v/>
          </cell>
          <cell r="H1882" t="str">
            <v/>
          </cell>
          <cell r="I1882" t="str">
            <v/>
          </cell>
          <cell r="J1882" t="str">
            <v/>
          </cell>
          <cell r="K1882" t="str">
            <v/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</row>
        <row r="1883">
          <cell r="B1883">
            <v>690170</v>
          </cell>
          <cell r="C1883" t="str">
            <v>NOT USED</v>
          </cell>
          <cell r="D1883" t="str">
            <v>TRAVEL</v>
          </cell>
          <cell r="E1883" t="str">
            <v/>
          </cell>
          <cell r="F1883" t="str">
            <v/>
          </cell>
          <cell r="G1883" t="str">
            <v/>
          </cell>
          <cell r="H1883" t="str">
            <v/>
          </cell>
          <cell r="I1883" t="str">
            <v/>
          </cell>
          <cell r="J1883" t="str">
            <v/>
          </cell>
          <cell r="K1883" t="str">
            <v/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  <cell r="Y1883">
            <v>0</v>
          </cell>
        </row>
        <row r="1884">
          <cell r="B1884">
            <v>690180</v>
          </cell>
          <cell r="C1884" t="str">
            <v>NOT USED</v>
          </cell>
          <cell r="D1884" t="str">
            <v>GENERAL EXPENSES</v>
          </cell>
          <cell r="E1884" t="str">
            <v/>
          </cell>
          <cell r="F1884" t="str">
            <v/>
          </cell>
          <cell r="G1884" t="str">
            <v/>
          </cell>
          <cell r="H1884" t="str">
            <v/>
          </cell>
          <cell r="I1884" t="str">
            <v/>
          </cell>
          <cell r="J1884" t="str">
            <v/>
          </cell>
          <cell r="K1884" t="str">
            <v/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</row>
        <row r="1885">
          <cell r="B1885">
            <v>690190</v>
          </cell>
          <cell r="C1885" t="str">
            <v>NOT USED</v>
          </cell>
          <cell r="D1885" t="str">
            <v>REGULATORY EXPENSES</v>
          </cell>
          <cell r="E1885" t="str">
            <v/>
          </cell>
          <cell r="F1885" t="str">
            <v/>
          </cell>
          <cell r="G1885" t="str">
            <v/>
          </cell>
          <cell r="H1885" t="str">
            <v/>
          </cell>
          <cell r="I1885" t="str">
            <v/>
          </cell>
          <cell r="J1885" t="str">
            <v/>
          </cell>
          <cell r="K1885" t="str">
            <v/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</row>
        <row r="1886">
          <cell r="B1886">
            <v>690220</v>
          </cell>
          <cell r="C1886" t="str">
            <v>NOT USED</v>
          </cell>
          <cell r="D1886" t="str">
            <v>CORPORATE TAXES</v>
          </cell>
          <cell r="E1886" t="str">
            <v/>
          </cell>
          <cell r="F1886" t="str">
            <v/>
          </cell>
          <cell r="G1886" t="str">
            <v/>
          </cell>
          <cell r="H1886" t="str">
            <v/>
          </cell>
          <cell r="I1886" t="str">
            <v/>
          </cell>
          <cell r="J1886" t="str">
            <v/>
          </cell>
          <cell r="K1886" t="str">
            <v/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</row>
        <row r="1887">
          <cell r="B1887">
            <v>690270</v>
          </cell>
          <cell r="C1887" t="str">
            <v>NOT USED</v>
          </cell>
          <cell r="D1887" t="str">
            <v>INTEREST - OTHER</v>
          </cell>
          <cell r="E1887" t="str">
            <v/>
          </cell>
          <cell r="F1887" t="str">
            <v/>
          </cell>
          <cell r="G1887" t="str">
            <v/>
          </cell>
          <cell r="H1887" t="str">
            <v/>
          </cell>
          <cell r="I1887" t="str">
            <v/>
          </cell>
          <cell r="J1887" t="str">
            <v/>
          </cell>
          <cell r="K1887" t="str">
            <v/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</row>
        <row r="1888">
          <cell r="B1888">
            <v>700000</v>
          </cell>
          <cell r="C1888" t="str">
            <v>NOT USED</v>
          </cell>
          <cell r="D1888" t="str">
            <v>MATERIALS - SETTLEMENT TO DEFERRED DEBITS</v>
          </cell>
          <cell r="E1888" t="str">
            <v/>
          </cell>
          <cell r="F1888" t="str">
            <v/>
          </cell>
          <cell r="G1888" t="str">
            <v/>
          </cell>
          <cell r="H1888" t="str">
            <v/>
          </cell>
          <cell r="I1888" t="str">
            <v/>
          </cell>
          <cell r="J1888" t="str">
            <v/>
          </cell>
          <cell r="K1888" t="str">
            <v/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</row>
        <row r="1889">
          <cell r="B1889">
            <v>700001</v>
          </cell>
          <cell r="C1889" t="str">
            <v>NOT USED</v>
          </cell>
          <cell r="D1889" t="str">
            <v>LABOR &amp; BENEFITS - SETTLEMENT TO DEFERRED DEBITS</v>
          </cell>
          <cell r="E1889" t="str">
            <v/>
          </cell>
          <cell r="F1889" t="str">
            <v/>
          </cell>
          <cell r="G1889" t="str">
            <v/>
          </cell>
          <cell r="H1889" t="str">
            <v/>
          </cell>
          <cell r="I1889" t="str">
            <v/>
          </cell>
          <cell r="J1889" t="str">
            <v/>
          </cell>
          <cell r="K1889" t="str">
            <v/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</row>
        <row r="1890">
          <cell r="B1890">
            <v>700002</v>
          </cell>
          <cell r="C1890" t="str">
            <v>NOT USED</v>
          </cell>
          <cell r="D1890" t="str">
            <v>OUTSIDE SERVICES - SETTLEMENT TO DEFERRED DEBITS</v>
          </cell>
          <cell r="E1890" t="str">
            <v/>
          </cell>
          <cell r="F1890" t="str">
            <v/>
          </cell>
          <cell r="G1890" t="str">
            <v/>
          </cell>
          <cell r="H1890" t="str">
            <v/>
          </cell>
          <cell r="I1890" t="str">
            <v/>
          </cell>
          <cell r="J1890" t="str">
            <v/>
          </cell>
          <cell r="K1890" t="str">
            <v/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</row>
        <row r="1891">
          <cell r="B1891">
            <v>700005</v>
          </cell>
          <cell r="C1891" t="str">
            <v>NOT USED</v>
          </cell>
          <cell r="D1891" t="str">
            <v>OTHER - SETTLEMENT TO DEFERRED DEBITS</v>
          </cell>
          <cell r="E1891" t="str">
            <v/>
          </cell>
          <cell r="F1891" t="str">
            <v/>
          </cell>
          <cell r="G1891" t="str">
            <v/>
          </cell>
          <cell r="H1891" t="str">
            <v/>
          </cell>
          <cell r="I1891" t="str">
            <v/>
          </cell>
          <cell r="J1891" t="str">
            <v/>
          </cell>
          <cell r="K1891" t="str">
            <v/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</row>
        <row r="1892">
          <cell r="B1892">
            <v>700006</v>
          </cell>
          <cell r="C1892" t="str">
            <v>NOT USED</v>
          </cell>
          <cell r="D1892" t="str">
            <v>CIAC - SETTLEMENT TO DEFERRED DEBITS</v>
          </cell>
          <cell r="E1892" t="str">
            <v/>
          </cell>
          <cell r="F1892" t="str">
            <v/>
          </cell>
          <cell r="G1892" t="str">
            <v/>
          </cell>
          <cell r="H1892" t="str">
            <v/>
          </cell>
          <cell r="I1892" t="str">
            <v/>
          </cell>
          <cell r="J1892" t="str">
            <v/>
          </cell>
          <cell r="K1892" t="str">
            <v/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0</v>
          </cell>
        </row>
        <row r="1893">
          <cell r="B1893">
            <v>700009</v>
          </cell>
          <cell r="C1893" t="str">
            <v>NOT USED</v>
          </cell>
          <cell r="D1893" t="str">
            <v>LEGAL - SETTLEMENT TO DEFERRED DEBITS</v>
          </cell>
          <cell r="E1893" t="str">
            <v/>
          </cell>
          <cell r="F1893" t="str">
            <v/>
          </cell>
          <cell r="G1893" t="str">
            <v/>
          </cell>
          <cell r="H1893" t="str">
            <v/>
          </cell>
          <cell r="I1893" t="str">
            <v/>
          </cell>
          <cell r="J1893" t="str">
            <v/>
          </cell>
          <cell r="K1893" t="str">
            <v/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</row>
        <row r="1894">
          <cell r="B1894">
            <v>780043</v>
          </cell>
          <cell r="C1894" t="str">
            <v>NOT USED</v>
          </cell>
          <cell r="D1894" t="str">
            <v>BENEFITS-PENSIONS-AMORTIZATION GAIN/LOSS</v>
          </cell>
          <cell r="E1894" t="str">
            <v/>
          </cell>
          <cell r="F1894" t="str">
            <v/>
          </cell>
          <cell r="G1894" t="str">
            <v/>
          </cell>
          <cell r="H1894" t="str">
            <v/>
          </cell>
          <cell r="I1894" t="str">
            <v/>
          </cell>
          <cell r="J1894" t="str">
            <v/>
          </cell>
          <cell r="K1894" t="str">
            <v/>
          </cell>
          <cell r="V1894">
            <v>-8916.7441799999997</v>
          </cell>
          <cell r="W1894">
            <v>-9808.4186000000009</v>
          </cell>
          <cell r="X1894">
            <v>-10700.09302</v>
          </cell>
          <cell r="Y1894">
            <v>-2006.267441</v>
          </cell>
        </row>
        <row r="1895">
          <cell r="B1895">
            <v>780049</v>
          </cell>
          <cell r="C1895" t="str">
            <v>NOT USED</v>
          </cell>
          <cell r="D1895" t="str">
            <v>BENEFITS - WORKMEN'S COMPENSATION</v>
          </cell>
          <cell r="E1895" t="str">
            <v/>
          </cell>
          <cell r="F1895" t="str">
            <v/>
          </cell>
          <cell r="G1895" t="str">
            <v/>
          </cell>
          <cell r="H1895" t="str">
            <v/>
          </cell>
          <cell r="I1895" t="str">
            <v/>
          </cell>
          <cell r="J1895" t="str">
            <v/>
          </cell>
          <cell r="K1895" t="str">
            <v/>
          </cell>
          <cell r="V1895">
            <v>-1941.3440399999999</v>
          </cell>
          <cell r="W1895">
            <v>-1979.6424500000001</v>
          </cell>
          <cell r="X1895">
            <v>-2161.71819</v>
          </cell>
          <cell r="Y1895">
            <v>-416.82046500000001</v>
          </cell>
        </row>
        <row r="1896">
          <cell r="B1896">
            <v>780050</v>
          </cell>
          <cell r="C1896" t="str">
            <v>NOT USED</v>
          </cell>
          <cell r="D1896" t="str">
            <v>BENEFITS-OTHER</v>
          </cell>
          <cell r="E1896" t="str">
            <v/>
          </cell>
          <cell r="F1896" t="str">
            <v/>
          </cell>
          <cell r="G1896" t="str">
            <v/>
          </cell>
          <cell r="H1896" t="str">
            <v/>
          </cell>
          <cell r="I1896" t="str">
            <v/>
          </cell>
          <cell r="J1896" t="str">
            <v/>
          </cell>
          <cell r="K1896" t="str">
            <v/>
          </cell>
          <cell r="V1896">
            <v>-6546.5406700000003</v>
          </cell>
          <cell r="W1896">
            <v>-7178.4982799999998</v>
          </cell>
          <cell r="X1896">
            <v>-8162.5899099999997</v>
          </cell>
          <cell r="Y1896">
            <v>-1483.861159</v>
          </cell>
        </row>
        <row r="1897">
          <cell r="B1897">
            <v>780048</v>
          </cell>
          <cell r="C1897" t="str">
            <v>NOT USED</v>
          </cell>
          <cell r="D1897" t="str">
            <v>BENEFITS-OPEB</v>
          </cell>
          <cell r="E1897">
            <v>0</v>
          </cell>
        </row>
        <row r="1898">
          <cell r="B1898">
            <v>780051</v>
          </cell>
          <cell r="C1898" t="str">
            <v>NOT USED</v>
          </cell>
          <cell r="D1898" t="str">
            <v>BENEFITS-R &amp; R</v>
          </cell>
          <cell r="E1898" t="str">
            <v/>
          </cell>
          <cell r="F1898" t="str">
            <v/>
          </cell>
          <cell r="G1898" t="str">
            <v/>
          </cell>
          <cell r="H1898" t="str">
            <v/>
          </cell>
          <cell r="I1898" t="str">
            <v/>
          </cell>
          <cell r="J1898" t="str">
            <v/>
          </cell>
          <cell r="K1898" t="str">
            <v/>
          </cell>
          <cell r="L1898">
            <v>-3</v>
          </cell>
          <cell r="M1898">
            <v>0</v>
          </cell>
          <cell r="N1898">
            <v>-7.5</v>
          </cell>
          <cell r="O1898">
            <v>-7.5</v>
          </cell>
          <cell r="P1898">
            <v>-7.5</v>
          </cell>
          <cell r="Q1898">
            <v>-7.5</v>
          </cell>
          <cell r="R1898">
            <v>-7.5</v>
          </cell>
          <cell r="S1898">
            <v>-7.5</v>
          </cell>
          <cell r="T1898">
            <v>-7.5</v>
          </cell>
          <cell r="U1898">
            <v>-7.5</v>
          </cell>
          <cell r="V1898">
            <v>-7.5</v>
          </cell>
          <cell r="W1898">
            <v>-5</v>
          </cell>
          <cell r="X1898">
            <v>-5</v>
          </cell>
          <cell r="Y1898">
            <v>-6.375</v>
          </cell>
        </row>
        <row r="1899">
          <cell r="B1899">
            <v>780052</v>
          </cell>
          <cell r="C1899" t="str">
            <v>NOT USED</v>
          </cell>
          <cell r="D1899" t="str">
            <v>BENEFITS-PENSIONS-SERVICES</v>
          </cell>
          <cell r="E1899" t="str">
            <v/>
          </cell>
          <cell r="F1899" t="str">
            <v/>
          </cell>
          <cell r="G1899" t="str">
            <v/>
          </cell>
          <cell r="H1899" t="str">
            <v/>
          </cell>
          <cell r="I1899" t="str">
            <v/>
          </cell>
          <cell r="J1899" t="str">
            <v/>
          </cell>
          <cell r="K1899" t="str">
            <v/>
          </cell>
          <cell r="V1899">
            <v>-3229.4666900000002</v>
          </cell>
          <cell r="W1899">
            <v>-3552.4133499999998</v>
          </cell>
          <cell r="X1899">
            <v>-3875.3600099999999</v>
          </cell>
          <cell r="Y1899">
            <v>-726.63000399999999</v>
          </cell>
        </row>
        <row r="1900">
          <cell r="B1900">
            <v>780053</v>
          </cell>
          <cell r="C1900" t="str">
            <v>NOT USED</v>
          </cell>
          <cell r="D1900" t="str">
            <v>BENEFITS-PENSIONS-INTEREST</v>
          </cell>
          <cell r="E1900" t="str">
            <v/>
          </cell>
          <cell r="F1900" t="str">
            <v/>
          </cell>
          <cell r="G1900" t="str">
            <v/>
          </cell>
          <cell r="H1900" t="str">
            <v/>
          </cell>
          <cell r="I1900" t="str">
            <v/>
          </cell>
          <cell r="J1900" t="str">
            <v/>
          </cell>
          <cell r="K1900" t="str">
            <v/>
          </cell>
          <cell r="V1900">
            <v>-18082.78</v>
          </cell>
          <cell r="W1900">
            <v>-19891.058000000001</v>
          </cell>
          <cell r="X1900">
            <v>-21699.335999999999</v>
          </cell>
          <cell r="Y1900">
            <v>-4068.6255000000001</v>
          </cell>
        </row>
        <row r="1901">
          <cell r="B1901">
            <v>780054</v>
          </cell>
          <cell r="C1901" t="str">
            <v>NOT USED</v>
          </cell>
          <cell r="D1901" t="str">
            <v>BENEFITS-PENSIONS-RETURN ON ASSETS-ROA</v>
          </cell>
          <cell r="E1901" t="str">
            <v/>
          </cell>
          <cell r="F1901" t="str">
            <v/>
          </cell>
          <cell r="G1901" t="str">
            <v/>
          </cell>
          <cell r="H1901" t="str">
            <v/>
          </cell>
          <cell r="I1901" t="str">
            <v/>
          </cell>
          <cell r="J1901" t="str">
            <v/>
          </cell>
          <cell r="K1901" t="str">
            <v/>
          </cell>
          <cell r="V1901">
            <v>29803.119180000002</v>
          </cell>
          <cell r="W1901">
            <v>32783.431100000002</v>
          </cell>
          <cell r="X1901">
            <v>35763.743020000002</v>
          </cell>
          <cell r="Y1901">
            <v>6705.7018159999998</v>
          </cell>
        </row>
        <row r="1902">
          <cell r="B1902">
            <v>780058</v>
          </cell>
          <cell r="C1902" t="str">
            <v>NOT USED</v>
          </cell>
          <cell r="D1902" t="str">
            <v>PAYROLL-ALL EMPLOYEE INCENTIVE PROGRAM</v>
          </cell>
          <cell r="E1902" t="str">
            <v/>
          </cell>
          <cell r="F1902" t="str">
            <v/>
          </cell>
          <cell r="G1902" t="str">
            <v/>
          </cell>
          <cell r="H1902" t="str">
            <v/>
          </cell>
          <cell r="I1902" t="str">
            <v/>
          </cell>
          <cell r="J1902" t="str">
            <v/>
          </cell>
          <cell r="K1902" t="str">
            <v/>
          </cell>
          <cell r="V1902">
            <v>-1250.61886</v>
          </cell>
          <cell r="W1902">
            <v>-1369.0478599999999</v>
          </cell>
          <cell r="X1902">
            <v>-1990.4509700000001</v>
          </cell>
          <cell r="Y1902">
            <v>-301.241017</v>
          </cell>
        </row>
        <row r="1903">
          <cell r="B1903">
            <v>780059</v>
          </cell>
          <cell r="C1903" t="str">
            <v>NOT USED</v>
          </cell>
          <cell r="D1903" t="str">
            <v>BENEFITS - WORKMEN'S COMPENSATION-ACCRUAL</v>
          </cell>
          <cell r="E1903" t="str">
            <v/>
          </cell>
          <cell r="F1903" t="str">
            <v/>
          </cell>
          <cell r="G1903" t="str">
            <v/>
          </cell>
          <cell r="H1903" t="str">
            <v/>
          </cell>
          <cell r="I1903" t="str">
            <v/>
          </cell>
          <cell r="J1903" t="str">
            <v/>
          </cell>
          <cell r="K1903" t="str">
            <v/>
          </cell>
          <cell r="V1903">
            <v>-354.01326</v>
          </cell>
          <cell r="W1903">
            <v>-389.81061999999997</v>
          </cell>
          <cell r="X1903">
            <v>-425.58744999999999</v>
          </cell>
          <cell r="Y1903">
            <v>-79.718134000000006</v>
          </cell>
        </row>
        <row r="1904">
          <cell r="B1904">
            <v>780060</v>
          </cell>
          <cell r="C1904" t="str">
            <v>NOT USED</v>
          </cell>
          <cell r="D1904" t="str">
            <v>BILLING</v>
          </cell>
          <cell r="E1904" t="str">
            <v/>
          </cell>
          <cell r="F1904" t="str">
            <v/>
          </cell>
          <cell r="G1904" t="str">
            <v/>
          </cell>
          <cell r="H1904" t="str">
            <v/>
          </cell>
          <cell r="I1904" t="str">
            <v/>
          </cell>
          <cell r="J1904" t="str">
            <v/>
          </cell>
          <cell r="K1904" t="str">
            <v/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>
            <v>0</v>
          </cell>
        </row>
        <row r="1905">
          <cell r="B1905">
            <v>780070</v>
          </cell>
          <cell r="C1905" t="str">
            <v>NOT USED</v>
          </cell>
          <cell r="D1905" t="str">
            <v>CASH SUNDRIES</v>
          </cell>
          <cell r="E1905" t="str">
            <v/>
          </cell>
          <cell r="F1905" t="str">
            <v/>
          </cell>
          <cell r="G1905" t="str">
            <v/>
          </cell>
          <cell r="H1905" t="str">
            <v/>
          </cell>
          <cell r="I1905" t="str">
            <v/>
          </cell>
          <cell r="J1905" t="str">
            <v/>
          </cell>
          <cell r="K1905" t="str">
            <v/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</row>
        <row r="1906">
          <cell r="B1906">
            <v>780090</v>
          </cell>
          <cell r="C1906" t="str">
            <v>NOT USED</v>
          </cell>
          <cell r="D1906" t="str">
            <v>CONTRACTORS / OUTSIDE SERVICES</v>
          </cell>
          <cell r="E1906" t="str">
            <v/>
          </cell>
          <cell r="F1906" t="str">
            <v/>
          </cell>
          <cell r="G1906" t="str">
            <v/>
          </cell>
          <cell r="H1906" t="str">
            <v/>
          </cell>
          <cell r="I1906" t="str">
            <v/>
          </cell>
          <cell r="J1906" t="str">
            <v/>
          </cell>
          <cell r="K1906" t="str">
            <v/>
          </cell>
          <cell r="L1906">
            <v>-1907.83815</v>
          </cell>
          <cell r="M1906">
            <v>-232.40629000000001</v>
          </cell>
          <cell r="N1906">
            <v>-583.74636999999996</v>
          </cell>
          <cell r="O1906">
            <v>-960.23542999999995</v>
          </cell>
          <cell r="P1906">
            <v>-1159.7092399999999</v>
          </cell>
          <cell r="Q1906">
            <v>-1722.90067</v>
          </cell>
          <cell r="R1906">
            <v>-2086.9501300000002</v>
          </cell>
          <cell r="S1906">
            <v>-2089.7137299999999</v>
          </cell>
          <cell r="T1906">
            <v>-2096.9267300000001</v>
          </cell>
          <cell r="U1906">
            <v>-2109.62383</v>
          </cell>
          <cell r="V1906">
            <v>-2122.4839299999999</v>
          </cell>
          <cell r="W1906">
            <v>-2137.6671299999998</v>
          </cell>
          <cell r="X1906">
            <v>-2154.3011299999998</v>
          </cell>
          <cell r="Y1906">
            <v>-1611.1194270000001</v>
          </cell>
        </row>
        <row r="1907">
          <cell r="B1907">
            <v>780095</v>
          </cell>
          <cell r="C1907" t="str">
            <v>NOT USED</v>
          </cell>
          <cell r="D1907" t="str">
            <v>CONTRACTORS LEGAL</v>
          </cell>
          <cell r="E1907" t="str">
            <v/>
          </cell>
          <cell r="F1907" t="str">
            <v/>
          </cell>
          <cell r="G1907" t="str">
            <v/>
          </cell>
          <cell r="H1907" t="str">
            <v/>
          </cell>
          <cell r="I1907" t="str">
            <v/>
          </cell>
          <cell r="J1907" t="str">
            <v/>
          </cell>
          <cell r="K1907" t="str">
            <v/>
          </cell>
          <cell r="L1907">
            <v>-193.87858</v>
          </cell>
          <cell r="M1907">
            <v>-0.47682000000000002</v>
          </cell>
          <cell r="N1907">
            <v>-4.5649199999999999</v>
          </cell>
          <cell r="O1907">
            <v>-12.064920000000001</v>
          </cell>
          <cell r="P1907">
            <v>-13.91107</v>
          </cell>
          <cell r="Q1907">
            <v>-15.95532</v>
          </cell>
          <cell r="R1907">
            <v>-15.95532</v>
          </cell>
          <cell r="S1907">
            <v>-16.618320000000001</v>
          </cell>
          <cell r="T1907">
            <v>-18.662569999999999</v>
          </cell>
          <cell r="U1907">
            <v>-28.662569999999999</v>
          </cell>
          <cell r="V1907">
            <v>-37.226320000000001</v>
          </cell>
          <cell r="W1907">
            <v>-47.392319999999998</v>
          </cell>
          <cell r="X1907">
            <v>-76.802160000000001</v>
          </cell>
          <cell r="Y1907">
            <v>-28.902570000000001</v>
          </cell>
        </row>
        <row r="1908">
          <cell r="B1908">
            <v>780097</v>
          </cell>
          <cell r="C1908" t="str">
            <v>NOT USED</v>
          </cell>
          <cell r="D1908" t="str">
            <v>CONTRACTORS-ENVIRONMENTAL SERVICES</v>
          </cell>
          <cell r="E1908" t="str">
            <v/>
          </cell>
          <cell r="F1908" t="str">
            <v/>
          </cell>
          <cell r="G1908" t="str">
            <v/>
          </cell>
          <cell r="H1908" t="str">
            <v/>
          </cell>
          <cell r="I1908" t="str">
            <v/>
          </cell>
          <cell r="J1908" t="str">
            <v/>
          </cell>
          <cell r="K1908" t="str">
            <v/>
          </cell>
          <cell r="L1908">
            <v>-17.01924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-0.70913499999999996</v>
          </cell>
        </row>
        <row r="1909">
          <cell r="B1909">
            <v>780098</v>
          </cell>
          <cell r="C1909" t="str">
            <v>NOT USED</v>
          </cell>
          <cell r="D1909" t="str">
            <v>CONTRACTORS-ELECT CONSTRUCTION AND MAINT SERVICES</v>
          </cell>
          <cell r="E1909" t="str">
            <v/>
          </cell>
          <cell r="F1909" t="str">
            <v/>
          </cell>
          <cell r="G1909" t="str">
            <v/>
          </cell>
          <cell r="H1909" t="str">
            <v/>
          </cell>
          <cell r="I1909" t="str">
            <v/>
          </cell>
          <cell r="J1909" t="str">
            <v/>
          </cell>
          <cell r="K1909" t="str">
            <v/>
          </cell>
          <cell r="L1909">
            <v>-208.57685000000001</v>
          </cell>
          <cell r="M1909">
            <v>-0.79745999999999995</v>
          </cell>
          <cell r="N1909">
            <v>-16.649069999999998</v>
          </cell>
          <cell r="O1909">
            <v>-9.5637000000000008</v>
          </cell>
          <cell r="P1909">
            <v>-23.034050000000001</v>
          </cell>
          <cell r="Q1909">
            <v>-36.440440000000002</v>
          </cell>
          <cell r="R1909">
            <v>-51.306089999999998</v>
          </cell>
          <cell r="S1909">
            <v>-45.606090000000002</v>
          </cell>
          <cell r="T1909">
            <v>-94.202089999999998</v>
          </cell>
          <cell r="U1909">
            <v>-134.54787999999999</v>
          </cell>
          <cell r="V1909">
            <v>-172.87588</v>
          </cell>
          <cell r="W1909">
            <v>-230.79687999999999</v>
          </cell>
          <cell r="X1909">
            <v>-276.23424999999997</v>
          </cell>
          <cell r="Y1909">
            <v>-88.185432000000006</v>
          </cell>
        </row>
        <row r="1910">
          <cell r="B1910">
            <v>780099</v>
          </cell>
          <cell r="C1910" t="str">
            <v>NOT USED</v>
          </cell>
          <cell r="D1910" t="str">
            <v>CONTRACTORS-GAS CONSTRUCTION SERVICES</v>
          </cell>
          <cell r="E1910" t="str">
            <v/>
          </cell>
          <cell r="F1910" t="str">
            <v/>
          </cell>
          <cell r="G1910" t="str">
            <v/>
          </cell>
          <cell r="H1910" t="str">
            <v/>
          </cell>
          <cell r="I1910" t="str">
            <v/>
          </cell>
          <cell r="J1910" t="str">
            <v/>
          </cell>
          <cell r="K1910" t="str">
            <v/>
          </cell>
          <cell r="L1910">
            <v>-780.95748000000003</v>
          </cell>
          <cell r="M1910">
            <v>0</v>
          </cell>
          <cell r="N1910">
            <v>-3.7450000000000001</v>
          </cell>
          <cell r="O1910">
            <v>-29.090150000000001</v>
          </cell>
          <cell r="P1910">
            <v>-44.877650000000003</v>
          </cell>
          <cell r="Q1910">
            <v>-69.689800000000005</v>
          </cell>
          <cell r="R1910">
            <v>-100.7753</v>
          </cell>
          <cell r="S1910">
            <v>-114.17343</v>
          </cell>
          <cell r="T1910">
            <v>-117.84093</v>
          </cell>
          <cell r="U1910">
            <v>-166.58691999999999</v>
          </cell>
          <cell r="V1910">
            <v>-168.16413</v>
          </cell>
          <cell r="W1910">
            <v>-169.97538</v>
          </cell>
          <cell r="X1910">
            <v>-174.99748</v>
          </cell>
          <cell r="Y1910">
            <v>-121.90801399999999</v>
          </cell>
        </row>
        <row r="1911">
          <cell r="B1911">
            <v>780130</v>
          </cell>
          <cell r="C1911" t="str">
            <v>NOT USED</v>
          </cell>
          <cell r="D1911" t="str">
            <v>FEES-OTHER</v>
          </cell>
          <cell r="E1911" t="str">
            <v/>
          </cell>
          <cell r="F1911" t="str">
            <v/>
          </cell>
          <cell r="G1911" t="str">
            <v/>
          </cell>
          <cell r="H1911" t="str">
            <v/>
          </cell>
          <cell r="I1911" t="str">
            <v/>
          </cell>
          <cell r="J1911" t="str">
            <v/>
          </cell>
          <cell r="K1911" t="str">
            <v/>
          </cell>
          <cell r="L1911">
            <v>-1.2549999999999999</v>
          </cell>
          <cell r="M1911">
            <v>-2.39</v>
          </cell>
          <cell r="N1911">
            <v>-2.5148999999999999</v>
          </cell>
          <cell r="O1911">
            <v>-2.7399</v>
          </cell>
          <cell r="P1911">
            <v>-2.7399</v>
          </cell>
          <cell r="Q1911">
            <v>-2.3004500000000001</v>
          </cell>
          <cell r="R1911">
            <v>-2.3004500000000001</v>
          </cell>
          <cell r="S1911">
            <v>-2.3504499999999999</v>
          </cell>
          <cell r="T1911">
            <v>-8.9214500000000001</v>
          </cell>
          <cell r="U1911">
            <v>-10.336449999999999</v>
          </cell>
          <cell r="V1911">
            <v>-10.541449999999999</v>
          </cell>
          <cell r="W1911">
            <v>-19.059950000000001</v>
          </cell>
          <cell r="X1911">
            <v>-19.164950000000001</v>
          </cell>
          <cell r="Y1911">
            <v>-6.3671100000000003</v>
          </cell>
        </row>
        <row r="1912">
          <cell r="B1912">
            <v>780147</v>
          </cell>
          <cell r="C1912" t="str">
            <v>NOT USED</v>
          </cell>
          <cell r="D1912" t="str">
            <v>CONTRACTORS OTHERS</v>
          </cell>
          <cell r="E1912">
            <v>0</v>
          </cell>
        </row>
        <row r="1913">
          <cell r="B1913">
            <v>780180</v>
          </cell>
          <cell r="C1913" t="str">
            <v>NOT USED</v>
          </cell>
          <cell r="D1913" t="str">
            <v>FUEL -DIESEL FOR VEHICLE</v>
          </cell>
          <cell r="E1913" t="str">
            <v/>
          </cell>
          <cell r="F1913" t="str">
            <v/>
          </cell>
          <cell r="G1913" t="str">
            <v/>
          </cell>
          <cell r="H1913" t="str">
            <v/>
          </cell>
          <cell r="I1913" t="str">
            <v/>
          </cell>
          <cell r="J1913" t="str">
            <v/>
          </cell>
          <cell r="K1913" t="str">
            <v/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</row>
        <row r="1914">
          <cell r="B1914">
            <v>780190</v>
          </cell>
          <cell r="C1914" t="str">
            <v>NOT USED</v>
          </cell>
          <cell r="D1914" t="str">
            <v>FUEL - GASOLINE FOR VEHICLE</v>
          </cell>
          <cell r="E1914" t="str">
            <v/>
          </cell>
          <cell r="F1914" t="str">
            <v/>
          </cell>
          <cell r="G1914" t="str">
            <v/>
          </cell>
          <cell r="H1914" t="str">
            <v/>
          </cell>
          <cell r="I1914" t="str">
            <v/>
          </cell>
          <cell r="J1914" t="str">
            <v/>
          </cell>
          <cell r="K1914" t="str">
            <v/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</row>
        <row r="1915">
          <cell r="B1915">
            <v>780205</v>
          </cell>
          <cell r="C1915" t="str">
            <v>NOT USED</v>
          </cell>
          <cell r="D1915" t="str">
            <v>HARDWARE</v>
          </cell>
          <cell r="E1915" t="str">
            <v/>
          </cell>
          <cell r="F1915" t="str">
            <v/>
          </cell>
          <cell r="G1915" t="str">
            <v/>
          </cell>
          <cell r="H1915" t="str">
            <v/>
          </cell>
          <cell r="I1915" t="str">
            <v/>
          </cell>
          <cell r="J1915" t="str">
            <v/>
          </cell>
          <cell r="K1915" t="str">
            <v/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-0.47699999999999998</v>
          </cell>
          <cell r="Q1915">
            <v>-0.47699999999999998</v>
          </cell>
          <cell r="R1915">
            <v>-0.49619999999999997</v>
          </cell>
          <cell r="S1915">
            <v>-0.49619999999999997</v>
          </cell>
          <cell r="T1915">
            <v>-0.49619999999999997</v>
          </cell>
          <cell r="U1915">
            <v>-0.49619999999999997</v>
          </cell>
          <cell r="V1915">
            <v>0</v>
          </cell>
          <cell r="W1915">
            <v>0</v>
          </cell>
          <cell r="X1915">
            <v>0</v>
          </cell>
          <cell r="Y1915">
            <v>-0.24490000000000001</v>
          </cell>
        </row>
        <row r="1916">
          <cell r="B1916">
            <v>780240</v>
          </cell>
          <cell r="C1916" t="str">
            <v>NOT USED</v>
          </cell>
          <cell r="D1916" t="str">
            <v>LABOR-STRAIGHT TIME</v>
          </cell>
          <cell r="E1916" t="str">
            <v/>
          </cell>
          <cell r="F1916" t="str">
            <v/>
          </cell>
          <cell r="G1916" t="str">
            <v/>
          </cell>
          <cell r="H1916" t="str">
            <v/>
          </cell>
          <cell r="I1916" t="str">
            <v/>
          </cell>
          <cell r="J1916" t="str">
            <v/>
          </cell>
          <cell r="K1916" t="str">
            <v/>
          </cell>
          <cell r="L1916">
            <v>-2186.6947799999998</v>
          </cell>
          <cell r="M1916">
            <v>-210.74548999999999</v>
          </cell>
          <cell r="N1916">
            <v>-398.73867000000001</v>
          </cell>
          <cell r="O1916">
            <v>-593.60240999999996</v>
          </cell>
          <cell r="P1916">
            <v>-784.91894000000002</v>
          </cell>
          <cell r="Q1916">
            <v>-1000.18326</v>
          </cell>
          <cell r="R1916">
            <v>-1191.65672</v>
          </cell>
          <cell r="S1916">
            <v>-1398.00902</v>
          </cell>
          <cell r="T1916">
            <v>-1649.4737500000001</v>
          </cell>
          <cell r="U1916">
            <v>-1832.18948</v>
          </cell>
          <cell r="V1916">
            <v>-2133.05935</v>
          </cell>
          <cell r="W1916">
            <v>-2347.7580699999999</v>
          </cell>
          <cell r="X1916">
            <v>-2590.3182200000001</v>
          </cell>
          <cell r="Y1916">
            <v>-1327.403472</v>
          </cell>
        </row>
        <row r="1917">
          <cell r="B1917">
            <v>780250</v>
          </cell>
          <cell r="C1917" t="str">
            <v>NOT USED</v>
          </cell>
          <cell r="D1917" t="str">
            <v>LABOR-OVERTIME</v>
          </cell>
          <cell r="E1917" t="str">
            <v/>
          </cell>
          <cell r="F1917" t="str">
            <v/>
          </cell>
          <cell r="G1917" t="str">
            <v/>
          </cell>
          <cell r="H1917" t="str">
            <v/>
          </cell>
          <cell r="I1917" t="str">
            <v/>
          </cell>
          <cell r="J1917" t="str">
            <v/>
          </cell>
          <cell r="K1917" t="str">
            <v/>
          </cell>
          <cell r="L1917">
            <v>-42.259920000000001</v>
          </cell>
          <cell r="M1917">
            <v>-9.4873600000000007</v>
          </cell>
          <cell r="N1917">
            <v>-17.35895</v>
          </cell>
          <cell r="O1917">
            <v>-26.196480000000001</v>
          </cell>
          <cell r="P1917">
            <v>-32.520090000000003</v>
          </cell>
          <cell r="Q1917">
            <v>-41.966189999999997</v>
          </cell>
          <cell r="R1917">
            <v>-48.208449999999999</v>
          </cell>
          <cell r="S1917">
            <v>-55.922199999999997</v>
          </cell>
          <cell r="T1917">
            <v>-64.182389999999998</v>
          </cell>
          <cell r="U1917">
            <v>-75.110420000000005</v>
          </cell>
          <cell r="V1917">
            <v>-86.2119</v>
          </cell>
          <cell r="W1917">
            <v>-95.559790000000007</v>
          </cell>
          <cell r="X1917">
            <v>-106.58355</v>
          </cell>
          <cell r="Y1917">
            <v>-52.262163000000001</v>
          </cell>
        </row>
        <row r="1918">
          <cell r="B1918">
            <v>780255</v>
          </cell>
          <cell r="C1918" t="str">
            <v>NOT USED</v>
          </cell>
          <cell r="D1918" t="str">
            <v>LABOR RECL - OVERTIME</v>
          </cell>
          <cell r="E1918" t="str">
            <v/>
          </cell>
          <cell r="F1918" t="str">
            <v/>
          </cell>
          <cell r="G1918" t="str">
            <v/>
          </cell>
          <cell r="H1918" t="str">
            <v/>
          </cell>
          <cell r="I1918" t="str">
            <v/>
          </cell>
          <cell r="J1918" t="str">
            <v/>
          </cell>
          <cell r="K1918" t="str">
            <v/>
          </cell>
          <cell r="N1918">
            <v>-1.618E-2</v>
          </cell>
          <cell r="O1918">
            <v>-1.618E-2</v>
          </cell>
          <cell r="P1918">
            <v>-1.618E-2</v>
          </cell>
          <cell r="Q1918">
            <v>-1.618E-2</v>
          </cell>
          <cell r="R1918">
            <v>-1.618E-2</v>
          </cell>
          <cell r="S1918">
            <v>-1.618E-2</v>
          </cell>
          <cell r="T1918">
            <v>-1.618E-2</v>
          </cell>
          <cell r="U1918">
            <v>-1.618E-2</v>
          </cell>
          <cell r="V1918">
            <v>-1.618E-2</v>
          </cell>
          <cell r="W1918">
            <v>-1.618E-2</v>
          </cell>
          <cell r="X1918">
            <v>-1.618E-2</v>
          </cell>
          <cell r="Y1918">
            <v>-1.4158E-2</v>
          </cell>
        </row>
        <row r="1919">
          <cell r="B1919">
            <v>780260</v>
          </cell>
          <cell r="C1919" t="str">
            <v>NOT USED</v>
          </cell>
          <cell r="D1919" t="str">
            <v>LABOR-DOUBLE OVERTIME</v>
          </cell>
          <cell r="E1919" t="str">
            <v/>
          </cell>
          <cell r="F1919" t="str">
            <v/>
          </cell>
          <cell r="G1919" t="str">
            <v/>
          </cell>
          <cell r="H1919" t="str">
            <v/>
          </cell>
          <cell r="I1919" t="str">
            <v/>
          </cell>
          <cell r="J1919" t="str">
            <v/>
          </cell>
          <cell r="K1919" t="str">
            <v/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</row>
        <row r="1920">
          <cell r="B1920">
            <v>780298</v>
          </cell>
          <cell r="C1920" t="str">
            <v>NOT USED</v>
          </cell>
          <cell r="D1920" t="str">
            <v>LABOR-STRAIGHT TIME - OT @ 1.0</v>
          </cell>
          <cell r="E1920">
            <v>0</v>
          </cell>
          <cell r="X1920">
            <v>-10.990170000000001</v>
          </cell>
          <cell r="Y1920">
            <v>-0.457924</v>
          </cell>
        </row>
        <row r="1921">
          <cell r="B1921">
            <v>780300</v>
          </cell>
          <cell r="C1921" t="str">
            <v>NOT USED</v>
          </cell>
          <cell r="D1921" t="str">
            <v>LABOR-PERSONAL MILES</v>
          </cell>
          <cell r="E1921" t="str">
            <v/>
          </cell>
          <cell r="F1921" t="str">
            <v/>
          </cell>
          <cell r="G1921" t="str">
            <v/>
          </cell>
          <cell r="H1921" t="str">
            <v/>
          </cell>
          <cell r="I1921" t="str">
            <v/>
          </cell>
          <cell r="J1921" t="str">
            <v/>
          </cell>
          <cell r="K1921" t="str">
            <v/>
          </cell>
          <cell r="L1921">
            <v>-63.964449999999999</v>
          </cell>
          <cell r="M1921">
            <v>-4.4364499999999998</v>
          </cell>
          <cell r="N1921">
            <v>-8.1268100000000008</v>
          </cell>
          <cell r="O1921">
            <v>-12.02627</v>
          </cell>
          <cell r="P1921">
            <v>-16.662680000000002</v>
          </cell>
          <cell r="Q1921">
            <v>-21.395990000000001</v>
          </cell>
          <cell r="R1921">
            <v>-25.01699</v>
          </cell>
          <cell r="S1921">
            <v>-29.915870000000002</v>
          </cell>
          <cell r="T1921">
            <v>-36.138030000000001</v>
          </cell>
          <cell r="U1921">
            <v>-40.572110000000002</v>
          </cell>
          <cell r="V1921">
            <v>-45.911149999999999</v>
          </cell>
          <cell r="W1921">
            <v>-51.71443</v>
          </cell>
          <cell r="X1921">
            <v>-57.760820000000002</v>
          </cell>
          <cell r="Y1921">
            <v>-29.398285000000001</v>
          </cell>
        </row>
        <row r="1922">
          <cell r="B1922">
            <v>780310</v>
          </cell>
          <cell r="C1922" t="str">
            <v>NOT USED</v>
          </cell>
          <cell r="D1922" t="str">
            <v>MATERIALS-STOCK</v>
          </cell>
          <cell r="E1922" t="str">
            <v/>
          </cell>
          <cell r="F1922" t="str">
            <v/>
          </cell>
          <cell r="G1922" t="str">
            <v/>
          </cell>
          <cell r="H1922" t="str">
            <v/>
          </cell>
          <cell r="I1922" t="str">
            <v/>
          </cell>
          <cell r="J1922" t="str">
            <v/>
          </cell>
          <cell r="K1922" t="str">
            <v/>
          </cell>
          <cell r="L1922">
            <v>17.249199999999998</v>
          </cell>
          <cell r="M1922">
            <v>-9.4371100000000006</v>
          </cell>
          <cell r="N1922">
            <v>5.3439699999999997</v>
          </cell>
          <cell r="O1922">
            <v>-27.071429999999999</v>
          </cell>
          <cell r="P1922">
            <v>-28.488679999999999</v>
          </cell>
          <cell r="Q1922">
            <v>-28.594349999999999</v>
          </cell>
          <cell r="R1922">
            <v>-33.878610000000002</v>
          </cell>
          <cell r="S1922">
            <v>-32.61063</v>
          </cell>
          <cell r="T1922">
            <v>-39.796849999999999</v>
          </cell>
          <cell r="U1922">
            <v>-16.059059999999999</v>
          </cell>
          <cell r="V1922">
            <v>19.152370000000001</v>
          </cell>
          <cell r="W1922">
            <v>7.95648</v>
          </cell>
          <cell r="X1922">
            <v>27.12726</v>
          </cell>
          <cell r="Y1922">
            <v>-13.441306000000001</v>
          </cell>
        </row>
        <row r="1923">
          <cell r="B1923">
            <v>780320</v>
          </cell>
          <cell r="C1923" t="str">
            <v>NOT USED</v>
          </cell>
          <cell r="D1923" t="str">
            <v>MATERIALS - NON-STOCK</v>
          </cell>
          <cell r="E1923" t="str">
            <v/>
          </cell>
          <cell r="F1923" t="str">
            <v/>
          </cell>
          <cell r="G1923" t="str">
            <v/>
          </cell>
          <cell r="H1923" t="str">
            <v/>
          </cell>
          <cell r="I1923" t="str">
            <v/>
          </cell>
          <cell r="J1923" t="str">
            <v/>
          </cell>
          <cell r="K1923" t="str">
            <v/>
          </cell>
          <cell r="L1923">
            <v>-25.55846</v>
          </cell>
          <cell r="M1923">
            <v>-0.26805000000000001</v>
          </cell>
          <cell r="N1923">
            <v>-0.77171000000000001</v>
          </cell>
          <cell r="O1923">
            <v>-0.77171000000000001</v>
          </cell>
          <cell r="P1923">
            <v>-0.76422000000000001</v>
          </cell>
          <cell r="Q1923">
            <v>-2.1542300000000001</v>
          </cell>
          <cell r="R1923">
            <v>-2.98184</v>
          </cell>
          <cell r="S1923">
            <v>-2.9868399999999999</v>
          </cell>
          <cell r="T1923">
            <v>-10.409890000000001</v>
          </cell>
          <cell r="U1923">
            <v>-11.210140000000001</v>
          </cell>
          <cell r="V1923">
            <v>-13.527749999999999</v>
          </cell>
          <cell r="W1923">
            <v>-14.45506</v>
          </cell>
          <cell r="X1923">
            <v>-17.411729999999999</v>
          </cell>
          <cell r="Y1923">
            <v>-6.8155450000000002</v>
          </cell>
        </row>
        <row r="1924">
          <cell r="B1924">
            <v>780370</v>
          </cell>
          <cell r="C1924" t="str">
            <v>NOT USED</v>
          </cell>
          <cell r="D1924" t="str">
            <v>MATERIALS-TRANSFORMERS/REGULATORS/METERS</v>
          </cell>
          <cell r="E1924" t="str">
            <v/>
          </cell>
          <cell r="F1924" t="str">
            <v/>
          </cell>
          <cell r="G1924" t="str">
            <v/>
          </cell>
          <cell r="H1924" t="str">
            <v/>
          </cell>
          <cell r="I1924" t="str">
            <v/>
          </cell>
          <cell r="J1924" t="str">
            <v/>
          </cell>
          <cell r="K1924" t="str">
            <v/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</row>
        <row r="1925">
          <cell r="B1925">
            <v>780380</v>
          </cell>
          <cell r="C1925" t="str">
            <v>NOT USED</v>
          </cell>
          <cell r="D1925" t="str">
            <v>OFFICE SUPPLIES</v>
          </cell>
          <cell r="E1925" t="str">
            <v/>
          </cell>
          <cell r="F1925" t="str">
            <v/>
          </cell>
          <cell r="G1925" t="str">
            <v/>
          </cell>
          <cell r="H1925" t="str">
            <v/>
          </cell>
          <cell r="I1925" t="str">
            <v/>
          </cell>
          <cell r="J1925" t="str">
            <v/>
          </cell>
          <cell r="K1925" t="str">
            <v/>
          </cell>
          <cell r="L1925">
            <v>-0.68530000000000002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-3.1060000000000001E-2</v>
          </cell>
          <cell r="S1925">
            <v>-3.1060000000000001E-2</v>
          </cell>
          <cell r="T1925">
            <v>-3.1060000000000001E-2</v>
          </cell>
          <cell r="U1925">
            <v>-8.1059999999999993E-2</v>
          </cell>
          <cell r="V1925">
            <v>-8.1059999999999993E-2</v>
          </cell>
          <cell r="W1925">
            <v>-6.2149999999999997E-2</v>
          </cell>
          <cell r="X1925">
            <v>-6.2149999999999997E-2</v>
          </cell>
          <cell r="Y1925">
            <v>-5.7598000000000003E-2</v>
          </cell>
        </row>
        <row r="1926">
          <cell r="B1926">
            <v>780385</v>
          </cell>
          <cell r="C1926" t="str">
            <v>NOT USED</v>
          </cell>
          <cell r="D1926" t="str">
            <v>GENERAL  -FURNITURE &amp; EQUIPMENT</v>
          </cell>
          <cell r="E1926" t="str">
            <v/>
          </cell>
          <cell r="F1926" t="str">
            <v/>
          </cell>
          <cell r="G1926" t="str">
            <v/>
          </cell>
          <cell r="H1926" t="str">
            <v/>
          </cell>
          <cell r="I1926" t="str">
            <v/>
          </cell>
          <cell r="J1926" t="str">
            <v/>
          </cell>
          <cell r="K1926" t="str">
            <v/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</row>
        <row r="1927">
          <cell r="B1927">
            <v>780390</v>
          </cell>
          <cell r="C1927" t="str">
            <v>NOT USED</v>
          </cell>
          <cell r="D1927" t="str">
            <v>OTHER GENERAL EXPENSES</v>
          </cell>
          <cell r="E1927" t="str">
            <v/>
          </cell>
          <cell r="F1927" t="str">
            <v/>
          </cell>
          <cell r="G1927" t="str">
            <v/>
          </cell>
          <cell r="H1927" t="str">
            <v/>
          </cell>
          <cell r="I1927" t="str">
            <v/>
          </cell>
          <cell r="J1927" t="str">
            <v/>
          </cell>
          <cell r="K1927" t="str">
            <v/>
          </cell>
          <cell r="L1927">
            <v>-120.99301</v>
          </cell>
          <cell r="M1927">
            <v>-5.0000000000000001E-3</v>
          </cell>
          <cell r="N1927">
            <v>-1.9796899999999999</v>
          </cell>
          <cell r="O1927">
            <v>-135.14266000000001</v>
          </cell>
          <cell r="P1927">
            <v>-154.29940999999999</v>
          </cell>
          <cell r="Q1927">
            <v>-157.65226999999999</v>
          </cell>
          <cell r="R1927">
            <v>-218.08385999999999</v>
          </cell>
          <cell r="S1927">
            <v>-153.98624000000001</v>
          </cell>
          <cell r="T1927">
            <v>-153.79574</v>
          </cell>
          <cell r="U1927">
            <v>-136.78559000000001</v>
          </cell>
          <cell r="V1927">
            <v>-34.100670000000001</v>
          </cell>
          <cell r="W1927">
            <v>-36.466090000000001</v>
          </cell>
          <cell r="X1927">
            <v>6.2013699999999998</v>
          </cell>
          <cell r="Y1927">
            <v>-103.30775300000001</v>
          </cell>
        </row>
        <row r="1928">
          <cell r="B1928">
            <v>780391</v>
          </cell>
          <cell r="C1928" t="str">
            <v>NOT USED</v>
          </cell>
          <cell r="D1928" t="str">
            <v>GENERAL EXPENSES - SAFETY APPAREL</v>
          </cell>
          <cell r="E1928">
            <v>0</v>
          </cell>
        </row>
        <row r="1929">
          <cell r="B1929">
            <v>780410</v>
          </cell>
          <cell r="C1929" t="str">
            <v>NOT USED</v>
          </cell>
          <cell r="D1929" t="str">
            <v>LICENSES &amp; PERMITS</v>
          </cell>
          <cell r="E1929" t="str">
            <v/>
          </cell>
          <cell r="F1929" t="str">
            <v/>
          </cell>
          <cell r="G1929" t="str">
            <v/>
          </cell>
          <cell r="H1929" t="str">
            <v/>
          </cell>
          <cell r="I1929" t="str">
            <v/>
          </cell>
          <cell r="J1929" t="str">
            <v/>
          </cell>
          <cell r="K1929" t="str">
            <v/>
          </cell>
          <cell r="L1929">
            <v>-2.4350000000000001</v>
          </cell>
          <cell r="M1929">
            <v>0</v>
          </cell>
          <cell r="N1929">
            <v>0</v>
          </cell>
          <cell r="O1929">
            <v>-3.8755299999999999</v>
          </cell>
          <cell r="P1929">
            <v>-3.8755299999999999</v>
          </cell>
          <cell r="Q1929">
            <v>-3.8755299999999999</v>
          </cell>
          <cell r="R1929">
            <v>-4.1730299999999998</v>
          </cell>
          <cell r="S1929">
            <v>-4.1730299999999998</v>
          </cell>
          <cell r="T1929">
            <v>-4.1730299999999998</v>
          </cell>
          <cell r="U1929">
            <v>-4.1730299999999998</v>
          </cell>
          <cell r="V1929">
            <v>-4.1730299999999998</v>
          </cell>
          <cell r="W1929">
            <v>-4.1730299999999998</v>
          </cell>
          <cell r="X1929">
            <v>-4.1730299999999998</v>
          </cell>
          <cell r="Y1929">
            <v>-3.3307319999999998</v>
          </cell>
        </row>
        <row r="1930">
          <cell r="B1930">
            <v>780420</v>
          </cell>
          <cell r="C1930" t="str">
            <v>NOT USED</v>
          </cell>
          <cell r="D1930" t="str">
            <v>TELEPHONE</v>
          </cell>
          <cell r="E1930" t="str">
            <v/>
          </cell>
          <cell r="F1930" t="str">
            <v/>
          </cell>
          <cell r="G1930" t="str">
            <v/>
          </cell>
          <cell r="H1930" t="str">
            <v/>
          </cell>
          <cell r="I1930" t="str">
            <v/>
          </cell>
          <cell r="J1930" t="str">
            <v/>
          </cell>
          <cell r="K1930" t="str">
            <v/>
          </cell>
          <cell r="L1930">
            <v>0</v>
          </cell>
          <cell r="M1930">
            <v>0</v>
          </cell>
          <cell r="N1930">
            <v>-1.295E-2</v>
          </cell>
          <cell r="O1930">
            <v>-1.295E-2</v>
          </cell>
          <cell r="P1930">
            <v>-1.295E-2</v>
          </cell>
          <cell r="Q1930">
            <v>-1.295E-2</v>
          </cell>
          <cell r="R1930">
            <v>-1.295E-2</v>
          </cell>
          <cell r="S1930">
            <v>-1.295E-2</v>
          </cell>
          <cell r="T1930">
            <v>-1.295E-2</v>
          </cell>
          <cell r="U1930">
            <v>-1.295E-2</v>
          </cell>
          <cell r="V1930">
            <v>-1.295E-2</v>
          </cell>
          <cell r="W1930">
            <v>-1.295E-2</v>
          </cell>
          <cell r="X1930">
            <v>-1.295E-2</v>
          </cell>
          <cell r="Y1930">
            <v>-1.1331000000000001E-2</v>
          </cell>
        </row>
        <row r="1931">
          <cell r="B1931">
            <v>780430</v>
          </cell>
          <cell r="C1931" t="str">
            <v>NOT USED</v>
          </cell>
          <cell r="D1931" t="str">
            <v>POSTAGE</v>
          </cell>
          <cell r="E1931" t="str">
            <v/>
          </cell>
          <cell r="F1931" t="str">
            <v/>
          </cell>
          <cell r="G1931" t="str">
            <v/>
          </cell>
          <cell r="H1931" t="str">
            <v/>
          </cell>
          <cell r="I1931" t="str">
            <v/>
          </cell>
          <cell r="J1931" t="str">
            <v/>
          </cell>
          <cell r="K1931" t="str">
            <v/>
          </cell>
          <cell r="L1931">
            <v>-0.30162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-1.2567999999999999E-2</v>
          </cell>
        </row>
        <row r="1932">
          <cell r="B1932">
            <v>780440</v>
          </cell>
          <cell r="C1932" t="str">
            <v>NOT USED</v>
          </cell>
          <cell r="D1932" t="str">
            <v>R&amp;D</v>
          </cell>
          <cell r="E1932" t="str">
            <v/>
          </cell>
          <cell r="F1932" t="str">
            <v/>
          </cell>
          <cell r="G1932" t="str">
            <v/>
          </cell>
          <cell r="H1932" t="str">
            <v/>
          </cell>
          <cell r="I1932" t="str">
            <v/>
          </cell>
          <cell r="J1932" t="str">
            <v/>
          </cell>
          <cell r="K1932" t="str">
            <v/>
          </cell>
          <cell r="L1932">
            <v>-862.85455999999999</v>
          </cell>
          <cell r="M1932">
            <v>-67.283730000000006</v>
          </cell>
          <cell r="N1932">
            <v>-134.56746000000001</v>
          </cell>
          <cell r="O1932">
            <v>-201.85120000000001</v>
          </cell>
          <cell r="P1932">
            <v>-277.60385000000002</v>
          </cell>
          <cell r="Q1932">
            <v>-353.35649999999998</v>
          </cell>
          <cell r="R1932">
            <v>-429.10915</v>
          </cell>
          <cell r="S1932">
            <v>-504.86180000000002</v>
          </cell>
          <cell r="T1932">
            <v>-580.61445000000003</v>
          </cell>
          <cell r="U1932">
            <v>-656.36710000000005</v>
          </cell>
          <cell r="V1932">
            <v>-732.11974999999995</v>
          </cell>
          <cell r="W1932">
            <v>-737.49037999999996</v>
          </cell>
          <cell r="X1932">
            <v>-813.24302999999998</v>
          </cell>
          <cell r="Y1932">
            <v>-459.43951399999997</v>
          </cell>
        </row>
        <row r="1933">
          <cell r="B1933">
            <v>780445</v>
          </cell>
          <cell r="C1933" t="str">
            <v>NOT USED</v>
          </cell>
          <cell r="D1933" t="str">
            <v>RECLASS-OTHER</v>
          </cell>
          <cell r="E1933" t="str">
            <v/>
          </cell>
          <cell r="F1933" t="str">
            <v/>
          </cell>
          <cell r="G1933" t="str">
            <v/>
          </cell>
          <cell r="H1933" t="str">
            <v/>
          </cell>
          <cell r="I1933" t="str">
            <v/>
          </cell>
          <cell r="J1933" t="str">
            <v/>
          </cell>
          <cell r="K1933" t="str">
            <v/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</row>
        <row r="1934">
          <cell r="B1934">
            <v>780446</v>
          </cell>
          <cell r="C1934" t="str">
            <v>NOT USED</v>
          </cell>
          <cell r="D1934" t="str">
            <v>RECLASS-OTHER-GENERAL</v>
          </cell>
          <cell r="E1934" t="str">
            <v/>
          </cell>
          <cell r="F1934" t="str">
            <v/>
          </cell>
          <cell r="G1934" t="str">
            <v/>
          </cell>
          <cell r="H1934" t="str">
            <v/>
          </cell>
          <cell r="I1934" t="str">
            <v/>
          </cell>
          <cell r="J1934" t="str">
            <v/>
          </cell>
          <cell r="K1934" t="str">
            <v/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</row>
        <row r="1935">
          <cell r="B1935">
            <v>780470</v>
          </cell>
          <cell r="C1935" t="str">
            <v>NOT USED</v>
          </cell>
          <cell r="D1935" t="str">
            <v>RENTS/LEASES - OTHER</v>
          </cell>
          <cell r="E1935" t="str">
            <v/>
          </cell>
          <cell r="F1935" t="str">
            <v/>
          </cell>
          <cell r="G1935" t="str">
            <v/>
          </cell>
          <cell r="H1935" t="str">
            <v/>
          </cell>
          <cell r="I1935" t="str">
            <v/>
          </cell>
          <cell r="J1935" t="str">
            <v/>
          </cell>
          <cell r="K1935" t="str">
            <v/>
          </cell>
          <cell r="L1935">
            <v>-1.1006800000000001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>
            <v>-4.5862E-2</v>
          </cell>
        </row>
        <row r="1936">
          <cell r="B1936">
            <v>780490</v>
          </cell>
          <cell r="C1936" t="str">
            <v>NOT USED</v>
          </cell>
          <cell r="D1936" t="str">
            <v>SOFTWARE</v>
          </cell>
          <cell r="E1936" t="str">
            <v/>
          </cell>
          <cell r="F1936" t="str">
            <v/>
          </cell>
          <cell r="G1936" t="str">
            <v/>
          </cell>
          <cell r="H1936" t="str">
            <v/>
          </cell>
          <cell r="I1936" t="str">
            <v/>
          </cell>
          <cell r="J1936" t="str">
            <v/>
          </cell>
          <cell r="K1936" t="str">
            <v/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</row>
        <row r="1937">
          <cell r="B1937">
            <v>780500</v>
          </cell>
          <cell r="C1937" t="str">
            <v>NOT USED</v>
          </cell>
          <cell r="D1937" t="str">
            <v>TRAINING</v>
          </cell>
          <cell r="E1937" t="str">
            <v/>
          </cell>
          <cell r="F1937" t="str">
            <v/>
          </cell>
          <cell r="G1937" t="str">
            <v/>
          </cell>
          <cell r="H1937" t="str">
            <v/>
          </cell>
          <cell r="I1937" t="str">
            <v/>
          </cell>
          <cell r="J1937" t="str">
            <v/>
          </cell>
          <cell r="K1937" t="str">
            <v/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</row>
        <row r="1938">
          <cell r="B1938">
            <v>780505</v>
          </cell>
          <cell r="C1938" t="str">
            <v>NOT USED</v>
          </cell>
          <cell r="D1938" t="str">
            <v>EMPLOYEE REGISTRATION FEES</v>
          </cell>
          <cell r="E1938" t="str">
            <v/>
          </cell>
          <cell r="F1938" t="str">
            <v/>
          </cell>
          <cell r="G1938" t="str">
            <v/>
          </cell>
          <cell r="H1938" t="str">
            <v/>
          </cell>
          <cell r="I1938" t="str">
            <v/>
          </cell>
          <cell r="J1938" t="str">
            <v/>
          </cell>
          <cell r="K1938" t="str">
            <v/>
          </cell>
          <cell r="L1938">
            <v>-0.05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  <cell r="X1938">
            <v>0</v>
          </cell>
          <cell r="Y1938">
            <v>-2.0830000000000002E-3</v>
          </cell>
        </row>
        <row r="1939">
          <cell r="B1939">
            <v>780510</v>
          </cell>
          <cell r="C1939" t="str">
            <v>NOT USED</v>
          </cell>
          <cell r="D1939" t="str">
            <v>TRAVEL-MEALS &amp; ENTERTAINMENT-TAXABLE</v>
          </cell>
          <cell r="E1939" t="str">
            <v/>
          </cell>
          <cell r="F1939" t="str">
            <v/>
          </cell>
          <cell r="G1939" t="str">
            <v/>
          </cell>
          <cell r="H1939" t="str">
            <v/>
          </cell>
          <cell r="I1939" t="str">
            <v/>
          </cell>
          <cell r="J1939" t="str">
            <v/>
          </cell>
          <cell r="K1939" t="str">
            <v/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</row>
        <row r="1940">
          <cell r="B1940">
            <v>780525</v>
          </cell>
          <cell r="C1940" t="str">
            <v>NOT USED</v>
          </cell>
          <cell r="D1940" t="str">
            <v>EMPLOYEE - MEALS</v>
          </cell>
          <cell r="E1940" t="str">
            <v/>
          </cell>
          <cell r="F1940" t="str">
            <v/>
          </cell>
          <cell r="G1940" t="str">
            <v/>
          </cell>
          <cell r="H1940" t="str">
            <v/>
          </cell>
          <cell r="I1940" t="str">
            <v/>
          </cell>
          <cell r="J1940" t="str">
            <v/>
          </cell>
          <cell r="K1940" t="str">
            <v/>
          </cell>
          <cell r="L1940">
            <v>-5.5712299999999999</v>
          </cell>
          <cell r="M1940">
            <v>0</v>
          </cell>
          <cell r="N1940">
            <v>-1.0838000000000001</v>
          </cell>
          <cell r="O1940">
            <v>-1.4224399999999999</v>
          </cell>
          <cell r="P1940">
            <v>-1.649</v>
          </cell>
          <cell r="Q1940">
            <v>-2.0585399999999998</v>
          </cell>
          <cell r="R1940">
            <v>-2.0892300000000001</v>
          </cell>
          <cell r="S1940">
            <v>-2.0892300000000001</v>
          </cell>
          <cell r="T1940">
            <v>-2.35</v>
          </cell>
          <cell r="U1940">
            <v>-2.4440400000000002</v>
          </cell>
          <cell r="V1940">
            <v>-2.7347700000000001</v>
          </cell>
          <cell r="W1940">
            <v>-2.9389799999999999</v>
          </cell>
          <cell r="X1940">
            <v>-3.7261199999999999</v>
          </cell>
          <cell r="Y1940">
            <v>-2.1257250000000001</v>
          </cell>
        </row>
        <row r="1941">
          <cell r="B1941">
            <v>780530</v>
          </cell>
          <cell r="C1941" t="str">
            <v>NOT USED</v>
          </cell>
          <cell r="D1941" t="str">
            <v>TRAVEL-MEALS &amp; ENTERTAINMENT</v>
          </cell>
          <cell r="E1941" t="str">
            <v/>
          </cell>
          <cell r="F1941" t="str">
            <v/>
          </cell>
          <cell r="G1941" t="str">
            <v/>
          </cell>
          <cell r="H1941" t="str">
            <v/>
          </cell>
          <cell r="I1941" t="str">
            <v/>
          </cell>
          <cell r="J1941" t="str">
            <v/>
          </cell>
          <cell r="K1941" t="str">
            <v/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</row>
        <row r="1942">
          <cell r="B1942">
            <v>780550</v>
          </cell>
          <cell r="C1942" t="str">
            <v>NOT USED</v>
          </cell>
          <cell r="D1942" t="str">
            <v>TRAVEL-EXCLUDING MEALS &amp; ENTERTAINMENT</v>
          </cell>
          <cell r="E1942" t="str">
            <v/>
          </cell>
          <cell r="F1942" t="str">
            <v/>
          </cell>
          <cell r="G1942" t="str">
            <v/>
          </cell>
          <cell r="H1942" t="str">
            <v/>
          </cell>
          <cell r="I1942" t="str">
            <v/>
          </cell>
          <cell r="J1942" t="str">
            <v/>
          </cell>
          <cell r="K1942" t="str">
            <v/>
          </cell>
          <cell r="L1942">
            <v>-10.39982</v>
          </cell>
          <cell r="M1942">
            <v>0</v>
          </cell>
          <cell r="N1942">
            <v>-1.99441</v>
          </cell>
          <cell r="O1942">
            <v>-2.02881</v>
          </cell>
          <cell r="P1942">
            <v>-2.1688999999999998</v>
          </cell>
          <cell r="Q1942">
            <v>-2.6080899999999998</v>
          </cell>
          <cell r="R1942">
            <v>-2.9971800000000002</v>
          </cell>
          <cell r="S1942">
            <v>-3.47058</v>
          </cell>
          <cell r="T1942">
            <v>-3.47058</v>
          </cell>
          <cell r="U1942">
            <v>-3.5462199999999999</v>
          </cell>
          <cell r="V1942">
            <v>-5.3456599999999996</v>
          </cell>
          <cell r="W1942">
            <v>-5.60764</v>
          </cell>
          <cell r="X1942">
            <v>-6.7390400000000001</v>
          </cell>
          <cell r="Y1942">
            <v>-3.4839579999999999</v>
          </cell>
        </row>
        <row r="1943">
          <cell r="B1943">
            <v>780555</v>
          </cell>
          <cell r="C1943" t="str">
            <v>NOT USED</v>
          </cell>
          <cell r="D1943" t="str">
            <v>EMPLOYEE -LODGING</v>
          </cell>
          <cell r="E1943" t="str">
            <v/>
          </cell>
          <cell r="F1943" t="str">
            <v/>
          </cell>
          <cell r="G1943" t="str">
            <v/>
          </cell>
          <cell r="H1943" t="str">
            <v/>
          </cell>
          <cell r="I1943" t="str">
            <v/>
          </cell>
          <cell r="J1943" t="str">
            <v/>
          </cell>
          <cell r="K1943" t="str">
            <v/>
          </cell>
          <cell r="L1943">
            <v>-7.1438300000000003</v>
          </cell>
          <cell r="M1943">
            <v>0</v>
          </cell>
          <cell r="N1943">
            <v>-2.1384699999999999</v>
          </cell>
          <cell r="O1943">
            <v>-2.1384699999999999</v>
          </cell>
          <cell r="P1943">
            <v>-2.4351600000000002</v>
          </cell>
          <cell r="Q1943">
            <v>-2.59416</v>
          </cell>
          <cell r="R1943">
            <v>-3.3455499999999998</v>
          </cell>
          <cell r="S1943">
            <v>-3.3455499999999998</v>
          </cell>
          <cell r="T1943">
            <v>-3.3455499999999998</v>
          </cell>
          <cell r="U1943">
            <v>-3.8601299999999998</v>
          </cell>
          <cell r="V1943">
            <v>-4.8069100000000002</v>
          </cell>
          <cell r="W1943">
            <v>-5.3883099999999997</v>
          </cell>
          <cell r="X1943">
            <v>-6.00108</v>
          </cell>
          <cell r="Y1943">
            <v>-3.3308930000000001</v>
          </cell>
        </row>
        <row r="1944">
          <cell r="B1944">
            <v>780600</v>
          </cell>
          <cell r="C1944" t="str">
            <v>NOT USED</v>
          </cell>
          <cell r="D1944" t="str">
            <v>TRANSPORTATION UTILIZATION</v>
          </cell>
          <cell r="E1944" t="str">
            <v/>
          </cell>
          <cell r="F1944" t="str">
            <v/>
          </cell>
          <cell r="G1944" t="str">
            <v/>
          </cell>
          <cell r="H1944" t="str">
            <v/>
          </cell>
          <cell r="I1944" t="str">
            <v/>
          </cell>
          <cell r="J1944" t="str">
            <v/>
          </cell>
          <cell r="K1944" t="str">
            <v/>
          </cell>
          <cell r="L1944">
            <v>-13.48437</v>
          </cell>
          <cell r="M1944">
            <v>-1.0940799999999999</v>
          </cell>
          <cell r="N1944">
            <v>-1.5885800000000001</v>
          </cell>
          <cell r="O1944">
            <v>-2.7170000000000001</v>
          </cell>
          <cell r="P1944">
            <v>-3.7754599999999998</v>
          </cell>
          <cell r="Q1944">
            <v>-4.53538</v>
          </cell>
          <cell r="R1944">
            <v>-5.07578</v>
          </cell>
          <cell r="S1944">
            <v>-5.9298500000000001</v>
          </cell>
          <cell r="T1944">
            <v>-7.1736000000000004</v>
          </cell>
          <cell r="U1944">
            <v>-7.8105000000000002</v>
          </cell>
          <cell r="V1944">
            <v>-19.76585</v>
          </cell>
          <cell r="W1944">
            <v>-20.654330000000002</v>
          </cell>
          <cell r="X1944">
            <v>-24.348669999999998</v>
          </cell>
          <cell r="Y1944">
            <v>-8.2530780000000004</v>
          </cell>
        </row>
        <row r="1945">
          <cell r="B1945">
            <v>780615</v>
          </cell>
          <cell r="C1945" t="str">
            <v>NOT USED</v>
          </cell>
          <cell r="D1945" t="str">
            <v>RESIDUALS FROM VEH CLASS COST CTRS</v>
          </cell>
          <cell r="E1945" t="str">
            <v/>
          </cell>
          <cell r="F1945" t="str">
            <v/>
          </cell>
          <cell r="G1945" t="str">
            <v/>
          </cell>
          <cell r="H1945" t="str">
            <v/>
          </cell>
          <cell r="I1945" t="str">
            <v/>
          </cell>
          <cell r="J1945" t="str">
            <v/>
          </cell>
          <cell r="K1945" t="str">
            <v/>
          </cell>
          <cell r="L1945">
            <v>-54.405340000000002</v>
          </cell>
          <cell r="M1945">
            <v>-2.6293099999999998</v>
          </cell>
          <cell r="N1945">
            <v>2.46821</v>
          </cell>
          <cell r="O1945">
            <v>-48.88579</v>
          </cell>
          <cell r="P1945">
            <v>-104.31068999999999</v>
          </cell>
          <cell r="Q1945">
            <v>-82.068889999999996</v>
          </cell>
          <cell r="R1945">
            <v>-169.29738</v>
          </cell>
          <cell r="S1945">
            <v>-164.69466</v>
          </cell>
          <cell r="T1945">
            <v>-73.840419999999995</v>
          </cell>
          <cell r="U1945">
            <v>-139.18154000000001</v>
          </cell>
          <cell r="V1945">
            <v>-89.454310000000007</v>
          </cell>
          <cell r="W1945">
            <v>-59.585160000000002</v>
          </cell>
          <cell r="X1945">
            <v>524.1952</v>
          </cell>
          <cell r="Y1945">
            <v>-58.048751000000003</v>
          </cell>
        </row>
        <row r="1946">
          <cell r="B1946">
            <v>780620</v>
          </cell>
          <cell r="C1946" t="str">
            <v>NOT USED</v>
          </cell>
          <cell r="D1946" t="str">
            <v>BENEFITS LOADER</v>
          </cell>
          <cell r="E1946" t="str">
            <v/>
          </cell>
          <cell r="F1946" t="str">
            <v/>
          </cell>
          <cell r="G1946" t="str">
            <v/>
          </cell>
          <cell r="H1946" t="str">
            <v/>
          </cell>
          <cell r="I1946" t="str">
            <v/>
          </cell>
          <cell r="J1946" t="str">
            <v/>
          </cell>
          <cell r="K1946" t="str">
            <v/>
          </cell>
          <cell r="L1946">
            <v>5.5434799999999997</v>
          </cell>
          <cell r="M1946">
            <v>356.26553999999999</v>
          </cell>
          <cell r="N1946">
            <v>366.85048999999998</v>
          </cell>
          <cell r="O1946">
            <v>-575.72100999999998</v>
          </cell>
          <cell r="P1946">
            <v>-830.27963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-56.676073000000002</v>
          </cell>
        </row>
        <row r="1947">
          <cell r="B1947">
            <v>780621</v>
          </cell>
          <cell r="C1947" t="str">
            <v>NOT USED</v>
          </cell>
          <cell r="D1947" t="str">
            <v>BENEFITS LOADER-CO RECLASS</v>
          </cell>
          <cell r="E1947" t="str">
            <v/>
          </cell>
          <cell r="F1947" t="str">
            <v/>
          </cell>
          <cell r="G1947" t="str">
            <v/>
          </cell>
          <cell r="H1947" t="str">
            <v/>
          </cell>
          <cell r="I1947" t="str">
            <v/>
          </cell>
          <cell r="J1947" t="str">
            <v/>
          </cell>
          <cell r="K1947" t="str">
            <v/>
          </cell>
          <cell r="V1947">
            <v>-23.78134</v>
          </cell>
          <cell r="W1947">
            <v>-23.78134</v>
          </cell>
          <cell r="X1947">
            <v>-30.286180000000002</v>
          </cell>
          <cell r="Y1947">
            <v>-5.2254810000000003</v>
          </cell>
        </row>
        <row r="1948">
          <cell r="B1948">
            <v>780640</v>
          </cell>
          <cell r="C1948" t="str">
            <v>NOT USED</v>
          </cell>
          <cell r="D1948" t="str">
            <v>OCCUPANCY LOADER</v>
          </cell>
          <cell r="E1948" t="str">
            <v/>
          </cell>
          <cell r="F1948" t="str">
            <v/>
          </cell>
          <cell r="G1948" t="str">
            <v/>
          </cell>
          <cell r="H1948" t="str">
            <v/>
          </cell>
          <cell r="I1948" t="str">
            <v/>
          </cell>
          <cell r="J1948" t="str">
            <v/>
          </cell>
          <cell r="K1948" t="str">
            <v/>
          </cell>
          <cell r="L1948">
            <v>-44.540730000000003</v>
          </cell>
          <cell r="M1948">
            <v>-4.1787900000000002</v>
          </cell>
          <cell r="N1948">
            <v>-8.4996799999999997</v>
          </cell>
          <cell r="O1948">
            <v>-13.02359</v>
          </cell>
          <cell r="P1948">
            <v>-17.082529999999998</v>
          </cell>
          <cell r="Q1948">
            <v>-23.38092</v>
          </cell>
          <cell r="R1948">
            <v>-29.624369999999999</v>
          </cell>
          <cell r="S1948">
            <v>-36.020609999999998</v>
          </cell>
          <cell r="T1948">
            <v>-43.689369999999997</v>
          </cell>
          <cell r="U1948">
            <v>-48.477220000000003</v>
          </cell>
          <cell r="V1948">
            <v>-55.468060000000001</v>
          </cell>
          <cell r="W1948">
            <v>-64.065749999999994</v>
          </cell>
          <cell r="X1948">
            <v>-70.516729999999995</v>
          </cell>
          <cell r="Y1948">
            <v>-33.419967999999997</v>
          </cell>
        </row>
        <row r="1949">
          <cell r="B1949">
            <v>780650</v>
          </cell>
          <cell r="C1949" t="str">
            <v>NOT USED</v>
          </cell>
          <cell r="D1949" t="str">
            <v>STORES LOADER</v>
          </cell>
          <cell r="E1949" t="str">
            <v/>
          </cell>
          <cell r="F1949" t="str">
            <v/>
          </cell>
          <cell r="G1949" t="str">
            <v/>
          </cell>
          <cell r="H1949" t="str">
            <v/>
          </cell>
          <cell r="I1949" t="str">
            <v/>
          </cell>
          <cell r="J1949" t="str">
            <v/>
          </cell>
          <cell r="K1949" t="str">
            <v/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</row>
        <row r="1950">
          <cell r="B1950">
            <v>780660</v>
          </cell>
          <cell r="C1950" t="str">
            <v>NOT USED</v>
          </cell>
          <cell r="D1950" t="str">
            <v>CAPITALIZED PRELIMINARY ENGINEERING</v>
          </cell>
          <cell r="E1950" t="str">
            <v/>
          </cell>
          <cell r="F1950" t="str">
            <v/>
          </cell>
          <cell r="G1950" t="str">
            <v/>
          </cell>
          <cell r="H1950" t="str">
            <v/>
          </cell>
          <cell r="I1950" t="str">
            <v/>
          </cell>
          <cell r="J1950" t="str">
            <v/>
          </cell>
          <cell r="K1950" t="str">
            <v/>
          </cell>
          <cell r="L1950">
            <v>6107.6367300000002</v>
          </cell>
          <cell r="M1950">
            <v>129.22300999999999</v>
          </cell>
          <cell r="N1950">
            <v>270.65613000000002</v>
          </cell>
          <cell r="O1950">
            <v>1165.0068200000001</v>
          </cell>
          <cell r="P1950">
            <v>1673.99711</v>
          </cell>
          <cell r="Q1950">
            <v>2129.8348700000001</v>
          </cell>
          <cell r="R1950">
            <v>2596.46756</v>
          </cell>
          <cell r="S1950">
            <v>2989.59222</v>
          </cell>
          <cell r="T1950">
            <v>3423.7883400000001</v>
          </cell>
          <cell r="U1950">
            <v>3717.3172</v>
          </cell>
          <cell r="V1950">
            <v>4264.9666500000003</v>
          </cell>
          <cell r="W1950">
            <v>4540.8385500000004</v>
          </cell>
          <cell r="X1950">
            <v>5193.9237800000001</v>
          </cell>
          <cell r="Y1950">
            <v>2712.7057260000001</v>
          </cell>
        </row>
        <row r="1951">
          <cell r="B1951">
            <v>780670</v>
          </cell>
          <cell r="C1951" t="str">
            <v>NOT USED</v>
          </cell>
          <cell r="D1951" t="str">
            <v>CAPITALIZED GEN &amp; ADMIN EXP</v>
          </cell>
          <cell r="E1951" t="str">
            <v/>
          </cell>
          <cell r="F1951" t="str">
            <v/>
          </cell>
          <cell r="G1951" t="str">
            <v/>
          </cell>
          <cell r="H1951" t="str">
            <v/>
          </cell>
          <cell r="I1951" t="str">
            <v/>
          </cell>
          <cell r="J1951" t="str">
            <v/>
          </cell>
          <cell r="K1951" t="str">
            <v/>
          </cell>
          <cell r="L1951">
            <v>644.98181999999997</v>
          </cell>
          <cell r="M1951">
            <v>-25.26512</v>
          </cell>
          <cell r="N1951">
            <v>172.85158999999999</v>
          </cell>
          <cell r="O1951">
            <v>512.87288999999998</v>
          </cell>
          <cell r="P1951">
            <v>734.13325999999995</v>
          </cell>
          <cell r="Q1951">
            <v>1022.42652</v>
          </cell>
          <cell r="R1951">
            <v>1532.09312</v>
          </cell>
          <cell r="S1951">
            <v>1962.2149400000001</v>
          </cell>
          <cell r="T1951">
            <v>2611.1496499999998</v>
          </cell>
          <cell r="U1951">
            <v>3085.3867100000002</v>
          </cell>
          <cell r="V1951">
            <v>3443.70262</v>
          </cell>
          <cell r="W1951">
            <v>3551.2486100000001</v>
          </cell>
          <cell r="X1951">
            <v>3707.51494</v>
          </cell>
          <cell r="Y1951">
            <v>1731.588598</v>
          </cell>
        </row>
        <row r="1952">
          <cell r="B1952">
            <v>780690</v>
          </cell>
          <cell r="C1952" t="str">
            <v>NOT USED</v>
          </cell>
          <cell r="D1952" t="str">
            <v>INTEREST EXPENSE-AFUDC</v>
          </cell>
          <cell r="E1952" t="str">
            <v/>
          </cell>
          <cell r="F1952" t="str">
            <v/>
          </cell>
          <cell r="G1952" t="str">
            <v/>
          </cell>
          <cell r="H1952" t="str">
            <v/>
          </cell>
          <cell r="I1952" t="str">
            <v/>
          </cell>
          <cell r="J1952" t="str">
            <v/>
          </cell>
          <cell r="K1952" t="str">
            <v/>
          </cell>
          <cell r="V1952">
            <v>-1E-3</v>
          </cell>
          <cell r="W1952">
            <v>-5.8500000000000002E-3</v>
          </cell>
          <cell r="X1952">
            <v>-0.14471000000000001</v>
          </cell>
          <cell r="Y1952">
            <v>-6.6E-3</v>
          </cell>
        </row>
        <row r="1953">
          <cell r="B1953">
            <v>780691</v>
          </cell>
          <cell r="C1953" t="str">
            <v>NOT USED</v>
          </cell>
          <cell r="D1953" t="str">
            <v>CONTRACTORS - ENGINEERING</v>
          </cell>
          <cell r="E1953" t="str">
            <v/>
          </cell>
          <cell r="F1953" t="str">
            <v/>
          </cell>
          <cell r="G1953" t="str">
            <v/>
          </cell>
          <cell r="H1953" t="str">
            <v/>
          </cell>
          <cell r="I1953" t="str">
            <v/>
          </cell>
          <cell r="J1953" t="str">
            <v/>
          </cell>
          <cell r="K1953" t="str">
            <v/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-658.51571000000001</v>
          </cell>
          <cell r="T1953">
            <v>-827.49788999999998</v>
          </cell>
          <cell r="U1953">
            <v>-1141.4349</v>
          </cell>
          <cell r="V1953">
            <v>-1200.56862</v>
          </cell>
          <cell r="W1953">
            <v>-1619.3138200000001</v>
          </cell>
          <cell r="X1953">
            <v>-2033.45632</v>
          </cell>
          <cell r="Y1953">
            <v>-538.67159200000003</v>
          </cell>
        </row>
        <row r="1954">
          <cell r="B1954">
            <v>780692</v>
          </cell>
          <cell r="C1954" t="str">
            <v>NOT USED</v>
          </cell>
          <cell r="D1954" t="str">
            <v>CONTRACTORS - FACILITY</v>
          </cell>
          <cell r="E1954" t="str">
            <v/>
          </cell>
          <cell r="F1954" t="str">
            <v/>
          </cell>
          <cell r="G1954" t="str">
            <v/>
          </cell>
          <cell r="H1954" t="str">
            <v/>
          </cell>
          <cell r="I1954" t="str">
            <v/>
          </cell>
          <cell r="J1954" t="str">
            <v/>
          </cell>
          <cell r="K1954" t="str">
            <v/>
          </cell>
          <cell r="U1954">
            <v>-0.3</v>
          </cell>
          <cell r="V1954">
            <v>-0.3</v>
          </cell>
          <cell r="W1954">
            <v>-0.3</v>
          </cell>
          <cell r="X1954">
            <v>-1.2</v>
          </cell>
          <cell r="Y1954">
            <v>-0.125</v>
          </cell>
        </row>
        <row r="1955">
          <cell r="B1955">
            <v>780693</v>
          </cell>
          <cell r="C1955" t="str">
            <v>NOT USED</v>
          </cell>
          <cell r="D1955" t="str">
            <v>CONTRACTORS - TEMPORARY LABOR SERVICES</v>
          </cell>
          <cell r="E1955" t="str">
            <v/>
          </cell>
          <cell r="F1955" t="str">
            <v/>
          </cell>
          <cell r="G1955" t="str">
            <v/>
          </cell>
          <cell r="H1955" t="str">
            <v/>
          </cell>
          <cell r="I1955" t="str">
            <v/>
          </cell>
          <cell r="J1955" t="str">
            <v/>
          </cell>
          <cell r="K1955" t="str">
            <v/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-66.133300000000006</v>
          </cell>
          <cell r="T1955">
            <v>-98.9529</v>
          </cell>
          <cell r="U1955">
            <v>-124.10865</v>
          </cell>
          <cell r="V1955">
            <v>-177.37555</v>
          </cell>
          <cell r="W1955">
            <v>-235.47575000000001</v>
          </cell>
          <cell r="X1955">
            <v>-292.33564999999999</v>
          </cell>
          <cell r="Y1955">
            <v>-70.684498000000005</v>
          </cell>
        </row>
        <row r="1956">
          <cell r="B1956">
            <v>780710</v>
          </cell>
          <cell r="C1956" t="str">
            <v>NOT USED</v>
          </cell>
          <cell r="D1956" t="str">
            <v>CIAC - TAXABLE</v>
          </cell>
          <cell r="E1956" t="str">
            <v/>
          </cell>
          <cell r="F1956" t="str">
            <v/>
          </cell>
          <cell r="G1956" t="str">
            <v/>
          </cell>
          <cell r="H1956" t="str">
            <v/>
          </cell>
          <cell r="I1956" t="str">
            <v/>
          </cell>
          <cell r="J1956" t="str">
            <v/>
          </cell>
          <cell r="K1956" t="str">
            <v/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</row>
        <row r="1957">
          <cell r="B1957">
            <v>780802</v>
          </cell>
          <cell r="C1957" t="str">
            <v>NOT USED</v>
          </cell>
          <cell r="D1957" t="str">
            <v>CORP TAXES-GAS OTHER</v>
          </cell>
          <cell r="E1957" t="str">
            <v/>
          </cell>
          <cell r="F1957" t="str">
            <v/>
          </cell>
          <cell r="G1957" t="str">
            <v/>
          </cell>
          <cell r="H1957" t="str">
            <v/>
          </cell>
          <cell r="I1957" t="str">
            <v/>
          </cell>
          <cell r="J1957" t="str">
            <v/>
          </cell>
          <cell r="K1957" t="str">
            <v/>
          </cell>
          <cell r="L1957">
            <v>-1.64995</v>
          </cell>
          <cell r="M1957">
            <v>-3.0790000000000001E-2</v>
          </cell>
          <cell r="N1957">
            <v>26.96921</v>
          </cell>
          <cell r="O1957">
            <v>26.96921</v>
          </cell>
          <cell r="P1957">
            <v>-0.63751999999999998</v>
          </cell>
          <cell r="Q1957">
            <v>-0.63751999999999998</v>
          </cell>
          <cell r="R1957">
            <v>-0.63751999999999998</v>
          </cell>
          <cell r="S1957">
            <v>-1.5754300000000001</v>
          </cell>
          <cell r="T1957">
            <v>-1.8170900000000001</v>
          </cell>
          <cell r="U1957">
            <v>-2.71149</v>
          </cell>
          <cell r="V1957">
            <v>-4.1561399999999997</v>
          </cell>
          <cell r="W1957">
            <v>-3.97756</v>
          </cell>
          <cell r="X1957">
            <v>-5.1831399999999999</v>
          </cell>
          <cell r="Y1957">
            <v>2.8617349999999999</v>
          </cell>
        </row>
        <row r="1958">
          <cell r="B1958">
            <v>780819</v>
          </cell>
          <cell r="C1958" t="str">
            <v>NOT USED</v>
          </cell>
          <cell r="D1958" t="str">
            <v>CORPORATE TAXES-ELEC OTHER</v>
          </cell>
          <cell r="E1958" t="str">
            <v/>
          </cell>
          <cell r="F1958" t="str">
            <v/>
          </cell>
          <cell r="G1958" t="str">
            <v/>
          </cell>
          <cell r="H1958" t="str">
            <v/>
          </cell>
          <cell r="I1958" t="str">
            <v/>
          </cell>
          <cell r="J1958" t="str">
            <v/>
          </cell>
          <cell r="K1958" t="str">
            <v/>
          </cell>
          <cell r="L1958">
            <v>-1.5850500000000001</v>
          </cell>
          <cell r="M1958">
            <v>-3.3349999999999998E-2</v>
          </cell>
          <cell r="N1958">
            <v>53.966650000000001</v>
          </cell>
          <cell r="O1958">
            <v>53.966650000000001</v>
          </cell>
          <cell r="P1958">
            <v>-3.8789999999999998E-2</v>
          </cell>
          <cell r="Q1958">
            <v>-3.8789999999999998E-2</v>
          </cell>
          <cell r="R1958">
            <v>-3.8789999999999998E-2</v>
          </cell>
          <cell r="S1958">
            <v>-3.8789999999999998E-2</v>
          </cell>
          <cell r="T1958">
            <v>-3.8789999999999998E-2</v>
          </cell>
          <cell r="U1958">
            <v>-3.8789999999999998E-2</v>
          </cell>
          <cell r="V1958">
            <v>-3.8789999999999998E-2</v>
          </cell>
          <cell r="W1958">
            <v>-3.8789999999999998E-2</v>
          </cell>
          <cell r="X1958">
            <v>-0.47342000000000001</v>
          </cell>
          <cell r="Y1958">
            <v>8.8800329999999992</v>
          </cell>
        </row>
        <row r="1959">
          <cell r="B1959">
            <v>780825</v>
          </cell>
          <cell r="C1959" t="str">
            <v>NOT USED</v>
          </cell>
          <cell r="D1959" t="str">
            <v>BENEFITS-FEDERAL / STATE UNEMPLOYMENT INSURANCE</v>
          </cell>
          <cell r="E1959" t="str">
            <v/>
          </cell>
          <cell r="F1959" t="str">
            <v/>
          </cell>
          <cell r="G1959" t="str">
            <v/>
          </cell>
          <cell r="H1959" t="str">
            <v/>
          </cell>
          <cell r="I1959" t="str">
            <v/>
          </cell>
          <cell r="J1959" t="str">
            <v/>
          </cell>
          <cell r="K1959" t="str">
            <v/>
          </cell>
          <cell r="V1959">
            <v>-180.34183999999999</v>
          </cell>
          <cell r="W1959">
            <v>-180.79300000000001</v>
          </cell>
          <cell r="X1959">
            <v>-181.66673</v>
          </cell>
          <cell r="Y1959">
            <v>-37.664017000000001</v>
          </cell>
        </row>
        <row r="1960">
          <cell r="B1960">
            <v>780826</v>
          </cell>
          <cell r="C1960" t="str">
            <v>NOT USED</v>
          </cell>
          <cell r="D1960" t="str">
            <v>BENEFITS-FICA / MEDICARE</v>
          </cell>
          <cell r="E1960" t="str">
            <v/>
          </cell>
          <cell r="F1960" t="str">
            <v/>
          </cell>
          <cell r="G1960" t="str">
            <v/>
          </cell>
          <cell r="H1960" t="str">
            <v/>
          </cell>
          <cell r="I1960" t="str">
            <v/>
          </cell>
          <cell r="J1960" t="str">
            <v/>
          </cell>
          <cell r="K1960" t="str">
            <v/>
          </cell>
          <cell r="V1960">
            <v>-4283.6859599999998</v>
          </cell>
          <cell r="W1960">
            <v>-4654.50245</v>
          </cell>
          <cell r="X1960">
            <v>-4983.3729700000004</v>
          </cell>
          <cell r="Y1960">
            <v>-952.48957499999995</v>
          </cell>
        </row>
        <row r="1961">
          <cell r="B1961">
            <v>780835</v>
          </cell>
          <cell r="C1961" t="str">
            <v>NOT USED</v>
          </cell>
          <cell r="D1961" t="str">
            <v>BENEFITS - MTA PAYROLL TAX</v>
          </cell>
          <cell r="E1961" t="str">
            <v/>
          </cell>
          <cell r="F1961" t="str">
            <v/>
          </cell>
          <cell r="G1961" t="str">
            <v/>
          </cell>
          <cell r="H1961" t="str">
            <v/>
          </cell>
          <cell r="I1961" t="str">
            <v/>
          </cell>
          <cell r="J1961" t="str">
            <v/>
          </cell>
          <cell r="K1961" t="str">
            <v/>
          </cell>
          <cell r="V1961">
            <v>-5.1279999999999999E-2</v>
          </cell>
          <cell r="W1961">
            <v>-5.1279999999999999E-2</v>
          </cell>
          <cell r="X1961">
            <v>-5.1279999999999999E-2</v>
          </cell>
          <cell r="Y1961">
            <v>-1.0683E-2</v>
          </cell>
        </row>
        <row r="1962">
          <cell r="B1962">
            <v>781520</v>
          </cell>
          <cell r="C1962" t="str">
            <v>NOT USED</v>
          </cell>
          <cell r="D1962" t="str">
            <v>BENEFITS-OTHER BENEFITS-P</v>
          </cell>
          <cell r="E1962" t="str">
            <v/>
          </cell>
          <cell r="F1962" t="str">
            <v/>
          </cell>
          <cell r="G1962" t="str">
            <v/>
          </cell>
          <cell r="H1962" t="str">
            <v/>
          </cell>
          <cell r="I1962" t="str">
            <v/>
          </cell>
          <cell r="J1962" t="str">
            <v/>
          </cell>
          <cell r="K1962" t="str">
            <v/>
          </cell>
          <cell r="W1962">
            <v>1409.95433</v>
          </cell>
          <cell r="X1962">
            <v>2855.91579</v>
          </cell>
          <cell r="Y1962">
            <v>236.49268499999999</v>
          </cell>
        </row>
        <row r="1963">
          <cell r="B1963">
            <v>781521</v>
          </cell>
          <cell r="C1963" t="str">
            <v>NOT USED</v>
          </cell>
          <cell r="D1963" t="str">
            <v>BENEFITS-PAYROLL TAXES-P</v>
          </cell>
          <cell r="E1963" t="str">
            <v/>
          </cell>
          <cell r="F1963" t="str">
            <v/>
          </cell>
          <cell r="G1963" t="str">
            <v/>
          </cell>
          <cell r="H1963" t="str">
            <v/>
          </cell>
          <cell r="I1963" t="str">
            <v/>
          </cell>
          <cell r="J1963" t="str">
            <v/>
          </cell>
          <cell r="K1963" t="str">
            <v/>
          </cell>
          <cell r="W1963">
            <v>345.25880999999998</v>
          </cell>
          <cell r="X1963">
            <v>661.30062999999996</v>
          </cell>
          <cell r="Y1963">
            <v>56.325760000000002</v>
          </cell>
        </row>
        <row r="1964">
          <cell r="B1964">
            <v>781522</v>
          </cell>
          <cell r="C1964" t="str">
            <v>NOT USED</v>
          </cell>
          <cell r="D1964" t="str">
            <v>BENEFITS-PENSIONS-SERVICES-P</v>
          </cell>
          <cell r="E1964" t="str">
            <v/>
          </cell>
          <cell r="F1964" t="str">
            <v/>
          </cell>
          <cell r="G1964" t="str">
            <v/>
          </cell>
          <cell r="H1964" t="str">
            <v/>
          </cell>
          <cell r="I1964" t="str">
            <v/>
          </cell>
          <cell r="J1964" t="str">
            <v/>
          </cell>
          <cell r="K1964" t="str">
            <v/>
          </cell>
          <cell r="W1964">
            <v>227.2216</v>
          </cell>
          <cell r="X1964">
            <v>433.06833</v>
          </cell>
          <cell r="Y1964">
            <v>36.979647</v>
          </cell>
        </row>
        <row r="1965">
          <cell r="B1965">
            <v>781523</v>
          </cell>
          <cell r="C1965" t="str">
            <v>NOT USED</v>
          </cell>
          <cell r="D1965" t="str">
            <v>BENEFITS-PENSIONS-INTEREST-P</v>
          </cell>
          <cell r="E1965" t="str">
            <v/>
          </cell>
          <cell r="F1965" t="str">
            <v/>
          </cell>
          <cell r="G1965" t="str">
            <v/>
          </cell>
          <cell r="H1965" t="str">
            <v/>
          </cell>
          <cell r="I1965" t="str">
            <v/>
          </cell>
          <cell r="J1965" t="str">
            <v/>
          </cell>
          <cell r="K1965" t="str">
            <v/>
          </cell>
          <cell r="W1965">
            <v>1604.7157400000001</v>
          </cell>
          <cell r="X1965">
            <v>3222.4025999999999</v>
          </cell>
          <cell r="Y1965">
            <v>267.993087</v>
          </cell>
        </row>
        <row r="1966">
          <cell r="B1966">
            <v>781524</v>
          </cell>
          <cell r="C1966" t="str">
            <v>NOT USED</v>
          </cell>
          <cell r="D1966" t="str">
            <v>BENEFITS-PENSIONS-RETURN ON ASSETS-ROA-P</v>
          </cell>
          <cell r="E1966" t="str">
            <v/>
          </cell>
          <cell r="F1966" t="str">
            <v/>
          </cell>
          <cell r="G1966" t="str">
            <v/>
          </cell>
          <cell r="H1966" t="str">
            <v/>
          </cell>
          <cell r="I1966" t="str">
            <v/>
          </cell>
          <cell r="J1966" t="str">
            <v/>
          </cell>
          <cell r="K1966" t="str">
            <v/>
          </cell>
          <cell r="W1966">
            <v>-2770.92317</v>
          </cell>
          <cell r="X1966">
            <v>-5538.6667699999998</v>
          </cell>
          <cell r="Y1966">
            <v>-461.68804599999999</v>
          </cell>
        </row>
        <row r="1967">
          <cell r="B1967">
            <v>781525</v>
          </cell>
          <cell r="C1967" t="str">
            <v>NOT USED</v>
          </cell>
          <cell r="D1967" t="str">
            <v>BENEFITS-PENSIONS-AMORTIZATION GAIN/LOSS-P</v>
          </cell>
          <cell r="E1967" t="str">
            <v/>
          </cell>
          <cell r="F1967" t="str">
            <v/>
          </cell>
          <cell r="G1967" t="str">
            <v/>
          </cell>
          <cell r="H1967" t="str">
            <v/>
          </cell>
          <cell r="I1967" t="str">
            <v/>
          </cell>
          <cell r="J1967" t="str">
            <v/>
          </cell>
          <cell r="K1967" t="str">
            <v/>
          </cell>
          <cell r="W1967">
            <v>769.60253999999998</v>
          </cell>
          <cell r="X1967">
            <v>1544.3245999999999</v>
          </cell>
          <cell r="Y1967">
            <v>128.480403</v>
          </cell>
        </row>
        <row r="1968">
          <cell r="B1968">
            <v>781526</v>
          </cell>
          <cell r="C1968" t="str">
            <v>NOT USED</v>
          </cell>
          <cell r="D1968" t="str">
            <v>BENEFITS-OPEB-SERVICE-P</v>
          </cell>
          <cell r="E1968" t="str">
            <v/>
          </cell>
          <cell r="F1968" t="str">
            <v/>
          </cell>
          <cell r="G1968" t="str">
            <v/>
          </cell>
          <cell r="H1968" t="str">
            <v/>
          </cell>
          <cell r="I1968" t="str">
            <v/>
          </cell>
          <cell r="J1968" t="str">
            <v/>
          </cell>
          <cell r="K1968" t="str">
            <v/>
          </cell>
          <cell r="W1968">
            <v>36.591479999999997</v>
          </cell>
          <cell r="X1968">
            <v>72.950289999999995</v>
          </cell>
          <cell r="Y1968">
            <v>6.0888850000000003</v>
          </cell>
        </row>
        <row r="1969">
          <cell r="B1969">
            <v>781527</v>
          </cell>
          <cell r="C1969" t="str">
            <v>NOT USED</v>
          </cell>
          <cell r="D1969" t="str">
            <v>BENEFITS-OPEB-INTEREST-P</v>
          </cell>
          <cell r="E1969" t="str">
            <v/>
          </cell>
          <cell r="F1969" t="str">
            <v/>
          </cell>
          <cell r="G1969" t="str">
            <v/>
          </cell>
          <cell r="H1969" t="str">
            <v/>
          </cell>
          <cell r="I1969" t="str">
            <v/>
          </cell>
          <cell r="J1969" t="str">
            <v/>
          </cell>
          <cell r="K1969" t="str">
            <v/>
          </cell>
          <cell r="W1969">
            <v>314.56912999999997</v>
          </cell>
          <cell r="X1969">
            <v>629.49225999999999</v>
          </cell>
          <cell r="Y1969">
            <v>52.442937999999998</v>
          </cell>
        </row>
        <row r="1970">
          <cell r="B1970">
            <v>781529</v>
          </cell>
          <cell r="C1970" t="str">
            <v>NOT USED</v>
          </cell>
          <cell r="D1970" t="str">
            <v>BENEFITS-OPEB-AMORTIZATION GAIN/LOSS-P</v>
          </cell>
          <cell r="E1970" t="str">
            <v/>
          </cell>
          <cell r="F1970" t="str">
            <v/>
          </cell>
          <cell r="G1970" t="str">
            <v/>
          </cell>
          <cell r="H1970" t="str">
            <v/>
          </cell>
          <cell r="I1970" t="str">
            <v/>
          </cell>
          <cell r="J1970" t="str">
            <v/>
          </cell>
          <cell r="K1970" t="str">
            <v/>
          </cell>
          <cell r="W1970">
            <v>83.216260000000005</v>
          </cell>
          <cell r="X1970">
            <v>166.00248999999999</v>
          </cell>
          <cell r="Y1970">
            <v>13.851459</v>
          </cell>
        </row>
        <row r="1971">
          <cell r="B1971">
            <v>781620</v>
          </cell>
          <cell r="C1971" t="str">
            <v>NOT USED</v>
          </cell>
          <cell r="D1971" t="str">
            <v>BENEFITS-OTHER BENEFITS</v>
          </cell>
          <cell r="E1971" t="str">
            <v/>
          </cell>
          <cell r="F1971" t="str">
            <v/>
          </cell>
          <cell r="G1971" t="str">
            <v/>
          </cell>
          <cell r="H1971" t="str">
            <v/>
          </cell>
          <cell r="I1971" t="str">
            <v/>
          </cell>
          <cell r="J1971" t="str">
            <v/>
          </cell>
          <cell r="K1971" t="str">
            <v/>
          </cell>
          <cell r="L1971">
            <v>-336.34595999999999</v>
          </cell>
          <cell r="M1971">
            <v>103.75131</v>
          </cell>
          <cell r="N1971">
            <v>67.158789999999996</v>
          </cell>
          <cell r="O1971">
            <v>29.924469999999999</v>
          </cell>
          <cell r="P1971">
            <v>-6.23705</v>
          </cell>
          <cell r="Q1971">
            <v>-44.369909999999997</v>
          </cell>
          <cell r="R1971">
            <v>-77.076779999999999</v>
          </cell>
          <cell r="S1971">
            <v>-114.43065</v>
          </cell>
          <cell r="T1971">
            <v>-159.24450999999999</v>
          </cell>
          <cell r="U1971">
            <v>-193.08672999999999</v>
          </cell>
          <cell r="V1971">
            <v>9899.3355100000008</v>
          </cell>
          <cell r="W1971">
            <v>9857.9936099999995</v>
          </cell>
          <cell r="X1971">
            <v>10790.921700000001</v>
          </cell>
          <cell r="Y1971">
            <v>2049.2504939999999</v>
          </cell>
        </row>
        <row r="1972">
          <cell r="B1972">
            <v>781621</v>
          </cell>
          <cell r="C1972" t="str">
            <v>NOT USED</v>
          </cell>
          <cell r="D1972" t="str">
            <v>BENEFITS-PAYROLL TAXES</v>
          </cell>
          <cell r="E1972" t="str">
            <v/>
          </cell>
          <cell r="F1972" t="str">
            <v/>
          </cell>
          <cell r="G1972" t="str">
            <v/>
          </cell>
          <cell r="H1972" t="str">
            <v/>
          </cell>
          <cell r="I1972" t="str">
            <v/>
          </cell>
          <cell r="J1972" t="str">
            <v/>
          </cell>
          <cell r="K1972" t="str">
            <v/>
          </cell>
          <cell r="L1972">
            <v>-173.13567</v>
          </cell>
          <cell r="M1972">
            <v>-17.405570000000001</v>
          </cell>
          <cell r="N1972">
            <v>-32.886800000000001</v>
          </cell>
          <cell r="O1972">
            <v>-49.718730000000001</v>
          </cell>
          <cell r="P1972">
            <v>-66.056749999999994</v>
          </cell>
          <cell r="Q1972">
            <v>-83.77946</v>
          </cell>
          <cell r="R1972">
            <v>-99.306830000000005</v>
          </cell>
          <cell r="S1972">
            <v>-116.31778</v>
          </cell>
          <cell r="T1972">
            <v>-137.27406999999999</v>
          </cell>
          <cell r="U1972">
            <v>-152.93833000000001</v>
          </cell>
          <cell r="V1972">
            <v>4331.2821100000001</v>
          </cell>
          <cell r="W1972">
            <v>4320.4342100000003</v>
          </cell>
          <cell r="X1972">
            <v>4312.1349499999997</v>
          </cell>
          <cell r="Y1972">
            <v>830.46096999999997</v>
          </cell>
        </row>
        <row r="1973">
          <cell r="B1973">
            <v>781622</v>
          </cell>
          <cell r="C1973" t="str">
            <v>NOT USED</v>
          </cell>
          <cell r="D1973" t="str">
            <v>BENEFITS-PENSIONS-SERVICES</v>
          </cell>
          <cell r="E1973" t="str">
            <v/>
          </cell>
          <cell r="F1973" t="str">
            <v/>
          </cell>
          <cell r="G1973" t="str">
            <v/>
          </cell>
          <cell r="H1973" t="str">
            <v/>
          </cell>
          <cell r="I1973" t="str">
            <v/>
          </cell>
          <cell r="J1973" t="str">
            <v/>
          </cell>
          <cell r="K1973" t="str">
            <v/>
          </cell>
          <cell r="L1973">
            <v>-58.041130000000003</v>
          </cell>
          <cell r="M1973">
            <v>-25.162040000000001</v>
          </cell>
          <cell r="N1973">
            <v>-40.210419999999999</v>
          </cell>
          <cell r="O1973">
            <v>-52.610280000000003</v>
          </cell>
          <cell r="P1973">
            <v>-64.832070000000002</v>
          </cell>
          <cell r="Q1973">
            <v>-78.630750000000006</v>
          </cell>
          <cell r="R1973">
            <v>-90.532150000000001</v>
          </cell>
          <cell r="S1973">
            <v>-103.2931</v>
          </cell>
          <cell r="T1973">
            <v>-118.77200000000001</v>
          </cell>
          <cell r="U1973">
            <v>-129.71155999999999</v>
          </cell>
          <cell r="V1973">
            <v>3264.7203800000002</v>
          </cell>
          <cell r="W1973">
            <v>3256.6794799999998</v>
          </cell>
          <cell r="X1973">
            <v>3250.2175999999999</v>
          </cell>
          <cell r="Y1973">
            <v>617.81114400000001</v>
          </cell>
        </row>
        <row r="1974">
          <cell r="B1974">
            <v>781623</v>
          </cell>
          <cell r="C1974" t="str">
            <v>NOT USED</v>
          </cell>
          <cell r="D1974" t="str">
            <v>BENEFITS-PENSIONS-INTEREST</v>
          </cell>
          <cell r="E1974" t="str">
            <v/>
          </cell>
          <cell r="F1974" t="str">
            <v/>
          </cell>
          <cell r="G1974" t="str">
            <v/>
          </cell>
          <cell r="H1974" t="str">
            <v/>
          </cell>
          <cell r="I1974" t="str">
            <v/>
          </cell>
          <cell r="J1974" t="str">
            <v/>
          </cell>
          <cell r="K1974" t="str">
            <v/>
          </cell>
          <cell r="L1974">
            <v>-286.17317000000003</v>
          </cell>
          <cell r="M1974">
            <v>-81.932839999999999</v>
          </cell>
          <cell r="N1974">
            <v>-154.83760000000001</v>
          </cell>
          <cell r="O1974">
            <v>-223.52382</v>
          </cell>
          <cell r="P1974">
            <v>-291.88556</v>
          </cell>
          <cell r="Q1974">
            <v>-369.21926999999999</v>
          </cell>
          <cell r="R1974">
            <v>-432.48322999999999</v>
          </cell>
          <cell r="S1974">
            <v>-500.79388</v>
          </cell>
          <cell r="T1974">
            <v>-587.08941000000004</v>
          </cell>
          <cell r="U1974">
            <v>-650.34217000000001</v>
          </cell>
          <cell r="V1974">
            <v>17729.519509999998</v>
          </cell>
          <cell r="W1974">
            <v>17677.696800000002</v>
          </cell>
          <cell r="X1974">
            <v>17632.45549</v>
          </cell>
          <cell r="Y1974">
            <v>3399.0208080000002</v>
          </cell>
        </row>
        <row r="1975">
          <cell r="B1975">
            <v>781624</v>
          </cell>
          <cell r="C1975" t="str">
            <v>NOT USED</v>
          </cell>
          <cell r="D1975" t="str">
            <v>BENEFITS-PENSIONS-RETURN ON ASSETS-ROA</v>
          </cell>
          <cell r="E1975" t="str">
            <v/>
          </cell>
          <cell r="F1975" t="str">
            <v/>
          </cell>
          <cell r="G1975" t="str">
            <v/>
          </cell>
          <cell r="H1975" t="str">
            <v/>
          </cell>
          <cell r="I1975" t="str">
            <v/>
          </cell>
          <cell r="J1975" t="str">
            <v/>
          </cell>
          <cell r="K1975" t="str">
            <v/>
          </cell>
          <cell r="L1975">
            <v>439.90469999999999</v>
          </cell>
          <cell r="M1975">
            <v>123.02169000000001</v>
          </cell>
          <cell r="N1975">
            <v>232.56181000000001</v>
          </cell>
          <cell r="O1975">
            <v>336.16915999999998</v>
          </cell>
          <cell r="P1975">
            <v>452.17892999999998</v>
          </cell>
          <cell r="Q1975">
            <v>581.91818999999998</v>
          </cell>
          <cell r="R1975">
            <v>695.34987999999998</v>
          </cell>
          <cell r="S1975">
            <v>817.69173999999998</v>
          </cell>
          <cell r="T1975">
            <v>974.62279999999998</v>
          </cell>
          <cell r="U1975">
            <v>1088.14003</v>
          </cell>
          <cell r="V1975">
            <v>-28991.68115</v>
          </cell>
          <cell r="W1975">
            <v>-28899.617900000001</v>
          </cell>
          <cell r="X1975">
            <v>-28819.606309999999</v>
          </cell>
          <cell r="Y1975">
            <v>-5564.957969</v>
          </cell>
        </row>
        <row r="1976">
          <cell r="B1976">
            <v>781625</v>
          </cell>
          <cell r="C1976" t="str">
            <v>NOT USED</v>
          </cell>
          <cell r="D1976" t="str">
            <v>BENEFITS-PENSIONS-AMORTIZATION GAIN/LOSS</v>
          </cell>
          <cell r="E1976" t="str">
            <v/>
          </cell>
          <cell r="F1976" t="str">
            <v/>
          </cell>
          <cell r="G1976" t="str">
            <v/>
          </cell>
          <cell r="H1976" t="str">
            <v/>
          </cell>
          <cell r="I1976" t="str">
            <v/>
          </cell>
          <cell r="J1976" t="str">
            <v/>
          </cell>
          <cell r="K1976" t="str">
            <v/>
          </cell>
          <cell r="L1976">
            <v>-121.45007</v>
          </cell>
          <cell r="M1976">
            <v>-48.74832</v>
          </cell>
          <cell r="N1976">
            <v>-92.399320000000003</v>
          </cell>
          <cell r="O1976">
            <v>-134.55591000000001</v>
          </cell>
          <cell r="P1976">
            <v>-174.51723999999999</v>
          </cell>
          <cell r="Q1976">
            <v>-221.82785999999999</v>
          </cell>
          <cell r="R1976">
            <v>-259.59133000000003</v>
          </cell>
          <cell r="S1976">
            <v>-299.83582000000001</v>
          </cell>
          <cell r="T1976">
            <v>-353.05243999999999</v>
          </cell>
          <cell r="U1976">
            <v>-389.37484000000001</v>
          </cell>
          <cell r="V1976">
            <v>8715.0421999999999</v>
          </cell>
          <cell r="W1976">
            <v>8684.6163799999995</v>
          </cell>
          <cell r="X1976">
            <v>8657.2650799999992</v>
          </cell>
          <cell r="Y1976">
            <v>1641.138584</v>
          </cell>
        </row>
        <row r="1977">
          <cell r="B1977">
            <v>781626</v>
          </cell>
          <cell r="C1977" t="str">
            <v>NOT USED</v>
          </cell>
          <cell r="D1977" t="str">
            <v>BENEFITS-OPEB-SERVICE</v>
          </cell>
          <cell r="E1977" t="str">
            <v/>
          </cell>
          <cell r="F1977" t="str">
            <v/>
          </cell>
          <cell r="G1977" t="str">
            <v/>
          </cell>
          <cell r="H1977" t="str">
            <v/>
          </cell>
          <cell r="I1977" t="str">
            <v/>
          </cell>
          <cell r="J1977" t="str">
            <v/>
          </cell>
          <cell r="K1977" t="str">
            <v/>
          </cell>
          <cell r="L1977">
            <v>-67.588399999999993</v>
          </cell>
          <cell r="M1977">
            <v>-31.182880000000001</v>
          </cell>
          <cell r="N1977">
            <v>-33.534019999999998</v>
          </cell>
          <cell r="O1977">
            <v>-35.528260000000003</v>
          </cell>
          <cell r="P1977">
            <v>-37.244430000000001</v>
          </cell>
          <cell r="Q1977">
            <v>-39.192979999999999</v>
          </cell>
          <cell r="R1977">
            <v>-40.743400000000001</v>
          </cell>
          <cell r="S1977">
            <v>-42.41122</v>
          </cell>
          <cell r="T1977">
            <v>-44.706899999999997</v>
          </cell>
          <cell r="U1977">
            <v>-46.350560000000002</v>
          </cell>
          <cell r="V1977">
            <v>430.20398</v>
          </cell>
          <cell r="W1977">
            <v>429.02328999999997</v>
          </cell>
          <cell r="X1977">
            <v>428.24847999999997</v>
          </cell>
          <cell r="Y1977">
            <v>57.388554999999997</v>
          </cell>
        </row>
        <row r="1978">
          <cell r="B1978">
            <v>781627</v>
          </cell>
          <cell r="C1978" t="str">
            <v>NOT USED</v>
          </cell>
          <cell r="D1978" t="str">
            <v>BENEFITS-OPEB-INTEREST</v>
          </cell>
          <cell r="E1978" t="str">
            <v/>
          </cell>
          <cell r="F1978" t="str">
            <v/>
          </cell>
          <cell r="G1978" t="str">
            <v/>
          </cell>
          <cell r="H1978" t="str">
            <v/>
          </cell>
          <cell r="I1978" t="str">
            <v/>
          </cell>
          <cell r="J1978" t="str">
            <v/>
          </cell>
          <cell r="K1978" t="str">
            <v/>
          </cell>
          <cell r="L1978">
            <v>-93.287229999999994</v>
          </cell>
          <cell r="M1978">
            <v>-277.55399</v>
          </cell>
          <cell r="N1978">
            <v>-291.4178</v>
          </cell>
          <cell r="O1978">
            <v>-304.44333999999998</v>
          </cell>
          <cell r="P1978">
            <v>-317.65231</v>
          </cell>
          <cell r="Q1978">
            <v>-332.38675000000001</v>
          </cell>
          <cell r="R1978">
            <v>-344.75993999999997</v>
          </cell>
          <cell r="S1978">
            <v>-358.13078999999999</v>
          </cell>
          <cell r="T1978">
            <v>-374.94918999999999</v>
          </cell>
          <cell r="U1978">
            <v>-387.36977000000002</v>
          </cell>
          <cell r="V1978">
            <v>3195.0704799999999</v>
          </cell>
          <cell r="W1978">
            <v>3184.7779700000001</v>
          </cell>
          <cell r="X1978">
            <v>3175.8323300000002</v>
          </cell>
          <cell r="Y1978">
            <v>411.038093</v>
          </cell>
        </row>
        <row r="1979">
          <cell r="B1979">
            <v>781628</v>
          </cell>
          <cell r="C1979" t="str">
            <v>NOT USED</v>
          </cell>
          <cell r="D1979" t="str">
            <v>BENEFITS-OPEB-RETURN ON ASSET-ROA</v>
          </cell>
          <cell r="E1979" t="str">
            <v/>
          </cell>
          <cell r="F1979" t="str">
            <v/>
          </cell>
          <cell r="G1979" t="str">
            <v/>
          </cell>
          <cell r="H1979" t="str">
            <v/>
          </cell>
          <cell r="I1979" t="str">
            <v/>
          </cell>
          <cell r="J1979" t="str">
            <v/>
          </cell>
          <cell r="K1979" t="str">
            <v/>
          </cell>
          <cell r="L1979">
            <v>0.67605999999999999</v>
          </cell>
          <cell r="M1979">
            <v>-1.4274500000000001</v>
          </cell>
          <cell r="N1979">
            <v>-0.70440999999999998</v>
          </cell>
          <cell r="O1979">
            <v>5.7110000000000001E-2</v>
          </cell>
          <cell r="P1979">
            <v>0.83333000000000002</v>
          </cell>
          <cell r="Q1979">
            <v>1.8512200000000001</v>
          </cell>
          <cell r="R1979">
            <v>2.8239000000000001</v>
          </cell>
          <cell r="S1979">
            <v>3.8062900000000002</v>
          </cell>
          <cell r="T1979">
            <v>5.3159000000000001</v>
          </cell>
          <cell r="U1979">
            <v>6.0986099999999999</v>
          </cell>
          <cell r="V1979">
            <v>6.9095000000000004</v>
          </cell>
          <cell r="W1979">
            <v>7.7444199999999999</v>
          </cell>
          <cell r="X1979">
            <v>8.5465900000000001</v>
          </cell>
          <cell r="Y1979">
            <v>3.1599789999999999</v>
          </cell>
        </row>
        <row r="1980">
          <cell r="B1980">
            <v>781629</v>
          </cell>
          <cell r="C1980" t="str">
            <v>NOT USED</v>
          </cell>
          <cell r="D1980" t="str">
            <v>BENEFITS-OPEB-AMORTIZATION GAIN/LOSS</v>
          </cell>
          <cell r="E1980" t="str">
            <v/>
          </cell>
          <cell r="F1980" t="str">
            <v/>
          </cell>
          <cell r="G1980" t="str">
            <v/>
          </cell>
          <cell r="H1980" t="str">
            <v/>
          </cell>
          <cell r="I1980" t="str">
            <v/>
          </cell>
          <cell r="J1980" t="str">
            <v/>
          </cell>
          <cell r="K1980" t="str">
            <v/>
          </cell>
          <cell r="L1980">
            <v>-19.943570000000001</v>
          </cell>
          <cell r="M1980">
            <v>-36.56729</v>
          </cell>
          <cell r="N1980">
            <v>-42.132399999999997</v>
          </cell>
          <cell r="O1980">
            <v>-42.859009999999998</v>
          </cell>
          <cell r="P1980">
            <v>-48.022689999999997</v>
          </cell>
          <cell r="Q1980">
            <v>-54.068959999999997</v>
          </cell>
          <cell r="R1980">
            <v>-58.786430000000003</v>
          </cell>
          <cell r="S1980">
            <v>-63.805990000000001</v>
          </cell>
          <cell r="T1980">
            <v>-70.525099999999995</v>
          </cell>
          <cell r="U1980">
            <v>-74.904489999999996</v>
          </cell>
          <cell r="V1980">
            <v>771.12171000000001</v>
          </cell>
          <cell r="W1980">
            <v>767.53255999999999</v>
          </cell>
          <cell r="X1980">
            <v>764.17484000000002</v>
          </cell>
          <cell r="Y1980">
            <v>118.258129</v>
          </cell>
        </row>
        <row r="1981">
          <cell r="B1981">
            <v>782301</v>
          </cell>
          <cell r="C1981" t="str">
            <v>NOT USED</v>
          </cell>
          <cell r="D1981" t="str">
            <v>BENEFITS-OPEB-AMORTIZATION GAIN/LOSS</v>
          </cell>
          <cell r="E1981" t="str">
            <v/>
          </cell>
          <cell r="F1981" t="str">
            <v/>
          </cell>
          <cell r="G1981" t="str">
            <v/>
          </cell>
          <cell r="H1981" t="str">
            <v/>
          </cell>
          <cell r="I1981" t="str">
            <v/>
          </cell>
          <cell r="J1981" t="str">
            <v/>
          </cell>
          <cell r="K1981" t="str">
            <v/>
          </cell>
          <cell r="L1981">
            <v>-88.81223</v>
          </cell>
          <cell r="M1981">
            <v>-5.7082899999999999</v>
          </cell>
          <cell r="N1981">
            <v>-11.032019999999999</v>
          </cell>
          <cell r="O1981">
            <v>-16.778880000000001</v>
          </cell>
          <cell r="P1981">
            <v>-20.420590000000001</v>
          </cell>
          <cell r="Q1981">
            <v>-25.388590000000001</v>
          </cell>
          <cell r="R1981">
            <v>-29.430479999999999</v>
          </cell>
          <cell r="S1981">
            <v>-32.654240000000001</v>
          </cell>
          <cell r="T1981">
            <v>-35.869459999999997</v>
          </cell>
          <cell r="U1981">
            <v>-37.75056</v>
          </cell>
          <cell r="V1981">
            <v>-201.97327000000001</v>
          </cell>
          <cell r="W1981">
            <v>-223.38481999999999</v>
          </cell>
          <cell r="X1981">
            <v>-243.42544000000001</v>
          </cell>
          <cell r="Y1981">
            <v>-67.20917</v>
          </cell>
        </row>
        <row r="1982">
          <cell r="B1982">
            <v>782302</v>
          </cell>
          <cell r="C1982" t="str">
            <v>NOT USED</v>
          </cell>
          <cell r="D1982" t="str">
            <v>USSC SUPPORT</v>
          </cell>
          <cell r="E1982">
            <v>0</v>
          </cell>
          <cell r="X1982">
            <v>-9.67</v>
          </cell>
          <cell r="Y1982">
            <v>-0.40291700000000003</v>
          </cell>
        </row>
        <row r="1983">
          <cell r="B1983">
            <v>782400</v>
          </cell>
          <cell r="C1983" t="str">
            <v>NOT USED</v>
          </cell>
          <cell r="D1983" t="str">
            <v>USSC SUPPORT</v>
          </cell>
          <cell r="E1983" t="str">
            <v/>
          </cell>
          <cell r="F1983" t="str">
            <v/>
          </cell>
          <cell r="G1983" t="str">
            <v/>
          </cell>
          <cell r="H1983" t="str">
            <v/>
          </cell>
          <cell r="I1983" t="str">
            <v/>
          </cell>
          <cell r="J1983" t="str">
            <v/>
          </cell>
          <cell r="K1983" t="str">
            <v/>
          </cell>
          <cell r="V1983">
            <v>-13.84747</v>
          </cell>
          <cell r="W1983">
            <v>-13.84747</v>
          </cell>
          <cell r="X1983">
            <v>-18.25929</v>
          </cell>
          <cell r="Y1983">
            <v>-3.0687150000000001</v>
          </cell>
        </row>
        <row r="1984">
          <cell r="B1984">
            <v>782600</v>
          </cell>
          <cell r="C1984" t="str">
            <v>NOT USED</v>
          </cell>
          <cell r="D1984" t="str">
            <v>INSURANCE-PROPERTY</v>
          </cell>
          <cell r="E1984" t="str">
            <v/>
          </cell>
          <cell r="F1984" t="str">
            <v/>
          </cell>
          <cell r="G1984" t="str">
            <v/>
          </cell>
          <cell r="H1984" t="str">
            <v/>
          </cell>
          <cell r="I1984" t="str">
            <v/>
          </cell>
          <cell r="J1984" t="str">
            <v/>
          </cell>
          <cell r="K1984" t="str">
            <v/>
          </cell>
          <cell r="V1984">
            <v>-23.036960000000001</v>
          </cell>
          <cell r="W1984">
            <v>-24.320589999999999</v>
          </cell>
          <cell r="X1984">
            <v>-27.29222</v>
          </cell>
          <cell r="Y1984">
            <v>-5.0836379999999997</v>
          </cell>
        </row>
        <row r="1985">
          <cell r="B1985">
            <v>782616</v>
          </cell>
          <cell r="C1985" t="str">
            <v>NOT USED</v>
          </cell>
          <cell r="D1985" t="str">
            <v>BENEFITS</v>
          </cell>
          <cell r="E1985" t="str">
            <v/>
          </cell>
          <cell r="F1985" t="str">
            <v/>
          </cell>
          <cell r="G1985" t="str">
            <v/>
          </cell>
          <cell r="H1985" t="str">
            <v/>
          </cell>
          <cell r="I1985" t="str">
            <v/>
          </cell>
          <cell r="J1985" t="str">
            <v/>
          </cell>
          <cell r="K1985" t="str">
            <v/>
          </cell>
          <cell r="V1985">
            <v>-598.33331999999996</v>
          </cell>
          <cell r="W1985">
            <v>-658.16665</v>
          </cell>
          <cell r="X1985">
            <v>-184.42151000000001</v>
          </cell>
          <cell r="Y1985">
            <v>-112.39256</v>
          </cell>
        </row>
        <row r="1986">
          <cell r="B1986">
            <v>782660</v>
          </cell>
          <cell r="C1986" t="str">
            <v>NOT USED</v>
          </cell>
          <cell r="D1986" t="str">
            <v>BENEFITS-FAS 112</v>
          </cell>
          <cell r="E1986" t="str">
            <v/>
          </cell>
          <cell r="F1986" t="str">
            <v/>
          </cell>
          <cell r="G1986" t="str">
            <v/>
          </cell>
          <cell r="H1986" t="str">
            <v/>
          </cell>
          <cell r="I1986" t="str">
            <v/>
          </cell>
          <cell r="J1986" t="str">
            <v/>
          </cell>
          <cell r="K1986" t="str">
            <v/>
          </cell>
          <cell r="V1986">
            <v>-506.65667999999999</v>
          </cell>
          <cell r="W1986">
            <v>-557.32235000000003</v>
          </cell>
          <cell r="X1986">
            <v>-607.98802000000001</v>
          </cell>
          <cell r="Y1986">
            <v>-113.997753</v>
          </cell>
        </row>
        <row r="1987">
          <cell r="B1987">
            <v>782661</v>
          </cell>
          <cell r="C1987" t="str">
            <v>NOT USED</v>
          </cell>
          <cell r="D1987" t="str">
            <v>BENEFITS-OPEB-SERVICE</v>
          </cell>
          <cell r="E1987" t="str">
            <v/>
          </cell>
          <cell r="F1987" t="str">
            <v/>
          </cell>
          <cell r="G1987" t="str">
            <v/>
          </cell>
          <cell r="H1987" t="str">
            <v/>
          </cell>
          <cell r="I1987" t="str">
            <v/>
          </cell>
          <cell r="J1987" t="str">
            <v/>
          </cell>
          <cell r="K1987" t="str">
            <v/>
          </cell>
          <cell r="V1987">
            <v>-3523.3175000000001</v>
          </cell>
          <cell r="W1987">
            <v>-3875.6492499999999</v>
          </cell>
          <cell r="X1987">
            <v>-4227.9809999999998</v>
          </cell>
          <cell r="Y1987">
            <v>-792.74643800000001</v>
          </cell>
        </row>
        <row r="1988">
          <cell r="B1988">
            <v>782663</v>
          </cell>
          <cell r="C1988" t="str">
            <v>NOT USED</v>
          </cell>
          <cell r="D1988" t="str">
            <v>BENEFITS-OPEB-INTEREST</v>
          </cell>
          <cell r="E1988" t="str">
            <v/>
          </cell>
          <cell r="F1988" t="str">
            <v/>
          </cell>
          <cell r="G1988" t="str">
            <v/>
          </cell>
          <cell r="H1988" t="str">
            <v/>
          </cell>
          <cell r="I1988" t="str">
            <v/>
          </cell>
          <cell r="J1988" t="str">
            <v/>
          </cell>
          <cell r="K1988" t="str">
            <v/>
          </cell>
          <cell r="V1988">
            <v>-847.58749999999998</v>
          </cell>
          <cell r="W1988">
            <v>-932.34625000000005</v>
          </cell>
          <cell r="X1988">
            <v>-1017.105</v>
          </cell>
          <cell r="Y1988">
            <v>-190.707188</v>
          </cell>
        </row>
        <row r="1989">
          <cell r="B1989">
            <v>782400</v>
          </cell>
          <cell r="C1989" t="str">
            <v>NOT USED</v>
          </cell>
          <cell r="D1989" t="str">
            <v>USSC SUPPORT</v>
          </cell>
          <cell r="E1989" t="str">
            <v/>
          </cell>
          <cell r="F1989" t="str">
            <v/>
          </cell>
          <cell r="G1989" t="str">
            <v/>
          </cell>
          <cell r="H1989" t="str">
            <v/>
          </cell>
          <cell r="I1989" t="str">
            <v/>
          </cell>
          <cell r="J1989" t="str">
            <v/>
          </cell>
          <cell r="K1989" t="str">
            <v/>
          </cell>
          <cell r="L1989">
            <v>-14.53618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-9.2316500000000001</v>
          </cell>
          <cell r="S1989">
            <v>-9.2316500000000001</v>
          </cell>
          <cell r="T1989">
            <v>-9.2316500000000001</v>
          </cell>
          <cell r="U1989">
            <v>-13.84747</v>
          </cell>
          <cell r="V1989">
            <v>-13.84747</v>
          </cell>
          <cell r="W1989">
            <v>-13.84747</v>
          </cell>
          <cell r="X1989">
            <v>-18.25929</v>
          </cell>
          <cell r="Y1989">
            <v>-7.1362579999999998</v>
          </cell>
        </row>
        <row r="1990">
          <cell r="B1990">
            <v>783023</v>
          </cell>
          <cell r="C1990" t="str">
            <v>NOT USED</v>
          </cell>
          <cell r="D1990" t="str">
            <v>USSC SUPPORT</v>
          </cell>
          <cell r="E1990" t="str">
            <v/>
          </cell>
          <cell r="F1990" t="str">
            <v/>
          </cell>
          <cell r="G1990" t="str">
            <v/>
          </cell>
          <cell r="H1990" t="str">
            <v/>
          </cell>
          <cell r="I1990" t="str">
            <v/>
          </cell>
          <cell r="J1990" t="str">
            <v/>
          </cell>
          <cell r="K1990" t="str">
            <v/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</row>
        <row r="1991">
          <cell r="B1991">
            <v>783255</v>
          </cell>
          <cell r="C1991" t="str">
            <v>NOT USED</v>
          </cell>
          <cell r="D1991" t="str">
            <v>MEMBERSHIPS &amp; SUBSCRIPTIONS</v>
          </cell>
          <cell r="E1991" t="str">
            <v/>
          </cell>
          <cell r="F1991" t="str">
            <v/>
          </cell>
          <cell r="G1991" t="str">
            <v/>
          </cell>
          <cell r="H1991" t="str">
            <v/>
          </cell>
          <cell r="I1991" t="str">
            <v/>
          </cell>
          <cell r="J1991" t="str">
            <v/>
          </cell>
          <cell r="K1991" t="str">
            <v/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</row>
        <row r="1992">
          <cell r="B1992">
            <v>788170</v>
          </cell>
          <cell r="C1992" t="str">
            <v>NOT USED</v>
          </cell>
          <cell r="D1992" t="str">
            <v>EMPLOYEE - ENTERTAINMENT EXPENSES</v>
          </cell>
          <cell r="E1992" t="str">
            <v/>
          </cell>
          <cell r="F1992" t="str">
            <v/>
          </cell>
          <cell r="G1992" t="str">
            <v/>
          </cell>
          <cell r="H1992" t="str">
            <v/>
          </cell>
          <cell r="I1992" t="str">
            <v/>
          </cell>
          <cell r="J1992" t="str">
            <v/>
          </cell>
          <cell r="K1992" t="str">
            <v/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</row>
        <row r="1993">
          <cell r="B1993">
            <v>789261</v>
          </cell>
          <cell r="C1993" t="str">
            <v>NOT USED</v>
          </cell>
          <cell r="D1993" t="str">
            <v>PURCHASED GAS EXP</v>
          </cell>
          <cell r="E1993" t="str">
            <v/>
          </cell>
          <cell r="F1993" t="str">
            <v/>
          </cell>
          <cell r="G1993" t="str">
            <v/>
          </cell>
          <cell r="H1993" t="str">
            <v/>
          </cell>
          <cell r="I1993" t="str">
            <v/>
          </cell>
          <cell r="J1993" t="str">
            <v/>
          </cell>
          <cell r="K1993" t="str">
            <v/>
          </cell>
          <cell r="V1993">
            <v>46.479059999999997</v>
          </cell>
          <cell r="W1993">
            <v>51.12706</v>
          </cell>
          <cell r="X1993">
            <v>55.775060000000003</v>
          </cell>
          <cell r="Y1993">
            <v>10.457803999999999</v>
          </cell>
        </row>
        <row r="1994">
          <cell r="B1994">
            <v>789280</v>
          </cell>
          <cell r="C1994" t="str">
            <v>NOT USED</v>
          </cell>
          <cell r="D1994" t="str">
            <v>PURCHASED GAS EXP</v>
          </cell>
          <cell r="E1994" t="str">
            <v/>
          </cell>
          <cell r="F1994" t="str">
            <v/>
          </cell>
          <cell r="G1994" t="str">
            <v/>
          </cell>
          <cell r="H1994" t="str">
            <v/>
          </cell>
          <cell r="I1994" t="str">
            <v/>
          </cell>
          <cell r="J1994" t="str">
            <v/>
          </cell>
          <cell r="K1994" t="str">
            <v/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</row>
        <row r="1995">
          <cell r="B1995">
            <v>789999</v>
          </cell>
          <cell r="C1995" t="str">
            <v>NOT USED</v>
          </cell>
          <cell r="D1995" t="str">
            <v>REGULATORY - OTHER</v>
          </cell>
          <cell r="E1995" t="str">
            <v/>
          </cell>
          <cell r="F1995" t="str">
            <v/>
          </cell>
          <cell r="G1995" t="str">
            <v/>
          </cell>
          <cell r="H1995" t="str">
            <v/>
          </cell>
          <cell r="I1995" t="str">
            <v/>
          </cell>
          <cell r="J1995" t="str">
            <v/>
          </cell>
          <cell r="K1995" t="str">
            <v/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</row>
        <row r="1996">
          <cell r="B1996">
            <v>790050</v>
          </cell>
          <cell r="C1996" t="str">
            <v>NOT USED</v>
          </cell>
          <cell r="D1996" t="str">
            <v>G/L RECONCILATION</v>
          </cell>
          <cell r="E1996" t="str">
            <v/>
          </cell>
          <cell r="F1996" t="str">
            <v/>
          </cell>
          <cell r="G1996" t="str">
            <v/>
          </cell>
          <cell r="H1996" t="str">
            <v/>
          </cell>
          <cell r="I1996" t="str">
            <v/>
          </cell>
          <cell r="J1996" t="str">
            <v/>
          </cell>
          <cell r="K1996" t="str">
            <v/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</row>
        <row r="1997">
          <cell r="B1997">
            <v>790070</v>
          </cell>
          <cell r="C1997" t="str">
            <v>NOT USED</v>
          </cell>
          <cell r="D1997" t="str">
            <v>LABOR</v>
          </cell>
          <cell r="E1997" t="str">
            <v/>
          </cell>
          <cell r="F1997" t="str">
            <v/>
          </cell>
          <cell r="G1997" t="str">
            <v/>
          </cell>
          <cell r="H1997" t="str">
            <v/>
          </cell>
          <cell r="I1997" t="str">
            <v/>
          </cell>
          <cell r="J1997" t="str">
            <v/>
          </cell>
          <cell r="K1997" t="str">
            <v/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</row>
        <row r="1998">
          <cell r="B1998">
            <v>790075</v>
          </cell>
          <cell r="C1998" t="str">
            <v>NOT USED</v>
          </cell>
          <cell r="D1998" t="str">
            <v>BENEFITS</v>
          </cell>
          <cell r="E1998" t="str">
            <v/>
          </cell>
          <cell r="F1998" t="str">
            <v/>
          </cell>
          <cell r="G1998" t="str">
            <v/>
          </cell>
          <cell r="H1998" t="str">
            <v/>
          </cell>
          <cell r="I1998" t="str">
            <v/>
          </cell>
          <cell r="J1998" t="str">
            <v/>
          </cell>
          <cell r="K1998" t="str">
            <v/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</row>
        <row r="1999">
          <cell r="B1999">
            <v>790090</v>
          </cell>
          <cell r="C1999" t="str">
            <v>NOT USED</v>
          </cell>
          <cell r="D1999" t="str">
            <v>BENEFITS TO CLEARING ACCOUNT</v>
          </cell>
          <cell r="E1999" t="str">
            <v/>
          </cell>
          <cell r="F1999" t="str">
            <v/>
          </cell>
          <cell r="G1999" t="str">
            <v/>
          </cell>
          <cell r="H1999" t="str">
            <v/>
          </cell>
          <cell r="I1999" t="str">
            <v/>
          </cell>
          <cell r="J1999" t="str">
            <v/>
          </cell>
          <cell r="K1999" t="str">
            <v/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</row>
        <row r="2000">
          <cell r="B2000">
            <v>790120</v>
          </cell>
          <cell r="C2000" t="str">
            <v>NOT USED</v>
          </cell>
          <cell r="D2000" t="str">
            <v>CONTRACTORS</v>
          </cell>
          <cell r="E2000" t="str">
            <v/>
          </cell>
          <cell r="F2000" t="str">
            <v/>
          </cell>
          <cell r="G2000" t="str">
            <v/>
          </cell>
          <cell r="H2000" t="str">
            <v/>
          </cell>
          <cell r="I2000" t="str">
            <v/>
          </cell>
          <cell r="J2000" t="str">
            <v/>
          </cell>
          <cell r="K2000" t="str">
            <v/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</row>
        <row r="2001">
          <cell r="B2001">
            <v>790130</v>
          </cell>
          <cell r="C2001" t="str">
            <v>NOT USED</v>
          </cell>
          <cell r="D2001" t="str">
            <v>MATERIALS</v>
          </cell>
          <cell r="E2001" t="str">
            <v/>
          </cell>
          <cell r="F2001" t="str">
            <v/>
          </cell>
          <cell r="G2001" t="str">
            <v/>
          </cell>
          <cell r="H2001" t="str">
            <v/>
          </cell>
          <cell r="I2001" t="str">
            <v/>
          </cell>
          <cell r="J2001" t="str">
            <v/>
          </cell>
          <cell r="K2001" t="str">
            <v/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0</v>
          </cell>
        </row>
        <row r="2002">
          <cell r="B2002">
            <v>790140</v>
          </cell>
          <cell r="C2002" t="str">
            <v>NOT USED</v>
          </cell>
          <cell r="D2002" t="str">
            <v>FUEL</v>
          </cell>
          <cell r="E2002" t="str">
            <v/>
          </cell>
          <cell r="F2002" t="str">
            <v/>
          </cell>
          <cell r="G2002" t="str">
            <v/>
          </cell>
          <cell r="H2002" t="str">
            <v/>
          </cell>
          <cell r="I2002" t="str">
            <v/>
          </cell>
          <cell r="J2002" t="str">
            <v/>
          </cell>
          <cell r="K2002" t="str">
            <v/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</row>
        <row r="2003">
          <cell r="B2003">
            <v>790170</v>
          </cell>
          <cell r="C2003" t="str">
            <v>NOT USED</v>
          </cell>
          <cell r="D2003" t="str">
            <v>RENTS-LEASES</v>
          </cell>
          <cell r="E2003" t="str">
            <v/>
          </cell>
          <cell r="F2003" t="str">
            <v/>
          </cell>
          <cell r="G2003" t="str">
            <v/>
          </cell>
          <cell r="H2003" t="str">
            <v/>
          </cell>
          <cell r="I2003" t="str">
            <v/>
          </cell>
          <cell r="J2003" t="str">
            <v/>
          </cell>
          <cell r="K2003" t="str">
            <v/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</row>
        <row r="2004">
          <cell r="B2004">
            <v>790180</v>
          </cell>
          <cell r="C2004" t="str">
            <v>NOT USED</v>
          </cell>
          <cell r="D2004" t="str">
            <v>TRAVEL</v>
          </cell>
          <cell r="E2004" t="str">
            <v/>
          </cell>
          <cell r="F2004" t="str">
            <v/>
          </cell>
          <cell r="G2004" t="str">
            <v/>
          </cell>
          <cell r="H2004" t="str">
            <v/>
          </cell>
          <cell r="I2004" t="str">
            <v/>
          </cell>
          <cell r="J2004" t="str">
            <v/>
          </cell>
          <cell r="K2004" t="str">
            <v/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</row>
        <row r="2005">
          <cell r="B2005">
            <v>790190</v>
          </cell>
          <cell r="C2005" t="str">
            <v>NOT USED</v>
          </cell>
          <cell r="D2005" t="str">
            <v>GENERAL EXPENSES</v>
          </cell>
          <cell r="E2005" t="str">
            <v/>
          </cell>
          <cell r="F2005" t="str">
            <v/>
          </cell>
          <cell r="G2005" t="str">
            <v/>
          </cell>
          <cell r="H2005" t="str">
            <v/>
          </cell>
          <cell r="I2005" t="str">
            <v/>
          </cell>
          <cell r="J2005" t="str">
            <v/>
          </cell>
          <cell r="K2005" t="str">
            <v/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</row>
        <row r="2006">
          <cell r="B2006">
            <v>790220</v>
          </cell>
          <cell r="C2006" t="str">
            <v>NOT USED</v>
          </cell>
          <cell r="D2006" t="str">
            <v>REGULATORY EXPENSES</v>
          </cell>
          <cell r="E2006" t="str">
            <v/>
          </cell>
          <cell r="F2006" t="str">
            <v/>
          </cell>
          <cell r="G2006" t="str">
            <v/>
          </cell>
          <cell r="H2006" t="str">
            <v/>
          </cell>
          <cell r="I2006" t="str">
            <v/>
          </cell>
          <cell r="J2006" t="str">
            <v/>
          </cell>
          <cell r="K2006" t="str">
            <v/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</row>
        <row r="2007">
          <cell r="B2007">
            <v>790280</v>
          </cell>
          <cell r="C2007" t="str">
            <v>NOT USED</v>
          </cell>
          <cell r="D2007" t="str">
            <v>OTHER TAXES - ELECTRIC</v>
          </cell>
          <cell r="E2007" t="str">
            <v/>
          </cell>
          <cell r="F2007" t="str">
            <v/>
          </cell>
          <cell r="G2007" t="str">
            <v/>
          </cell>
          <cell r="H2007" t="str">
            <v/>
          </cell>
          <cell r="I2007" t="str">
            <v/>
          </cell>
          <cell r="J2007" t="str">
            <v/>
          </cell>
          <cell r="K2007" t="str">
            <v/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</row>
        <row r="2008">
          <cell r="B2008">
            <v>880099</v>
          </cell>
          <cell r="C2008" t="str">
            <v>NOT USED</v>
          </cell>
          <cell r="D2008" t="str">
            <v>OID - OTHER INCOME &amp; DEDUCTIONS</v>
          </cell>
          <cell r="E2008" t="str">
            <v/>
          </cell>
          <cell r="F2008" t="str">
            <v/>
          </cell>
          <cell r="G2008" t="str">
            <v/>
          </cell>
          <cell r="H2008" t="str">
            <v/>
          </cell>
          <cell r="I2008" t="str">
            <v/>
          </cell>
          <cell r="J2008" t="str">
            <v/>
          </cell>
          <cell r="K2008" t="str">
            <v/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</row>
        <row r="2009">
          <cell r="B2009">
            <v>899996</v>
          </cell>
          <cell r="C2009" t="str">
            <v>NOT USED</v>
          </cell>
          <cell r="D2009" t="str">
            <v>OTHER GAS EXPENSE - INTERCOMPANY</v>
          </cell>
          <cell r="E2009" t="str">
            <v/>
          </cell>
          <cell r="F2009" t="str">
            <v/>
          </cell>
          <cell r="G2009" t="str">
            <v/>
          </cell>
          <cell r="H2009" t="str">
            <v/>
          </cell>
          <cell r="I2009" t="str">
            <v/>
          </cell>
          <cell r="J2009" t="str">
            <v/>
          </cell>
          <cell r="K2009" t="str">
            <v/>
          </cell>
          <cell r="L2009">
            <v>-9747.3158100000001</v>
          </cell>
          <cell r="M2009">
            <v>-950.28994999999998</v>
          </cell>
          <cell r="N2009">
            <v>-1801.56115</v>
          </cell>
          <cell r="O2009">
            <v>-2954.3021399999998</v>
          </cell>
          <cell r="P2009">
            <v>-3774.33581</v>
          </cell>
          <cell r="Q2009">
            <v>-4760.1494899999998</v>
          </cell>
          <cell r="R2009">
            <v>-6008.4121299999997</v>
          </cell>
          <cell r="S2009">
            <v>-6768.0539200000003</v>
          </cell>
          <cell r="T2009">
            <v>-7712.9694799999997</v>
          </cell>
          <cell r="U2009">
            <v>-11816.954820000001</v>
          </cell>
          <cell r="V2009">
            <v>-12691.66455</v>
          </cell>
          <cell r="W2009">
            <v>-14432.09294</v>
          </cell>
          <cell r="X2009">
            <v>-15199.60212</v>
          </cell>
          <cell r="Y2009">
            <v>-7178.6871119999996</v>
          </cell>
        </row>
        <row r="2010">
          <cell r="B2010">
            <v>899997</v>
          </cell>
          <cell r="C2010" t="str">
            <v>NOT USED</v>
          </cell>
          <cell r="D2010" t="str">
            <v>DIRECT LABOR  &amp; OVERHEAD BILLINGS-INTERCO (CREDIT</v>
          </cell>
          <cell r="E2010" t="str">
            <v/>
          </cell>
          <cell r="F2010" t="str">
            <v/>
          </cell>
          <cell r="G2010" t="str">
            <v/>
          </cell>
          <cell r="H2010" t="str">
            <v/>
          </cell>
          <cell r="I2010" t="str">
            <v/>
          </cell>
          <cell r="J2010" t="str">
            <v/>
          </cell>
          <cell r="K2010" t="str">
            <v/>
          </cell>
          <cell r="L2010">
            <v>7554.9081200000001</v>
          </cell>
          <cell r="M2010">
            <v>742.03859999999997</v>
          </cell>
          <cell r="N2010">
            <v>1371.3530000000001</v>
          </cell>
          <cell r="O2010">
            <v>2043.36598</v>
          </cell>
          <cell r="P2010">
            <v>2660.0998100000002</v>
          </cell>
          <cell r="Q2010">
            <v>3355.03181</v>
          </cell>
          <cell r="R2010">
            <v>3996.5994300000002</v>
          </cell>
          <cell r="S2010">
            <v>4630.3611600000004</v>
          </cell>
          <cell r="T2010">
            <v>5411.8580700000002</v>
          </cell>
          <cell r="U2010">
            <v>5951.7057100000002</v>
          </cell>
          <cell r="V2010">
            <v>6579.7800999999999</v>
          </cell>
          <cell r="W2010">
            <v>7146.0975099999996</v>
          </cell>
          <cell r="X2010">
            <v>7794.3723600000003</v>
          </cell>
          <cell r="Y2010">
            <v>4296.9109520000002</v>
          </cell>
        </row>
        <row r="2011">
          <cell r="B2011">
            <v>899998</v>
          </cell>
          <cell r="C2011" t="str">
            <v>NOT USED</v>
          </cell>
          <cell r="D2011" t="str">
            <v>DIRECT LABOR  &amp; OVERHEAD CHARGES-INTERCO (DEBITS)</v>
          </cell>
          <cell r="E2011" t="str">
            <v/>
          </cell>
          <cell r="F2011" t="str">
            <v/>
          </cell>
          <cell r="G2011" t="str">
            <v/>
          </cell>
          <cell r="H2011" t="str">
            <v/>
          </cell>
          <cell r="I2011" t="str">
            <v/>
          </cell>
          <cell r="J2011" t="str">
            <v/>
          </cell>
          <cell r="K2011" t="str">
            <v/>
          </cell>
          <cell r="L2011">
            <v>-9.5187399999999993</v>
          </cell>
          <cell r="M2011">
            <v>0</v>
          </cell>
          <cell r="N2011">
            <v>-5.48916</v>
          </cell>
          <cell r="O2011">
            <v>-85.658619999999999</v>
          </cell>
          <cell r="P2011">
            <v>-95.242310000000003</v>
          </cell>
          <cell r="Q2011">
            <v>-103.52070000000001</v>
          </cell>
          <cell r="R2011">
            <v>-137.35493</v>
          </cell>
          <cell r="S2011">
            <v>-430.58103</v>
          </cell>
          <cell r="T2011">
            <v>-948.88170000000002</v>
          </cell>
          <cell r="U2011">
            <v>-994.83741999999995</v>
          </cell>
          <cell r="V2011">
            <v>-1003.6620799999999</v>
          </cell>
          <cell r="W2011">
            <v>-1041.06017</v>
          </cell>
          <cell r="X2011">
            <v>-1204.9519499999999</v>
          </cell>
          <cell r="Y2011">
            <v>-454.46028899999999</v>
          </cell>
        </row>
        <row r="2012">
          <cell r="B2012">
            <v>899999</v>
          </cell>
          <cell r="C2012" t="str">
            <v>NOT USED</v>
          </cell>
          <cell r="D2012" t="str">
            <v>INDIRECT BILLINGS - INTERCOMPANY (CREDIT)</v>
          </cell>
          <cell r="E2012" t="str">
            <v/>
          </cell>
          <cell r="F2012" t="str">
            <v/>
          </cell>
          <cell r="G2012" t="str">
            <v/>
          </cell>
          <cell r="H2012" t="str">
            <v/>
          </cell>
          <cell r="I2012" t="str">
            <v/>
          </cell>
          <cell r="J2012" t="str">
            <v/>
          </cell>
          <cell r="K2012" t="str">
            <v/>
          </cell>
          <cell r="L2012">
            <v>23679.174589999999</v>
          </cell>
          <cell r="M2012">
            <v>1331.8144</v>
          </cell>
          <cell r="N2012">
            <v>3298.31916</v>
          </cell>
          <cell r="O2012">
            <v>4852.9183700000003</v>
          </cell>
          <cell r="P2012">
            <v>6263.0986700000003</v>
          </cell>
          <cell r="Q2012">
            <v>7873.17767</v>
          </cell>
          <cell r="R2012">
            <v>10023.04083</v>
          </cell>
          <cell r="S2012">
            <v>12183.873820000001</v>
          </cell>
          <cell r="T2012">
            <v>14465.945229999999</v>
          </cell>
          <cell r="U2012">
            <v>16935.972969999999</v>
          </cell>
          <cell r="V2012">
            <v>19196.898969999998</v>
          </cell>
          <cell r="W2012">
            <v>21471.896840000001</v>
          </cell>
          <cell r="X2012">
            <v>26189.67139</v>
          </cell>
          <cell r="Y2012">
            <v>11902.614992999999</v>
          </cell>
        </row>
        <row r="2013">
          <cell r="B2013" t="str">
            <v>S81998</v>
          </cell>
          <cell r="C2013" t="str">
            <v>NOT USED</v>
          </cell>
          <cell r="D2013" t="str">
            <v>LABOR RECLASSIFICATION OVERTIME - CO</v>
          </cell>
          <cell r="E2013">
            <v>0</v>
          </cell>
        </row>
        <row r="2014">
          <cell r="B2014" t="str">
            <v>S81999</v>
          </cell>
          <cell r="C2014" t="str">
            <v>NOT USED</v>
          </cell>
          <cell r="D2014" t="str">
            <v>LABOR RECLASSIFICATION - CO</v>
          </cell>
          <cell r="E2014">
            <v>0</v>
          </cell>
        </row>
        <row r="2015">
          <cell r="B2015" t="str">
            <v>S82999</v>
          </cell>
          <cell r="C2015" t="str">
            <v>NOT USED</v>
          </cell>
          <cell r="D2015" t="str">
            <v>VEHICLE UTILIZATION RECLASS - CO</v>
          </cell>
          <cell r="E2015">
            <v>0</v>
          </cell>
        </row>
        <row r="2016">
          <cell r="B2016" t="str">
            <v>S88101</v>
          </cell>
          <cell r="C2016" t="str">
            <v>NOT USED</v>
          </cell>
          <cell r="D2016" t="str">
            <v>INSTALLATION LOADER - CO RECLASS</v>
          </cell>
          <cell r="E2016">
            <v>0</v>
          </cell>
        </row>
        <row r="2017">
          <cell r="B2017" t="str">
            <v>S88111</v>
          </cell>
          <cell r="C2017" t="str">
            <v>NOT USED</v>
          </cell>
          <cell r="D2017" t="str">
            <v>PAYROLL OVERHEAD LOADER - CO RECLASS</v>
          </cell>
          <cell r="E2017">
            <v>0</v>
          </cell>
        </row>
        <row r="2018">
          <cell r="B2018" t="str">
            <v>S88141</v>
          </cell>
          <cell r="C2018" t="str">
            <v>NOT USED</v>
          </cell>
          <cell r="D2018" t="str">
            <v>OCCUPANCY LOADER - CO RECLASS</v>
          </cell>
          <cell r="E2018">
            <v>0</v>
          </cell>
        </row>
        <row r="2019">
          <cell r="B2019" t="str">
            <v>S88166</v>
          </cell>
          <cell r="C2019" t="str">
            <v>NOT USED</v>
          </cell>
          <cell r="D2019" t="str">
            <v>CAPITALIZED PRELIM ENGINEERING - CO RECLASS</v>
          </cell>
          <cell r="E2019">
            <v>0</v>
          </cell>
        </row>
        <row r="2020">
          <cell r="B2020" t="str">
            <v>S88176</v>
          </cell>
          <cell r="C2020" t="str">
            <v>NOT USED</v>
          </cell>
          <cell r="D2020" t="str">
            <v>CAPITALIZED GENERAL &amp; SUPERVISION EXP - CO RECLASS</v>
          </cell>
          <cell r="E2020">
            <v>0</v>
          </cell>
        </row>
        <row r="2021">
          <cell r="B2021" t="str">
            <v>S88410</v>
          </cell>
          <cell r="C2021" t="str">
            <v>NOT USED</v>
          </cell>
          <cell r="D2021" t="str">
            <v>BEN-OTHER BENEFITS-RECLASS-S88310</v>
          </cell>
          <cell r="E2021">
            <v>0</v>
          </cell>
        </row>
        <row r="2022">
          <cell r="B2022" t="str">
            <v>S88420</v>
          </cell>
          <cell r="C2022" t="str">
            <v>NOT USED</v>
          </cell>
          <cell r="D2022" t="str">
            <v>BEN-PAYROLL TAXES-RECLASS-S88320</v>
          </cell>
          <cell r="E2022">
            <v>0</v>
          </cell>
        </row>
        <row r="2023">
          <cell r="B2023" t="str">
            <v>S88431</v>
          </cell>
          <cell r="C2023" t="str">
            <v>NOT USED</v>
          </cell>
          <cell r="D2023" t="str">
            <v>BEN-PENSIONS-SERVICES-RECLASS-S88331</v>
          </cell>
          <cell r="E2023">
            <v>0</v>
          </cell>
        </row>
        <row r="2024">
          <cell r="B2024" t="str">
            <v>S88432</v>
          </cell>
          <cell r="C2024" t="str">
            <v>NOT USED</v>
          </cell>
          <cell r="D2024" t="str">
            <v>BEN-PENSIONS-INTEREST-RECLASS-S88332</v>
          </cell>
          <cell r="E2024">
            <v>0</v>
          </cell>
        </row>
        <row r="2025">
          <cell r="B2025" t="str">
            <v>S88433</v>
          </cell>
          <cell r="C2025" t="str">
            <v>NOT USED</v>
          </cell>
          <cell r="D2025" t="str">
            <v>BEN-PENSIONS-RETURN ON ASSET-RECL-S88333</v>
          </cell>
          <cell r="E2025">
            <v>0</v>
          </cell>
        </row>
        <row r="2026">
          <cell r="B2026" t="str">
            <v>S88434</v>
          </cell>
          <cell r="C2026" t="str">
            <v>NOT USED</v>
          </cell>
          <cell r="D2026" t="str">
            <v>BEN-PENSIONS-AMORT GAIN/LOSS-RECL-S88334</v>
          </cell>
          <cell r="E2026">
            <v>0</v>
          </cell>
        </row>
        <row r="2027">
          <cell r="B2027" t="str">
            <v>S88441</v>
          </cell>
          <cell r="C2027" t="str">
            <v>NOT USED</v>
          </cell>
          <cell r="D2027" t="str">
            <v>BEN-OPEB-SERVICE-RECLASS-S88341</v>
          </cell>
          <cell r="E2027">
            <v>0</v>
          </cell>
        </row>
        <row r="2028">
          <cell r="B2028" t="str">
            <v>S88442</v>
          </cell>
          <cell r="C2028" t="str">
            <v>NOT USED</v>
          </cell>
          <cell r="D2028" t="str">
            <v>BEN-OPEB-INTEREST-RECLASS-S88342</v>
          </cell>
          <cell r="E2028">
            <v>0</v>
          </cell>
        </row>
        <row r="2029">
          <cell r="B2029" t="str">
            <v>S88443</v>
          </cell>
          <cell r="C2029" t="str">
            <v>NOT USED</v>
          </cell>
          <cell r="D2029" t="str">
            <v>BEN-OPEB-RETURN ON ASSET-RECLASS-S88343</v>
          </cell>
          <cell r="E2029">
            <v>0</v>
          </cell>
        </row>
        <row r="2030">
          <cell r="B2030" t="str">
            <v>S88444</v>
          </cell>
          <cell r="C2030" t="str">
            <v>NOT USED</v>
          </cell>
          <cell r="D2030" t="str">
            <v>BEN-OPEB-AMORT GAIN/LOSS-RECLASS-S88344</v>
          </cell>
          <cell r="E2030">
            <v>0</v>
          </cell>
        </row>
        <row r="2031">
          <cell r="B2031">
            <v>0</v>
          </cell>
          <cell r="D2031">
            <v>0</v>
          </cell>
          <cell r="E2031">
            <v>0</v>
          </cell>
        </row>
        <row r="2032">
          <cell r="B2032">
            <v>0</v>
          </cell>
          <cell r="D2032">
            <v>0</v>
          </cell>
          <cell r="E2032">
            <v>0</v>
          </cell>
        </row>
        <row r="2033">
          <cell r="B2033">
            <v>0</v>
          </cell>
          <cell r="D2033">
            <v>0</v>
          </cell>
          <cell r="E2033">
            <v>0</v>
          </cell>
        </row>
        <row r="2034">
          <cell r="B2034">
            <v>0</v>
          </cell>
          <cell r="D2034">
            <v>0</v>
          </cell>
          <cell r="E2034">
            <v>0</v>
          </cell>
        </row>
        <row r="2035">
          <cell r="B2035">
            <v>0</v>
          </cell>
          <cell r="D2035">
            <v>0</v>
          </cell>
          <cell r="E2035">
            <v>0</v>
          </cell>
        </row>
        <row r="2036">
          <cell r="B2036">
            <v>0</v>
          </cell>
          <cell r="D2036">
            <v>0</v>
          </cell>
          <cell r="E2036">
            <v>0</v>
          </cell>
        </row>
        <row r="2037">
          <cell r="B2037">
            <v>0</v>
          </cell>
          <cell r="D2037">
            <v>0</v>
          </cell>
          <cell r="E2037">
            <v>0</v>
          </cell>
        </row>
        <row r="2038">
          <cell r="B2038">
            <v>0</v>
          </cell>
          <cell r="D2038">
            <v>0</v>
          </cell>
          <cell r="E2038">
            <v>0</v>
          </cell>
        </row>
        <row r="2039">
          <cell r="D2039">
            <v>0</v>
          </cell>
          <cell r="E2039">
            <v>0</v>
          </cell>
        </row>
        <row r="2040">
          <cell r="D2040">
            <v>0</v>
          </cell>
          <cell r="E2040">
            <v>0</v>
          </cell>
        </row>
        <row r="2041">
          <cell r="E2041" t="str">
            <v/>
          </cell>
          <cell r="F2041" t="str">
            <v/>
          </cell>
          <cell r="G2041" t="str">
            <v/>
          </cell>
          <cell r="H2041" t="str">
            <v/>
          </cell>
          <cell r="I2041" t="str">
            <v/>
          </cell>
          <cell r="J2041" t="str">
            <v/>
          </cell>
          <cell r="K2041" t="str">
            <v/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</row>
        <row r="2042">
          <cell r="B2042" t="str">
            <v>Total</v>
          </cell>
          <cell r="L2042">
            <v>3100.7879899974905</v>
          </cell>
          <cell r="M2042">
            <v>-1.5963299997449667</v>
          </cell>
          <cell r="N2042">
            <v>146.50167000107376</v>
          </cell>
          <cell r="O2042">
            <v>307.21873000148389</v>
          </cell>
          <cell r="P2042">
            <v>484.62074999956621</v>
          </cell>
          <cell r="Q2042">
            <v>658.34673000131806</v>
          </cell>
          <cell r="R2042">
            <v>903.85763999992014</v>
          </cell>
          <cell r="S2042">
            <v>1086.2573100030113</v>
          </cell>
          <cell r="T2042">
            <v>1169.0797300007707</v>
          </cell>
          <cell r="U2042">
            <v>1305.012730000004</v>
          </cell>
          <cell r="V2042">
            <v>1446.8907399995951</v>
          </cell>
          <cell r="W2042">
            <v>1608.3237399988575</v>
          </cell>
          <cell r="X2042">
            <v>7809.5410100009613</v>
          </cell>
          <cell r="Y2042">
            <v>1214.1398280000001</v>
          </cell>
        </row>
        <row r="2044">
          <cell r="B2044" t="str">
            <v>Average Cumulative Income</v>
          </cell>
          <cell r="C2044">
            <v>0</v>
          </cell>
          <cell r="D2044" t="str">
            <v>Average Cumulative Income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-51235.755709999983</v>
          </cell>
          <cell r="M2044">
            <v>-11756.070109999986</v>
          </cell>
          <cell r="N2044">
            <v>-18527.70064999989</v>
          </cell>
          <cell r="O2044">
            <v>-25703.548689999719</v>
          </cell>
          <cell r="P2044">
            <v>-31182.771059999948</v>
          </cell>
          <cell r="Q2044">
            <v>-36819.648259999871</v>
          </cell>
          <cell r="R2044">
            <v>-39142.91891999996</v>
          </cell>
          <cell r="S2044">
            <v>-45110.416309999317</v>
          </cell>
          <cell r="T2044">
            <v>-49736.150519999646</v>
          </cell>
          <cell r="U2044">
            <v>-54917.02580000009</v>
          </cell>
          <cell r="V2044">
            <v>-55679.821029999541</v>
          </cell>
          <cell r="W2044">
            <v>-48232.617530000207</v>
          </cell>
          <cell r="X2044">
            <v>-53181.44112999989</v>
          </cell>
          <cell r="Y2044">
            <v>-39084.773942999964</v>
          </cell>
        </row>
        <row r="2045">
          <cell r="B2045">
            <v>0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</row>
        <row r="2046">
          <cell r="B2046">
            <v>0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Y2046">
            <v>0</v>
          </cell>
        </row>
        <row r="2047">
          <cell r="B2047">
            <v>0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  <cell r="X2047">
            <v>0</v>
          </cell>
          <cell r="Y2047">
            <v>0</v>
          </cell>
        </row>
        <row r="2048">
          <cell r="C2048">
            <v>0</v>
          </cell>
          <cell r="D2048" t="str">
            <v>Sum of BS Accts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L2048">
            <v>54336.543699997477</v>
          </cell>
          <cell r="M2048">
            <v>11754.473780000264</v>
          </cell>
          <cell r="N2048">
            <v>18674.202320001023</v>
          </cell>
          <cell r="O2048">
            <v>26010.767420001263</v>
          </cell>
          <cell r="P2048">
            <v>31667.391809999601</v>
          </cell>
          <cell r="Q2048">
            <v>37477.994990001331</v>
          </cell>
          <cell r="R2048">
            <v>40046.776559999867</v>
          </cell>
          <cell r="S2048">
            <v>46196.673620002912</v>
          </cell>
          <cell r="T2048">
            <v>50905.230250000837</v>
          </cell>
          <cell r="U2048">
            <v>56222.038530000063</v>
          </cell>
          <cell r="V2048">
            <v>57126.711769999747</v>
          </cell>
          <cell r="W2048">
            <v>49840.94126999905</v>
          </cell>
          <cell r="X2048">
            <v>60990.982140000415</v>
          </cell>
          <cell r="Y2048">
            <v>40298.91376400055</v>
          </cell>
        </row>
        <row r="2049">
          <cell r="B2049">
            <v>0</v>
          </cell>
          <cell r="C2049">
            <v>0</v>
          </cell>
          <cell r="D2049" t="str">
            <v>Sum of IS Accts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-51235.755709999983</v>
          </cell>
          <cell r="M2049">
            <v>-11756.070109999986</v>
          </cell>
          <cell r="N2049">
            <v>-18527.70064999989</v>
          </cell>
          <cell r="O2049">
            <v>-25703.548689999719</v>
          </cell>
          <cell r="P2049">
            <v>-31182.771059999948</v>
          </cell>
          <cell r="Q2049">
            <v>-36819.648259999871</v>
          </cell>
          <cell r="R2049">
            <v>-39142.91891999996</v>
          </cell>
          <cell r="S2049">
            <v>-45110.416309999317</v>
          </cell>
          <cell r="T2049">
            <v>-49736.150519999646</v>
          </cell>
          <cell r="U2049">
            <v>-54917.02580000009</v>
          </cell>
          <cell r="V2049">
            <v>-55679.821029999541</v>
          </cell>
          <cell r="W2049">
            <v>-48232.617530000207</v>
          </cell>
          <cell r="X2049">
            <v>-53181.44112999989</v>
          </cell>
          <cell r="Y2049">
            <v>-39084.773942999964</v>
          </cell>
        </row>
        <row r="2050">
          <cell r="B2050">
            <v>0</v>
          </cell>
          <cell r="C2050">
            <v>0</v>
          </cell>
          <cell r="D2050" t="str">
            <v>Difference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3100.7879899974942</v>
          </cell>
          <cell r="M2050">
            <v>-1.596329999722002</v>
          </cell>
          <cell r="N2050">
            <v>146.50167000113288</v>
          </cell>
          <cell r="O2050">
            <v>307.21873000154301</v>
          </cell>
          <cell r="P2050">
            <v>484.62074999965262</v>
          </cell>
          <cell r="Q2050">
            <v>658.34673000145995</v>
          </cell>
          <cell r="R2050">
            <v>903.85763999990741</v>
          </cell>
          <cell r="S2050">
            <v>1086.2573100035952</v>
          </cell>
          <cell r="T2050">
            <v>1169.0797300011909</v>
          </cell>
          <cell r="U2050">
            <v>1305.0127299999731</v>
          </cell>
          <cell r="V2050">
            <v>1446.8907400002063</v>
          </cell>
          <cell r="W2050">
            <v>1608.3237399988429</v>
          </cell>
          <cell r="X2050">
            <v>7809.5410100005247</v>
          </cell>
          <cell r="Y2050">
            <v>1214.1398210005864</v>
          </cell>
        </row>
        <row r="2051"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</row>
        <row r="2052">
          <cell r="B2052">
            <v>0</v>
          </cell>
          <cell r="C2052">
            <v>0</v>
          </cell>
          <cell r="D2052" t="str">
            <v>Net Income from RP12GAAP</v>
          </cell>
          <cell r="E2052">
            <v>0</v>
          </cell>
          <cell r="M2052">
            <v>-11754.47416</v>
          </cell>
          <cell r="N2052">
            <v>-6919.7285399999992</v>
          </cell>
          <cell r="O2052">
            <v>-7336.5647200000003</v>
          </cell>
          <cell r="P2052">
            <v>-5656.6243800000011</v>
          </cell>
          <cell r="Q2052">
            <v>-5810.6031900000007</v>
          </cell>
          <cell r="R2052">
            <v>-2568.7815700000001</v>
          </cell>
          <cell r="S2052">
            <v>-6149.8970600000002</v>
          </cell>
          <cell r="T2052">
            <v>-4708.55663</v>
          </cell>
          <cell r="U2052">
            <v>-5316.8082799999993</v>
          </cell>
          <cell r="V2052">
            <v>-904.67323999999996</v>
          </cell>
          <cell r="W2052">
            <v>7285.7704999999996</v>
          </cell>
          <cell r="X2052">
            <v>-11150.040869999999</v>
          </cell>
        </row>
        <row r="2053">
          <cell r="B2053">
            <v>0</v>
          </cell>
          <cell r="C2053">
            <v>0</v>
          </cell>
          <cell r="D2053" t="str">
            <v>cumulative</v>
          </cell>
          <cell r="E2053">
            <v>0</v>
          </cell>
          <cell r="M2053">
            <v>-11754.47416</v>
          </cell>
          <cell r="N2053">
            <v>-18674.202699999998</v>
          </cell>
          <cell r="O2053">
            <v>-26010.767419999996</v>
          </cell>
          <cell r="P2053">
            <v>-31667.391799999998</v>
          </cell>
          <cell r="Q2053">
            <v>-37477.994989999999</v>
          </cell>
          <cell r="R2053">
            <v>-40046.776559999998</v>
          </cell>
          <cell r="S2053">
            <v>-46196.673620000001</v>
          </cell>
          <cell r="T2053">
            <v>-50905.230250000001</v>
          </cell>
          <cell r="U2053">
            <v>-56222.038529999998</v>
          </cell>
          <cell r="V2053">
            <v>-57126.711769999994</v>
          </cell>
          <cell r="W2053">
            <v>-49840.941269999996</v>
          </cell>
          <cell r="X2053">
            <v>-60990.982139999993</v>
          </cell>
        </row>
        <row r="2054">
          <cell r="B2054">
            <v>0</v>
          </cell>
          <cell r="C2054">
            <v>0</v>
          </cell>
          <cell r="D2054">
            <v>0</v>
          </cell>
          <cell r="E2054">
            <v>0</v>
          </cell>
        </row>
        <row r="2055">
          <cell r="B2055">
            <v>0</v>
          </cell>
          <cell r="C2055">
            <v>0</v>
          </cell>
          <cell r="D2055">
            <v>0</v>
          </cell>
          <cell r="E2055">
            <v>0</v>
          </cell>
        </row>
        <row r="2056">
          <cell r="B2056">
            <v>0</v>
          </cell>
          <cell r="C2056">
            <v>0</v>
          </cell>
          <cell r="D2056">
            <v>0</v>
          </cell>
          <cell r="E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0</v>
          </cell>
        </row>
        <row r="2057"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</row>
        <row r="2058">
          <cell r="B2058">
            <v>0</v>
          </cell>
        </row>
        <row r="2059">
          <cell r="B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</row>
        <row r="2060"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0</v>
          </cell>
        </row>
        <row r="2061">
          <cell r="B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</row>
        <row r="2062"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</row>
        <row r="2063"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</row>
        <row r="2064"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</row>
        <row r="2065"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</row>
        <row r="2066"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</row>
        <row r="2067"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0</v>
          </cell>
        </row>
        <row r="2068"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</row>
        <row r="2069"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</row>
        <row r="2070"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</row>
        <row r="2071"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</row>
        <row r="2072"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  <cell r="X2072">
            <v>0</v>
          </cell>
          <cell r="Y2072">
            <v>0</v>
          </cell>
        </row>
        <row r="2073"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</row>
        <row r="2074"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  <cell r="X2074">
            <v>0</v>
          </cell>
          <cell r="Y2074">
            <v>0</v>
          </cell>
        </row>
        <row r="2075"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</row>
        <row r="2076"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</row>
        <row r="2077"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</row>
        <row r="2078"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</row>
        <row r="2079"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</row>
        <row r="2080"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>
            <v>0</v>
          </cell>
        </row>
        <row r="2081"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</row>
        <row r="2082"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</row>
        <row r="2083"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</row>
        <row r="2084"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</row>
        <row r="2085"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>
            <v>0</v>
          </cell>
        </row>
        <row r="2086"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</row>
        <row r="2087"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</row>
        <row r="2088"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</row>
        <row r="2089"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0</v>
          </cell>
        </row>
        <row r="2090"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  <cell r="X2090">
            <v>0</v>
          </cell>
          <cell r="Y2090">
            <v>0</v>
          </cell>
        </row>
        <row r="2091"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>
            <v>0</v>
          </cell>
        </row>
        <row r="2092"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</row>
        <row r="2093"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</row>
        <row r="2094"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</row>
        <row r="2095"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0</v>
          </cell>
        </row>
        <row r="2096"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</row>
        <row r="2097"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</row>
        <row r="2098"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</row>
        <row r="2099"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</row>
        <row r="2100"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</row>
        <row r="2101"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</row>
        <row r="2102"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</row>
        <row r="2103"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</row>
        <row r="2104"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</row>
        <row r="2105"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</row>
        <row r="2106"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</row>
        <row r="2107"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0</v>
          </cell>
        </row>
        <row r="2108"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</row>
        <row r="2109"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</row>
        <row r="2110"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</row>
        <row r="2111"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</row>
        <row r="2112"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</row>
      </sheetData>
      <sheetData sheetId="1">
        <row r="36">
          <cell r="K36">
            <v>-115948.677</v>
          </cell>
        </row>
      </sheetData>
      <sheetData sheetId="2">
        <row r="43">
          <cell r="P43">
            <v>167075.25088674613</v>
          </cell>
        </row>
      </sheetData>
      <sheetData sheetId="3">
        <row r="1">
          <cell r="AO1" t="str">
            <v>Year End December 2011 Monthly Average</v>
          </cell>
        </row>
      </sheetData>
      <sheetData sheetId="4"/>
      <sheetData sheetId="5">
        <row r="1384">
          <cell r="M1384">
            <v>-1533.74</v>
          </cell>
        </row>
      </sheetData>
      <sheetData sheetId="6"/>
      <sheetData sheetId="7">
        <row r="80">
          <cell r="M80">
            <v>257307.07</v>
          </cell>
        </row>
      </sheetData>
      <sheetData sheetId="8">
        <row r="12">
          <cell r="G12">
            <v>247187809</v>
          </cell>
        </row>
      </sheetData>
      <sheetData sheetId="9">
        <row r="14">
          <cell r="E14">
            <v>6532110.1116666701</v>
          </cell>
        </row>
      </sheetData>
      <sheetData sheetId="10"/>
      <sheetData sheetId="11"/>
      <sheetData sheetId="12"/>
      <sheetData sheetId="13"/>
      <sheetData sheetId="14">
        <row r="5">
          <cell r="E5">
            <v>225380.421</v>
          </cell>
        </row>
      </sheetData>
      <sheetData sheetId="15">
        <row r="162">
          <cell r="F162">
            <v>0.56340000000000001</v>
          </cell>
        </row>
      </sheetData>
      <sheetData sheetId="16">
        <row r="193">
          <cell r="I193">
            <v>19253.731333398355</v>
          </cell>
        </row>
      </sheetData>
      <sheetData sheetId="17">
        <row r="5">
          <cell r="B5" t="str">
            <v>12 Months Ended December 31, 2011</v>
          </cell>
        </row>
      </sheetData>
      <sheetData sheetId="18"/>
      <sheetData sheetId="19">
        <row r="60">
          <cell r="O60">
            <v>319896</v>
          </cell>
        </row>
      </sheetData>
      <sheetData sheetId="20"/>
      <sheetData sheetId="21">
        <row r="8">
          <cell r="B8" t="str">
            <v>Common</v>
          </cell>
          <cell r="C8">
            <v>0</v>
          </cell>
          <cell r="D8">
            <v>0</v>
          </cell>
          <cell r="E8">
            <v>0</v>
          </cell>
          <cell r="F8">
            <v>0.68590693138126746</v>
          </cell>
        </row>
        <row r="9">
          <cell r="B9" t="str">
            <v>CTA</v>
          </cell>
          <cell r="C9">
            <v>0</v>
          </cell>
          <cell r="D9">
            <v>0</v>
          </cell>
          <cell r="F9">
            <v>0.84530000000000005</v>
          </cell>
        </row>
        <row r="10">
          <cell r="B10" t="str">
            <v>Customers</v>
          </cell>
          <cell r="C10">
            <v>0</v>
          </cell>
          <cell r="D10">
            <v>0</v>
          </cell>
          <cell r="F10">
            <v>0.58986531372414497</v>
          </cell>
        </row>
        <row r="11">
          <cell r="B11" t="str">
            <v>Electric</v>
          </cell>
          <cell r="C11">
            <v>0</v>
          </cell>
          <cell r="D11">
            <v>0</v>
          </cell>
          <cell r="F11">
            <v>1</v>
          </cell>
        </row>
        <row r="12">
          <cell r="B12" t="str">
            <v>Gas</v>
          </cell>
          <cell r="C12">
            <v>0</v>
          </cell>
          <cell r="D12">
            <v>0</v>
          </cell>
          <cell r="F12">
            <v>0</v>
          </cell>
        </row>
        <row r="13">
          <cell r="B13" t="str">
            <v>Net Plant</v>
          </cell>
          <cell r="C13">
            <v>0</v>
          </cell>
          <cell r="D13">
            <v>0</v>
          </cell>
          <cell r="F13">
            <v>0.70860000000000001</v>
          </cell>
        </row>
        <row r="14">
          <cell r="B14" t="str">
            <v>Payroll</v>
          </cell>
          <cell r="C14">
            <v>0</v>
          </cell>
          <cell r="D14">
            <v>0</v>
          </cell>
          <cell r="F14">
            <v>0.61329999999999996</v>
          </cell>
        </row>
        <row r="15">
          <cell r="B15" t="str">
            <v>Property Tax</v>
          </cell>
          <cell r="C15">
            <v>0</v>
          </cell>
          <cell r="D15">
            <v>0</v>
          </cell>
          <cell r="F15">
            <v>0.70879999999999999</v>
          </cell>
        </row>
        <row r="16">
          <cell r="B16" t="str">
            <v>PSC Assessment</v>
          </cell>
          <cell r="C16">
            <v>0</v>
          </cell>
          <cell r="D16">
            <v>0</v>
          </cell>
          <cell r="F16">
            <v>0.56340000000000001</v>
          </cell>
        </row>
        <row r="17">
          <cell r="B17">
            <v>0.2</v>
          </cell>
          <cell r="C17">
            <v>0</v>
          </cell>
          <cell r="D17">
            <v>0</v>
          </cell>
          <cell r="F17">
            <v>0.2</v>
          </cell>
        </row>
        <row r="18">
          <cell r="B18">
            <v>0.7</v>
          </cell>
          <cell r="C18">
            <v>0</v>
          </cell>
          <cell r="D18">
            <v>0</v>
          </cell>
          <cell r="F18">
            <v>0.7</v>
          </cell>
        </row>
        <row r="19">
          <cell r="C19">
            <v>0</v>
          </cell>
          <cell r="D19">
            <v>0</v>
          </cell>
        </row>
      </sheetData>
      <sheetData sheetId="22"/>
      <sheetData sheetId="23"/>
      <sheetData sheetId="24"/>
      <sheetData sheetId="2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SS INPUTS"/>
      <sheetName val="DTI"/>
      <sheetName val="TCO "/>
      <sheetName val="TGP "/>
      <sheetName val="PLATT "/>
      <sheetName val="TRANS CHGS."/>
      <sheetName val="DAILY BALANCING"/>
    </sheetNames>
    <sheetDataSet>
      <sheetData sheetId="0" refreshError="1"/>
      <sheetData sheetId="1" refreshError="1">
        <row r="14">
          <cell r="H14" t="str">
            <v>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Margin Forecast Rpt"/>
      <sheetName val="JP Compare"/>
      <sheetName val="Delivery_Commodity"/>
      <sheetName val="Input Template"/>
      <sheetName val="NY Sales NYSEG Gas"/>
      <sheetName val="NYSEG Gas Margin Plan"/>
      <sheetName val="NYSEG Gas RDM"/>
      <sheetName val="NYSEG Gas Del Rev Exh Billed"/>
      <sheetName val="Non-Cash and Other"/>
      <sheetName val="Misc Revenue"/>
      <sheetName val="NYSEG Gas - Projection"/>
      <sheetName val="Template Revenues"/>
      <sheetName val="Template Fuel Expense"/>
      <sheetName val="Dth &amp; Rev by RC Rpt"/>
      <sheetName val="P Gas detail"/>
      <sheetName val="TSAS"/>
      <sheetName val="Mary Haskell"/>
      <sheetName val="NYSEG Gas Dth"/>
      <sheetName val="NYSEG Gas Revenues"/>
      <sheetName val="NYSEG Gas Customers"/>
      <sheetName val="NYSEG Purchased Gas Expense"/>
      <sheetName val="Dth Rpt"/>
      <sheetName val="$ Rpt"/>
      <sheetName val="Customers Rpt"/>
      <sheetName val="GL Billed Rpt"/>
      <sheetName val="GL UnBilled Rpt"/>
      <sheetName val="Exhibit Customer"/>
      <sheetName val="Exhibit Calendar Sales"/>
      <sheetName val="Exhibit Base Del Rev Cal"/>
      <sheetName val="Exhibit Base Del Rev Billed"/>
      <sheetName val="Del Rev &amp; Dth Billed"/>
      <sheetName val="Del Rev Unbilled Accrual"/>
      <sheetName val="Del Rev &amp; Dth Calendar"/>
      <sheetName val="BSC &amp; Vol Del"/>
      <sheetName val="Vol Del ADID"/>
      <sheetName val="Supply Forecast"/>
      <sheetName val="TS Billed"/>
      <sheetName val="TS UnBilled"/>
      <sheetName val="TS Calendar"/>
      <sheetName val="Balancing"/>
      <sheetName val="Commodity Billed"/>
      <sheetName val="Commodity UnBilled"/>
      <sheetName val="Commodity Bill &amp; Unb"/>
      <sheetName val="Interrupt Gas Cost"/>
      <sheetName val="Demand Deferral &amp; TS"/>
      <sheetName val="Expense"/>
      <sheetName val="Cash 4cast"/>
      <sheetName val="MFC rates"/>
      <sheetName val="MFC Billed"/>
      <sheetName val="MFC UnBilled"/>
      <sheetName val="MFC Billed &amp; UnBil"/>
      <sheetName val="MFC Deferral"/>
      <sheetName val="POR Deferral"/>
      <sheetName val="Storage Bal Forecast"/>
      <sheetName val="GCIM's"/>
      <sheetName val="BIPP"/>
      <sheetName val="Low Income"/>
      <sheetName val="Economic Development"/>
      <sheetName val="EEPS Billed"/>
      <sheetName val="EEPS UnBilled"/>
      <sheetName val="EEPS Calendar"/>
      <sheetName val="RDM Deferral"/>
      <sheetName val="RDM Revenues"/>
      <sheetName val="TSAS Billed"/>
      <sheetName val="TSAS UnBilled"/>
      <sheetName val="TSAS Calendar"/>
      <sheetName val="Other Revenues"/>
      <sheetName val="SC to RC Billed"/>
      <sheetName val="SC to RC UnBilled"/>
      <sheetName val="SC to RC Billed &amp; Unbil"/>
      <sheetName val="Customers ADID SC"/>
      <sheetName val="Customers by RC"/>
      <sheetName val="Dth ADID SC"/>
      <sheetName val="Transp by SC and RC"/>
      <sheetName val="Total Rev Detail"/>
      <sheetName val="Use Per Customer"/>
      <sheetName val="Foreca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Assumptions"/>
      <sheetName val="Pg 1 Assumptions"/>
      <sheetName val="Pg 2. Electric"/>
      <sheetName val="Pg 3. Gas"/>
      <sheetName val="Total"/>
      <sheetName val="Gas"/>
      <sheetName val="Electric"/>
      <sheetName val="Settlement Adjs"/>
      <sheetName val="Summary"/>
      <sheetName val="Calendar Earnings"/>
      <sheetName val="Earnings Analysis"/>
      <sheetName val="ASGA"/>
      <sheetName val="Special Account"/>
      <sheetName val="Customer Impacts"/>
      <sheetName val="Monthly Impacts"/>
      <sheetName val="Gain"/>
      <sheetName val="Cap Struct"/>
      <sheetName val="Proceeds Utilization"/>
      <sheetName val="Ginna Sale"/>
      <sheetName val="Sheet5"/>
      <sheetName val="Delivery"/>
      <sheetName val="NBC + Fixed Supply"/>
      <sheetName val="NBC"/>
      <sheetName val="Supply"/>
      <sheetName val="Variable"/>
      <sheetName val="Fixed - Total"/>
      <sheetName val="Fixed - Ginna"/>
      <sheetName val="Fixed - Russell"/>
      <sheetName val="Fixed - Other"/>
      <sheetName val="Fixed Gen O&amp;M"/>
      <sheetName val="Purchased Power"/>
      <sheetName val="Summaries"/>
      <sheetName val="Ginna Salex"/>
      <sheetName val="Retire Russell"/>
      <sheetName val="Commodity"/>
      <sheetName val="Rate Adjs"/>
      <sheetName val="Elec Adjs"/>
      <sheetName val="Gas Adjs"/>
      <sheetName val="Supply Rate Adjustments"/>
      <sheetName val="Ginna Replacement Power"/>
      <sheetName val="Ginna Depreciation"/>
      <sheetName val="Russell Depreciation"/>
      <sheetName val="Pension &amp; OPEBs"/>
      <sheetName val="Pension"/>
      <sheetName val="Capital Spending"/>
      <sheetName val="JP Merger Savings"/>
      <sheetName val="Merger Synergies"/>
      <sheetName val="A. Income Statement"/>
      <sheetName val="B. Revenues"/>
      <sheetName val="C. Power Supply"/>
      <sheetName val="D. O&amp;M"/>
      <sheetName val="E.  Amortizations"/>
      <sheetName val="F. Depreciation"/>
      <sheetName val="G1. Taxes Other than Income Tax"/>
      <sheetName val="G2. GRT"/>
      <sheetName val="H. Income Taxes"/>
      <sheetName val="I. RTBS"/>
      <sheetName val="Capitalization"/>
      <sheetName val="Cap Cost"/>
      <sheetName val="K. Rev Req"/>
      <sheetName val="Allocation Factors"/>
      <sheetName val="Inflators"/>
      <sheetName val="Drivers"/>
      <sheetName val="Reconcile RevReq"/>
      <sheetName val="Reconcile Fixed Gen"/>
      <sheetName val="Existing Revenues"/>
      <sheetName val="App B Fixed Generation"/>
      <sheetName val="Superceded App B Fixed Gen"/>
      <sheetName val="Sheet3"/>
      <sheetName val="App C ESR"/>
      <sheetName val="App D Targets"/>
      <sheetName val="Sheet4"/>
      <sheetName val="App F Ginna Replacement Pwr"/>
      <sheetName val="Sheet1"/>
      <sheetName val="Comments"/>
      <sheetName val="Old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>
        <row r="14">
          <cell r="B14">
            <v>0</v>
          </cell>
          <cell r="C14" t="str">
            <v>Zero Inflation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</v>
          </cell>
          <cell r="C15" t="str">
            <v>General Inflation</v>
          </cell>
          <cell r="F15">
            <v>3.554407118806284E-2</v>
          </cell>
          <cell r="G15">
            <v>1.5100000000000001E-2</v>
          </cell>
          <cell r="H15">
            <v>0.03</v>
          </cell>
          <cell r="I15">
            <v>0.03</v>
          </cell>
          <cell r="J15">
            <v>0.03</v>
          </cell>
          <cell r="K15">
            <v>0.03</v>
          </cell>
        </row>
        <row r="16">
          <cell r="B16">
            <v>2</v>
          </cell>
          <cell r="C16" t="str">
            <v>Payroll - Net of Productivity</v>
          </cell>
          <cell r="F16">
            <v>2.3399999999999997E-2</v>
          </cell>
          <cell r="G16">
            <v>1.1599999999999999E-2</v>
          </cell>
          <cell r="H16">
            <v>0.02</v>
          </cell>
          <cell r="I16">
            <v>0.02</v>
          </cell>
          <cell r="J16">
            <v>0.02</v>
          </cell>
          <cell r="K16">
            <v>0.02</v>
          </cell>
        </row>
        <row r="17">
          <cell r="B17">
            <v>3</v>
          </cell>
          <cell r="C17" t="str">
            <v>Medical Costs</v>
          </cell>
          <cell r="F17">
            <v>0.23199999999999998</v>
          </cell>
          <cell r="G17">
            <v>9.6000000000000002E-2</v>
          </cell>
          <cell r="H17">
            <v>0.15</v>
          </cell>
          <cell r="I17">
            <v>0.15</v>
          </cell>
          <cell r="J17">
            <v>0.15</v>
          </cell>
          <cell r="K17">
            <v>0.15</v>
          </cell>
        </row>
        <row r="18">
          <cell r="B18">
            <v>4</v>
          </cell>
          <cell r="C18" t="str">
            <v>Property Taxes</v>
          </cell>
          <cell r="D18" t="str">
            <v>Elec</v>
          </cell>
          <cell r="F18">
            <v>0.16847909948316608</v>
          </cell>
          <cell r="G18">
            <v>7.7499999999999999E-2</v>
          </cell>
          <cell r="H18">
            <v>0.04</v>
          </cell>
          <cell r="I18">
            <v>0.04</v>
          </cell>
          <cell r="J18">
            <v>0.04</v>
          </cell>
          <cell r="K18">
            <v>0.04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70"/>
  <sheetViews>
    <sheetView tabSelected="1" view="pageBreakPreview" zoomScaleNormal="100" zoomScaleSheetLayoutView="100" workbookViewId="0">
      <pane xSplit="6" ySplit="7" topLeftCell="G8" activePane="bottomRight" state="frozen"/>
      <selection activeCell="I30" sqref="I30"/>
      <selection pane="topRight" activeCell="I30" sqref="I30"/>
      <selection pane="bottomLeft" activeCell="I30" sqref="I30"/>
      <selection pane="bottomRight" activeCell="B6" sqref="B6"/>
    </sheetView>
  </sheetViews>
  <sheetFormatPr defaultRowHeight="12.75"/>
  <cols>
    <col min="1" max="1" width="2.75" style="495" customWidth="1"/>
    <col min="2" max="2" width="2.75" style="537" customWidth="1"/>
    <col min="3" max="3" width="3.875" style="522" customWidth="1"/>
    <col min="4" max="4" width="3.25" style="522" customWidth="1"/>
    <col min="5" max="5" width="12.625" style="522" customWidth="1"/>
    <col min="6" max="6" width="43.5" style="522" customWidth="1"/>
    <col min="7" max="7" width="11.5" style="522" customWidth="1"/>
    <col min="8" max="8" width="11.125" style="522" customWidth="1"/>
    <col min="9" max="9" width="11" style="522" customWidth="1"/>
    <col min="10" max="10" width="11.125" style="501" bestFit="1" customWidth="1"/>
    <col min="11" max="11" width="9.125" style="501" bestFit="1" customWidth="1"/>
    <col min="12" max="12" width="9.75" style="501" bestFit="1" customWidth="1"/>
    <col min="13" max="16384" width="9" style="501"/>
  </cols>
  <sheetData>
    <row r="1" spans="1:12" ht="15.75">
      <c r="B1" s="496"/>
      <c r="C1" s="497"/>
      <c r="D1" s="498"/>
      <c r="E1" s="499"/>
      <c r="F1" s="500"/>
      <c r="G1" s="500"/>
      <c r="H1" s="500"/>
      <c r="I1" s="500"/>
    </row>
    <row r="2" spans="1:12" s="504" customFormat="1" ht="15.75">
      <c r="A2" s="502"/>
      <c r="B2" s="503" t="s">
        <v>2807</v>
      </c>
      <c r="C2" s="503"/>
      <c r="D2" s="503"/>
      <c r="E2" s="503"/>
      <c r="F2" s="503"/>
      <c r="G2" s="503"/>
      <c r="H2" s="503"/>
      <c r="I2" s="503"/>
    </row>
    <row r="3" spans="1:12" s="504" customFormat="1" ht="15.75">
      <c r="A3" s="502"/>
      <c r="B3" s="505" t="s">
        <v>3513</v>
      </c>
      <c r="C3" s="506"/>
      <c r="D3" s="506"/>
      <c r="E3" s="506"/>
      <c r="F3" s="506"/>
      <c r="G3" s="506"/>
      <c r="H3" s="506"/>
      <c r="I3" s="506"/>
    </row>
    <row r="4" spans="1:12" s="504" customFormat="1" ht="15.75">
      <c r="A4" s="502"/>
      <c r="B4" s="507" t="s">
        <v>4567</v>
      </c>
      <c r="C4" s="508"/>
      <c r="D4" s="508"/>
      <c r="E4" s="508"/>
      <c r="F4" s="508"/>
      <c r="G4" s="508"/>
      <c r="H4" s="508"/>
      <c r="I4" s="508"/>
    </row>
    <row r="5" spans="1:12" s="504" customFormat="1" ht="15.75">
      <c r="A5" s="502"/>
      <c r="B5" s="509" t="s">
        <v>2574</v>
      </c>
      <c r="C5" s="508"/>
      <c r="D5" s="508"/>
      <c r="E5" s="508"/>
      <c r="F5" s="508"/>
      <c r="G5" s="508"/>
      <c r="H5" s="508"/>
      <c r="I5" s="508"/>
    </row>
    <row r="6" spans="1:12">
      <c r="A6" s="510"/>
      <c r="B6" s="511"/>
      <c r="C6" s="512"/>
      <c r="D6" s="512"/>
      <c r="E6" s="512"/>
      <c r="F6" s="512" t="s">
        <v>2770</v>
      </c>
      <c r="G6" s="512"/>
      <c r="H6" s="512"/>
      <c r="I6" s="512"/>
    </row>
    <row r="7" spans="1:12" s="519" customFormat="1" ht="18" customHeight="1">
      <c r="A7" s="514"/>
      <c r="B7" s="515"/>
      <c r="C7" s="516"/>
      <c r="D7" s="517"/>
      <c r="E7" s="517"/>
      <c r="F7" s="517"/>
      <c r="G7" s="518" t="s">
        <v>2473</v>
      </c>
      <c r="H7" s="518" t="s">
        <v>2474</v>
      </c>
      <c r="I7" s="518" t="s">
        <v>2475</v>
      </c>
    </row>
    <row r="8" spans="1:12" s="519" customFormat="1" ht="18" customHeight="1">
      <c r="A8" s="514"/>
      <c r="B8" s="515"/>
      <c r="C8" s="516"/>
      <c r="D8" s="517"/>
      <c r="E8" s="517"/>
      <c r="F8" s="517"/>
      <c r="G8" s="517"/>
      <c r="H8" s="517"/>
      <c r="I8" s="517"/>
    </row>
    <row r="9" spans="1:12">
      <c r="A9" s="511" t="s">
        <v>3514</v>
      </c>
      <c r="B9" s="501"/>
      <c r="C9" s="512"/>
      <c r="D9" s="512"/>
      <c r="E9" s="512"/>
      <c r="F9" s="520"/>
      <c r="G9" s="520"/>
      <c r="H9" s="520"/>
      <c r="I9" s="520"/>
    </row>
    <row r="10" spans="1:12">
      <c r="A10" s="510"/>
      <c r="B10" s="512" t="s">
        <v>2440</v>
      </c>
      <c r="D10" s="512"/>
      <c r="E10" s="512"/>
      <c r="F10" s="523" t="str">
        <f>+A38</f>
        <v>(a)</v>
      </c>
      <c r="G10" s="87">
        <f>+G38</f>
        <v>2002776.0574193287</v>
      </c>
      <c r="H10" s="87">
        <f>+H38</f>
        <v>803938.94590858545</v>
      </c>
      <c r="I10" s="87">
        <f t="shared" ref="I10:I19" si="0">SUM(G10:H10)</f>
        <v>2806715.003327914</v>
      </c>
      <c r="J10" s="3"/>
      <c r="K10" s="3"/>
      <c r="L10" s="3"/>
    </row>
    <row r="11" spans="1:12" s="513" customFormat="1">
      <c r="A11" s="510"/>
      <c r="B11" s="512" t="s">
        <v>2452</v>
      </c>
      <c r="C11" s="512"/>
      <c r="D11" s="512"/>
      <c r="E11" s="512"/>
      <c r="F11" s="520" t="s">
        <v>2451</v>
      </c>
      <c r="G11" s="524">
        <f>SUMIF('Balance Sheet Detail'!$C:$C,$F11,'Balance Sheet Detail'!U:U)</f>
        <v>-643006.12014860217</v>
      </c>
      <c r="H11" s="524">
        <f>SUMIF('Balance Sheet Detail'!$C:$C,$F11,'Balance Sheet Detail'!V:V)</f>
        <v>-329899.52463848086</v>
      </c>
      <c r="I11" s="525">
        <f>SUM(G11:H11)</f>
        <v>-972905.64478708303</v>
      </c>
      <c r="J11" s="2"/>
      <c r="K11" s="2"/>
      <c r="L11" s="2"/>
    </row>
    <row r="12" spans="1:12" s="513" customFormat="1">
      <c r="A12" s="510"/>
      <c r="B12" s="512" t="s">
        <v>2469</v>
      </c>
      <c r="C12" s="512"/>
      <c r="D12" s="512"/>
      <c r="E12" s="512"/>
      <c r="F12" s="520" t="s">
        <v>2455</v>
      </c>
      <c r="G12" s="79">
        <f>'Rate Base Detail'!H112</f>
        <v>0</v>
      </c>
      <c r="H12" s="79">
        <f>'Rate Base Detail'!I112</f>
        <v>14406.578406249999</v>
      </c>
      <c r="I12" s="525">
        <f>SUM(G12:H12)</f>
        <v>14406.578406249999</v>
      </c>
      <c r="J12" s="2"/>
      <c r="K12" s="2"/>
      <c r="L12" s="2"/>
    </row>
    <row r="13" spans="1:12" s="513" customFormat="1">
      <c r="A13" s="510"/>
      <c r="B13" s="512" t="s">
        <v>2457</v>
      </c>
      <c r="C13" s="512"/>
      <c r="D13" s="512"/>
      <c r="E13" s="512"/>
      <c r="F13" s="520" t="s">
        <v>2456</v>
      </c>
      <c r="G13" s="79">
        <f>'Rate Base Detail'!H137</f>
        <v>7743.8344308377082</v>
      </c>
      <c r="H13" s="79">
        <f>'Rate Base Detail'!I137</f>
        <v>2700.9451220789583</v>
      </c>
      <c r="I13" s="525">
        <f>SUM(G13:H13)</f>
        <v>10444.779552916667</v>
      </c>
      <c r="J13" s="2"/>
      <c r="K13" s="2"/>
      <c r="L13" s="2"/>
    </row>
    <row r="14" spans="1:12" s="513" customFormat="1">
      <c r="A14" s="510"/>
      <c r="B14" s="512" t="s">
        <v>2459</v>
      </c>
      <c r="C14" s="512"/>
      <c r="D14" s="512"/>
      <c r="E14" s="512"/>
      <c r="F14" s="520" t="s">
        <v>2458</v>
      </c>
      <c r="G14" s="79">
        <f>'Rate Base Detail'!H151</f>
        <v>25635.65900937044</v>
      </c>
      <c r="H14" s="79">
        <f>'Rate Base Detail'!I151</f>
        <v>9635.1181614628658</v>
      </c>
      <c r="I14" s="525">
        <f>SUM(G14:H14)</f>
        <v>35270.777170833302</v>
      </c>
      <c r="J14" s="2"/>
      <c r="K14" s="2"/>
      <c r="L14" s="2"/>
    </row>
    <row r="15" spans="1:12" s="513" customFormat="1">
      <c r="A15" s="510"/>
      <c r="B15" s="512" t="s">
        <v>2461</v>
      </c>
      <c r="C15" s="512"/>
      <c r="D15" s="512"/>
      <c r="E15" s="512"/>
      <c r="F15" s="526"/>
      <c r="G15" s="92">
        <f>+'Rate Base Detail'!H192</f>
        <v>23890.771120315068</v>
      </c>
      <c r="H15" s="92">
        <f>+'Rate Base Detail'!I192</f>
        <v>8750.7341925000019</v>
      </c>
      <c r="I15" s="104">
        <f t="shared" si="0"/>
        <v>32641.505312815068</v>
      </c>
      <c r="J15" s="2"/>
      <c r="K15" s="2"/>
      <c r="L15" s="2"/>
    </row>
    <row r="16" spans="1:12" s="513" customFormat="1">
      <c r="A16" s="510"/>
      <c r="B16" s="512" t="s">
        <v>2823</v>
      </c>
      <c r="C16" s="512"/>
      <c r="D16" s="512"/>
      <c r="E16" s="512"/>
      <c r="F16" s="526"/>
      <c r="G16" s="92">
        <v>0</v>
      </c>
      <c r="H16" s="92">
        <v>0</v>
      </c>
      <c r="I16" s="104">
        <f t="shared" si="0"/>
        <v>0</v>
      </c>
      <c r="J16" s="2"/>
      <c r="K16" s="2"/>
      <c r="L16" s="2"/>
    </row>
    <row r="17" spans="1:12" s="513" customFormat="1">
      <c r="A17" s="510"/>
      <c r="B17" s="512" t="s">
        <v>2463</v>
      </c>
      <c r="C17" s="512"/>
      <c r="D17" s="512"/>
      <c r="E17" s="512"/>
      <c r="F17" s="520" t="s">
        <v>2462</v>
      </c>
      <c r="G17" s="524">
        <f>SUMIF('Balance Sheet Detail'!$C:$C,$F17,'Balance Sheet Detail'!U:U)</f>
        <v>0</v>
      </c>
      <c r="H17" s="524">
        <f>SUMIF('Balance Sheet Detail'!$C:$C,$F17,'Balance Sheet Detail'!V:V)</f>
        <v>0</v>
      </c>
      <c r="I17" s="525">
        <f>SUM(G17:H17)</f>
        <v>0</v>
      </c>
      <c r="J17" s="2"/>
      <c r="K17" s="2"/>
      <c r="L17" s="2"/>
    </row>
    <row r="18" spans="1:12">
      <c r="A18" s="510"/>
      <c r="B18" s="512" t="s">
        <v>2442</v>
      </c>
      <c r="D18" s="512"/>
      <c r="E18" s="512"/>
      <c r="F18" s="527" t="str">
        <f>+A112</f>
        <v>(d)</v>
      </c>
      <c r="G18" s="92">
        <f>+G112</f>
        <v>-143279.64987783859</v>
      </c>
      <c r="H18" s="92">
        <f>+H112</f>
        <v>29181.595571706686</v>
      </c>
      <c r="I18" s="104">
        <f t="shared" si="0"/>
        <v>-114098.0543061319</v>
      </c>
      <c r="J18" s="3"/>
      <c r="K18" s="3"/>
      <c r="L18" s="3"/>
    </row>
    <row r="19" spans="1:12">
      <c r="A19" s="510"/>
      <c r="B19" s="512" t="s">
        <v>2444</v>
      </c>
      <c r="D19" s="512"/>
      <c r="E19" s="512"/>
      <c r="F19" s="527" t="str">
        <f>+A224</f>
        <v>(e)</v>
      </c>
      <c r="G19" s="92">
        <f>+G224</f>
        <v>-152921.64091337484</v>
      </c>
      <c r="H19" s="92">
        <f>+H224</f>
        <v>-79496.719507991744</v>
      </c>
      <c r="I19" s="104">
        <f t="shared" si="0"/>
        <v>-232418.36042136658</v>
      </c>
      <c r="J19" s="3"/>
      <c r="K19" s="3"/>
      <c r="L19" s="3"/>
    </row>
    <row r="20" spans="1:12" ht="15">
      <c r="A20" s="510"/>
      <c r="B20" s="512" t="s">
        <v>2446</v>
      </c>
      <c r="D20" s="512"/>
      <c r="E20" s="512"/>
      <c r="F20" s="520" t="s">
        <v>2445</v>
      </c>
      <c r="G20" s="528">
        <f>SUMIF('Balance Sheet Detail'!$C:$C,$F20,'Balance Sheet Detail'!U:U)</f>
        <v>-133.22398125000001</v>
      </c>
      <c r="H20" s="528">
        <f>SUMIF('Balance Sheet Detail'!$C:$C,$F20,'Balance Sheet Detail'!V:V)</f>
        <v>-72.327220416666606</v>
      </c>
      <c r="I20" s="552">
        <f>SUM(G20:H20)</f>
        <v>-205.5512016666666</v>
      </c>
      <c r="J20" s="3"/>
      <c r="K20" s="3"/>
      <c r="L20" s="3"/>
    </row>
    <row r="21" spans="1:12">
      <c r="A21" s="510"/>
      <c r="B21" s="512"/>
      <c r="D21" s="512"/>
      <c r="E21" s="512"/>
      <c r="F21" s="520"/>
      <c r="G21" s="104"/>
      <c r="H21" s="104"/>
      <c r="I21" s="104"/>
      <c r="J21" s="3"/>
      <c r="K21" s="3"/>
      <c r="L21" s="3"/>
    </row>
    <row r="22" spans="1:12">
      <c r="A22" s="510"/>
      <c r="B22" s="512" t="s">
        <v>3515</v>
      </c>
      <c r="D22" s="512"/>
      <c r="E22" s="512"/>
      <c r="F22" s="520"/>
      <c r="G22" s="104">
        <f>SUM(G9:G21)</f>
        <v>1120705.6870587864</v>
      </c>
      <c r="H22" s="104">
        <f>SUM(H9:H21)</f>
        <v>459145.34599569463</v>
      </c>
      <c r="I22" s="104">
        <f>SUM(I9:I21)</f>
        <v>1579851.0330544813</v>
      </c>
      <c r="J22" s="3"/>
      <c r="K22" s="3"/>
      <c r="L22" s="3"/>
    </row>
    <row r="23" spans="1:12">
      <c r="A23" s="510"/>
      <c r="B23" s="512" t="s">
        <v>2448</v>
      </c>
      <c r="D23" s="512"/>
      <c r="E23" s="512"/>
      <c r="F23" s="520"/>
      <c r="G23" s="104">
        <f>I$23*(G22/I22)</f>
        <v>-1518.3931672703147</v>
      </c>
      <c r="H23" s="104">
        <f>I23-G23</f>
        <v>-622.07514800204444</v>
      </c>
      <c r="I23" s="104">
        <f>I26-I22</f>
        <v>-2140.4683152723592</v>
      </c>
      <c r="J23" s="3"/>
      <c r="K23" s="3"/>
      <c r="L23" s="3"/>
    </row>
    <row r="24" spans="1:12" ht="3.75" customHeight="1">
      <c r="A24" s="510"/>
      <c r="B24" s="512"/>
      <c r="D24" s="512"/>
      <c r="E24" s="512"/>
      <c r="F24" s="520"/>
      <c r="G24" s="142">
        <v>0</v>
      </c>
      <c r="H24" s="142">
        <v>0</v>
      </c>
      <c r="I24" s="142">
        <v>0</v>
      </c>
      <c r="J24" s="3"/>
      <c r="K24" s="3"/>
      <c r="L24" s="3"/>
    </row>
    <row r="25" spans="1:12">
      <c r="A25" s="510"/>
      <c r="B25" s="512"/>
      <c r="D25" s="512"/>
      <c r="E25" s="512"/>
      <c r="F25" s="520"/>
      <c r="G25" s="104"/>
      <c r="H25" s="104"/>
      <c r="I25" s="104"/>
      <c r="J25" s="3"/>
      <c r="K25" s="3"/>
      <c r="L25" s="3"/>
    </row>
    <row r="26" spans="1:12">
      <c r="A26" s="510"/>
      <c r="B26" s="512" t="s">
        <v>3516</v>
      </c>
      <c r="D26" s="512"/>
      <c r="E26" s="512"/>
      <c r="F26" s="520"/>
      <c r="G26" s="87">
        <f>SUM(G22:G25)</f>
        <v>1119187.293891516</v>
      </c>
      <c r="H26" s="529">
        <f>SUM(H22:H25)</f>
        <v>458523.27084769256</v>
      </c>
      <c r="I26" s="104">
        <f>+I29-I27</f>
        <v>1577710.5647392089</v>
      </c>
      <c r="J26" s="3"/>
      <c r="K26" s="3"/>
      <c r="L26" s="3"/>
    </row>
    <row r="27" spans="1:12" ht="15">
      <c r="A27" s="510"/>
      <c r="B27" s="512" t="s">
        <v>2570</v>
      </c>
      <c r="D27" s="512"/>
      <c r="E27" s="512"/>
      <c r="F27" s="520"/>
      <c r="G27" s="142"/>
      <c r="H27" s="530"/>
      <c r="I27" s="142">
        <f>+I259</f>
        <v>6690.9745874574637</v>
      </c>
      <c r="J27" s="3"/>
      <c r="K27" s="3"/>
      <c r="L27" s="3"/>
    </row>
    <row r="28" spans="1:12">
      <c r="A28" s="510"/>
      <c r="B28" s="512"/>
      <c r="D28" s="512"/>
      <c r="E28" s="512"/>
      <c r="F28" s="512"/>
      <c r="G28" s="531"/>
      <c r="H28" s="531"/>
      <c r="I28" s="531"/>
      <c r="J28" s="3"/>
      <c r="K28" s="3"/>
      <c r="L28" s="3"/>
    </row>
    <row r="29" spans="1:12">
      <c r="A29" s="510"/>
      <c r="B29" s="512" t="s">
        <v>3517</v>
      </c>
      <c r="D29" s="512"/>
      <c r="E29" s="512"/>
      <c r="F29" s="512"/>
      <c r="G29" s="533"/>
      <c r="H29" s="532"/>
      <c r="I29" s="533">
        <f>+Capitalization!J17</f>
        <v>1584401.5393266664</v>
      </c>
      <c r="J29" s="3"/>
      <c r="K29" s="3"/>
      <c r="L29" s="3"/>
    </row>
    <row r="30" spans="1:12">
      <c r="A30" s="510"/>
      <c r="B30" s="511"/>
      <c r="C30" s="512"/>
      <c r="D30" s="512"/>
      <c r="E30" s="512"/>
      <c r="F30" s="512"/>
      <c r="G30" s="513"/>
      <c r="H30" s="501"/>
      <c r="I30" s="92"/>
    </row>
    <row r="31" spans="1:12" s="536" customFormat="1">
      <c r="A31" s="534"/>
      <c r="B31" s="501"/>
      <c r="C31" s="535"/>
      <c r="D31" s="535"/>
      <c r="E31" s="535"/>
      <c r="F31" s="535"/>
      <c r="G31" s="546"/>
    </row>
    <row r="32" spans="1:12">
      <c r="G32" s="513"/>
      <c r="H32" s="501"/>
      <c r="I32" s="501"/>
    </row>
    <row r="33" spans="1:30" ht="14.1" customHeight="1">
      <c r="A33" s="510"/>
      <c r="B33" s="511" t="s">
        <v>3518</v>
      </c>
      <c r="C33" s="512"/>
      <c r="D33" s="501"/>
      <c r="E33" s="501"/>
      <c r="F33" s="538"/>
      <c r="G33" s="92"/>
      <c r="H33" s="79"/>
      <c r="I33" s="513"/>
    </row>
    <row r="34" spans="1:30" ht="14.1" customHeight="1">
      <c r="B34" s="539"/>
      <c r="C34" s="522" t="s">
        <v>2440</v>
      </c>
      <c r="D34" s="501"/>
      <c r="E34" s="501"/>
      <c r="F34" s="540" t="s">
        <v>2438</v>
      </c>
      <c r="G34" s="163">
        <f>SUMIF('Balance Sheet Detail'!$C:$C,$F34,'Balance Sheet Detail'!U:U)</f>
        <v>2000338.8047041455</v>
      </c>
      <c r="H34" s="524">
        <f>SUMIF('Balance Sheet Detail'!$C:$C,$F34,'Balance Sheet Detail'!V:V)</f>
        <v>803381.53442001878</v>
      </c>
      <c r="I34" s="525">
        <f>SUM(G34:H34)</f>
        <v>2803720.3391241645</v>
      </c>
      <c r="J34" s="513"/>
      <c r="K34" s="513"/>
      <c r="L34" s="513"/>
      <c r="M34" s="513"/>
      <c r="N34" s="513"/>
      <c r="O34" s="513"/>
      <c r="P34" s="513"/>
      <c r="Q34" s="513"/>
      <c r="R34" s="513"/>
      <c r="S34" s="513"/>
      <c r="T34" s="513"/>
      <c r="U34" s="513"/>
      <c r="V34" s="513"/>
      <c r="W34" s="513"/>
      <c r="X34" s="513"/>
      <c r="Y34" s="513"/>
      <c r="Z34" s="513"/>
      <c r="AA34" s="513"/>
      <c r="AB34" s="513"/>
      <c r="AC34" s="513"/>
      <c r="AD34" s="513"/>
    </row>
    <row r="35" spans="1:30" ht="14.1" customHeight="1">
      <c r="B35" s="539"/>
      <c r="C35" s="522" t="s">
        <v>3519</v>
      </c>
      <c r="D35" s="501"/>
      <c r="E35" s="501"/>
      <c r="F35" s="540" t="s">
        <v>2449</v>
      </c>
      <c r="G35" s="163">
        <f>SUMIF('Balance Sheet Detail'!$C:$C,$F35,'Balance Sheet Detail'!U:U)</f>
        <v>185497.85188753137</v>
      </c>
      <c r="H35" s="524">
        <f>SUMIF('Balance Sheet Detail'!$C:$C,$F35,'Balance Sheet Detail'!V:V)</f>
        <v>10217.41693413495</v>
      </c>
      <c r="I35" s="525">
        <f>SUM(G35:H35)</f>
        <v>195715.26882166634</v>
      </c>
      <c r="J35" s="513"/>
      <c r="K35" s="513"/>
      <c r="L35" s="513"/>
      <c r="M35" s="513"/>
      <c r="N35" s="513"/>
      <c r="O35" s="513"/>
      <c r="P35" s="513"/>
      <c r="Q35" s="513"/>
      <c r="R35" s="513"/>
      <c r="S35" s="513"/>
      <c r="T35" s="513"/>
      <c r="U35" s="513"/>
      <c r="V35" s="513"/>
      <c r="W35" s="513"/>
      <c r="X35" s="513"/>
      <c r="Y35" s="513"/>
      <c r="Z35" s="513"/>
      <c r="AA35" s="513"/>
      <c r="AB35" s="513"/>
      <c r="AC35" s="513"/>
      <c r="AD35" s="513"/>
    </row>
    <row r="36" spans="1:30" s="513" customFormat="1" ht="14.1" customHeight="1">
      <c r="A36" s="510"/>
      <c r="B36" s="541"/>
      <c r="C36" s="512" t="s">
        <v>3520</v>
      </c>
      <c r="F36" s="500"/>
      <c r="G36" s="542">
        <f>'Rate Base Detail'!H38</f>
        <v>-183060.59917234848</v>
      </c>
      <c r="H36" s="542">
        <f>'Rate Base Detail'!I38</f>
        <v>-9660.0054455682093</v>
      </c>
      <c r="I36" s="129">
        <f>SUM(G36:H36)</f>
        <v>-192720.60461791669</v>
      </c>
      <c r="J36" s="500"/>
      <c r="K36" s="500"/>
    </row>
    <row r="37" spans="1:30" ht="14.1" customHeight="1">
      <c r="B37" s="539"/>
      <c r="C37" s="543"/>
      <c r="D37" s="501"/>
      <c r="E37" s="501"/>
      <c r="F37" s="130"/>
      <c r="G37" s="92"/>
      <c r="H37" s="79"/>
      <c r="I37" s="501"/>
      <c r="J37" s="513"/>
      <c r="K37" s="513"/>
      <c r="L37" s="513"/>
      <c r="M37" s="513"/>
      <c r="N37" s="513"/>
      <c r="O37" s="513"/>
      <c r="P37" s="513"/>
      <c r="Q37" s="513"/>
      <c r="R37" s="513"/>
      <c r="S37" s="513"/>
      <c r="T37" s="513"/>
      <c r="U37" s="513"/>
      <c r="V37" s="513"/>
      <c r="W37" s="513"/>
      <c r="X37" s="513"/>
      <c r="Y37" s="513"/>
      <c r="Z37" s="513"/>
      <c r="AA37" s="513"/>
      <c r="AB37" s="513"/>
      <c r="AC37" s="513"/>
      <c r="AD37" s="513"/>
    </row>
    <row r="38" spans="1:30" ht="14.1" customHeight="1">
      <c r="A38" s="544" t="s">
        <v>3521</v>
      </c>
      <c r="B38" s="539"/>
      <c r="C38" s="543" t="s">
        <v>3518</v>
      </c>
      <c r="D38" s="501"/>
      <c r="E38" s="501"/>
      <c r="F38" s="130"/>
      <c r="G38" s="533">
        <f>SUM(G33:G37)</f>
        <v>2002776.0574193287</v>
      </c>
      <c r="H38" s="532">
        <f>SUM(H33:H37)</f>
        <v>803938.94590858545</v>
      </c>
      <c r="I38" s="532">
        <f>SUM(I33:I37)</f>
        <v>2806715.0033279145</v>
      </c>
      <c r="J38" s="513"/>
      <c r="K38" s="513"/>
      <c r="L38" s="513"/>
      <c r="M38" s="513"/>
      <c r="N38" s="513"/>
      <c r="O38" s="513"/>
      <c r="P38" s="513"/>
      <c r="Q38" s="513"/>
      <c r="R38" s="513"/>
      <c r="S38" s="513"/>
      <c r="T38" s="513"/>
      <c r="U38" s="513"/>
      <c r="V38" s="513"/>
      <c r="W38" s="513"/>
      <c r="X38" s="513"/>
      <c r="Y38" s="513"/>
      <c r="Z38" s="513"/>
      <c r="AA38" s="513"/>
      <c r="AB38" s="513"/>
      <c r="AC38" s="513"/>
      <c r="AD38" s="513"/>
    </row>
    <row r="39" spans="1:30">
      <c r="G39" s="513"/>
      <c r="H39" s="501"/>
      <c r="I39" s="501"/>
    </row>
    <row r="40" spans="1:30">
      <c r="C40" s="545"/>
      <c r="G40" s="513"/>
      <c r="H40" s="501"/>
      <c r="I40" s="501"/>
    </row>
    <row r="41" spans="1:30">
      <c r="B41" s="537" t="s">
        <v>2442</v>
      </c>
      <c r="C41" s="545"/>
      <c r="G41" s="513"/>
      <c r="H41" s="501"/>
      <c r="I41" s="501"/>
    </row>
    <row r="42" spans="1:30">
      <c r="C42" s="537" t="s">
        <v>3522</v>
      </c>
      <c r="F42" s="512"/>
      <c r="G42" s="513"/>
      <c r="H42" s="513"/>
      <c r="I42" s="513"/>
    </row>
    <row r="43" spans="1:30">
      <c r="B43" s="547" t="s">
        <v>3523</v>
      </c>
      <c r="C43" s="512" t="s">
        <v>1468</v>
      </c>
      <c r="F43" s="512"/>
      <c r="G43" s="163">
        <f>SUMIF('Balance Sheet Detail'!$AR:$AR,$B43,'Balance Sheet Detail'!U:U)</f>
        <v>0</v>
      </c>
      <c r="H43" s="163">
        <f>SUMIF('Balance Sheet Detail'!$AR:$AR,$B43,'Balance Sheet Detail'!V:V)</f>
        <v>0</v>
      </c>
      <c r="I43" s="548">
        <f t="shared" ref="I43" si="1">SUM(G43:H43)</f>
        <v>0</v>
      </c>
    </row>
    <row r="44" spans="1:30">
      <c r="B44" s="547" t="s">
        <v>3914</v>
      </c>
      <c r="C44" s="512" t="s">
        <v>1140</v>
      </c>
      <c r="F44" s="512"/>
      <c r="G44" s="163">
        <f>SUMIF('Balance Sheet Detail'!$AR:$AR,$B44,'Balance Sheet Detail'!U:U)</f>
        <v>1.36E-13</v>
      </c>
      <c r="H44" s="163">
        <f>SUMIF('Balance Sheet Detail'!$AR:$AR,$B44,'Balance Sheet Detail'!V:V)</f>
        <v>0</v>
      </c>
      <c r="I44" s="548">
        <f t="shared" ref="I44:I101" si="2">SUM(G44:H44)</f>
        <v>1.36E-13</v>
      </c>
    </row>
    <row r="45" spans="1:30">
      <c r="B45" s="547"/>
      <c r="C45" s="512" t="s">
        <v>1330</v>
      </c>
      <c r="F45" s="512"/>
      <c r="G45" s="92">
        <f>'Rate Base Detail'!H315</f>
        <v>-2796</v>
      </c>
      <c r="H45" s="92">
        <f>'Rate Base Detail'!I315</f>
        <v>0</v>
      </c>
      <c r="I45" s="548">
        <f t="shared" si="2"/>
        <v>-2796</v>
      </c>
    </row>
    <row r="46" spans="1:30" s="513" customFormat="1">
      <c r="A46" s="510"/>
      <c r="B46" s="549" t="s">
        <v>3915</v>
      </c>
      <c r="C46" s="512" t="s">
        <v>1332</v>
      </c>
      <c r="D46" s="512"/>
      <c r="E46" s="512"/>
      <c r="F46" s="512"/>
      <c r="G46" s="163">
        <f>SUMIF('Balance Sheet Detail'!$AR:$AR,$B46,'Balance Sheet Detail'!U:U)</f>
        <v>-6810.4008695833299</v>
      </c>
      <c r="H46" s="163">
        <f>SUMIF('Balance Sheet Detail'!$AR:$AR,$B46,'Balance Sheet Detail'!V:V)</f>
        <v>0</v>
      </c>
      <c r="I46" s="548">
        <f t="shared" si="2"/>
        <v>-6810.4008695833299</v>
      </c>
    </row>
    <row r="47" spans="1:30" s="513" customFormat="1">
      <c r="A47" s="510"/>
      <c r="B47" s="549" t="s">
        <v>3916</v>
      </c>
      <c r="C47" s="512" t="s">
        <v>819</v>
      </c>
      <c r="D47" s="512"/>
      <c r="E47" s="512"/>
      <c r="F47" s="512"/>
      <c r="G47" s="163">
        <f>SUMIF('Balance Sheet Detail'!$AR:$AR,$B47,'Balance Sheet Detail'!U:U)</f>
        <v>3400.8301999999999</v>
      </c>
      <c r="H47" s="163">
        <f>SUMIF('Balance Sheet Detail'!$AR:$AR,$B47,'Balance Sheet Detail'!V:V)</f>
        <v>646.01076</v>
      </c>
      <c r="I47" s="548">
        <f t="shared" si="2"/>
        <v>4046.84096</v>
      </c>
    </row>
    <row r="48" spans="1:30" s="513" customFormat="1">
      <c r="A48" s="510"/>
      <c r="B48" s="549" t="s">
        <v>4413</v>
      </c>
      <c r="C48" s="512" t="s">
        <v>4342</v>
      </c>
      <c r="D48" s="512"/>
      <c r="E48" s="512"/>
      <c r="F48" s="512"/>
      <c r="G48" s="163">
        <f>SUMIF('Balance Sheet Detail'!$AR:$AR,$B48,'Balance Sheet Detail'!U:U)</f>
        <v>-9424.9999800000005</v>
      </c>
      <c r="H48" s="163">
        <f>SUMIF('Balance Sheet Detail'!$AR:$AR,$B48,'Balance Sheet Detail'!V:V)</f>
        <v>968.50001999999995</v>
      </c>
      <c r="I48" s="548">
        <f t="shared" ref="I48" si="3">SUM(G48:H48)</f>
        <v>-8456.499960000001</v>
      </c>
    </row>
    <row r="49" spans="1:15" s="513" customFormat="1">
      <c r="A49" s="510"/>
      <c r="B49" s="549" t="s">
        <v>3524</v>
      </c>
      <c r="C49" s="512" t="s">
        <v>820</v>
      </c>
      <c r="D49" s="512"/>
      <c r="E49" s="512"/>
      <c r="F49" s="512"/>
      <c r="G49" s="163">
        <f>SUMIF('Balance Sheet Detail'!$AR:$AR,$B49,'Balance Sheet Detail'!U:U)</f>
        <v>104.59296999999999</v>
      </c>
      <c r="H49" s="163">
        <f>SUMIF('Balance Sheet Detail'!$AR:$AR,$B49,'Balance Sheet Detail'!V:V)</f>
        <v>113.52670999999999</v>
      </c>
      <c r="I49" s="548">
        <f t="shared" si="2"/>
        <v>218.11967999999999</v>
      </c>
    </row>
    <row r="50" spans="1:15" s="513" customFormat="1">
      <c r="A50" s="510"/>
      <c r="B50" s="549" t="s">
        <v>3917</v>
      </c>
      <c r="C50" s="512" t="s">
        <v>1128</v>
      </c>
      <c r="D50" s="512"/>
      <c r="E50" s="512"/>
      <c r="F50" s="512"/>
      <c r="G50" s="163">
        <f>SUMIF('Balance Sheet Detail'!$AR:$AR,$B50,'Balance Sheet Detail'!U:U)</f>
        <v>0</v>
      </c>
      <c r="H50" s="163">
        <f>SUMIF('Balance Sheet Detail'!$AR:$AR,$B50,'Balance Sheet Detail'!V:V)</f>
        <v>0</v>
      </c>
      <c r="I50" s="548">
        <f t="shared" si="2"/>
        <v>0</v>
      </c>
    </row>
    <row r="51" spans="1:15" s="513" customFormat="1">
      <c r="A51" s="510"/>
      <c r="B51" s="549" t="s">
        <v>3918</v>
      </c>
      <c r="C51" s="512" t="s">
        <v>2607</v>
      </c>
      <c r="D51" s="512"/>
      <c r="E51" s="512"/>
      <c r="F51" s="512"/>
      <c r="G51" s="163">
        <f>SUMIF('Balance Sheet Detail'!$AR:$AR,$B51,'Balance Sheet Detail'!U:U)</f>
        <v>-122222.08621749999</v>
      </c>
      <c r="H51" s="163">
        <f>SUMIF('Balance Sheet Detail'!$AR:$AR,$B51,'Balance Sheet Detail'!V:V)</f>
        <v>0</v>
      </c>
      <c r="I51" s="548">
        <f t="shared" si="2"/>
        <v>-122222.08621749999</v>
      </c>
    </row>
    <row r="52" spans="1:15" s="513" customFormat="1">
      <c r="A52" s="510"/>
      <c r="B52" s="549" t="s">
        <v>3919</v>
      </c>
      <c r="C52" s="512" t="s">
        <v>1174</v>
      </c>
      <c r="D52" s="512"/>
      <c r="E52" s="512"/>
      <c r="F52" s="512"/>
      <c r="G52" s="163">
        <f>SUMIF('Balance Sheet Detail'!$AR:$AR,$B52,'Balance Sheet Detail'!U:U)</f>
        <v>0</v>
      </c>
      <c r="H52" s="163">
        <f>SUMIF('Balance Sheet Detail'!$AR:$AR,$B52,'Balance Sheet Detail'!V:V)</f>
        <v>0</v>
      </c>
      <c r="I52" s="548">
        <f t="shared" si="2"/>
        <v>0</v>
      </c>
    </row>
    <row r="53" spans="1:15" s="513" customFormat="1">
      <c r="A53" s="510"/>
      <c r="B53" s="549" t="s">
        <v>3920</v>
      </c>
      <c r="C53" s="512" t="s">
        <v>1120</v>
      </c>
      <c r="D53" s="512"/>
      <c r="E53" s="512"/>
      <c r="F53" s="512"/>
      <c r="G53" s="163">
        <f>SUMIF('Balance Sheet Detail'!$AR:$AR,$B53,'Balance Sheet Detail'!U:U)</f>
        <v>-2230.7696279166698</v>
      </c>
      <c r="H53" s="163">
        <f>SUMIF('Balance Sheet Detail'!$AR:$AR,$B53,'Balance Sheet Detail'!V:V)</f>
        <v>0</v>
      </c>
      <c r="I53" s="548">
        <f t="shared" si="2"/>
        <v>-2230.7696279166698</v>
      </c>
    </row>
    <row r="54" spans="1:15" s="513" customFormat="1">
      <c r="A54" s="510"/>
      <c r="B54" s="549" t="s">
        <v>4533</v>
      </c>
      <c r="C54" s="740" t="s">
        <v>1131</v>
      </c>
      <c r="D54" s="512"/>
      <c r="E54" s="512"/>
      <c r="F54" s="512"/>
      <c r="G54" s="163">
        <f>SUMIF('Balance Sheet Detail'!$AR:$AR,$B54,'Balance Sheet Detail'!U:U)</f>
        <v>141.32098208333301</v>
      </c>
      <c r="H54" s="163">
        <f>SUMIF('Balance Sheet Detail'!$AR:$AR,$B54,'Balance Sheet Detail'!V:V)</f>
        <v>-187.72641874999999</v>
      </c>
      <c r="I54" s="548">
        <f t="shared" ref="I54" si="4">SUM(G54:H54)</f>
        <v>-46.405436666666986</v>
      </c>
    </row>
    <row r="55" spans="1:15" s="513" customFormat="1">
      <c r="A55" s="510"/>
      <c r="B55" s="549" t="s">
        <v>3921</v>
      </c>
      <c r="C55" s="512" t="s">
        <v>1309</v>
      </c>
      <c r="D55" s="512"/>
      <c r="E55" s="512"/>
      <c r="F55" s="512"/>
      <c r="G55" s="163">
        <f>SUMIF('Balance Sheet Detail'!$AR:$AR,$B55,'Balance Sheet Detail'!U:U)</f>
        <v>1.09E-13</v>
      </c>
      <c r="H55" s="92">
        <f>'Rate Base Detail'!I393</f>
        <v>-2645</v>
      </c>
      <c r="I55" s="548">
        <f t="shared" si="2"/>
        <v>-2645</v>
      </c>
    </row>
    <row r="56" spans="1:15" s="513" customFormat="1">
      <c r="A56" s="510"/>
      <c r="B56" s="549" t="s">
        <v>3922</v>
      </c>
      <c r="C56" s="512" t="s">
        <v>1127</v>
      </c>
      <c r="D56" s="512"/>
      <c r="E56" s="512"/>
      <c r="F56" s="512"/>
      <c r="G56" s="163">
        <f>SUMIF('Balance Sheet Detail'!$AR:$AR,$B56,'Balance Sheet Detail'!U:U)</f>
        <v>303.63474000000002</v>
      </c>
      <c r="H56" s="163">
        <f>SUMIF('Balance Sheet Detail'!$AR:$AR,$B56,'Balance Sheet Detail'!V:V)</f>
        <v>0</v>
      </c>
      <c r="I56" s="548">
        <f t="shared" si="2"/>
        <v>303.63474000000002</v>
      </c>
    </row>
    <row r="57" spans="1:15" s="513" customFormat="1">
      <c r="A57" s="510"/>
      <c r="B57" s="549" t="s">
        <v>3525</v>
      </c>
      <c r="C57" s="512" t="s">
        <v>1134</v>
      </c>
      <c r="D57" s="512"/>
      <c r="E57" s="512"/>
      <c r="F57" s="512"/>
      <c r="G57" s="163">
        <f>SUMIF('Balance Sheet Detail'!$AR:$AR,$B57,'Balance Sheet Detail'!U:U)</f>
        <v>1084.8899857319384</v>
      </c>
      <c r="H57" s="163">
        <f>SUMIF('Balance Sheet Detail'!$AR:$AR,$B57,'Balance Sheet Detail'!V:V)</f>
        <v>561.83865426840293</v>
      </c>
      <c r="I57" s="548">
        <f t="shared" si="2"/>
        <v>1646.7286400003413</v>
      </c>
      <c r="K57" s="827"/>
      <c r="L57" s="827"/>
      <c r="M57" s="827"/>
      <c r="N57" s="827"/>
      <c r="O57" s="827"/>
    </row>
    <row r="58" spans="1:15" s="513" customFormat="1">
      <c r="A58" s="510"/>
      <c r="B58" s="549" t="s">
        <v>3923</v>
      </c>
      <c r="C58" s="512" t="s">
        <v>1487</v>
      </c>
      <c r="D58" s="512"/>
      <c r="E58" s="512"/>
      <c r="F58" s="512"/>
      <c r="G58" s="163">
        <f>SUMIF('Balance Sheet Detail'!$AR:$AR,$B58,'Balance Sheet Detail'!U:U)</f>
        <v>5E-15</v>
      </c>
      <c r="H58" s="163">
        <f>SUMIF('Balance Sheet Detail'!$AR:$AR,$B58,'Balance Sheet Detail'!V:V)</f>
        <v>1.0000000000000001E-15</v>
      </c>
      <c r="I58" s="548">
        <f t="shared" si="2"/>
        <v>5.9999999999999997E-15</v>
      </c>
    </row>
    <row r="59" spans="1:15" s="513" customFormat="1">
      <c r="A59" s="510"/>
      <c r="B59" s="549" t="s">
        <v>3924</v>
      </c>
      <c r="C59" s="512" t="s">
        <v>1586</v>
      </c>
      <c r="D59" s="512"/>
      <c r="E59" s="512"/>
      <c r="F59" s="512"/>
      <c r="G59" s="163">
        <f>SUMIF('Balance Sheet Detail'!$AR:$AR,$B59,'Balance Sheet Detail'!U:U)</f>
        <v>-1530.2184033771691</v>
      </c>
      <c r="H59" s="163">
        <f>SUMIF('Balance Sheet Detail'!$AR:$AR,$B59,'Balance Sheet Detail'!V:V)</f>
        <v>-946.66473578950104</v>
      </c>
      <c r="I59" s="548">
        <f t="shared" si="2"/>
        <v>-2476.8831391666699</v>
      </c>
    </row>
    <row r="60" spans="1:15" s="513" customFormat="1">
      <c r="A60" s="510"/>
      <c r="B60" s="549" t="s">
        <v>4378</v>
      </c>
      <c r="C60" s="512" t="s">
        <v>4377</v>
      </c>
      <c r="D60" s="512"/>
      <c r="E60" s="512"/>
      <c r="F60" s="512"/>
      <c r="G60" s="163">
        <f>SUMIF('Balance Sheet Detail'!$AR:$AR,$B60,'Balance Sheet Detail'!U:U)</f>
        <v>28775.137382916699</v>
      </c>
      <c r="H60" s="163">
        <f>SUMIF('Balance Sheet Detail'!$AR:$AR,$B60,'Balance Sheet Detail'!V:V)</f>
        <v>23417.679055416698</v>
      </c>
      <c r="I60" s="548">
        <f t="shared" ref="I60" si="5">SUM(G60:H60)</f>
        <v>52192.816438333393</v>
      </c>
    </row>
    <row r="61" spans="1:15" s="513" customFormat="1">
      <c r="A61" s="510"/>
      <c r="B61" s="549" t="s">
        <v>3926</v>
      </c>
      <c r="C61" s="512" t="s">
        <v>1132</v>
      </c>
      <c r="D61" s="512"/>
      <c r="E61" s="512"/>
      <c r="F61" s="512"/>
      <c r="G61" s="163">
        <f>SUMIF('Balance Sheet Detail'!$AR:$AR,$B61,'Balance Sheet Detail'!U:U)</f>
        <v>0</v>
      </c>
      <c r="H61" s="163">
        <f>SUMIF('Balance Sheet Detail'!$AR:$AR,$B61,'Balance Sheet Detail'!V:V)</f>
        <v>0</v>
      </c>
      <c r="I61" s="548">
        <f t="shared" si="2"/>
        <v>0</v>
      </c>
    </row>
    <row r="62" spans="1:15" s="513" customFormat="1">
      <c r="A62" s="510"/>
      <c r="B62" s="549" t="s">
        <v>4093</v>
      </c>
      <c r="C62" s="512" t="s">
        <v>2880</v>
      </c>
      <c r="D62" s="512"/>
      <c r="E62" s="512"/>
      <c r="F62" s="512"/>
      <c r="G62" s="163">
        <f>SUMIF('Balance Sheet Detail'!$AR:$AR,$B62,'Balance Sheet Detail'!U:U)</f>
        <v>0</v>
      </c>
      <c r="H62" s="163">
        <f>SUMIF('Balance Sheet Detail'!$AR:$AR,$B62,'Balance Sheet Detail'!V:V)</f>
        <v>0</v>
      </c>
      <c r="I62" s="548">
        <f t="shared" ref="I62" si="6">SUM(G62:H62)</f>
        <v>0</v>
      </c>
    </row>
    <row r="63" spans="1:15" s="513" customFormat="1">
      <c r="A63" s="510"/>
      <c r="B63" s="549" t="s">
        <v>3927</v>
      </c>
      <c r="C63" s="512" t="s">
        <v>1313</v>
      </c>
      <c r="D63" s="512"/>
      <c r="E63" s="512"/>
      <c r="F63" s="512"/>
      <c r="G63" s="163">
        <f>SUMIF('Balance Sheet Detail'!$AR:$AR,$B63,'Balance Sheet Detail'!U:U)</f>
        <v>1761.96039</v>
      </c>
      <c r="H63" s="163">
        <f>SUMIF('Balance Sheet Detail'!$AR:$AR,$B63,'Balance Sheet Detail'!V:V)</f>
        <v>0</v>
      </c>
      <c r="I63" s="548">
        <f t="shared" si="2"/>
        <v>1761.96039</v>
      </c>
    </row>
    <row r="64" spans="1:15" s="513" customFormat="1">
      <c r="A64" s="510"/>
      <c r="B64" s="549" t="s">
        <v>3928</v>
      </c>
      <c r="C64" s="512" t="s">
        <v>814</v>
      </c>
      <c r="D64" s="512"/>
      <c r="E64" s="512"/>
      <c r="F64" s="512"/>
      <c r="G64" s="163">
        <f>SUMIF('Balance Sheet Detail'!$AR:$AR,$B64,'Balance Sheet Detail'!U:U)</f>
        <v>70.105860000000007</v>
      </c>
      <c r="H64" s="163">
        <f>SUMIF('Balance Sheet Detail'!$AR:$AR,$B64,'Balance Sheet Detail'!V:V)</f>
        <v>-199.10727</v>
      </c>
      <c r="I64" s="548">
        <f t="shared" si="2"/>
        <v>-129.00140999999999</v>
      </c>
    </row>
    <row r="65" spans="1:9" s="513" customFormat="1">
      <c r="A65" s="510"/>
      <c r="B65" s="549" t="s">
        <v>4571</v>
      </c>
      <c r="C65" s="512" t="s">
        <v>2661</v>
      </c>
      <c r="D65" s="512"/>
      <c r="E65" s="512"/>
      <c r="F65" s="512"/>
      <c r="G65" s="163">
        <f>SUMIF('Balance Sheet Detail'!$AR:$AR,$B65,'Balance Sheet Detail'!U:U)</f>
        <v>5131.8587416027067</v>
      </c>
      <c r="H65" s="163">
        <f>SUMIF('Balance Sheet Detail'!$AR:$AR,$B65,'Balance Sheet Detail'!V:V)</f>
        <v>1789.0566213139568</v>
      </c>
      <c r="I65" s="548">
        <f t="shared" si="2"/>
        <v>6920.9153629166631</v>
      </c>
    </row>
    <row r="66" spans="1:9" s="513" customFormat="1">
      <c r="A66" s="510"/>
      <c r="B66" s="549"/>
      <c r="C66" s="512" t="s">
        <v>1325</v>
      </c>
      <c r="D66" s="512"/>
      <c r="E66" s="512"/>
      <c r="F66" s="512"/>
      <c r="G66" s="92">
        <f>'Rate Base Detail'!H235</f>
        <v>-2282.09337</v>
      </c>
      <c r="H66" s="92">
        <f>'Rate Base Detail'!I235</f>
        <v>0</v>
      </c>
      <c r="I66" s="548">
        <f t="shared" si="2"/>
        <v>-2282.09337</v>
      </c>
    </row>
    <row r="67" spans="1:9" s="513" customFormat="1">
      <c r="A67" s="510"/>
      <c r="B67" s="549" t="s">
        <v>3929</v>
      </c>
      <c r="C67" s="512" t="s">
        <v>1118</v>
      </c>
      <c r="D67" s="512"/>
      <c r="E67" s="512"/>
      <c r="F67" s="512"/>
      <c r="G67" s="163">
        <f>SUMIF('Balance Sheet Detail'!$AR:$AR,$B67,'Balance Sheet Detail'!U:U)</f>
        <v>-9.7719999999991994E-2</v>
      </c>
      <c r="H67" s="163">
        <f>SUMIF('Balance Sheet Detail'!$AR:$AR,$B67,'Balance Sheet Detail'!V:V)</f>
        <v>1.0000000000000001E-15</v>
      </c>
      <c r="I67" s="548">
        <f t="shared" si="2"/>
        <v>-9.7719999999990995E-2</v>
      </c>
    </row>
    <row r="68" spans="1:9" s="513" customFormat="1">
      <c r="A68" s="510"/>
      <c r="B68" s="549" t="s">
        <v>3930</v>
      </c>
      <c r="C68" s="512" t="s">
        <v>999</v>
      </c>
      <c r="D68" s="512"/>
      <c r="E68" s="512"/>
      <c r="F68" s="512"/>
      <c r="G68" s="163">
        <f>SUMIF('Balance Sheet Detail'!$AR:$AR,$B68,'Balance Sheet Detail'!U:U)</f>
        <v>0</v>
      </c>
      <c r="H68" s="163">
        <f>SUMIF('Balance Sheet Detail'!$AR:$AR,$B68,'Balance Sheet Detail'!V:V)</f>
        <v>0</v>
      </c>
      <c r="I68" s="548">
        <f t="shared" si="2"/>
        <v>0</v>
      </c>
    </row>
    <row r="69" spans="1:9" s="513" customFormat="1">
      <c r="A69" s="510"/>
      <c r="B69" s="549" t="s">
        <v>3931</v>
      </c>
      <c r="C69" s="512" t="s">
        <v>1234</v>
      </c>
      <c r="D69" s="512"/>
      <c r="E69" s="512"/>
      <c r="F69" s="512"/>
      <c r="G69" s="163">
        <f>SUMIF('Balance Sheet Detail'!$AR:$AR,$B69,'Balance Sheet Detail'!U:U)</f>
        <v>0</v>
      </c>
      <c r="H69" s="163">
        <f>SUMIF('Balance Sheet Detail'!$AR:$AR,$B69,'Balance Sheet Detail'!V:V)</f>
        <v>-1613.4326600000034</v>
      </c>
      <c r="I69" s="548">
        <f t="shared" si="2"/>
        <v>-1613.4326600000034</v>
      </c>
    </row>
    <row r="70" spans="1:9" s="513" customFormat="1">
      <c r="A70" s="510"/>
      <c r="B70" s="549"/>
      <c r="C70" s="512" t="s">
        <v>2541</v>
      </c>
      <c r="D70" s="512"/>
      <c r="E70" s="512"/>
      <c r="F70" s="512"/>
      <c r="G70" s="92">
        <f>'Rate Base Detail'!H246</f>
        <v>48999.447794911554</v>
      </c>
      <c r="H70" s="92">
        <f>'Rate Base Detail'!I246</f>
        <v>17083.388071456015</v>
      </c>
      <c r="I70" s="548">
        <f t="shared" si="2"/>
        <v>66082.835866367561</v>
      </c>
    </row>
    <row r="71" spans="1:9" s="513" customFormat="1">
      <c r="A71" s="510"/>
      <c r="B71" s="549" t="s">
        <v>4232</v>
      </c>
      <c r="C71" s="512" t="s">
        <v>4103</v>
      </c>
      <c r="D71" s="512"/>
      <c r="E71" s="512"/>
      <c r="F71" s="512"/>
      <c r="G71" s="163">
        <f>SUMIF('Balance Sheet Detail'!$AR:$AR,$B71,'Balance Sheet Detail'!U:U)</f>
        <v>-9653.4120000000003</v>
      </c>
      <c r="H71" s="163">
        <f>SUMIF('Balance Sheet Detail'!$AR:$AR,$B71,'Balance Sheet Detail'!V:V)</f>
        <v>-66.809010000000001</v>
      </c>
      <c r="I71" s="548">
        <f t="shared" ref="I71" si="7">SUM(G71:H71)</f>
        <v>-9720.2210100000011</v>
      </c>
    </row>
    <row r="72" spans="1:9" s="513" customFormat="1">
      <c r="A72" s="510"/>
      <c r="B72" s="549" t="s">
        <v>3933</v>
      </c>
      <c r="C72" s="512" t="s">
        <v>1144</v>
      </c>
      <c r="D72" s="512"/>
      <c r="E72" s="512"/>
      <c r="F72" s="512"/>
      <c r="G72" s="163">
        <f>SUMIF('Balance Sheet Detail'!$AR:$AR,$B72,'Balance Sheet Detail'!U:U)</f>
        <v>1.72E-13</v>
      </c>
      <c r="H72" s="163">
        <f>SUMIF('Balance Sheet Detail'!$AR:$AR,$B72,'Balance Sheet Detail'!V:V)</f>
        <v>0</v>
      </c>
      <c r="I72" s="548">
        <f t="shared" si="2"/>
        <v>1.72E-13</v>
      </c>
    </row>
    <row r="73" spans="1:9" s="513" customFormat="1">
      <c r="A73" s="510"/>
      <c r="B73" s="549" t="s">
        <v>3934</v>
      </c>
      <c r="C73" s="512" t="s">
        <v>1145</v>
      </c>
      <c r="D73" s="512"/>
      <c r="E73" s="512"/>
      <c r="F73" s="512"/>
      <c r="G73" s="163">
        <f>SUMIF('Balance Sheet Detail'!$AR:$AR,$B73,'Balance Sheet Detail'!U:U)</f>
        <v>-4711.5450595833299</v>
      </c>
      <c r="H73" s="163">
        <f>SUMIF('Balance Sheet Detail'!$AR:$AR,$B73,'Balance Sheet Detail'!V:V)</f>
        <v>0</v>
      </c>
      <c r="I73" s="548">
        <f t="shared" si="2"/>
        <v>-4711.5450595833299</v>
      </c>
    </row>
    <row r="74" spans="1:9" s="513" customFormat="1">
      <c r="A74" s="510"/>
      <c r="B74" s="550" t="s">
        <v>4457</v>
      </c>
      <c r="C74" s="512" t="s">
        <v>4456</v>
      </c>
      <c r="D74" s="512"/>
      <c r="E74" s="512"/>
      <c r="F74" s="512"/>
      <c r="G74" s="163">
        <f>SUMIF('Balance Sheet Detail'!$AR:$AR,$B74,'Balance Sheet Detail'!U:U)</f>
        <v>-6094.816808333333</v>
      </c>
      <c r="H74" s="163">
        <f>SUMIF('Balance Sheet Detail'!$AR:$AR,$B74,'Balance Sheet Detail'!V:V)</f>
        <v>0</v>
      </c>
      <c r="I74" s="548">
        <f t="shared" ref="I74" si="8">SUM(G74:H74)</f>
        <v>-6094.816808333333</v>
      </c>
    </row>
    <row r="75" spans="1:9" s="513" customFormat="1">
      <c r="A75" s="510"/>
      <c r="B75" s="549" t="s">
        <v>3935</v>
      </c>
      <c r="C75" s="512" t="s">
        <v>1126</v>
      </c>
      <c r="D75" s="512"/>
      <c r="E75" s="512"/>
      <c r="F75" s="512"/>
      <c r="G75" s="163">
        <f>SUMIF('Balance Sheet Detail'!$AR:$AR,$B75,'Balance Sheet Detail'!U:U)</f>
        <v>227.76737999999997</v>
      </c>
      <c r="H75" s="163">
        <f>SUMIF('Balance Sheet Detail'!$AR:$AR,$B75,'Balance Sheet Detail'!V:V)</f>
        <v>623.56858</v>
      </c>
      <c r="I75" s="548">
        <f t="shared" si="2"/>
        <v>851.33596</v>
      </c>
    </row>
    <row r="76" spans="1:9" s="513" customFormat="1">
      <c r="A76" s="510"/>
      <c r="B76" s="549" t="s">
        <v>3936</v>
      </c>
      <c r="C76" s="512" t="s">
        <v>1125</v>
      </c>
      <c r="D76" s="512"/>
      <c r="E76" s="512"/>
      <c r="F76" s="512"/>
      <c r="G76" s="163">
        <f>SUMIF('Balance Sheet Detail'!$AR:$AR,$B76,'Balance Sheet Detail'!U:U)</f>
        <v>-319.08900999999997</v>
      </c>
      <c r="H76" s="163">
        <f>SUMIF('Balance Sheet Detail'!$AR:$AR,$B76,'Balance Sheet Detail'!V:V)</f>
        <v>-515.71281999999997</v>
      </c>
      <c r="I76" s="548">
        <f t="shared" si="2"/>
        <v>-834.80182999999988</v>
      </c>
    </row>
    <row r="77" spans="1:9" s="513" customFormat="1">
      <c r="A77" s="510"/>
      <c r="B77" s="549" t="s">
        <v>4459</v>
      </c>
      <c r="C77" s="512" t="s">
        <v>4455</v>
      </c>
      <c r="D77" s="512"/>
      <c r="E77" s="512"/>
      <c r="F77" s="512"/>
      <c r="G77" s="163">
        <f>SUMIF('Balance Sheet Detail'!$AR:$AR,$B77,'Balance Sheet Detail'!U:U)</f>
        <v>-1161.9583333333301</v>
      </c>
      <c r="H77" s="163">
        <f>SUMIF('Balance Sheet Detail'!$AR:$AR,$B77,'Balance Sheet Detail'!V:V)</f>
        <v>-496.20833333333297</v>
      </c>
      <c r="I77" s="548">
        <f t="shared" ref="I77" si="9">SUM(G77:H77)</f>
        <v>-1658.1666666666631</v>
      </c>
    </row>
    <row r="78" spans="1:9" s="513" customFormat="1">
      <c r="A78" s="510"/>
      <c r="B78" s="549" t="s">
        <v>3937</v>
      </c>
      <c r="C78" s="512" t="s">
        <v>816</v>
      </c>
      <c r="D78" s="512"/>
      <c r="E78" s="512"/>
      <c r="F78" s="512"/>
      <c r="G78" s="163">
        <f>SUMIF('Balance Sheet Detail'!$AR:$AR,$B78,'Balance Sheet Detail'!U:U)</f>
        <v>0</v>
      </c>
      <c r="H78" s="163">
        <f>SUMIF('Balance Sheet Detail'!$AR:$AR,$B78,'Balance Sheet Detail'!V:V)</f>
        <v>0</v>
      </c>
      <c r="I78" s="548">
        <f t="shared" si="2"/>
        <v>0</v>
      </c>
    </row>
    <row r="79" spans="1:9" s="513" customFormat="1">
      <c r="A79" s="510"/>
      <c r="B79" s="549" t="s">
        <v>3938</v>
      </c>
      <c r="C79" s="512" t="s">
        <v>1135</v>
      </c>
      <c r="D79" s="512"/>
      <c r="E79" s="512"/>
      <c r="F79" s="512"/>
      <c r="G79" s="163">
        <f>SUMIF('Balance Sheet Detail'!$AR:$AR,$B79,'Balance Sheet Detail'!U:U)</f>
        <v>-50064.626314801666</v>
      </c>
      <c r="H79" s="163">
        <f>SUMIF('Balance Sheet Detail'!$AR:$AR,$B79,'Balance Sheet Detail'!V:V)</f>
        <v>-30972.321426864997</v>
      </c>
      <c r="I79" s="548">
        <f t="shared" si="2"/>
        <v>-81036.947741666663</v>
      </c>
    </row>
    <row r="80" spans="1:9" s="513" customFormat="1">
      <c r="A80" s="510"/>
      <c r="B80" s="549" t="s">
        <v>3939</v>
      </c>
      <c r="C80" s="512" t="s">
        <v>812</v>
      </c>
      <c r="D80" s="512"/>
      <c r="E80" s="512"/>
      <c r="F80" s="512" t="s">
        <v>3526</v>
      </c>
      <c r="G80" s="163">
        <f>SUMIF('Balance Sheet Detail'!$AR:$AR,$B80,'Balance Sheet Detail'!U:U)</f>
        <v>-3.8999999999999998E-14</v>
      </c>
      <c r="H80" s="163">
        <f>SUMIF('Balance Sheet Detail'!$AR:$AR,$B80,'Balance Sheet Detail'!V:V)</f>
        <v>2.9999999999999998E-15</v>
      </c>
      <c r="I80" s="548">
        <f t="shared" si="2"/>
        <v>-3.5999999999999998E-14</v>
      </c>
    </row>
    <row r="81" spans="1:9" s="513" customFormat="1">
      <c r="A81" s="510"/>
      <c r="B81" s="549" t="s">
        <v>3940</v>
      </c>
      <c r="C81" s="512" t="s">
        <v>1139</v>
      </c>
      <c r="D81" s="512"/>
      <c r="E81" s="512"/>
      <c r="F81" s="512"/>
      <c r="G81" s="163">
        <f>SUMIF('Balance Sheet Detail'!$AR:$AR,$B81,'Balance Sheet Detail'!U:U)</f>
        <v>-9.7000000000000003E-14</v>
      </c>
      <c r="H81" s="163">
        <f>SUMIF('Balance Sheet Detail'!$AR:$AR,$B81,'Balance Sheet Detail'!V:V)</f>
        <v>0</v>
      </c>
      <c r="I81" s="548">
        <f t="shared" si="2"/>
        <v>-9.7000000000000003E-14</v>
      </c>
    </row>
    <row r="82" spans="1:9" s="513" customFormat="1">
      <c r="A82" s="510"/>
      <c r="B82" s="549" t="s">
        <v>3941</v>
      </c>
      <c r="C82" s="512" t="s">
        <v>2695</v>
      </c>
      <c r="D82" s="512"/>
      <c r="E82" s="512"/>
      <c r="F82" s="512"/>
      <c r="G82" s="163">
        <f>SUMIF('Balance Sheet Detail'!$AR:$AR,$B82,'Balance Sheet Detail'!U:U)</f>
        <v>-2712.5</v>
      </c>
      <c r="H82" s="163">
        <f>SUMIF('Balance Sheet Detail'!$AR:$AR,$B82,'Balance Sheet Detail'!V:V)</f>
        <v>0</v>
      </c>
      <c r="I82" s="548">
        <f t="shared" si="2"/>
        <v>-2712.5</v>
      </c>
    </row>
    <row r="83" spans="1:9" s="513" customFormat="1">
      <c r="A83" s="510"/>
      <c r="B83" s="549" t="s">
        <v>4230</v>
      </c>
      <c r="C83" s="512" t="s">
        <v>2562</v>
      </c>
      <c r="D83" s="512"/>
      <c r="E83" s="512"/>
      <c r="F83" s="512"/>
      <c r="G83" s="163">
        <f>SUMIF('Balance Sheet Detail'!$AR:$AR,$B83,'Balance Sheet Detail'!U:U)</f>
        <v>-2035.637897491667</v>
      </c>
      <c r="H83" s="163">
        <f>SUMIF('Balance Sheet Detail'!$AR:$AR,$B83,'Balance Sheet Detail'!V:V)</f>
        <v>-1259.3408941750001</v>
      </c>
      <c r="I83" s="548">
        <f t="shared" si="2"/>
        <v>-3294.9787916666673</v>
      </c>
    </row>
    <row r="84" spans="1:9" s="513" customFormat="1">
      <c r="A84" s="510"/>
      <c r="B84" s="549" t="s">
        <v>3942</v>
      </c>
      <c r="C84" s="512" t="s">
        <v>815</v>
      </c>
      <c r="D84" s="512"/>
      <c r="E84" s="512"/>
      <c r="F84" s="512"/>
      <c r="G84" s="163">
        <f>SUMIF('Balance Sheet Detail'!$AR:$AR,$B84,'Balance Sheet Detail'!U:U)</f>
        <v>-2.3300000000000002E-13</v>
      </c>
      <c r="H84" s="163">
        <f>SUMIF('Balance Sheet Detail'!$AR:$AR,$B84,'Balance Sheet Detail'!V:V)</f>
        <v>0</v>
      </c>
      <c r="I84" s="548">
        <f t="shared" si="2"/>
        <v>-2.3300000000000002E-13</v>
      </c>
    </row>
    <row r="85" spans="1:9" s="513" customFormat="1">
      <c r="A85" s="510"/>
      <c r="B85" s="549" t="s">
        <v>3943</v>
      </c>
      <c r="C85" s="512" t="s">
        <v>1136</v>
      </c>
      <c r="D85" s="512"/>
      <c r="E85" s="512"/>
      <c r="F85" s="512"/>
      <c r="G85" s="163">
        <f>SUMIF('Balance Sheet Detail'!$AR:$AR,$B85,'Balance Sheet Detail'!U:U)</f>
        <v>34845.205444103995</v>
      </c>
      <c r="H85" s="163">
        <f>SUMIF('Balance Sheet Detail'!$AR:$AR,$B85,'Balance Sheet Detail'!V:V)</f>
        <v>21556.875235895997</v>
      </c>
      <c r="I85" s="548">
        <f t="shared" si="2"/>
        <v>56402.080679999992</v>
      </c>
    </row>
    <row r="86" spans="1:9" s="513" customFormat="1">
      <c r="A86" s="510"/>
      <c r="B86" s="549" t="s">
        <v>3944</v>
      </c>
      <c r="C86" s="512" t="s">
        <v>1159</v>
      </c>
      <c r="D86" s="512"/>
      <c r="E86" s="512"/>
      <c r="F86" s="512"/>
      <c r="G86" s="163">
        <f>SUMIF('Balance Sheet Detail'!$AR:$AR,$B86,'Balance Sheet Detail'!U:U)</f>
        <v>0</v>
      </c>
      <c r="H86" s="163">
        <f>SUMIF('Balance Sheet Detail'!$AR:$AR,$B86,'Balance Sheet Detail'!V:V)</f>
        <v>0</v>
      </c>
      <c r="I86" s="548">
        <f t="shared" si="2"/>
        <v>0</v>
      </c>
    </row>
    <row r="87" spans="1:9" s="513" customFormat="1">
      <c r="A87" s="510"/>
      <c r="B87" s="549" t="s">
        <v>3527</v>
      </c>
      <c r="C87" s="512" t="s">
        <v>1481</v>
      </c>
      <c r="D87" s="512"/>
      <c r="E87" s="512"/>
      <c r="F87" s="512"/>
      <c r="G87" s="163">
        <f>SUMIF('Balance Sheet Detail'!$AR:$AR,$B87,'Balance Sheet Detail'!U:U)</f>
        <v>-37852.993609999998</v>
      </c>
      <c r="H87" s="163">
        <f>SUMIF('Balance Sheet Detail'!$AR:$AR,$B87,'Balance Sheet Detail'!V:V)</f>
        <v>348.34663999999998</v>
      </c>
      <c r="I87" s="548">
        <f t="shared" si="2"/>
        <v>-37504.646969999994</v>
      </c>
    </row>
    <row r="88" spans="1:9" s="513" customFormat="1">
      <c r="A88" s="510"/>
      <c r="B88" s="549" t="s">
        <v>3945</v>
      </c>
      <c r="C88" s="512" t="s">
        <v>1199</v>
      </c>
      <c r="D88" s="512"/>
      <c r="E88" s="512"/>
      <c r="F88" s="512"/>
      <c r="G88" s="163">
        <f>SUMIF('Balance Sheet Detail'!$AR:$AR,$B88,'Balance Sheet Detail'!U:U)</f>
        <v>5E-15</v>
      </c>
      <c r="H88" s="163">
        <f>SUMIF('Balance Sheet Detail'!$AR:$AR,$B88,'Balance Sheet Detail'!V:V)</f>
        <v>2.0000000000000002E-15</v>
      </c>
      <c r="I88" s="548">
        <f t="shared" si="2"/>
        <v>7.0000000000000001E-15</v>
      </c>
    </row>
    <row r="89" spans="1:9" s="513" customFormat="1">
      <c r="A89" s="510"/>
      <c r="B89" s="549" t="s">
        <v>3946</v>
      </c>
      <c r="C89" s="512" t="s">
        <v>2617</v>
      </c>
      <c r="D89" s="512"/>
      <c r="E89" s="512"/>
      <c r="F89" s="512"/>
      <c r="G89" s="163">
        <f>SUMIF('Balance Sheet Detail'!$AR:$AR,$B89,'Balance Sheet Detail'!U:U)</f>
        <v>1383.22251416667</v>
      </c>
      <c r="H89" s="163">
        <f>SUMIF('Balance Sheet Detail'!$AR:$AR,$B89,'Balance Sheet Detail'!V:V)</f>
        <v>0</v>
      </c>
      <c r="I89" s="548">
        <f t="shared" si="2"/>
        <v>1383.22251416667</v>
      </c>
    </row>
    <row r="90" spans="1:9" s="513" customFormat="1">
      <c r="A90" s="510"/>
      <c r="B90" s="549" t="s">
        <v>3947</v>
      </c>
      <c r="C90" s="512" t="s">
        <v>1181</v>
      </c>
      <c r="D90" s="512"/>
      <c r="E90" s="512"/>
      <c r="F90" s="512"/>
      <c r="G90" s="163">
        <f>SUMIF('Balance Sheet Detail'!$AR:$AR,$B90,'Balance Sheet Detail'!U:U)</f>
        <v>-345.96557999999999</v>
      </c>
      <c r="H90" s="163">
        <f>SUMIF('Balance Sheet Detail'!$AR:$AR,$B90,'Balance Sheet Detail'!V:V)</f>
        <v>-151.36189999999999</v>
      </c>
      <c r="I90" s="548">
        <f t="shared" si="2"/>
        <v>-497.32747999999998</v>
      </c>
    </row>
    <row r="91" spans="1:9" s="513" customFormat="1">
      <c r="A91" s="510"/>
      <c r="B91" s="549" t="s">
        <v>3528</v>
      </c>
      <c r="C91" s="512" t="s">
        <v>1113</v>
      </c>
      <c r="D91" s="512"/>
      <c r="E91" s="512"/>
      <c r="F91" s="512"/>
      <c r="G91" s="163">
        <f>SUMIF('Balance Sheet Detail'!$AR:$AR,$B91,'Balance Sheet Detail'!U:U)</f>
        <v>1.1640000000000001E-12</v>
      </c>
      <c r="H91" s="163">
        <f>SUMIF('Balance Sheet Detail'!$AR:$AR,$B91,'Balance Sheet Detail'!V:V)</f>
        <v>0</v>
      </c>
      <c r="I91" s="548">
        <f t="shared" si="2"/>
        <v>1.1640000000000001E-12</v>
      </c>
    </row>
    <row r="92" spans="1:9" s="513" customFormat="1">
      <c r="A92" s="510"/>
      <c r="B92" s="549" t="s">
        <v>3529</v>
      </c>
      <c r="C92" s="512" t="s">
        <v>817</v>
      </c>
      <c r="D92" s="512"/>
      <c r="E92" s="512"/>
      <c r="F92" s="512"/>
      <c r="G92" s="163">
        <f>SUMIF('Balance Sheet Detail'!$AR:$AR,$B92,'Balance Sheet Detail'!U:U)</f>
        <v>18.686495000000001</v>
      </c>
      <c r="H92" s="163">
        <f>SUMIF('Balance Sheet Detail'!$AR:$AR,$B92,'Balance Sheet Detail'!V:V)</f>
        <v>-11.562606666666699</v>
      </c>
      <c r="I92" s="548">
        <f t="shared" si="2"/>
        <v>7.1238883333333014</v>
      </c>
    </row>
    <row r="93" spans="1:9" s="513" customFormat="1">
      <c r="A93" s="510"/>
      <c r="B93" s="549" t="s">
        <v>3530</v>
      </c>
      <c r="C93" s="512" t="s">
        <v>1245</v>
      </c>
      <c r="D93" s="512"/>
      <c r="E93" s="512"/>
      <c r="F93" s="512"/>
      <c r="G93" s="163">
        <f>SUMIF('Balance Sheet Detail'!$AR:$AR,$B93,'Balance Sheet Detail'!U:U)</f>
        <v>0</v>
      </c>
      <c r="H93" s="163">
        <f>SUMIF('Balance Sheet Detail'!$AR:$AR,$B93,'Balance Sheet Detail'!V:V)</f>
        <v>1046.9082937499998</v>
      </c>
      <c r="I93" s="548">
        <f t="shared" si="2"/>
        <v>1046.9082937499998</v>
      </c>
    </row>
    <row r="94" spans="1:9" s="513" customFormat="1">
      <c r="A94" s="510"/>
      <c r="B94" s="549" t="s">
        <v>3948</v>
      </c>
      <c r="C94" s="512" t="s">
        <v>1124</v>
      </c>
      <c r="D94" s="512"/>
      <c r="E94" s="512"/>
      <c r="F94" s="512"/>
      <c r="G94" s="163">
        <f>SUMIF('Balance Sheet Detail'!$AR:$AR,$B94,'Balance Sheet Detail'!U:U)</f>
        <v>-0.21158083333333499</v>
      </c>
      <c r="H94" s="163">
        <f>SUMIF('Balance Sheet Detail'!$AR:$AR,$B94,'Balance Sheet Detail'!V:V)</f>
        <v>2.6220416666666999E-2</v>
      </c>
      <c r="I94" s="548">
        <f t="shared" si="2"/>
        <v>-0.185360416666668</v>
      </c>
    </row>
    <row r="95" spans="1:9" s="513" customFormat="1">
      <c r="A95" s="510"/>
      <c r="B95" s="549" t="s">
        <v>3949</v>
      </c>
      <c r="C95" s="512" t="s">
        <v>2694</v>
      </c>
      <c r="D95" s="512"/>
      <c r="E95" s="512"/>
      <c r="F95" s="512"/>
      <c r="G95" s="163">
        <f>SUMIF('Balance Sheet Detail'!$AR:$AR,$B95,'Balance Sheet Detail'!U:U)</f>
        <v>-9103.3722849999995</v>
      </c>
      <c r="H95" s="163">
        <f>SUMIF('Balance Sheet Detail'!$AR:$AR,$B95,'Balance Sheet Detail'!V:V)</f>
        <v>0</v>
      </c>
      <c r="I95" s="548">
        <f t="shared" si="2"/>
        <v>-9103.3722849999995</v>
      </c>
    </row>
    <row r="96" spans="1:9" s="513" customFormat="1">
      <c r="A96" s="510"/>
      <c r="B96" s="549" t="s">
        <v>3531</v>
      </c>
      <c r="C96" s="512" t="s">
        <v>1114</v>
      </c>
      <c r="D96" s="512"/>
      <c r="E96" s="512"/>
      <c r="F96" s="512"/>
      <c r="G96" s="163">
        <f>SUMIF('Balance Sheet Detail'!$AR:$AR,$B96,'Balance Sheet Detail'!U:U)</f>
        <v>386.43360999999999</v>
      </c>
      <c r="H96" s="163">
        <f>SUMIF('Balance Sheet Detail'!$AR:$AR,$B96,'Balance Sheet Detail'!V:V)</f>
        <v>193.91578999999999</v>
      </c>
      <c r="I96" s="548">
        <f t="shared" si="2"/>
        <v>580.34939999999995</v>
      </c>
    </row>
    <row r="97" spans="1:9" s="513" customFormat="1">
      <c r="A97" s="510"/>
      <c r="B97" s="549" t="s">
        <v>3950</v>
      </c>
      <c r="C97" s="512" t="s">
        <v>1117</v>
      </c>
      <c r="D97" s="512"/>
      <c r="E97" s="512"/>
      <c r="F97" s="512"/>
      <c r="G97" s="163">
        <f>SUMIF('Balance Sheet Detail'!$AR:$AR,$B97,'Balance Sheet Detail'!U:U)</f>
        <v>0</v>
      </c>
      <c r="H97" s="163">
        <f>SUMIF('Balance Sheet Detail'!$AR:$AR,$B97,'Balance Sheet Detail'!V:V)</f>
        <v>2.0000000000000002E-15</v>
      </c>
      <c r="I97" s="548">
        <f t="shared" si="2"/>
        <v>2.0000000000000002E-15</v>
      </c>
    </row>
    <row r="98" spans="1:9" s="513" customFormat="1">
      <c r="A98" s="510"/>
      <c r="B98" s="549" t="s">
        <v>4234</v>
      </c>
      <c r="C98" s="512" t="s">
        <v>1155</v>
      </c>
      <c r="D98" s="512"/>
      <c r="E98" s="512"/>
      <c r="F98" s="512"/>
      <c r="G98" s="163">
        <f>SUMIF('Balance Sheet Detail'!$AR:$AR,$B98,'Balance Sheet Detail'!U:U)</f>
        <v>-828.75132625000003</v>
      </c>
      <c r="H98" s="163">
        <f>SUMIF('Balance Sheet Detail'!$AR:$AR,$B98,'Balance Sheet Detail'!V:V)</f>
        <v>0</v>
      </c>
      <c r="I98" s="548">
        <f t="shared" ref="I98" si="10">SUM(G98:H98)</f>
        <v>-828.75132625000003</v>
      </c>
    </row>
    <row r="99" spans="1:9" s="513" customFormat="1">
      <c r="A99" s="510"/>
      <c r="B99" s="549" t="s">
        <v>3951</v>
      </c>
      <c r="C99" s="512" t="s">
        <v>1115</v>
      </c>
      <c r="D99" s="512"/>
      <c r="E99" s="512"/>
      <c r="F99" s="512"/>
      <c r="G99" s="163">
        <f>SUMIF('Balance Sheet Detail'!$AR:$AR,$B99,'Balance Sheet Detail'!U:U)</f>
        <v>2966.2099699999999</v>
      </c>
      <c r="H99" s="163">
        <f>SUMIF('Balance Sheet Detail'!$AR:$AR,$B99,'Balance Sheet Detail'!V:V)</f>
        <v>0</v>
      </c>
      <c r="I99" s="548">
        <f t="shared" si="2"/>
        <v>2966.2099699999999</v>
      </c>
    </row>
    <row r="100" spans="1:9" s="513" customFormat="1">
      <c r="A100" s="510"/>
      <c r="B100" s="549" t="s">
        <v>3952</v>
      </c>
      <c r="C100" s="512" t="s">
        <v>1168</v>
      </c>
      <c r="D100" s="512"/>
      <c r="E100" s="512"/>
      <c r="F100" s="512"/>
      <c r="G100" s="163">
        <f>SUMIF('Balance Sheet Detail'!$AR:$AR,$B100,'Balance Sheet Detail'!U:U)</f>
        <v>2.6999999999999999E-14</v>
      </c>
      <c r="H100" s="163">
        <f>SUMIF('Balance Sheet Detail'!$AR:$AR,$B100,'Balance Sheet Detail'!V:V)</f>
        <v>0</v>
      </c>
      <c r="I100" s="548">
        <f t="shared" si="2"/>
        <v>2.6999999999999999E-14</v>
      </c>
    </row>
    <row r="101" spans="1:9" s="513" customFormat="1">
      <c r="A101" s="510"/>
      <c r="B101" s="549" t="s">
        <v>3953</v>
      </c>
      <c r="C101" s="512" t="s">
        <v>822</v>
      </c>
      <c r="D101" s="512"/>
      <c r="E101" s="512"/>
      <c r="F101" s="512"/>
      <c r="G101" s="163">
        <f>SUMIF('Balance Sheet Detail'!$AR:$AR,$B101,'Balance Sheet Detail'!U:U)</f>
        <v>0</v>
      </c>
      <c r="H101" s="163">
        <f>SUMIF('Balance Sheet Detail'!$AR:$AR,$B101,'Balance Sheet Detail'!V:V)</f>
        <v>0</v>
      </c>
      <c r="I101" s="548">
        <f t="shared" si="2"/>
        <v>0</v>
      </c>
    </row>
    <row r="102" spans="1:9" s="513" customFormat="1" ht="3" customHeight="1">
      <c r="A102" s="510"/>
      <c r="B102" s="512"/>
      <c r="C102" s="512"/>
      <c r="D102" s="512"/>
      <c r="E102" s="512"/>
      <c r="F102" s="512"/>
      <c r="G102" s="92"/>
      <c r="H102" s="92"/>
      <c r="I102" s="548"/>
    </row>
    <row r="103" spans="1:9" s="513" customFormat="1" ht="15">
      <c r="A103" s="510"/>
      <c r="B103" s="511"/>
      <c r="C103" s="512" t="s">
        <v>2391</v>
      </c>
      <c r="D103" s="512"/>
      <c r="E103" s="512"/>
      <c r="F103" s="512"/>
      <c r="G103" s="129">
        <f>+G105-SUM(G41:G102)</f>
        <v>297.36862898155232</v>
      </c>
      <c r="H103" s="129">
        <f>+H105-SUM(H41:H102)</f>
        <v>207.7206039351222</v>
      </c>
      <c r="I103" s="129">
        <f>+I105-SUM(I41:I102)</f>
        <v>505.08923291674</v>
      </c>
    </row>
    <row r="104" spans="1:9" s="513" customFormat="1">
      <c r="A104" s="510"/>
      <c r="B104" s="511"/>
      <c r="C104" s="512"/>
      <c r="D104" s="512"/>
      <c r="E104" s="512"/>
      <c r="F104" s="512"/>
      <c r="G104" s="92"/>
      <c r="H104" s="92"/>
      <c r="I104" s="548"/>
    </row>
    <row r="105" spans="1:9" s="597" customFormat="1">
      <c r="B105" s="876"/>
      <c r="C105" s="512" t="s">
        <v>2585</v>
      </c>
      <c r="D105" s="512"/>
      <c r="E105" s="512"/>
      <c r="F105" s="877" t="s">
        <v>2441</v>
      </c>
      <c r="G105" s="784">
        <f>SUMIF('Balance Sheet Detail'!$D:$D,$F105,'Balance Sheet Detail'!U:U)+G45+G66+'Rate Base Detail'!H244-G107-G109-G110</f>
        <v>-142282.87290450529</v>
      </c>
      <c r="H105" s="784">
        <f>SUMIF('Balance Sheet Detail'!$D:$D,$F105,'Balance Sheet Detail'!V:V)+H45+H66+H55+'Rate Base Detail'!I244-H107-H109-H110</f>
        <v>29492.113180873352</v>
      </c>
      <c r="I105" s="87">
        <f>SUM(G105:H105)</f>
        <v>-112790.75972363194</v>
      </c>
    </row>
    <row r="106" spans="1:9" s="597" customFormat="1">
      <c r="A106" s="797"/>
      <c r="B106" s="876"/>
      <c r="C106" s="511" t="s">
        <v>3532</v>
      </c>
      <c r="D106" s="512"/>
      <c r="E106" s="512"/>
      <c r="F106" s="877"/>
      <c r="G106" s="784"/>
      <c r="H106" s="784"/>
      <c r="I106" s="87"/>
    </row>
    <row r="107" spans="1:9" s="513" customFormat="1">
      <c r="A107" s="510"/>
      <c r="B107" s="549" t="s">
        <v>3954</v>
      </c>
      <c r="C107" s="512" t="s">
        <v>3533</v>
      </c>
      <c r="D107" s="512"/>
      <c r="E107" s="512"/>
      <c r="F107" s="512"/>
      <c r="G107" s="163">
        <f>SUMIF('Balance Sheet Detail'!$AR:$AR,$B107,'Balance Sheet Detail'!U:U)</f>
        <v>0</v>
      </c>
      <c r="H107" s="163">
        <f>SUMIF('Balance Sheet Detail'!$AR:$AR,$B107,'Balance Sheet Detail'!V:V)</f>
        <v>3939.2135037500002</v>
      </c>
      <c r="I107" s="548">
        <f t="shared" ref="I107" si="11">SUM(G107:H107)</f>
        <v>3939.2135037500002</v>
      </c>
    </row>
    <row r="108" spans="1:9" s="597" customFormat="1">
      <c r="A108" s="797"/>
      <c r="B108" s="876"/>
      <c r="C108" s="512" t="s">
        <v>3534</v>
      </c>
      <c r="D108" s="512"/>
      <c r="E108" s="512"/>
      <c r="F108" s="877"/>
      <c r="G108" s="163">
        <f>+'Rate Base Detail'!H253-'Rate Base'!G107</f>
        <v>3724.8131295833323</v>
      </c>
      <c r="H108" s="163">
        <f>+'Rate Base Detail'!I253-'Rate Base'!H107</f>
        <v>-4249.7311129166665</v>
      </c>
      <c r="I108" s="92">
        <f>SUM(G108:H108)</f>
        <v>-524.91798333333418</v>
      </c>
    </row>
    <row r="109" spans="1:9" s="513" customFormat="1">
      <c r="A109" s="510"/>
      <c r="B109" s="549" t="s">
        <v>3932</v>
      </c>
      <c r="C109" s="512" t="s">
        <v>1141</v>
      </c>
      <c r="D109" s="512"/>
      <c r="E109" s="512"/>
      <c r="F109" s="512"/>
      <c r="G109" s="163">
        <f>SUMIF('Balance Sheet Detail'!$AR:$AR,$B109,'Balance Sheet Detail'!U:U)</f>
        <v>-4721.5901029166334</v>
      </c>
      <c r="H109" s="163">
        <f>SUMIF('Balance Sheet Detail'!$AR:$AR,$B109,'Balance Sheet Detail'!V:V)</f>
        <v>0</v>
      </c>
      <c r="I109" s="548">
        <f>SUM(G109:H109)</f>
        <v>-4721.5901029166334</v>
      </c>
    </row>
    <row r="110" spans="1:9" s="513" customFormat="1">
      <c r="A110" s="510"/>
      <c r="B110" s="549" t="s">
        <v>3925</v>
      </c>
      <c r="C110" s="512" t="s">
        <v>1142</v>
      </c>
      <c r="D110" s="512"/>
      <c r="E110" s="512"/>
      <c r="F110" s="512"/>
      <c r="G110" s="163">
        <f>SUMIF('Balance Sheet Detail'!$AR:$AR,$B110,'Balance Sheet Detail'!U:U)</f>
        <v>0</v>
      </c>
      <c r="H110" s="163">
        <f>SUMIF('Balance Sheet Detail'!$AR:$AR,$B110,'Balance Sheet Detail'!V:V)</f>
        <v>0</v>
      </c>
      <c r="I110" s="548">
        <f>SUM(G110:H110)</f>
        <v>0</v>
      </c>
    </row>
    <row r="111" spans="1:9" s="597" customFormat="1">
      <c r="A111" s="797"/>
      <c r="B111" s="876"/>
      <c r="C111" s="512"/>
      <c r="D111" s="512"/>
      <c r="E111" s="512"/>
      <c r="F111" s="877"/>
      <c r="G111" s="785"/>
      <c r="H111" s="785"/>
      <c r="I111" s="582"/>
    </row>
    <row r="112" spans="1:9" s="597" customFormat="1">
      <c r="A112" s="797" t="s">
        <v>3535</v>
      </c>
      <c r="B112" s="876"/>
      <c r="C112" s="512" t="s">
        <v>3536</v>
      </c>
      <c r="D112" s="512"/>
      <c r="E112" s="512"/>
      <c r="F112" s="877"/>
      <c r="G112" s="582">
        <f>SUM(G105:G111)</f>
        <v>-143279.64987783859</v>
      </c>
      <c r="H112" s="582">
        <f>SUM(H105:H111)</f>
        <v>29181.595571706686</v>
      </c>
      <c r="I112" s="582">
        <f>SUM(G112:H112)</f>
        <v>-114098.0543061319</v>
      </c>
    </row>
    <row r="113" spans="1:9" s="597" customFormat="1">
      <c r="A113" s="797"/>
      <c r="B113" s="876"/>
      <c r="C113" s="512"/>
      <c r="D113" s="512"/>
      <c r="E113" s="512"/>
      <c r="F113" s="877"/>
      <c r="G113" s="785"/>
      <c r="H113" s="785"/>
      <c r="I113" s="582"/>
    </row>
    <row r="114" spans="1:9" s="513" customFormat="1">
      <c r="A114" s="510"/>
      <c r="B114" s="511"/>
      <c r="C114" s="512"/>
      <c r="D114" s="512"/>
      <c r="E114" s="512"/>
      <c r="F114" s="512"/>
      <c r="G114" s="878"/>
      <c r="H114" s="878"/>
      <c r="I114" s="533"/>
    </row>
    <row r="115" spans="1:9" s="513" customFormat="1">
      <c r="A115" s="510"/>
      <c r="B115" s="511" t="s">
        <v>2567</v>
      </c>
      <c r="C115" s="512"/>
      <c r="D115" s="512"/>
      <c r="E115" s="512"/>
      <c r="F115" s="512"/>
      <c r="G115" s="878"/>
      <c r="H115" s="878"/>
      <c r="I115" s="533"/>
    </row>
    <row r="116" spans="1:9" s="513" customFormat="1">
      <c r="A116" s="510"/>
      <c r="B116" s="511"/>
      <c r="C116" s="512"/>
      <c r="D116" s="512"/>
      <c r="E116" s="512"/>
      <c r="F116" s="512"/>
      <c r="G116" s="878"/>
      <c r="H116" s="878"/>
      <c r="I116" s="533"/>
    </row>
    <row r="117" spans="1:9" s="513" customFormat="1">
      <c r="A117" s="510"/>
      <c r="B117" s="876" t="s">
        <v>3537</v>
      </c>
      <c r="C117" s="512"/>
      <c r="D117" s="512"/>
      <c r="E117" s="512"/>
      <c r="F117" s="512"/>
      <c r="G117" s="878"/>
      <c r="H117" s="878"/>
      <c r="I117" s="533"/>
    </row>
    <row r="118" spans="1:9" s="87" customFormat="1">
      <c r="A118" s="879"/>
      <c r="B118" s="880" t="s">
        <v>3538</v>
      </c>
      <c r="C118" s="551" t="s">
        <v>2065</v>
      </c>
      <c r="D118" s="881"/>
      <c r="G118" s="163">
        <f>SUMIF('Balance Sheet Detail'!$AR:$AR,$B118,'Balance Sheet Detail'!U:U)</f>
        <v>-265060.26557124994</v>
      </c>
      <c r="H118" s="163">
        <f>SUMIF('Balance Sheet Detail'!$AR:$AR,$B118,'Balance Sheet Detail'!V:V)</f>
        <v>-104256.51445458333</v>
      </c>
      <c r="I118" s="548">
        <f t="shared" ref="I118" si="12">SUM(G118:H118)</f>
        <v>-369316.78002583329</v>
      </c>
    </row>
    <row r="119" spans="1:9" s="513" customFormat="1">
      <c r="A119" s="510"/>
      <c r="B119" s="550" t="s">
        <v>3539</v>
      </c>
      <c r="C119" s="551" t="s">
        <v>2083</v>
      </c>
      <c r="D119" s="512"/>
      <c r="E119" s="512"/>
      <c r="F119" s="512"/>
      <c r="G119" s="163">
        <f>SUMIF('Balance Sheet Detail'!$AR:$AR,$B119,'Balance Sheet Detail'!U:U)</f>
        <v>9858.7664766666603</v>
      </c>
      <c r="H119" s="163">
        <f>SUMIF('Balance Sheet Detail'!$AR:$AR,$B119,'Balance Sheet Detail'!V:V)</f>
        <v>385.50134958333371</v>
      </c>
      <c r="I119" s="548">
        <f t="shared" ref="I119:I129" si="13">SUM(G119:H119)</f>
        <v>10244.267826249994</v>
      </c>
    </row>
    <row r="120" spans="1:9" s="513" customFormat="1">
      <c r="A120" s="510"/>
      <c r="B120" s="550" t="s">
        <v>3540</v>
      </c>
      <c r="C120" s="551" t="s">
        <v>2141</v>
      </c>
      <c r="D120" s="512"/>
      <c r="E120" s="512"/>
      <c r="F120" s="512"/>
      <c r="G120" s="163">
        <f>SUMIF('Balance Sheet Detail'!$AR:$AR,$B120,'Balance Sheet Detail'!U:U)</f>
        <v>-1973.741171666667</v>
      </c>
      <c r="H120" s="163">
        <f>SUMIF('Balance Sheet Detail'!$AR:$AR,$B120,'Balance Sheet Detail'!V:V)</f>
        <v>0</v>
      </c>
      <c r="I120" s="548">
        <f t="shared" si="13"/>
        <v>-1973.741171666667</v>
      </c>
    </row>
    <row r="121" spans="1:9" s="513" customFormat="1">
      <c r="A121" s="510"/>
      <c r="B121" s="550" t="s">
        <v>3956</v>
      </c>
      <c r="C121" s="551" t="s">
        <v>1632</v>
      </c>
      <c r="D121" s="512"/>
      <c r="E121" s="512"/>
      <c r="F121" s="512"/>
      <c r="G121" s="163">
        <f>SUMIF('Balance Sheet Detail'!$AR:$AR,$B121,'Balance Sheet Detail'!U:U)</f>
        <v>14110.50304083333</v>
      </c>
      <c r="H121" s="163">
        <f>SUMIF('Balance Sheet Detail'!$AR:$AR,$B121,'Balance Sheet Detail'!V:V)</f>
        <v>3306.820791249997</v>
      </c>
      <c r="I121" s="548">
        <f t="shared" si="13"/>
        <v>17417.323832083326</v>
      </c>
    </row>
    <row r="122" spans="1:9" s="513" customFormat="1">
      <c r="A122" s="510"/>
      <c r="B122" s="550" t="s">
        <v>3957</v>
      </c>
      <c r="C122" s="551" t="s">
        <v>2079</v>
      </c>
      <c r="D122" s="512"/>
      <c r="E122" s="512"/>
      <c r="F122" s="512"/>
      <c r="G122" s="163">
        <f>SUMIF('Balance Sheet Detail'!$AR:$AR,$B122,'Balance Sheet Detail'!U:U)</f>
        <v>1987.3838616666671</v>
      </c>
      <c r="H122" s="163">
        <f>SUMIF('Balance Sheet Detail'!$AR:$AR,$B122,'Balance Sheet Detail'!V:V)</f>
        <v>1291.0984000000001</v>
      </c>
      <c r="I122" s="548">
        <f t="shared" si="13"/>
        <v>3278.482261666667</v>
      </c>
    </row>
    <row r="123" spans="1:9" s="513" customFormat="1">
      <c r="A123" s="510"/>
      <c r="B123" s="550" t="s">
        <v>3958</v>
      </c>
      <c r="C123" s="551" t="s">
        <v>2086</v>
      </c>
      <c r="D123" s="512"/>
      <c r="E123" s="512"/>
      <c r="F123" s="512"/>
      <c r="G123" s="163">
        <f>SUMIF('Balance Sheet Detail'!$AR:$AR,$B123,'Balance Sheet Detail'!U:U)</f>
        <v>11549.73086708333</v>
      </c>
      <c r="H123" s="163">
        <f>SUMIF('Balance Sheet Detail'!$AR:$AR,$B123,'Balance Sheet Detail'!V:V)</f>
        <v>3723.8307354166673</v>
      </c>
      <c r="I123" s="548">
        <f t="shared" si="13"/>
        <v>15273.561602499998</v>
      </c>
    </row>
    <row r="124" spans="1:9" s="513" customFormat="1">
      <c r="A124" s="510"/>
      <c r="B124" s="550" t="s">
        <v>3959</v>
      </c>
      <c r="C124" s="551" t="s">
        <v>2112</v>
      </c>
      <c r="D124" s="512"/>
      <c r="E124" s="512"/>
      <c r="F124" s="512"/>
      <c r="G124" s="163">
        <f>SUMIF('Balance Sheet Detail'!$AR:$AR,$B124,'Balance Sheet Detail'!U:U)</f>
        <v>1077.644</v>
      </c>
      <c r="H124" s="163">
        <f>SUMIF('Balance Sheet Detail'!$AR:$AR,$B124,'Balance Sheet Detail'!V:V)</f>
        <v>0</v>
      </c>
      <c r="I124" s="548">
        <f t="shared" si="13"/>
        <v>1077.644</v>
      </c>
    </row>
    <row r="125" spans="1:9" s="513" customFormat="1">
      <c r="A125" s="510"/>
      <c r="B125" s="550" t="s">
        <v>3541</v>
      </c>
      <c r="C125" s="551" t="s">
        <v>2125</v>
      </c>
      <c r="D125" s="512"/>
      <c r="E125" s="512"/>
      <c r="F125" s="512"/>
      <c r="G125" s="163">
        <f>SUMIF('Balance Sheet Detail'!$AR:$AR,$B125,'Balance Sheet Detail'!U:U)</f>
        <v>0</v>
      </c>
      <c r="H125" s="163">
        <f>SUMIF('Balance Sheet Detail'!$AR:$AR,$B125,'Balance Sheet Detail'!V:V)</f>
        <v>0</v>
      </c>
      <c r="I125" s="548">
        <f t="shared" si="13"/>
        <v>0</v>
      </c>
    </row>
    <row r="126" spans="1:9" s="513" customFormat="1">
      <c r="A126" s="510"/>
      <c r="B126" s="550" t="s">
        <v>3542</v>
      </c>
      <c r="C126" s="551" t="s">
        <v>2233</v>
      </c>
      <c r="D126" s="512"/>
      <c r="E126" s="512"/>
      <c r="F126" s="512"/>
      <c r="G126" s="163">
        <f>SUMIF('Balance Sheet Detail'!$AR:$AR,$B126,'Balance Sheet Detail'!U:U)</f>
        <v>-11869.6053875</v>
      </c>
      <c r="H126" s="163">
        <f>SUMIF('Balance Sheet Detail'!$AR:$AR,$B126,'Balance Sheet Detail'!V:V)</f>
        <v>-1163.3285629166701</v>
      </c>
      <c r="I126" s="548">
        <f t="shared" si="13"/>
        <v>-13032.933950416669</v>
      </c>
    </row>
    <row r="127" spans="1:9" s="513" customFormat="1">
      <c r="A127" s="510"/>
      <c r="B127" s="550" t="s">
        <v>3960</v>
      </c>
      <c r="C127" s="551" t="s">
        <v>2103</v>
      </c>
      <c r="D127" s="512"/>
      <c r="E127" s="512"/>
      <c r="F127" s="512"/>
      <c r="G127" s="163">
        <f>SUMIF('Balance Sheet Detail'!$AR:$AR,$B127,'Balance Sheet Detail'!U:U)</f>
        <v>-6377.8862254166697</v>
      </c>
      <c r="H127" s="163">
        <f>SUMIF('Balance Sheet Detail'!$AR:$AR,$B127,'Balance Sheet Detail'!V:V)</f>
        <v>0</v>
      </c>
      <c r="I127" s="548">
        <f t="shared" si="13"/>
        <v>-6377.8862254166697</v>
      </c>
    </row>
    <row r="128" spans="1:9" s="513" customFormat="1">
      <c r="A128" s="510"/>
      <c r="B128" s="550" t="s">
        <v>3961</v>
      </c>
      <c r="C128" s="551" t="s">
        <v>2092</v>
      </c>
      <c r="D128" s="512"/>
      <c r="E128" s="512"/>
      <c r="F128" s="512"/>
      <c r="G128" s="163">
        <f>SUMIF('Balance Sheet Detail'!$AR:$AR,$B128,'Balance Sheet Detail'!U:U)</f>
        <v>-13893.752963333331</v>
      </c>
      <c r="H128" s="163">
        <f>SUMIF('Balance Sheet Detail'!$AR:$AR,$B128,'Balance Sheet Detail'!V:V)</f>
        <v>-5279.5231541666699</v>
      </c>
      <c r="I128" s="548">
        <f t="shared" si="13"/>
        <v>-19173.276117500001</v>
      </c>
    </row>
    <row r="129" spans="1:9" s="513" customFormat="1">
      <c r="A129" s="510"/>
      <c r="B129" s="550" t="s">
        <v>3962</v>
      </c>
      <c r="C129" s="551" t="s">
        <v>2249</v>
      </c>
      <c r="D129" s="512"/>
      <c r="E129" s="512"/>
      <c r="F129" s="512"/>
      <c r="G129" s="163">
        <f>SUMIF('Balance Sheet Detail'!$AR:$AR,$B129,'Balance Sheet Detail'!U:U)</f>
        <v>-13801.777978749971</v>
      </c>
      <c r="H129" s="163">
        <f>SUMIF('Balance Sheet Detail'!$AR:$AR,$B129,'Balance Sheet Detail'!V:V)</f>
        <v>-1367.8963462499992</v>
      </c>
      <c r="I129" s="548">
        <f t="shared" si="13"/>
        <v>-15169.674324999971</v>
      </c>
    </row>
    <row r="130" spans="1:9" s="513" customFormat="1">
      <c r="A130" s="510"/>
      <c r="B130" s="550"/>
      <c r="C130" s="551"/>
      <c r="D130" s="512"/>
      <c r="E130" s="512"/>
      <c r="F130" s="512"/>
      <c r="G130" s="163"/>
      <c r="H130" s="163"/>
      <c r="I130" s="548"/>
    </row>
    <row r="131" spans="1:9" s="513" customFormat="1">
      <c r="A131" s="510"/>
      <c r="B131" s="876" t="s">
        <v>3543</v>
      </c>
      <c r="C131" s="551"/>
      <c r="D131" s="512"/>
      <c r="E131" s="512"/>
      <c r="F131" s="512"/>
      <c r="G131" s="163"/>
      <c r="H131" s="163"/>
      <c r="I131" s="548"/>
    </row>
    <row r="132" spans="1:9" s="92" customFormat="1">
      <c r="A132" s="882"/>
      <c r="B132" s="883" t="s">
        <v>4348</v>
      </c>
      <c r="C132" s="551" t="s">
        <v>814</v>
      </c>
      <c r="E132" s="884"/>
      <c r="G132" s="163">
        <f>SUMIF('Balance Sheet Detail'!$AR:$AR,$B132,'Balance Sheet Detail'!U:U)</f>
        <v>32.540520000000001</v>
      </c>
      <c r="H132" s="163">
        <f>SUMIF('Balance Sheet Detail'!$AR:$AR,$B132,'Balance Sheet Detail'!V:V)</f>
        <v>19.972229999999996</v>
      </c>
      <c r="I132" s="548">
        <f t="shared" ref="I132:I193" si="14">SUM(G132:H132)</f>
        <v>52.512749999999997</v>
      </c>
    </row>
    <row r="133" spans="1:9" s="513" customFormat="1">
      <c r="A133" s="510"/>
      <c r="B133" s="550" t="s">
        <v>3963</v>
      </c>
      <c r="C133" s="551" t="s">
        <v>2009</v>
      </c>
      <c r="D133" s="512"/>
      <c r="E133" s="512"/>
      <c r="F133" s="512"/>
      <c r="G133" s="163">
        <f>SUMIF('Balance Sheet Detail'!$AR:$AR,$B133,'Balance Sheet Detail'!U:U)</f>
        <v>0</v>
      </c>
      <c r="H133" s="163">
        <f>SUMIF('Balance Sheet Detail'!$AR:$AR,$B133,'Balance Sheet Detail'!V:V)</f>
        <v>0</v>
      </c>
      <c r="I133" s="548">
        <f t="shared" si="14"/>
        <v>0</v>
      </c>
    </row>
    <row r="134" spans="1:9" s="513" customFormat="1">
      <c r="A134" s="510"/>
      <c r="B134" s="550" t="s">
        <v>4031</v>
      </c>
      <c r="C134" s="551" t="s">
        <v>1824</v>
      </c>
      <c r="D134" s="512"/>
      <c r="E134" s="512"/>
      <c r="F134" s="512"/>
      <c r="G134" s="163">
        <f>SUMIF('Balance Sheet Detail'!$AR:$AR,$B134,'Balance Sheet Detail'!U:U)</f>
        <v>274.40183252208402</v>
      </c>
      <c r="H134" s="163">
        <f>SUMIF('Balance Sheet Detail'!$AR:$AR,$B134,'Balance Sheet Detail'!V:V)</f>
        <v>95.661326644583397</v>
      </c>
      <c r="I134" s="548">
        <f t="shared" ref="I134" si="15">SUM(G134:H134)</f>
        <v>370.06315916666745</v>
      </c>
    </row>
    <row r="135" spans="1:9" s="513" customFormat="1">
      <c r="A135" s="510"/>
      <c r="B135" s="550"/>
      <c r="C135" s="551"/>
      <c r="D135" s="512"/>
      <c r="E135" s="512"/>
      <c r="F135" s="512"/>
      <c r="G135" s="163"/>
      <c r="H135" s="163"/>
      <c r="I135" s="548"/>
    </row>
    <row r="136" spans="1:9" s="513" customFormat="1">
      <c r="A136" s="510"/>
      <c r="B136" s="550" t="s">
        <v>3964</v>
      </c>
      <c r="C136" s="551" t="s">
        <v>1140</v>
      </c>
      <c r="D136" s="512"/>
      <c r="E136" s="512"/>
      <c r="F136" s="512"/>
      <c r="G136" s="163">
        <f>SUMIF('Balance Sheet Detail'!$AR:$AR,$B136,'Balance Sheet Detail'!U:U)</f>
        <v>2325.67904</v>
      </c>
      <c r="H136" s="163">
        <f>SUMIF('Balance Sheet Detail'!$AR:$AR,$B136,'Balance Sheet Detail'!V:V)</f>
        <v>0</v>
      </c>
      <c r="I136" s="548">
        <f t="shared" si="14"/>
        <v>2325.67904</v>
      </c>
    </row>
    <row r="137" spans="1:9" s="513" customFormat="1">
      <c r="A137" s="510"/>
      <c r="B137" s="550" t="s">
        <v>3965</v>
      </c>
      <c r="C137" s="551" t="s">
        <v>1330</v>
      </c>
      <c r="D137" s="512"/>
      <c r="E137" s="512"/>
      <c r="F137" s="512"/>
      <c r="G137" s="163">
        <f>SUMIF('Balance Sheet Detail'!$AR:$AR,$B137,'Balance Sheet Detail'!U:U)</f>
        <v>0</v>
      </c>
      <c r="H137" s="163">
        <f>SUMIF('Balance Sheet Detail'!$AR:$AR,$B137,'Balance Sheet Detail'!V:V)</f>
        <v>0</v>
      </c>
      <c r="I137" s="548">
        <f t="shared" si="14"/>
        <v>0</v>
      </c>
    </row>
    <row r="138" spans="1:9" s="513" customFormat="1">
      <c r="A138" s="510"/>
      <c r="B138" s="550" t="s">
        <v>3966</v>
      </c>
      <c r="C138" s="551" t="s">
        <v>1890</v>
      </c>
      <c r="D138" s="512"/>
      <c r="E138" s="512"/>
      <c r="F138" s="512"/>
      <c r="G138" s="163">
        <f>SUMIF('Balance Sheet Detail'!$AR:$AR,$B138,'Balance Sheet Detail'!U:U)</f>
        <v>4531.0083699999996</v>
      </c>
      <c r="H138" s="163">
        <f>SUMIF('Balance Sheet Detail'!$AR:$AR,$B138,'Balance Sheet Detail'!V:V)</f>
        <v>0</v>
      </c>
      <c r="I138" s="548">
        <f t="shared" si="14"/>
        <v>4531.0083699999996</v>
      </c>
    </row>
    <row r="139" spans="1:9" s="513" customFormat="1">
      <c r="A139" s="510"/>
      <c r="B139" s="550" t="s">
        <v>3967</v>
      </c>
      <c r="C139" s="551" t="s">
        <v>1186</v>
      </c>
      <c r="D139" s="512"/>
      <c r="E139" s="512"/>
      <c r="F139" s="512"/>
      <c r="G139" s="163">
        <f>SUMIF('Balance Sheet Detail'!$AR:$AR,$B139,'Balance Sheet Detail'!U:U)</f>
        <v>0</v>
      </c>
      <c r="H139" s="163">
        <f>SUMIF('Balance Sheet Detail'!$AR:$AR,$B139,'Balance Sheet Detail'!V:V)</f>
        <v>0</v>
      </c>
      <c r="I139" s="548">
        <f t="shared" si="14"/>
        <v>0</v>
      </c>
    </row>
    <row r="140" spans="1:9" s="513" customFormat="1">
      <c r="A140" s="510"/>
      <c r="B140" s="550" t="s">
        <v>3968</v>
      </c>
      <c r="C140" s="551" t="s">
        <v>819</v>
      </c>
      <c r="D140" s="512"/>
      <c r="E140" s="512"/>
      <c r="F140" s="512"/>
      <c r="G140" s="163">
        <f>SUMIF('Balance Sheet Detail'!$AR:$AR,$B140,'Balance Sheet Detail'!U:U)</f>
        <v>-1347.23893</v>
      </c>
      <c r="H140" s="163">
        <f>SUMIF('Balance Sheet Detail'!$AR:$AR,$B140,'Balance Sheet Detail'!V:V)</f>
        <v>-305.40353999999996</v>
      </c>
      <c r="I140" s="548">
        <f t="shared" si="14"/>
        <v>-1652.64247</v>
      </c>
    </row>
    <row r="141" spans="1:9" s="513" customFormat="1">
      <c r="A141" s="510"/>
      <c r="B141" s="550" t="s">
        <v>4417</v>
      </c>
      <c r="C141" s="551" t="s">
        <v>4342</v>
      </c>
      <c r="D141" s="512"/>
      <c r="E141" s="512"/>
      <c r="F141" s="512"/>
      <c r="G141" s="163">
        <f>SUMIF('Balance Sheet Detail'!$AR:$AR,$B141,'Balance Sheet Detail'!U:U)</f>
        <v>3681.8566070833367</v>
      </c>
      <c r="H141" s="163">
        <f>SUMIF('Balance Sheet Detail'!$AR:$AR,$B141,'Balance Sheet Detail'!V:V)</f>
        <v>-378.34251333333299</v>
      </c>
      <c r="I141" s="548">
        <f t="shared" ref="I141" si="16">SUM(G141:H141)</f>
        <v>3303.5140937500037</v>
      </c>
    </row>
    <row r="142" spans="1:9" s="513" customFormat="1">
      <c r="A142" s="510"/>
      <c r="B142" s="550" t="s">
        <v>3544</v>
      </c>
      <c r="C142" s="551" t="s">
        <v>820</v>
      </c>
      <c r="D142" s="512"/>
      <c r="E142" s="512"/>
      <c r="F142" s="512"/>
      <c r="G142" s="163">
        <f>SUMIF('Balance Sheet Detail'!$AR:$AR,$B142,'Balance Sheet Detail'!U:U)</f>
        <v>-41.4345</v>
      </c>
      <c r="H142" s="163">
        <f>SUMIF('Balance Sheet Detail'!$AR:$AR,$B142,'Balance Sheet Detail'!V:V)</f>
        <v>-44.973610000000001</v>
      </c>
      <c r="I142" s="548">
        <f t="shared" si="14"/>
        <v>-86.408109999999994</v>
      </c>
    </row>
    <row r="143" spans="1:9" s="513" customFormat="1">
      <c r="A143" s="510"/>
      <c r="B143" s="550" t="s">
        <v>3969</v>
      </c>
      <c r="C143" s="551" t="s">
        <v>1174</v>
      </c>
      <c r="D143" s="512"/>
      <c r="E143" s="512"/>
      <c r="F143" s="512"/>
      <c r="G143" s="163">
        <f>SUMIF('Balance Sheet Detail'!$AR:$AR,$B143,'Balance Sheet Detail'!U:U)</f>
        <v>0</v>
      </c>
      <c r="H143" s="163">
        <f>SUMIF('Balance Sheet Detail'!$AR:$AR,$B143,'Balance Sheet Detail'!V:V)</f>
        <v>0</v>
      </c>
      <c r="I143" s="548">
        <f t="shared" si="14"/>
        <v>0</v>
      </c>
    </row>
    <row r="144" spans="1:9" s="513" customFormat="1">
      <c r="A144" s="510"/>
      <c r="B144" s="550" t="s">
        <v>3970</v>
      </c>
      <c r="C144" s="551" t="s">
        <v>1309</v>
      </c>
      <c r="D144" s="512"/>
      <c r="E144" s="512"/>
      <c r="F144" s="512"/>
      <c r="G144" s="163">
        <f>SUMIF('Balance Sheet Detail'!$AR:$AR,$B144,'Balance Sheet Detail'!U:U)</f>
        <v>0</v>
      </c>
      <c r="H144" s="163">
        <f>SUMIF('Balance Sheet Detail'!$AR:$AR,$B144,'Balance Sheet Detail'!V:V)</f>
        <v>0</v>
      </c>
      <c r="I144" s="548">
        <f t="shared" si="14"/>
        <v>0</v>
      </c>
    </row>
    <row r="145" spans="1:9" s="513" customFormat="1">
      <c r="A145" s="510"/>
      <c r="B145" s="550"/>
      <c r="C145" s="551"/>
      <c r="D145" s="512"/>
      <c r="E145" s="512"/>
      <c r="F145" s="512"/>
      <c r="G145" s="163"/>
      <c r="H145" s="163"/>
      <c r="I145" s="548"/>
    </row>
    <row r="146" spans="1:9" s="513" customFormat="1">
      <c r="A146" s="510"/>
      <c r="B146" s="550" t="s">
        <v>3971</v>
      </c>
      <c r="C146" s="551" t="s">
        <v>1127</v>
      </c>
      <c r="D146" s="512"/>
      <c r="E146" s="512"/>
      <c r="F146" s="512"/>
      <c r="G146" s="163">
        <f>SUMIF('Balance Sheet Detail'!$AR:$AR,$B146,'Balance Sheet Detail'!U:U)</f>
        <v>-143.44158833333302</v>
      </c>
      <c r="H146" s="163">
        <f>SUMIF('Balance Sheet Detail'!$AR:$AR,$B146,'Balance Sheet Detail'!V:V)</f>
        <v>0</v>
      </c>
      <c r="I146" s="548">
        <f t="shared" si="14"/>
        <v>-143.44158833333302</v>
      </c>
    </row>
    <row r="147" spans="1:9" s="513" customFormat="1">
      <c r="A147" s="510"/>
      <c r="B147" s="550" t="s">
        <v>3545</v>
      </c>
      <c r="C147" s="551" t="s">
        <v>1134</v>
      </c>
      <c r="D147" s="512"/>
      <c r="E147" s="512"/>
      <c r="F147" s="512"/>
      <c r="G147" s="163">
        <f>SUMIF('Balance Sheet Detail'!$AR:$AR,$B147,'Balance Sheet Detail'!U:U)</f>
        <v>0</v>
      </c>
      <c r="H147" s="163">
        <f>SUMIF('Balance Sheet Detail'!$AR:$AR,$B147,'Balance Sheet Detail'!V:V)</f>
        <v>0</v>
      </c>
      <c r="I147" s="548">
        <f t="shared" si="14"/>
        <v>0</v>
      </c>
    </row>
    <row r="148" spans="1:9" s="513" customFormat="1">
      <c r="A148" s="510"/>
      <c r="B148" s="550" t="s">
        <v>3972</v>
      </c>
      <c r="C148" s="551" t="s">
        <v>1487</v>
      </c>
      <c r="D148" s="512"/>
      <c r="E148" s="512"/>
      <c r="F148" s="512"/>
      <c r="G148" s="163">
        <f>SUMIF('Balance Sheet Detail'!$AR:$AR,$B148,'Balance Sheet Detail'!U:U)</f>
        <v>509.85547000000003</v>
      </c>
      <c r="H148" s="163">
        <f>SUMIF('Balance Sheet Detail'!$AR:$AR,$B148,'Balance Sheet Detail'!V:V)</f>
        <v>-140.52269125000001</v>
      </c>
      <c r="I148" s="548">
        <f t="shared" si="14"/>
        <v>369.33277874999999</v>
      </c>
    </row>
    <row r="149" spans="1:9" s="513" customFormat="1">
      <c r="A149" s="510"/>
      <c r="B149" s="550" t="s">
        <v>3973</v>
      </c>
      <c r="C149" s="551" t="s">
        <v>1586</v>
      </c>
      <c r="D149" s="512"/>
      <c r="E149" s="512"/>
      <c r="F149" s="512"/>
      <c r="G149" s="163">
        <f>SUMIF('Balance Sheet Detail'!$AR:$AR,$B149,'Balance Sheet Detail'!U:U)</f>
        <v>2692.4832558333333</v>
      </c>
      <c r="H149" s="163">
        <f>SUMIF('Balance Sheet Detail'!$AR:$AR,$B149,'Balance Sheet Detail'!V:V)</f>
        <v>603.13767749999965</v>
      </c>
      <c r="I149" s="548">
        <f t="shared" si="14"/>
        <v>3295.6209333333327</v>
      </c>
    </row>
    <row r="150" spans="1:9" s="513" customFormat="1">
      <c r="A150" s="510"/>
      <c r="B150" s="550" t="s">
        <v>4379</v>
      </c>
      <c r="C150" s="551" t="s">
        <v>4377</v>
      </c>
      <c r="D150" s="512"/>
      <c r="E150" s="512"/>
      <c r="F150" s="512"/>
      <c r="G150" s="163">
        <f>SUMIF('Balance Sheet Detail'!$AR:$AR,$B150,'Balance Sheet Detail'!U:U)</f>
        <v>-11399.270673749999</v>
      </c>
      <c r="H150" s="163">
        <f>SUMIF('Balance Sheet Detail'!$AR:$AR,$B150,'Balance Sheet Detail'!V:V)</f>
        <v>-9276.9135595833395</v>
      </c>
      <c r="I150" s="548">
        <f t="shared" ref="I150:I153" si="17">SUM(G150:H150)</f>
        <v>-20676.184233333341</v>
      </c>
    </row>
    <row r="151" spans="1:9" s="513" customFormat="1">
      <c r="A151" s="510"/>
      <c r="B151" s="550" t="s">
        <v>3974</v>
      </c>
      <c r="C151" s="551" t="s">
        <v>1142</v>
      </c>
      <c r="D151" s="512"/>
      <c r="E151" s="512"/>
      <c r="F151" s="512"/>
      <c r="G151" s="163">
        <f>SUMIF('Balance Sheet Detail'!$AR:$AR,$B151,'Balance Sheet Detail'!U:U)</f>
        <v>0</v>
      </c>
      <c r="H151" s="163">
        <f>SUMIF('Balance Sheet Detail'!$AR:$AR,$B151,'Balance Sheet Detail'!V:V)</f>
        <v>0</v>
      </c>
      <c r="I151" s="548">
        <f t="shared" si="17"/>
        <v>0</v>
      </c>
    </row>
    <row r="152" spans="1:9" s="513" customFormat="1">
      <c r="A152" s="510"/>
      <c r="B152" s="550" t="s">
        <v>3975</v>
      </c>
      <c r="C152" s="551" t="s">
        <v>1132</v>
      </c>
      <c r="D152" s="512"/>
      <c r="E152" s="512"/>
      <c r="F152" s="512"/>
      <c r="G152" s="163">
        <f>SUMIF('Balance Sheet Detail'!$AR:$AR,$B152,'Balance Sheet Detail'!U:U)</f>
        <v>0</v>
      </c>
      <c r="H152" s="163">
        <f>SUMIF('Balance Sheet Detail'!$AR:$AR,$B152,'Balance Sheet Detail'!V:V)</f>
        <v>119.8196283333333</v>
      </c>
      <c r="I152" s="548">
        <f t="shared" si="17"/>
        <v>119.8196283333333</v>
      </c>
    </row>
    <row r="153" spans="1:9" s="513" customFormat="1">
      <c r="A153" s="510"/>
      <c r="B153" s="550" t="s">
        <v>4094</v>
      </c>
      <c r="C153" s="551" t="s">
        <v>2880</v>
      </c>
      <c r="D153" s="512"/>
      <c r="E153" s="512"/>
      <c r="F153" s="512"/>
      <c r="G153" s="163">
        <f>SUMIF('Balance Sheet Detail'!$AR:$AR,$B153,'Balance Sheet Detail'!U:U)</f>
        <v>0</v>
      </c>
      <c r="H153" s="163">
        <f>SUMIF('Balance Sheet Detail'!$AR:$AR,$B153,'Balance Sheet Detail'!V:V)</f>
        <v>0</v>
      </c>
      <c r="I153" s="548">
        <f t="shared" si="17"/>
        <v>0</v>
      </c>
    </row>
    <row r="154" spans="1:9" s="513" customFormat="1">
      <c r="A154" s="510"/>
      <c r="B154" s="550" t="s">
        <v>3976</v>
      </c>
      <c r="C154" s="551" t="s">
        <v>2173</v>
      </c>
      <c r="D154" s="512"/>
      <c r="E154" s="512"/>
      <c r="F154" s="512"/>
      <c r="G154" s="163">
        <f>SUMIF('Balance Sheet Detail'!$AR:$AR,$B154,'Balance Sheet Detail'!U:U)</f>
        <v>891.97393999999997</v>
      </c>
      <c r="H154" s="163">
        <f>SUMIF('Balance Sheet Detail'!$AR:$AR,$B154,'Balance Sheet Detail'!V:V)</f>
        <v>0</v>
      </c>
      <c r="I154" s="548">
        <f t="shared" si="14"/>
        <v>891.97393999999997</v>
      </c>
    </row>
    <row r="155" spans="1:9" s="513" customFormat="1">
      <c r="A155" s="510"/>
      <c r="B155" s="550" t="s">
        <v>3977</v>
      </c>
      <c r="C155" s="551" t="s">
        <v>1313</v>
      </c>
      <c r="D155" s="512"/>
      <c r="E155" s="512"/>
      <c r="F155" s="512"/>
      <c r="G155" s="163">
        <f>SUMIF('Balance Sheet Detail'!$AR:$AR,$B155,'Balance Sheet Detail'!U:U)</f>
        <v>-95.347999999999999</v>
      </c>
      <c r="H155" s="163">
        <f>SUMIF('Balance Sheet Detail'!$AR:$AR,$B155,'Balance Sheet Detail'!V:V)</f>
        <v>0</v>
      </c>
      <c r="I155" s="548">
        <f t="shared" si="14"/>
        <v>-95.347999999999999</v>
      </c>
    </row>
    <row r="156" spans="1:9" s="513" customFormat="1">
      <c r="A156" s="510"/>
      <c r="B156" s="550" t="s">
        <v>3978</v>
      </c>
      <c r="C156" s="551" t="s">
        <v>1325</v>
      </c>
      <c r="D156" s="512"/>
      <c r="E156" s="512"/>
      <c r="F156" s="512"/>
      <c r="G156" s="163">
        <f>SUMIF('Balance Sheet Detail'!$AR:$AR,$B156,'Balance Sheet Detail'!U:U)</f>
        <v>0</v>
      </c>
      <c r="H156" s="163">
        <f>SUMIF('Balance Sheet Detail'!$AR:$AR,$B156,'Balance Sheet Detail'!V:V)</f>
        <v>0</v>
      </c>
      <c r="I156" s="548">
        <f t="shared" si="14"/>
        <v>0</v>
      </c>
    </row>
    <row r="157" spans="1:9" s="513" customFormat="1">
      <c r="A157" s="510"/>
      <c r="B157" s="550" t="s">
        <v>3979</v>
      </c>
      <c r="C157" s="551" t="s">
        <v>1118</v>
      </c>
      <c r="D157" s="512"/>
      <c r="E157" s="512"/>
      <c r="F157" s="512"/>
      <c r="G157" s="163">
        <f>SUMIF('Balance Sheet Detail'!$AR:$AR,$B157,'Balance Sheet Detail'!U:U)</f>
        <v>51.383085416666738</v>
      </c>
      <c r="H157" s="163">
        <f>SUMIF('Balance Sheet Detail'!$AR:$AR,$B157,'Balance Sheet Detail'!V:V)</f>
        <v>114.6893454166667</v>
      </c>
      <c r="I157" s="548">
        <f t="shared" si="14"/>
        <v>166.07243083333344</v>
      </c>
    </row>
    <row r="158" spans="1:9" s="513" customFormat="1">
      <c r="A158" s="510"/>
      <c r="B158" s="550" t="s">
        <v>3980</v>
      </c>
      <c r="C158" s="551" t="s">
        <v>999</v>
      </c>
      <c r="D158" s="512"/>
      <c r="E158" s="512"/>
      <c r="F158" s="512"/>
      <c r="G158" s="163">
        <f>SUMIF('Balance Sheet Detail'!$AR:$AR,$B158,'Balance Sheet Detail'!U:U)</f>
        <v>0</v>
      </c>
      <c r="H158" s="163">
        <f>SUMIF('Balance Sheet Detail'!$AR:$AR,$B158,'Balance Sheet Detail'!V:V)</f>
        <v>0</v>
      </c>
      <c r="I158" s="548">
        <f t="shared" si="14"/>
        <v>0</v>
      </c>
    </row>
    <row r="159" spans="1:9" s="513" customFormat="1">
      <c r="A159" s="510"/>
      <c r="B159" s="550" t="s">
        <v>3955</v>
      </c>
      <c r="C159" s="551" t="s">
        <v>1234</v>
      </c>
      <c r="D159" s="512"/>
      <c r="E159" s="512"/>
      <c r="F159" s="512"/>
      <c r="G159" s="163">
        <f>SUMIF('Balance Sheet Detail'!$AR:$AR,$B159,'Balance Sheet Detail'!U:U)</f>
        <v>0</v>
      </c>
      <c r="H159" s="163">
        <f>SUMIF('Balance Sheet Detail'!$AR:$AR,$B159,'Balance Sheet Detail'!V:V)</f>
        <v>1300.3759229166701</v>
      </c>
      <c r="I159" s="548">
        <f t="shared" si="14"/>
        <v>1300.3759229166701</v>
      </c>
    </row>
    <row r="160" spans="1:9" s="513" customFormat="1">
      <c r="A160" s="510"/>
      <c r="B160" s="550" t="s">
        <v>3981</v>
      </c>
      <c r="C160" s="551" t="s">
        <v>2201</v>
      </c>
      <c r="D160" s="512"/>
      <c r="E160" s="512"/>
      <c r="F160" s="512"/>
      <c r="G160" s="163">
        <f>SUMIF('Balance Sheet Detail'!$AR:$AR,$B160,'Balance Sheet Detail'!U:U)</f>
        <v>-1397.0022179166699</v>
      </c>
      <c r="H160" s="163">
        <f>SUMIF('Balance Sheet Detail'!$AR:$AR,$B160,'Balance Sheet Detail'!V:V)</f>
        <v>-254.11084541666668</v>
      </c>
      <c r="I160" s="548">
        <f t="shared" si="14"/>
        <v>-1651.1130633333366</v>
      </c>
    </row>
    <row r="161" spans="1:9" s="513" customFormat="1">
      <c r="A161" s="510"/>
      <c r="B161" s="550" t="s">
        <v>3982</v>
      </c>
      <c r="C161" s="551" t="s">
        <v>1141</v>
      </c>
      <c r="D161" s="512"/>
      <c r="E161" s="512"/>
      <c r="F161" s="512"/>
      <c r="G161" s="163">
        <f>SUMIF('Balance Sheet Detail'!$AR:$AR,$B161,'Balance Sheet Detail'!U:U)</f>
        <v>1752.019261250003</v>
      </c>
      <c r="H161" s="163">
        <f>SUMIF('Balance Sheet Detail'!$AR:$AR,$B161,'Balance Sheet Detail'!V:V)</f>
        <v>0</v>
      </c>
      <c r="I161" s="548">
        <f t="shared" si="14"/>
        <v>1752.019261250003</v>
      </c>
    </row>
    <row r="162" spans="1:9" s="513" customFormat="1">
      <c r="A162" s="510"/>
      <c r="B162" s="550" t="s">
        <v>4402</v>
      </c>
      <c r="C162" s="551" t="s">
        <v>4103</v>
      </c>
      <c r="D162" s="512"/>
      <c r="E162" s="512"/>
      <c r="F162" s="512"/>
      <c r="G162" s="163">
        <f>SUMIF('Balance Sheet Detail'!$AR:$AR,$B162,'Balance Sheet Detail'!U:U)</f>
        <v>3824.1991599999997</v>
      </c>
      <c r="H162" s="163">
        <f>SUMIF('Balance Sheet Detail'!$AR:$AR,$B162,'Balance Sheet Detail'!V:V)</f>
        <v>40.332129999999999</v>
      </c>
      <c r="I162" s="548">
        <f t="shared" ref="I162" si="18">SUM(G162:H162)</f>
        <v>3864.5312899999994</v>
      </c>
    </row>
    <row r="163" spans="1:9" s="513" customFormat="1">
      <c r="A163" s="510"/>
      <c r="B163" s="550" t="s">
        <v>3983</v>
      </c>
      <c r="C163" s="551" t="s">
        <v>1145</v>
      </c>
      <c r="D163" s="512"/>
      <c r="E163" s="512"/>
      <c r="F163" s="512"/>
      <c r="G163" s="163">
        <f>SUMIF('Balance Sheet Detail'!$AR:$AR,$B163,'Balance Sheet Detail'!U:U)</f>
        <v>2854.6476925000034</v>
      </c>
      <c r="H163" s="163">
        <f>SUMIF('Balance Sheet Detail'!$AR:$AR,$B163,'Balance Sheet Detail'!V:V)</f>
        <v>0</v>
      </c>
      <c r="I163" s="548">
        <f t="shared" si="14"/>
        <v>2854.6476925000034</v>
      </c>
    </row>
    <row r="164" spans="1:9" s="513" customFormat="1">
      <c r="A164" s="510"/>
      <c r="B164" s="550"/>
      <c r="C164" s="885" t="s">
        <v>4456</v>
      </c>
      <c r="D164" s="512"/>
      <c r="E164" s="512"/>
      <c r="F164" s="512"/>
      <c r="G164" s="163">
        <f>SUMIF('Balance Sheet Detail'!$AR:$AR,$B164,'Balance Sheet Detail'!U:U)</f>
        <v>0</v>
      </c>
      <c r="H164" s="163">
        <f>SUMIF('Balance Sheet Detail'!$AR:$AR,$B164,'Balance Sheet Detail'!V:V)</f>
        <v>0</v>
      </c>
      <c r="I164" s="548">
        <f t="shared" ref="I164" si="19">SUM(G164:H164)</f>
        <v>0</v>
      </c>
    </row>
    <row r="165" spans="1:9" s="513" customFormat="1">
      <c r="A165" s="510"/>
      <c r="B165" s="550" t="s">
        <v>3984</v>
      </c>
      <c r="C165" s="551" t="s">
        <v>1857</v>
      </c>
      <c r="D165" s="512"/>
      <c r="E165" s="512"/>
      <c r="F165" s="512"/>
      <c r="G165" s="163">
        <f>SUMIF('Balance Sheet Detail'!$AR:$AR,$B165,'Balance Sheet Detail'!U:U)</f>
        <v>0</v>
      </c>
      <c r="H165" s="163">
        <f>SUMIF('Balance Sheet Detail'!$AR:$AR,$B165,'Balance Sheet Detail'!V:V)</f>
        <v>0</v>
      </c>
      <c r="I165" s="548">
        <f t="shared" si="14"/>
        <v>0</v>
      </c>
    </row>
    <row r="166" spans="1:9" s="513" customFormat="1">
      <c r="A166" s="510"/>
      <c r="B166" s="550" t="s">
        <v>3985</v>
      </c>
      <c r="C166" s="551" t="s">
        <v>1995</v>
      </c>
      <c r="D166" s="512"/>
      <c r="E166" s="512"/>
      <c r="F166" s="512"/>
      <c r="G166" s="163">
        <f>SUMIF('Balance Sheet Detail'!$AR:$AR,$B166,'Balance Sheet Detail'!U:U)</f>
        <v>-582.00839999999994</v>
      </c>
      <c r="H166" s="163">
        <f>SUMIF('Balance Sheet Detail'!$AR:$AR,$B166,'Balance Sheet Detail'!V:V)</f>
        <v>-220.3539170833333</v>
      </c>
      <c r="I166" s="548">
        <f t="shared" si="14"/>
        <v>-802.36231708333321</v>
      </c>
    </row>
    <row r="167" spans="1:9" s="513" customFormat="1">
      <c r="A167" s="510"/>
      <c r="B167" s="550" t="s">
        <v>3986</v>
      </c>
      <c r="C167" s="551" t="s">
        <v>1126</v>
      </c>
      <c r="D167" s="512"/>
      <c r="E167" s="512"/>
      <c r="F167" s="512"/>
      <c r="G167" s="163">
        <f>SUMIF('Balance Sheet Detail'!$AR:$AR,$B167,'Balance Sheet Detail'!U:U)</f>
        <v>72.055729999999997</v>
      </c>
      <c r="H167" s="163">
        <f>SUMIF('Balance Sheet Detail'!$AR:$AR,$B167,'Balance Sheet Detail'!V:V)</f>
        <v>44.037860000000002</v>
      </c>
      <c r="I167" s="548">
        <f t="shared" si="14"/>
        <v>116.09359000000001</v>
      </c>
    </row>
    <row r="168" spans="1:9" s="513" customFormat="1">
      <c r="A168" s="510"/>
      <c r="B168" s="550" t="s">
        <v>3987</v>
      </c>
      <c r="C168" s="551" t="s">
        <v>1125</v>
      </c>
      <c r="D168" s="512"/>
      <c r="E168" s="512"/>
      <c r="F168" s="512"/>
      <c r="G168" s="163">
        <f>SUMIF('Balance Sheet Detail'!$AR:$AR,$B168,'Balance Sheet Detail'!U:U)</f>
        <v>126.40735000000001</v>
      </c>
      <c r="H168" s="163">
        <f>SUMIF('Balance Sheet Detail'!$AR:$AR,$B168,'Balance Sheet Detail'!V:V)</f>
        <v>204.29961</v>
      </c>
      <c r="I168" s="548">
        <f t="shared" si="14"/>
        <v>330.70695999999998</v>
      </c>
    </row>
    <row r="169" spans="1:9" s="513" customFormat="1">
      <c r="A169" s="510"/>
      <c r="B169" s="550" t="s">
        <v>4458</v>
      </c>
      <c r="C169" s="551" t="s">
        <v>4455</v>
      </c>
      <c r="D169" s="512"/>
      <c r="E169" s="512"/>
      <c r="F169" s="512"/>
      <c r="G169" s="163">
        <f>SUMIF('Balance Sheet Detail'!$AR:$AR,$B169,'Balance Sheet Detail'!U:U)</f>
        <v>1161.6014604166658</v>
      </c>
      <c r="H169" s="163">
        <f>SUMIF('Balance Sheet Detail'!$AR:$AR,$B169,'Balance Sheet Detail'!V:V)</f>
        <v>496.1562645833327</v>
      </c>
      <c r="I169" s="548">
        <f t="shared" ref="I169" si="20">SUM(G169:H169)</f>
        <v>1657.7577249999986</v>
      </c>
    </row>
    <row r="170" spans="1:9" s="513" customFormat="1">
      <c r="A170" s="510"/>
      <c r="B170" s="550" t="s">
        <v>3988</v>
      </c>
      <c r="C170" s="551" t="s">
        <v>927</v>
      </c>
      <c r="D170" s="512"/>
      <c r="E170" s="512"/>
      <c r="F170" s="512"/>
      <c r="G170" s="163">
        <f>SUMIF('Balance Sheet Detail'!$AR:$AR,$B170,'Balance Sheet Detail'!U:U)</f>
        <v>20882.344254999971</v>
      </c>
      <c r="H170" s="163">
        <f>SUMIF('Balance Sheet Detail'!$AR:$AR,$B170,'Balance Sheet Detail'!V:V)</f>
        <v>7022.9750249999997</v>
      </c>
      <c r="I170" s="548">
        <f t="shared" si="14"/>
        <v>27905.319279999971</v>
      </c>
    </row>
    <row r="171" spans="1:9" s="513" customFormat="1">
      <c r="A171" s="510"/>
      <c r="B171" s="550" t="s">
        <v>4343</v>
      </c>
      <c r="C171" s="551" t="s">
        <v>812</v>
      </c>
      <c r="D171" s="512"/>
      <c r="E171" s="512"/>
      <c r="F171" s="512"/>
      <c r="G171" s="163">
        <f>SUMIF('Balance Sheet Detail'!$AR:$AR,$B171,'Balance Sheet Detail'!U:U)</f>
        <v>1574.687150833334</v>
      </c>
      <c r="H171" s="163">
        <f>SUMIF('Balance Sheet Detail'!$AR:$AR,$B171,'Balance Sheet Detail'!V:V)</f>
        <v>-13.192158333332713</v>
      </c>
      <c r="I171" s="548">
        <f t="shared" ref="I171" si="21">SUM(G171:H171)</f>
        <v>1561.4949925000014</v>
      </c>
    </row>
    <row r="172" spans="1:9" s="513" customFormat="1">
      <c r="A172" s="510"/>
      <c r="B172" s="550" t="s">
        <v>3989</v>
      </c>
      <c r="C172" s="551" t="s">
        <v>1139</v>
      </c>
      <c r="D172" s="512"/>
      <c r="E172" s="512"/>
      <c r="F172" s="512"/>
      <c r="G172" s="163">
        <f>SUMIF('Balance Sheet Detail'!$AR:$AR,$B172,'Balance Sheet Detail'!U:U)</f>
        <v>-278.96598</v>
      </c>
      <c r="H172" s="163">
        <f>SUMIF('Balance Sheet Detail'!$AR:$AR,$B172,'Balance Sheet Detail'!V:V)</f>
        <v>0</v>
      </c>
      <c r="I172" s="548">
        <f t="shared" si="14"/>
        <v>-278.96598</v>
      </c>
    </row>
    <row r="173" spans="1:9" s="513" customFormat="1">
      <c r="A173" s="510"/>
      <c r="B173" s="550" t="s">
        <v>3990</v>
      </c>
      <c r="C173" s="551" t="s">
        <v>815</v>
      </c>
      <c r="D173" s="512"/>
      <c r="E173" s="512"/>
      <c r="F173" s="512"/>
      <c r="G173" s="163">
        <f>SUMIF('Balance Sheet Detail'!$AR:$AR,$B173,'Balance Sheet Detail'!U:U)</f>
        <v>3.5E-4</v>
      </c>
      <c r="H173" s="163">
        <f>SUMIF('Balance Sheet Detail'!$AR:$AR,$B173,'Balance Sheet Detail'!V:V)</f>
        <v>0</v>
      </c>
      <c r="I173" s="548">
        <f t="shared" si="14"/>
        <v>3.5E-4</v>
      </c>
    </row>
    <row r="174" spans="1:9" s="513" customFormat="1">
      <c r="A174" s="510"/>
      <c r="B174" s="550" t="s">
        <v>3991</v>
      </c>
      <c r="C174" s="551" t="s">
        <v>1673</v>
      </c>
      <c r="D174" s="512"/>
      <c r="E174" s="512"/>
      <c r="F174" s="512"/>
      <c r="G174" s="163">
        <f>SUMIF('Balance Sheet Detail'!$AR:$AR,$B174,'Balance Sheet Detail'!U:U)</f>
        <v>-17509.152822500033</v>
      </c>
      <c r="H174" s="163">
        <f>SUMIF('Balance Sheet Detail'!$AR:$AR,$B174,'Balance Sheet Detail'!V:V)</f>
        <v>-3985.5744324999928</v>
      </c>
      <c r="I174" s="548">
        <f t="shared" si="14"/>
        <v>-21494.727255000027</v>
      </c>
    </row>
    <row r="175" spans="1:9" s="513" customFormat="1">
      <c r="A175" s="510"/>
      <c r="B175" s="550" t="s">
        <v>3546</v>
      </c>
      <c r="C175" s="551" t="s">
        <v>1481</v>
      </c>
      <c r="D175" s="512"/>
      <c r="E175" s="512"/>
      <c r="F175" s="512"/>
      <c r="G175" s="163">
        <f>SUMIF('Balance Sheet Detail'!$AR:$AR,$B175,'Balance Sheet Detail'!U:U)</f>
        <v>14995.46351</v>
      </c>
      <c r="H175" s="163">
        <f>SUMIF('Balance Sheet Detail'!$AR:$AR,$B175,'Balance Sheet Detail'!V:V)</f>
        <v>-137.99769000000001</v>
      </c>
      <c r="I175" s="548">
        <f t="shared" si="14"/>
        <v>14857.465819999999</v>
      </c>
    </row>
    <row r="176" spans="1:9" s="513" customFormat="1">
      <c r="A176" s="510"/>
      <c r="B176" s="550" t="s">
        <v>3992</v>
      </c>
      <c r="C176" s="551" t="s">
        <v>1199</v>
      </c>
      <c r="D176" s="512"/>
      <c r="E176" s="512"/>
      <c r="F176" s="512"/>
      <c r="G176" s="163">
        <f>SUMIF('Balance Sheet Detail'!$AR:$AR,$B176,'Balance Sheet Detail'!U:U)</f>
        <v>0</v>
      </c>
      <c r="H176" s="163">
        <f>SUMIF('Balance Sheet Detail'!$AR:$AR,$B176,'Balance Sheet Detail'!V:V)</f>
        <v>-3.4999999999999997E-5</v>
      </c>
      <c r="I176" s="548">
        <f t="shared" si="14"/>
        <v>-3.4999999999999997E-5</v>
      </c>
    </row>
    <row r="177" spans="1:9" s="513" customFormat="1">
      <c r="A177" s="510"/>
      <c r="B177" s="550" t="s">
        <v>3993</v>
      </c>
      <c r="C177" s="551" t="s">
        <v>1973</v>
      </c>
      <c r="D177" s="512"/>
      <c r="E177" s="512"/>
      <c r="F177" s="512"/>
      <c r="G177" s="163">
        <f>SUMIF('Balance Sheet Detail'!$AR:$AR,$B177,'Balance Sheet Detail'!U:U)</f>
        <v>0</v>
      </c>
      <c r="H177" s="163">
        <f>SUMIF('Balance Sheet Detail'!$AR:$AR,$B177,'Balance Sheet Detail'!V:V)</f>
        <v>0</v>
      </c>
      <c r="I177" s="548">
        <f t="shared" si="14"/>
        <v>0</v>
      </c>
    </row>
    <row r="178" spans="1:9" s="513" customFormat="1">
      <c r="A178" s="510"/>
      <c r="B178" s="550" t="s">
        <v>3994</v>
      </c>
      <c r="C178" s="551" t="s">
        <v>1181</v>
      </c>
      <c r="D178" s="512"/>
      <c r="E178" s="512"/>
      <c r="F178" s="512"/>
      <c r="G178" s="163">
        <f>SUMIF('Balance Sheet Detail'!$AR:$AR,$B178,'Balance Sheet Detail'!U:U)</f>
        <v>0</v>
      </c>
      <c r="H178" s="163">
        <f>SUMIF('Balance Sheet Detail'!$AR:$AR,$B178,'Balance Sheet Detail'!V:V)</f>
        <v>0</v>
      </c>
      <c r="I178" s="548">
        <f t="shared" si="14"/>
        <v>0</v>
      </c>
    </row>
    <row r="179" spans="1:9" s="513" customFormat="1">
      <c r="A179" s="510"/>
      <c r="B179" s="550" t="s">
        <v>3547</v>
      </c>
      <c r="C179" s="551" t="s">
        <v>1113</v>
      </c>
      <c r="D179" s="512"/>
      <c r="E179" s="512"/>
      <c r="F179" s="512"/>
      <c r="G179" s="163">
        <f>SUMIF('Balance Sheet Detail'!$AR:$AR,$B179,'Balance Sheet Detail'!U:U)</f>
        <v>0</v>
      </c>
      <c r="H179" s="163">
        <f>SUMIF('Balance Sheet Detail'!$AR:$AR,$B179,'Balance Sheet Detail'!V:V)</f>
        <v>0</v>
      </c>
      <c r="I179" s="548">
        <f t="shared" si="14"/>
        <v>0</v>
      </c>
    </row>
    <row r="180" spans="1:9" s="513" customFormat="1">
      <c r="A180" s="510"/>
      <c r="B180" s="550" t="s">
        <v>3995</v>
      </c>
      <c r="C180" s="551" t="s">
        <v>817</v>
      </c>
      <c r="D180" s="512"/>
      <c r="E180" s="512"/>
      <c r="F180" s="512"/>
      <c r="G180" s="163">
        <f>SUMIF('Balance Sheet Detail'!$AR:$AR,$B180,'Balance Sheet Detail'!U:U)</f>
        <v>0</v>
      </c>
      <c r="H180" s="163">
        <f>SUMIF('Balance Sheet Detail'!$AR:$AR,$B180,'Balance Sheet Detail'!V:V)</f>
        <v>0</v>
      </c>
      <c r="I180" s="548">
        <f t="shared" si="14"/>
        <v>0</v>
      </c>
    </row>
    <row r="181" spans="1:9" s="513" customFormat="1">
      <c r="A181" s="510"/>
      <c r="B181" s="550"/>
      <c r="C181" s="551"/>
      <c r="D181" s="512"/>
      <c r="E181" s="512"/>
      <c r="F181" s="512"/>
      <c r="G181" s="163"/>
      <c r="H181" s="163"/>
      <c r="I181" s="548"/>
    </row>
    <row r="182" spans="1:9" s="513" customFormat="1">
      <c r="A182" s="510"/>
      <c r="B182" s="550" t="s">
        <v>3996</v>
      </c>
      <c r="C182" s="551" t="s">
        <v>1245</v>
      </c>
      <c r="D182" s="512"/>
      <c r="E182" s="512"/>
      <c r="F182" s="512"/>
      <c r="G182" s="163">
        <f>SUMIF('Balance Sheet Detail'!$AR:$AR,$B182,'Balance Sheet Detail'!U:U)</f>
        <v>0</v>
      </c>
      <c r="H182" s="163">
        <f>SUMIF('Balance Sheet Detail'!$AR:$AR,$B182,'Balance Sheet Detail'!V:V)</f>
        <v>-1390.144126666667</v>
      </c>
      <c r="I182" s="548">
        <f t="shared" si="14"/>
        <v>-1390.144126666667</v>
      </c>
    </row>
    <row r="183" spans="1:9" s="513" customFormat="1">
      <c r="A183" s="510"/>
      <c r="B183" s="550" t="s">
        <v>3997</v>
      </c>
      <c r="C183" s="551" t="s">
        <v>1124</v>
      </c>
      <c r="D183" s="512"/>
      <c r="E183" s="512"/>
      <c r="F183" s="512"/>
      <c r="G183" s="163">
        <f>SUMIF('Balance Sheet Detail'!$AR:$AR,$B183,'Balance Sheet Detail'!U:U)</f>
        <v>611.18489375000001</v>
      </c>
      <c r="H183" s="163">
        <f>SUMIF('Balance Sheet Detail'!$AR:$AR,$B183,'Balance Sheet Detail'!V:V)</f>
        <v>429.60460166666667</v>
      </c>
      <c r="I183" s="548">
        <f t="shared" si="14"/>
        <v>1040.7894954166668</v>
      </c>
    </row>
    <row r="184" spans="1:9" s="513" customFormat="1">
      <c r="A184" s="510"/>
      <c r="B184" s="550" t="s">
        <v>4572</v>
      </c>
      <c r="C184" s="551" t="s">
        <v>1983</v>
      </c>
      <c r="D184" s="512"/>
      <c r="E184" s="512"/>
      <c r="F184" s="512"/>
      <c r="G184" s="163">
        <f>SUMIF('Balance Sheet Detail'!$AR:$AR,$B184,'Balance Sheet Detail'!U:U)</f>
        <v>21.38687124999997</v>
      </c>
      <c r="H184" s="163">
        <f>SUMIF('Balance Sheet Detail'!$AR:$AR,$B184,'Balance Sheet Detail'!V:V)</f>
        <v>0</v>
      </c>
      <c r="I184" s="548">
        <f t="shared" si="14"/>
        <v>21.38687124999997</v>
      </c>
    </row>
    <row r="185" spans="1:9" s="513" customFormat="1">
      <c r="A185" s="510"/>
      <c r="B185" s="550" t="s">
        <v>3998</v>
      </c>
      <c r="C185" s="551" t="s">
        <v>2694</v>
      </c>
      <c r="D185" s="512"/>
      <c r="E185" s="512"/>
      <c r="F185" s="512"/>
      <c r="G185" s="163">
        <f>SUMIF('Balance Sheet Detail'!$AR:$AR,$B185,'Balance Sheet Detail'!U:U)</f>
        <v>4189.6840975000005</v>
      </c>
      <c r="H185" s="163">
        <f>SUMIF('Balance Sheet Detail'!$AR:$AR,$B185,'Balance Sheet Detail'!V:V)</f>
        <v>0</v>
      </c>
      <c r="I185" s="548">
        <f t="shared" si="14"/>
        <v>4189.6840975000005</v>
      </c>
    </row>
    <row r="186" spans="1:9" s="513" customFormat="1">
      <c r="A186" s="510"/>
      <c r="B186" s="550" t="s">
        <v>3548</v>
      </c>
      <c r="C186" s="551" t="s">
        <v>1114</v>
      </c>
      <c r="D186" s="512"/>
      <c r="E186" s="512"/>
      <c r="F186" s="512"/>
      <c r="G186" s="163">
        <f>SUMIF('Balance Sheet Detail'!$AR:$AR,$B186,'Balance Sheet Detail'!U:U)</f>
        <v>-153.08605</v>
      </c>
      <c r="H186" s="163">
        <f>SUMIF('Balance Sheet Detail'!$AR:$AR,$B186,'Balance Sheet Detail'!V:V)</f>
        <v>-76.220660000000009</v>
      </c>
      <c r="I186" s="548">
        <f t="shared" si="14"/>
        <v>-229.30671000000001</v>
      </c>
    </row>
    <row r="187" spans="1:9" s="513" customFormat="1">
      <c r="A187" s="510"/>
      <c r="B187" s="550" t="s">
        <v>3999</v>
      </c>
      <c r="C187" s="551" t="s">
        <v>810</v>
      </c>
      <c r="D187" s="512"/>
      <c r="E187" s="512"/>
      <c r="F187" s="512"/>
      <c r="G187" s="163">
        <f>SUMIF('Balance Sheet Detail'!$AR:$AR,$B187,'Balance Sheet Detail'!U:U)</f>
        <v>0</v>
      </c>
      <c r="H187" s="163">
        <f>SUMIF('Balance Sheet Detail'!$AR:$AR,$B187,'Balance Sheet Detail'!V:V)</f>
        <v>0</v>
      </c>
      <c r="I187" s="548">
        <f t="shared" si="14"/>
        <v>0</v>
      </c>
    </row>
    <row r="188" spans="1:9" s="513" customFormat="1">
      <c r="A188" s="510"/>
      <c r="B188" s="550" t="s">
        <v>4000</v>
      </c>
      <c r="C188" s="551" t="s">
        <v>1117</v>
      </c>
      <c r="D188" s="512"/>
      <c r="E188" s="512"/>
      <c r="F188" s="512"/>
      <c r="G188" s="163">
        <f>SUMIF('Balance Sheet Detail'!$AR:$AR,$B188,'Balance Sheet Detail'!U:U)</f>
        <v>-290.25922999999972</v>
      </c>
      <c r="H188" s="163">
        <f>SUMIF('Balance Sheet Detail'!$AR:$AR,$B188,'Balance Sheet Detail'!V:V)</f>
        <v>-7.3620000000000005E-2</v>
      </c>
      <c r="I188" s="548">
        <f t="shared" si="14"/>
        <v>-290.33284999999972</v>
      </c>
    </row>
    <row r="189" spans="1:9" s="513" customFormat="1">
      <c r="A189" s="510"/>
      <c r="B189" s="550" t="s">
        <v>4001</v>
      </c>
      <c r="C189" s="551" t="s">
        <v>1122</v>
      </c>
      <c r="D189" s="512"/>
      <c r="E189" s="512"/>
      <c r="F189" s="512"/>
      <c r="G189" s="163">
        <f>SUMIF('Balance Sheet Detail'!$AR:$AR,$B189,'Balance Sheet Detail'!U:U)</f>
        <v>0</v>
      </c>
      <c r="H189" s="163">
        <f>SUMIF('Balance Sheet Detail'!$AR:$AR,$B189,'Balance Sheet Detail'!V:V)</f>
        <v>0</v>
      </c>
      <c r="I189" s="548">
        <f t="shared" si="14"/>
        <v>0</v>
      </c>
    </row>
    <row r="190" spans="1:9" s="513" customFormat="1">
      <c r="A190" s="510"/>
      <c r="B190" s="550" t="s">
        <v>3549</v>
      </c>
      <c r="C190" s="551" t="s">
        <v>1115</v>
      </c>
      <c r="D190" s="512"/>
      <c r="E190" s="512"/>
      <c r="F190" s="512"/>
      <c r="G190" s="163">
        <f>SUMIF('Balance Sheet Detail'!$AR:$AR,$B190,'Balance Sheet Detail'!U:U)</f>
        <v>-821.349554583334</v>
      </c>
      <c r="H190" s="163">
        <f>SUMIF('Balance Sheet Detail'!$AR:$AR,$B190,'Balance Sheet Detail'!V:V)</f>
        <v>0</v>
      </c>
      <c r="I190" s="548">
        <f t="shared" si="14"/>
        <v>-821.349554583334</v>
      </c>
    </row>
    <row r="191" spans="1:9" s="513" customFormat="1">
      <c r="A191" s="510"/>
      <c r="B191" s="550" t="s">
        <v>4351</v>
      </c>
      <c r="C191" s="551" t="s">
        <v>1168</v>
      </c>
      <c r="D191" s="512"/>
      <c r="E191" s="512"/>
      <c r="F191" s="512"/>
      <c r="G191" s="163">
        <f>SUMIF('Balance Sheet Detail'!$AR:$AR,$B191,'Balance Sheet Detail'!U:U)</f>
        <v>-628.49854999999991</v>
      </c>
      <c r="H191" s="163">
        <f>SUMIF('Balance Sheet Detail'!$AR:$AR,$B191,'Balance Sheet Detail'!V:V)</f>
        <v>-195.91927000000001</v>
      </c>
      <c r="I191" s="548">
        <f t="shared" ref="I191" si="22">SUM(G191:H191)</f>
        <v>-824.41781999999989</v>
      </c>
    </row>
    <row r="192" spans="1:9" s="513" customFormat="1">
      <c r="A192" s="510"/>
      <c r="B192" s="550" t="s">
        <v>4002</v>
      </c>
      <c r="C192" s="551" t="s">
        <v>822</v>
      </c>
      <c r="D192" s="512"/>
      <c r="E192" s="512"/>
      <c r="F192" s="512"/>
      <c r="G192" s="163">
        <f>SUMIF('Balance Sheet Detail'!$AR:$AR,$B192,'Balance Sheet Detail'!U:U)</f>
        <v>766.58926874999997</v>
      </c>
      <c r="H192" s="163">
        <f>SUMIF('Balance Sheet Detail'!$AR:$AR,$B192,'Balance Sheet Detail'!V:V)</f>
        <v>0</v>
      </c>
      <c r="I192" s="548">
        <f t="shared" si="14"/>
        <v>766.58926874999997</v>
      </c>
    </row>
    <row r="193" spans="1:12" s="513" customFormat="1">
      <c r="A193" s="510"/>
      <c r="B193" s="550" t="s">
        <v>4003</v>
      </c>
      <c r="C193" s="551" t="s">
        <v>1119</v>
      </c>
      <c r="D193" s="512"/>
      <c r="E193" s="512"/>
      <c r="F193" s="512"/>
      <c r="G193" s="163">
        <f>SUMIF('Balance Sheet Detail'!$AR:$AR,$B193,'Balance Sheet Detail'!U:U)</f>
        <v>0</v>
      </c>
      <c r="H193" s="163">
        <f>SUMIF('Balance Sheet Detail'!$AR:$AR,$B193,'Balance Sheet Detail'!V:V)</f>
        <v>0</v>
      </c>
      <c r="I193" s="548">
        <f t="shared" si="14"/>
        <v>0</v>
      </c>
    </row>
    <row r="194" spans="1:12" s="513" customFormat="1">
      <c r="A194" s="510"/>
      <c r="B194" s="550"/>
      <c r="C194" s="551"/>
      <c r="D194" s="512"/>
      <c r="E194" s="512"/>
      <c r="F194" s="512"/>
      <c r="G194" s="163"/>
      <c r="H194" s="163"/>
      <c r="I194" s="548"/>
    </row>
    <row r="195" spans="1:12" s="513" customFormat="1">
      <c r="A195" s="510"/>
      <c r="B195" s="876" t="s">
        <v>3550</v>
      </c>
      <c r="C195" s="551"/>
      <c r="D195" s="512"/>
      <c r="E195" s="512"/>
      <c r="F195" s="512"/>
      <c r="G195" s="163"/>
      <c r="H195" s="163"/>
      <c r="I195" s="548"/>
    </row>
    <row r="196" spans="1:12" s="513" customFormat="1">
      <c r="A196" s="510"/>
      <c r="B196" s="550" t="s">
        <v>4004</v>
      </c>
      <c r="C196" s="551" t="s">
        <v>1647</v>
      </c>
      <c r="D196" s="512"/>
      <c r="E196" s="512"/>
      <c r="F196" s="512"/>
      <c r="G196" s="163">
        <f>SUMIF('Balance Sheet Detail'!$AR:$AR,$B196,'Balance Sheet Detail'!U:U)</f>
        <v>0</v>
      </c>
      <c r="H196" s="163">
        <f>SUMIF('Balance Sheet Detail'!$AR:$AR,$B196,'Balance Sheet Detail'!V:V)</f>
        <v>0</v>
      </c>
      <c r="I196" s="548">
        <f t="shared" ref="I196:I202" si="23">SUM(G196:H196)</f>
        <v>0</v>
      </c>
    </row>
    <row r="197" spans="1:12" s="513" customFormat="1">
      <c r="A197" s="510"/>
      <c r="B197" s="550" t="s">
        <v>4005</v>
      </c>
      <c r="C197" s="551" t="s">
        <v>1629</v>
      </c>
      <c r="D197" s="512"/>
      <c r="E197" s="512"/>
      <c r="F197" s="512"/>
      <c r="G197" s="163">
        <f>SUMIF('Balance Sheet Detail'!$AR:$AR,$B197,'Balance Sheet Detail'!U:U)</f>
        <v>1743.5722712500001</v>
      </c>
      <c r="H197" s="163">
        <f>SUMIF('Balance Sheet Detail'!$AR:$AR,$B197,'Balance Sheet Detail'!V:V)</f>
        <v>1704.3012804166667</v>
      </c>
      <c r="I197" s="548">
        <f t="shared" si="23"/>
        <v>3447.8735516666666</v>
      </c>
    </row>
    <row r="198" spans="1:12" s="513" customFormat="1">
      <c r="A198" s="510"/>
      <c r="B198" s="550" t="s">
        <v>4006</v>
      </c>
      <c r="C198" s="551" t="s">
        <v>1829</v>
      </c>
      <c r="D198" s="512"/>
      <c r="E198" s="512"/>
      <c r="F198" s="512"/>
      <c r="G198" s="163">
        <f>SUMIF('Balance Sheet Detail'!$AR:$AR,$B198,'Balance Sheet Detail'!U:U)</f>
        <v>6170.7915475</v>
      </c>
      <c r="H198" s="163">
        <f>SUMIF('Balance Sheet Detail'!$AR:$AR,$B198,'Balance Sheet Detail'!V:V)</f>
        <v>3612.68899333333</v>
      </c>
      <c r="I198" s="548">
        <f t="shared" si="23"/>
        <v>9783.4805408333305</v>
      </c>
    </row>
    <row r="199" spans="1:12" s="513" customFormat="1">
      <c r="A199" s="510"/>
      <c r="B199" s="550" t="s">
        <v>4007</v>
      </c>
      <c r="C199" s="551" t="s">
        <v>1736</v>
      </c>
      <c r="D199" s="512"/>
      <c r="E199" s="512"/>
      <c r="F199" s="512"/>
      <c r="G199" s="163">
        <f>SUMIF('Balance Sheet Detail'!$AR:$AR,$B199,'Balance Sheet Detail'!U:U)</f>
        <v>0</v>
      </c>
      <c r="H199" s="163">
        <f>SUMIF('Balance Sheet Detail'!$AR:$AR,$B199,'Balance Sheet Detail'!V:V)</f>
        <v>2089.1208129166671</v>
      </c>
      <c r="I199" s="548">
        <f t="shared" si="23"/>
        <v>2089.1208129166671</v>
      </c>
    </row>
    <row r="200" spans="1:12" s="513" customFormat="1">
      <c r="A200" s="510"/>
      <c r="B200" s="550" t="s">
        <v>4008</v>
      </c>
      <c r="C200" s="551" t="s">
        <v>1677</v>
      </c>
      <c r="D200" s="512"/>
      <c r="E200" s="512"/>
      <c r="F200" s="512"/>
      <c r="G200" s="163">
        <f>SUMIF('Balance Sheet Detail'!$AR:$AR,$B200,'Balance Sheet Detail'!U:U)</f>
        <v>554.35140000000001</v>
      </c>
      <c r="H200" s="163">
        <f>SUMIF('Balance Sheet Detail'!$AR:$AR,$B200,'Balance Sheet Detail'!V:V)</f>
        <v>83.264309999999995</v>
      </c>
      <c r="I200" s="548">
        <f t="shared" si="23"/>
        <v>637.61571000000004</v>
      </c>
    </row>
    <row r="201" spans="1:12" s="513" customFormat="1">
      <c r="A201" s="510"/>
      <c r="B201" s="550" t="s">
        <v>4009</v>
      </c>
      <c r="C201" s="551" t="s">
        <v>1724</v>
      </c>
      <c r="D201" s="512"/>
      <c r="E201" s="512"/>
      <c r="F201" s="512"/>
      <c r="G201" s="163">
        <f>SUMIF('Balance Sheet Detail'!$AR:$AR,$B201,'Balance Sheet Detail'!U:U)</f>
        <v>957.32491541666695</v>
      </c>
      <c r="H201" s="163">
        <f>SUMIF('Balance Sheet Detail'!$AR:$AR,$B201,'Balance Sheet Detail'!V:V)</f>
        <v>293.67560958333297</v>
      </c>
      <c r="I201" s="548">
        <f t="shared" si="23"/>
        <v>1251.0005249999999</v>
      </c>
    </row>
    <row r="202" spans="1:12" s="513" customFormat="1">
      <c r="A202" s="510"/>
      <c r="B202" s="550" t="s">
        <v>4010</v>
      </c>
      <c r="C202" s="551" t="s">
        <v>1815</v>
      </c>
      <c r="D202" s="512"/>
      <c r="E202" s="512"/>
      <c r="F202" s="512"/>
      <c r="G202" s="163">
        <f>SUMIF('Balance Sheet Detail'!$AR:$AR,$B202,'Balance Sheet Detail'!U:U)</f>
        <v>-1311.2462325000001</v>
      </c>
      <c r="H202" s="163">
        <f>SUMIF('Balance Sheet Detail'!$AR:$AR,$B202,'Balance Sheet Detail'!V:V)</f>
        <v>53.409824999999998</v>
      </c>
      <c r="I202" s="548">
        <f t="shared" si="23"/>
        <v>-1257.8364075000002</v>
      </c>
    </row>
    <row r="203" spans="1:12" s="513" customFormat="1" ht="1.5" customHeight="1">
      <c r="A203" s="510"/>
      <c r="B203" s="511"/>
      <c r="C203" s="512"/>
      <c r="D203" s="512"/>
      <c r="E203" s="512"/>
      <c r="F203" s="512"/>
      <c r="G203" s="92"/>
      <c r="H203" s="92"/>
      <c r="I203" s="548"/>
    </row>
    <row r="204" spans="1:12" s="513" customFormat="1" ht="15">
      <c r="A204" s="510"/>
      <c r="B204" s="511"/>
      <c r="C204" s="512" t="s">
        <v>2391</v>
      </c>
      <c r="D204" s="512"/>
      <c r="E204" s="512"/>
      <c r="F204" s="512"/>
      <c r="G204" s="129">
        <f>+G206-SUM(G118:G203)</f>
        <v>-342.72683625010541</v>
      </c>
      <c r="H204" s="129">
        <f>+H206-SUM(H118:H203)</f>
        <v>110.66213958334993</v>
      </c>
      <c r="I204" s="786">
        <f>SUM(G204:H204)</f>
        <v>-232.06469666675548</v>
      </c>
    </row>
    <row r="205" spans="1:12" s="513" customFormat="1">
      <c r="A205" s="510"/>
      <c r="B205" s="511"/>
      <c r="C205" s="512"/>
      <c r="D205" s="512"/>
      <c r="E205" s="512"/>
      <c r="F205" s="512"/>
      <c r="G205" s="92"/>
      <c r="H205" s="92"/>
      <c r="I205" s="548"/>
    </row>
    <row r="206" spans="1:12" s="513" customFormat="1">
      <c r="A206" s="510"/>
      <c r="B206" s="590"/>
      <c r="C206" s="551" t="s">
        <v>2475</v>
      </c>
      <c r="D206" s="512"/>
      <c r="E206" s="512"/>
      <c r="F206" s="877" t="s">
        <v>2443</v>
      </c>
      <c r="G206" s="784">
        <f>SUMIF('Balance Sheet Detail'!$D:$D,$F206,'Balance Sheet Detail'!U:U)</f>
        <v>-233484.5373112279</v>
      </c>
      <c r="H206" s="784">
        <f>SUMIF('Balance Sheet Detail'!$D:$D,$F206,'Balance Sheet Detail'!V:V)</f>
        <v>-101341.56931793877</v>
      </c>
      <c r="I206" s="87">
        <f>SUM(G206:H206)</f>
        <v>-334826.10662916669</v>
      </c>
      <c r="J206" s="827"/>
      <c r="L206" s="827"/>
    </row>
    <row r="207" spans="1:12" s="513" customFormat="1">
      <c r="A207" s="510"/>
      <c r="B207" s="511"/>
      <c r="C207" s="512"/>
      <c r="D207" s="512"/>
      <c r="E207" s="512"/>
      <c r="F207" s="512"/>
      <c r="G207" s="92"/>
      <c r="H207" s="92"/>
      <c r="I207" s="548"/>
    </row>
    <row r="208" spans="1:12" s="758" customFormat="1">
      <c r="B208" s="512"/>
      <c r="C208" s="512" t="s">
        <v>2585</v>
      </c>
      <c r="D208" s="512"/>
      <c r="E208" s="512"/>
      <c r="F208" s="512"/>
      <c r="G208" s="92">
        <f>SUM(G206:G207)</f>
        <v>-233484.5373112279</v>
      </c>
      <c r="H208" s="92">
        <f>SUM(H206:H207)</f>
        <v>-101341.56931793877</v>
      </c>
      <c r="I208" s="92">
        <f>SUM(I206:I207)</f>
        <v>-334826.10662916669</v>
      </c>
    </row>
    <row r="209" spans="1:9" s="758" customFormat="1">
      <c r="B209" s="876" t="s">
        <v>4237</v>
      </c>
      <c r="C209" s="512"/>
      <c r="D209" s="512"/>
      <c r="E209" s="512"/>
      <c r="F209" s="512"/>
      <c r="G209" s="92"/>
      <c r="H209" s="92"/>
      <c r="I209" s="92"/>
    </row>
    <row r="210" spans="1:9" s="758" customFormat="1">
      <c r="A210" s="797"/>
      <c r="B210" s="512"/>
      <c r="C210" s="512" t="s">
        <v>4011</v>
      </c>
      <c r="D210" s="512"/>
      <c r="E210" s="512"/>
      <c r="F210" s="512"/>
      <c r="G210" s="92">
        <f>G92*-0.39615</f>
        <v>-7.4026549942500006</v>
      </c>
      <c r="H210" s="92">
        <f>H92*-0.39615</f>
        <v>4.580526631000013</v>
      </c>
      <c r="I210" s="92">
        <f t="shared" ref="I210:I222" si="24">SUM(G210:H210)</f>
        <v>-2.8221283632499876</v>
      </c>
    </row>
    <row r="211" spans="1:9" s="758" customFormat="1">
      <c r="A211" s="797"/>
      <c r="B211" s="512"/>
      <c r="C211" s="512" t="s">
        <v>4012</v>
      </c>
      <c r="D211" s="512"/>
      <c r="E211" s="512"/>
      <c r="F211" s="512"/>
      <c r="G211" s="92">
        <f>G55*-0.39615</f>
        <v>-4.3180349999999999E-14</v>
      </c>
      <c r="H211" s="92">
        <f>H55*-0.39615</f>
        <v>1047.81675</v>
      </c>
      <c r="I211" s="92">
        <f t="shared" si="24"/>
        <v>1047.81675</v>
      </c>
    </row>
    <row r="212" spans="1:9" s="758" customFormat="1">
      <c r="A212" s="797"/>
      <c r="B212" s="512"/>
      <c r="C212" s="512" t="s">
        <v>4349</v>
      </c>
      <c r="D212" s="512"/>
      <c r="E212" s="512"/>
      <c r="F212" s="512"/>
      <c r="G212" s="92">
        <f>+'Rate Base Detail'!H422</f>
        <v>137.05426451700001</v>
      </c>
      <c r="H212" s="92">
        <f>+'Rate Base Detail'!I422</f>
        <v>59.962016684999995</v>
      </c>
      <c r="I212" s="92">
        <f>+'Rate Base Detail'!J422</f>
        <v>197.01628120199999</v>
      </c>
    </row>
    <row r="213" spans="1:9" s="758" customFormat="1">
      <c r="A213" s="797"/>
      <c r="B213" s="512"/>
      <c r="C213" s="512" t="s">
        <v>4013</v>
      </c>
      <c r="D213" s="512"/>
      <c r="E213" s="512"/>
      <c r="F213" s="512"/>
      <c r="G213" s="92">
        <f>G91*-0.39615</f>
        <v>-4.6111860000000006E-13</v>
      </c>
      <c r="H213" s="92">
        <f>H91*-0.39615</f>
        <v>0</v>
      </c>
      <c r="I213" s="92">
        <f t="shared" si="24"/>
        <v>-4.6111860000000006E-13</v>
      </c>
    </row>
    <row r="214" spans="1:9" s="758" customFormat="1">
      <c r="A214" s="797"/>
      <c r="B214" s="512"/>
      <c r="C214" s="512" t="s">
        <v>4014</v>
      </c>
      <c r="D214" s="512"/>
      <c r="E214" s="512"/>
      <c r="F214" s="512"/>
      <c r="G214" s="92">
        <f>G66*-0.39615</f>
        <v>904.05128852550001</v>
      </c>
      <c r="H214" s="92">
        <f>H66*-0.39615</f>
        <v>0</v>
      </c>
      <c r="I214" s="92">
        <f t="shared" si="24"/>
        <v>904.05128852550001</v>
      </c>
    </row>
    <row r="215" spans="1:9" s="758" customFormat="1">
      <c r="A215" s="797"/>
      <c r="B215" s="512"/>
      <c r="C215" s="512" t="s">
        <v>3903</v>
      </c>
      <c r="D215" s="512"/>
      <c r="E215" s="512"/>
      <c r="F215" s="512"/>
      <c r="G215" s="92">
        <f>'Rate Base Detail'!H443</f>
        <v>1107.6354000000001</v>
      </c>
      <c r="H215" s="92">
        <f>'Rate Base Detail'!I443</f>
        <v>0</v>
      </c>
      <c r="I215" s="92">
        <f t="shared" si="24"/>
        <v>1107.6354000000001</v>
      </c>
    </row>
    <row r="216" spans="1:9" s="758" customFormat="1">
      <c r="A216" s="797"/>
      <c r="B216" s="512"/>
      <c r="C216" s="512" t="s">
        <v>4087</v>
      </c>
      <c r="D216" s="512"/>
      <c r="E216" s="512"/>
      <c r="F216" s="512"/>
      <c r="G216" s="92">
        <f>G43*-0.39615</f>
        <v>0</v>
      </c>
      <c r="H216" s="92">
        <f>H43*-0.39615</f>
        <v>0</v>
      </c>
      <c r="I216" s="92">
        <f t="shared" si="24"/>
        <v>0</v>
      </c>
    </row>
    <row r="217" spans="1:9" s="758" customFormat="1">
      <c r="A217" s="797"/>
      <c r="B217" s="512"/>
      <c r="C217" s="512" t="s">
        <v>4355</v>
      </c>
      <c r="D217" s="512"/>
      <c r="E217" s="512"/>
      <c r="F217" s="512"/>
      <c r="G217" s="92">
        <f>+'Rate Base Detail'!H426</f>
        <v>883.71938809918879</v>
      </c>
      <c r="H217" s="92">
        <f>+'Rate Base Detail'!I426</f>
        <v>0</v>
      </c>
      <c r="I217" s="92">
        <f>+'Rate Base Detail'!J426</f>
        <v>883.71938809918879</v>
      </c>
    </row>
    <row r="218" spans="1:9" s="758" customFormat="1">
      <c r="A218" s="797"/>
      <c r="B218" s="512"/>
      <c r="C218" s="512" t="s">
        <v>3878</v>
      </c>
      <c r="D218" s="512"/>
      <c r="E218" s="512"/>
      <c r="F218" s="512"/>
      <c r="G218" s="92">
        <f>G57*-0.39615</f>
        <v>-429.77916784770741</v>
      </c>
      <c r="H218" s="92">
        <f>H57*-0.39615</f>
        <v>-222.57238288842782</v>
      </c>
      <c r="I218" s="92">
        <f t="shared" si="24"/>
        <v>-652.35155073613521</v>
      </c>
    </row>
    <row r="219" spans="1:9" s="758" customFormat="1">
      <c r="A219" s="797"/>
      <c r="B219" s="512"/>
      <c r="C219" s="512" t="s">
        <v>4037</v>
      </c>
      <c r="D219" s="512"/>
      <c r="E219" s="512"/>
      <c r="F219" s="512"/>
      <c r="G219" s="92">
        <f>'Rate Base Detail'!H430</f>
        <v>-19.999235006552599</v>
      </c>
      <c r="H219" s="92">
        <f>'Rate Base Detail'!I430</f>
        <v>-13</v>
      </c>
      <c r="I219" s="92">
        <f t="shared" si="24"/>
        <v>-32.999235006552595</v>
      </c>
    </row>
    <row r="220" spans="1:9" s="758" customFormat="1">
      <c r="A220" s="797"/>
      <c r="B220" s="512"/>
      <c r="C220" s="512" t="s">
        <v>4039</v>
      </c>
      <c r="D220" s="512"/>
      <c r="E220" s="512"/>
      <c r="F220" s="512"/>
      <c r="G220" s="92">
        <f>'Rate Base Detail'!H432</f>
        <v>25.923056876687511</v>
      </c>
      <c r="H220" s="92">
        <f>'Rate Base Detail'!I432</f>
        <v>13.117686394187514</v>
      </c>
      <c r="I220" s="92">
        <f t="shared" si="24"/>
        <v>39.040743270875026</v>
      </c>
    </row>
    <row r="221" spans="1:9" s="758" customFormat="1">
      <c r="A221" s="797"/>
      <c r="B221" s="512"/>
      <c r="C221" s="740" t="s">
        <v>4534</v>
      </c>
      <c r="D221" s="512"/>
      <c r="E221" s="512"/>
      <c r="F221" s="512"/>
      <c r="G221" s="92">
        <f>+G54*-0.39615</f>
        <v>-55.984307052312374</v>
      </c>
      <c r="H221" s="92">
        <f>+H54*-0.39615</f>
        <v>74.367820787812491</v>
      </c>
      <c r="I221" s="92">
        <f t="shared" si="24"/>
        <v>18.383513735500117</v>
      </c>
    </row>
    <row r="222" spans="1:9" s="758" customFormat="1">
      <c r="A222" s="797"/>
      <c r="B222" s="512"/>
      <c r="C222" s="553" t="s">
        <v>3877</v>
      </c>
      <c r="D222" s="512"/>
      <c r="E222" s="512"/>
      <c r="F222" s="512"/>
      <c r="G222" s="131">
        <f>'Rate Base Detail'!H420</f>
        <v>78017.678364735504</v>
      </c>
      <c r="H222" s="131">
        <f>'Rate Base Detail'!I420</f>
        <v>20880.577392337444</v>
      </c>
      <c r="I222" s="131">
        <f t="shared" si="24"/>
        <v>98898.25575707294</v>
      </c>
    </row>
    <row r="223" spans="1:9" s="758" customFormat="1">
      <c r="A223" s="797"/>
      <c r="B223" s="512"/>
      <c r="C223" s="512"/>
      <c r="D223" s="512"/>
      <c r="E223" s="512"/>
      <c r="F223" s="512"/>
      <c r="G223" s="92"/>
      <c r="H223" s="92"/>
      <c r="I223" s="92"/>
    </row>
    <row r="224" spans="1:9" s="758" customFormat="1">
      <c r="A224" s="797" t="s">
        <v>3551</v>
      </c>
      <c r="B224" s="512"/>
      <c r="C224" s="512" t="s">
        <v>3552</v>
      </c>
      <c r="D224" s="512"/>
      <c r="E224" s="512"/>
      <c r="F224" s="512"/>
      <c r="G224" s="886">
        <f>SUM(G208:G223)</f>
        <v>-152921.64091337484</v>
      </c>
      <c r="H224" s="886">
        <f>SUM(H208:H223)</f>
        <v>-79496.719507991744</v>
      </c>
      <c r="I224" s="886">
        <f>SUM(I208:I223)</f>
        <v>-232418.36042136652</v>
      </c>
    </row>
    <row r="225" spans="1:10" s="758" customFormat="1" ht="13.5" thickBot="1">
      <c r="A225" s="887"/>
      <c r="B225" s="888"/>
      <c r="C225" s="888"/>
      <c r="D225" s="888"/>
      <c r="E225" s="888"/>
      <c r="F225" s="888"/>
      <c r="G225" s="888"/>
      <c r="H225" s="888"/>
      <c r="I225" s="888"/>
    </row>
    <row r="226" spans="1:10" s="513" customFormat="1">
      <c r="A226" s="510"/>
      <c r="B226" s="511"/>
      <c r="C226" s="512"/>
      <c r="D226" s="512"/>
      <c r="E226" s="512"/>
      <c r="F226" s="512"/>
      <c r="G226" s="512"/>
      <c r="H226" s="512"/>
      <c r="I226" s="512"/>
    </row>
    <row r="227" spans="1:10" s="513" customFormat="1">
      <c r="A227" s="510"/>
      <c r="B227" s="511" t="s">
        <v>2570</v>
      </c>
      <c r="C227" s="512"/>
      <c r="D227" s="512"/>
      <c r="E227" s="512"/>
      <c r="F227" s="512"/>
      <c r="I227" s="92"/>
    </row>
    <row r="228" spans="1:10" s="513" customFormat="1" ht="14.1" customHeight="1">
      <c r="A228" s="510"/>
      <c r="B228" s="541"/>
      <c r="C228" s="554" t="s">
        <v>2419</v>
      </c>
      <c r="D228" s="513" t="s">
        <v>2420</v>
      </c>
      <c r="E228" s="512"/>
      <c r="F228" s="512"/>
      <c r="H228" s="163"/>
      <c r="I228" s="87">
        <f>-I36</f>
        <v>192720.60461791669</v>
      </c>
      <c r="J228" s="827"/>
    </row>
    <row r="229" spans="1:10" s="513" customFormat="1">
      <c r="A229" s="510"/>
      <c r="B229" s="511"/>
      <c r="C229" s="554" t="s">
        <v>2421</v>
      </c>
      <c r="D229" s="513" t="s">
        <v>2422</v>
      </c>
      <c r="E229" s="512"/>
      <c r="F229" s="512"/>
      <c r="H229" s="163"/>
      <c r="I229" s="163">
        <f>SUMIF('Balance Sheet Detail'!$C:$C,$C229,'Balance Sheet Detail'!W:W)</f>
        <v>746.15153458338125</v>
      </c>
      <c r="J229" s="827"/>
    </row>
    <row r="230" spans="1:10" s="513" customFormat="1">
      <c r="A230" s="510"/>
      <c r="B230" s="511"/>
      <c r="C230" s="554" t="s">
        <v>2423</v>
      </c>
      <c r="D230" s="513" t="s">
        <v>2424</v>
      </c>
      <c r="E230" s="512"/>
      <c r="F230" s="512"/>
      <c r="H230" s="163"/>
      <c r="I230" s="163">
        <f>SUMIF('Balance Sheet Detail'!$C:$C,$C230,'Balance Sheet Detail'!W:W)</f>
        <v>47.270140000002698</v>
      </c>
      <c r="J230" s="827"/>
    </row>
    <row r="231" spans="1:10" s="513" customFormat="1">
      <c r="A231" s="510"/>
      <c r="B231" s="511"/>
      <c r="C231" s="554" t="s">
        <v>2425</v>
      </c>
      <c r="D231" s="513" t="s">
        <v>2426</v>
      </c>
      <c r="E231" s="512"/>
      <c r="F231" s="512"/>
      <c r="H231" s="163"/>
      <c r="I231" s="163">
        <f>SUMIF('Balance Sheet Detail'!$C:$C,$C231,'Balance Sheet Detail'!W:W)</f>
        <v>0</v>
      </c>
      <c r="J231" s="827"/>
    </row>
    <row r="232" spans="1:10" s="513" customFormat="1">
      <c r="A232" s="510"/>
      <c r="B232" s="511"/>
      <c r="C232" s="554" t="s">
        <v>2427</v>
      </c>
      <c r="D232" s="513" t="s">
        <v>2571</v>
      </c>
      <c r="E232" s="512"/>
      <c r="F232" s="512"/>
      <c r="H232" s="163"/>
      <c r="I232" s="163">
        <f>SUMIF('Balance Sheet Detail'!$C:$C,$C232,'Balance Sheet Detail'!W:W)</f>
        <v>1428.710957500015</v>
      </c>
      <c r="J232" s="827"/>
    </row>
    <row r="233" spans="1:10" s="513" customFormat="1">
      <c r="A233" s="510"/>
      <c r="B233" s="511"/>
      <c r="C233" s="554" t="s">
        <v>2429</v>
      </c>
      <c r="D233" s="513" t="s">
        <v>2572</v>
      </c>
      <c r="E233" s="512"/>
      <c r="F233" s="512"/>
      <c r="H233" s="163"/>
      <c r="I233" s="163">
        <f>SUMIF('Balance Sheet Detail'!$C:$C,$C233,'Balance Sheet Detail'!W:W)</f>
        <v>0</v>
      </c>
      <c r="J233" s="827"/>
    </row>
    <row r="234" spans="1:10" s="513" customFormat="1">
      <c r="A234" s="510"/>
      <c r="B234" s="511"/>
      <c r="C234" s="554" t="s">
        <v>2430</v>
      </c>
      <c r="D234" s="513" t="s">
        <v>2431</v>
      </c>
      <c r="E234" s="512"/>
      <c r="F234" s="512"/>
      <c r="H234" s="163"/>
      <c r="I234" s="163">
        <f>SUMIF('Balance Sheet Detail'!$C:$C,$C234,'Balance Sheet Detail'!W:W)</f>
        <v>0</v>
      </c>
      <c r="J234" s="827"/>
    </row>
    <row r="235" spans="1:10" s="513" customFormat="1">
      <c r="A235" s="510"/>
      <c r="B235" s="511"/>
      <c r="C235" s="554" t="s">
        <v>2432</v>
      </c>
      <c r="D235" s="513" t="s">
        <v>2433</v>
      </c>
      <c r="E235" s="512"/>
      <c r="F235" s="512"/>
      <c r="H235" s="163"/>
      <c r="I235" s="163">
        <f>SUMIF('Balance Sheet Detail'!$C:$C,$C235,'Balance Sheet Detail'!W:W)</f>
        <v>-9305.9389145834139</v>
      </c>
      <c r="J235" s="827"/>
    </row>
    <row r="236" spans="1:10" s="513" customFormat="1">
      <c r="A236" s="510"/>
      <c r="B236" s="511"/>
      <c r="C236" s="554" t="s">
        <v>2434</v>
      </c>
      <c r="D236" s="513" t="s">
        <v>2435</v>
      </c>
      <c r="E236" s="512"/>
      <c r="F236" s="512"/>
      <c r="H236" s="163"/>
      <c r="I236" s="163">
        <f>SUMIF('Balance Sheet Detail'!$C:$C,$C236,'Balance Sheet Detail'!W:W)</f>
        <v>0</v>
      </c>
      <c r="J236" s="827"/>
    </row>
    <row r="237" spans="1:10" s="513" customFormat="1">
      <c r="A237" s="510"/>
      <c r="B237" s="511"/>
      <c r="C237" s="554" t="s">
        <v>2436</v>
      </c>
      <c r="D237" s="513" t="s">
        <v>2437</v>
      </c>
      <c r="E237" s="512"/>
      <c r="F237" s="512"/>
      <c r="H237" s="163"/>
      <c r="I237" s="889">
        <f>SUMIF('Balance Sheet Detail'!$C:$C,$C237,'Balance Sheet Detail'!W:W)</f>
        <v>-94705.592064624914</v>
      </c>
      <c r="J237" s="827"/>
    </row>
    <row r="238" spans="1:10" s="513" customFormat="1">
      <c r="A238" s="510"/>
      <c r="B238" s="511"/>
      <c r="C238" s="512"/>
      <c r="D238" s="512"/>
      <c r="E238" s="512"/>
      <c r="F238" s="512"/>
      <c r="I238" s="92"/>
      <c r="J238" s="827"/>
    </row>
    <row r="239" spans="1:10" s="513" customFormat="1">
      <c r="A239" s="510"/>
      <c r="C239" s="512"/>
      <c r="D239" s="512"/>
      <c r="E239" s="512"/>
      <c r="F239" s="512"/>
      <c r="I239" s="92">
        <f>SUM(I227:I238)</f>
        <v>90931.206270791765</v>
      </c>
      <c r="J239" s="827"/>
    </row>
    <row r="240" spans="1:10" s="513" customFormat="1">
      <c r="A240" s="510"/>
      <c r="B240" s="876" t="s">
        <v>4238</v>
      </c>
      <c r="C240" s="512"/>
      <c r="D240" s="512"/>
      <c r="E240" s="512"/>
      <c r="F240" s="512"/>
      <c r="I240" s="92"/>
      <c r="J240" s="827"/>
    </row>
    <row r="241" spans="1:10" s="513" customFormat="1" ht="11.25" customHeight="1">
      <c r="A241" s="510"/>
      <c r="B241" s="511"/>
      <c r="C241" s="512" t="s">
        <v>4088</v>
      </c>
      <c r="D241" s="512"/>
      <c r="E241" s="512"/>
      <c r="F241" s="512"/>
      <c r="I241" s="92">
        <f>-(I45+I215)</f>
        <v>1688.3645999999999</v>
      </c>
      <c r="J241" s="827"/>
    </row>
    <row r="242" spans="1:10" s="513" customFormat="1">
      <c r="A242" s="510"/>
      <c r="B242" s="511"/>
      <c r="C242" s="555" t="s">
        <v>2832</v>
      </c>
      <c r="D242" s="512"/>
      <c r="E242" s="512"/>
      <c r="F242" s="512"/>
      <c r="I242" s="92">
        <f>-I222</f>
        <v>-98898.25575707294</v>
      </c>
      <c r="J242" s="827"/>
    </row>
    <row r="243" spans="1:10" s="513" customFormat="1">
      <c r="A243" s="510"/>
      <c r="B243" s="511"/>
      <c r="C243" s="512" t="s">
        <v>3553</v>
      </c>
      <c r="D243" s="512"/>
      <c r="E243" s="512"/>
      <c r="F243" s="512"/>
      <c r="I243" s="92">
        <f>-'Rate Base Detail'!J149-'Rate Base'!I210</f>
        <v>5046.9299637799177</v>
      </c>
      <c r="J243" s="827"/>
    </row>
    <row r="244" spans="1:10" s="513" customFormat="1">
      <c r="A244" s="510"/>
      <c r="B244" s="511"/>
      <c r="C244" s="629" t="s">
        <v>4322</v>
      </c>
      <c r="D244" s="512"/>
      <c r="E244" s="512"/>
      <c r="F244" s="512"/>
      <c r="I244" s="92">
        <f>+'Items Not in Rate Base'!P1015</f>
        <v>51.438759583333329</v>
      </c>
      <c r="J244" s="827"/>
    </row>
    <row r="245" spans="1:10" s="513" customFormat="1">
      <c r="A245" s="510"/>
      <c r="B245" s="511"/>
      <c r="C245" s="512" t="s">
        <v>2962</v>
      </c>
      <c r="D245" s="512"/>
      <c r="E245" s="512"/>
      <c r="F245" s="512"/>
      <c r="I245" s="92">
        <f>-I216</f>
        <v>0</v>
      </c>
      <c r="J245" s="827"/>
    </row>
    <row r="246" spans="1:10" s="758" customFormat="1">
      <c r="A246" s="797"/>
      <c r="B246" s="512"/>
      <c r="C246" s="512" t="s">
        <v>4352</v>
      </c>
      <c r="D246" s="512"/>
      <c r="E246" s="512"/>
      <c r="F246" s="512"/>
      <c r="G246" s="92"/>
      <c r="H246" s="92"/>
      <c r="I246" s="92">
        <f>-I217</f>
        <v>-883.71938809918879</v>
      </c>
      <c r="J246" s="827"/>
    </row>
    <row r="247" spans="1:10" s="513" customFormat="1">
      <c r="A247" s="510"/>
      <c r="B247" s="511"/>
      <c r="C247" s="512" t="s">
        <v>4030</v>
      </c>
      <c r="D247" s="512"/>
      <c r="E247" s="512"/>
      <c r="F247" s="512"/>
      <c r="I247" s="92">
        <f>-H55</f>
        <v>2645</v>
      </c>
      <c r="J247" s="827"/>
    </row>
    <row r="248" spans="1:10" s="513" customFormat="1">
      <c r="A248" s="510"/>
      <c r="B248" s="511"/>
      <c r="C248" s="512" t="s">
        <v>4029</v>
      </c>
      <c r="D248" s="512"/>
      <c r="E248" s="512"/>
      <c r="F248" s="512"/>
      <c r="I248" s="92">
        <f>-I211</f>
        <v>-1047.81675</v>
      </c>
      <c r="J248" s="827"/>
    </row>
    <row r="249" spans="1:10" s="513" customFormat="1">
      <c r="A249" s="510"/>
      <c r="B249" s="511"/>
      <c r="C249" s="512" t="s">
        <v>2963</v>
      </c>
      <c r="D249" s="512"/>
      <c r="E249" s="512"/>
      <c r="F249" s="512"/>
      <c r="I249" s="92">
        <f>-I218</f>
        <v>652.35155073613521</v>
      </c>
      <c r="J249" s="827"/>
    </row>
    <row r="250" spans="1:10" s="513" customFormat="1">
      <c r="A250" s="510"/>
      <c r="B250" s="511"/>
      <c r="C250" s="512" t="s">
        <v>4350</v>
      </c>
      <c r="D250" s="512"/>
      <c r="E250" s="512"/>
      <c r="F250" s="512"/>
      <c r="I250" s="92">
        <f>-I212</f>
        <v>-197.01628120199999</v>
      </c>
      <c r="J250" s="827"/>
    </row>
    <row r="251" spans="1:10" s="513" customFormat="1">
      <c r="A251" s="510"/>
      <c r="B251" s="511"/>
      <c r="C251" s="512" t="s">
        <v>4015</v>
      </c>
      <c r="D251" s="512"/>
      <c r="E251" s="512"/>
      <c r="F251" s="512"/>
      <c r="I251" s="92">
        <f>-I213</f>
        <v>4.6111860000000006E-13</v>
      </c>
      <c r="J251" s="827"/>
    </row>
    <row r="252" spans="1:10" s="513" customFormat="1">
      <c r="A252" s="510"/>
      <c r="B252" s="511"/>
      <c r="C252" s="512" t="s">
        <v>4018</v>
      </c>
      <c r="D252" s="512"/>
      <c r="E252" s="512"/>
      <c r="F252" s="512"/>
      <c r="I252" s="92">
        <f>-I66-I214</f>
        <v>1378.0420814745</v>
      </c>
      <c r="J252" s="827"/>
    </row>
    <row r="253" spans="1:10" s="513" customFormat="1">
      <c r="A253" s="510"/>
      <c r="B253" s="511"/>
      <c r="C253" s="512" t="s">
        <v>4016</v>
      </c>
      <c r="D253" s="512"/>
      <c r="E253" s="512"/>
      <c r="F253" s="512"/>
      <c r="I253" s="92">
        <f>'EEPS Elec'!N48/1000+'EEPS Gas'!O49/1000</f>
        <v>-11218.289574166669</v>
      </c>
      <c r="J253" s="827"/>
    </row>
    <row r="254" spans="1:10" s="513" customFormat="1">
      <c r="A254" s="510"/>
      <c r="B254" s="511"/>
      <c r="C254" s="512" t="s">
        <v>3502</v>
      </c>
      <c r="D254" s="512"/>
      <c r="E254" s="512"/>
      <c r="F254" s="512"/>
      <c r="I254" s="92">
        <f>-'Rate Base Detail'!J244</f>
        <v>16567.164133632432</v>
      </c>
      <c r="J254" s="827"/>
    </row>
    <row r="255" spans="1:10" s="513" customFormat="1">
      <c r="A255" s="510"/>
      <c r="B255" s="511"/>
      <c r="C255" s="512" t="s">
        <v>4038</v>
      </c>
      <c r="D255" s="512"/>
      <c r="E255" s="512"/>
      <c r="F255" s="512"/>
      <c r="I255" s="92">
        <f>-I219</f>
        <v>32.999235006552595</v>
      </c>
      <c r="J255" s="827"/>
    </row>
    <row r="256" spans="1:10" s="513" customFormat="1">
      <c r="A256" s="510"/>
      <c r="B256" s="511"/>
      <c r="C256" s="740" t="s">
        <v>4535</v>
      </c>
      <c r="D256" s="512"/>
      <c r="E256" s="512"/>
      <c r="F256" s="512"/>
      <c r="I256" s="92">
        <f>+'Items Not in Rate Base'!P1033</f>
        <v>-18.383513735500127</v>
      </c>
      <c r="J256" s="827"/>
    </row>
    <row r="257" spans="1:10" s="513" customFormat="1">
      <c r="A257" s="510"/>
      <c r="B257" s="511"/>
      <c r="C257" s="512" t="s">
        <v>4040</v>
      </c>
      <c r="D257" s="512"/>
      <c r="E257" s="512"/>
      <c r="F257" s="512"/>
      <c r="I257" s="92">
        <f>-I220</f>
        <v>-39.040743270875026</v>
      </c>
      <c r="J257" s="827"/>
    </row>
    <row r="258" spans="1:10" s="513" customFormat="1" ht="4.5" customHeight="1">
      <c r="A258" s="510"/>
      <c r="B258" s="511"/>
      <c r="C258" s="512"/>
      <c r="D258" s="512"/>
      <c r="E258" s="512"/>
      <c r="F258" s="512"/>
      <c r="I258" s="131">
        <v>0</v>
      </c>
      <c r="J258" s="827"/>
    </row>
    <row r="259" spans="1:10" s="513" customFormat="1">
      <c r="A259" s="510"/>
      <c r="B259" s="511"/>
      <c r="C259" s="512" t="s">
        <v>2581</v>
      </c>
      <c r="D259" s="512"/>
      <c r="E259" s="512"/>
      <c r="F259" s="512"/>
      <c r="I259" s="533">
        <f>SUM(I239:I258)</f>
        <v>6690.9745874574637</v>
      </c>
      <c r="J259" s="827"/>
    </row>
    <row r="260" spans="1:10" s="513" customFormat="1">
      <c r="A260" s="510"/>
      <c r="B260" s="511"/>
      <c r="C260" s="512"/>
      <c r="D260" s="512"/>
      <c r="E260" s="512"/>
      <c r="F260" s="512"/>
      <c r="G260" s="512"/>
      <c r="H260" s="512"/>
      <c r="I260" s="512"/>
    </row>
    <row r="261" spans="1:10" s="513" customFormat="1" ht="13.5" thickBot="1">
      <c r="A261" s="890"/>
      <c r="B261" s="891"/>
      <c r="C261" s="892"/>
      <c r="D261" s="888"/>
      <c r="E261" s="888"/>
      <c r="F261" s="893"/>
      <c r="G261" s="894"/>
      <c r="H261" s="895"/>
      <c r="I261" s="895"/>
    </row>
    <row r="262" spans="1:10">
      <c r="J262" s="513"/>
    </row>
    <row r="263" spans="1:10" s="500" customFormat="1"/>
    <row r="264" spans="1:10" s="500" customFormat="1"/>
    <row r="265" spans="1:10" s="500" customFormat="1"/>
    <row r="266" spans="1:10" s="500" customFormat="1"/>
    <row r="267" spans="1:10" s="500" customFormat="1"/>
    <row r="268" spans="1:10" s="500" customFormat="1"/>
    <row r="269" spans="1:10" s="500" customFormat="1"/>
    <row r="270" spans="1:10" s="500" customFormat="1"/>
  </sheetData>
  <conditionalFormatting sqref="C228:C237 H228:I237 I112 I108 I103 G70:I71 G66:I66 I45 G7 F37:F38 F33:H35 G17:H17 G20:H20 G11:H14 G246:H246 G43:H224 I208:I224">
    <cfRule type="cellIs" dxfId="266" priority="11" stopIfTrue="1" operator="equal">
      <formula>"see detail"</formula>
    </cfRule>
  </conditionalFormatting>
  <printOptions horizontalCentered="1"/>
  <pageMargins left="0" right="0" top="0" bottom="0" header="0" footer="0"/>
  <pageSetup scale="87" fitToHeight="5" orientation="portrait" r:id="rId1"/>
  <headerFooter alignWithMargins="0"/>
  <rowBreaks count="2" manualBreakCount="2">
    <brk id="113" max="8" man="1"/>
    <brk id="261" max="9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2"/>
  <sheetViews>
    <sheetView view="pageBreakPreview" topLeftCell="A14" zoomScale="60" zoomScaleNormal="80" workbookViewId="0">
      <selection activeCell="C49" sqref="C49:O49"/>
    </sheetView>
  </sheetViews>
  <sheetFormatPr defaultRowHeight="12.75"/>
  <cols>
    <col min="1" max="1" width="9.5" style="82" customWidth="1"/>
    <col min="2" max="2" width="28.5" style="82" customWidth="1"/>
    <col min="3" max="3" width="16" style="82" bestFit="1" customWidth="1"/>
    <col min="4" max="4" width="16.125" style="82" bestFit="1" customWidth="1"/>
    <col min="5" max="5" width="16.75" style="82" bestFit="1" customWidth="1"/>
    <col min="6" max="7" width="16.375" style="82" bestFit="1" customWidth="1"/>
    <col min="8" max="9" width="16.125" style="82" bestFit="1" customWidth="1"/>
    <col min="10" max="10" width="16" style="82" bestFit="1" customWidth="1"/>
    <col min="11" max="11" width="13.875" style="82" bestFit="1" customWidth="1"/>
    <col min="12" max="12" width="13.5" style="82" bestFit="1" customWidth="1"/>
    <col min="13" max="15" width="13.875" style="82" bestFit="1" customWidth="1"/>
    <col min="16" max="16384" width="9" style="82"/>
  </cols>
  <sheetData>
    <row r="1" spans="1:15">
      <c r="A1" s="277" t="s">
        <v>2682</v>
      </c>
      <c r="B1" s="93"/>
    </row>
    <row r="2" spans="1:15">
      <c r="A2" s="277" t="s">
        <v>2771</v>
      </c>
      <c r="B2" s="93"/>
    </row>
    <row r="3" spans="1:15">
      <c r="A3" s="277" t="s">
        <v>2738</v>
      </c>
      <c r="B3" s="93"/>
    </row>
    <row r="4" spans="1:15">
      <c r="A4" s="279" t="s">
        <v>2739</v>
      </c>
      <c r="B4" s="94"/>
    </row>
    <row r="5" spans="1:15">
      <c r="A5" s="279"/>
      <c r="B5" s="94"/>
    </row>
    <row r="6" spans="1:15">
      <c r="A6" s="94"/>
      <c r="B6" s="280"/>
    </row>
    <row r="7" spans="1:15" ht="18.75" thickBot="1">
      <c r="A7" s="281" t="s">
        <v>2772</v>
      </c>
      <c r="B7" s="282"/>
      <c r="C7" s="282">
        <v>41639</v>
      </c>
      <c r="D7" s="282">
        <v>41640</v>
      </c>
      <c r="E7" s="282">
        <v>41671</v>
      </c>
      <c r="F7" s="282">
        <v>41699</v>
      </c>
      <c r="G7" s="282">
        <v>41730</v>
      </c>
      <c r="H7" s="282">
        <v>41760</v>
      </c>
      <c r="I7" s="282">
        <v>41791</v>
      </c>
      <c r="J7" s="282">
        <v>41821</v>
      </c>
      <c r="K7" s="282">
        <v>41852</v>
      </c>
      <c r="L7" s="282">
        <v>41883</v>
      </c>
      <c r="M7" s="282">
        <v>41913</v>
      </c>
      <c r="N7" s="282">
        <v>41944</v>
      </c>
      <c r="O7" s="282">
        <v>41974</v>
      </c>
    </row>
    <row r="8" spans="1:15" ht="13.5" thickBot="1">
      <c r="A8" s="711">
        <v>601122</v>
      </c>
      <c r="B8" s="285"/>
    </row>
    <row r="9" spans="1:15">
      <c r="A9" s="284" t="s">
        <v>2741</v>
      </c>
      <c r="B9" s="340"/>
      <c r="C9" s="286">
        <v>-1088505.93</v>
      </c>
      <c r="D9" s="286">
        <v>-1607371.85</v>
      </c>
      <c r="E9" s="286">
        <v>-1875857.99</v>
      </c>
      <c r="F9" s="286">
        <v>-1715655.76</v>
      </c>
      <c r="G9" s="286">
        <v>-1216368.44</v>
      </c>
      <c r="H9" s="286">
        <v>-703353.59</v>
      </c>
      <c r="I9" s="286">
        <v>-392522.88</v>
      </c>
      <c r="J9" s="286">
        <v>-328006.34000000003</v>
      </c>
      <c r="K9" s="835">
        <v>-314515.32</v>
      </c>
      <c r="L9" s="835"/>
      <c r="M9" s="835"/>
      <c r="N9" s="835"/>
      <c r="O9" s="835"/>
    </row>
    <row r="10" spans="1:15">
      <c r="A10" s="341" t="s">
        <v>4252</v>
      </c>
      <c r="B10" s="342"/>
      <c r="K10" s="751"/>
      <c r="L10" s="751"/>
      <c r="M10" s="751"/>
      <c r="N10" s="751"/>
      <c r="O10" s="751"/>
    </row>
    <row r="11" spans="1:15">
      <c r="A11" s="291" t="s">
        <v>2773</v>
      </c>
      <c r="B11" s="343"/>
      <c r="C11" s="292">
        <v>-36703124</v>
      </c>
      <c r="D11" s="292">
        <v>-48319753</v>
      </c>
      <c r="E11" s="292">
        <v>-42036975</v>
      </c>
      <c r="F11" s="292">
        <v>-40240528</v>
      </c>
      <c r="G11" s="292">
        <v>-24165091</v>
      </c>
      <c r="H11" s="292">
        <v>-11923730</v>
      </c>
      <c r="I11" s="292">
        <v>-7905627</v>
      </c>
      <c r="J11" s="292">
        <v>-7145664</v>
      </c>
      <c r="K11" s="836">
        <v>-4060000</v>
      </c>
      <c r="L11" s="836"/>
      <c r="M11" s="836"/>
      <c r="N11" s="836"/>
      <c r="O11" s="836"/>
    </row>
    <row r="12" spans="1:15">
      <c r="A12" s="291" t="s">
        <v>4248</v>
      </c>
      <c r="B12" s="344"/>
      <c r="C12" s="294">
        <v>1.5751000000000001E-2</v>
      </c>
      <c r="D12" s="294">
        <v>2.0670999999999998E-2</v>
      </c>
      <c r="E12" s="294">
        <v>2.0670999999999998E-2</v>
      </c>
      <c r="F12" s="294">
        <v>2.0670999999999998E-2</v>
      </c>
      <c r="G12" s="294">
        <v>2.0670999999999998E-2</v>
      </c>
      <c r="H12" s="294">
        <v>2.0670999999999998E-2</v>
      </c>
      <c r="I12" s="294">
        <v>2.0670999999999998E-2</v>
      </c>
      <c r="J12" s="294">
        <v>2.0670999999999998E-2</v>
      </c>
      <c r="K12" s="837">
        <v>2.0670999999999998E-2</v>
      </c>
      <c r="L12" s="837"/>
      <c r="M12" s="837"/>
      <c r="N12" s="837"/>
      <c r="O12" s="837"/>
    </row>
    <row r="13" spans="1:15">
      <c r="A13" s="291" t="s">
        <v>4253</v>
      </c>
      <c r="B13" s="345"/>
      <c r="C13" s="293">
        <v>-578110.90612400009</v>
      </c>
      <c r="D13" s="293">
        <v>-998817.61426299997</v>
      </c>
      <c r="E13" s="293">
        <v>-868946.31022499991</v>
      </c>
      <c r="F13" s="293">
        <v>-831811.95428799989</v>
      </c>
      <c r="G13" s="293">
        <v>-499516.59606099996</v>
      </c>
      <c r="H13" s="293">
        <v>-246475.42282999997</v>
      </c>
      <c r="I13" s="293">
        <v>-163417.21571699998</v>
      </c>
      <c r="J13" s="293">
        <v>-147708.020544</v>
      </c>
      <c r="K13" s="838">
        <v>-83924.26</v>
      </c>
      <c r="L13" s="838"/>
      <c r="M13" s="838"/>
      <c r="N13" s="838"/>
      <c r="O13" s="838"/>
    </row>
    <row r="14" spans="1:15">
      <c r="A14" s="346" t="s">
        <v>4254</v>
      </c>
      <c r="B14" s="347"/>
      <c r="C14" s="749">
        <v>395265.28086500004</v>
      </c>
      <c r="D14" s="749">
        <v>578110.90612400009</v>
      </c>
      <c r="E14" s="749">
        <v>998817.61426299997</v>
      </c>
      <c r="F14" s="749">
        <v>868946.31022499991</v>
      </c>
      <c r="G14" s="749">
        <v>831811.95428799989</v>
      </c>
      <c r="H14" s="749">
        <v>499516.59606099996</v>
      </c>
      <c r="I14" s="749">
        <v>246475.42282999997</v>
      </c>
      <c r="J14" s="749">
        <v>163417.21571699998</v>
      </c>
      <c r="K14" s="749">
        <v>147708.020544</v>
      </c>
      <c r="L14" s="749"/>
      <c r="M14" s="749"/>
      <c r="N14" s="749"/>
      <c r="O14" s="749"/>
    </row>
    <row r="15" spans="1:15" ht="15">
      <c r="A15" s="297" t="s">
        <v>2743</v>
      </c>
      <c r="B15" s="348"/>
      <c r="C15" s="298">
        <v>-182845.62525900005</v>
      </c>
      <c r="D15" s="298">
        <v>-420706.70813899988</v>
      </c>
      <c r="E15" s="298">
        <v>129871.30403800006</v>
      </c>
      <c r="F15" s="298">
        <v>37134.355937000015</v>
      </c>
      <c r="G15" s="298">
        <v>332295.35822699993</v>
      </c>
      <c r="H15" s="298">
        <v>253041.17323099999</v>
      </c>
      <c r="I15" s="298">
        <v>83058.207112999982</v>
      </c>
      <c r="J15" s="298">
        <v>15709.195172999986</v>
      </c>
      <c r="K15" s="839">
        <v>63783.760544000004</v>
      </c>
      <c r="L15" s="839"/>
      <c r="M15" s="839"/>
      <c r="N15" s="839"/>
      <c r="O15" s="839"/>
    </row>
    <row r="16" spans="1:15">
      <c r="A16" s="299" t="s">
        <v>2744</v>
      </c>
      <c r="B16" s="349"/>
      <c r="C16" s="300">
        <v>-1271351.555259</v>
      </c>
      <c r="D16" s="300">
        <v>-2028078.5581390001</v>
      </c>
      <c r="E16" s="300">
        <v>-1745986.6859619999</v>
      </c>
      <c r="F16" s="300">
        <v>-1678521.4040629999</v>
      </c>
      <c r="G16" s="300">
        <v>-884073.08177300007</v>
      </c>
      <c r="H16" s="300">
        <v>-450312.416769</v>
      </c>
      <c r="I16" s="300">
        <v>-309464.67288700002</v>
      </c>
      <c r="J16" s="300">
        <v>-312297.14482700004</v>
      </c>
      <c r="K16" s="840">
        <v>-250731.55945599999</v>
      </c>
      <c r="L16" s="840"/>
      <c r="M16" s="840"/>
      <c r="N16" s="840"/>
      <c r="O16" s="840"/>
    </row>
    <row r="17" spans="1:15">
      <c r="A17" s="299"/>
      <c r="B17" s="349"/>
      <c r="K17" s="751"/>
      <c r="L17" s="751"/>
      <c r="M17" s="751"/>
      <c r="N17" s="751"/>
      <c r="O17" s="751"/>
    </row>
    <row r="18" spans="1:15">
      <c r="A18" s="299" t="s">
        <v>2774</v>
      </c>
      <c r="B18" s="349"/>
      <c r="C18" s="317"/>
      <c r="D18" s="317"/>
      <c r="E18" s="317"/>
      <c r="F18" s="317"/>
      <c r="G18" s="317"/>
      <c r="H18" s="317"/>
      <c r="I18" s="317"/>
      <c r="J18" s="317"/>
      <c r="K18" s="836"/>
      <c r="L18" s="836"/>
      <c r="M18" s="836"/>
      <c r="N18" s="836"/>
      <c r="O18" s="836"/>
    </row>
    <row r="19" spans="1:15">
      <c r="A19" s="289" t="s">
        <v>2775</v>
      </c>
      <c r="B19" s="349"/>
      <c r="C19" s="317">
        <v>-162213.25</v>
      </c>
      <c r="D19" s="317">
        <v>-420637.75</v>
      </c>
      <c r="E19" s="317">
        <v>-420637.75</v>
      </c>
      <c r="F19" s="317">
        <v>-420637.75</v>
      </c>
      <c r="G19" s="317">
        <v>-420637.75</v>
      </c>
      <c r="H19" s="317">
        <v>-420637.75</v>
      </c>
      <c r="I19" s="317">
        <v>-420637.75</v>
      </c>
      <c r="J19" s="317">
        <v>-420637.75</v>
      </c>
      <c r="K19" s="836">
        <v>-420637.75</v>
      </c>
      <c r="L19" s="836"/>
      <c r="M19" s="836"/>
      <c r="N19" s="836"/>
      <c r="O19" s="836"/>
    </row>
    <row r="20" spans="1:15">
      <c r="A20" s="289" t="s">
        <v>2776</v>
      </c>
      <c r="B20" s="350"/>
      <c r="C20" s="305">
        <v>-434254.33</v>
      </c>
      <c r="D20" s="305">
        <v>-434254.33</v>
      </c>
      <c r="E20" s="305">
        <v>-434254.33</v>
      </c>
      <c r="F20" s="305">
        <v>-434254.33</v>
      </c>
      <c r="G20" s="305">
        <v>-434254.33</v>
      </c>
      <c r="H20" s="305">
        <v>-434254.33</v>
      </c>
      <c r="I20" s="305">
        <v>-434254.33</v>
      </c>
      <c r="J20" s="305">
        <v>-434254.33</v>
      </c>
      <c r="K20" s="841">
        <v>-434254.33</v>
      </c>
      <c r="L20" s="841"/>
      <c r="M20" s="841"/>
      <c r="N20" s="841"/>
      <c r="O20" s="841"/>
    </row>
    <row r="21" spans="1:15">
      <c r="A21" s="289" t="s">
        <v>2748</v>
      </c>
      <c r="B21" s="350"/>
      <c r="C21" s="304">
        <v>-596467.58000000007</v>
      </c>
      <c r="D21" s="304">
        <v>-854892.08000000007</v>
      </c>
      <c r="E21" s="304">
        <v>-854892.08000000007</v>
      </c>
      <c r="F21" s="304">
        <v>-854892.08000000007</v>
      </c>
      <c r="G21" s="304">
        <v>-854892.08000000007</v>
      </c>
      <c r="H21" s="304">
        <v>-854892.08000000007</v>
      </c>
      <c r="I21" s="304">
        <v>-854892.08000000007</v>
      </c>
      <c r="J21" s="304">
        <v>-854892.08000000007</v>
      </c>
      <c r="K21" s="838">
        <v>-854892.08000000007</v>
      </c>
      <c r="L21" s="838"/>
      <c r="M21" s="838"/>
      <c r="N21" s="838"/>
      <c r="O21" s="838"/>
    </row>
    <row r="22" spans="1:15">
      <c r="A22" s="351"/>
      <c r="B22" s="350"/>
      <c r="K22" s="751"/>
      <c r="L22" s="751"/>
      <c r="M22" s="751"/>
      <c r="N22" s="751"/>
      <c r="O22" s="751"/>
    </row>
    <row r="23" spans="1:15">
      <c r="A23" s="308" t="s">
        <v>2777</v>
      </c>
      <c r="B23" s="349"/>
      <c r="C23" s="300">
        <v>-674883.97525899997</v>
      </c>
      <c r="D23" s="300">
        <v>-1173186.478139</v>
      </c>
      <c r="E23" s="300">
        <v>-891094.60596199986</v>
      </c>
      <c r="F23" s="300">
        <v>-823629.3240629998</v>
      </c>
      <c r="G23" s="300">
        <v>-29181.001772999996</v>
      </c>
      <c r="H23" s="300">
        <v>404579.66323100007</v>
      </c>
      <c r="I23" s="300">
        <v>545427.40711300005</v>
      </c>
      <c r="J23" s="300">
        <v>542594.93517299998</v>
      </c>
      <c r="K23" s="840">
        <v>604160.52054400009</v>
      </c>
      <c r="L23" s="840"/>
      <c r="M23" s="840"/>
      <c r="N23" s="840"/>
      <c r="O23" s="840"/>
    </row>
    <row r="24" spans="1:15">
      <c r="A24" s="308"/>
      <c r="B24" s="349"/>
      <c r="K24" s="751"/>
      <c r="L24" s="751"/>
      <c r="M24" s="751"/>
      <c r="N24" s="751"/>
      <c r="O24" s="751"/>
    </row>
    <row r="25" spans="1:15">
      <c r="A25" s="309" t="s">
        <v>2750</v>
      </c>
      <c r="B25" s="352"/>
      <c r="C25" s="310">
        <v>-324929.4661560253</v>
      </c>
      <c r="D25" s="310">
        <v>-1498115.9442950254</v>
      </c>
      <c r="E25" s="310">
        <v>-2389210.5502570253</v>
      </c>
      <c r="F25" s="310">
        <v>-3212839.8743200251</v>
      </c>
      <c r="G25" s="310">
        <v>-3242020.8760930253</v>
      </c>
      <c r="H25" s="310">
        <v>-2837441.212862025</v>
      </c>
      <c r="I25" s="310">
        <v>-2292013.8057490252</v>
      </c>
      <c r="J25" s="310">
        <v>-1749418.8705760252</v>
      </c>
      <c r="K25" s="842">
        <v>-1145258.350032025</v>
      </c>
      <c r="L25" s="842"/>
      <c r="M25" s="842"/>
      <c r="N25" s="842"/>
      <c r="O25" s="842"/>
    </row>
    <row r="26" spans="1:15">
      <c r="A26" s="353" t="s">
        <v>2751</v>
      </c>
      <c r="B26" s="354"/>
      <c r="C26" s="302">
        <v>-324929.48</v>
      </c>
      <c r="D26" s="302">
        <v>-1498115.96</v>
      </c>
      <c r="E26" s="302">
        <v>-2389210.5699999998</v>
      </c>
      <c r="F26" s="302">
        <v>-3212839.89</v>
      </c>
      <c r="G26" s="302">
        <v>-3242020.89</v>
      </c>
      <c r="H26" s="302">
        <v>-2837441.23</v>
      </c>
      <c r="I26" s="302">
        <v>-2292013.8199999998</v>
      </c>
      <c r="J26" s="302">
        <v>-1749418.88</v>
      </c>
      <c r="K26" s="843">
        <v>-1145258.3600000001</v>
      </c>
      <c r="L26" s="843"/>
      <c r="M26" s="843"/>
      <c r="N26" s="843"/>
      <c r="O26" s="843"/>
    </row>
    <row r="27" spans="1:15" ht="25.5" customHeight="1" thickBot="1">
      <c r="A27" s="312" t="s">
        <v>2543</v>
      </c>
      <c r="B27" s="355"/>
      <c r="C27" s="313">
        <v>1.3843974680639803E-2</v>
      </c>
      <c r="D27" s="313">
        <v>1.570497453212738E-2</v>
      </c>
      <c r="E27" s="313">
        <v>1.9742974545806646E-2</v>
      </c>
      <c r="F27" s="313">
        <v>1.5679975040256977E-2</v>
      </c>
      <c r="G27" s="313">
        <v>1.390697481110692E-2</v>
      </c>
      <c r="H27" s="313">
        <v>1.7137974966317415E-2</v>
      </c>
      <c r="I27" s="313">
        <v>1.4250974636524916E-2</v>
      </c>
      <c r="J27" s="313">
        <v>9.4239746686071157E-3</v>
      </c>
      <c r="K27" s="844">
        <v>9.9679750856012106E-3</v>
      </c>
      <c r="L27" s="844"/>
      <c r="M27" s="844"/>
      <c r="N27" s="844"/>
      <c r="O27" s="844"/>
    </row>
    <row r="28" spans="1:15" ht="13.5" thickBot="1">
      <c r="A28" s="311"/>
      <c r="B28" s="314"/>
      <c r="K28" s="751"/>
      <c r="L28" s="751"/>
      <c r="M28" s="751"/>
      <c r="N28" s="751"/>
      <c r="O28" s="751"/>
    </row>
    <row r="29" spans="1:15">
      <c r="A29" s="284" t="s">
        <v>2778</v>
      </c>
      <c r="B29" s="356"/>
      <c r="K29" s="751"/>
      <c r="L29" s="751"/>
      <c r="M29" s="751"/>
      <c r="N29" s="751"/>
      <c r="O29" s="751"/>
    </row>
    <row r="30" spans="1:15">
      <c r="A30" s="311" t="s">
        <v>2779</v>
      </c>
      <c r="B30" s="357"/>
      <c r="C30" s="316">
        <v>-162213.25</v>
      </c>
      <c r="D30" s="316">
        <v>-420637.75</v>
      </c>
      <c r="E30" s="316">
        <v>-420637.75</v>
      </c>
      <c r="F30" s="316">
        <v>-420637.75</v>
      </c>
      <c r="G30" s="316">
        <v>-420637.75</v>
      </c>
      <c r="H30" s="316">
        <v>-420637.75</v>
      </c>
      <c r="I30" s="316">
        <v>-420637.75</v>
      </c>
      <c r="J30" s="316">
        <v>-420637.75</v>
      </c>
      <c r="K30" s="838">
        <v>-420637.75</v>
      </c>
      <c r="L30" s="838"/>
      <c r="M30" s="838"/>
      <c r="N30" s="838"/>
      <c r="O30" s="838"/>
    </row>
    <row r="31" spans="1:15">
      <c r="A31" s="307" t="s">
        <v>2753</v>
      </c>
      <c r="B31" s="357"/>
      <c r="C31" s="305">
        <v>-739319</v>
      </c>
      <c r="D31" s="305"/>
      <c r="E31" s="305"/>
      <c r="F31" s="305"/>
      <c r="G31" s="305"/>
      <c r="H31" s="305"/>
      <c r="I31" s="305"/>
      <c r="J31" s="305"/>
      <c r="K31" s="841"/>
      <c r="L31" s="841"/>
      <c r="M31" s="841"/>
      <c r="N31" s="841"/>
      <c r="O31" s="841"/>
    </row>
    <row r="32" spans="1:15">
      <c r="A32" s="311" t="s">
        <v>2780</v>
      </c>
      <c r="B32" s="357"/>
      <c r="C32" s="305">
        <v>368708.25</v>
      </c>
      <c r="D32" s="305">
        <v>107627</v>
      </c>
      <c r="E32" s="305">
        <v>0</v>
      </c>
      <c r="F32" s="305">
        <v>1992927.25</v>
      </c>
      <c r="G32" s="305">
        <v>8305</v>
      </c>
      <c r="H32" s="305">
        <v>0</v>
      </c>
      <c r="I32" s="305">
        <v>1253608.25</v>
      </c>
      <c r="J32" s="305">
        <v>8305</v>
      </c>
      <c r="K32" s="841">
        <v>0</v>
      </c>
      <c r="L32" s="841"/>
      <c r="M32" s="841"/>
      <c r="N32" s="841"/>
      <c r="O32" s="841"/>
    </row>
    <row r="33" spans="1:15">
      <c r="A33" s="309" t="s">
        <v>2781</v>
      </c>
      <c r="B33" s="358"/>
      <c r="C33" s="310">
        <v>-857251.25333333353</v>
      </c>
      <c r="D33" s="310">
        <v>-1170262.0033333334</v>
      </c>
      <c r="E33" s="310">
        <v>-1590899.7533333334</v>
      </c>
      <c r="F33" s="310">
        <v>-18610.253333333414</v>
      </c>
      <c r="G33" s="310">
        <v>-430943.00333333341</v>
      </c>
      <c r="H33" s="310">
        <v>-851580.75333333341</v>
      </c>
      <c r="I33" s="310">
        <v>-18610.253333333414</v>
      </c>
      <c r="J33" s="310">
        <v>-430943.00333333341</v>
      </c>
      <c r="K33" s="842">
        <v>-851580.75333333341</v>
      </c>
      <c r="L33" s="842"/>
      <c r="M33" s="842"/>
      <c r="N33" s="842"/>
      <c r="O33" s="842"/>
    </row>
    <row r="34" spans="1:15">
      <c r="A34" s="299"/>
      <c r="B34" s="357"/>
      <c r="K34" s="751"/>
      <c r="L34" s="751"/>
      <c r="M34" s="751"/>
      <c r="N34" s="751"/>
      <c r="O34" s="751"/>
    </row>
    <row r="35" spans="1:15">
      <c r="A35" s="359" t="s">
        <v>2782</v>
      </c>
      <c r="B35" s="360"/>
      <c r="C35" s="361">
        <v>-857251.24</v>
      </c>
      <c r="D35" s="361">
        <v>-1170261.99</v>
      </c>
      <c r="E35" s="361">
        <v>-1590899.74</v>
      </c>
      <c r="F35" s="361">
        <v>-18610.239999999991</v>
      </c>
      <c r="G35" s="361">
        <v>-430942.99</v>
      </c>
      <c r="H35" s="361">
        <v>-851580.74</v>
      </c>
      <c r="I35" s="361">
        <v>-18610.240000000002</v>
      </c>
      <c r="J35" s="361">
        <v>-430942.99</v>
      </c>
      <c r="K35" s="845">
        <v>-851580.74</v>
      </c>
      <c r="L35" s="845"/>
      <c r="M35" s="845"/>
      <c r="N35" s="845"/>
      <c r="O35" s="845"/>
    </row>
    <row r="36" spans="1:15" ht="13.5" thickBot="1">
      <c r="A36" s="339" t="s">
        <v>2543</v>
      </c>
      <c r="B36" s="362"/>
      <c r="C36" s="362">
        <v>-1.3333333539776504E-2</v>
      </c>
      <c r="D36" s="362">
        <v>-1.3333333423361182E-2</v>
      </c>
      <c r="E36" s="362">
        <v>-1.3333333423361182E-2</v>
      </c>
      <c r="F36" s="362">
        <v>-1.3333333423361182E-2</v>
      </c>
      <c r="G36" s="362">
        <v>-1.3333333423361182E-2</v>
      </c>
      <c r="H36" s="362">
        <v>-1.3333333423361182E-2</v>
      </c>
      <c r="I36" s="362">
        <v>-1.3333333412447246E-2</v>
      </c>
      <c r="J36" s="362">
        <v>-1.3333333423361182E-2</v>
      </c>
      <c r="K36" s="846">
        <v>-1.3333333423361182E-2</v>
      </c>
      <c r="L36" s="846"/>
      <c r="M36" s="846"/>
      <c r="N36" s="846"/>
      <c r="O36" s="846"/>
    </row>
    <row r="37" spans="1:15" ht="13.5" thickBot="1">
      <c r="A37" s="278"/>
      <c r="B37" s="314"/>
      <c r="K37" s="751"/>
      <c r="L37" s="751"/>
      <c r="M37" s="751"/>
      <c r="N37" s="751"/>
      <c r="O37" s="751"/>
    </row>
    <row r="38" spans="1:15">
      <c r="A38" s="748">
        <v>601123</v>
      </c>
      <c r="B38" s="356"/>
      <c r="K38" s="751"/>
      <c r="L38" s="751"/>
      <c r="M38" s="751"/>
      <c r="N38" s="751"/>
      <c r="O38" s="751"/>
    </row>
    <row r="39" spans="1:15">
      <c r="A39" s="311" t="s">
        <v>2783</v>
      </c>
      <c r="B39" s="357"/>
      <c r="C39" s="363">
        <v>434254.33</v>
      </c>
      <c r="D39" s="363">
        <v>434254.33</v>
      </c>
      <c r="E39" s="363">
        <v>434254.33</v>
      </c>
      <c r="F39" s="363">
        <v>434254.33</v>
      </c>
      <c r="G39" s="363">
        <v>434254.33</v>
      </c>
      <c r="H39" s="363">
        <v>434254.33</v>
      </c>
      <c r="I39" s="363">
        <v>434254.33</v>
      </c>
      <c r="J39" s="363">
        <v>434254.33</v>
      </c>
      <c r="K39" s="847">
        <v>434254.33</v>
      </c>
      <c r="L39" s="847"/>
      <c r="M39" s="847"/>
      <c r="N39" s="847"/>
      <c r="O39" s="847"/>
    </row>
    <row r="40" spans="1:15">
      <c r="A40" s="307" t="s">
        <v>2753</v>
      </c>
      <c r="B40" s="357"/>
      <c r="C40" s="82">
        <v>739319</v>
      </c>
      <c r="K40" s="751"/>
      <c r="L40" s="751"/>
      <c r="M40" s="751"/>
      <c r="N40" s="751"/>
      <c r="O40" s="751"/>
    </row>
    <row r="41" spans="1:15">
      <c r="A41" s="364" t="s">
        <v>2784</v>
      </c>
      <c r="B41" s="360"/>
      <c r="C41" s="319">
        <v>396518.77</v>
      </c>
      <c r="D41" s="319">
        <v>353942.47</v>
      </c>
      <c r="E41" s="319">
        <v>325062.88</v>
      </c>
      <c r="F41" s="319">
        <v>252575.08</v>
      </c>
      <c r="G41" s="319">
        <v>297703.61</v>
      </c>
      <c r="H41" s="319">
        <v>497292.26</v>
      </c>
      <c r="I41" s="319">
        <v>128255.65</v>
      </c>
      <c r="J41" s="319">
        <v>84169.61</v>
      </c>
      <c r="K41" s="841">
        <v>105940.4</v>
      </c>
      <c r="L41" s="841"/>
      <c r="M41" s="841"/>
      <c r="N41" s="841"/>
      <c r="O41" s="841"/>
    </row>
    <row r="42" spans="1:15">
      <c r="A42" s="365"/>
      <c r="B42" s="357"/>
      <c r="K42" s="751"/>
      <c r="L42" s="751"/>
      <c r="M42" s="751"/>
      <c r="N42" s="751"/>
      <c r="O42" s="751"/>
    </row>
    <row r="43" spans="1:15">
      <c r="A43" s="308" t="s">
        <v>2756</v>
      </c>
      <c r="B43" s="357"/>
      <c r="C43" s="363">
        <v>701583.44</v>
      </c>
      <c r="D43" s="363">
        <v>-80311.860000000044</v>
      </c>
      <c r="E43" s="363">
        <v>-109191.45000000001</v>
      </c>
      <c r="F43" s="363">
        <v>-181679.25000000003</v>
      </c>
      <c r="G43" s="363">
        <v>-136550.72000000003</v>
      </c>
      <c r="H43" s="363">
        <v>63037.929999999993</v>
      </c>
      <c r="I43" s="363">
        <v>-305998.68000000005</v>
      </c>
      <c r="J43" s="363">
        <v>-350084.72000000003</v>
      </c>
      <c r="K43" s="847">
        <v>-328313.93000000005</v>
      </c>
      <c r="L43" s="847"/>
      <c r="M43" s="847"/>
      <c r="N43" s="847"/>
      <c r="O43" s="847"/>
    </row>
    <row r="44" spans="1:15">
      <c r="A44" s="364"/>
      <c r="B44" s="360"/>
      <c r="K44" s="751"/>
      <c r="L44" s="751"/>
      <c r="M44" s="751"/>
      <c r="N44" s="751"/>
      <c r="O44" s="751"/>
    </row>
    <row r="45" spans="1:15">
      <c r="A45" s="366" t="s">
        <v>2785</v>
      </c>
      <c r="B45" s="358"/>
      <c r="C45" s="363">
        <v>-6097145.3900000025</v>
      </c>
      <c r="D45" s="363">
        <v>-6177457.2500000028</v>
      </c>
      <c r="E45" s="363">
        <v>-6286648.700000003</v>
      </c>
      <c r="F45" s="363">
        <v>-6468327.950000003</v>
      </c>
      <c r="G45" s="363">
        <v>-6604878.6700000027</v>
      </c>
      <c r="H45" s="363">
        <v>-6541840.740000003</v>
      </c>
      <c r="I45" s="363">
        <v>-6847839.4200000027</v>
      </c>
      <c r="J45" s="363">
        <v>-7197924.1400000025</v>
      </c>
      <c r="K45" s="847">
        <v>-7526238.0700000022</v>
      </c>
      <c r="L45" s="847"/>
      <c r="M45" s="847"/>
      <c r="N45" s="847"/>
      <c r="O45" s="847"/>
    </row>
    <row r="46" spans="1:15">
      <c r="A46" s="311" t="s">
        <v>2751</v>
      </c>
      <c r="B46" s="360"/>
      <c r="C46" s="302">
        <v>-6097145.3799999999</v>
      </c>
      <c r="D46" s="302">
        <v>-6177457.2400000002</v>
      </c>
      <c r="E46" s="302">
        <v>-6286648.6900000004</v>
      </c>
      <c r="F46" s="302">
        <v>-6468327.9400000004</v>
      </c>
      <c r="G46" s="302">
        <v>-6604878.6600000001</v>
      </c>
      <c r="H46" s="302">
        <v>-6541840.7300000004</v>
      </c>
      <c r="I46" s="302">
        <v>-6847839.4100000001</v>
      </c>
      <c r="J46" s="302">
        <v>-7197924.1299999999</v>
      </c>
      <c r="K46" s="843">
        <v>-7526238.0599999996</v>
      </c>
      <c r="L46" s="843"/>
      <c r="M46" s="843"/>
      <c r="N46" s="843"/>
      <c r="O46" s="843"/>
    </row>
    <row r="47" spans="1:15" ht="13.5" thickBot="1">
      <c r="A47" s="312" t="s">
        <v>2543</v>
      </c>
      <c r="B47" s="355"/>
      <c r="C47" s="313">
        <v>-1.0000002570450306E-2</v>
      </c>
      <c r="D47" s="313">
        <v>-1.0000002570450306E-2</v>
      </c>
      <c r="E47" s="313">
        <v>-1.0000002570450306E-2</v>
      </c>
      <c r="F47" s="313">
        <v>-1.0000002570450306E-2</v>
      </c>
      <c r="G47" s="313">
        <v>-1.0000002570450306E-2</v>
      </c>
      <c r="H47" s="313">
        <v>-1.0000002570450306E-2</v>
      </c>
      <c r="I47" s="313">
        <v>-1.0000002570450306E-2</v>
      </c>
      <c r="J47" s="313">
        <v>-1.0000002570450306E-2</v>
      </c>
      <c r="K47" s="844">
        <v>-1.0000002570450306E-2</v>
      </c>
      <c r="L47" s="844"/>
      <c r="M47" s="844"/>
      <c r="N47" s="844"/>
      <c r="O47" s="844"/>
    </row>
    <row r="48" spans="1:15" ht="13.5" thickBot="1">
      <c r="A48" s="367"/>
      <c r="B48" s="315"/>
      <c r="C48" s="349">
        <f t="shared" ref="C48" si="0">C51+C61</f>
        <v>-6192537.5000000028</v>
      </c>
      <c r="D48" s="349">
        <f t="shared" ref="D48:E48" si="1">D51+D61</f>
        <v>-6288206.9100000029</v>
      </c>
      <c r="E48" s="349">
        <f t="shared" si="1"/>
        <v>-6413022.4800000032</v>
      </c>
      <c r="F48" s="349">
        <f t="shared" ref="F48:G48" si="2">F51+F61</f>
        <v>-6610722.740000003</v>
      </c>
      <c r="G48" s="349">
        <f t="shared" si="2"/>
        <v>-6763725.9200000027</v>
      </c>
      <c r="H48" s="349">
        <f t="shared" ref="H48:I48" si="3">H51+H61</f>
        <v>-6717271.1400000034</v>
      </c>
      <c r="I48" s="349">
        <f t="shared" si="3"/>
        <v>-7040193.3100000024</v>
      </c>
      <c r="J48" s="349">
        <f t="shared" ref="J48:K48" si="4">J51+J61</f>
        <v>-7408051.8800000027</v>
      </c>
      <c r="K48" s="848">
        <f t="shared" si="4"/>
        <v>-7755019.0000000019</v>
      </c>
      <c r="L48" s="848"/>
      <c r="M48" s="848"/>
      <c r="N48" s="848"/>
      <c r="O48" s="848"/>
    </row>
    <row r="49" spans="1:15" ht="15">
      <c r="A49" s="297" t="s">
        <v>2786</v>
      </c>
      <c r="B49" s="348"/>
      <c r="C49" s="324">
        <v>-5527788.5916666687</v>
      </c>
      <c r="D49" s="324">
        <v>-5688704.462083335</v>
      </c>
      <c r="E49" s="324">
        <v>-5847747.0429166695</v>
      </c>
      <c r="F49" s="324">
        <v>-6006755.0154166697</v>
      </c>
      <c r="G49" s="324">
        <v>-6162586.0258333357</v>
      </c>
      <c r="H49" s="324">
        <v>-6302910.6812500022</v>
      </c>
      <c r="I49" s="324">
        <v>-6433733.3733333359</v>
      </c>
      <c r="J49" s="324">
        <v>-6567517.4879166707</v>
      </c>
      <c r="K49" s="849">
        <v>-6702669.6550000012</v>
      </c>
      <c r="L49" s="849">
        <v>-6501580.1491666688</v>
      </c>
      <c r="M49" s="849">
        <v>-5952806.326666669</v>
      </c>
      <c r="N49" s="849">
        <v>-5385846.2683333354</v>
      </c>
      <c r="O49" s="849">
        <v>-4841040.1775000012</v>
      </c>
    </row>
    <row r="50" spans="1:15">
      <c r="A50" s="299"/>
      <c r="B50" s="349"/>
      <c r="K50" s="751"/>
      <c r="L50" s="751"/>
      <c r="M50" s="751"/>
      <c r="N50" s="751"/>
      <c r="O50" s="751"/>
    </row>
    <row r="51" spans="1:15">
      <c r="A51" s="311" t="s">
        <v>2787</v>
      </c>
      <c r="B51" s="349"/>
      <c r="C51" s="316">
        <v>-6097145.3900000025</v>
      </c>
      <c r="D51" s="316">
        <v>-6177457.2500000028</v>
      </c>
      <c r="E51" s="316">
        <v>-6286648.700000003</v>
      </c>
      <c r="F51" s="316">
        <v>-6468327.950000003</v>
      </c>
      <c r="G51" s="316">
        <v>-6604878.6700000027</v>
      </c>
      <c r="H51" s="316">
        <v>-6541840.740000003</v>
      </c>
      <c r="I51" s="316">
        <v>-6847839.4200000027</v>
      </c>
      <c r="J51" s="316">
        <v>-7197924.1400000025</v>
      </c>
      <c r="K51" s="838">
        <v>-7526238.0700000022</v>
      </c>
      <c r="L51" s="838">
        <v>-7845255.3400000026</v>
      </c>
      <c r="M51" s="838"/>
      <c r="N51" s="838"/>
      <c r="O51" s="838"/>
    </row>
    <row r="52" spans="1:15">
      <c r="A52" s="311" t="s">
        <v>2759</v>
      </c>
      <c r="B52" s="349"/>
      <c r="C52" s="363">
        <v>-84079.849999999962</v>
      </c>
      <c r="D52" s="363">
        <v>-95392.109999999957</v>
      </c>
      <c r="E52" s="363">
        <v>-110749.65999999996</v>
      </c>
      <c r="F52" s="363">
        <v>-126373.77999999996</v>
      </c>
      <c r="G52" s="363">
        <v>-142394.78999999995</v>
      </c>
      <c r="H52" s="363">
        <v>-158847.24999999994</v>
      </c>
      <c r="I52" s="363">
        <v>-175430.39999999994</v>
      </c>
      <c r="J52" s="363">
        <v>-192353.88999999993</v>
      </c>
      <c r="K52" s="847">
        <v>-210127.73999999993</v>
      </c>
      <c r="L52" s="847">
        <v>-228780.92999999993</v>
      </c>
      <c r="M52" s="847"/>
      <c r="N52" s="847"/>
      <c r="O52" s="847"/>
    </row>
    <row r="53" spans="1:15">
      <c r="A53" s="311" t="s">
        <v>2760</v>
      </c>
      <c r="B53" s="349"/>
      <c r="C53" s="316">
        <v>-6181225.2400000021</v>
      </c>
      <c r="D53" s="316">
        <v>-6272849.3600000031</v>
      </c>
      <c r="E53" s="316">
        <v>-6397398.3600000031</v>
      </c>
      <c r="F53" s="316">
        <v>-6594701.7300000032</v>
      </c>
      <c r="G53" s="316">
        <v>-6747273.4600000028</v>
      </c>
      <c r="H53" s="316">
        <v>-6700687.990000003</v>
      </c>
      <c r="I53" s="316">
        <v>-7023269.8200000031</v>
      </c>
      <c r="J53" s="316">
        <v>-7390278.0300000021</v>
      </c>
      <c r="K53" s="838">
        <v>-7736365.8100000024</v>
      </c>
      <c r="L53" s="838">
        <v>-8074036.2700000023</v>
      </c>
      <c r="M53" s="838"/>
      <c r="N53" s="838"/>
      <c r="O53" s="838"/>
    </row>
    <row r="54" spans="1:15">
      <c r="A54" s="351" t="s">
        <v>2761</v>
      </c>
      <c r="B54" s="350"/>
      <c r="C54" s="300">
        <v>-6526130.4600000018</v>
      </c>
      <c r="D54" s="300">
        <v>-6227037.3000000026</v>
      </c>
      <c r="E54" s="300">
        <v>-6335123.8600000031</v>
      </c>
      <c r="F54" s="300">
        <v>-6496050.0450000037</v>
      </c>
      <c r="G54" s="300">
        <v>-6670987.5950000025</v>
      </c>
      <c r="H54" s="300">
        <v>-6723980.7250000034</v>
      </c>
      <c r="I54" s="300">
        <v>-6861978.9050000031</v>
      </c>
      <c r="J54" s="300">
        <v>-7206773.9250000026</v>
      </c>
      <c r="K54" s="840">
        <v>-7563321.9200000018</v>
      </c>
      <c r="L54" s="840">
        <v>-7905201.0400000028</v>
      </c>
      <c r="M54" s="840"/>
      <c r="N54" s="840"/>
      <c r="O54" s="840"/>
    </row>
    <row r="55" spans="1:15">
      <c r="A55" s="308"/>
      <c r="B55" s="349"/>
      <c r="K55" s="751"/>
      <c r="L55" s="751"/>
      <c r="M55" s="751"/>
      <c r="N55" s="751"/>
      <c r="O55" s="751"/>
    </row>
    <row r="56" spans="1:15">
      <c r="A56" s="289" t="s">
        <v>2762</v>
      </c>
      <c r="B56" s="349"/>
      <c r="C56" s="328">
        <v>1.7333788325861043E-3</v>
      </c>
      <c r="D56" s="328">
        <v>2.4662697723612593E-3</v>
      </c>
      <c r="E56" s="328">
        <v>2.4662697723612593E-3</v>
      </c>
      <c r="F56" s="328">
        <v>2.4662697723612593E-3</v>
      </c>
      <c r="G56" s="328">
        <v>2.4662697723612593E-3</v>
      </c>
      <c r="H56" s="328">
        <v>2.4662697723612593E-3</v>
      </c>
      <c r="I56" s="328">
        <v>2.4662697723612593E-3</v>
      </c>
      <c r="J56" s="328">
        <v>2.4662697723612593E-3</v>
      </c>
      <c r="K56" s="838">
        <v>2.4662697723612593E-3</v>
      </c>
      <c r="L56" s="838">
        <v>2.4662697723612593E-3</v>
      </c>
      <c r="M56" s="838"/>
      <c r="N56" s="838"/>
      <c r="O56" s="838"/>
    </row>
    <row r="57" spans="1:15">
      <c r="A57" s="329" t="s">
        <v>2763</v>
      </c>
      <c r="B57" s="349"/>
      <c r="K57" s="751"/>
      <c r="L57" s="751"/>
      <c r="M57" s="751"/>
      <c r="N57" s="751"/>
      <c r="O57" s="751"/>
    </row>
    <row r="58" spans="1:15">
      <c r="A58" s="289"/>
      <c r="B58" s="349"/>
      <c r="K58" s="751"/>
      <c r="L58" s="751"/>
      <c r="M58" s="751"/>
      <c r="N58" s="751"/>
      <c r="O58" s="751"/>
    </row>
    <row r="59" spans="1:15">
      <c r="A59" s="330" t="s">
        <v>2764</v>
      </c>
      <c r="B59" s="349"/>
      <c r="C59" s="290">
        <v>-11312.26</v>
      </c>
      <c r="D59" s="290">
        <v>-15357.55</v>
      </c>
      <c r="E59" s="290">
        <v>-15624.12</v>
      </c>
      <c r="F59" s="290">
        <v>-16021.01</v>
      </c>
      <c r="G59" s="290">
        <v>-16452.46</v>
      </c>
      <c r="H59" s="290">
        <v>-16583.150000000001</v>
      </c>
      <c r="I59" s="290">
        <v>-16923.490000000002</v>
      </c>
      <c r="J59" s="290">
        <v>-17773.849999999999</v>
      </c>
      <c r="K59" s="838">
        <v>-18653.189999999999</v>
      </c>
      <c r="L59" s="838">
        <v>-19496.36</v>
      </c>
      <c r="M59" s="838"/>
      <c r="N59" s="838"/>
      <c r="O59" s="838"/>
    </row>
    <row r="60" spans="1:15">
      <c r="A60" s="311" t="s">
        <v>2788</v>
      </c>
      <c r="B60" s="349"/>
      <c r="K60" s="751"/>
      <c r="L60" s="751"/>
      <c r="M60" s="751"/>
      <c r="N60" s="751"/>
      <c r="O60" s="751"/>
    </row>
    <row r="61" spans="1:15">
      <c r="A61" s="309" t="s">
        <v>2789</v>
      </c>
      <c r="B61" s="358"/>
      <c r="C61" s="310">
        <v>-95392.109999999957</v>
      </c>
      <c r="D61" s="310">
        <v>-110749.65999999996</v>
      </c>
      <c r="E61" s="310">
        <v>-126373.77999999996</v>
      </c>
      <c r="F61" s="310">
        <v>-142394.78999999995</v>
      </c>
      <c r="G61" s="310">
        <v>-158847.24999999994</v>
      </c>
      <c r="H61" s="310">
        <v>-175430.39999999994</v>
      </c>
      <c r="I61" s="310">
        <v>-192353.88999999993</v>
      </c>
      <c r="J61" s="310">
        <v>-210127.73999999993</v>
      </c>
      <c r="K61" s="842">
        <v>-228780.92999999993</v>
      </c>
      <c r="L61" s="842">
        <v>-248277.28999999992</v>
      </c>
      <c r="M61" s="842"/>
      <c r="N61" s="842"/>
      <c r="O61" s="842"/>
    </row>
    <row r="62" spans="1:15">
      <c r="A62" s="311" t="s">
        <v>2751</v>
      </c>
      <c r="B62" s="360"/>
      <c r="C62" s="302">
        <v>-95392.11</v>
      </c>
      <c r="D62" s="302">
        <v>-110749.66</v>
      </c>
      <c r="E62" s="302">
        <v>-126373.78</v>
      </c>
      <c r="F62" s="302">
        <v>-142394.79</v>
      </c>
      <c r="G62" s="302">
        <v>-158847.25</v>
      </c>
      <c r="H62" s="302">
        <v>-175430.39999999999</v>
      </c>
      <c r="I62" s="302">
        <v>-192353.89</v>
      </c>
      <c r="J62" s="302">
        <v>-210127.74</v>
      </c>
      <c r="K62" s="843">
        <v>-228780.93</v>
      </c>
      <c r="L62" s="843">
        <v>-248277.29</v>
      </c>
      <c r="M62" s="843"/>
      <c r="N62" s="843"/>
      <c r="O62" s="843"/>
    </row>
    <row r="63" spans="1:15" ht="13.5" thickBot="1">
      <c r="A63" s="312" t="s">
        <v>2543</v>
      </c>
      <c r="B63" s="355"/>
      <c r="C63" s="751">
        <v>0</v>
      </c>
      <c r="D63" s="751">
        <v>0</v>
      </c>
      <c r="E63" s="751">
        <v>0</v>
      </c>
      <c r="F63" s="751">
        <v>0</v>
      </c>
      <c r="G63" s="751">
        <v>0</v>
      </c>
      <c r="H63" s="751">
        <v>0</v>
      </c>
      <c r="I63" s="751"/>
      <c r="J63" s="751">
        <v>0</v>
      </c>
    </row>
    <row r="64" spans="1:15">
      <c r="A64" s="278"/>
      <c r="C64" s="751"/>
      <c r="D64" s="751"/>
      <c r="E64" s="751"/>
      <c r="F64" s="751"/>
      <c r="G64" s="751"/>
      <c r="H64" s="751"/>
      <c r="I64" s="751"/>
      <c r="J64" s="751"/>
    </row>
    <row r="65" spans="1:10">
      <c r="A65" s="337" t="s">
        <v>2790</v>
      </c>
      <c r="B65" s="368"/>
    </row>
    <row r="66" spans="1:10">
      <c r="A66" s="369"/>
      <c r="B66" s="287" t="s">
        <v>2791</v>
      </c>
    </row>
    <row r="67" spans="1:10">
      <c r="A67" s="369"/>
      <c r="B67" s="287" t="s">
        <v>2792</v>
      </c>
    </row>
    <row r="68" spans="1:10">
      <c r="A68" s="338"/>
      <c r="B68" s="371" t="s">
        <v>2581</v>
      </c>
    </row>
    <row r="69" spans="1:10">
      <c r="A69" s="372" t="s">
        <v>2793</v>
      </c>
      <c r="C69" s="370">
        <v>-7374718.2194893621</v>
      </c>
      <c r="D69" s="370">
        <v>-8956584.8576283623</v>
      </c>
      <c r="E69" s="370">
        <v>-10393132.783590361</v>
      </c>
      <c r="F69" s="370">
        <v>-9842172.8676533625</v>
      </c>
      <c r="G69" s="370">
        <v>-10436689.799426362</v>
      </c>
      <c r="H69" s="370">
        <v>-10406293.106195362</v>
      </c>
      <c r="I69" s="370">
        <v>-10406293.106195362</v>
      </c>
      <c r="J69" s="370"/>
    </row>
    <row r="70" spans="1:10">
      <c r="A70" s="278"/>
      <c r="C70" s="336">
        <v>857251.25333333353</v>
      </c>
      <c r="D70" s="336">
        <v>1170262.0033333334</v>
      </c>
      <c r="E70" s="336">
        <v>1590899.7533333334</v>
      </c>
      <c r="F70" s="336">
        <v>18610.253333333414</v>
      </c>
      <c r="G70" s="336">
        <v>430943.00333333341</v>
      </c>
      <c r="H70" s="336">
        <v>851580.75333333341</v>
      </c>
      <c r="I70" s="336">
        <v>851580.75333333341</v>
      </c>
      <c r="J70" s="336"/>
    </row>
    <row r="71" spans="1:10" ht="13.5" thickBot="1">
      <c r="A71" s="278"/>
      <c r="C71" s="373">
        <v>6517466.9661560282</v>
      </c>
      <c r="D71" s="373">
        <v>7786322.8542950284</v>
      </c>
      <c r="E71" s="373">
        <v>8802233.0302570276</v>
      </c>
      <c r="F71" s="373">
        <v>9823562.6143200286</v>
      </c>
      <c r="G71" s="373">
        <v>10005746.796093028</v>
      </c>
      <c r="H71" s="373">
        <v>9554712.3528620284</v>
      </c>
      <c r="I71" s="373">
        <v>9554712.3528620284</v>
      </c>
      <c r="J71" s="373"/>
    </row>
    <row r="72" spans="1:10" ht="13.5" thickTop="1"/>
  </sheetData>
  <printOptions horizontalCentered="1"/>
  <pageMargins left="0.25" right="0" top="0.5" bottom="0.33" header="0.5" footer="0.2"/>
  <pageSetup scale="46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48"/>
  <sheetViews>
    <sheetView view="pageBreakPreview" zoomScale="60" zoomScaleNormal="80" workbookViewId="0">
      <selection activeCell="R58" sqref="R58"/>
    </sheetView>
  </sheetViews>
  <sheetFormatPr defaultRowHeight="12.75"/>
  <cols>
    <col min="1" max="1" width="9.25" style="234" bestFit="1" customWidth="1"/>
    <col min="2" max="2" width="8.75" style="234" bestFit="1" customWidth="1"/>
    <col min="3" max="3" width="8.25" style="234" bestFit="1" customWidth="1"/>
    <col min="4" max="4" width="10.25" style="234" customWidth="1"/>
    <col min="5" max="5" width="13.125" style="707" customWidth="1"/>
    <col min="6" max="6" width="9.125" style="234" bestFit="1" customWidth="1"/>
    <col min="7" max="7" width="12.625" style="234" bestFit="1" customWidth="1"/>
    <col min="8" max="8" width="10.5" style="234" bestFit="1" customWidth="1"/>
    <col min="9" max="9" width="12" style="234" bestFit="1" customWidth="1"/>
    <col min="10" max="11" width="10.75" style="234" customWidth="1"/>
    <col min="12" max="12" width="11" style="234" bestFit="1" customWidth="1"/>
    <col min="13" max="21" width="10.75" style="234" customWidth="1"/>
    <col min="22" max="22" width="11" style="234" bestFit="1" customWidth="1"/>
    <col min="23" max="16384" width="9" style="234"/>
  </cols>
  <sheetData>
    <row r="1" spans="1:22">
      <c r="A1" s="233" t="s">
        <v>2682</v>
      </c>
    </row>
    <row r="2" spans="1:22">
      <c r="A2" s="233" t="s">
        <v>2683</v>
      </c>
    </row>
    <row r="4" spans="1:22">
      <c r="A4" s="245" t="s">
        <v>2693</v>
      </c>
    </row>
    <row r="5" spans="1:22">
      <c r="B5" s="235"/>
    </row>
    <row r="6" spans="1:22">
      <c r="B6" s="235"/>
    </row>
    <row r="7" spans="1:22">
      <c r="A7" s="247" t="s">
        <v>2685</v>
      </c>
      <c r="B7" s="235"/>
      <c r="I7" s="238">
        <v>41609</v>
      </c>
      <c r="J7" s="238">
        <v>41640</v>
      </c>
      <c r="K7" s="238">
        <v>41671</v>
      </c>
      <c r="L7" s="238">
        <v>41699</v>
      </c>
      <c r="M7" s="238">
        <v>41730</v>
      </c>
      <c r="N7" s="238">
        <v>41760</v>
      </c>
      <c r="O7" s="238">
        <v>41791</v>
      </c>
      <c r="P7" s="238">
        <v>41821</v>
      </c>
      <c r="Q7" s="238">
        <v>41852</v>
      </c>
      <c r="R7" s="238">
        <v>41883</v>
      </c>
      <c r="S7" s="238">
        <v>41913</v>
      </c>
      <c r="T7" s="238">
        <v>41944</v>
      </c>
      <c r="U7" s="238">
        <v>41974</v>
      </c>
    </row>
    <row r="8" spans="1:22" ht="15.75">
      <c r="B8" s="235"/>
      <c r="E8" s="707">
        <v>590441</v>
      </c>
      <c r="F8" s="707">
        <v>601133</v>
      </c>
      <c r="G8" s="239" t="s">
        <v>2473</v>
      </c>
      <c r="I8" s="237">
        <v>1068155.45</v>
      </c>
      <c r="J8" s="237">
        <v>1068155.45</v>
      </c>
      <c r="K8" s="237">
        <v>1068155.45</v>
      </c>
      <c r="L8" s="237">
        <v>1068155.45</v>
      </c>
      <c r="M8" s="237">
        <v>1075391.1200000001</v>
      </c>
      <c r="N8" s="237">
        <v>1075391.1200000001</v>
      </c>
      <c r="O8" s="237">
        <v>1075391.1200000001</v>
      </c>
      <c r="P8" s="237">
        <v>1075391.1200000001</v>
      </c>
      <c r="Q8" s="237">
        <v>1075391.1200000001</v>
      </c>
      <c r="R8" s="237">
        <v>1075391.1200000001</v>
      </c>
      <c r="S8" s="237">
        <v>629128.87</v>
      </c>
      <c r="T8" s="237">
        <v>1011639.37</v>
      </c>
      <c r="U8" s="237">
        <v>1011639.37</v>
      </c>
      <c r="V8" s="236">
        <f>SUM(J8:U8)</f>
        <v>12309220.679999998</v>
      </c>
    </row>
    <row r="9" spans="1:22" ht="15">
      <c r="B9" s="235"/>
      <c r="E9" s="707">
        <v>590441</v>
      </c>
      <c r="F9" s="707">
        <v>601134</v>
      </c>
      <c r="G9" s="239" t="s">
        <v>2474</v>
      </c>
      <c r="I9" s="240">
        <v>614537.48</v>
      </c>
      <c r="J9" s="240">
        <v>614537.48</v>
      </c>
      <c r="K9" s="240">
        <v>614537.48</v>
      </c>
      <c r="L9" s="240">
        <v>614537.48</v>
      </c>
      <c r="M9" s="240">
        <v>618700.35</v>
      </c>
      <c r="N9" s="240">
        <v>618700.35</v>
      </c>
      <c r="O9" s="240">
        <v>618700.35</v>
      </c>
      <c r="P9" s="240">
        <v>618700.35</v>
      </c>
      <c r="Q9" s="240">
        <v>618700.35</v>
      </c>
      <c r="R9" s="240">
        <v>618700.35</v>
      </c>
      <c r="S9" s="240">
        <v>-311164.49</v>
      </c>
      <c r="T9" s="240">
        <v>485839.6</v>
      </c>
      <c r="U9" s="240">
        <v>485839.6</v>
      </c>
      <c r="V9" s="236">
        <f>SUM(J9:U9)</f>
        <v>6216329.2499999981</v>
      </c>
    </row>
    <row r="10" spans="1:22">
      <c r="B10" s="235"/>
      <c r="I10" s="236">
        <v>1682692.93</v>
      </c>
      <c r="J10" s="236">
        <f t="shared" ref="J10" si="0">+J9+J8</f>
        <v>1682692.93</v>
      </c>
      <c r="K10" s="236">
        <f t="shared" ref="K10:M10" si="1">+K9+K8</f>
        <v>1682692.93</v>
      </c>
      <c r="L10" s="236">
        <f t="shared" si="1"/>
        <v>1682692.93</v>
      </c>
      <c r="M10" s="236">
        <f t="shared" si="1"/>
        <v>1694091.4700000002</v>
      </c>
      <c r="N10" s="236">
        <f t="shared" ref="N10:O10" si="2">+N9+N8</f>
        <v>1694091.4700000002</v>
      </c>
      <c r="O10" s="236">
        <f t="shared" si="2"/>
        <v>1694091.4700000002</v>
      </c>
      <c r="P10" s="236">
        <f t="shared" ref="P10:Q10" si="3">+P9+P8</f>
        <v>1694091.4700000002</v>
      </c>
      <c r="Q10" s="236">
        <f t="shared" si="3"/>
        <v>1694091.4700000002</v>
      </c>
      <c r="R10" s="236">
        <f t="shared" ref="R10:S10" si="4">+R9+R8</f>
        <v>1694091.4700000002</v>
      </c>
      <c r="S10" s="236">
        <f t="shared" si="4"/>
        <v>317964.38</v>
      </c>
      <c r="T10" s="236">
        <f t="shared" ref="T10:U10" si="5">+T9+T8</f>
        <v>1497478.97</v>
      </c>
      <c r="U10" s="236">
        <f t="shared" si="5"/>
        <v>1497478.97</v>
      </c>
      <c r="V10" s="236">
        <f>+V9+V8</f>
        <v>18525549.929999996</v>
      </c>
    </row>
    <row r="11" spans="1:22">
      <c r="B11" s="235"/>
    </row>
    <row r="12" spans="1:22">
      <c r="B12" s="235"/>
    </row>
    <row r="13" spans="1:22">
      <c r="B13" s="235"/>
    </row>
    <row r="14" spans="1:22">
      <c r="B14" s="235"/>
    </row>
    <row r="15" spans="1:22">
      <c r="B15" s="235"/>
    </row>
    <row r="16" spans="1:22" ht="15.75">
      <c r="A16" s="246" t="s">
        <v>2684</v>
      </c>
      <c r="B16" s="235"/>
      <c r="D16" s="237"/>
      <c r="E16" s="707">
        <v>165290</v>
      </c>
      <c r="H16" s="238"/>
      <c r="I16" s="238">
        <v>41609</v>
      </c>
      <c r="J16" s="238">
        <v>41640</v>
      </c>
      <c r="K16" s="238">
        <v>41671</v>
      </c>
      <c r="L16" s="238">
        <v>41699</v>
      </c>
      <c r="M16" s="238">
        <v>41730</v>
      </c>
      <c r="N16" s="238">
        <v>41760</v>
      </c>
      <c r="O16" s="238">
        <v>41791</v>
      </c>
      <c r="P16" s="238">
        <v>41821</v>
      </c>
      <c r="Q16" s="238">
        <v>41852</v>
      </c>
      <c r="R16" s="238">
        <v>41883</v>
      </c>
      <c r="S16" s="238">
        <v>41913</v>
      </c>
      <c r="T16" s="238">
        <v>41944</v>
      </c>
      <c r="U16" s="238">
        <v>41974</v>
      </c>
    </row>
    <row r="17" spans="1:21">
      <c r="B17" s="235"/>
      <c r="F17" s="234" t="s">
        <v>2686</v>
      </c>
      <c r="H17" s="236"/>
      <c r="I17" s="873">
        <v>6997795.4799999977</v>
      </c>
      <c r="J17" s="873">
        <f t="shared" ref="J17:U17" si="6">+I21</f>
        <v>5315102.549999998</v>
      </c>
      <c r="K17" s="873">
        <f t="shared" si="6"/>
        <v>3632409.6199999982</v>
      </c>
      <c r="L17" s="873">
        <f t="shared" si="6"/>
        <v>1949716.6899999983</v>
      </c>
      <c r="M17" s="873">
        <f t="shared" si="6"/>
        <v>10431572.569999997</v>
      </c>
      <c r="N17" s="873">
        <f t="shared" si="6"/>
        <v>8737481.0999999959</v>
      </c>
      <c r="O17" s="873">
        <f t="shared" si="6"/>
        <v>7043389.6299999952</v>
      </c>
      <c r="P17" s="873">
        <f t="shared" si="6"/>
        <v>5349298.1599999946</v>
      </c>
      <c r="Q17" s="873">
        <f t="shared" si="6"/>
        <v>3655206.6899999944</v>
      </c>
      <c r="R17" s="873">
        <f t="shared" si="6"/>
        <v>1961115.2199999942</v>
      </c>
      <c r="S17" s="873">
        <f t="shared" si="6"/>
        <v>8072222.559999994</v>
      </c>
      <c r="T17" s="873">
        <f t="shared" si="6"/>
        <v>7754258.1799999941</v>
      </c>
      <c r="U17" s="873">
        <f t="shared" si="6"/>
        <v>6256779.2099999944</v>
      </c>
    </row>
    <row r="18" spans="1:21" ht="15.75">
      <c r="B18" s="235"/>
      <c r="D18" s="237"/>
      <c r="F18" s="241" t="s">
        <v>2687</v>
      </c>
      <c r="I18" s="237">
        <v>-1682692.93</v>
      </c>
      <c r="J18" s="237">
        <f t="shared" ref="J18:K18" si="7">-J10</f>
        <v>-1682692.93</v>
      </c>
      <c r="K18" s="237">
        <f t="shared" si="7"/>
        <v>-1682692.93</v>
      </c>
      <c r="L18" s="237">
        <f t="shared" ref="L18:M18" si="8">-L10</f>
        <v>-1682692.93</v>
      </c>
      <c r="M18" s="237">
        <f t="shared" si="8"/>
        <v>-1694091.4700000002</v>
      </c>
      <c r="N18" s="237">
        <f t="shared" ref="N18:O18" si="9">-N10</f>
        <v>-1694091.4700000002</v>
      </c>
      <c r="O18" s="237">
        <f t="shared" si="9"/>
        <v>-1694091.4700000002</v>
      </c>
      <c r="P18" s="237">
        <f t="shared" ref="P18:Q18" si="10">-P10</f>
        <v>-1694091.4700000002</v>
      </c>
      <c r="Q18" s="237">
        <f t="shared" si="10"/>
        <v>-1694091.4700000002</v>
      </c>
      <c r="R18" s="237">
        <f t="shared" ref="R18:S18" si="11">-R10</f>
        <v>-1694091.4700000002</v>
      </c>
      <c r="S18" s="237">
        <f t="shared" si="11"/>
        <v>-317964.38</v>
      </c>
      <c r="T18" s="237">
        <f t="shared" ref="T18:U18" si="12">-T10</f>
        <v>-1497478.97</v>
      </c>
      <c r="U18" s="237">
        <f t="shared" si="12"/>
        <v>-1497478.97</v>
      </c>
    </row>
    <row r="19" spans="1:21" ht="15.75">
      <c r="B19" s="235"/>
      <c r="D19" s="237"/>
      <c r="F19" s="241" t="s">
        <v>2688</v>
      </c>
      <c r="L19" s="752">
        <f>6452346.72+3712202.09</f>
        <v>10164548.809999999</v>
      </c>
      <c r="R19" s="752">
        <f>5687325.7+2117873.11</f>
        <v>7805198.8100000005</v>
      </c>
      <c r="S19" s="752"/>
      <c r="T19" s="752"/>
      <c r="U19" s="752"/>
    </row>
    <row r="20" spans="1:21" ht="15.75">
      <c r="B20" s="235"/>
      <c r="D20" s="237"/>
      <c r="F20" s="241" t="s">
        <v>2689</v>
      </c>
      <c r="I20" s="236">
        <v>-1682692.93</v>
      </c>
      <c r="J20" s="236">
        <f t="shared" ref="J20" si="13">+J19+J18</f>
        <v>-1682692.93</v>
      </c>
      <c r="K20" s="236">
        <f t="shared" ref="K20:L20" si="14">+K19+K18</f>
        <v>-1682692.93</v>
      </c>
      <c r="L20" s="236">
        <f t="shared" si="14"/>
        <v>8481855.879999999</v>
      </c>
      <c r="M20" s="236">
        <f t="shared" ref="M20:N20" si="15">+M19+M18</f>
        <v>-1694091.4700000002</v>
      </c>
      <c r="N20" s="236">
        <f t="shared" si="15"/>
        <v>-1694091.4700000002</v>
      </c>
      <c r="O20" s="236">
        <f t="shared" ref="O20:P20" si="16">+O19+O18</f>
        <v>-1694091.4700000002</v>
      </c>
      <c r="P20" s="236">
        <f t="shared" si="16"/>
        <v>-1694091.4700000002</v>
      </c>
      <c r="Q20" s="236">
        <f t="shared" ref="Q20:R20" si="17">+Q19+Q18</f>
        <v>-1694091.4700000002</v>
      </c>
      <c r="R20" s="236">
        <f t="shared" si="17"/>
        <v>6111107.3399999999</v>
      </c>
      <c r="S20" s="236">
        <f t="shared" ref="S20:T20" si="18">+S19+S18</f>
        <v>-317964.38</v>
      </c>
      <c r="T20" s="236">
        <f t="shared" si="18"/>
        <v>-1497478.97</v>
      </c>
      <c r="U20" s="236">
        <f t="shared" ref="U20" si="19">+U19+U18</f>
        <v>-1497478.97</v>
      </c>
    </row>
    <row r="21" spans="1:21" ht="15.75">
      <c r="B21" s="235"/>
      <c r="D21" s="237"/>
      <c r="F21" s="242" t="s">
        <v>2690</v>
      </c>
      <c r="H21" s="236"/>
      <c r="I21" s="236">
        <v>5315102.549999998</v>
      </c>
      <c r="J21" s="236">
        <f t="shared" ref="J21" si="20">+J20+J17</f>
        <v>3632409.6199999982</v>
      </c>
      <c r="K21" s="236">
        <f t="shared" ref="K21:L21" si="21">+K20+K17</f>
        <v>1949716.6899999983</v>
      </c>
      <c r="L21" s="236">
        <f t="shared" si="21"/>
        <v>10431572.569999997</v>
      </c>
      <c r="M21" s="236">
        <f t="shared" ref="M21:N21" si="22">+M20+M17</f>
        <v>8737481.0999999959</v>
      </c>
      <c r="N21" s="236">
        <f t="shared" si="22"/>
        <v>7043389.6299999952</v>
      </c>
      <c r="O21" s="236">
        <f t="shared" ref="O21:P21" si="23">+O20+O17</f>
        <v>5349298.1599999946</v>
      </c>
      <c r="P21" s="236">
        <f t="shared" si="23"/>
        <v>3655206.6899999944</v>
      </c>
      <c r="Q21" s="236">
        <f t="shared" ref="Q21:R21" si="24">+Q20+Q17</f>
        <v>1961115.2199999942</v>
      </c>
      <c r="R21" s="236">
        <f t="shared" si="24"/>
        <v>8072222.559999994</v>
      </c>
      <c r="S21" s="236">
        <f t="shared" ref="S21:T21" si="25">+S20+S17</f>
        <v>7754258.1799999941</v>
      </c>
      <c r="T21" s="236">
        <f t="shared" si="25"/>
        <v>6256779.2099999944</v>
      </c>
      <c r="U21" s="236">
        <f t="shared" ref="U21" si="26">+U20+U17</f>
        <v>4759300.2399999946</v>
      </c>
    </row>
    <row r="22" spans="1:21" ht="15.75">
      <c r="B22" s="235"/>
      <c r="D22" s="237"/>
      <c r="F22" s="243" t="s">
        <v>2691</v>
      </c>
    </row>
    <row r="23" spans="1:21" ht="15.75">
      <c r="B23" s="235"/>
      <c r="D23" s="237"/>
    </row>
    <row r="24" spans="1:21" ht="15.75">
      <c r="B24" s="235"/>
      <c r="D24" s="237"/>
      <c r="F24" s="243" t="s">
        <v>2692</v>
      </c>
      <c r="I24" s="236">
        <v>5579874.3529166663</v>
      </c>
      <c r="J24" s="236">
        <v>5559671.8450000016</v>
      </c>
      <c r="K24" s="236">
        <v>5547550.3395833345</v>
      </c>
      <c r="L24" s="236">
        <v>5522596.5337500023</v>
      </c>
      <c r="M24" s="236">
        <v>5484255.4766666694</v>
      </c>
      <c r="N24" s="236">
        <v>5452885.5204166695</v>
      </c>
      <c r="O24" s="236">
        <v>5428486.6650000019</v>
      </c>
      <c r="P24" s="236">
        <v>5411058.9104166683</v>
      </c>
      <c r="Q24" s="236">
        <v>5400602.2566666678</v>
      </c>
      <c r="R24" s="236">
        <v>5301660.0891666682</v>
      </c>
      <c r="S24" s="236">
        <v>5167610.5470833341</v>
      </c>
      <c r="T24" s="236">
        <v>5098141.942916668</v>
      </c>
      <c r="U24" s="236">
        <v>5044107.8354166672</v>
      </c>
    </row>
    <row r="25" spans="1:21" ht="15.75">
      <c r="B25" s="235"/>
      <c r="D25" s="237"/>
      <c r="G25" s="239" t="s">
        <v>2473</v>
      </c>
      <c r="H25" s="244">
        <f>+Allocators!C16</f>
        <v>0.63460000000000005</v>
      </c>
      <c r="I25" s="237">
        <v>3540988.2643609168</v>
      </c>
      <c r="J25" s="237">
        <v>3528167.7528370013</v>
      </c>
      <c r="K25" s="237">
        <v>3520475.4454995845</v>
      </c>
      <c r="L25" s="237">
        <v>3504639.7603177517</v>
      </c>
      <c r="M25" s="237">
        <v>3480308.5254926686</v>
      </c>
      <c r="N25" s="237">
        <v>3460401.1512564188</v>
      </c>
      <c r="O25" s="237">
        <v>3444917.6376090017</v>
      </c>
      <c r="P25" s="237">
        <v>3433857.9845504179</v>
      </c>
      <c r="Q25" s="237">
        <v>3427222.1920806677</v>
      </c>
      <c r="R25" s="237">
        <v>3364433.4925851678</v>
      </c>
      <c r="S25" s="237">
        <v>3279365.653179084</v>
      </c>
      <c r="T25" s="237">
        <v>3235280.8769749179</v>
      </c>
      <c r="U25" s="237">
        <v>3200990.8323554173</v>
      </c>
    </row>
    <row r="26" spans="1:21" ht="15.75">
      <c r="B26" s="235"/>
      <c r="D26" s="237"/>
      <c r="G26" s="239" t="s">
        <v>2474</v>
      </c>
      <c r="H26" s="244">
        <f>+Allocators!D16</f>
        <v>0.3654</v>
      </c>
      <c r="I26" s="236">
        <v>2038886.0885557495</v>
      </c>
      <c r="J26" s="236">
        <v>2031504.0921630003</v>
      </c>
      <c r="K26" s="236">
        <v>2027074.89408375</v>
      </c>
      <c r="L26" s="236">
        <v>2017956.7734322506</v>
      </c>
      <c r="M26" s="236">
        <v>2003946.9511740007</v>
      </c>
      <c r="N26" s="236">
        <v>1992484.3691602508</v>
      </c>
      <c r="O26" s="236">
        <v>1983569.0273910002</v>
      </c>
      <c r="P26" s="236">
        <v>1977200.9258662504</v>
      </c>
      <c r="Q26" s="236">
        <v>1973380.0645860001</v>
      </c>
      <c r="R26" s="236">
        <v>1937226.5965815005</v>
      </c>
      <c r="S26" s="236">
        <v>1888244.8939042501</v>
      </c>
      <c r="T26" s="236">
        <v>1862861.0659417501</v>
      </c>
      <c r="U26" s="236">
        <v>1843117.0030612499</v>
      </c>
    </row>
    <row r="27" spans="1:21" ht="15.75">
      <c r="B27" s="235"/>
      <c r="D27" s="237"/>
      <c r="G27" s="239"/>
    </row>
    <row r="32" spans="1:21" ht="15.75">
      <c r="A32" s="766" t="s">
        <v>4310</v>
      </c>
      <c r="B32" s="701"/>
      <c r="C32" s="701"/>
      <c r="D32" s="701"/>
      <c r="E32" s="701"/>
      <c r="F32" s="701"/>
    </row>
    <row r="33" spans="1:22" ht="15.75">
      <c r="A33" s="766"/>
      <c r="B33" s="701"/>
      <c r="C33" s="701"/>
      <c r="D33" s="701"/>
      <c r="E33" s="701"/>
      <c r="F33" s="701"/>
    </row>
    <row r="34" spans="1:22" ht="15.75">
      <c r="A34" s="767" t="s">
        <v>4311</v>
      </c>
      <c r="B34" s="701"/>
      <c r="C34" s="768" t="s">
        <v>2826</v>
      </c>
      <c r="D34" s="701"/>
      <c r="E34" s="701"/>
      <c r="F34" s="701"/>
    </row>
    <row r="35" spans="1:22" ht="15.75">
      <c r="A35" s="767">
        <v>174210</v>
      </c>
      <c r="B35" s="769"/>
      <c r="C35" s="776">
        <v>601133</v>
      </c>
      <c r="D35" s="769"/>
      <c r="E35" s="768" t="s">
        <v>2473</v>
      </c>
      <c r="F35" s="769"/>
      <c r="I35" s="780">
        <v>2374557.8300000005</v>
      </c>
      <c r="J35" s="780">
        <f>21811.7+I35</f>
        <v>2396369.5300000007</v>
      </c>
      <c r="K35" s="780">
        <f>146058.15+J35</f>
        <v>2542427.6800000006</v>
      </c>
      <c r="L35" s="780">
        <f>89355.44+K35</f>
        <v>2631783.1200000006</v>
      </c>
      <c r="M35" s="780">
        <f>208946.42+L35</f>
        <v>2840729.5400000005</v>
      </c>
      <c r="N35" s="780">
        <f>154094.89+M35</f>
        <v>2994824.4300000006</v>
      </c>
      <c r="O35" s="780">
        <f>78491.87+N35</f>
        <v>3073316.3000000007</v>
      </c>
      <c r="P35" s="780">
        <f>-3073316.3+O35</f>
        <v>0</v>
      </c>
      <c r="Q35" s="780">
        <f t="shared" ref="Q35:U37" si="27">0+P35</f>
        <v>0</v>
      </c>
      <c r="R35" s="780">
        <f t="shared" si="27"/>
        <v>0</v>
      </c>
      <c r="S35" s="780">
        <f t="shared" si="27"/>
        <v>0</v>
      </c>
      <c r="T35" s="780">
        <f t="shared" si="27"/>
        <v>0</v>
      </c>
      <c r="U35" s="780">
        <f t="shared" si="27"/>
        <v>0</v>
      </c>
    </row>
    <row r="36" spans="1:22" ht="15.75">
      <c r="A36" s="767">
        <v>174210</v>
      </c>
      <c r="B36" s="701"/>
      <c r="C36" s="777" t="s">
        <v>4316</v>
      </c>
      <c r="D36" s="701"/>
      <c r="E36" s="768" t="s">
        <v>2473</v>
      </c>
      <c r="F36" s="701"/>
      <c r="I36" s="781">
        <v>26270.160000000003</v>
      </c>
      <c r="J36" s="781">
        <f>-10478.08+I36</f>
        <v>15792.080000000004</v>
      </c>
      <c r="K36" s="781">
        <f>-11446.99+J36</f>
        <v>4345.0900000000038</v>
      </c>
      <c r="L36" s="781">
        <f>-837.72+K36</f>
        <v>3507.3700000000035</v>
      </c>
      <c r="M36" s="781">
        <f>16582.04+L36</f>
        <v>20089.410000000003</v>
      </c>
      <c r="N36" s="781">
        <f>9328.55+M36</f>
        <v>29417.960000000003</v>
      </c>
      <c r="O36" s="781">
        <f>1168.38+N36</f>
        <v>30586.340000000004</v>
      </c>
      <c r="P36" s="781">
        <f>-30586.34+O36</f>
        <v>0</v>
      </c>
      <c r="Q36" s="781">
        <f t="shared" si="27"/>
        <v>0</v>
      </c>
      <c r="R36" s="781">
        <f t="shared" si="27"/>
        <v>0</v>
      </c>
      <c r="S36" s="781">
        <f t="shared" si="27"/>
        <v>0</v>
      </c>
      <c r="T36" s="781">
        <f t="shared" si="27"/>
        <v>0</v>
      </c>
      <c r="U36" s="781">
        <f t="shared" si="27"/>
        <v>0</v>
      </c>
    </row>
    <row r="37" spans="1:22" ht="15.75">
      <c r="A37" s="767">
        <v>174210</v>
      </c>
      <c r="B37" s="701"/>
      <c r="C37" s="777" t="s">
        <v>4317</v>
      </c>
      <c r="D37" s="701"/>
      <c r="E37" s="768" t="s">
        <v>2473</v>
      </c>
      <c r="F37" s="701"/>
      <c r="I37" s="782">
        <v>-100897.85</v>
      </c>
      <c r="J37" s="782">
        <f>36805.37+I37</f>
        <v>-64092.480000000003</v>
      </c>
      <c r="K37" s="782">
        <f>33140.11+J37</f>
        <v>-30952.370000000003</v>
      </c>
      <c r="L37" s="782">
        <f>34812.83+K37</f>
        <v>3860.4599999999991</v>
      </c>
      <c r="M37" s="782">
        <f>24262.69+L37</f>
        <v>28123.149999999998</v>
      </c>
      <c r="N37" s="782">
        <f>25880.81+M37</f>
        <v>54003.96</v>
      </c>
      <c r="O37" s="782">
        <f>73517.83+N37</f>
        <v>127521.79000000001</v>
      </c>
      <c r="P37" s="782">
        <f>-127521.49+O37</f>
        <v>0.30000000000291038</v>
      </c>
      <c r="Q37" s="782">
        <f t="shared" si="27"/>
        <v>0.30000000000291038</v>
      </c>
      <c r="R37" s="782">
        <f t="shared" si="27"/>
        <v>0.30000000000291038</v>
      </c>
      <c r="S37" s="782">
        <f t="shared" si="27"/>
        <v>0.30000000000291038</v>
      </c>
      <c r="T37" s="782">
        <f t="shared" si="27"/>
        <v>0.30000000000291038</v>
      </c>
      <c r="U37" s="782">
        <f t="shared" si="27"/>
        <v>0.30000000000291038</v>
      </c>
    </row>
    <row r="38" spans="1:22" ht="15.75">
      <c r="A38" s="766">
        <v>174210</v>
      </c>
      <c r="B38" s="770" t="s">
        <v>4312</v>
      </c>
      <c r="C38" s="770"/>
      <c r="D38" s="701"/>
      <c r="E38" s="768" t="s">
        <v>2473</v>
      </c>
      <c r="F38" s="701"/>
      <c r="I38" s="783">
        <v>2299930.1400000006</v>
      </c>
      <c r="J38" s="783">
        <f t="shared" ref="J38:K38" si="28">SUM(J35:J37)</f>
        <v>2348069.1300000008</v>
      </c>
      <c r="K38" s="783">
        <f t="shared" si="28"/>
        <v>2515820.4000000004</v>
      </c>
      <c r="L38" s="783">
        <f t="shared" ref="L38:M38" si="29">SUM(L35:L37)</f>
        <v>2639150.9500000007</v>
      </c>
      <c r="M38" s="783">
        <f t="shared" si="29"/>
        <v>2888942.1000000006</v>
      </c>
      <c r="N38" s="783">
        <f t="shared" ref="N38:O38" si="30">SUM(N35:N37)</f>
        <v>3078246.3500000006</v>
      </c>
      <c r="O38" s="783">
        <f t="shared" si="30"/>
        <v>3231424.4300000006</v>
      </c>
      <c r="P38" s="783">
        <f t="shared" ref="P38:Q38" si="31">SUM(P35:P37)</f>
        <v>0.30000000000291038</v>
      </c>
      <c r="Q38" s="783">
        <f t="shared" si="31"/>
        <v>0.30000000000291038</v>
      </c>
      <c r="R38" s="783">
        <f t="shared" ref="R38:S38" si="32">SUM(R35:R37)</f>
        <v>0.30000000000291038</v>
      </c>
      <c r="S38" s="783">
        <f t="shared" si="32"/>
        <v>0.30000000000291038</v>
      </c>
      <c r="T38" s="783">
        <f t="shared" ref="T38:U38" si="33">SUM(T35:T37)</f>
        <v>0.30000000000291038</v>
      </c>
      <c r="U38" s="783">
        <f t="shared" si="33"/>
        <v>0.30000000000291038</v>
      </c>
    </row>
    <row r="39" spans="1:22">
      <c r="A39" s="771" t="s">
        <v>4313</v>
      </c>
      <c r="B39" s="772" t="s">
        <v>4314</v>
      </c>
      <c r="C39" s="772"/>
      <c r="D39" s="772"/>
      <c r="E39" s="773" t="s">
        <v>2473</v>
      </c>
      <c r="F39" s="772"/>
      <c r="I39" s="778">
        <v>-100897.85</v>
      </c>
      <c r="J39" s="778">
        <f t="shared" ref="J39:K39" si="34">J37</f>
        <v>-64092.480000000003</v>
      </c>
      <c r="K39" s="778">
        <f t="shared" si="34"/>
        <v>-30952.370000000003</v>
      </c>
      <c r="L39" s="778">
        <f t="shared" ref="L39:M39" si="35">L37</f>
        <v>3860.4599999999991</v>
      </c>
      <c r="M39" s="778">
        <f t="shared" si="35"/>
        <v>28123.149999999998</v>
      </c>
      <c r="N39" s="778">
        <f t="shared" ref="N39:O39" si="36">N37</f>
        <v>54003.96</v>
      </c>
      <c r="O39" s="778">
        <f t="shared" si="36"/>
        <v>127521.79000000001</v>
      </c>
      <c r="P39" s="778">
        <f t="shared" ref="P39:Q39" si="37">P37</f>
        <v>0.30000000000291038</v>
      </c>
      <c r="Q39" s="778">
        <f t="shared" si="37"/>
        <v>0.30000000000291038</v>
      </c>
      <c r="R39" s="778">
        <f t="shared" ref="R39:S39" si="38">R37</f>
        <v>0.30000000000291038</v>
      </c>
      <c r="S39" s="778">
        <f t="shared" si="38"/>
        <v>0.30000000000291038</v>
      </c>
      <c r="T39" s="778">
        <f t="shared" ref="T39:U39" si="39">T37</f>
        <v>0.30000000000291038</v>
      </c>
      <c r="U39" s="778">
        <f t="shared" si="39"/>
        <v>0.30000000000291038</v>
      </c>
      <c r="V39" s="809">
        <f>(SUM(I39:U39)-(I39+U39)/2)/12</f>
        <v>5668.1029166666658</v>
      </c>
    </row>
    <row r="40" spans="1:22" ht="15.75">
      <c r="A40" s="766"/>
      <c r="B40" s="701"/>
      <c r="C40" s="701"/>
      <c r="D40" s="701"/>
      <c r="E40" s="701"/>
      <c r="F40" s="701"/>
    </row>
    <row r="41" spans="1:22" ht="15.75">
      <c r="A41" s="767">
        <v>174220</v>
      </c>
      <c r="B41" s="769"/>
      <c r="C41" s="776">
        <v>601134</v>
      </c>
      <c r="D41" s="769"/>
      <c r="E41" s="768" t="s">
        <v>2474</v>
      </c>
      <c r="F41" s="769"/>
      <c r="I41" s="780">
        <v>1504414.4800000002</v>
      </c>
      <c r="J41" s="780">
        <f>-552271.29+I41</f>
        <v>952143.19000000018</v>
      </c>
      <c r="K41" s="780">
        <f>-404304.8+J41</f>
        <v>547838.39000000013</v>
      </c>
      <c r="L41" s="780">
        <f>-363436.45+K41</f>
        <v>184401.94000000012</v>
      </c>
      <c r="M41" s="780">
        <f>109302.53+L41</f>
        <v>293704.47000000009</v>
      </c>
      <c r="N41" s="780">
        <f>365701.8+M41</f>
        <v>659406.27</v>
      </c>
      <c r="O41" s="780">
        <f>448306.66+N41</f>
        <v>1107712.93</v>
      </c>
      <c r="P41" s="780">
        <f>-1107712.93+O41</f>
        <v>0</v>
      </c>
      <c r="Q41" s="780">
        <f t="shared" ref="Q41:U43" si="40">0+P41</f>
        <v>0</v>
      </c>
      <c r="R41" s="780">
        <f t="shared" si="40"/>
        <v>0</v>
      </c>
      <c r="S41" s="780">
        <f t="shared" si="40"/>
        <v>0</v>
      </c>
      <c r="T41" s="780">
        <f t="shared" si="40"/>
        <v>0</v>
      </c>
      <c r="U41" s="780">
        <f t="shared" si="40"/>
        <v>0</v>
      </c>
    </row>
    <row r="42" spans="1:22" ht="15.75">
      <c r="A42" s="767">
        <v>174220</v>
      </c>
      <c r="B42" s="701"/>
      <c r="C42" s="777" t="s">
        <v>4318</v>
      </c>
      <c r="D42" s="701"/>
      <c r="E42" s="768" t="s">
        <v>2474</v>
      </c>
      <c r="F42" s="701"/>
      <c r="I42" s="781">
        <v>-59765.85</v>
      </c>
      <c r="J42" s="781">
        <f>-12456.95+I42</f>
        <v>-72222.8</v>
      </c>
      <c r="K42" s="781">
        <f>-14604.79+J42</f>
        <v>-86827.59</v>
      </c>
      <c r="L42" s="781">
        <f>-19544.54+K42</f>
        <v>-106372.13</v>
      </c>
      <c r="M42" s="781">
        <f>-12133.85+L42</f>
        <v>-118505.98000000001</v>
      </c>
      <c r="N42" s="781">
        <f>44131.1+M42</f>
        <v>-74374.880000000005</v>
      </c>
      <c r="O42" s="781">
        <f>13012.09+N42</f>
        <v>-61362.790000000008</v>
      </c>
      <c r="P42" s="781">
        <f>61362.77+O42</f>
        <v>-2.0000000011350494E-2</v>
      </c>
      <c r="Q42" s="781">
        <f t="shared" si="40"/>
        <v>-2.0000000011350494E-2</v>
      </c>
      <c r="R42" s="781">
        <f t="shared" si="40"/>
        <v>-2.0000000011350494E-2</v>
      </c>
      <c r="S42" s="781">
        <f t="shared" si="40"/>
        <v>-2.0000000011350494E-2</v>
      </c>
      <c r="T42" s="781">
        <f t="shared" si="40"/>
        <v>-2.0000000011350494E-2</v>
      </c>
      <c r="U42" s="781">
        <f t="shared" si="40"/>
        <v>-2.0000000011350494E-2</v>
      </c>
    </row>
    <row r="43" spans="1:22" ht="15.75">
      <c r="A43" s="767">
        <v>174220</v>
      </c>
      <c r="B43" s="701"/>
      <c r="C43" s="777" t="s">
        <v>4319</v>
      </c>
      <c r="D43" s="701"/>
      <c r="E43" s="768" t="s">
        <v>2474</v>
      </c>
      <c r="F43" s="701"/>
      <c r="I43" s="782">
        <v>-279738.69</v>
      </c>
      <c r="J43" s="782">
        <f>71198.55+I43</f>
        <v>-208540.14</v>
      </c>
      <c r="K43" s="782">
        <f>62657.39+J43</f>
        <v>-145882.75</v>
      </c>
      <c r="L43" s="782">
        <f>60298.28+K43</f>
        <v>-85584.47</v>
      </c>
      <c r="M43" s="782">
        <f>29087.39+L43</f>
        <v>-56497.08</v>
      </c>
      <c r="N43" s="782">
        <f>14287.03+M43</f>
        <v>-42210.05</v>
      </c>
      <c r="O43" s="782">
        <f>35511.37+N43</f>
        <v>-6698.68</v>
      </c>
      <c r="P43" s="782">
        <f>6698.71+O43</f>
        <v>2.9999999999745341E-2</v>
      </c>
      <c r="Q43" s="782">
        <f t="shared" si="40"/>
        <v>2.9999999999745341E-2</v>
      </c>
      <c r="R43" s="782">
        <f t="shared" si="40"/>
        <v>2.9999999999745341E-2</v>
      </c>
      <c r="S43" s="782">
        <f t="shared" si="40"/>
        <v>2.9999999999745341E-2</v>
      </c>
      <c r="T43" s="782">
        <f t="shared" si="40"/>
        <v>2.9999999999745341E-2</v>
      </c>
      <c r="U43" s="782">
        <f t="shared" si="40"/>
        <v>2.9999999999745341E-2</v>
      </c>
    </row>
    <row r="44" spans="1:22" ht="15.75">
      <c r="A44" s="767">
        <v>174220</v>
      </c>
      <c r="B44" s="770" t="s">
        <v>4312</v>
      </c>
      <c r="C44" s="701"/>
      <c r="D44" s="701"/>
      <c r="E44" s="768" t="s">
        <v>2474</v>
      </c>
      <c r="F44" s="701"/>
      <c r="I44" s="783">
        <v>1164909.9400000002</v>
      </c>
      <c r="J44" s="783">
        <f t="shared" ref="J44:K44" si="41">SUM(J41:J43)</f>
        <v>671380.25000000012</v>
      </c>
      <c r="K44" s="783">
        <f t="shared" si="41"/>
        <v>315128.05000000016</v>
      </c>
      <c r="L44" s="783">
        <f t="shared" ref="L44:M44" si="42">SUM(L41:L43)</f>
        <v>-7554.6599999998871</v>
      </c>
      <c r="M44" s="783">
        <f t="shared" si="42"/>
        <v>118701.41000000008</v>
      </c>
      <c r="N44" s="783">
        <f t="shared" ref="N44:O44" si="43">SUM(N41:N43)</f>
        <v>542821.34</v>
      </c>
      <c r="O44" s="783">
        <f t="shared" si="43"/>
        <v>1039651.4599999998</v>
      </c>
      <c r="P44" s="783">
        <f t="shared" ref="P44:Q44" si="44">SUM(P41:P43)</f>
        <v>9.9999999883948476E-3</v>
      </c>
      <c r="Q44" s="783">
        <f t="shared" si="44"/>
        <v>9.9999999883948476E-3</v>
      </c>
      <c r="R44" s="783">
        <f t="shared" ref="R44:S44" si="45">SUM(R41:R43)</f>
        <v>9.9999999883948476E-3</v>
      </c>
      <c r="S44" s="783">
        <f t="shared" si="45"/>
        <v>9.9999999883948476E-3</v>
      </c>
      <c r="T44" s="783">
        <f t="shared" ref="T44:U44" si="46">SUM(T41:T43)</f>
        <v>9.9999999883948476E-3</v>
      </c>
      <c r="U44" s="783">
        <f t="shared" si="46"/>
        <v>9.9999999883948476E-3</v>
      </c>
    </row>
    <row r="45" spans="1:22">
      <c r="A45" s="774" t="s">
        <v>4313</v>
      </c>
      <c r="B45" s="775" t="s">
        <v>4315</v>
      </c>
      <c r="C45" s="775"/>
      <c r="D45" s="775"/>
      <c r="E45" s="775" t="s">
        <v>2474</v>
      </c>
      <c r="F45" s="775"/>
      <c r="I45" s="779">
        <v>-279738.69</v>
      </c>
      <c r="J45" s="779">
        <f t="shared" ref="J45:K45" si="47">J43</f>
        <v>-208540.14</v>
      </c>
      <c r="K45" s="779">
        <f t="shared" si="47"/>
        <v>-145882.75</v>
      </c>
      <c r="L45" s="779">
        <f t="shared" ref="L45:M45" si="48">L43</f>
        <v>-85584.47</v>
      </c>
      <c r="M45" s="779">
        <f t="shared" si="48"/>
        <v>-56497.08</v>
      </c>
      <c r="N45" s="779">
        <f t="shared" ref="N45:O45" si="49">N43</f>
        <v>-42210.05</v>
      </c>
      <c r="O45" s="779">
        <f t="shared" si="49"/>
        <v>-6698.68</v>
      </c>
      <c r="P45" s="779">
        <f t="shared" ref="P45:Q45" si="50">P43</f>
        <v>2.9999999999745341E-2</v>
      </c>
      <c r="Q45" s="779">
        <f t="shared" si="50"/>
        <v>2.9999999999745341E-2</v>
      </c>
      <c r="R45" s="779">
        <f t="shared" ref="R45:S45" si="51">R43</f>
        <v>2.9999999999745341E-2</v>
      </c>
      <c r="S45" s="779">
        <f t="shared" si="51"/>
        <v>2.9999999999745341E-2</v>
      </c>
      <c r="T45" s="779">
        <f t="shared" ref="T45:U45" si="52">T43</f>
        <v>2.9999999999745341E-2</v>
      </c>
      <c r="U45" s="779">
        <f t="shared" si="52"/>
        <v>2.9999999999745341E-2</v>
      </c>
      <c r="V45" s="809">
        <f>(SUM(I45:U45)-I45+U45)/2/12</f>
        <v>-22725.539999999997</v>
      </c>
    </row>
    <row r="46" spans="1:22" ht="15.75">
      <c r="A46" s="766"/>
      <c r="B46" s="701"/>
      <c r="C46" s="701"/>
      <c r="D46" s="701"/>
      <c r="E46" s="701"/>
      <c r="F46" s="701"/>
    </row>
    <row r="47" spans="1:22">
      <c r="I47" s="752">
        <v>-380636.54000000004</v>
      </c>
      <c r="J47" s="752">
        <f t="shared" ref="J47:N47" si="53">+J39+J45</f>
        <v>-272632.62</v>
      </c>
      <c r="K47" s="752">
        <f t="shared" si="53"/>
        <v>-176835.12</v>
      </c>
      <c r="L47" s="752">
        <f t="shared" si="53"/>
        <v>-81724.010000000009</v>
      </c>
      <c r="M47" s="752">
        <f t="shared" si="53"/>
        <v>-28373.930000000004</v>
      </c>
      <c r="N47" s="752">
        <f t="shared" si="53"/>
        <v>11793.909999999996</v>
      </c>
      <c r="O47" s="752">
        <f t="shared" ref="O47:P47" si="54">+O39+O45</f>
        <v>120823.11000000002</v>
      </c>
      <c r="P47" s="752">
        <f t="shared" si="54"/>
        <v>0.33000000000265572</v>
      </c>
      <c r="Q47" s="752">
        <f t="shared" ref="Q47:R47" si="55">+Q39+Q45</f>
        <v>0.33000000000265572</v>
      </c>
      <c r="R47" s="752">
        <f t="shared" si="55"/>
        <v>0.33000000000265572</v>
      </c>
      <c r="S47" s="752">
        <f t="shared" ref="S47:T47" si="56">+S39+S45</f>
        <v>0.33000000000265572</v>
      </c>
      <c r="T47" s="752">
        <f t="shared" si="56"/>
        <v>0.33000000000265572</v>
      </c>
      <c r="U47" s="752">
        <f t="shared" ref="U47" si="57">+U39+U45</f>
        <v>0.33000000000265572</v>
      </c>
      <c r="V47" s="809">
        <f>+V39+V45</f>
        <v>-17057.437083333331</v>
      </c>
    </row>
    <row r="48" spans="1:22">
      <c r="I48" s="809">
        <v>380.63654000000002</v>
      </c>
      <c r="J48" s="809">
        <f t="shared" ref="J48:K48" si="58">-J47/1000</f>
        <v>272.63261999999997</v>
      </c>
      <c r="K48" s="809">
        <f t="shared" si="58"/>
        <v>176.83511999999999</v>
      </c>
      <c r="L48" s="809">
        <f t="shared" ref="L48:M48" si="59">-L47/1000</f>
        <v>81.724010000000007</v>
      </c>
      <c r="M48" s="809">
        <f t="shared" si="59"/>
        <v>28.373930000000005</v>
      </c>
      <c r="N48" s="809">
        <f t="shared" ref="N48:O48" si="60">-N47/1000</f>
        <v>-11.793909999999997</v>
      </c>
      <c r="O48" s="809">
        <f t="shared" si="60"/>
        <v>-120.82311000000001</v>
      </c>
      <c r="P48" s="809">
        <f t="shared" ref="P48:Q48" si="61">-P47/1000</f>
        <v>-3.3000000000265575E-4</v>
      </c>
      <c r="Q48" s="809">
        <f t="shared" si="61"/>
        <v>-3.3000000000265575E-4</v>
      </c>
      <c r="R48" s="809">
        <f t="shared" ref="R48:S48" si="62">-R47/1000</f>
        <v>-3.3000000000265575E-4</v>
      </c>
      <c r="S48" s="809">
        <f t="shared" si="62"/>
        <v>-3.3000000000265575E-4</v>
      </c>
      <c r="T48" s="809">
        <f t="shared" ref="T48:U48" si="63">-T47/1000</f>
        <v>-3.3000000000265575E-4</v>
      </c>
      <c r="U48" s="809">
        <f t="shared" si="63"/>
        <v>-3.3000000000265575E-4</v>
      </c>
    </row>
  </sheetData>
  <pageMargins left="0.18" right="0.18" top="0.49" bottom="1" header="0.32" footer="0.5"/>
  <pageSetup scale="54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48"/>
  <sheetViews>
    <sheetView view="pageBreakPreview" zoomScale="60" zoomScaleNormal="100" workbookViewId="0">
      <selection activeCell="U45" sqref="A1:U45"/>
    </sheetView>
  </sheetViews>
  <sheetFormatPr defaultRowHeight="15.75"/>
  <cols>
    <col min="1" max="1" width="9" style="81"/>
    <col min="2" max="2" width="13.75" style="81" customWidth="1"/>
    <col min="3" max="3" width="9" style="81"/>
    <col min="4" max="4" width="14.5" style="81" hidden="1" customWidth="1"/>
    <col min="5" max="5" width="3.5" style="81" hidden="1" customWidth="1"/>
    <col min="6" max="6" width="12.875" style="81" hidden="1" customWidth="1"/>
    <col min="7" max="7" width="3.375" style="81" customWidth="1"/>
    <col min="8" max="8" width="12.875" style="81" customWidth="1"/>
    <col min="9" max="9" width="2.625" style="81" customWidth="1"/>
    <col min="10" max="10" width="12.875" style="81" customWidth="1"/>
    <col min="11" max="11" width="2.625" style="81" customWidth="1"/>
    <col min="12" max="12" width="11.125" style="81" customWidth="1"/>
    <col min="13" max="13" width="2.875" style="906" customWidth="1"/>
    <col min="14" max="14" width="9.625" style="906" bestFit="1" customWidth="1"/>
    <col min="15" max="15" width="2.625" style="906" customWidth="1"/>
    <col min="16" max="16" width="9.625" style="81" bestFit="1" customWidth="1"/>
    <col min="17" max="17" width="2.75" style="81" customWidth="1"/>
    <col min="18" max="18" width="15.25" style="81" customWidth="1"/>
    <col min="19" max="19" width="11.375" style="81" bestFit="1" customWidth="1"/>
    <col min="20" max="20" width="8.625" style="81" bestFit="1" customWidth="1"/>
    <col min="21" max="22" width="9" style="81"/>
    <col min="23" max="23" width="12" style="81" bestFit="1" customWidth="1"/>
    <col min="24" max="24" width="11.875" style="81" bestFit="1" customWidth="1"/>
    <col min="25" max="25" width="12" style="81" bestFit="1" customWidth="1"/>
    <col min="26" max="26" width="12.375" style="81" bestFit="1" customWidth="1"/>
    <col min="27" max="28" width="12" style="81" bestFit="1" customWidth="1"/>
    <col min="29" max="29" width="12.25" style="81" bestFit="1" customWidth="1"/>
    <col min="30" max="34" width="12" style="81" bestFit="1" customWidth="1"/>
    <col min="35" max="35" width="11.875" style="81" bestFit="1" customWidth="1"/>
    <col min="36" max="36" width="11" style="81" bestFit="1" customWidth="1"/>
    <col min="37" max="16384" width="9" style="81"/>
  </cols>
  <sheetData>
    <row r="1" spans="1:36" ht="20.25">
      <c r="A1" s="862"/>
      <c r="B1" s="929" t="s">
        <v>2707</v>
      </c>
      <c r="C1" s="862"/>
      <c r="D1" s="862"/>
      <c r="E1" s="862"/>
      <c r="F1" s="862"/>
      <c r="G1" s="862"/>
      <c r="H1" s="862"/>
      <c r="I1" s="862"/>
      <c r="J1" s="862"/>
      <c r="K1" s="862"/>
      <c r="L1" s="862"/>
      <c r="M1" s="862"/>
      <c r="N1" s="862"/>
      <c r="O1" s="862"/>
      <c r="P1" s="862"/>
      <c r="Q1" s="862"/>
    </row>
    <row r="2" spans="1:36" ht="12.75">
      <c r="A2" s="862"/>
      <c r="B2" s="862" t="s">
        <v>2708</v>
      </c>
      <c r="C2" s="862"/>
      <c r="D2" s="862"/>
      <c r="E2" s="862"/>
      <c r="F2" s="862"/>
      <c r="G2" s="862"/>
      <c r="H2" s="862"/>
      <c r="I2" s="862"/>
      <c r="J2" s="862"/>
      <c r="K2" s="862"/>
      <c r="L2" s="862"/>
      <c r="M2" s="862"/>
      <c r="N2" s="862"/>
      <c r="O2" s="862"/>
      <c r="P2" s="862"/>
      <c r="Q2" s="862"/>
    </row>
    <row r="3" spans="1:36" ht="12.75">
      <c r="A3" s="862"/>
      <c r="B3" s="862" t="s">
        <v>4592</v>
      </c>
      <c r="C3" s="862"/>
      <c r="D3" s="862"/>
      <c r="E3" s="862"/>
      <c r="F3" s="862"/>
      <c r="G3" s="862"/>
      <c r="H3" s="862"/>
      <c r="I3" s="862"/>
      <c r="J3" s="862"/>
      <c r="K3" s="862"/>
      <c r="L3" s="862"/>
      <c r="M3" s="862"/>
      <c r="N3" s="862"/>
      <c r="O3" s="862"/>
      <c r="P3" s="862"/>
      <c r="Q3" s="862"/>
    </row>
    <row r="4" spans="1:36" ht="12.75">
      <c r="A4" s="862"/>
      <c r="B4" s="862" t="s">
        <v>2710</v>
      </c>
      <c r="C4" s="862"/>
      <c r="D4" s="862"/>
      <c r="E4" s="862"/>
      <c r="F4" s="862"/>
      <c r="G4" s="862"/>
      <c r="H4" s="862"/>
      <c r="I4" s="862"/>
      <c r="J4" s="862"/>
      <c r="K4" s="862"/>
      <c r="L4" s="862"/>
      <c r="M4" s="862"/>
      <c r="N4" s="862"/>
      <c r="O4" s="862"/>
      <c r="P4" s="862"/>
      <c r="Q4" s="862"/>
      <c r="V4" s="81" t="s">
        <v>2721</v>
      </c>
      <c r="W4" s="930">
        <v>41609</v>
      </c>
      <c r="X4" s="930">
        <v>41640</v>
      </c>
      <c r="Y4" s="930">
        <v>41671</v>
      </c>
      <c r="Z4" s="930">
        <v>41699</v>
      </c>
      <c r="AA4" s="930">
        <v>41730</v>
      </c>
      <c r="AB4" s="930">
        <v>41760</v>
      </c>
      <c r="AC4" s="930">
        <v>41791</v>
      </c>
      <c r="AD4" s="930">
        <v>41821</v>
      </c>
      <c r="AE4" s="930">
        <v>41852</v>
      </c>
      <c r="AF4" s="930">
        <v>41883</v>
      </c>
      <c r="AG4" s="930">
        <v>41913</v>
      </c>
      <c r="AH4" s="930">
        <v>41944</v>
      </c>
      <c r="AI4" s="931">
        <v>41974</v>
      </c>
    </row>
    <row r="5" spans="1:36" ht="12.75">
      <c r="A5" s="862"/>
      <c r="B5" s="862" t="s">
        <v>2711</v>
      </c>
      <c r="C5" s="862"/>
      <c r="D5" s="862"/>
      <c r="E5" s="862"/>
      <c r="F5" s="862"/>
      <c r="G5" s="862"/>
      <c r="H5" s="862"/>
      <c r="I5" s="862"/>
      <c r="J5" s="862"/>
      <c r="K5" s="862"/>
      <c r="L5" s="862"/>
      <c r="M5" s="862"/>
      <c r="N5" s="862"/>
      <c r="O5" s="862"/>
      <c r="P5" s="862"/>
      <c r="Q5" s="862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932"/>
    </row>
    <row r="6" spans="1:36" ht="12.75">
      <c r="A6" s="862"/>
      <c r="B6" s="933" t="s">
        <v>4596</v>
      </c>
      <c r="C6" s="862"/>
      <c r="D6" s="862"/>
      <c r="E6" s="862"/>
      <c r="F6" s="862"/>
      <c r="G6" s="862"/>
      <c r="H6" s="862"/>
      <c r="I6" s="862"/>
      <c r="J6" s="862"/>
      <c r="K6" s="862"/>
      <c r="L6" s="862"/>
      <c r="M6" s="862"/>
      <c r="N6" s="862"/>
      <c r="O6" s="862"/>
      <c r="P6" s="862"/>
      <c r="Q6" s="862"/>
      <c r="V6" s="81" t="s">
        <v>2473</v>
      </c>
      <c r="W6" s="934">
        <v>-80462312.538631588</v>
      </c>
      <c r="X6" s="934">
        <v>-79858656.006152451</v>
      </c>
      <c r="Y6" s="934">
        <v>-79254999.473673314</v>
      </c>
      <c r="Z6" s="934">
        <v>-78651342.941194177</v>
      </c>
      <c r="AA6" s="934">
        <v>-78047686.408715039</v>
      </c>
      <c r="AB6" s="934">
        <v>-77444029.876235902</v>
      </c>
      <c r="AC6" s="934">
        <v>-76840373.343756765</v>
      </c>
      <c r="AD6" s="934">
        <v>-76236716.811277628</v>
      </c>
      <c r="AE6" s="934">
        <v>-75633060.278798491</v>
      </c>
      <c r="AF6" s="934">
        <v>-75029403.746319354</v>
      </c>
      <c r="AG6" s="934">
        <v>-74425747.213840216</v>
      </c>
      <c r="AH6" s="934">
        <v>-73822090.681361079</v>
      </c>
      <c r="AI6" s="935">
        <v>-101473754.65237153</v>
      </c>
      <c r="AJ6" s="827"/>
    </row>
    <row r="7" spans="1:36" ht="12.75">
      <c r="A7" s="862"/>
      <c r="B7" s="936" t="s">
        <v>2712</v>
      </c>
      <c r="C7" s="937"/>
      <c r="D7" s="936" t="s">
        <v>2713</v>
      </c>
      <c r="E7" s="937"/>
      <c r="F7" s="936" t="s">
        <v>2713</v>
      </c>
      <c r="G7" s="937"/>
      <c r="H7" s="936" t="s">
        <v>2713</v>
      </c>
      <c r="I7" s="937"/>
      <c r="J7" s="936" t="s">
        <v>2713</v>
      </c>
      <c r="K7" s="937"/>
      <c r="L7" s="936" t="s">
        <v>2713</v>
      </c>
      <c r="M7" s="937"/>
      <c r="N7" s="936" t="s">
        <v>2713</v>
      </c>
      <c r="O7" s="936"/>
      <c r="P7" s="936" t="s">
        <v>2713</v>
      </c>
      <c r="Q7" s="936"/>
      <c r="V7" s="81" t="s">
        <v>2474</v>
      </c>
      <c r="W7" s="938">
        <v>-21375356.785274655</v>
      </c>
      <c r="X7" s="938">
        <v>-21210225.367170464</v>
      </c>
      <c r="Y7" s="938">
        <v>-21045093.949066274</v>
      </c>
      <c r="Z7" s="938">
        <v>-20879962.530962083</v>
      </c>
      <c r="AA7" s="938">
        <v>-20714831.112857893</v>
      </c>
      <c r="AB7" s="938">
        <v>-20549699.694753703</v>
      </c>
      <c r="AC7" s="938">
        <v>-20384568.276649512</v>
      </c>
      <c r="AD7" s="938">
        <v>-20219436.858545322</v>
      </c>
      <c r="AE7" s="938">
        <v>-20054305.440441132</v>
      </c>
      <c r="AF7" s="938">
        <v>-19889174.022336941</v>
      </c>
      <c r="AG7" s="938">
        <v>-19724042.604232751</v>
      </c>
      <c r="AH7" s="938">
        <v>-19558911.18612856</v>
      </c>
      <c r="AI7" s="939">
        <v>-31297998.544534765</v>
      </c>
      <c r="AJ7" s="827"/>
    </row>
    <row r="8" spans="1:36" ht="12.75">
      <c r="A8" s="862"/>
      <c r="B8" s="936" t="s">
        <v>2715</v>
      </c>
      <c r="C8" s="937"/>
      <c r="D8" s="936" t="s">
        <v>2716</v>
      </c>
      <c r="E8" s="937"/>
      <c r="F8" s="936" t="s">
        <v>2716</v>
      </c>
      <c r="G8" s="937"/>
      <c r="H8" s="936" t="s">
        <v>2716</v>
      </c>
      <c r="I8" s="937"/>
      <c r="J8" s="936" t="s">
        <v>2716</v>
      </c>
      <c r="K8" s="937"/>
      <c r="L8" s="936" t="s">
        <v>2716</v>
      </c>
      <c r="M8" s="937"/>
      <c r="N8" s="936" t="s">
        <v>2716</v>
      </c>
      <c r="O8" s="936"/>
      <c r="P8" s="936" t="s">
        <v>2716</v>
      </c>
      <c r="Q8" s="936"/>
    </row>
    <row r="9" spans="1:36" ht="12.75">
      <c r="A9" s="862"/>
      <c r="B9" s="936" t="s">
        <v>2716</v>
      </c>
      <c r="C9" s="937"/>
      <c r="D9" s="940">
        <v>2008</v>
      </c>
      <c r="E9" s="937"/>
      <c r="F9" s="940">
        <v>2009</v>
      </c>
      <c r="G9" s="937"/>
      <c r="H9" s="940">
        <v>2010</v>
      </c>
      <c r="I9" s="937"/>
      <c r="J9" s="940">
        <v>2011</v>
      </c>
      <c r="K9" s="937"/>
      <c r="L9" s="940">
        <v>2012</v>
      </c>
      <c r="M9" s="937"/>
      <c r="N9" s="940">
        <v>2013</v>
      </c>
      <c r="O9" s="940"/>
      <c r="P9" s="940">
        <v>2014</v>
      </c>
      <c r="Q9" s="940"/>
      <c r="W9" s="941" t="s">
        <v>2724</v>
      </c>
      <c r="X9" s="941" t="s">
        <v>2724</v>
      </c>
      <c r="Y9" s="941" t="s">
        <v>2724</v>
      </c>
      <c r="Z9" s="941" t="s">
        <v>2724</v>
      </c>
      <c r="AA9" s="941" t="s">
        <v>2724</v>
      </c>
      <c r="AB9" s="941" t="s">
        <v>2724</v>
      </c>
      <c r="AC9" s="941" t="s">
        <v>2724</v>
      </c>
      <c r="AD9" s="941" t="s">
        <v>2724</v>
      </c>
      <c r="AE9" s="941" t="s">
        <v>2724</v>
      </c>
      <c r="AF9" s="941" t="s">
        <v>2724</v>
      </c>
      <c r="AG9" s="941" t="s">
        <v>2724</v>
      </c>
      <c r="AH9" s="941" t="s">
        <v>2724</v>
      </c>
      <c r="AI9" s="942" t="s">
        <v>2724</v>
      </c>
    </row>
    <row r="10" spans="1:36" ht="12.75">
      <c r="A10" s="862"/>
      <c r="B10" s="862"/>
      <c r="C10" s="862"/>
      <c r="D10" s="943"/>
      <c r="E10" s="862"/>
      <c r="F10" s="862"/>
      <c r="G10" s="862"/>
      <c r="H10" s="862"/>
      <c r="I10" s="862"/>
      <c r="J10" s="862"/>
      <c r="K10" s="862"/>
      <c r="L10" s="862"/>
      <c r="M10" s="862"/>
      <c r="N10" s="862"/>
      <c r="O10" s="862"/>
      <c r="P10" s="862"/>
      <c r="Q10" s="862"/>
      <c r="W10" s="151">
        <v>-69959674.719158694</v>
      </c>
      <c r="X10" s="151">
        <v>-71612027.015360102</v>
      </c>
      <c r="Y10" s="151">
        <v>-73068204.63080667</v>
      </c>
      <c r="Z10" s="151">
        <v>-74328207.565498412</v>
      </c>
      <c r="AA10" s="151">
        <v>-75392035.819435313</v>
      </c>
      <c r="AB10" s="151">
        <v>-76259689.39261739</v>
      </c>
      <c r="AC10" s="151">
        <v>-76931168.285044655</v>
      </c>
      <c r="AD10" s="151">
        <v>-77406472.49671708</v>
      </c>
      <c r="AE10" s="151">
        <v>-77685602.02763468</v>
      </c>
      <c r="AF10" s="151">
        <v>-77768556.877797425</v>
      </c>
      <c r="AG10" s="151">
        <v>-77655337.047205374</v>
      </c>
      <c r="AH10" s="151">
        <v>-77345942.535858497</v>
      </c>
      <c r="AI10" s="944">
        <v>-78017678.364735499</v>
      </c>
    </row>
    <row r="11" spans="1:36" ht="12.75">
      <c r="A11" s="862"/>
      <c r="B11" s="862"/>
      <c r="C11" s="945"/>
      <c r="D11" s="861"/>
      <c r="E11" s="861"/>
      <c r="F11" s="861"/>
      <c r="G11" s="861"/>
      <c r="H11" s="861"/>
      <c r="I11" s="862"/>
      <c r="J11" s="861"/>
      <c r="K11" s="862"/>
      <c r="L11" s="862"/>
      <c r="M11" s="862"/>
      <c r="N11" s="862"/>
      <c r="O11" s="862"/>
      <c r="P11" s="862"/>
      <c r="Q11" s="862"/>
      <c r="W11" s="946">
        <v>-19926872.117247567</v>
      </c>
      <c r="X11" s="946">
        <v>-20151346.83152533</v>
      </c>
      <c r="Y11" s="946">
        <v>-20341942.751682926</v>
      </c>
      <c r="Z11" s="946">
        <v>-20498659.877720345</v>
      </c>
      <c r="AA11" s="946">
        <v>-20621498.209637601</v>
      </c>
      <c r="AB11" s="946">
        <v>-20710457.747434679</v>
      </c>
      <c r="AC11" s="946">
        <v>-20765538.491111603</v>
      </c>
      <c r="AD11" s="946">
        <v>-20786740.440668341</v>
      </c>
      <c r="AE11" s="946">
        <v>-20774063.596104916</v>
      </c>
      <c r="AF11" s="946">
        <v>-20727507.957421321</v>
      </c>
      <c r="AG11" s="946">
        <v>-20647073.524617553</v>
      </c>
      <c r="AH11" s="946">
        <v>-20532760.297693614</v>
      </c>
      <c r="AI11" s="947">
        <v>-20880577.392337445</v>
      </c>
    </row>
    <row r="12" spans="1:36" ht="12.75">
      <c r="A12" s="862"/>
      <c r="B12" s="945" t="s">
        <v>2722</v>
      </c>
      <c r="C12" s="945" t="s">
        <v>2473</v>
      </c>
      <c r="D12" s="861"/>
      <c r="E12" s="861"/>
      <c r="F12" s="861"/>
      <c r="G12" s="861"/>
      <c r="H12" s="861">
        <v>13887628.242999997</v>
      </c>
      <c r="I12" s="862"/>
      <c r="J12" s="861">
        <v>494291.35197972838</v>
      </c>
      <c r="K12" s="862"/>
      <c r="L12" s="861">
        <v>450481.15298839752</v>
      </c>
      <c r="M12" s="862"/>
      <c r="N12" s="861">
        <v>412033.32759113173</v>
      </c>
      <c r="O12" s="861"/>
      <c r="P12" s="861">
        <v>378695.87690484582</v>
      </c>
      <c r="Q12" s="861"/>
    </row>
    <row r="13" spans="1:36" ht="12.75">
      <c r="A13" s="862"/>
      <c r="B13" s="945"/>
      <c r="C13" s="945" t="s">
        <v>2474</v>
      </c>
      <c r="D13" s="861"/>
      <c r="E13" s="861"/>
      <c r="F13" s="861"/>
      <c r="G13" s="861"/>
      <c r="H13" s="861">
        <v>12666431.026999999</v>
      </c>
      <c r="I13" s="862"/>
      <c r="J13" s="861">
        <v>697026.4180202717</v>
      </c>
      <c r="K13" s="862"/>
      <c r="L13" s="861">
        <v>620926.06701160257</v>
      </c>
      <c r="M13" s="862"/>
      <c r="N13" s="861">
        <v>554168.61240886827</v>
      </c>
      <c r="O13" s="861"/>
      <c r="P13" s="861">
        <v>496351.30309515417</v>
      </c>
      <c r="Q13" s="861"/>
      <c r="W13" s="2">
        <v>-101837.66932390624</v>
      </c>
      <c r="X13" s="2">
        <v>-101068.88137332292</v>
      </c>
      <c r="Y13" s="2">
        <v>-100300.09342273959</v>
      </c>
      <c r="Z13" s="2">
        <v>-99531.305472156251</v>
      </c>
      <c r="AA13" s="2">
        <v>-98762.51752157294</v>
      </c>
      <c r="AB13" s="2">
        <v>-97993.729570989613</v>
      </c>
      <c r="AC13" s="2">
        <v>-97224.941620406273</v>
      </c>
      <c r="AD13" s="2">
        <v>-96456.153669822947</v>
      </c>
      <c r="AE13" s="2">
        <v>-95687.36571923962</v>
      </c>
      <c r="AF13" s="2">
        <v>-94918.577768656294</v>
      </c>
      <c r="AG13" s="2">
        <v>-94149.789818072968</v>
      </c>
      <c r="AH13" s="2">
        <v>-93381.001867489642</v>
      </c>
      <c r="AI13" s="2">
        <v>-132771.7531969063</v>
      </c>
    </row>
    <row r="14" spans="1:36" ht="12.75">
      <c r="A14" s="862"/>
      <c r="B14" s="945" t="s">
        <v>2723</v>
      </c>
      <c r="C14" s="945" t="s">
        <v>2473</v>
      </c>
      <c r="D14" s="861"/>
      <c r="E14" s="861"/>
      <c r="F14" s="861"/>
      <c r="G14" s="861"/>
      <c r="H14" s="861">
        <v>815997.8296249999</v>
      </c>
      <c r="I14" s="862"/>
      <c r="J14" s="861">
        <v>1552452.3658902608</v>
      </c>
      <c r="K14" s="862"/>
      <c r="L14" s="861">
        <v>1394992.455825021</v>
      </c>
      <c r="M14" s="862"/>
      <c r="N14" s="861">
        <v>1261202.5353482449</v>
      </c>
      <c r="O14" s="861"/>
      <c r="P14" s="861">
        <v>1150939.9761769611</v>
      </c>
      <c r="Q14" s="861"/>
    </row>
    <row r="15" spans="1:36" ht="12.75">
      <c r="A15" s="862"/>
      <c r="B15" s="945"/>
      <c r="C15" s="945" t="s">
        <v>2474</v>
      </c>
      <c r="D15" s="861"/>
      <c r="E15" s="861"/>
      <c r="F15" s="861"/>
      <c r="G15" s="861"/>
      <c r="H15" s="861">
        <v>984609.64350000001</v>
      </c>
      <c r="I15" s="862"/>
      <c r="J15" s="861">
        <v>1914670.5241097391</v>
      </c>
      <c r="K15" s="862"/>
      <c r="L15" s="861">
        <v>1694509.9341749789</v>
      </c>
      <c r="M15" s="862"/>
      <c r="N15" s="861">
        <v>1504765.0646517552</v>
      </c>
      <c r="O15" s="861"/>
      <c r="P15" s="861">
        <v>1346037.893823039</v>
      </c>
      <c r="Q15" s="861"/>
    </row>
    <row r="16" spans="1:36" ht="12.75">
      <c r="A16" s="862"/>
      <c r="B16" s="945"/>
      <c r="C16" s="945"/>
      <c r="D16" s="861"/>
      <c r="E16" s="861"/>
      <c r="F16" s="861"/>
      <c r="G16" s="861"/>
      <c r="H16" s="861"/>
      <c r="I16" s="862"/>
      <c r="J16" s="861"/>
      <c r="K16" s="862"/>
      <c r="L16" s="861"/>
      <c r="M16" s="862"/>
      <c r="N16" s="861"/>
      <c r="O16" s="861"/>
      <c r="P16" s="862"/>
      <c r="Q16" s="86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spans="1:35" ht="12.75">
      <c r="A17" s="862"/>
      <c r="B17" s="945" t="s">
        <v>2725</v>
      </c>
      <c r="C17" s="945" t="s">
        <v>2473</v>
      </c>
      <c r="D17" s="861"/>
      <c r="E17" s="861"/>
      <c r="F17" s="861"/>
      <c r="G17" s="861"/>
      <c r="H17" s="861"/>
      <c r="I17" s="862"/>
      <c r="J17" s="861">
        <v>64968881.47210525</v>
      </c>
      <c r="K17" s="164"/>
      <c r="L17" s="861">
        <v>1209875.0863367342</v>
      </c>
      <c r="M17" s="862"/>
      <c r="N17" s="861">
        <v>1070832.3298784844</v>
      </c>
      <c r="O17" s="861"/>
      <c r="P17" s="861">
        <v>919387.58701595792</v>
      </c>
      <c r="Q17" s="861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1:35" ht="12.75">
      <c r="A18" s="862"/>
      <c r="B18" s="945"/>
      <c r="C18" s="945" t="s">
        <v>2474</v>
      </c>
      <c r="D18" s="861"/>
      <c r="E18" s="861"/>
      <c r="F18" s="861"/>
      <c r="G18" s="861"/>
      <c r="H18" s="861"/>
      <c r="I18" s="862"/>
      <c r="J18" s="861">
        <v>26998417.977894749</v>
      </c>
      <c r="K18" s="164"/>
      <c r="L18" s="861">
        <v>47424.143663265611</v>
      </c>
      <c r="M18" s="862"/>
      <c r="N18" s="861">
        <v>40446.810121515693</v>
      </c>
      <c r="O18" s="861"/>
      <c r="P18" s="861">
        <v>33808.59298404213</v>
      </c>
      <c r="Q18" s="861"/>
    </row>
    <row r="19" spans="1:35" ht="12.75">
      <c r="A19" s="862"/>
      <c r="B19" s="945" t="s">
        <v>2726</v>
      </c>
      <c r="C19" s="945" t="s">
        <v>2473</v>
      </c>
      <c r="D19" s="861"/>
      <c r="E19" s="861"/>
      <c r="F19" s="861"/>
      <c r="G19" s="861"/>
      <c r="H19" s="861"/>
      <c r="I19" s="862"/>
      <c r="J19" s="861">
        <v>4596711.1740036719</v>
      </c>
      <c r="K19" s="862"/>
      <c r="L19" s="861">
        <v>8158464.2976169381</v>
      </c>
      <c r="M19" s="862"/>
      <c r="N19" s="861">
        <v>6709073.5849214746</v>
      </c>
      <c r="O19" s="861"/>
      <c r="P19" s="861">
        <v>5452686.2604511175</v>
      </c>
      <c r="Q19" s="861"/>
    </row>
    <row r="20" spans="1:35" ht="12.75">
      <c r="A20" s="862"/>
      <c r="B20" s="945"/>
      <c r="C20" s="945" t="s">
        <v>2474</v>
      </c>
      <c r="D20" s="861"/>
      <c r="E20" s="861"/>
      <c r="F20" s="861"/>
      <c r="G20" s="861"/>
      <c r="H20" s="861"/>
      <c r="I20" s="862"/>
      <c r="J20" s="861">
        <v>1603563.7159963278</v>
      </c>
      <c r="K20" s="862"/>
      <c r="L20" s="861">
        <v>2841110.4723830624</v>
      </c>
      <c r="M20" s="862"/>
      <c r="N20" s="861">
        <v>2343024.1350785252</v>
      </c>
      <c r="O20" s="861"/>
      <c r="P20" s="861">
        <v>1908724.7195488825</v>
      </c>
      <c r="Q20" s="861"/>
    </row>
    <row r="21" spans="1:35" ht="12.75">
      <c r="A21" s="862"/>
      <c r="B21" s="945"/>
      <c r="C21" s="945"/>
      <c r="D21" s="861"/>
      <c r="E21" s="861"/>
      <c r="F21" s="861"/>
      <c r="G21" s="861"/>
      <c r="H21" s="861"/>
      <c r="I21" s="862"/>
      <c r="J21" s="861"/>
      <c r="K21" s="862"/>
      <c r="L21" s="861"/>
      <c r="M21" s="862"/>
      <c r="N21" s="861"/>
      <c r="O21" s="861"/>
      <c r="P21" s="862"/>
      <c r="Q21" s="862"/>
    </row>
    <row r="22" spans="1:35" ht="12.75">
      <c r="A22" s="862"/>
      <c r="B22" s="945" t="s">
        <v>2727</v>
      </c>
      <c r="C22" s="945" t="s">
        <v>2473</v>
      </c>
      <c r="D22" s="861"/>
      <c r="E22" s="861"/>
      <c r="F22" s="861"/>
      <c r="G22" s="861"/>
      <c r="H22" s="861"/>
      <c r="I22" s="862"/>
      <c r="J22" s="861"/>
      <c r="K22" s="862"/>
      <c r="L22" s="861">
        <v>112506577.88543984</v>
      </c>
      <c r="M22" s="862"/>
      <c r="N22" s="861">
        <v>3941386.6945170732</v>
      </c>
      <c r="O22" s="861"/>
      <c r="P22" s="92">
        <v>3518322.0051758029</v>
      </c>
      <c r="Q22" s="92"/>
    </row>
    <row r="23" spans="1:35" ht="12.75">
      <c r="A23" s="862"/>
      <c r="B23" s="945"/>
      <c r="C23" s="945" t="s">
        <v>2474</v>
      </c>
      <c r="D23" s="861"/>
      <c r="E23" s="861"/>
      <c r="F23" s="861"/>
      <c r="G23" s="861"/>
      <c r="H23" s="861"/>
      <c r="I23" s="862"/>
      <c r="J23" s="861"/>
      <c r="K23" s="862"/>
      <c r="L23" s="861">
        <v>22355190.314560153</v>
      </c>
      <c r="M23" s="862"/>
      <c r="N23" s="861">
        <v>1095872.9554829272</v>
      </c>
      <c r="O23" s="861"/>
      <c r="P23" s="92">
        <v>958204.214824197</v>
      </c>
      <c r="Q23" s="92"/>
    </row>
    <row r="24" spans="1:35" ht="12.75">
      <c r="A24" s="862"/>
      <c r="B24" s="945" t="s">
        <v>2728</v>
      </c>
      <c r="C24" s="945" t="s">
        <v>2473</v>
      </c>
      <c r="D24" s="861"/>
      <c r="E24" s="861"/>
      <c r="F24" s="861"/>
      <c r="G24" s="861"/>
      <c r="H24" s="861"/>
      <c r="I24" s="862"/>
      <c r="J24" s="861"/>
      <c r="K24" s="862"/>
      <c r="L24" s="861">
        <v>7121868.7840725789</v>
      </c>
      <c r="M24" s="862"/>
      <c r="N24" s="861">
        <v>13359372.810872957</v>
      </c>
      <c r="O24" s="861"/>
      <c r="P24" s="92">
        <v>11749225.737224327</v>
      </c>
      <c r="Q24" s="92"/>
    </row>
    <row r="25" spans="1:35" ht="12.75">
      <c r="A25" s="862"/>
      <c r="B25" s="945"/>
      <c r="C25" s="945" t="s">
        <v>2474</v>
      </c>
      <c r="D25" s="861"/>
      <c r="E25" s="861"/>
      <c r="F25" s="861"/>
      <c r="G25" s="861"/>
      <c r="H25" s="861"/>
      <c r="I25" s="862"/>
      <c r="J25" s="861"/>
      <c r="K25" s="862"/>
      <c r="L25" s="861">
        <v>1551558.9459274216</v>
      </c>
      <c r="M25" s="862"/>
      <c r="N25" s="861">
        <v>2907943.0391270425</v>
      </c>
      <c r="O25" s="861"/>
      <c r="P25" s="92">
        <v>2553753.3827756718</v>
      </c>
      <c r="Q25" s="92"/>
    </row>
    <row r="26" spans="1:35" ht="12.75">
      <c r="A26" s="862"/>
      <c r="B26" s="945"/>
      <c r="C26" s="945"/>
      <c r="D26" s="861"/>
      <c r="E26" s="861"/>
      <c r="F26" s="861"/>
      <c r="G26" s="861"/>
      <c r="H26" s="863"/>
      <c r="I26" s="862"/>
      <c r="J26" s="861"/>
      <c r="K26" s="862"/>
      <c r="L26" s="861"/>
      <c r="M26" s="862"/>
      <c r="N26" s="861"/>
      <c r="O26" s="861"/>
      <c r="P26" s="862"/>
      <c r="Q26" s="862"/>
    </row>
    <row r="27" spans="1:35" ht="12.75">
      <c r="A27" s="862"/>
      <c r="B27" s="945" t="s">
        <v>4239</v>
      </c>
      <c r="C27" s="945" t="s">
        <v>2473</v>
      </c>
      <c r="D27" s="861"/>
      <c r="E27" s="861"/>
      <c r="F27" s="861"/>
      <c r="G27" s="861"/>
      <c r="H27" s="863"/>
      <c r="I27" s="862"/>
      <c r="J27" s="861"/>
      <c r="K27" s="862"/>
      <c r="L27" s="861"/>
      <c r="M27" s="862"/>
      <c r="N27" s="92">
        <v>82342741.930215001</v>
      </c>
      <c r="O27" s="92"/>
      <c r="P27" s="92">
        <v>4762289.8116538469</v>
      </c>
      <c r="Q27" s="92"/>
    </row>
    <row r="28" spans="1:35" ht="12.75">
      <c r="A28" s="862"/>
      <c r="B28" s="945"/>
      <c r="C28" s="945" t="s">
        <v>2474</v>
      </c>
      <c r="D28" s="861"/>
      <c r="E28" s="861"/>
      <c r="F28" s="861"/>
      <c r="G28" s="861"/>
      <c r="H28" s="863"/>
      <c r="I28" s="862"/>
      <c r="J28" s="861"/>
      <c r="K28" s="862"/>
      <c r="L28" s="861"/>
      <c r="M28" s="862"/>
      <c r="N28" s="92">
        <v>14879202.40978501</v>
      </c>
      <c r="O28" s="92"/>
      <c r="P28" s="92">
        <v>1475905.9183461538</v>
      </c>
      <c r="Q28" s="92"/>
    </row>
    <row r="29" spans="1:35" ht="12.75">
      <c r="A29" s="862"/>
      <c r="B29" s="945" t="s">
        <v>4240</v>
      </c>
      <c r="C29" s="945" t="s">
        <v>2473</v>
      </c>
      <c r="D29" s="861"/>
      <c r="E29" s="861"/>
      <c r="F29" s="861"/>
      <c r="G29" s="861"/>
      <c r="H29" s="863"/>
      <c r="I29" s="862"/>
      <c r="J29" s="861"/>
      <c r="K29" s="862"/>
      <c r="L29" s="861"/>
      <c r="M29" s="862"/>
      <c r="N29" s="92">
        <v>6422272.096928047</v>
      </c>
      <c r="O29" s="92"/>
      <c r="P29" s="92">
        <v>11922638.706182992</v>
      </c>
      <c r="Q29" s="92"/>
    </row>
    <row r="30" spans="1:35" ht="12.75">
      <c r="A30" s="862"/>
      <c r="B30" s="945"/>
      <c r="C30" s="945" t="s">
        <v>2474</v>
      </c>
      <c r="D30" s="861"/>
      <c r="E30" s="861"/>
      <c r="F30" s="861"/>
      <c r="G30" s="861"/>
      <c r="H30" s="863"/>
      <c r="I30" s="862"/>
      <c r="J30" s="861"/>
      <c r="K30" s="862"/>
      <c r="L30" s="861"/>
      <c r="M30" s="862"/>
      <c r="N30" s="92">
        <v>1536903.3030719538</v>
      </c>
      <c r="O30" s="92"/>
      <c r="P30" s="92">
        <v>2817402.6538170082</v>
      </c>
      <c r="Q30" s="92"/>
    </row>
    <row r="31" spans="1:35" ht="12.75">
      <c r="A31" s="862"/>
      <c r="B31" s="945"/>
      <c r="C31" s="945"/>
      <c r="D31" s="863"/>
      <c r="E31" s="863"/>
      <c r="F31" s="863"/>
      <c r="G31" s="863"/>
      <c r="H31" s="864"/>
      <c r="I31" s="865"/>
      <c r="J31" s="863"/>
      <c r="K31" s="865"/>
      <c r="L31" s="863"/>
      <c r="M31" s="862"/>
      <c r="N31" s="92"/>
      <c r="O31" s="92"/>
      <c r="P31" s="92"/>
      <c r="Q31" s="92"/>
    </row>
    <row r="32" spans="1:35" ht="22.5">
      <c r="A32" s="862"/>
      <c r="B32" s="945" t="s">
        <v>4307</v>
      </c>
      <c r="C32" s="945" t="s">
        <v>2473</v>
      </c>
      <c r="D32" s="867"/>
      <c r="E32" s="867"/>
      <c r="F32" s="867"/>
      <c r="G32" s="867"/>
      <c r="H32" s="866"/>
      <c r="I32" s="867"/>
      <c r="J32" s="867"/>
      <c r="K32" s="867"/>
      <c r="L32" s="867"/>
      <c r="M32" s="862"/>
      <c r="N32" s="862"/>
      <c r="O32" s="862"/>
      <c r="P32" s="92">
        <v>85106304</v>
      </c>
      <c r="Q32" s="92"/>
    </row>
    <row r="33" spans="1:17" ht="22.5">
      <c r="A33" s="862"/>
      <c r="B33" s="945"/>
      <c r="C33" s="945" t="s">
        <v>2474</v>
      </c>
      <c r="D33" s="867"/>
      <c r="E33" s="867"/>
      <c r="F33" s="867"/>
      <c r="G33" s="867"/>
      <c r="H33" s="868"/>
      <c r="I33" s="867"/>
      <c r="J33" s="867"/>
      <c r="K33" s="867"/>
      <c r="L33" s="867"/>
      <c r="M33" s="862"/>
      <c r="N33" s="862"/>
      <c r="O33" s="862"/>
      <c r="P33" s="92">
        <v>35879284</v>
      </c>
      <c r="Q33" s="92"/>
    </row>
    <row r="34" spans="1:17" ht="22.5">
      <c r="A34" s="862"/>
      <c r="B34" s="945" t="s">
        <v>4308</v>
      </c>
      <c r="C34" s="945" t="s">
        <v>2473</v>
      </c>
      <c r="D34" s="867"/>
      <c r="E34" s="867"/>
      <c r="F34" s="867"/>
      <c r="G34" s="867"/>
      <c r="H34" s="868"/>
      <c r="I34" s="867"/>
      <c r="J34" s="867"/>
      <c r="K34" s="867"/>
      <c r="L34" s="867"/>
      <c r="M34" s="862"/>
      <c r="N34" s="862"/>
      <c r="O34" s="862"/>
      <c r="P34" s="92">
        <v>4376816.8471725648</v>
      </c>
      <c r="Q34" s="92"/>
    </row>
    <row r="35" spans="1:17" ht="22.5">
      <c r="A35" s="862"/>
      <c r="B35" s="945"/>
      <c r="C35" s="945" t="s">
        <v>2474</v>
      </c>
      <c r="D35" s="867"/>
      <c r="E35" s="867"/>
      <c r="F35" s="867"/>
      <c r="G35" s="867"/>
      <c r="H35" s="868"/>
      <c r="I35" s="867"/>
      <c r="J35" s="867"/>
      <c r="K35" s="867"/>
      <c r="L35" s="867"/>
      <c r="M35" s="862"/>
      <c r="N35" s="862"/>
      <c r="O35" s="862"/>
      <c r="P35" s="92">
        <v>1867230.3528274349</v>
      </c>
      <c r="Q35" s="92"/>
    </row>
    <row r="36" spans="1:17" ht="12.75">
      <c r="A36" s="862"/>
      <c r="B36" s="945"/>
      <c r="C36" s="945"/>
      <c r="D36" s="861"/>
      <c r="E36" s="861"/>
      <c r="F36" s="861"/>
      <c r="G36" s="861"/>
      <c r="H36" s="864"/>
      <c r="I36" s="862"/>
      <c r="J36" s="861"/>
      <c r="K36" s="861"/>
      <c r="L36" s="861"/>
      <c r="M36" s="948"/>
      <c r="N36" s="861"/>
      <c r="O36" s="861"/>
      <c r="P36" s="948"/>
      <c r="Q36" s="948"/>
    </row>
    <row r="37" spans="1:17" ht="12.75">
      <c r="A37" s="862"/>
      <c r="B37" s="949"/>
      <c r="C37" s="949"/>
      <c r="D37" s="950"/>
      <c r="E37" s="950"/>
      <c r="F37" s="950"/>
      <c r="G37" s="950"/>
      <c r="H37" s="950"/>
      <c r="I37" s="951"/>
      <c r="J37" s="950"/>
      <c r="K37" s="950"/>
      <c r="L37" s="950"/>
      <c r="M37" s="950"/>
      <c r="N37" s="950"/>
      <c r="O37" s="950"/>
      <c r="P37" s="950"/>
      <c r="Q37" s="950"/>
    </row>
    <row r="38" spans="1:17" ht="12.75">
      <c r="A38" s="862"/>
      <c r="B38" s="945" t="s">
        <v>2729</v>
      </c>
      <c r="C38" s="869" t="s">
        <v>2473</v>
      </c>
      <c r="D38" s="861">
        <v>0</v>
      </c>
      <c r="E38" s="861"/>
      <c r="F38" s="861">
        <v>0</v>
      </c>
      <c r="G38" s="861"/>
      <c r="H38" s="861">
        <v>13887628.242999997</v>
      </c>
      <c r="I38" s="862"/>
      <c r="J38" s="861">
        <v>65463172.824084975</v>
      </c>
      <c r="K38" s="861"/>
      <c r="L38" s="861">
        <v>114166934.12476498</v>
      </c>
      <c r="M38" s="862"/>
      <c r="N38" s="861">
        <v>87766994.282201692</v>
      </c>
      <c r="O38" s="861"/>
      <c r="P38" s="861">
        <v>94684999.280750453</v>
      </c>
      <c r="Q38" s="861"/>
    </row>
    <row r="39" spans="1:17" ht="12.75">
      <c r="A39" s="862"/>
      <c r="B39" s="945"/>
      <c r="C39" s="869" t="s">
        <v>2474</v>
      </c>
      <c r="D39" s="861">
        <v>0</v>
      </c>
      <c r="E39" s="861"/>
      <c r="F39" s="861">
        <v>0</v>
      </c>
      <c r="G39" s="861"/>
      <c r="H39" s="861">
        <v>12666431.026999999</v>
      </c>
      <c r="I39" s="862"/>
      <c r="J39" s="861">
        <v>27695444.39591502</v>
      </c>
      <c r="K39" s="861"/>
      <c r="L39" s="861">
        <v>23023540.52523502</v>
      </c>
      <c r="M39" s="862"/>
      <c r="N39" s="861">
        <v>16569690.787798321</v>
      </c>
      <c r="O39" s="861"/>
      <c r="P39" s="861">
        <v>38843554.029249549</v>
      </c>
      <c r="Q39" s="861"/>
    </row>
    <row r="40" spans="1:17" ht="12.75">
      <c r="A40" s="862"/>
      <c r="B40" s="945" t="s">
        <v>2730</v>
      </c>
      <c r="C40" s="869" t="s">
        <v>2473</v>
      </c>
      <c r="D40" s="861">
        <v>0</v>
      </c>
      <c r="E40" s="861"/>
      <c r="F40" s="861">
        <v>0</v>
      </c>
      <c r="G40" s="861"/>
      <c r="H40" s="861">
        <v>815997.8296249999</v>
      </c>
      <c r="I40" s="862"/>
      <c r="J40" s="861">
        <v>6149163.5398939326</v>
      </c>
      <c r="K40" s="861"/>
      <c r="L40" s="861">
        <v>16675325.537514538</v>
      </c>
      <c r="M40" s="862"/>
      <c r="N40" s="861">
        <v>27751921.028070726</v>
      </c>
      <c r="O40" s="861"/>
      <c r="P40" s="861">
        <v>34652307.527207963</v>
      </c>
      <c r="Q40" s="861"/>
    </row>
    <row r="41" spans="1:17" ht="12.75">
      <c r="A41" s="862"/>
      <c r="B41" s="945"/>
      <c r="C41" s="869" t="s">
        <v>2474</v>
      </c>
      <c r="D41" s="861">
        <v>0</v>
      </c>
      <c r="E41" s="861"/>
      <c r="F41" s="861">
        <v>0</v>
      </c>
      <c r="G41" s="861"/>
      <c r="H41" s="861">
        <v>984609.64350000001</v>
      </c>
      <c r="I41" s="862"/>
      <c r="J41" s="861">
        <v>3518234.2401060667</v>
      </c>
      <c r="K41" s="861"/>
      <c r="L41" s="861">
        <v>6087179.352485463</v>
      </c>
      <c r="M41" s="862"/>
      <c r="N41" s="861">
        <v>8292635.5419292767</v>
      </c>
      <c r="O41" s="861"/>
      <c r="P41" s="861">
        <v>10493149.002792036</v>
      </c>
      <c r="Q41" s="861"/>
    </row>
    <row r="42" spans="1:17" ht="12.75">
      <c r="A42" s="862"/>
      <c r="B42" s="862"/>
      <c r="C42" s="945"/>
      <c r="D42" s="861"/>
      <c r="E42" s="861"/>
      <c r="F42" s="861"/>
      <c r="G42" s="861"/>
      <c r="H42" s="861"/>
      <c r="I42" s="862"/>
      <c r="J42" s="862"/>
      <c r="K42" s="862"/>
      <c r="L42" s="862"/>
      <c r="M42" s="862"/>
      <c r="N42" s="862"/>
      <c r="O42" s="862"/>
      <c r="P42" s="862"/>
      <c r="Q42" s="862"/>
    </row>
    <row r="43" spans="1:17" ht="12.75">
      <c r="A43" s="862"/>
      <c r="B43" s="951"/>
      <c r="C43" s="951"/>
      <c r="D43" s="951"/>
      <c r="E43" s="951"/>
      <c r="F43" s="951"/>
      <c r="G43" s="951"/>
      <c r="H43" s="951"/>
      <c r="I43" s="951"/>
      <c r="J43" s="951"/>
      <c r="K43" s="951"/>
      <c r="L43" s="951"/>
      <c r="M43" s="951"/>
      <c r="N43" s="951"/>
      <c r="O43" s="951"/>
      <c r="P43" s="951"/>
      <c r="Q43" s="951"/>
    </row>
    <row r="44" spans="1:17" ht="12.75">
      <c r="A44" s="862"/>
      <c r="B44" s="948" t="s">
        <v>2731</v>
      </c>
      <c r="C44" s="869" t="s">
        <v>2473</v>
      </c>
      <c r="D44" s="952">
        <v>0</v>
      </c>
      <c r="E44" s="952"/>
      <c r="F44" s="952">
        <v>0</v>
      </c>
      <c r="G44" s="952"/>
      <c r="H44" s="952">
        <v>13071630.413374998</v>
      </c>
      <c r="I44" s="948"/>
      <c r="J44" s="853">
        <v>59314009.284191042</v>
      </c>
      <c r="K44" s="853"/>
      <c r="L44" s="853">
        <v>97491608.587250441</v>
      </c>
      <c r="M44" s="862"/>
      <c r="N44" s="853">
        <v>60015073.254130967</v>
      </c>
      <c r="O44" s="853"/>
      <c r="P44" s="853">
        <v>60032691.75354249</v>
      </c>
      <c r="Q44" s="853"/>
    </row>
    <row r="45" spans="1:17" ht="12.75">
      <c r="A45" s="862"/>
      <c r="B45" s="948"/>
      <c r="C45" s="869" t="s">
        <v>2474</v>
      </c>
      <c r="D45" s="952">
        <v>0</v>
      </c>
      <c r="E45" s="952"/>
      <c r="F45" s="952">
        <v>0</v>
      </c>
      <c r="G45" s="952"/>
      <c r="H45" s="952">
        <v>11681821.383499999</v>
      </c>
      <c r="I45" s="948"/>
      <c r="J45" s="853">
        <v>24177210.155808955</v>
      </c>
      <c r="K45" s="853"/>
      <c r="L45" s="853">
        <v>16936361.172749557</v>
      </c>
      <c r="M45" s="862"/>
      <c r="N45" s="853">
        <v>8277055.2458690442</v>
      </c>
      <c r="O45" s="853"/>
      <c r="P45" s="853">
        <v>28350405.026457511</v>
      </c>
      <c r="Q45" s="853"/>
    </row>
    <row r="46" spans="1:17" ht="12.75">
      <c r="A46" s="862"/>
      <c r="B46" s="953"/>
      <c r="C46" s="953"/>
      <c r="D46" s="953"/>
      <c r="E46" s="953"/>
      <c r="F46" s="953"/>
      <c r="G46" s="953"/>
      <c r="H46" s="953"/>
      <c r="I46" s="953"/>
      <c r="J46" s="953"/>
      <c r="K46" s="953"/>
      <c r="L46" s="953"/>
      <c r="M46" s="953"/>
      <c r="N46" s="953"/>
      <c r="O46" s="953"/>
      <c r="P46" s="953"/>
      <c r="Q46" s="953"/>
    </row>
    <row r="47" spans="1:17" ht="12.75">
      <c r="A47" s="862"/>
      <c r="B47" s="862"/>
      <c r="C47" s="862"/>
      <c r="D47" s="862"/>
      <c r="E47" s="862"/>
      <c r="F47" s="862"/>
      <c r="G47" s="862"/>
      <c r="H47" s="862"/>
      <c r="I47" s="862"/>
      <c r="J47" s="862"/>
      <c r="K47" s="862"/>
      <c r="L47" s="862"/>
      <c r="M47" s="862"/>
      <c r="N47" s="862"/>
      <c r="O47" s="862"/>
      <c r="P47" s="862"/>
      <c r="Q47" s="862"/>
    </row>
    <row r="48" spans="1:17" ht="12.75">
      <c r="A48" s="862"/>
      <c r="B48" s="937" t="s">
        <v>2567</v>
      </c>
      <c r="C48" s="954" t="s">
        <v>2473</v>
      </c>
      <c r="D48" s="955">
        <v>0</v>
      </c>
      <c r="E48" s="937"/>
      <c r="F48" s="956">
        <v>0</v>
      </c>
      <c r="G48" s="937"/>
      <c r="H48" s="956">
        <v>4575070.6446812488</v>
      </c>
      <c r="I48" s="937"/>
      <c r="J48" s="956">
        <v>20759903.249466863</v>
      </c>
      <c r="K48" s="956"/>
      <c r="L48" s="956">
        <v>34122063.005537651</v>
      </c>
      <c r="M48" s="937"/>
      <c r="N48" s="956">
        <v>21005275.638945837</v>
      </c>
      <c r="O48" s="956"/>
      <c r="P48" s="956">
        <v>21011442.11373987</v>
      </c>
      <c r="Q48" s="956"/>
    </row>
    <row r="49" spans="1:17" ht="12.75">
      <c r="A49" s="862"/>
      <c r="B49" s="957" t="s">
        <v>2732</v>
      </c>
      <c r="C49" s="936" t="s">
        <v>2474</v>
      </c>
      <c r="D49" s="955">
        <v>0</v>
      </c>
      <c r="E49" s="937"/>
      <c r="F49" s="956">
        <v>0</v>
      </c>
      <c r="G49" s="937"/>
      <c r="H49" s="956">
        <v>4088637.4842249993</v>
      </c>
      <c r="I49" s="937"/>
      <c r="J49" s="956">
        <v>8462023.5545331333</v>
      </c>
      <c r="K49" s="956"/>
      <c r="L49" s="956">
        <v>5927726.4104623441</v>
      </c>
      <c r="M49" s="937"/>
      <c r="N49" s="956">
        <v>2896969.3360541654</v>
      </c>
      <c r="O49" s="956"/>
      <c r="P49" s="956">
        <v>9922641.7592601273</v>
      </c>
      <c r="Q49" s="956"/>
    </row>
    <row r="50" spans="1:17" ht="12.75">
      <c r="A50" s="862"/>
      <c r="B50" s="958"/>
      <c r="C50" s="958"/>
      <c r="D50" s="958"/>
      <c r="E50" s="958"/>
      <c r="F50" s="958"/>
      <c r="G50" s="958"/>
      <c r="H50" s="958"/>
      <c r="I50" s="958"/>
      <c r="J50" s="958"/>
      <c r="K50" s="958"/>
      <c r="L50" s="958"/>
      <c r="M50" s="958"/>
      <c r="N50" s="958"/>
      <c r="O50" s="958"/>
      <c r="P50" s="958"/>
      <c r="Q50" s="958"/>
    </row>
    <row r="51" spans="1:17" ht="12.75">
      <c r="A51" s="862"/>
      <c r="B51" s="862"/>
      <c r="C51" s="862"/>
      <c r="D51" s="862"/>
      <c r="E51" s="862"/>
      <c r="F51" s="862"/>
      <c r="G51" s="862"/>
      <c r="H51" s="862"/>
      <c r="I51" s="862"/>
      <c r="J51" s="862"/>
      <c r="K51" s="862"/>
      <c r="L51" s="862"/>
      <c r="M51" s="862"/>
      <c r="N51" s="862"/>
      <c r="O51" s="862"/>
      <c r="P51" s="862"/>
      <c r="Q51" s="862"/>
    </row>
    <row r="52" spans="1:17" ht="12.75">
      <c r="A52" s="862"/>
      <c r="B52" s="862" t="s">
        <v>2733</v>
      </c>
      <c r="C52" s="869" t="s">
        <v>2473</v>
      </c>
      <c r="D52" s="861">
        <v>0</v>
      </c>
      <c r="E52" s="862"/>
      <c r="F52" s="870">
        <v>0</v>
      </c>
      <c r="G52" s="862"/>
      <c r="H52" s="870">
        <v>4575070.6446812488</v>
      </c>
      <c r="I52" s="862"/>
      <c r="J52" s="870">
        <v>25334973.894148111</v>
      </c>
      <c r="K52" s="870"/>
      <c r="L52" s="870">
        <v>59457036.899685763</v>
      </c>
      <c r="M52" s="862"/>
      <c r="N52" s="870">
        <v>80462312.538631603</v>
      </c>
      <c r="O52" s="870"/>
      <c r="P52" s="870">
        <v>101473754.65237147</v>
      </c>
      <c r="Q52" s="870"/>
    </row>
    <row r="53" spans="1:17" ht="12.75">
      <c r="A53" s="862"/>
      <c r="B53" s="862"/>
      <c r="C53" s="945" t="s">
        <v>2474</v>
      </c>
      <c r="D53" s="861">
        <v>0</v>
      </c>
      <c r="E53" s="862"/>
      <c r="F53" s="870">
        <v>0</v>
      </c>
      <c r="G53" s="862"/>
      <c r="H53" s="870">
        <v>4088637.4842249993</v>
      </c>
      <c r="I53" s="862"/>
      <c r="J53" s="870">
        <v>12550661.038758133</v>
      </c>
      <c r="K53" s="870"/>
      <c r="L53" s="870">
        <v>18478387.449220479</v>
      </c>
      <c r="M53" s="862"/>
      <c r="N53" s="870">
        <v>21375356.785274643</v>
      </c>
      <c r="O53" s="870"/>
      <c r="P53" s="870">
        <v>31297998.544534773</v>
      </c>
      <c r="Q53" s="870"/>
    </row>
    <row r="54" spans="1:17" ht="12.75">
      <c r="A54" s="862"/>
      <c r="B54" s="862"/>
      <c r="C54" s="862"/>
      <c r="D54" s="862"/>
      <c r="E54" s="862"/>
      <c r="F54" s="862"/>
      <c r="G54" s="862"/>
      <c r="H54" s="862"/>
      <c r="I54" s="862"/>
      <c r="J54" s="862"/>
      <c r="K54" s="862"/>
      <c r="L54" s="862"/>
      <c r="M54" s="862"/>
      <c r="N54" s="862"/>
      <c r="O54" s="862"/>
      <c r="P54" s="862"/>
      <c r="Q54" s="862"/>
    </row>
    <row r="55" spans="1:17" ht="12.75">
      <c r="A55" s="862"/>
      <c r="B55" s="862" t="s">
        <v>2734</v>
      </c>
      <c r="C55" s="869" t="s">
        <v>2473</v>
      </c>
      <c r="D55" s="92">
        <v>0</v>
      </c>
      <c r="E55" s="862"/>
      <c r="F55" s="92">
        <v>0</v>
      </c>
      <c r="G55" s="862"/>
      <c r="H55" s="92">
        <v>2287535.3223406244</v>
      </c>
      <c r="I55" s="862"/>
      <c r="J55" s="92">
        <v>14955022.26941468</v>
      </c>
      <c r="K55" s="862"/>
      <c r="L55" s="92">
        <v>42396005.396916941</v>
      </c>
      <c r="M55" s="862"/>
      <c r="N55" s="92">
        <v>69959674.719158679</v>
      </c>
      <c r="O55" s="92"/>
      <c r="P55" s="92">
        <v>90968033.595501542</v>
      </c>
      <c r="Q55" s="92"/>
    </row>
    <row r="56" spans="1:17" ht="12.75">
      <c r="A56" s="862"/>
      <c r="B56" s="862"/>
      <c r="C56" s="945" t="s">
        <v>2474</v>
      </c>
      <c r="D56" s="92">
        <v>0</v>
      </c>
      <c r="E56" s="862"/>
      <c r="F56" s="92">
        <v>0</v>
      </c>
      <c r="G56" s="862"/>
      <c r="H56" s="92">
        <v>2044318.7421124997</v>
      </c>
      <c r="I56" s="862"/>
      <c r="J56" s="92">
        <v>8319649.261491566</v>
      </c>
      <c r="K56" s="862"/>
      <c r="L56" s="92">
        <v>15514524.243989306</v>
      </c>
      <c r="M56" s="862"/>
      <c r="N56" s="92">
        <v>19926872.117247559</v>
      </c>
      <c r="O56" s="92"/>
      <c r="P56" s="92">
        <v>26336677.664904706</v>
      </c>
      <c r="Q56" s="92"/>
    </row>
    <row r="57" spans="1:17" ht="12.75">
      <c r="A57" s="862"/>
      <c r="B57" s="862"/>
      <c r="C57" s="862"/>
      <c r="D57" s="862"/>
      <c r="E57" s="862"/>
      <c r="F57" s="862"/>
      <c r="G57" s="862"/>
      <c r="H57" s="862"/>
      <c r="I57" s="862"/>
      <c r="J57" s="862"/>
      <c r="K57" s="862"/>
      <c r="L57" s="862"/>
      <c r="M57" s="862"/>
      <c r="N57" s="862"/>
      <c r="O57" s="862"/>
      <c r="P57" s="862"/>
      <c r="Q57" s="862"/>
    </row>
    <row r="58" spans="1:17" ht="12.75">
      <c r="A58" s="862" t="s">
        <v>2735</v>
      </c>
      <c r="B58" s="862"/>
      <c r="C58" s="862"/>
      <c r="D58" s="862"/>
      <c r="E58" s="862"/>
      <c r="F58" s="862"/>
      <c r="G58" s="862"/>
      <c r="H58" s="862"/>
      <c r="I58" s="862"/>
      <c r="J58" s="862"/>
      <c r="K58" s="862"/>
      <c r="L58" s="862"/>
      <c r="M58" s="862"/>
      <c r="N58" s="862"/>
      <c r="O58" s="862"/>
      <c r="P58" s="862"/>
      <c r="Q58" s="862"/>
    </row>
    <row r="59" spans="1:17" ht="12.75">
      <c r="A59" s="862" t="s">
        <v>2736</v>
      </c>
      <c r="B59" s="862"/>
      <c r="C59" s="862"/>
      <c r="D59" s="862"/>
      <c r="E59" s="862"/>
      <c r="F59" s="862"/>
      <c r="G59" s="862"/>
      <c r="H59" s="862"/>
      <c r="I59" s="862"/>
      <c r="J59" s="862"/>
      <c r="K59" s="862"/>
      <c r="L59" s="862"/>
      <c r="M59" s="862"/>
      <c r="N59" s="862"/>
      <c r="O59" s="862"/>
      <c r="P59" s="862"/>
      <c r="Q59" s="862"/>
    </row>
    <row r="60" spans="1:17" ht="12.75">
      <c r="A60" s="862"/>
      <c r="B60" s="862"/>
      <c r="C60" s="862"/>
      <c r="D60" s="862"/>
      <c r="E60" s="862"/>
      <c r="F60" s="862"/>
      <c r="G60" s="862"/>
      <c r="H60" s="862"/>
      <c r="I60" s="862"/>
      <c r="J60" s="862"/>
      <c r="K60" s="862"/>
      <c r="L60" s="862"/>
      <c r="M60" s="862"/>
      <c r="N60" s="862"/>
      <c r="O60" s="862"/>
      <c r="P60" s="862"/>
      <c r="Q60" s="862"/>
    </row>
    <row r="61" spans="1:17" ht="12.75">
      <c r="A61" s="862" t="s">
        <v>4309</v>
      </c>
      <c r="B61" s="862"/>
      <c r="C61" s="862"/>
      <c r="D61" s="862"/>
      <c r="E61" s="862"/>
      <c r="F61" s="862"/>
      <c r="G61" s="862"/>
      <c r="H61" s="862"/>
      <c r="I61" s="862"/>
      <c r="J61" s="862"/>
      <c r="K61" s="862"/>
      <c r="L61" s="862"/>
      <c r="M61" s="862"/>
      <c r="N61" s="862"/>
      <c r="O61" s="862"/>
      <c r="P61" s="862"/>
      <c r="Q61" s="862"/>
    </row>
    <row r="62" spans="1:17" ht="12.75">
      <c r="A62" s="1006" t="s">
        <v>4527</v>
      </c>
      <c r="B62" s="1006"/>
      <c r="C62" s="1006"/>
      <c r="D62" s="1006"/>
      <c r="E62" s="1006"/>
      <c r="F62" s="1006"/>
      <c r="G62" s="1006"/>
      <c r="H62" s="1006"/>
      <c r="I62" s="1006"/>
      <c r="J62" s="1006"/>
      <c r="K62" s="1006"/>
      <c r="L62" s="862"/>
      <c r="M62" s="862"/>
      <c r="N62" s="862"/>
      <c r="O62" s="862"/>
      <c r="P62" s="862"/>
      <c r="Q62" s="862"/>
    </row>
    <row r="63" spans="1:17" ht="12.75">
      <c r="A63" s="1006" t="s">
        <v>4593</v>
      </c>
      <c r="B63" s="1006"/>
      <c r="C63" s="1006"/>
      <c r="D63" s="1006"/>
      <c r="E63" s="1006"/>
      <c r="F63" s="1006"/>
      <c r="G63" s="1006"/>
      <c r="H63" s="1006"/>
      <c r="I63" s="1006"/>
      <c r="J63" s="1006"/>
      <c r="K63" s="1006"/>
      <c r="L63" s="862"/>
      <c r="M63" s="862"/>
      <c r="N63" s="862"/>
      <c r="O63" s="862"/>
      <c r="P63" s="862"/>
      <c r="Q63" s="862"/>
    </row>
    <row r="64" spans="1:17" ht="12.75">
      <c r="A64" s="1006" t="s">
        <v>4594</v>
      </c>
      <c r="B64" s="1006"/>
      <c r="C64" s="1006"/>
      <c r="D64" s="1006"/>
      <c r="E64" s="1006"/>
      <c r="F64" s="1006"/>
      <c r="G64" s="1006"/>
      <c r="H64" s="1006"/>
      <c r="I64" s="1006"/>
      <c r="J64" s="1006"/>
      <c r="K64" s="959"/>
      <c r="L64" s="862"/>
      <c r="M64" s="862"/>
      <c r="N64" s="862"/>
      <c r="O64" s="862"/>
      <c r="P64" s="862"/>
      <c r="Q64" s="862"/>
    </row>
    <row r="65" spans="1:19" ht="12.75">
      <c r="A65" s="1006"/>
      <c r="B65" s="1006"/>
      <c r="C65" s="1006"/>
      <c r="D65" s="1006"/>
      <c r="E65" s="1006"/>
      <c r="F65" s="1006"/>
      <c r="G65" s="1006"/>
      <c r="H65" s="1006"/>
      <c r="I65" s="1006"/>
      <c r="J65" s="1006"/>
      <c r="K65" s="862"/>
      <c r="L65" s="862"/>
      <c r="M65" s="862"/>
      <c r="N65" s="862"/>
      <c r="O65" s="862"/>
      <c r="P65" s="862"/>
      <c r="Q65" s="862"/>
    </row>
    <row r="66" spans="1:19" ht="12.75">
      <c r="A66" s="960" t="s">
        <v>4595</v>
      </c>
      <c r="B66" s="862"/>
      <c r="C66" s="862"/>
      <c r="D66" s="862"/>
      <c r="E66" s="862"/>
      <c r="F66" s="862"/>
      <c r="G66" s="862"/>
      <c r="H66" s="862"/>
      <c r="I66" s="862"/>
      <c r="J66" s="862"/>
      <c r="K66" s="862"/>
      <c r="L66" s="862"/>
      <c r="M66" s="862"/>
      <c r="N66" s="862"/>
      <c r="O66" s="862"/>
      <c r="P66" s="862"/>
      <c r="Q66" s="862"/>
    </row>
    <row r="78" spans="1:19" ht="20.25">
      <c r="A78" s="629"/>
      <c r="B78" s="961" t="s">
        <v>2707</v>
      </c>
      <c r="C78" s="629"/>
      <c r="D78" s="629"/>
      <c r="E78" s="629"/>
      <c r="F78" s="629"/>
      <c r="G78" s="629"/>
      <c r="H78" s="629"/>
      <c r="I78" s="629"/>
      <c r="J78" s="629"/>
      <c r="K78" s="629"/>
      <c r="L78" s="629"/>
      <c r="M78" s="629"/>
      <c r="N78" s="629"/>
      <c r="O78" s="629"/>
      <c r="P78" s="629"/>
      <c r="Q78" s="629"/>
      <c r="R78" s="629"/>
      <c r="S78" s="629"/>
    </row>
    <row r="79" spans="1:19" ht="12.75">
      <c r="A79" s="629"/>
      <c r="B79" s="629" t="s">
        <v>2708</v>
      </c>
      <c r="C79" s="629"/>
      <c r="D79" s="629"/>
      <c r="E79" s="629"/>
      <c r="F79" s="629"/>
      <c r="G79" s="629"/>
      <c r="H79" s="629"/>
      <c r="I79" s="629"/>
      <c r="J79" s="629"/>
      <c r="K79" s="629"/>
      <c r="L79" s="629"/>
      <c r="M79" s="629"/>
      <c r="N79" s="629"/>
      <c r="O79" s="629"/>
      <c r="P79" s="629"/>
      <c r="Q79" s="629"/>
      <c r="R79" s="629"/>
      <c r="S79" s="629"/>
    </row>
    <row r="80" spans="1:19" ht="12.75">
      <c r="A80" s="629"/>
      <c r="B80" s="629" t="s">
        <v>2709</v>
      </c>
      <c r="C80" s="629"/>
      <c r="D80" s="629"/>
      <c r="E80" s="629"/>
      <c r="F80" s="629"/>
      <c r="G80" s="629"/>
      <c r="H80" s="629"/>
      <c r="I80" s="629"/>
      <c r="J80" s="629"/>
      <c r="K80" s="629"/>
      <c r="L80" s="629"/>
      <c r="M80" s="629"/>
      <c r="N80" s="629"/>
      <c r="O80" s="629"/>
      <c r="P80" s="629"/>
      <c r="Q80" s="629"/>
      <c r="R80" s="629"/>
      <c r="S80" s="629"/>
    </row>
    <row r="81" spans="1:40" ht="12.75">
      <c r="A81" s="629"/>
      <c r="B81" s="629" t="s">
        <v>2710</v>
      </c>
      <c r="C81" s="629"/>
      <c r="D81" s="629"/>
      <c r="E81" s="629"/>
      <c r="F81" s="629"/>
      <c r="G81" s="629"/>
      <c r="H81" s="629"/>
      <c r="I81" s="629"/>
      <c r="J81" s="629"/>
      <c r="K81" s="629"/>
      <c r="L81" s="629"/>
      <c r="M81" s="629"/>
      <c r="N81" s="629"/>
      <c r="O81" s="629"/>
      <c r="P81" s="629"/>
      <c r="Q81" s="629"/>
      <c r="R81" s="629"/>
      <c r="S81" s="629"/>
    </row>
    <row r="82" spans="1:40" ht="12.75">
      <c r="A82" s="629"/>
      <c r="B82" s="629" t="s">
        <v>2711</v>
      </c>
      <c r="C82" s="629"/>
      <c r="D82" s="629"/>
      <c r="E82" s="629"/>
      <c r="F82" s="629"/>
      <c r="G82" s="629"/>
      <c r="H82" s="629"/>
      <c r="I82" s="629"/>
      <c r="J82" s="629"/>
      <c r="K82" s="629"/>
      <c r="L82" s="629"/>
      <c r="M82" s="629"/>
      <c r="N82" s="629"/>
      <c r="O82" s="629"/>
      <c r="P82" s="629"/>
      <c r="Q82" s="629"/>
      <c r="R82" s="629"/>
      <c r="S82" s="629"/>
    </row>
    <row r="83" spans="1:40" ht="12.75">
      <c r="A83" s="629"/>
      <c r="B83" s="933" t="s">
        <v>4591</v>
      </c>
      <c r="C83" s="629"/>
      <c r="D83" s="629"/>
      <c r="E83" s="629"/>
      <c r="F83" s="629"/>
      <c r="G83" s="629"/>
      <c r="H83" s="629"/>
      <c r="I83" s="629"/>
      <c r="J83" s="629"/>
      <c r="K83" s="629"/>
      <c r="L83" s="629"/>
      <c r="M83" s="629"/>
      <c r="N83" s="629"/>
      <c r="O83" s="629"/>
      <c r="P83" s="629"/>
      <c r="Q83" s="629"/>
      <c r="R83" s="629"/>
      <c r="S83" s="629"/>
    </row>
    <row r="84" spans="1:40" ht="12.75">
      <c r="A84" s="629"/>
      <c r="B84" s="638" t="s">
        <v>2712</v>
      </c>
      <c r="C84" s="629"/>
      <c r="D84" s="638" t="s">
        <v>2713</v>
      </c>
      <c r="E84" s="629"/>
      <c r="F84" s="638" t="s">
        <v>2713</v>
      </c>
      <c r="G84" s="629"/>
      <c r="H84" s="638" t="s">
        <v>2713</v>
      </c>
      <c r="I84" s="629"/>
      <c r="J84" s="638" t="s">
        <v>2713</v>
      </c>
      <c r="K84" s="629"/>
      <c r="L84" s="638" t="s">
        <v>2713</v>
      </c>
      <c r="M84" s="629"/>
      <c r="N84" s="638" t="s">
        <v>2713</v>
      </c>
      <c r="O84" s="629"/>
      <c r="P84" s="638" t="s">
        <v>2713</v>
      </c>
      <c r="Q84" s="638"/>
      <c r="R84" s="638" t="s">
        <v>2714</v>
      </c>
      <c r="S84" s="638" t="s">
        <v>2714</v>
      </c>
      <c r="T84" s="84">
        <v>2012</v>
      </c>
    </row>
    <row r="85" spans="1:40" ht="12.75">
      <c r="A85" s="629"/>
      <c r="B85" s="638" t="s">
        <v>2715</v>
      </c>
      <c r="C85" s="629"/>
      <c r="D85" s="638" t="s">
        <v>2716</v>
      </c>
      <c r="E85" s="629"/>
      <c r="F85" s="638" t="s">
        <v>2716</v>
      </c>
      <c r="G85" s="629"/>
      <c r="H85" s="638" t="s">
        <v>2716</v>
      </c>
      <c r="I85" s="629"/>
      <c r="J85" s="638" t="s">
        <v>2716</v>
      </c>
      <c r="K85" s="629"/>
      <c r="L85" s="638" t="s">
        <v>2716</v>
      </c>
      <c r="M85" s="629"/>
      <c r="N85" s="638" t="s">
        <v>2716</v>
      </c>
      <c r="O85" s="629"/>
      <c r="P85" s="638" t="s">
        <v>2716</v>
      </c>
      <c r="Q85" s="638"/>
      <c r="R85" s="638" t="s">
        <v>2717</v>
      </c>
      <c r="S85" s="638" t="s">
        <v>2717</v>
      </c>
      <c r="T85" s="81" t="s">
        <v>2718</v>
      </c>
    </row>
    <row r="86" spans="1:40" ht="12.75">
      <c r="A86" s="629"/>
      <c r="B86" s="638" t="s">
        <v>2716</v>
      </c>
      <c r="C86" s="629"/>
      <c r="D86" s="851">
        <v>2008</v>
      </c>
      <c r="E86" s="629"/>
      <c r="F86" s="851">
        <v>2009</v>
      </c>
      <c r="G86" s="629"/>
      <c r="H86" s="851">
        <v>2010</v>
      </c>
      <c r="I86" s="629"/>
      <c r="J86" s="851">
        <v>2011</v>
      </c>
      <c r="K86" s="629"/>
      <c r="L86" s="851">
        <v>2012</v>
      </c>
      <c r="M86" s="629"/>
      <c r="N86" s="851">
        <v>2013</v>
      </c>
      <c r="O86" s="629"/>
      <c r="P86" s="851">
        <v>2014</v>
      </c>
      <c r="Q86" s="851"/>
      <c r="R86" s="638" t="s">
        <v>2719</v>
      </c>
      <c r="S86" s="638" t="s">
        <v>4073</v>
      </c>
      <c r="T86" s="81" t="s">
        <v>2720</v>
      </c>
      <c r="AJ86" s="962"/>
      <c r="AK86" s="962"/>
      <c r="AL86" s="962"/>
      <c r="AM86" s="962"/>
      <c r="AN86" s="962"/>
    </row>
    <row r="87" spans="1:40" ht="12.75">
      <c r="A87" s="629"/>
      <c r="B87" s="629"/>
      <c r="C87" s="629"/>
      <c r="D87" s="851"/>
      <c r="E87" s="629"/>
      <c r="F87" s="629"/>
      <c r="G87" s="629"/>
      <c r="H87" s="629"/>
      <c r="I87" s="629"/>
      <c r="J87" s="629"/>
      <c r="K87" s="629"/>
      <c r="L87" s="629"/>
      <c r="M87" s="629"/>
      <c r="N87" s="629"/>
      <c r="O87" s="629"/>
      <c r="P87" s="629"/>
      <c r="Q87" s="629"/>
      <c r="R87" s="629"/>
      <c r="S87" s="629"/>
    </row>
    <row r="88" spans="1:40" ht="12.75">
      <c r="A88" s="629"/>
      <c r="B88" s="629"/>
      <c r="C88" s="638"/>
      <c r="D88" s="628"/>
      <c r="E88" s="628"/>
      <c r="F88" s="628"/>
      <c r="G88" s="628"/>
      <c r="H88" s="628"/>
      <c r="I88" s="629"/>
      <c r="J88" s="628"/>
      <c r="K88" s="629"/>
      <c r="L88" s="629"/>
      <c r="M88" s="629"/>
      <c r="N88" s="629"/>
      <c r="O88" s="629"/>
      <c r="P88" s="629"/>
      <c r="Q88" s="629"/>
      <c r="R88" s="629"/>
      <c r="S88" s="629"/>
      <c r="AJ88" s="963"/>
      <c r="AK88" s="963"/>
      <c r="AL88" s="963"/>
      <c r="AM88" s="963"/>
      <c r="AN88" s="963"/>
    </row>
    <row r="89" spans="1:40" ht="12.75">
      <c r="A89" s="629"/>
      <c r="B89" s="638" t="s">
        <v>2722</v>
      </c>
      <c r="C89" s="638" t="s">
        <v>2473</v>
      </c>
      <c r="D89" s="628"/>
      <c r="E89" s="628"/>
      <c r="F89" s="628"/>
      <c r="G89" s="628"/>
      <c r="H89" s="628">
        <v>13887628.242999997</v>
      </c>
      <c r="I89" s="629"/>
      <c r="J89" s="628">
        <v>494291.35197972838</v>
      </c>
      <c r="K89" s="629"/>
      <c r="L89" s="628">
        <v>450481.15298839752</v>
      </c>
      <c r="M89" s="629"/>
      <c r="N89" s="628">
        <v>412033.32759113173</v>
      </c>
      <c r="O89" s="629"/>
      <c r="P89" s="628">
        <v>378695.87690484582</v>
      </c>
      <c r="Q89" s="628"/>
      <c r="R89" s="629"/>
      <c r="S89" s="629"/>
      <c r="AJ89" s="963"/>
      <c r="AK89" s="963"/>
      <c r="AL89" s="963"/>
      <c r="AM89" s="963"/>
      <c r="AN89" s="963"/>
    </row>
    <row r="90" spans="1:40" ht="12.75">
      <c r="A90" s="629"/>
      <c r="B90" s="638"/>
      <c r="C90" s="638" t="s">
        <v>2474</v>
      </c>
      <c r="D90" s="628"/>
      <c r="E90" s="628"/>
      <c r="F90" s="628"/>
      <c r="G90" s="628"/>
      <c r="H90" s="628">
        <v>12666431.026999999</v>
      </c>
      <c r="I90" s="629"/>
      <c r="J90" s="628">
        <v>697026.4180202717</v>
      </c>
      <c r="K90" s="629"/>
      <c r="L90" s="628">
        <v>620926.06701160257</v>
      </c>
      <c r="M90" s="629"/>
      <c r="N90" s="628">
        <v>554168.61240886827</v>
      </c>
      <c r="O90" s="629"/>
      <c r="P90" s="628">
        <v>496351.30309515417</v>
      </c>
      <c r="Q90" s="628"/>
      <c r="R90" s="629"/>
      <c r="S90" s="629"/>
    </row>
    <row r="91" spans="1:40" ht="12.75">
      <c r="A91" s="629"/>
      <c r="B91" s="638" t="s">
        <v>2723</v>
      </c>
      <c r="C91" s="638" t="s">
        <v>2473</v>
      </c>
      <c r="D91" s="628"/>
      <c r="E91" s="628"/>
      <c r="F91" s="628"/>
      <c r="G91" s="628"/>
      <c r="H91" s="628">
        <v>815997.8296249999</v>
      </c>
      <c r="I91" s="629"/>
      <c r="J91" s="628">
        <v>1552452.3658902608</v>
      </c>
      <c r="K91" s="629"/>
      <c r="L91" s="628">
        <v>1394992.455825021</v>
      </c>
      <c r="M91" s="629"/>
      <c r="N91" s="628">
        <v>1261202.5353482449</v>
      </c>
      <c r="O91" s="629"/>
      <c r="P91" s="628">
        <v>1150939.9761769611</v>
      </c>
      <c r="Q91" s="628"/>
      <c r="R91" s="629"/>
      <c r="S91" s="629"/>
    </row>
    <row r="92" spans="1:40" ht="12.75">
      <c r="A92" s="629"/>
      <c r="B92" s="638"/>
      <c r="C92" s="638" t="s">
        <v>2474</v>
      </c>
      <c r="D92" s="628"/>
      <c r="E92" s="628"/>
      <c r="F92" s="628"/>
      <c r="G92" s="628"/>
      <c r="H92" s="628">
        <v>984609.64350000001</v>
      </c>
      <c r="I92" s="629"/>
      <c r="J92" s="628">
        <v>1914670.5241097391</v>
      </c>
      <c r="K92" s="629"/>
      <c r="L92" s="628">
        <v>1694509.9341749789</v>
      </c>
      <c r="M92" s="629"/>
      <c r="N92" s="628">
        <v>1504765.0646517552</v>
      </c>
      <c r="O92" s="629"/>
      <c r="P92" s="628">
        <v>1346037.893823039</v>
      </c>
      <c r="Q92" s="628"/>
      <c r="R92" s="629"/>
      <c r="S92" s="629"/>
      <c r="AJ92" s="92"/>
      <c r="AK92" s="92"/>
      <c r="AL92" s="92"/>
      <c r="AM92" s="92"/>
      <c r="AN92" s="92"/>
    </row>
    <row r="93" spans="1:40" ht="12.75">
      <c r="A93" s="629"/>
      <c r="B93" s="638"/>
      <c r="C93" s="638"/>
      <c r="D93" s="628"/>
      <c r="E93" s="628"/>
      <c r="F93" s="628"/>
      <c r="G93" s="628"/>
      <c r="H93" s="628"/>
      <c r="I93" s="629"/>
      <c r="J93" s="628"/>
      <c r="K93" s="629"/>
      <c r="L93" s="628"/>
      <c r="M93" s="629"/>
      <c r="N93" s="628"/>
      <c r="O93" s="629"/>
      <c r="P93" s="628"/>
      <c r="Q93" s="628"/>
      <c r="R93" s="629"/>
      <c r="S93" s="629"/>
      <c r="AJ93" s="92"/>
      <c r="AK93" s="92"/>
      <c r="AL93" s="92"/>
      <c r="AM93" s="92"/>
      <c r="AN93" s="92"/>
    </row>
    <row r="94" spans="1:40" ht="12.75">
      <c r="A94" s="629"/>
      <c r="B94" s="638" t="s">
        <v>2725</v>
      </c>
      <c r="C94" s="638" t="s">
        <v>2473</v>
      </c>
      <c r="D94" s="628"/>
      <c r="E94" s="628"/>
      <c r="F94" s="628"/>
      <c r="G94" s="628"/>
      <c r="H94" s="628"/>
      <c r="I94" s="629"/>
      <c r="J94" s="628">
        <v>64968881.47210525</v>
      </c>
      <c r="K94" s="164"/>
      <c r="L94" s="628">
        <v>1209875.0863367342</v>
      </c>
      <c r="M94" s="629"/>
      <c r="N94" s="628">
        <v>1070832.3298784844</v>
      </c>
      <c r="O94" s="629"/>
      <c r="P94" s="628">
        <v>919387.58701595792</v>
      </c>
      <c r="Q94" s="628"/>
      <c r="R94" s="629"/>
      <c r="S94" s="629"/>
    </row>
    <row r="95" spans="1:40" ht="12.75">
      <c r="A95" s="629"/>
      <c r="B95" s="638"/>
      <c r="C95" s="638" t="s">
        <v>2474</v>
      </c>
      <c r="D95" s="628"/>
      <c r="E95" s="628"/>
      <c r="F95" s="628"/>
      <c r="G95" s="628"/>
      <c r="H95" s="628"/>
      <c r="I95" s="629"/>
      <c r="J95" s="628">
        <v>26998417.977894749</v>
      </c>
      <c r="K95" s="164"/>
      <c r="L95" s="628">
        <v>47424.143663265611</v>
      </c>
      <c r="M95" s="629"/>
      <c r="N95" s="628">
        <v>40446.810121515693</v>
      </c>
      <c r="O95" s="629"/>
      <c r="P95" s="628">
        <v>33808.59298404213</v>
      </c>
      <c r="Q95" s="628"/>
      <c r="R95" s="629"/>
      <c r="S95" s="629"/>
      <c r="X95" s="2"/>
      <c r="Y95" s="2"/>
      <c r="Z95" s="2"/>
      <c r="AA95" s="2"/>
      <c r="AB95" s="2"/>
      <c r="AC95" s="2"/>
      <c r="AD95" s="2"/>
      <c r="AF95" s="2"/>
    </row>
    <row r="96" spans="1:40" ht="12.75">
      <c r="A96" s="629"/>
      <c r="B96" s="638" t="s">
        <v>2726</v>
      </c>
      <c r="C96" s="638" t="s">
        <v>2473</v>
      </c>
      <c r="D96" s="628"/>
      <c r="E96" s="628"/>
      <c r="F96" s="628"/>
      <c r="G96" s="628"/>
      <c r="H96" s="628"/>
      <c r="I96" s="629"/>
      <c r="J96" s="628">
        <v>4596711.1740036719</v>
      </c>
      <c r="K96" s="629"/>
      <c r="L96" s="628">
        <v>8158464.2976169381</v>
      </c>
      <c r="M96" s="629"/>
      <c r="N96" s="628">
        <v>6709073.5849214746</v>
      </c>
      <c r="O96" s="629"/>
      <c r="P96" s="628">
        <v>5452686.2604511175</v>
      </c>
      <c r="Q96" s="628"/>
      <c r="R96" s="629"/>
      <c r="S96" s="629"/>
      <c r="X96" s="2"/>
      <c r="Y96" s="2"/>
      <c r="Z96" s="2"/>
      <c r="AA96" s="2"/>
      <c r="AB96" s="2"/>
      <c r="AC96" s="2"/>
    </row>
    <row r="97" spans="1:40" ht="12.75">
      <c r="A97" s="629"/>
      <c r="B97" s="638"/>
      <c r="C97" s="638" t="s">
        <v>2474</v>
      </c>
      <c r="D97" s="628"/>
      <c r="E97" s="628"/>
      <c r="F97" s="628"/>
      <c r="G97" s="628"/>
      <c r="H97" s="628"/>
      <c r="I97" s="629"/>
      <c r="J97" s="628">
        <v>1603563.7159963278</v>
      </c>
      <c r="K97" s="629"/>
      <c r="L97" s="628">
        <v>2841110.4723830624</v>
      </c>
      <c r="M97" s="629"/>
      <c r="N97" s="628">
        <v>2343024.1350785252</v>
      </c>
      <c r="O97" s="629"/>
      <c r="P97" s="628">
        <v>1908724.7195488825</v>
      </c>
      <c r="Q97" s="628"/>
      <c r="R97" s="629"/>
      <c r="S97" s="629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</row>
    <row r="98" spans="1:40" ht="12.75">
      <c r="A98" s="629"/>
      <c r="B98" s="638"/>
      <c r="C98" s="638"/>
      <c r="D98" s="628"/>
      <c r="E98" s="628"/>
      <c r="F98" s="628"/>
      <c r="G98" s="628"/>
      <c r="H98" s="628"/>
      <c r="I98" s="629"/>
      <c r="J98" s="628"/>
      <c r="K98" s="629"/>
      <c r="L98" s="628"/>
      <c r="M98" s="629"/>
      <c r="N98" s="628"/>
      <c r="O98" s="629"/>
      <c r="P98" s="628"/>
      <c r="Q98" s="628"/>
      <c r="R98" s="629"/>
      <c r="S98" s="629"/>
      <c r="AF98" s="2"/>
    </row>
    <row r="99" spans="1:40" ht="12.75">
      <c r="A99" s="629"/>
      <c r="B99" s="638" t="s">
        <v>2727</v>
      </c>
      <c r="C99" s="638" t="s">
        <v>2473</v>
      </c>
      <c r="D99" s="628"/>
      <c r="E99" s="628"/>
      <c r="F99" s="628"/>
      <c r="G99" s="628"/>
      <c r="H99" s="628"/>
      <c r="I99" s="629"/>
      <c r="J99" s="628"/>
      <c r="K99" s="629"/>
      <c r="L99" s="628">
        <v>112506577.88543984</v>
      </c>
      <c r="M99" s="629"/>
      <c r="N99" s="628">
        <v>3941386.6945170732</v>
      </c>
      <c r="O99" s="629"/>
      <c r="P99" s="628">
        <v>3518322.0051758029</v>
      </c>
      <c r="Q99" s="628"/>
      <c r="R99" s="629"/>
      <c r="S99" s="629"/>
    </row>
    <row r="100" spans="1:40" ht="12.75">
      <c r="A100" s="629"/>
      <c r="B100" s="638"/>
      <c r="C100" s="638" t="s">
        <v>2474</v>
      </c>
      <c r="D100" s="628"/>
      <c r="E100" s="628"/>
      <c r="F100" s="628"/>
      <c r="G100" s="628"/>
      <c r="H100" s="628"/>
      <c r="I100" s="629"/>
      <c r="J100" s="628"/>
      <c r="K100" s="629"/>
      <c r="L100" s="628">
        <v>22355190.314560153</v>
      </c>
      <c r="M100" s="629"/>
      <c r="N100" s="628">
        <v>1095872.9554829272</v>
      </c>
      <c r="O100" s="629"/>
      <c r="P100" s="628">
        <v>958204.214824197</v>
      </c>
      <c r="Q100" s="628"/>
      <c r="R100" s="629"/>
      <c r="S100" s="629"/>
    </row>
    <row r="101" spans="1:40" ht="12.75">
      <c r="A101" s="629"/>
      <c r="B101" s="638" t="s">
        <v>2728</v>
      </c>
      <c r="C101" s="638" t="s">
        <v>2473</v>
      </c>
      <c r="D101" s="628"/>
      <c r="E101" s="628"/>
      <c r="F101" s="628"/>
      <c r="G101" s="628"/>
      <c r="H101" s="628"/>
      <c r="I101" s="629"/>
      <c r="J101" s="628"/>
      <c r="K101" s="629"/>
      <c r="L101" s="628">
        <v>7121868.7840725789</v>
      </c>
      <c r="M101" s="629"/>
      <c r="N101" s="628">
        <v>13359372.810872957</v>
      </c>
      <c r="O101" s="629"/>
      <c r="P101" s="628">
        <v>11749225.737224327</v>
      </c>
      <c r="Q101" s="628"/>
      <c r="R101" s="629"/>
      <c r="S101" s="629"/>
    </row>
    <row r="102" spans="1:40" ht="12.75">
      <c r="A102" s="629"/>
      <c r="B102" s="638"/>
      <c r="C102" s="638" t="s">
        <v>2474</v>
      </c>
      <c r="D102" s="628"/>
      <c r="E102" s="628"/>
      <c r="F102" s="628"/>
      <c r="G102" s="628"/>
      <c r="H102" s="628"/>
      <c r="I102" s="629"/>
      <c r="J102" s="628"/>
      <c r="K102" s="629"/>
      <c r="L102" s="628">
        <v>1551558.9459274216</v>
      </c>
      <c r="M102" s="629"/>
      <c r="N102" s="628">
        <v>2907943.0391270425</v>
      </c>
      <c r="O102" s="629"/>
      <c r="P102" s="628">
        <v>2553753.3827756718</v>
      </c>
      <c r="Q102" s="628"/>
      <c r="R102" s="629"/>
      <c r="S102" s="629"/>
    </row>
    <row r="103" spans="1:40" ht="15.75" customHeight="1">
      <c r="A103" s="629"/>
      <c r="B103" s="638"/>
      <c r="C103" s="638"/>
      <c r="D103" s="628"/>
      <c r="E103" s="628"/>
      <c r="F103" s="628"/>
      <c r="G103" s="628"/>
      <c r="H103" s="628"/>
      <c r="I103" s="629"/>
      <c r="J103" s="628"/>
      <c r="K103" s="629"/>
      <c r="L103" s="628"/>
      <c r="M103" s="629"/>
      <c r="N103" s="628"/>
      <c r="O103" s="629"/>
      <c r="P103" s="628"/>
      <c r="Q103" s="628"/>
      <c r="R103" s="629"/>
      <c r="S103" s="629"/>
    </row>
    <row r="104" spans="1:40" ht="15.75" customHeight="1">
      <c r="A104" s="629"/>
      <c r="B104" s="638" t="s">
        <v>4239</v>
      </c>
      <c r="C104" s="638" t="s">
        <v>2473</v>
      </c>
      <c r="D104" s="628"/>
      <c r="E104" s="628"/>
      <c r="F104" s="628"/>
      <c r="G104" s="628"/>
      <c r="H104" s="628"/>
      <c r="I104" s="629"/>
      <c r="J104" s="628"/>
      <c r="K104" s="629"/>
      <c r="L104" s="628"/>
      <c r="M104" s="629"/>
      <c r="N104" s="628">
        <v>82342741.930215001</v>
      </c>
      <c r="O104" s="629"/>
      <c r="P104" s="628">
        <v>4762289.8116538469</v>
      </c>
      <c r="Q104" s="628"/>
      <c r="R104" s="629"/>
      <c r="S104" s="629"/>
    </row>
    <row r="105" spans="1:40" ht="15.75" customHeight="1">
      <c r="A105" s="629"/>
      <c r="B105" s="638"/>
      <c r="C105" s="638" t="s">
        <v>2474</v>
      </c>
      <c r="D105" s="628"/>
      <c r="E105" s="628"/>
      <c r="F105" s="628"/>
      <c r="G105" s="628"/>
      <c r="H105" s="628"/>
      <c r="I105" s="629"/>
      <c r="J105" s="628"/>
      <c r="K105" s="629"/>
      <c r="L105" s="628"/>
      <c r="M105" s="629"/>
      <c r="N105" s="628">
        <v>14879202.40978501</v>
      </c>
      <c r="O105" s="629"/>
      <c r="P105" s="628">
        <v>1475905.9183461538</v>
      </c>
      <c r="Q105" s="628"/>
      <c r="R105" s="629"/>
      <c r="S105" s="629"/>
    </row>
    <row r="106" spans="1:40" ht="15.75" customHeight="1">
      <c r="A106" s="629"/>
      <c r="B106" s="638" t="s">
        <v>4240</v>
      </c>
      <c r="C106" s="638" t="s">
        <v>2473</v>
      </c>
      <c r="D106" s="628"/>
      <c r="E106" s="628"/>
      <c r="F106" s="628"/>
      <c r="G106" s="628"/>
      <c r="H106" s="628"/>
      <c r="I106" s="629"/>
      <c r="J106" s="628"/>
      <c r="K106" s="629"/>
      <c r="L106" s="628"/>
      <c r="M106" s="629"/>
      <c r="N106" s="628">
        <v>6422272.096928047</v>
      </c>
      <c r="O106" s="629"/>
      <c r="P106" s="628">
        <v>11922638.706182992</v>
      </c>
      <c r="Q106" s="628"/>
      <c r="R106" s="629"/>
      <c r="S106" s="629"/>
    </row>
    <row r="107" spans="1:40" ht="15.75" customHeight="1">
      <c r="A107" s="629"/>
      <c r="B107" s="638"/>
      <c r="C107" s="638" t="s">
        <v>2474</v>
      </c>
      <c r="D107" s="628"/>
      <c r="E107" s="628"/>
      <c r="F107" s="628"/>
      <c r="G107" s="628"/>
      <c r="H107" s="628"/>
      <c r="I107" s="629"/>
      <c r="J107" s="628"/>
      <c r="K107" s="629"/>
      <c r="L107" s="628"/>
      <c r="M107" s="629"/>
      <c r="N107" s="628">
        <v>1536903.3030719538</v>
      </c>
      <c r="O107" s="629"/>
      <c r="P107" s="628">
        <v>2817402.6538170082</v>
      </c>
      <c r="Q107" s="628"/>
      <c r="R107" s="629"/>
      <c r="S107" s="629"/>
    </row>
    <row r="108" spans="1:40" ht="15.75" customHeight="1">
      <c r="A108" s="629"/>
      <c r="B108" s="638"/>
      <c r="C108" s="638"/>
      <c r="D108" s="628"/>
      <c r="E108" s="628"/>
      <c r="F108" s="628"/>
      <c r="G108" s="628"/>
      <c r="H108" s="628"/>
      <c r="I108" s="629"/>
      <c r="J108" s="628"/>
      <c r="K108" s="629"/>
      <c r="L108" s="628"/>
      <c r="M108" s="629"/>
      <c r="N108" s="628"/>
      <c r="O108" s="629"/>
      <c r="P108" s="628"/>
      <c r="Q108" s="628"/>
      <c r="R108" s="629"/>
      <c r="S108" s="629"/>
    </row>
    <row r="109" spans="1:40" ht="15" customHeight="1">
      <c r="A109" s="629"/>
      <c r="B109" s="638" t="s">
        <v>4307</v>
      </c>
      <c r="C109" s="638" t="s">
        <v>2473</v>
      </c>
      <c r="D109" s="964"/>
      <c r="E109" s="964"/>
      <c r="F109" s="964"/>
      <c r="G109" s="964"/>
      <c r="H109" s="854" t="s">
        <v>4531</v>
      </c>
      <c r="I109" s="964"/>
      <c r="J109" s="964"/>
      <c r="K109" s="964"/>
      <c r="L109" s="964"/>
      <c r="M109" s="629"/>
      <c r="N109" s="629"/>
      <c r="O109" s="629"/>
      <c r="P109" s="2"/>
      <c r="Q109" s="2"/>
      <c r="R109" s="629"/>
      <c r="S109" s="629"/>
    </row>
    <row r="110" spans="1:40" ht="15" customHeight="1">
      <c r="A110" s="629"/>
      <c r="B110" s="638"/>
      <c r="C110" s="638" t="s">
        <v>2474</v>
      </c>
      <c r="D110" s="964"/>
      <c r="E110" s="964"/>
      <c r="F110" s="964"/>
      <c r="G110" s="964"/>
      <c r="H110" s="855"/>
      <c r="I110" s="964"/>
      <c r="J110" s="964"/>
      <c r="K110" s="964"/>
      <c r="L110" s="964"/>
      <c r="M110" s="629"/>
      <c r="N110" s="629"/>
      <c r="O110" s="629"/>
      <c r="P110" s="2"/>
      <c r="Q110" s="2"/>
      <c r="R110" s="629"/>
      <c r="S110" s="629"/>
    </row>
    <row r="111" spans="1:40" ht="15.75" customHeight="1">
      <c r="A111" s="629"/>
      <c r="B111" s="638" t="s">
        <v>4308</v>
      </c>
      <c r="C111" s="638" t="s">
        <v>2473</v>
      </c>
      <c r="D111" s="964"/>
      <c r="E111" s="964"/>
      <c r="F111" s="964"/>
      <c r="G111" s="964"/>
      <c r="H111" s="855"/>
      <c r="I111" s="964"/>
      <c r="J111" s="964"/>
      <c r="K111" s="964"/>
      <c r="L111" s="964"/>
      <c r="M111" s="629"/>
      <c r="N111" s="629"/>
      <c r="O111" s="629"/>
      <c r="P111" s="2"/>
      <c r="Q111" s="2"/>
      <c r="R111" s="629"/>
      <c r="S111" s="629"/>
    </row>
    <row r="112" spans="1:40" ht="15.75" customHeight="1">
      <c r="A112" s="629"/>
      <c r="B112" s="638"/>
      <c r="C112" s="638" t="s">
        <v>2474</v>
      </c>
      <c r="D112" s="964"/>
      <c r="E112" s="964"/>
      <c r="F112" s="964"/>
      <c r="G112" s="964"/>
      <c r="H112" s="855"/>
      <c r="I112" s="964"/>
      <c r="J112" s="964"/>
      <c r="K112" s="964"/>
      <c r="L112" s="964"/>
      <c r="M112" s="629"/>
      <c r="N112" s="629"/>
      <c r="O112" s="629"/>
      <c r="P112" s="2"/>
      <c r="Q112" s="2"/>
      <c r="R112" s="629"/>
      <c r="S112" s="629"/>
    </row>
    <row r="113" spans="1:19" ht="15.75" customHeight="1">
      <c r="A113" s="629"/>
      <c r="B113" s="638"/>
      <c r="C113" s="638"/>
      <c r="D113" s="628"/>
      <c r="E113" s="628"/>
      <c r="F113" s="628"/>
      <c r="G113" s="628"/>
      <c r="H113" s="965"/>
      <c r="I113" s="629"/>
      <c r="J113" s="628"/>
      <c r="K113" s="629"/>
      <c r="L113" s="628"/>
      <c r="M113" s="629"/>
      <c r="N113" s="628"/>
      <c r="O113" s="629"/>
      <c r="P113" s="628"/>
      <c r="Q113" s="628"/>
      <c r="R113" s="629"/>
      <c r="S113" s="629"/>
    </row>
    <row r="114" spans="1:19" ht="15" customHeight="1">
      <c r="A114" s="629"/>
      <c r="B114" s="966" t="s">
        <v>4529</v>
      </c>
      <c r="C114" s="638" t="s">
        <v>2473</v>
      </c>
      <c r="D114" s="964"/>
      <c r="E114" s="964"/>
      <c r="F114" s="964"/>
      <c r="G114" s="964"/>
      <c r="H114" s="854" t="s">
        <v>4532</v>
      </c>
      <c r="I114" s="964"/>
      <c r="J114" s="964"/>
      <c r="K114" s="964"/>
      <c r="L114" s="964"/>
      <c r="M114" s="629"/>
      <c r="N114" s="629"/>
      <c r="O114" s="629"/>
      <c r="P114" s="2"/>
      <c r="Q114" s="2"/>
      <c r="R114" s="629"/>
      <c r="S114" s="629"/>
    </row>
    <row r="115" spans="1:19" ht="15" customHeight="1">
      <c r="A115" s="629"/>
      <c r="B115" s="966"/>
      <c r="C115" s="638" t="s">
        <v>2474</v>
      </c>
      <c r="D115" s="964"/>
      <c r="E115" s="964"/>
      <c r="F115" s="964"/>
      <c r="G115" s="964"/>
      <c r="H115" s="964"/>
      <c r="I115" s="964"/>
      <c r="J115" s="964"/>
      <c r="K115" s="964"/>
      <c r="L115" s="964"/>
      <c r="M115" s="629"/>
      <c r="N115" s="629"/>
      <c r="O115" s="629"/>
      <c r="P115" s="2"/>
      <c r="Q115" s="2"/>
      <c r="R115" s="629"/>
      <c r="S115" s="629"/>
    </row>
    <row r="116" spans="1:19" ht="15.75" customHeight="1">
      <c r="A116" s="629"/>
      <c r="B116" s="966" t="s">
        <v>4530</v>
      </c>
      <c r="C116" s="638" t="s">
        <v>2473</v>
      </c>
      <c r="D116" s="964"/>
      <c r="E116" s="964"/>
      <c r="F116" s="964"/>
      <c r="G116" s="964"/>
      <c r="H116" s="964"/>
      <c r="I116" s="964"/>
      <c r="J116" s="964"/>
      <c r="K116" s="964"/>
      <c r="L116" s="964"/>
      <c r="M116" s="629"/>
      <c r="N116" s="629"/>
      <c r="O116" s="629"/>
      <c r="P116" s="2"/>
      <c r="Q116" s="2"/>
      <c r="R116" s="629"/>
      <c r="S116" s="629"/>
    </row>
    <row r="117" spans="1:19" ht="15.75" customHeight="1">
      <c r="A117" s="629"/>
      <c r="B117" s="638"/>
      <c r="C117" s="638" t="s">
        <v>2474</v>
      </c>
      <c r="D117" s="964"/>
      <c r="E117" s="964"/>
      <c r="F117" s="964"/>
      <c r="G117" s="964"/>
      <c r="H117" s="964"/>
      <c r="I117" s="964"/>
      <c r="J117" s="964"/>
      <c r="K117" s="964"/>
      <c r="L117" s="964"/>
      <c r="M117" s="629"/>
      <c r="N117" s="629"/>
      <c r="O117" s="629"/>
      <c r="P117" s="2"/>
      <c r="Q117" s="2"/>
      <c r="R117" s="629"/>
      <c r="S117" s="629"/>
    </row>
    <row r="118" spans="1:19" ht="12.75">
      <c r="A118" s="629"/>
      <c r="B118" s="638"/>
      <c r="C118" s="638"/>
      <c r="D118" s="628"/>
      <c r="E118" s="628"/>
      <c r="F118" s="628"/>
      <c r="G118" s="628"/>
      <c r="H118" s="628"/>
      <c r="I118" s="629"/>
      <c r="J118" s="628"/>
      <c r="K118" s="628"/>
      <c r="L118" s="628"/>
      <c r="M118" s="850"/>
      <c r="N118" s="628"/>
      <c r="O118" s="850"/>
      <c r="P118" s="628"/>
      <c r="Q118" s="628"/>
      <c r="R118" s="629"/>
      <c r="S118" s="629"/>
    </row>
    <row r="119" spans="1:19" ht="12.75">
      <c r="A119" s="629"/>
      <c r="B119" s="967"/>
      <c r="C119" s="967"/>
      <c r="D119" s="968"/>
      <c r="E119" s="968"/>
      <c r="F119" s="968"/>
      <c r="G119" s="968"/>
      <c r="H119" s="968"/>
      <c r="I119" s="969"/>
      <c r="J119" s="968"/>
      <c r="K119" s="968"/>
      <c r="L119" s="968"/>
      <c r="M119" s="852"/>
      <c r="N119" s="968"/>
      <c r="O119" s="852"/>
      <c r="P119" s="968"/>
      <c r="Q119" s="852"/>
      <c r="R119" s="629"/>
      <c r="S119" s="629"/>
    </row>
    <row r="120" spans="1:19" ht="12.75">
      <c r="A120" s="629"/>
      <c r="B120" s="638" t="s">
        <v>2729</v>
      </c>
      <c r="C120" s="630" t="s">
        <v>2473</v>
      </c>
      <c r="D120" s="628">
        <v>0</v>
      </c>
      <c r="E120" s="628"/>
      <c r="F120" s="628">
        <v>0</v>
      </c>
      <c r="G120" s="628"/>
      <c r="H120" s="628">
        <v>13887628.242999997</v>
      </c>
      <c r="I120" s="629"/>
      <c r="J120" s="628">
        <v>65463172.824084975</v>
      </c>
      <c r="K120" s="628"/>
      <c r="L120" s="628">
        <v>114166934.12476498</v>
      </c>
      <c r="M120" s="629"/>
      <c r="N120" s="628">
        <v>87766994.282201692</v>
      </c>
      <c r="O120" s="629"/>
      <c r="P120" s="628">
        <v>9578695.2807504535</v>
      </c>
      <c r="Q120" s="628"/>
      <c r="R120" s="629"/>
      <c r="S120" s="629"/>
    </row>
    <row r="121" spans="1:19" ht="12.75">
      <c r="A121" s="629"/>
      <c r="B121" s="638"/>
      <c r="C121" s="630" t="s">
        <v>2474</v>
      </c>
      <c r="D121" s="628">
        <v>0</v>
      </c>
      <c r="E121" s="628"/>
      <c r="F121" s="628">
        <v>0</v>
      </c>
      <c r="G121" s="628"/>
      <c r="H121" s="628">
        <v>12666431.026999999</v>
      </c>
      <c r="I121" s="629"/>
      <c r="J121" s="628">
        <v>27695444.39591502</v>
      </c>
      <c r="K121" s="628"/>
      <c r="L121" s="628">
        <v>23023540.52523502</v>
      </c>
      <c r="M121" s="629"/>
      <c r="N121" s="628">
        <v>16569690.787798321</v>
      </c>
      <c r="O121" s="629"/>
      <c r="P121" s="628">
        <v>2964270.029249547</v>
      </c>
      <c r="Q121" s="628"/>
      <c r="R121" s="629"/>
      <c r="S121" s="629"/>
    </row>
    <row r="122" spans="1:19" ht="12.75">
      <c r="A122" s="629"/>
      <c r="B122" s="638" t="s">
        <v>2730</v>
      </c>
      <c r="C122" s="630" t="s">
        <v>2473</v>
      </c>
      <c r="D122" s="628">
        <v>0</v>
      </c>
      <c r="E122" s="628"/>
      <c r="F122" s="628">
        <v>0</v>
      </c>
      <c r="G122" s="628"/>
      <c r="H122" s="628">
        <v>815997.8296249999</v>
      </c>
      <c r="I122" s="629"/>
      <c r="J122" s="628">
        <v>6149163.5398939326</v>
      </c>
      <c r="K122" s="628"/>
      <c r="L122" s="628">
        <v>16675325.537514538</v>
      </c>
      <c r="M122" s="629"/>
      <c r="N122" s="628">
        <v>27751921.028070726</v>
      </c>
      <c r="O122" s="629"/>
      <c r="P122" s="628">
        <v>30275490.680035397</v>
      </c>
      <c r="Q122" s="628"/>
      <c r="R122" s="629"/>
      <c r="S122" s="629"/>
    </row>
    <row r="123" spans="1:19" ht="12.75">
      <c r="A123" s="629"/>
      <c r="B123" s="638"/>
      <c r="C123" s="630" t="s">
        <v>2474</v>
      </c>
      <c r="D123" s="628">
        <v>0</v>
      </c>
      <c r="E123" s="628"/>
      <c r="F123" s="628">
        <v>0</v>
      </c>
      <c r="G123" s="628"/>
      <c r="H123" s="628">
        <v>984609.64350000001</v>
      </c>
      <c r="I123" s="629"/>
      <c r="J123" s="628">
        <v>3518234.2401060667</v>
      </c>
      <c r="K123" s="628"/>
      <c r="L123" s="628">
        <v>6087179.352485463</v>
      </c>
      <c r="M123" s="629"/>
      <c r="N123" s="628">
        <v>8292635.5419292767</v>
      </c>
      <c r="O123" s="629"/>
      <c r="P123" s="628">
        <v>8625918.6499646008</v>
      </c>
      <c r="Q123" s="628"/>
      <c r="R123" s="629"/>
      <c r="S123" s="629"/>
    </row>
    <row r="124" spans="1:19" ht="12.75">
      <c r="A124" s="629"/>
      <c r="B124" s="629"/>
      <c r="C124" s="638"/>
      <c r="D124" s="628"/>
      <c r="E124" s="628"/>
      <c r="F124" s="628"/>
      <c r="G124" s="628"/>
      <c r="H124" s="628"/>
      <c r="I124" s="629"/>
      <c r="J124" s="629"/>
      <c r="K124" s="629"/>
      <c r="L124" s="629"/>
      <c r="M124" s="629"/>
      <c r="N124" s="629"/>
      <c r="O124" s="629"/>
      <c r="P124" s="629"/>
      <c r="Q124" s="629"/>
      <c r="R124" s="629"/>
      <c r="S124" s="629"/>
    </row>
    <row r="125" spans="1:19" ht="12.75">
      <c r="A125" s="629"/>
      <c r="B125" s="969"/>
      <c r="C125" s="969"/>
      <c r="D125" s="969"/>
      <c r="E125" s="969"/>
      <c r="F125" s="969"/>
      <c r="G125" s="969"/>
      <c r="H125" s="969"/>
      <c r="I125" s="969"/>
      <c r="J125" s="969"/>
      <c r="K125" s="969"/>
      <c r="L125" s="969"/>
      <c r="M125" s="629"/>
      <c r="N125" s="969"/>
      <c r="O125" s="629"/>
      <c r="P125" s="969"/>
      <c r="Q125" s="850"/>
      <c r="R125" s="629"/>
      <c r="S125" s="629"/>
    </row>
    <row r="126" spans="1:19" ht="12.75">
      <c r="A126" s="629"/>
      <c r="B126" s="850" t="s">
        <v>2731</v>
      </c>
      <c r="C126" s="630" t="s">
        <v>2473</v>
      </c>
      <c r="D126" s="852">
        <v>0</v>
      </c>
      <c r="E126" s="852"/>
      <c r="F126" s="852">
        <v>0</v>
      </c>
      <c r="G126" s="852"/>
      <c r="H126" s="852">
        <v>13071630.413374998</v>
      </c>
      <c r="I126" s="850"/>
      <c r="J126" s="853">
        <v>59314009.284191042</v>
      </c>
      <c r="K126" s="853"/>
      <c r="L126" s="853">
        <v>97491608.587250441</v>
      </c>
      <c r="M126" s="629"/>
      <c r="N126" s="853">
        <v>60015073.254130967</v>
      </c>
      <c r="O126" s="629"/>
      <c r="P126" s="853">
        <v>-20696795.399284944</v>
      </c>
      <c r="Q126" s="853"/>
      <c r="R126" s="629"/>
      <c r="S126" s="629"/>
    </row>
    <row r="127" spans="1:19" ht="12.75">
      <c r="A127" s="629"/>
      <c r="B127" s="850"/>
      <c r="C127" s="630" t="s">
        <v>2474</v>
      </c>
      <c r="D127" s="852">
        <v>0</v>
      </c>
      <c r="E127" s="852"/>
      <c r="F127" s="852">
        <v>0</v>
      </c>
      <c r="G127" s="852"/>
      <c r="H127" s="852">
        <v>11681821.383499999</v>
      </c>
      <c r="I127" s="850"/>
      <c r="J127" s="853">
        <v>24177210.155808955</v>
      </c>
      <c r="K127" s="853"/>
      <c r="L127" s="853">
        <v>16936361.172749557</v>
      </c>
      <c r="M127" s="629"/>
      <c r="N127" s="853">
        <v>8277055.2458690442</v>
      </c>
      <c r="O127" s="629"/>
      <c r="P127" s="853">
        <v>-5661648.6207150538</v>
      </c>
      <c r="Q127" s="853"/>
      <c r="R127" s="629"/>
      <c r="S127" s="629"/>
    </row>
    <row r="128" spans="1:19" ht="12.75">
      <c r="A128" s="629"/>
      <c r="B128" s="632"/>
      <c r="C128" s="632"/>
      <c r="D128" s="632"/>
      <c r="E128" s="632"/>
      <c r="F128" s="632"/>
      <c r="G128" s="632"/>
      <c r="H128" s="632"/>
      <c r="I128" s="632"/>
      <c r="J128" s="632"/>
      <c r="K128" s="632"/>
      <c r="L128" s="632"/>
      <c r="M128" s="629"/>
      <c r="N128" s="632"/>
      <c r="O128" s="629"/>
      <c r="P128" s="632"/>
      <c r="Q128" s="850"/>
      <c r="R128" s="629"/>
      <c r="S128" s="629"/>
    </row>
    <row r="129" spans="1:20" ht="12.75">
      <c r="A129" s="629"/>
      <c r="B129" s="629"/>
      <c r="C129" s="629"/>
      <c r="D129" s="629"/>
      <c r="E129" s="629"/>
      <c r="F129" s="629"/>
      <c r="G129" s="629"/>
      <c r="H129" s="629"/>
      <c r="I129" s="629"/>
      <c r="J129" s="629"/>
      <c r="K129" s="629"/>
      <c r="L129" s="629"/>
      <c r="M129" s="629"/>
      <c r="N129" s="629"/>
      <c r="O129" s="629"/>
      <c r="P129" s="629"/>
      <c r="Q129" s="629"/>
      <c r="R129" s="629"/>
      <c r="S129" s="629"/>
    </row>
    <row r="130" spans="1:20" ht="12.75">
      <c r="A130" s="629"/>
      <c r="B130" s="629" t="s">
        <v>2567</v>
      </c>
      <c r="C130" s="630" t="s">
        <v>2473</v>
      </c>
      <c r="D130" s="628">
        <v>0</v>
      </c>
      <c r="E130" s="629"/>
      <c r="F130" s="631">
        <v>0</v>
      </c>
      <c r="G130" s="629"/>
      <c r="H130" s="631">
        <v>4575070.6446812488</v>
      </c>
      <c r="I130" s="629"/>
      <c r="J130" s="631">
        <v>20759903.249466863</v>
      </c>
      <c r="K130" s="631"/>
      <c r="L130" s="631">
        <v>34122063.005537651</v>
      </c>
      <c r="M130" s="629"/>
      <c r="N130" s="631">
        <v>21005275.638945837</v>
      </c>
      <c r="O130" s="629"/>
      <c r="P130" s="631">
        <v>-7243878.38974973</v>
      </c>
      <c r="Q130" s="631"/>
      <c r="R130" s="631"/>
      <c r="S130" s="629"/>
    </row>
    <row r="131" spans="1:20" ht="12.75">
      <c r="A131" s="629"/>
      <c r="B131" s="970" t="s">
        <v>2732</v>
      </c>
      <c r="C131" s="638" t="s">
        <v>2474</v>
      </c>
      <c r="D131" s="628">
        <v>0</v>
      </c>
      <c r="E131" s="629"/>
      <c r="F131" s="631">
        <v>0</v>
      </c>
      <c r="G131" s="629"/>
      <c r="H131" s="631">
        <v>4088637.4842249993</v>
      </c>
      <c r="I131" s="629"/>
      <c r="J131" s="631">
        <v>8462023.5545331333</v>
      </c>
      <c r="K131" s="631"/>
      <c r="L131" s="631">
        <v>5927726.4104623441</v>
      </c>
      <c r="M131" s="629"/>
      <c r="N131" s="631">
        <v>2896969.3360541654</v>
      </c>
      <c r="O131" s="629"/>
      <c r="P131" s="631">
        <v>-1981577.0172502687</v>
      </c>
      <c r="Q131" s="631"/>
      <c r="R131" s="631"/>
      <c r="S131" s="629"/>
    </row>
    <row r="132" spans="1:20" ht="12.75">
      <c r="A132" s="629"/>
      <c r="B132" s="632"/>
      <c r="C132" s="632"/>
      <c r="D132" s="632"/>
      <c r="E132" s="632"/>
      <c r="F132" s="632"/>
      <c r="G132" s="632"/>
      <c r="H132" s="632"/>
      <c r="I132" s="632"/>
      <c r="J132" s="632"/>
      <c r="K132" s="632"/>
      <c r="L132" s="632"/>
      <c r="M132" s="629"/>
      <c r="N132" s="632"/>
      <c r="O132" s="629"/>
      <c r="P132" s="632"/>
      <c r="Q132" s="850"/>
      <c r="R132" s="629"/>
      <c r="S132" s="629"/>
    </row>
    <row r="133" spans="1:20" ht="12.75">
      <c r="A133" s="629"/>
      <c r="B133" s="629"/>
      <c r="C133" s="629"/>
      <c r="D133" s="629"/>
      <c r="E133" s="629"/>
      <c r="F133" s="629"/>
      <c r="G133" s="629"/>
      <c r="H133" s="629"/>
      <c r="I133" s="629"/>
      <c r="J133" s="629"/>
      <c r="K133" s="629"/>
      <c r="L133" s="629"/>
      <c r="M133" s="629"/>
      <c r="N133" s="629"/>
      <c r="O133" s="629"/>
      <c r="P133" s="629"/>
      <c r="Q133" s="629"/>
      <c r="R133" s="629"/>
      <c r="S133" s="629"/>
    </row>
    <row r="134" spans="1:20" ht="12.75">
      <c r="A134" s="629"/>
      <c r="B134" s="629" t="s">
        <v>2733</v>
      </c>
      <c r="C134" s="630" t="s">
        <v>2473</v>
      </c>
      <c r="D134" s="628">
        <v>0</v>
      </c>
      <c r="E134" s="629"/>
      <c r="F134" s="633">
        <v>0</v>
      </c>
      <c r="G134" s="629"/>
      <c r="H134" s="633">
        <v>4575070.6446812488</v>
      </c>
      <c r="I134" s="629"/>
      <c r="J134" s="633">
        <v>25334973.894148111</v>
      </c>
      <c r="K134" s="633"/>
      <c r="L134" s="633">
        <v>59457036.899685763</v>
      </c>
      <c r="M134" s="629"/>
      <c r="N134" s="633">
        <v>80462312.538631603</v>
      </c>
      <c r="O134" s="629"/>
      <c r="P134" s="633">
        <v>73218434.148881868</v>
      </c>
      <c r="Q134" s="633"/>
      <c r="R134" s="633"/>
      <c r="S134" s="629"/>
      <c r="T134" s="971">
        <f>+R134+L134</f>
        <v>59457036.899685763</v>
      </c>
    </row>
    <row r="135" spans="1:20" ht="12.75">
      <c r="A135" s="629"/>
      <c r="B135" s="629"/>
      <c r="C135" s="638" t="s">
        <v>2474</v>
      </c>
      <c r="D135" s="628">
        <v>0</v>
      </c>
      <c r="E135" s="629"/>
      <c r="F135" s="633">
        <v>0</v>
      </c>
      <c r="G135" s="629"/>
      <c r="H135" s="633">
        <v>4088637.4842249993</v>
      </c>
      <c r="I135" s="629"/>
      <c r="J135" s="633">
        <v>12550661.038758133</v>
      </c>
      <c r="K135" s="633"/>
      <c r="L135" s="633">
        <v>18478387.449220479</v>
      </c>
      <c r="M135" s="629"/>
      <c r="N135" s="633">
        <v>21375356.785274643</v>
      </c>
      <c r="O135" s="629"/>
      <c r="P135" s="633">
        <v>19393779.768024374</v>
      </c>
      <c r="Q135" s="633"/>
      <c r="R135" s="633"/>
      <c r="S135" s="629"/>
      <c r="T135" s="971">
        <f>+R135+L135</f>
        <v>18478387.449220479</v>
      </c>
    </row>
    <row r="136" spans="1:20" ht="12.75">
      <c r="A136" s="629"/>
      <c r="B136" s="629"/>
      <c r="C136" s="629"/>
      <c r="D136" s="629"/>
      <c r="E136" s="629"/>
      <c r="F136" s="629"/>
      <c r="G136" s="629"/>
      <c r="H136" s="629"/>
      <c r="I136" s="629"/>
      <c r="J136" s="629"/>
      <c r="K136" s="629"/>
      <c r="L136" s="629"/>
      <c r="M136" s="629"/>
      <c r="N136" s="629"/>
      <c r="O136" s="629"/>
      <c r="P136" s="629"/>
      <c r="Q136" s="629"/>
      <c r="R136" s="629"/>
      <c r="S136" s="629"/>
    </row>
    <row r="137" spans="1:20" ht="12.75">
      <c r="A137" s="629"/>
      <c r="B137" s="629" t="s">
        <v>2734</v>
      </c>
      <c r="C137" s="630" t="s">
        <v>2473</v>
      </c>
      <c r="D137" s="92">
        <v>0</v>
      </c>
      <c r="E137" s="629"/>
      <c r="F137" s="92">
        <v>0</v>
      </c>
      <c r="G137" s="629"/>
      <c r="H137" s="92">
        <v>2287535.3223406244</v>
      </c>
      <c r="I137" s="629"/>
      <c r="J137" s="92">
        <v>14955022.26941468</v>
      </c>
      <c r="K137" s="629"/>
      <c r="L137" s="92">
        <v>42396005.396916941</v>
      </c>
      <c r="M137" s="629"/>
      <c r="N137" s="92">
        <v>69959674.719158679</v>
      </c>
      <c r="O137" s="629"/>
      <c r="P137" s="92">
        <v>76840373.343756735</v>
      </c>
      <c r="Q137" s="92"/>
      <c r="R137" s="92"/>
      <c r="S137" s="629"/>
    </row>
    <row r="138" spans="1:20" ht="12.75">
      <c r="A138" s="629"/>
      <c r="B138" s="629"/>
      <c r="C138" s="638" t="s">
        <v>2474</v>
      </c>
      <c r="D138" s="92">
        <v>0</v>
      </c>
      <c r="E138" s="629"/>
      <c r="F138" s="92">
        <v>0</v>
      </c>
      <c r="G138" s="629"/>
      <c r="H138" s="92">
        <v>2044318.7421124997</v>
      </c>
      <c r="I138" s="629"/>
      <c r="J138" s="92">
        <v>8319649.261491566</v>
      </c>
      <c r="K138" s="629"/>
      <c r="L138" s="92">
        <v>15514524.243989306</v>
      </c>
      <c r="M138" s="629"/>
      <c r="N138" s="92">
        <v>19926872.117247559</v>
      </c>
      <c r="O138" s="629"/>
      <c r="P138" s="92">
        <v>20384568.276649509</v>
      </c>
      <c r="Q138" s="92"/>
      <c r="R138" s="92"/>
      <c r="S138" s="629"/>
    </row>
    <row r="139" spans="1:20" ht="12.75">
      <c r="A139" s="629"/>
      <c r="B139" s="629"/>
      <c r="C139" s="629"/>
      <c r="D139" s="629"/>
      <c r="E139" s="629"/>
      <c r="F139" s="629"/>
      <c r="G139" s="629"/>
      <c r="H139" s="629"/>
      <c r="I139" s="629"/>
      <c r="J139" s="629"/>
      <c r="K139" s="629"/>
      <c r="L139" s="629"/>
      <c r="M139" s="629"/>
      <c r="N139" s="629"/>
      <c r="O139" s="629"/>
      <c r="P139" s="629"/>
      <c r="Q139" s="629"/>
      <c r="R139" s="629"/>
      <c r="S139" s="629"/>
    </row>
    <row r="140" spans="1:20" ht="12.75">
      <c r="A140" s="972" t="s">
        <v>2735</v>
      </c>
      <c r="B140" s="972"/>
      <c r="C140" s="972"/>
      <c r="D140" s="972"/>
      <c r="E140" s="972"/>
      <c r="F140" s="972"/>
      <c r="G140" s="972"/>
      <c r="H140" s="972"/>
      <c r="I140" s="972"/>
      <c r="J140" s="972"/>
      <c r="K140" s="972"/>
      <c r="L140" s="629"/>
      <c r="M140" s="629"/>
      <c r="N140" s="629"/>
      <c r="O140" s="629"/>
      <c r="P140" s="629"/>
      <c r="Q140" s="629"/>
      <c r="R140" s="629"/>
      <c r="S140" s="629"/>
    </row>
    <row r="141" spans="1:20" ht="12.75">
      <c r="A141" s="972" t="s">
        <v>2736</v>
      </c>
      <c r="B141" s="972"/>
      <c r="C141" s="972"/>
      <c r="D141" s="972"/>
      <c r="E141" s="972"/>
      <c r="F141" s="972"/>
      <c r="G141" s="972"/>
      <c r="H141" s="972"/>
      <c r="I141" s="972"/>
      <c r="J141" s="972"/>
      <c r="K141" s="972"/>
      <c r="L141" s="629"/>
      <c r="M141" s="629"/>
      <c r="N141" s="629"/>
      <c r="O141" s="629"/>
      <c r="P141" s="629"/>
      <c r="Q141" s="629"/>
      <c r="R141" s="629"/>
      <c r="S141" s="629"/>
    </row>
    <row r="142" spans="1:20" ht="12.75">
      <c r="A142" s="972"/>
      <c r="B142" s="972"/>
      <c r="C142" s="972"/>
      <c r="D142" s="972"/>
      <c r="E142" s="972"/>
      <c r="F142" s="972"/>
      <c r="G142" s="972"/>
      <c r="H142" s="972"/>
      <c r="I142" s="972"/>
      <c r="J142" s="972"/>
      <c r="K142" s="972"/>
      <c r="L142" s="629"/>
      <c r="M142" s="629"/>
      <c r="N142" s="629"/>
      <c r="O142" s="629"/>
      <c r="P142" s="629"/>
      <c r="Q142" s="629"/>
      <c r="R142" s="629"/>
      <c r="S142" s="629"/>
    </row>
    <row r="143" spans="1:20" ht="12.75" customHeight="1">
      <c r="A143" s="972" t="s">
        <v>4309</v>
      </c>
      <c r="B143" s="972"/>
      <c r="C143" s="972"/>
      <c r="D143" s="972"/>
      <c r="E143" s="972"/>
      <c r="F143" s="972"/>
      <c r="G143" s="972"/>
      <c r="H143" s="972"/>
      <c r="I143" s="972"/>
      <c r="J143" s="972"/>
      <c r="K143" s="972"/>
      <c r="L143" s="629"/>
      <c r="M143" s="629"/>
      <c r="N143" s="629"/>
      <c r="O143" s="629"/>
      <c r="P143" s="629"/>
      <c r="Q143" s="629"/>
      <c r="R143" s="629"/>
      <c r="S143" s="629"/>
    </row>
    <row r="144" spans="1:20" ht="12.75" customHeight="1">
      <c r="A144" s="1005" t="s">
        <v>4527</v>
      </c>
      <c r="B144" s="1005"/>
      <c r="C144" s="1005"/>
      <c r="D144" s="1005"/>
      <c r="E144" s="1005"/>
      <c r="F144" s="1005"/>
      <c r="G144" s="1005"/>
      <c r="H144" s="1005"/>
      <c r="I144" s="1005"/>
      <c r="J144" s="1005"/>
      <c r="K144" s="1005"/>
      <c r="L144" s="629"/>
      <c r="M144" s="629"/>
      <c r="N144" s="629"/>
      <c r="O144" s="629"/>
      <c r="P144" s="629"/>
      <c r="Q144" s="629"/>
      <c r="R144" s="629"/>
      <c r="S144" s="629"/>
    </row>
    <row r="145" spans="1:19" ht="12.75" customHeight="1">
      <c r="A145" s="1005" t="s">
        <v>4528</v>
      </c>
      <c r="B145" s="1005"/>
      <c r="C145" s="1005"/>
      <c r="D145" s="1005"/>
      <c r="E145" s="1005"/>
      <c r="F145" s="1005"/>
      <c r="G145" s="1005"/>
      <c r="H145" s="1005"/>
      <c r="I145" s="1005"/>
      <c r="J145" s="1005"/>
      <c r="K145" s="1005"/>
      <c r="L145" s="629"/>
      <c r="M145" s="629"/>
      <c r="N145" s="629"/>
      <c r="O145" s="629"/>
      <c r="P145" s="629"/>
      <c r="Q145" s="629"/>
      <c r="R145" s="629"/>
      <c r="S145" s="629"/>
    </row>
    <row r="146" spans="1:19" ht="12.75" customHeight="1">
      <c r="A146" s="1005"/>
      <c r="B146" s="1005"/>
      <c r="C146" s="1005"/>
      <c r="D146" s="1005"/>
      <c r="E146" s="1005"/>
      <c r="F146" s="1005"/>
      <c r="G146" s="1005"/>
      <c r="H146" s="1005"/>
      <c r="I146" s="1005"/>
      <c r="J146" s="1005"/>
      <c r="K146" s="973"/>
      <c r="L146" s="629"/>
      <c r="M146" s="629"/>
      <c r="N146" s="629"/>
      <c r="O146" s="629"/>
      <c r="P146" s="629"/>
      <c r="Q146" s="629"/>
      <c r="R146" s="629"/>
      <c r="S146" s="629"/>
    </row>
    <row r="147" spans="1:19" ht="12.75">
      <c r="A147" s="1004"/>
      <c r="B147" s="1004"/>
      <c r="C147" s="1004"/>
      <c r="D147" s="1004"/>
      <c r="E147" s="1004"/>
      <c r="F147" s="1004"/>
      <c r="G147" s="1004"/>
      <c r="H147" s="1004"/>
      <c r="I147" s="1004"/>
      <c r="J147" s="1004"/>
      <c r="K147" s="629"/>
      <c r="L147" s="629"/>
      <c r="M147" s="629"/>
      <c r="N147" s="629"/>
      <c r="O147" s="629"/>
      <c r="P147" s="629"/>
      <c r="Q147" s="629"/>
      <c r="R147" s="629"/>
      <c r="S147" s="629"/>
    </row>
    <row r="148" spans="1:19">
      <c r="A148" s="974" t="str">
        <f ca="1">CELL("filename")</f>
        <v>S:\Regulatory Earnings\2014 Earnings\Annual Compliance Filings\RG&amp;E\Workpapers\[2014 Rate Base and Capitalization - Support File RGE.xlsx]Items Not in Rate Base</v>
      </c>
      <c r="B148" s="629"/>
      <c r="C148" s="629"/>
      <c r="D148" s="629"/>
      <c r="E148" s="629"/>
      <c r="F148" s="629"/>
      <c r="G148" s="629"/>
      <c r="H148" s="629"/>
      <c r="I148" s="629"/>
      <c r="J148" s="629"/>
      <c r="K148" s="629"/>
    </row>
  </sheetData>
  <mergeCells count="8">
    <mergeCell ref="A147:J147"/>
    <mergeCell ref="A144:K144"/>
    <mergeCell ref="A146:J146"/>
    <mergeCell ref="A145:K145"/>
    <mergeCell ref="A62:K62"/>
    <mergeCell ref="A63:K63"/>
    <mergeCell ref="A64:J64"/>
    <mergeCell ref="A65:J65"/>
  </mergeCells>
  <pageMargins left="0.28000000000000003" right="0.25" top="1" bottom="1" header="0.5" footer="0.5"/>
  <pageSetup scale="51" fitToHeight="2" orientation="portrait" r:id="rId1"/>
  <headerFooter alignWithMargins="0"/>
  <rowBreaks count="1" manualBreakCount="1">
    <brk id="77" max="34" man="1"/>
  </rowBreaks>
  <colBreaks count="1" manualBreakCount="1">
    <brk id="19" max="147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44"/>
  <sheetViews>
    <sheetView view="pageBreakPreview" zoomScale="60" zoomScaleNormal="80" workbookViewId="0">
      <selection activeCell="M322" sqref="M322"/>
    </sheetView>
  </sheetViews>
  <sheetFormatPr defaultColWidth="10" defaultRowHeight="15.75" outlineLevelRow="6"/>
  <cols>
    <col min="1" max="1" width="1.5" style="828" customWidth="1"/>
    <col min="2" max="2" width="31.25" style="828" customWidth="1"/>
    <col min="3" max="15" width="13.75" style="828" customWidth="1"/>
    <col min="16" max="256" width="10" style="828"/>
    <col min="257" max="257" width="1.5" style="828" customWidth="1"/>
    <col min="258" max="258" width="31.25" style="828" customWidth="1"/>
    <col min="259" max="271" width="13.75" style="828" customWidth="1"/>
    <col min="272" max="512" width="10" style="828"/>
    <col min="513" max="513" width="1.5" style="828" customWidth="1"/>
    <col min="514" max="514" width="31.25" style="828" customWidth="1"/>
    <col min="515" max="527" width="13.75" style="828" customWidth="1"/>
    <col min="528" max="768" width="10" style="828"/>
    <col min="769" max="769" width="1.5" style="828" customWidth="1"/>
    <col min="770" max="770" width="31.25" style="828" customWidth="1"/>
    <col min="771" max="783" width="13.75" style="828" customWidth="1"/>
    <col min="784" max="1024" width="10" style="828"/>
    <col min="1025" max="1025" width="1.5" style="828" customWidth="1"/>
    <col min="1026" max="1026" width="31.25" style="828" customWidth="1"/>
    <col min="1027" max="1039" width="13.75" style="828" customWidth="1"/>
    <col min="1040" max="1280" width="10" style="828"/>
    <col min="1281" max="1281" width="1.5" style="828" customWidth="1"/>
    <col min="1282" max="1282" width="31.25" style="828" customWidth="1"/>
    <col min="1283" max="1295" width="13.75" style="828" customWidth="1"/>
    <col min="1296" max="1536" width="10" style="828"/>
    <col min="1537" max="1537" width="1.5" style="828" customWidth="1"/>
    <col min="1538" max="1538" width="31.25" style="828" customWidth="1"/>
    <col min="1539" max="1551" width="13.75" style="828" customWidth="1"/>
    <col min="1552" max="1792" width="10" style="828"/>
    <col min="1793" max="1793" width="1.5" style="828" customWidth="1"/>
    <col min="1794" max="1794" width="31.25" style="828" customWidth="1"/>
    <col min="1795" max="1807" width="13.75" style="828" customWidth="1"/>
    <col min="1808" max="2048" width="10" style="828"/>
    <col min="2049" max="2049" width="1.5" style="828" customWidth="1"/>
    <col min="2050" max="2050" width="31.25" style="828" customWidth="1"/>
    <col min="2051" max="2063" width="13.75" style="828" customWidth="1"/>
    <col min="2064" max="2304" width="10" style="828"/>
    <col min="2305" max="2305" width="1.5" style="828" customWidth="1"/>
    <col min="2306" max="2306" width="31.25" style="828" customWidth="1"/>
    <col min="2307" max="2319" width="13.75" style="828" customWidth="1"/>
    <col min="2320" max="2560" width="10" style="828"/>
    <col min="2561" max="2561" width="1.5" style="828" customWidth="1"/>
    <col min="2562" max="2562" width="31.25" style="828" customWidth="1"/>
    <col min="2563" max="2575" width="13.75" style="828" customWidth="1"/>
    <col min="2576" max="2816" width="10" style="828"/>
    <col min="2817" max="2817" width="1.5" style="828" customWidth="1"/>
    <col min="2818" max="2818" width="31.25" style="828" customWidth="1"/>
    <col min="2819" max="2831" width="13.75" style="828" customWidth="1"/>
    <col min="2832" max="3072" width="10" style="828"/>
    <col min="3073" max="3073" width="1.5" style="828" customWidth="1"/>
    <col min="3074" max="3074" width="31.25" style="828" customWidth="1"/>
    <col min="3075" max="3087" width="13.75" style="828" customWidth="1"/>
    <col min="3088" max="3328" width="10" style="828"/>
    <col min="3329" max="3329" width="1.5" style="828" customWidth="1"/>
    <col min="3330" max="3330" width="31.25" style="828" customWidth="1"/>
    <col min="3331" max="3343" width="13.75" style="828" customWidth="1"/>
    <col min="3344" max="3584" width="10" style="828"/>
    <col min="3585" max="3585" width="1.5" style="828" customWidth="1"/>
    <col min="3586" max="3586" width="31.25" style="828" customWidth="1"/>
    <col min="3587" max="3599" width="13.75" style="828" customWidth="1"/>
    <col min="3600" max="3840" width="10" style="828"/>
    <col min="3841" max="3841" width="1.5" style="828" customWidth="1"/>
    <col min="3842" max="3842" width="31.25" style="828" customWidth="1"/>
    <col min="3843" max="3855" width="13.75" style="828" customWidth="1"/>
    <col min="3856" max="4096" width="10" style="828"/>
    <col min="4097" max="4097" width="1.5" style="828" customWidth="1"/>
    <col min="4098" max="4098" width="31.25" style="828" customWidth="1"/>
    <col min="4099" max="4111" width="13.75" style="828" customWidth="1"/>
    <col min="4112" max="4352" width="10" style="828"/>
    <col min="4353" max="4353" width="1.5" style="828" customWidth="1"/>
    <col min="4354" max="4354" width="31.25" style="828" customWidth="1"/>
    <col min="4355" max="4367" width="13.75" style="828" customWidth="1"/>
    <col min="4368" max="4608" width="10" style="828"/>
    <col min="4609" max="4609" width="1.5" style="828" customWidth="1"/>
    <col min="4610" max="4610" width="31.25" style="828" customWidth="1"/>
    <col min="4611" max="4623" width="13.75" style="828" customWidth="1"/>
    <col min="4624" max="4864" width="10" style="828"/>
    <col min="4865" max="4865" width="1.5" style="828" customWidth="1"/>
    <col min="4866" max="4866" width="31.25" style="828" customWidth="1"/>
    <col min="4867" max="4879" width="13.75" style="828" customWidth="1"/>
    <col min="4880" max="5120" width="10" style="828"/>
    <col min="5121" max="5121" width="1.5" style="828" customWidth="1"/>
    <col min="5122" max="5122" width="31.25" style="828" customWidth="1"/>
    <col min="5123" max="5135" width="13.75" style="828" customWidth="1"/>
    <col min="5136" max="5376" width="10" style="828"/>
    <col min="5377" max="5377" width="1.5" style="828" customWidth="1"/>
    <col min="5378" max="5378" width="31.25" style="828" customWidth="1"/>
    <col min="5379" max="5391" width="13.75" style="828" customWidth="1"/>
    <col min="5392" max="5632" width="10" style="828"/>
    <col min="5633" max="5633" width="1.5" style="828" customWidth="1"/>
    <col min="5634" max="5634" width="31.25" style="828" customWidth="1"/>
    <col min="5635" max="5647" width="13.75" style="828" customWidth="1"/>
    <col min="5648" max="5888" width="10" style="828"/>
    <col min="5889" max="5889" width="1.5" style="828" customWidth="1"/>
    <col min="5890" max="5890" width="31.25" style="828" customWidth="1"/>
    <col min="5891" max="5903" width="13.75" style="828" customWidth="1"/>
    <col min="5904" max="6144" width="10" style="828"/>
    <col min="6145" max="6145" width="1.5" style="828" customWidth="1"/>
    <col min="6146" max="6146" width="31.25" style="828" customWidth="1"/>
    <col min="6147" max="6159" width="13.75" style="828" customWidth="1"/>
    <col min="6160" max="6400" width="10" style="828"/>
    <col min="6401" max="6401" width="1.5" style="828" customWidth="1"/>
    <col min="6402" max="6402" width="31.25" style="828" customWidth="1"/>
    <col min="6403" max="6415" width="13.75" style="828" customWidth="1"/>
    <col min="6416" max="6656" width="10" style="828"/>
    <col min="6657" max="6657" width="1.5" style="828" customWidth="1"/>
    <col min="6658" max="6658" width="31.25" style="828" customWidth="1"/>
    <col min="6659" max="6671" width="13.75" style="828" customWidth="1"/>
    <col min="6672" max="6912" width="10" style="828"/>
    <col min="6913" max="6913" width="1.5" style="828" customWidth="1"/>
    <col min="6914" max="6914" width="31.25" style="828" customWidth="1"/>
    <col min="6915" max="6927" width="13.75" style="828" customWidth="1"/>
    <col min="6928" max="7168" width="10" style="828"/>
    <col min="7169" max="7169" width="1.5" style="828" customWidth="1"/>
    <col min="7170" max="7170" width="31.25" style="828" customWidth="1"/>
    <col min="7171" max="7183" width="13.75" style="828" customWidth="1"/>
    <col min="7184" max="7424" width="10" style="828"/>
    <col min="7425" max="7425" width="1.5" style="828" customWidth="1"/>
    <col min="7426" max="7426" width="31.25" style="828" customWidth="1"/>
    <col min="7427" max="7439" width="13.75" style="828" customWidth="1"/>
    <col min="7440" max="7680" width="10" style="828"/>
    <col min="7681" max="7681" width="1.5" style="828" customWidth="1"/>
    <col min="7682" max="7682" width="31.25" style="828" customWidth="1"/>
    <col min="7683" max="7695" width="13.75" style="828" customWidth="1"/>
    <col min="7696" max="7936" width="10" style="828"/>
    <col min="7937" max="7937" width="1.5" style="828" customWidth="1"/>
    <col min="7938" max="7938" width="31.25" style="828" customWidth="1"/>
    <col min="7939" max="7951" width="13.75" style="828" customWidth="1"/>
    <col min="7952" max="8192" width="10" style="828"/>
    <col min="8193" max="8193" width="1.5" style="828" customWidth="1"/>
    <col min="8194" max="8194" width="31.25" style="828" customWidth="1"/>
    <col min="8195" max="8207" width="13.75" style="828" customWidth="1"/>
    <col min="8208" max="8448" width="10" style="828"/>
    <col min="8449" max="8449" width="1.5" style="828" customWidth="1"/>
    <col min="8450" max="8450" width="31.25" style="828" customWidth="1"/>
    <col min="8451" max="8463" width="13.75" style="828" customWidth="1"/>
    <col min="8464" max="8704" width="10" style="828"/>
    <col min="8705" max="8705" width="1.5" style="828" customWidth="1"/>
    <col min="8706" max="8706" width="31.25" style="828" customWidth="1"/>
    <col min="8707" max="8719" width="13.75" style="828" customWidth="1"/>
    <col min="8720" max="8960" width="10" style="828"/>
    <col min="8961" max="8961" width="1.5" style="828" customWidth="1"/>
    <col min="8962" max="8962" width="31.25" style="828" customWidth="1"/>
    <col min="8963" max="8975" width="13.75" style="828" customWidth="1"/>
    <col min="8976" max="9216" width="10" style="828"/>
    <col min="9217" max="9217" width="1.5" style="828" customWidth="1"/>
    <col min="9218" max="9218" width="31.25" style="828" customWidth="1"/>
    <col min="9219" max="9231" width="13.75" style="828" customWidth="1"/>
    <col min="9232" max="9472" width="10" style="828"/>
    <col min="9473" max="9473" width="1.5" style="828" customWidth="1"/>
    <col min="9474" max="9474" width="31.25" style="828" customWidth="1"/>
    <col min="9475" max="9487" width="13.75" style="828" customWidth="1"/>
    <col min="9488" max="9728" width="10" style="828"/>
    <col min="9729" max="9729" width="1.5" style="828" customWidth="1"/>
    <col min="9730" max="9730" width="31.25" style="828" customWidth="1"/>
    <col min="9731" max="9743" width="13.75" style="828" customWidth="1"/>
    <col min="9744" max="9984" width="10" style="828"/>
    <col min="9985" max="9985" width="1.5" style="828" customWidth="1"/>
    <col min="9986" max="9986" width="31.25" style="828" customWidth="1"/>
    <col min="9987" max="9999" width="13.75" style="828" customWidth="1"/>
    <col min="10000" max="10240" width="10" style="828"/>
    <col min="10241" max="10241" width="1.5" style="828" customWidth="1"/>
    <col min="10242" max="10242" width="31.25" style="828" customWidth="1"/>
    <col min="10243" max="10255" width="13.75" style="828" customWidth="1"/>
    <col min="10256" max="10496" width="10" style="828"/>
    <col min="10497" max="10497" width="1.5" style="828" customWidth="1"/>
    <col min="10498" max="10498" width="31.25" style="828" customWidth="1"/>
    <col min="10499" max="10511" width="13.75" style="828" customWidth="1"/>
    <col min="10512" max="10752" width="10" style="828"/>
    <col min="10753" max="10753" width="1.5" style="828" customWidth="1"/>
    <col min="10754" max="10754" width="31.25" style="828" customWidth="1"/>
    <col min="10755" max="10767" width="13.75" style="828" customWidth="1"/>
    <col min="10768" max="11008" width="10" style="828"/>
    <col min="11009" max="11009" width="1.5" style="828" customWidth="1"/>
    <col min="11010" max="11010" width="31.25" style="828" customWidth="1"/>
    <col min="11011" max="11023" width="13.75" style="828" customWidth="1"/>
    <col min="11024" max="11264" width="10" style="828"/>
    <col min="11265" max="11265" width="1.5" style="828" customWidth="1"/>
    <col min="11266" max="11266" width="31.25" style="828" customWidth="1"/>
    <col min="11267" max="11279" width="13.75" style="828" customWidth="1"/>
    <col min="11280" max="11520" width="10" style="828"/>
    <col min="11521" max="11521" width="1.5" style="828" customWidth="1"/>
    <col min="11522" max="11522" width="31.25" style="828" customWidth="1"/>
    <col min="11523" max="11535" width="13.75" style="828" customWidth="1"/>
    <col min="11536" max="11776" width="10" style="828"/>
    <col min="11777" max="11777" width="1.5" style="828" customWidth="1"/>
    <col min="11778" max="11778" width="31.25" style="828" customWidth="1"/>
    <col min="11779" max="11791" width="13.75" style="828" customWidth="1"/>
    <col min="11792" max="12032" width="10" style="828"/>
    <col min="12033" max="12033" width="1.5" style="828" customWidth="1"/>
    <col min="12034" max="12034" width="31.25" style="828" customWidth="1"/>
    <col min="12035" max="12047" width="13.75" style="828" customWidth="1"/>
    <col min="12048" max="12288" width="10" style="828"/>
    <col min="12289" max="12289" width="1.5" style="828" customWidth="1"/>
    <col min="12290" max="12290" width="31.25" style="828" customWidth="1"/>
    <col min="12291" max="12303" width="13.75" style="828" customWidth="1"/>
    <col min="12304" max="12544" width="10" style="828"/>
    <col min="12545" max="12545" width="1.5" style="828" customWidth="1"/>
    <col min="12546" max="12546" width="31.25" style="828" customWidth="1"/>
    <col min="12547" max="12559" width="13.75" style="828" customWidth="1"/>
    <col min="12560" max="12800" width="10" style="828"/>
    <col min="12801" max="12801" width="1.5" style="828" customWidth="1"/>
    <col min="12802" max="12802" width="31.25" style="828" customWidth="1"/>
    <col min="12803" max="12815" width="13.75" style="828" customWidth="1"/>
    <col min="12816" max="13056" width="10" style="828"/>
    <col min="13057" max="13057" width="1.5" style="828" customWidth="1"/>
    <col min="13058" max="13058" width="31.25" style="828" customWidth="1"/>
    <col min="13059" max="13071" width="13.75" style="828" customWidth="1"/>
    <col min="13072" max="13312" width="10" style="828"/>
    <col min="13313" max="13313" width="1.5" style="828" customWidth="1"/>
    <col min="13314" max="13314" width="31.25" style="828" customWidth="1"/>
    <col min="13315" max="13327" width="13.75" style="828" customWidth="1"/>
    <col min="13328" max="13568" width="10" style="828"/>
    <col min="13569" max="13569" width="1.5" style="828" customWidth="1"/>
    <col min="13570" max="13570" width="31.25" style="828" customWidth="1"/>
    <col min="13571" max="13583" width="13.75" style="828" customWidth="1"/>
    <col min="13584" max="13824" width="10" style="828"/>
    <col min="13825" max="13825" width="1.5" style="828" customWidth="1"/>
    <col min="13826" max="13826" width="31.25" style="828" customWidth="1"/>
    <col min="13827" max="13839" width="13.75" style="828" customWidth="1"/>
    <col min="13840" max="14080" width="10" style="828"/>
    <col min="14081" max="14081" width="1.5" style="828" customWidth="1"/>
    <col min="14082" max="14082" width="31.25" style="828" customWidth="1"/>
    <col min="14083" max="14095" width="13.75" style="828" customWidth="1"/>
    <col min="14096" max="14336" width="10" style="828"/>
    <col min="14337" max="14337" width="1.5" style="828" customWidth="1"/>
    <col min="14338" max="14338" width="31.25" style="828" customWidth="1"/>
    <col min="14339" max="14351" width="13.75" style="828" customWidth="1"/>
    <col min="14352" max="14592" width="10" style="828"/>
    <col min="14593" max="14593" width="1.5" style="828" customWidth="1"/>
    <col min="14594" max="14594" width="31.25" style="828" customWidth="1"/>
    <col min="14595" max="14607" width="13.75" style="828" customWidth="1"/>
    <col min="14608" max="14848" width="10" style="828"/>
    <col min="14849" max="14849" width="1.5" style="828" customWidth="1"/>
    <col min="14850" max="14850" width="31.25" style="828" customWidth="1"/>
    <col min="14851" max="14863" width="13.75" style="828" customWidth="1"/>
    <col min="14864" max="15104" width="10" style="828"/>
    <col min="15105" max="15105" width="1.5" style="828" customWidth="1"/>
    <col min="15106" max="15106" width="31.25" style="828" customWidth="1"/>
    <col min="15107" max="15119" width="13.75" style="828" customWidth="1"/>
    <col min="15120" max="15360" width="10" style="828"/>
    <col min="15361" max="15361" width="1.5" style="828" customWidth="1"/>
    <col min="15362" max="15362" width="31.25" style="828" customWidth="1"/>
    <col min="15363" max="15375" width="13.75" style="828" customWidth="1"/>
    <col min="15376" max="15616" width="10" style="828"/>
    <col min="15617" max="15617" width="1.5" style="828" customWidth="1"/>
    <col min="15618" max="15618" width="31.25" style="828" customWidth="1"/>
    <col min="15619" max="15631" width="13.75" style="828" customWidth="1"/>
    <col min="15632" max="15872" width="10" style="828"/>
    <col min="15873" max="15873" width="1.5" style="828" customWidth="1"/>
    <col min="15874" max="15874" width="31.25" style="828" customWidth="1"/>
    <col min="15875" max="15887" width="13.75" style="828" customWidth="1"/>
    <col min="15888" max="16128" width="10" style="828"/>
    <col min="16129" max="16129" width="1.5" style="828" customWidth="1"/>
    <col min="16130" max="16130" width="31.25" style="828" customWidth="1"/>
    <col min="16131" max="16143" width="13.75" style="828" customWidth="1"/>
    <col min="16144" max="16384" width="10" style="828"/>
  </cols>
  <sheetData>
    <row r="1" spans="2:15">
      <c r="B1" s="801" t="s">
        <v>3617</v>
      </c>
    </row>
    <row r="2" spans="2:15">
      <c r="B2" s="801" t="s">
        <v>3618</v>
      </c>
    </row>
    <row r="3" spans="2:15">
      <c r="B3" s="801" t="s">
        <v>4560</v>
      </c>
    </row>
    <row r="4" spans="2:15">
      <c r="B4" s="801" t="s">
        <v>4561</v>
      </c>
    </row>
    <row r="5" spans="2:15">
      <c r="B5" s="801" t="s">
        <v>3619</v>
      </c>
    </row>
    <row r="6" spans="2:15">
      <c r="B6" s="801" t="s">
        <v>4422</v>
      </c>
    </row>
    <row r="7" spans="2:15">
      <c r="B7" s="801"/>
    </row>
    <row r="9" spans="2:15">
      <c r="B9" s="829" t="s">
        <v>3620</v>
      </c>
      <c r="C9" s="830" t="s">
        <v>4562</v>
      </c>
      <c r="D9" s="830" t="s">
        <v>4563</v>
      </c>
      <c r="E9" s="830" t="s">
        <v>4564</v>
      </c>
      <c r="F9" s="830" t="s">
        <v>4484</v>
      </c>
      <c r="G9" s="830" t="s">
        <v>4485</v>
      </c>
      <c r="H9" s="830" t="s">
        <v>4486</v>
      </c>
      <c r="I9" s="830" t="s">
        <v>4461</v>
      </c>
      <c r="J9" s="830" t="s">
        <v>4462</v>
      </c>
      <c r="K9" s="830" t="s">
        <v>4463</v>
      </c>
      <c r="L9" s="830" t="s">
        <v>4423</v>
      </c>
      <c r="M9" s="830" t="s">
        <v>4424</v>
      </c>
      <c r="N9" s="830" t="s">
        <v>4425</v>
      </c>
      <c r="O9" s="830" t="s">
        <v>3621</v>
      </c>
    </row>
    <row r="10" spans="2:15" outlineLevel="6">
      <c r="B10" s="831" t="s">
        <v>4142</v>
      </c>
      <c r="C10" s="832">
        <v>-343648.27</v>
      </c>
      <c r="D10" s="832">
        <v>-247178.23999999999</v>
      </c>
      <c r="E10" s="832">
        <v>136300.68</v>
      </c>
      <c r="F10" s="832">
        <v>61593.37</v>
      </c>
      <c r="G10" s="832">
        <v>210946.86</v>
      </c>
      <c r="H10" s="832">
        <v>318573.53000000003</v>
      </c>
      <c r="I10" s="832">
        <v>176481.15</v>
      </c>
      <c r="J10" s="832">
        <v>242683.38</v>
      </c>
      <c r="K10" s="832">
        <v>-60434.14</v>
      </c>
      <c r="L10" s="832">
        <v>378042.44</v>
      </c>
      <c r="M10" s="832">
        <v>205507.91</v>
      </c>
      <c r="N10" s="832">
        <v>275746.77</v>
      </c>
      <c r="O10" s="832">
        <v>1354615.44</v>
      </c>
    </row>
    <row r="11" spans="2:15" outlineLevel="6">
      <c r="B11" s="831" t="s">
        <v>4143</v>
      </c>
      <c r="C11" s="832">
        <v>-125226.77</v>
      </c>
      <c r="D11" s="832">
        <v>-140680.32000000001</v>
      </c>
      <c r="E11" s="832">
        <v>-205817.17</v>
      </c>
      <c r="F11" s="832">
        <v>-179644.75</v>
      </c>
      <c r="G11" s="832">
        <v>3108.04</v>
      </c>
      <c r="H11" s="832">
        <v>328348.73</v>
      </c>
      <c r="I11" s="832">
        <v>-24207.3</v>
      </c>
      <c r="J11" s="832">
        <v>-19731.330000000002</v>
      </c>
      <c r="K11" s="832">
        <v>-20694.97</v>
      </c>
      <c r="L11" s="832">
        <v>113085.72</v>
      </c>
      <c r="M11" s="832">
        <v>36015.440000000002</v>
      </c>
      <c r="N11" s="832">
        <v>221970.13</v>
      </c>
      <c r="O11" s="832">
        <v>-13474.55</v>
      </c>
    </row>
    <row r="12" spans="2:15" outlineLevel="6">
      <c r="B12" s="831" t="s">
        <v>4144</v>
      </c>
      <c r="C12" s="832">
        <v>290263.75</v>
      </c>
      <c r="D12" s="832">
        <v>-410487.55</v>
      </c>
      <c r="E12" s="832">
        <v>330601.96999999997</v>
      </c>
      <c r="F12" s="832">
        <v>128816.92</v>
      </c>
      <c r="G12" s="832">
        <v>339053.49</v>
      </c>
      <c r="H12" s="832">
        <v>328540.89</v>
      </c>
      <c r="I12" s="832">
        <v>-164270.26</v>
      </c>
      <c r="J12" s="832">
        <v>336174.68</v>
      </c>
      <c r="K12" s="832">
        <v>-35880.080000000002</v>
      </c>
      <c r="L12" s="832">
        <v>277400.15000000002</v>
      </c>
      <c r="M12" s="832">
        <v>104875.17</v>
      </c>
      <c r="N12" s="832">
        <v>201491.73</v>
      </c>
      <c r="O12" s="832">
        <v>1726580.86</v>
      </c>
    </row>
    <row r="13" spans="2:15" outlineLevel="6">
      <c r="B13" s="831" t="s">
        <v>4391</v>
      </c>
      <c r="C13" s="832">
        <v>268583.33</v>
      </c>
      <c r="D13" s="832">
        <v>268583.33</v>
      </c>
      <c r="E13" s="832">
        <v>268583.33</v>
      </c>
      <c r="F13" s="832">
        <v>268583.33</v>
      </c>
      <c r="G13" s="832">
        <v>268583.33</v>
      </c>
      <c r="H13" s="832">
        <v>268583.34999999998</v>
      </c>
      <c r="I13" s="832">
        <v>268583.33</v>
      </c>
      <c r="J13" s="832">
        <v>268583.33</v>
      </c>
      <c r="K13" s="832">
        <v>268583.33</v>
      </c>
      <c r="L13" s="832">
        <v>268583.33</v>
      </c>
      <c r="M13" s="832">
        <v>537166.67000000004</v>
      </c>
      <c r="N13" s="832">
        <v>0</v>
      </c>
      <c r="O13" s="832">
        <v>3222999.99</v>
      </c>
    </row>
    <row r="14" spans="2:15" outlineLevel="6">
      <c r="B14" s="831" t="s">
        <v>4145</v>
      </c>
      <c r="C14" s="832">
        <v>1543021.94</v>
      </c>
      <c r="D14" s="832">
        <v>1089538.8899999999</v>
      </c>
      <c r="E14" s="832">
        <v>1282674.57</v>
      </c>
      <c r="F14" s="832">
        <v>1118847.52</v>
      </c>
      <c r="G14" s="832">
        <v>1351324.12</v>
      </c>
      <c r="H14" s="832">
        <v>1352641.86</v>
      </c>
      <c r="I14" s="832">
        <v>1326000.71</v>
      </c>
      <c r="J14" s="832">
        <v>1544174.11</v>
      </c>
      <c r="K14" s="832">
        <v>1295649.8500000001</v>
      </c>
      <c r="L14" s="832">
        <v>1299530.44</v>
      </c>
      <c r="M14" s="832">
        <v>1294798.05</v>
      </c>
      <c r="N14" s="832">
        <v>1303571.6100000001</v>
      </c>
      <c r="O14" s="832">
        <v>15801773.67</v>
      </c>
    </row>
    <row r="15" spans="2:15" outlineLevel="6">
      <c r="B15" s="831" t="s">
        <v>4338</v>
      </c>
      <c r="C15" s="832">
        <v>77623.42</v>
      </c>
      <c r="D15" s="832">
        <v>76785.05</v>
      </c>
      <c r="E15" s="832">
        <v>65534.25</v>
      </c>
      <c r="F15" s="832">
        <v>55539.94</v>
      </c>
      <c r="G15" s="832">
        <v>76545.37</v>
      </c>
      <c r="H15" s="832">
        <v>58827.41</v>
      </c>
      <c r="I15" s="832">
        <v>48072.49</v>
      </c>
      <c r="J15" s="832">
        <v>73556.149999999994</v>
      </c>
      <c r="K15" s="832">
        <v>41319.42</v>
      </c>
      <c r="L15" s="832">
        <v>60981.82</v>
      </c>
      <c r="M15" s="832">
        <v>75855.009999999995</v>
      </c>
      <c r="N15" s="832">
        <v>77716.42</v>
      </c>
      <c r="O15" s="832">
        <v>788356.75</v>
      </c>
    </row>
    <row r="16" spans="2:15" outlineLevel="6">
      <c r="B16" s="831" t="s">
        <v>4146</v>
      </c>
      <c r="C16" s="832">
        <v>-697000</v>
      </c>
      <c r="D16" s="832">
        <v>0</v>
      </c>
      <c r="E16" s="832">
        <v>0</v>
      </c>
      <c r="F16" s="832">
        <v>0</v>
      </c>
      <c r="G16" s="832">
        <v>0</v>
      </c>
      <c r="H16" s="832">
        <v>0</v>
      </c>
      <c r="I16" s="832">
        <v>0</v>
      </c>
      <c r="J16" s="832">
        <v>0</v>
      </c>
      <c r="K16" s="832">
        <v>0</v>
      </c>
      <c r="L16" s="832">
        <v>0</v>
      </c>
      <c r="M16" s="832">
        <v>0</v>
      </c>
      <c r="N16" s="832">
        <v>0</v>
      </c>
      <c r="O16" s="832">
        <v>-697000</v>
      </c>
    </row>
    <row r="17" spans="2:15" outlineLevel="6">
      <c r="B17" s="831" t="s">
        <v>4147</v>
      </c>
      <c r="C17" s="832">
        <v>-43737.79</v>
      </c>
      <c r="D17" s="832">
        <v>-68197.240000000005</v>
      </c>
      <c r="E17" s="832">
        <v>-47671.35</v>
      </c>
      <c r="F17" s="832">
        <v>-40507.300000000003</v>
      </c>
      <c r="G17" s="832">
        <v>39408.44</v>
      </c>
      <c r="H17" s="832">
        <v>55760</v>
      </c>
      <c r="I17" s="832">
        <v>30587.8</v>
      </c>
      <c r="J17" s="832">
        <v>22434.47</v>
      </c>
      <c r="K17" s="832">
        <v>46791.22</v>
      </c>
      <c r="L17" s="832">
        <v>106548.96</v>
      </c>
      <c r="M17" s="832">
        <v>96187.3</v>
      </c>
      <c r="N17" s="832">
        <v>77109.98</v>
      </c>
      <c r="O17" s="832">
        <v>274714.49</v>
      </c>
    </row>
    <row r="18" spans="2:15" outlineLevel="6">
      <c r="B18" s="831" t="s">
        <v>4148</v>
      </c>
      <c r="C18" s="832">
        <v>42104.86</v>
      </c>
      <c r="D18" s="832">
        <v>-11847.83</v>
      </c>
      <c r="E18" s="832">
        <v>240372.32</v>
      </c>
      <c r="F18" s="832">
        <v>199609.8</v>
      </c>
      <c r="G18" s="832">
        <v>55159.22</v>
      </c>
      <c r="H18" s="832">
        <v>92824.83</v>
      </c>
      <c r="I18" s="832">
        <v>-113523.56</v>
      </c>
      <c r="J18" s="832">
        <v>-144408.26999999999</v>
      </c>
      <c r="K18" s="832">
        <v>-199759.27</v>
      </c>
      <c r="L18" s="832">
        <v>-86380.86</v>
      </c>
      <c r="M18" s="832">
        <v>-143599.91</v>
      </c>
      <c r="N18" s="832">
        <v>-18222.080000000002</v>
      </c>
      <c r="O18" s="832">
        <v>-87670.75</v>
      </c>
    </row>
    <row r="19" spans="2:15" outlineLevel="6">
      <c r="B19" s="831" t="s">
        <v>4149</v>
      </c>
      <c r="C19" s="832">
        <v>1849783.17</v>
      </c>
      <c r="D19" s="832">
        <v>735302.71</v>
      </c>
      <c r="E19" s="832">
        <v>-2237315.16</v>
      </c>
      <c r="F19" s="832">
        <v>337117.48</v>
      </c>
      <c r="G19" s="832">
        <v>-3089371.37</v>
      </c>
      <c r="H19" s="832">
        <v>-744984.94</v>
      </c>
      <c r="I19" s="832">
        <v>5906684.0899999999</v>
      </c>
      <c r="J19" s="832">
        <v>11889252.140000001</v>
      </c>
      <c r="K19" s="832">
        <v>15461925.619999999</v>
      </c>
      <c r="L19" s="832">
        <v>-4474684.83</v>
      </c>
      <c r="M19" s="832">
        <v>-6724134.1299999999</v>
      </c>
      <c r="N19" s="832">
        <v>-18001084.710000001</v>
      </c>
      <c r="O19" s="832">
        <v>908490.07</v>
      </c>
    </row>
    <row r="20" spans="2:15" outlineLevel="6">
      <c r="B20" s="831" t="s">
        <v>4150</v>
      </c>
      <c r="C20" s="832">
        <v>73602.7</v>
      </c>
      <c r="D20" s="832">
        <v>72229.539999999994</v>
      </c>
      <c r="E20" s="832">
        <v>10198.23</v>
      </c>
      <c r="F20" s="832">
        <v>64824.13</v>
      </c>
      <c r="G20" s="832">
        <v>61613.45</v>
      </c>
      <c r="H20" s="832">
        <v>87302.01</v>
      </c>
      <c r="I20" s="832">
        <v>38449.19</v>
      </c>
      <c r="J20" s="832">
        <v>25972.959999999999</v>
      </c>
      <c r="K20" s="832">
        <v>23565.119999999999</v>
      </c>
      <c r="L20" s="832">
        <v>31391.8</v>
      </c>
      <c r="M20" s="832">
        <v>25345.25</v>
      </c>
      <c r="N20" s="832">
        <v>23468.400000000001</v>
      </c>
      <c r="O20" s="832">
        <v>537962.78</v>
      </c>
    </row>
    <row r="21" spans="2:15" outlineLevel="6">
      <c r="B21" s="831" t="s">
        <v>4151</v>
      </c>
      <c r="C21" s="832">
        <v>-289771.48</v>
      </c>
      <c r="D21" s="832">
        <v>-214522.22</v>
      </c>
      <c r="E21" s="832">
        <v>-26675.8</v>
      </c>
      <c r="F21" s="832">
        <v>217718.64</v>
      </c>
      <c r="G21" s="832">
        <v>-83441</v>
      </c>
      <c r="H21" s="832">
        <v>-8865.23</v>
      </c>
      <c r="I21" s="832">
        <v>94340.55</v>
      </c>
      <c r="J21" s="832">
        <v>155836.42000000001</v>
      </c>
      <c r="K21" s="832">
        <v>-160316.96</v>
      </c>
      <c r="L21" s="832">
        <v>41898.080000000002</v>
      </c>
      <c r="M21" s="832">
        <v>85372</v>
      </c>
      <c r="N21" s="832">
        <v>188427</v>
      </c>
      <c r="O21" s="832">
        <v>0</v>
      </c>
    </row>
    <row r="22" spans="2:15" outlineLevel="6">
      <c r="B22" s="831" t="s">
        <v>4152</v>
      </c>
      <c r="C22" s="832">
        <v>14583.33</v>
      </c>
      <c r="D22" s="832">
        <v>14583.34</v>
      </c>
      <c r="E22" s="832">
        <v>14583.33</v>
      </c>
      <c r="F22" s="832">
        <v>14583.33</v>
      </c>
      <c r="G22" s="832">
        <v>14583.34</v>
      </c>
      <c r="H22" s="832">
        <v>14583.33</v>
      </c>
      <c r="I22" s="832">
        <v>14583.33</v>
      </c>
      <c r="J22" s="832">
        <v>14583.34</v>
      </c>
      <c r="K22" s="832">
        <v>14583.33</v>
      </c>
      <c r="L22" s="832">
        <v>14583.33</v>
      </c>
      <c r="M22" s="832">
        <v>14583.34</v>
      </c>
      <c r="N22" s="832">
        <v>14583.33</v>
      </c>
      <c r="O22" s="832">
        <v>175000</v>
      </c>
    </row>
    <row r="23" spans="2:15" outlineLevel="6">
      <c r="B23" s="831" t="s">
        <v>4153</v>
      </c>
      <c r="C23" s="832">
        <v>-199943.03</v>
      </c>
      <c r="D23" s="832">
        <v>-107392.26</v>
      </c>
      <c r="E23" s="832">
        <v>-249595.18</v>
      </c>
      <c r="F23" s="832">
        <v>-249959.57</v>
      </c>
      <c r="G23" s="832">
        <v>-32938.199999999997</v>
      </c>
      <c r="H23" s="832">
        <v>25041.99</v>
      </c>
      <c r="I23" s="832">
        <v>-14953.29</v>
      </c>
      <c r="J23" s="832">
        <v>160145.32</v>
      </c>
      <c r="K23" s="832">
        <v>151913.88</v>
      </c>
      <c r="L23" s="832">
        <v>131170.54</v>
      </c>
      <c r="M23" s="832">
        <v>170132.09</v>
      </c>
      <c r="N23" s="832">
        <v>216377.71</v>
      </c>
      <c r="O23" s="832">
        <v>0</v>
      </c>
    </row>
    <row r="24" spans="2:15" outlineLevel="6">
      <c r="B24" s="831" t="s">
        <v>4154</v>
      </c>
      <c r="C24" s="832">
        <v>92745.48</v>
      </c>
      <c r="D24" s="832">
        <v>-76972.44</v>
      </c>
      <c r="E24" s="832">
        <v>-13432.95</v>
      </c>
      <c r="F24" s="832">
        <v>2572.9699999999998</v>
      </c>
      <c r="G24" s="832">
        <v>30341.58</v>
      </c>
      <c r="H24" s="832">
        <v>37398.5</v>
      </c>
      <c r="I24" s="832">
        <v>22247.34</v>
      </c>
      <c r="J24" s="832">
        <v>-2302.02</v>
      </c>
      <c r="K24" s="832">
        <v>-17604.07</v>
      </c>
      <c r="L24" s="832">
        <v>20165.759999999998</v>
      </c>
      <c r="M24" s="832">
        <v>1708.81</v>
      </c>
      <c r="N24" s="832">
        <v>37400.31</v>
      </c>
      <c r="O24" s="832">
        <v>134269.26999999999</v>
      </c>
    </row>
    <row r="25" spans="2:15" outlineLevel="6">
      <c r="B25" s="831" t="s">
        <v>4155</v>
      </c>
      <c r="C25" s="832">
        <v>61268.04</v>
      </c>
      <c r="D25" s="832">
        <v>-110072.09</v>
      </c>
      <c r="E25" s="832">
        <v>-164203.01999999999</v>
      </c>
      <c r="F25" s="832">
        <v>-52622.99</v>
      </c>
      <c r="G25" s="832">
        <v>108208.02</v>
      </c>
      <c r="H25" s="832">
        <v>149208.95000000001</v>
      </c>
      <c r="I25" s="832">
        <v>61755.78</v>
      </c>
      <c r="J25" s="832">
        <v>-81406.02</v>
      </c>
      <c r="K25" s="832">
        <v>-162178.69</v>
      </c>
      <c r="L25" s="832">
        <v>46474.239999999998</v>
      </c>
      <c r="M25" s="832">
        <v>-50225.14</v>
      </c>
      <c r="N25" s="832">
        <v>158579.17000000001</v>
      </c>
      <c r="O25" s="832">
        <v>-35213.75</v>
      </c>
    </row>
    <row r="26" spans="2:15" outlineLevel="6">
      <c r="B26" s="831" t="s">
        <v>4156</v>
      </c>
      <c r="C26" s="832">
        <v>477569.44</v>
      </c>
      <c r="D26" s="832">
        <v>873155.93</v>
      </c>
      <c r="E26" s="832">
        <v>-1337328.95</v>
      </c>
      <c r="F26" s="832">
        <v>318611.76</v>
      </c>
      <c r="G26" s="832">
        <v>-1242481.76</v>
      </c>
      <c r="H26" s="832">
        <v>-1453424.3</v>
      </c>
      <c r="I26" s="832">
        <v>-525660.31999999995</v>
      </c>
      <c r="J26" s="832">
        <v>67604.05</v>
      </c>
      <c r="K26" s="832">
        <v>-14248.96</v>
      </c>
      <c r="L26" s="832">
        <v>1075401.22</v>
      </c>
      <c r="M26" s="832">
        <v>270105.18</v>
      </c>
      <c r="N26" s="832">
        <v>1240901.76</v>
      </c>
      <c r="O26" s="832">
        <v>-249794.95</v>
      </c>
    </row>
    <row r="27" spans="2:15" outlineLevel="6">
      <c r="B27" s="831" t="s">
        <v>4157</v>
      </c>
      <c r="C27" s="832">
        <v>125694.57</v>
      </c>
      <c r="D27" s="832">
        <v>125694.57</v>
      </c>
      <c r="E27" s="832">
        <v>125694.57</v>
      </c>
      <c r="F27" s="832">
        <v>125694.57</v>
      </c>
      <c r="G27" s="832">
        <v>125694.57</v>
      </c>
      <c r="H27" s="832">
        <v>125694.57</v>
      </c>
      <c r="I27" s="832">
        <v>125694.57</v>
      </c>
      <c r="J27" s="832">
        <v>125694.57</v>
      </c>
      <c r="K27" s="832">
        <v>125694.57</v>
      </c>
      <c r="L27" s="832">
        <v>125694.57</v>
      </c>
      <c r="M27" s="832">
        <v>125694.57</v>
      </c>
      <c r="N27" s="832">
        <v>125694.57</v>
      </c>
      <c r="O27" s="832">
        <v>1508334.84</v>
      </c>
    </row>
    <row r="28" spans="2:15" outlineLevel="6">
      <c r="B28" s="831" t="s">
        <v>4339</v>
      </c>
      <c r="C28" s="832">
        <v>-1052257.33</v>
      </c>
      <c r="D28" s="832">
        <v>-684757.74</v>
      </c>
      <c r="E28" s="832">
        <v>-684757.74</v>
      </c>
      <c r="F28" s="832">
        <v>-684757.74</v>
      </c>
      <c r="G28" s="832">
        <v>-684757.74</v>
      </c>
      <c r="H28" s="832">
        <v>-684757.74</v>
      </c>
      <c r="I28" s="832">
        <v>-684757.74</v>
      </c>
      <c r="J28" s="832">
        <v>-684757.74</v>
      </c>
      <c r="K28" s="832">
        <v>-684757.74</v>
      </c>
      <c r="L28" s="832">
        <v>-684757.74</v>
      </c>
      <c r="M28" s="832">
        <v>-684757.74</v>
      </c>
      <c r="N28" s="832">
        <v>-684757.74</v>
      </c>
      <c r="O28" s="832">
        <v>-8584592.4700000007</v>
      </c>
    </row>
    <row r="29" spans="2:15" outlineLevel="6">
      <c r="B29" s="831" t="s">
        <v>4426</v>
      </c>
      <c r="C29" s="832">
        <v>1570833.33</v>
      </c>
      <c r="D29" s="832">
        <v>1570833.33</v>
      </c>
      <c r="E29" s="832">
        <v>1570833.33</v>
      </c>
      <c r="F29" s="832">
        <v>1570833.33</v>
      </c>
      <c r="G29" s="832">
        <v>1570833.33</v>
      </c>
      <c r="H29" s="832">
        <v>1570833.33</v>
      </c>
      <c r="I29" s="832">
        <v>1570580.31</v>
      </c>
      <c r="J29" s="832">
        <v>1570833.33</v>
      </c>
      <c r="K29" s="832">
        <v>1570833.33</v>
      </c>
      <c r="L29" s="832">
        <v>1570833.33</v>
      </c>
      <c r="M29" s="832">
        <v>1570833.33</v>
      </c>
      <c r="N29" s="832">
        <v>1570833.33</v>
      </c>
      <c r="O29" s="832">
        <v>18849746.940000001</v>
      </c>
    </row>
    <row r="30" spans="2:15" outlineLevel="6">
      <c r="B30" s="831" t="s">
        <v>4464</v>
      </c>
      <c r="C30" s="832">
        <v>0</v>
      </c>
      <c r="D30" s="832">
        <v>-814000</v>
      </c>
      <c r="E30" s="832">
        <v>0</v>
      </c>
      <c r="F30" s="832">
        <v>0</v>
      </c>
      <c r="G30" s="832">
        <v>0</v>
      </c>
      <c r="H30" s="832">
        <v>0</v>
      </c>
      <c r="I30" s="832">
        <v>2333000</v>
      </c>
      <c r="J30" s="832">
        <v>0</v>
      </c>
      <c r="K30" s="832">
        <v>0</v>
      </c>
      <c r="L30" s="832">
        <v>0</v>
      </c>
      <c r="M30" s="832">
        <v>0</v>
      </c>
      <c r="N30" s="832">
        <v>0</v>
      </c>
      <c r="O30" s="832">
        <v>1519000</v>
      </c>
    </row>
    <row r="31" spans="2:15" outlineLevel="5">
      <c r="B31" s="831" t="s">
        <v>4158</v>
      </c>
      <c r="C31" s="832">
        <v>3736092.69</v>
      </c>
      <c r="D31" s="832">
        <v>1940598.76</v>
      </c>
      <c r="E31" s="832">
        <v>-921420.74</v>
      </c>
      <c r="F31" s="832">
        <v>3277454.74</v>
      </c>
      <c r="G31" s="832">
        <v>-877586.91</v>
      </c>
      <c r="H31" s="832">
        <v>1922131.07</v>
      </c>
      <c r="I31" s="832">
        <v>10489688.17</v>
      </c>
      <c r="J31" s="832">
        <v>15564922.869999999</v>
      </c>
      <c r="K31" s="832">
        <v>17644984.789999999</v>
      </c>
      <c r="L31" s="832">
        <v>315962.3</v>
      </c>
      <c r="M31" s="832">
        <v>-2988536.8</v>
      </c>
      <c r="N31" s="832">
        <v>-12970192.310000001</v>
      </c>
      <c r="O31" s="832">
        <v>37134098.630000003</v>
      </c>
    </row>
    <row r="32" spans="2:15" outlineLevel="6">
      <c r="B32" s="831" t="s">
        <v>3622</v>
      </c>
      <c r="C32" s="832">
        <v>-1216744.95</v>
      </c>
      <c r="D32" s="832">
        <v>-1612142.87</v>
      </c>
      <c r="E32" s="832">
        <v>-948988.47</v>
      </c>
      <c r="F32" s="832">
        <v>872110.16</v>
      </c>
      <c r="G32" s="832">
        <v>792851.58</v>
      </c>
      <c r="H32" s="832">
        <v>1498872.13</v>
      </c>
      <c r="I32" s="832">
        <v>-12587924.539999999</v>
      </c>
      <c r="J32" s="832">
        <v>-9567260.6999999993</v>
      </c>
      <c r="K32" s="832">
        <v>-30727166.079999998</v>
      </c>
      <c r="L32" s="832">
        <v>5593323.6699999999</v>
      </c>
      <c r="M32" s="832">
        <v>7499160.6500000004</v>
      </c>
      <c r="N32" s="832">
        <v>28721027.91</v>
      </c>
      <c r="O32" s="832">
        <v>-11682881.51</v>
      </c>
    </row>
    <row r="33" spans="2:15" outlineLevel="6">
      <c r="B33" s="831" t="s">
        <v>3623</v>
      </c>
      <c r="C33" s="832">
        <v>-27752045.91</v>
      </c>
      <c r="D33" s="832">
        <v>-24724208.739999998</v>
      </c>
      <c r="E33" s="832">
        <v>-25201493.140000001</v>
      </c>
      <c r="F33" s="832">
        <v>-27632888.010000002</v>
      </c>
      <c r="G33" s="832">
        <v>-28260791.579999998</v>
      </c>
      <c r="H33" s="832">
        <v>-32120776.699999999</v>
      </c>
      <c r="I33" s="832">
        <v>-32820683.170000002</v>
      </c>
      <c r="J33" s="832">
        <v>-30683734.02</v>
      </c>
      <c r="K33" s="832">
        <v>-29292057.640000001</v>
      </c>
      <c r="L33" s="832">
        <v>-32284305.440000001</v>
      </c>
      <c r="M33" s="832">
        <v>-35742952.899999999</v>
      </c>
      <c r="N33" s="832">
        <v>-33937811.200000003</v>
      </c>
      <c r="O33" s="832">
        <v>-360453748.44999999</v>
      </c>
    </row>
    <row r="34" spans="2:15" outlineLevel="6">
      <c r="B34" s="831" t="s">
        <v>3624</v>
      </c>
      <c r="C34" s="832">
        <v>-432195.2</v>
      </c>
      <c r="D34" s="832">
        <v>-394760.59</v>
      </c>
      <c r="E34" s="832">
        <v>-396891.9</v>
      </c>
      <c r="F34" s="832">
        <v>-438264.13</v>
      </c>
      <c r="G34" s="832">
        <v>-450682.88</v>
      </c>
      <c r="H34" s="832">
        <v>-452265.83</v>
      </c>
      <c r="I34" s="832">
        <v>-387590.82</v>
      </c>
      <c r="J34" s="832">
        <v>-363174.07</v>
      </c>
      <c r="K34" s="832">
        <v>-383986.4</v>
      </c>
      <c r="L34" s="832">
        <v>-413158.74</v>
      </c>
      <c r="M34" s="832">
        <v>-450754.09</v>
      </c>
      <c r="N34" s="832">
        <v>-449304.75</v>
      </c>
      <c r="O34" s="832">
        <v>-5013029.4000000004</v>
      </c>
    </row>
    <row r="35" spans="2:15" outlineLevel="6">
      <c r="B35" s="831" t="s">
        <v>3625</v>
      </c>
      <c r="C35" s="832">
        <v>0</v>
      </c>
      <c r="D35" s="832">
        <v>-1.24</v>
      </c>
      <c r="E35" s="832">
        <v>0</v>
      </c>
      <c r="F35" s="832">
        <v>0</v>
      </c>
      <c r="G35" s="832">
        <v>0</v>
      </c>
      <c r="H35" s="832">
        <v>0</v>
      </c>
      <c r="I35" s="832">
        <v>0</v>
      </c>
      <c r="J35" s="832">
        <v>0</v>
      </c>
      <c r="K35" s="832">
        <v>0</v>
      </c>
      <c r="L35" s="832">
        <v>8.69</v>
      </c>
      <c r="M35" s="832">
        <v>0</v>
      </c>
      <c r="N35" s="832">
        <v>-5.01</v>
      </c>
      <c r="O35" s="832">
        <v>2.44</v>
      </c>
    </row>
    <row r="36" spans="2:15" outlineLevel="6">
      <c r="B36" s="831" t="s">
        <v>3626</v>
      </c>
      <c r="C36" s="832">
        <v>42528.83</v>
      </c>
      <c r="D36" s="832">
        <v>29939.23</v>
      </c>
      <c r="E36" s="832">
        <v>24543.64</v>
      </c>
      <c r="F36" s="832">
        <v>28764.82</v>
      </c>
      <c r="G36" s="832">
        <v>34225.1</v>
      </c>
      <c r="H36" s="832">
        <v>32478.38</v>
      </c>
      <c r="I36" s="832">
        <v>22763.56</v>
      </c>
      <c r="J36" s="832">
        <v>14622.73</v>
      </c>
      <c r="K36" s="832">
        <v>13291.35</v>
      </c>
      <c r="L36" s="832">
        <v>10381.049999999999</v>
      </c>
      <c r="M36" s="832">
        <v>15709.09</v>
      </c>
      <c r="N36" s="832">
        <v>21299.3</v>
      </c>
      <c r="O36" s="832">
        <v>290547.08</v>
      </c>
    </row>
    <row r="37" spans="2:15" outlineLevel="6">
      <c r="B37" s="831" t="s">
        <v>3627</v>
      </c>
      <c r="C37" s="832">
        <v>0</v>
      </c>
      <c r="D37" s="832">
        <v>0</v>
      </c>
      <c r="E37" s="832">
        <v>0</v>
      </c>
      <c r="F37" s="832">
        <v>0</v>
      </c>
      <c r="G37" s="832">
        <v>0</v>
      </c>
      <c r="H37" s="832">
        <v>0</v>
      </c>
      <c r="I37" s="832">
        <v>0</v>
      </c>
      <c r="J37" s="832">
        <v>0</v>
      </c>
      <c r="K37" s="832">
        <v>-310</v>
      </c>
      <c r="L37" s="832">
        <v>0</v>
      </c>
      <c r="M37" s="832">
        <v>0.17</v>
      </c>
      <c r="N37" s="832">
        <v>-0.17</v>
      </c>
      <c r="O37" s="832">
        <v>-310</v>
      </c>
    </row>
    <row r="38" spans="2:15" outlineLevel="6">
      <c r="B38" s="831" t="s">
        <v>3628</v>
      </c>
      <c r="C38" s="832">
        <v>-229361.92000000001</v>
      </c>
      <c r="D38" s="832">
        <v>-320630.23</v>
      </c>
      <c r="E38" s="832">
        <v>-327108.95</v>
      </c>
      <c r="F38" s="832">
        <v>-352143.76</v>
      </c>
      <c r="G38" s="832">
        <v>-340237.49</v>
      </c>
      <c r="H38" s="832">
        <v>-348055.96</v>
      </c>
      <c r="I38" s="832">
        <v>-338908.23</v>
      </c>
      <c r="J38" s="832">
        <v>-319911.83</v>
      </c>
      <c r="K38" s="832">
        <v>-304636.53999999998</v>
      </c>
      <c r="L38" s="832">
        <v>-296877.89</v>
      </c>
      <c r="M38" s="832">
        <v>-302296.01</v>
      </c>
      <c r="N38" s="832">
        <v>-301356.27</v>
      </c>
      <c r="O38" s="832">
        <v>-3781525.08</v>
      </c>
    </row>
    <row r="39" spans="2:15" outlineLevel="6">
      <c r="B39" s="831" t="s">
        <v>4487</v>
      </c>
      <c r="C39" s="832">
        <v>3807.67</v>
      </c>
      <c r="D39" s="832">
        <v>2519.7399999999998</v>
      </c>
      <c r="E39" s="832">
        <v>2544.84</v>
      </c>
      <c r="F39" s="832">
        <v>2740.03</v>
      </c>
      <c r="G39" s="832">
        <v>0</v>
      </c>
      <c r="H39" s="832">
        <v>0</v>
      </c>
      <c r="I39" s="832">
        <v>0</v>
      </c>
      <c r="J39" s="832">
        <v>0</v>
      </c>
      <c r="K39" s="832">
        <v>0</v>
      </c>
      <c r="L39" s="832">
        <v>0</v>
      </c>
      <c r="M39" s="832">
        <v>0</v>
      </c>
      <c r="N39" s="832">
        <v>0</v>
      </c>
      <c r="O39" s="832">
        <v>11612.28</v>
      </c>
    </row>
    <row r="40" spans="2:15" outlineLevel="5">
      <c r="B40" s="831" t="s">
        <v>4488</v>
      </c>
      <c r="C40" s="832">
        <v>2899.23</v>
      </c>
      <c r="D40" s="832">
        <v>3636.48</v>
      </c>
      <c r="E40" s="832">
        <v>2108.7199999999998</v>
      </c>
      <c r="F40" s="832">
        <v>1631.87</v>
      </c>
      <c r="G40" s="832">
        <v>0</v>
      </c>
      <c r="H40" s="832">
        <v>0</v>
      </c>
      <c r="I40" s="832">
        <v>0</v>
      </c>
      <c r="J40" s="832">
        <v>0</v>
      </c>
      <c r="K40" s="832">
        <v>0</v>
      </c>
      <c r="L40" s="832">
        <v>0</v>
      </c>
      <c r="M40" s="832">
        <v>0</v>
      </c>
      <c r="N40" s="832">
        <v>0</v>
      </c>
      <c r="O40" s="832">
        <v>10276.299999999999</v>
      </c>
    </row>
    <row r="41" spans="2:15" outlineLevel="4">
      <c r="B41" s="831" t="s">
        <v>4159</v>
      </c>
      <c r="C41" s="832">
        <v>-25845019.559999999</v>
      </c>
      <c r="D41" s="832">
        <v>-25075049.460000001</v>
      </c>
      <c r="E41" s="832">
        <v>-27766706</v>
      </c>
      <c r="F41" s="832">
        <v>-24240594.280000001</v>
      </c>
      <c r="G41" s="832">
        <v>-29102222.18</v>
      </c>
      <c r="H41" s="832">
        <v>-29467616.91</v>
      </c>
      <c r="I41" s="832">
        <v>-35622655.030000001</v>
      </c>
      <c r="J41" s="832">
        <v>-25354535.02</v>
      </c>
      <c r="K41" s="832">
        <v>-43049880.520000003</v>
      </c>
      <c r="L41" s="832">
        <v>-27074666.359999999</v>
      </c>
      <c r="M41" s="832">
        <v>-31969669.890000001</v>
      </c>
      <c r="N41" s="832">
        <v>-18916342.5</v>
      </c>
      <c r="O41" s="832">
        <v>-343484957.70999998</v>
      </c>
    </row>
    <row r="42" spans="2:15" outlineLevel="5">
      <c r="B42" s="831" t="s">
        <v>3629</v>
      </c>
      <c r="C42" s="832">
        <v>-12526153.41</v>
      </c>
      <c r="D42" s="832">
        <v>-16153130.83</v>
      </c>
      <c r="E42" s="832">
        <v>-17444776.260000002</v>
      </c>
      <c r="F42" s="832">
        <v>-18882507.620000001</v>
      </c>
      <c r="G42" s="832">
        <v>-18519561.93</v>
      </c>
      <c r="H42" s="832">
        <v>-15422438.67</v>
      </c>
      <c r="I42" s="832">
        <v>-10621709.74</v>
      </c>
      <c r="J42" s="832">
        <v>-5747927.4299999997</v>
      </c>
      <c r="K42" s="832">
        <v>-2943082.16</v>
      </c>
      <c r="L42" s="832">
        <v>-11720060.199999999</v>
      </c>
      <c r="M42" s="832">
        <v>-15755249.43</v>
      </c>
      <c r="N42" s="832">
        <v>-17149433.530000001</v>
      </c>
      <c r="O42" s="832">
        <v>-162886031.21000001</v>
      </c>
    </row>
    <row r="43" spans="2:15" outlineLevel="5">
      <c r="B43" s="831" t="s">
        <v>3630</v>
      </c>
      <c r="C43" s="832">
        <v>-161258.78</v>
      </c>
      <c r="D43" s="832">
        <v>-190386.69</v>
      </c>
      <c r="E43" s="832">
        <v>-194460.36</v>
      </c>
      <c r="F43" s="832">
        <v>-195449.58</v>
      </c>
      <c r="G43" s="832">
        <v>-235527.91</v>
      </c>
      <c r="H43" s="832">
        <v>-213581.7</v>
      </c>
      <c r="I43" s="832">
        <v>-174486.8</v>
      </c>
      <c r="J43" s="832">
        <v>-200735.77</v>
      </c>
      <c r="K43" s="832">
        <v>-225596.26</v>
      </c>
      <c r="L43" s="832">
        <v>-218004.64</v>
      </c>
      <c r="M43" s="832">
        <v>-214757.84</v>
      </c>
      <c r="N43" s="832">
        <v>-230340.19</v>
      </c>
      <c r="O43" s="832">
        <v>-2454586.52</v>
      </c>
    </row>
    <row r="44" spans="2:15" outlineLevel="5">
      <c r="B44" s="831" t="s">
        <v>3631</v>
      </c>
      <c r="C44" s="832">
        <v>-48392.36</v>
      </c>
      <c r="D44" s="832">
        <v>-49351.9</v>
      </c>
      <c r="E44" s="832">
        <v>-49982.84</v>
      </c>
      <c r="F44" s="832">
        <v>-49820.53</v>
      </c>
      <c r="G44" s="832">
        <v>-50520.639999999999</v>
      </c>
      <c r="H44" s="832">
        <v>-50617.59</v>
      </c>
      <c r="I44" s="832">
        <v>-51088.52</v>
      </c>
      <c r="J44" s="832">
        <v>-51381.21</v>
      </c>
      <c r="K44" s="832">
        <v>-51749.84</v>
      </c>
      <c r="L44" s="832">
        <v>-52350.9</v>
      </c>
      <c r="M44" s="832">
        <v>-51831.78</v>
      </c>
      <c r="N44" s="832">
        <v>-52335.66</v>
      </c>
      <c r="O44" s="832">
        <v>-609423.77</v>
      </c>
    </row>
    <row r="45" spans="2:15" outlineLevel="5">
      <c r="B45" s="831" t="s">
        <v>3632</v>
      </c>
      <c r="C45" s="832">
        <v>-469232.49</v>
      </c>
      <c r="D45" s="832">
        <v>-592254.22</v>
      </c>
      <c r="E45" s="832">
        <v>-644737.63</v>
      </c>
      <c r="F45" s="832">
        <v>-699450.14</v>
      </c>
      <c r="G45" s="832">
        <v>-694395.11</v>
      </c>
      <c r="H45" s="832">
        <v>-673871.38</v>
      </c>
      <c r="I45" s="832">
        <v>-602895.44999999995</v>
      </c>
      <c r="J45" s="832">
        <v>-583581.31999999995</v>
      </c>
      <c r="K45" s="832">
        <v>-561460.53</v>
      </c>
      <c r="L45" s="832">
        <v>-530999.76</v>
      </c>
      <c r="M45" s="832">
        <v>-587429.38</v>
      </c>
      <c r="N45" s="832">
        <v>-604838.29</v>
      </c>
      <c r="O45" s="832">
        <v>-7245145.7000000002</v>
      </c>
    </row>
    <row r="46" spans="2:15" outlineLevel="4">
      <c r="B46" s="831" t="s">
        <v>4160</v>
      </c>
      <c r="C46" s="832">
        <v>-13205037.039999999</v>
      </c>
      <c r="D46" s="832">
        <v>-16985123.640000001</v>
      </c>
      <c r="E46" s="832">
        <v>-18333957.09</v>
      </c>
      <c r="F46" s="832">
        <v>-19827227.870000001</v>
      </c>
      <c r="G46" s="832">
        <v>-19500005.59</v>
      </c>
      <c r="H46" s="832">
        <v>-16360509.34</v>
      </c>
      <c r="I46" s="832">
        <v>-11450180.51</v>
      </c>
      <c r="J46" s="832">
        <v>-6583625.7300000004</v>
      </c>
      <c r="K46" s="832">
        <v>-3781888.79</v>
      </c>
      <c r="L46" s="832">
        <v>-12521415.5</v>
      </c>
      <c r="M46" s="832">
        <v>-16609268.43</v>
      </c>
      <c r="N46" s="832">
        <v>-18036947.670000002</v>
      </c>
      <c r="O46" s="832">
        <v>-173195187.19999999</v>
      </c>
    </row>
    <row r="47" spans="2:15" outlineLevel="5">
      <c r="B47" s="831" t="s">
        <v>3634</v>
      </c>
      <c r="C47" s="832">
        <v>-1130138.52</v>
      </c>
      <c r="D47" s="832">
        <v>-1342657.93</v>
      </c>
      <c r="E47" s="832">
        <v>1745394.22</v>
      </c>
      <c r="F47" s="832">
        <v>-415491.89</v>
      </c>
      <c r="G47" s="832">
        <v>1176081.4099999999</v>
      </c>
      <c r="H47" s="832">
        <v>-2046902.08</v>
      </c>
      <c r="I47" s="832">
        <v>2938874.3</v>
      </c>
      <c r="J47" s="832">
        <v>-7066781.6799999997</v>
      </c>
      <c r="K47" s="832">
        <v>3872739.93</v>
      </c>
      <c r="L47" s="832">
        <v>1824580.37</v>
      </c>
      <c r="M47" s="832">
        <v>4179825.22</v>
      </c>
      <c r="N47" s="832">
        <v>-4008833.91</v>
      </c>
      <c r="O47" s="832">
        <v>-273310.56</v>
      </c>
    </row>
    <row r="48" spans="2:15" outlineLevel="5">
      <c r="B48" s="831" t="s">
        <v>4161</v>
      </c>
      <c r="C48" s="832">
        <v>-5345048.47</v>
      </c>
      <c r="D48" s="832">
        <v>-532544.06999999995</v>
      </c>
      <c r="E48" s="832">
        <v>401632.68</v>
      </c>
      <c r="F48" s="832">
        <v>1076383.6499999999</v>
      </c>
      <c r="G48" s="832">
        <v>-270303.09000000003</v>
      </c>
      <c r="H48" s="832">
        <v>-207249.96</v>
      </c>
      <c r="I48" s="832">
        <v>-674488.83</v>
      </c>
      <c r="J48" s="832">
        <v>-561099.29</v>
      </c>
      <c r="K48" s="832">
        <v>750479.25</v>
      </c>
      <c r="L48" s="832">
        <v>-1115057.1100000001</v>
      </c>
      <c r="M48" s="832">
        <v>1671441.99</v>
      </c>
      <c r="N48" s="832">
        <v>-800458.64</v>
      </c>
      <c r="O48" s="832">
        <v>-5606311.8899999997</v>
      </c>
    </row>
    <row r="49" spans="2:15" outlineLevel="5">
      <c r="B49" s="831" t="s">
        <v>4162</v>
      </c>
      <c r="C49" s="832">
        <v>-423537.24</v>
      </c>
      <c r="D49" s="832">
        <v>-69495.89</v>
      </c>
      <c r="E49" s="832">
        <v>58414.67</v>
      </c>
      <c r="F49" s="832">
        <v>103706.77</v>
      </c>
      <c r="G49" s="832">
        <v>-29408.44</v>
      </c>
      <c r="H49" s="832">
        <v>-42331.24</v>
      </c>
      <c r="I49" s="832">
        <v>-93332.64</v>
      </c>
      <c r="J49" s="832">
        <v>-26014.27</v>
      </c>
      <c r="K49" s="832">
        <v>126603.39</v>
      </c>
      <c r="L49" s="832">
        <v>-108570.03</v>
      </c>
      <c r="M49" s="832">
        <v>167436.39000000001</v>
      </c>
      <c r="N49" s="832">
        <v>-305155.99</v>
      </c>
      <c r="O49" s="832">
        <v>-641684.52</v>
      </c>
    </row>
    <row r="50" spans="2:15" outlineLevel="5">
      <c r="B50" s="831" t="s">
        <v>4163</v>
      </c>
      <c r="C50" s="832">
        <v>-58198.97</v>
      </c>
      <c r="D50" s="832">
        <v>-61778.44</v>
      </c>
      <c r="E50" s="832">
        <v>112383.23</v>
      </c>
      <c r="F50" s="832">
        <v>207537.95</v>
      </c>
      <c r="G50" s="832">
        <v>25424.93</v>
      </c>
      <c r="H50" s="832">
        <v>-167035.10999999999</v>
      </c>
      <c r="I50" s="832">
        <v>-21423.43</v>
      </c>
      <c r="J50" s="832">
        <v>-32371.78</v>
      </c>
      <c r="K50" s="832">
        <v>15684.73</v>
      </c>
      <c r="L50" s="832">
        <v>-99474.7</v>
      </c>
      <c r="M50" s="832">
        <v>210048.48</v>
      </c>
      <c r="N50" s="832">
        <v>-107707.51</v>
      </c>
      <c r="O50" s="832">
        <v>23089.38</v>
      </c>
    </row>
    <row r="51" spans="2:15" outlineLevel="5">
      <c r="B51" s="831" t="s">
        <v>4164</v>
      </c>
      <c r="C51" s="832">
        <v>-193388.26</v>
      </c>
      <c r="D51" s="832">
        <v>-52674.080000000002</v>
      </c>
      <c r="E51" s="832">
        <v>27818.57</v>
      </c>
      <c r="F51" s="832">
        <v>58931.69</v>
      </c>
      <c r="G51" s="832">
        <v>-10341.15</v>
      </c>
      <c r="H51" s="832">
        <v>-67767.42</v>
      </c>
      <c r="I51" s="832">
        <v>-40651.089999999997</v>
      </c>
      <c r="J51" s="832">
        <v>-6182.4</v>
      </c>
      <c r="K51" s="832">
        <v>49244.52</v>
      </c>
      <c r="L51" s="832">
        <v>-68258.02</v>
      </c>
      <c r="M51" s="832">
        <v>84417.04</v>
      </c>
      <c r="N51" s="832">
        <v>-28136.98</v>
      </c>
      <c r="O51" s="832">
        <v>-246987.58</v>
      </c>
    </row>
    <row r="52" spans="2:15" outlineLevel="5">
      <c r="B52" s="831" t="s">
        <v>4165</v>
      </c>
      <c r="C52" s="832">
        <v>-62005.58</v>
      </c>
      <c r="D52" s="832">
        <v>-10174.19</v>
      </c>
      <c r="E52" s="832">
        <v>8551.86</v>
      </c>
      <c r="F52" s="832">
        <v>15182.67</v>
      </c>
      <c r="G52" s="832">
        <v>-4305.3900000000003</v>
      </c>
      <c r="H52" s="832">
        <v>-6197.29</v>
      </c>
      <c r="I52" s="832">
        <v>-13663.89</v>
      </c>
      <c r="J52" s="832">
        <v>-3808.44</v>
      </c>
      <c r="K52" s="832">
        <v>18534.669999999998</v>
      </c>
      <c r="L52" s="832">
        <v>-15894.58</v>
      </c>
      <c r="M52" s="832">
        <v>24512.639999999999</v>
      </c>
      <c r="N52" s="832">
        <v>119759.17</v>
      </c>
      <c r="O52" s="832">
        <v>70491.649999999994</v>
      </c>
    </row>
    <row r="53" spans="2:15" outlineLevel="5">
      <c r="B53" s="831" t="s">
        <v>4166</v>
      </c>
      <c r="C53" s="832">
        <v>-408514.15</v>
      </c>
      <c r="D53" s="832">
        <v>-66989.62</v>
      </c>
      <c r="E53" s="832">
        <v>-40820.39</v>
      </c>
      <c r="F53" s="832">
        <v>87780.44</v>
      </c>
      <c r="G53" s="832">
        <v>-24892.14</v>
      </c>
      <c r="H53" s="832">
        <v>-35830.42</v>
      </c>
      <c r="I53" s="832">
        <v>-78999.539999999994</v>
      </c>
      <c r="J53" s="832">
        <v>-22019.18</v>
      </c>
      <c r="K53" s="832">
        <v>107060.84</v>
      </c>
      <c r="L53" s="832">
        <v>-91796.87</v>
      </c>
      <c r="M53" s="832">
        <v>141723.07999999999</v>
      </c>
      <c r="N53" s="832">
        <v>-78781.94</v>
      </c>
      <c r="O53" s="832">
        <v>-512079.89</v>
      </c>
    </row>
    <row r="54" spans="2:15" outlineLevel="5">
      <c r="B54" s="831" t="s">
        <v>4167</v>
      </c>
      <c r="C54" s="832">
        <v>-179707.1</v>
      </c>
      <c r="D54" s="832">
        <v>10449.33</v>
      </c>
      <c r="E54" s="832">
        <v>4610.58</v>
      </c>
      <c r="F54" s="832">
        <v>-6662.26</v>
      </c>
      <c r="G54" s="832">
        <v>1688.56</v>
      </c>
      <c r="H54" s="832">
        <v>6840.79</v>
      </c>
      <c r="I54" s="832">
        <v>-26269.200000000001</v>
      </c>
      <c r="J54" s="832">
        <v>-4246.01</v>
      </c>
      <c r="K54" s="832">
        <v>22979.3</v>
      </c>
      <c r="L54" s="832">
        <v>-6878.34</v>
      </c>
      <c r="M54" s="832">
        <v>-9016.07</v>
      </c>
      <c r="N54" s="832">
        <v>-623.16</v>
      </c>
      <c r="O54" s="832">
        <v>-186833.58</v>
      </c>
    </row>
    <row r="55" spans="2:15" outlineLevel="4">
      <c r="B55" s="831" t="s">
        <v>4168</v>
      </c>
      <c r="C55" s="832">
        <v>-7800538.29</v>
      </c>
      <c r="D55" s="832">
        <v>-2125864.89</v>
      </c>
      <c r="E55" s="832">
        <v>2317985.42</v>
      </c>
      <c r="F55" s="832">
        <v>1127369.02</v>
      </c>
      <c r="G55" s="832">
        <v>863944.69</v>
      </c>
      <c r="H55" s="832">
        <v>-2566472.73</v>
      </c>
      <c r="I55" s="832">
        <v>1990045.68</v>
      </c>
      <c r="J55" s="832">
        <v>-7722523.0499999998</v>
      </c>
      <c r="K55" s="832">
        <v>4963326.63</v>
      </c>
      <c r="L55" s="832">
        <v>318650.71999999997</v>
      </c>
      <c r="M55" s="832">
        <v>6470388.7699999996</v>
      </c>
      <c r="N55" s="832">
        <v>-5209938.96</v>
      </c>
      <c r="O55" s="832">
        <v>-7373626.9900000002</v>
      </c>
    </row>
    <row r="56" spans="2:15" outlineLevel="5">
      <c r="B56" s="831" t="s">
        <v>3633</v>
      </c>
      <c r="C56" s="832">
        <v>-762038.22</v>
      </c>
      <c r="D56" s="832">
        <v>-979670.12</v>
      </c>
      <c r="E56" s="832">
        <v>-904566.79</v>
      </c>
      <c r="F56" s="832">
        <v>-641116.62</v>
      </c>
      <c r="G56" s="832">
        <v>-809601.32</v>
      </c>
      <c r="H56" s="832">
        <v>-1998425.98</v>
      </c>
      <c r="I56" s="832">
        <v>-5588273.0800000001</v>
      </c>
      <c r="J56" s="832">
        <v>-2732884.61</v>
      </c>
      <c r="K56" s="832">
        <v>-5667151.8099999996</v>
      </c>
      <c r="L56" s="832">
        <v>-10983991.109999999</v>
      </c>
      <c r="M56" s="832">
        <v>-8998031.5199999996</v>
      </c>
      <c r="N56" s="832">
        <v>-11268689.6</v>
      </c>
      <c r="O56" s="832">
        <v>-51334440.780000001</v>
      </c>
    </row>
    <row r="57" spans="2:15" outlineLevel="4">
      <c r="B57" s="831" t="s">
        <v>3635</v>
      </c>
      <c r="C57" s="832">
        <v>956.71</v>
      </c>
      <c r="D57" s="832">
        <v>-31443.13</v>
      </c>
      <c r="E57" s="832">
        <v>-36056.11</v>
      </c>
      <c r="F57" s="832">
        <v>-49221.01</v>
      </c>
      <c r="G57" s="832">
        <v>-82382.23</v>
      </c>
      <c r="H57" s="832">
        <v>-45826.42</v>
      </c>
      <c r="I57" s="832">
        <v>-59831.13</v>
      </c>
      <c r="J57" s="832">
        <v>-85754.03</v>
      </c>
      <c r="K57" s="832">
        <v>-46549.78</v>
      </c>
      <c r="L57" s="832">
        <v>-102549.25</v>
      </c>
      <c r="M57" s="832">
        <v>-108075.8</v>
      </c>
      <c r="N57" s="832">
        <v>-36415.589999999997</v>
      </c>
      <c r="O57" s="832">
        <v>-683147.77</v>
      </c>
    </row>
    <row r="58" spans="2:15" outlineLevel="3">
      <c r="B58" s="831" t="s">
        <v>4169</v>
      </c>
      <c r="C58" s="832">
        <v>-47611676.399999999</v>
      </c>
      <c r="D58" s="832">
        <v>-45197151.240000002</v>
      </c>
      <c r="E58" s="832">
        <v>-44723300.57</v>
      </c>
      <c r="F58" s="832">
        <v>-43630790.759999998</v>
      </c>
      <c r="G58" s="832">
        <v>-48630266.630000003</v>
      </c>
      <c r="H58" s="832">
        <v>-50438851.380000003</v>
      </c>
      <c r="I58" s="832">
        <v>-50730894.07</v>
      </c>
      <c r="J58" s="832">
        <v>-42479322.439999998</v>
      </c>
      <c r="K58" s="832">
        <v>-47582144.270000003</v>
      </c>
      <c r="L58" s="832">
        <v>-50363971.5</v>
      </c>
      <c r="M58" s="832">
        <v>-51214656.869999997</v>
      </c>
      <c r="N58" s="832">
        <v>-53468334.32</v>
      </c>
      <c r="O58" s="832">
        <v>-576071360.45000005</v>
      </c>
    </row>
    <row r="59" spans="2:15" outlineLevel="4">
      <c r="B59" s="831" t="s">
        <v>3636</v>
      </c>
      <c r="C59" s="832">
        <v>-21928.74</v>
      </c>
      <c r="D59" s="832">
        <v>2521.46</v>
      </c>
      <c r="E59" s="832">
        <v>2521.46</v>
      </c>
      <c r="F59" s="832">
        <v>2521.46</v>
      </c>
      <c r="G59" s="832">
        <v>2521.46</v>
      </c>
      <c r="H59" s="832">
        <v>2521.46</v>
      </c>
      <c r="I59" s="832">
        <v>2521.46</v>
      </c>
      <c r="J59" s="832">
        <v>2521.46</v>
      </c>
      <c r="K59" s="832">
        <v>2521.46</v>
      </c>
      <c r="L59" s="832">
        <v>2521.46</v>
      </c>
      <c r="M59" s="832">
        <v>2521.46</v>
      </c>
      <c r="N59" s="832">
        <v>2521.46</v>
      </c>
      <c r="O59" s="832">
        <v>5807.32</v>
      </c>
    </row>
    <row r="60" spans="2:15" outlineLevel="3">
      <c r="B60" s="831" t="s">
        <v>4170</v>
      </c>
      <c r="C60" s="832">
        <v>-21928.74</v>
      </c>
      <c r="D60" s="832">
        <v>2521.46</v>
      </c>
      <c r="E60" s="832">
        <v>2521.46</v>
      </c>
      <c r="F60" s="832">
        <v>2521.46</v>
      </c>
      <c r="G60" s="832">
        <v>2521.46</v>
      </c>
      <c r="H60" s="832">
        <v>2521.46</v>
      </c>
      <c r="I60" s="832">
        <v>2521.46</v>
      </c>
      <c r="J60" s="832">
        <v>2521.46</v>
      </c>
      <c r="K60" s="832">
        <v>2521.46</v>
      </c>
      <c r="L60" s="832">
        <v>2521.46</v>
      </c>
      <c r="M60" s="832">
        <v>2521.46</v>
      </c>
      <c r="N60" s="832">
        <v>2521.46</v>
      </c>
      <c r="O60" s="832">
        <v>5807.32</v>
      </c>
    </row>
    <row r="61" spans="2:15" outlineLevel="2">
      <c r="B61" s="831" t="s">
        <v>4171</v>
      </c>
      <c r="C61" s="832">
        <v>-47633605.140000001</v>
      </c>
      <c r="D61" s="832">
        <v>-45194629.780000001</v>
      </c>
      <c r="E61" s="832">
        <v>-44720779.109999999</v>
      </c>
      <c r="F61" s="832">
        <v>-43628269.299999997</v>
      </c>
      <c r="G61" s="832">
        <v>-48627745.170000002</v>
      </c>
      <c r="H61" s="832">
        <v>-50436329.920000002</v>
      </c>
      <c r="I61" s="832">
        <v>-50728372.609999999</v>
      </c>
      <c r="J61" s="832">
        <v>-42476800.979999997</v>
      </c>
      <c r="K61" s="832">
        <v>-47579622.810000002</v>
      </c>
      <c r="L61" s="832">
        <v>-50361450.039999999</v>
      </c>
      <c r="M61" s="832">
        <v>-51212135.409999996</v>
      </c>
      <c r="N61" s="832">
        <v>-53465812.859999999</v>
      </c>
      <c r="O61" s="832">
        <v>-576065553.13</v>
      </c>
    </row>
    <row r="62" spans="2:15" outlineLevel="4">
      <c r="B62" s="831" t="s">
        <v>3637</v>
      </c>
      <c r="C62" s="832">
        <v>0</v>
      </c>
      <c r="D62" s="832">
        <v>0</v>
      </c>
      <c r="E62" s="832">
        <v>0</v>
      </c>
      <c r="F62" s="832">
        <v>0</v>
      </c>
      <c r="G62" s="832">
        <v>0</v>
      </c>
      <c r="H62" s="832">
        <v>0</v>
      </c>
      <c r="I62" s="832">
        <v>0</v>
      </c>
      <c r="J62" s="832">
        <v>0</v>
      </c>
      <c r="K62" s="832">
        <v>0</v>
      </c>
      <c r="L62" s="832">
        <v>0</v>
      </c>
      <c r="M62" s="832">
        <v>0</v>
      </c>
      <c r="N62" s="832">
        <v>0</v>
      </c>
      <c r="O62" s="832">
        <v>0</v>
      </c>
    </row>
    <row r="63" spans="2:15" outlineLevel="4">
      <c r="B63" s="831" t="s">
        <v>3638</v>
      </c>
      <c r="C63" s="832">
        <v>10217290.029999999</v>
      </c>
      <c r="D63" s="832">
        <v>9354896.7799999993</v>
      </c>
      <c r="E63" s="832">
        <v>9575269.1199999992</v>
      </c>
      <c r="F63" s="832">
        <v>8599279.1999999993</v>
      </c>
      <c r="G63" s="832">
        <v>10442653.210000001</v>
      </c>
      <c r="H63" s="832">
        <v>11948074.800000001</v>
      </c>
      <c r="I63" s="832">
        <v>15879918.060000001</v>
      </c>
      <c r="J63" s="832">
        <v>8560708.0500000007</v>
      </c>
      <c r="K63" s="832">
        <v>14005403.800000001</v>
      </c>
      <c r="L63" s="832">
        <v>16143925.199999999</v>
      </c>
      <c r="M63" s="832">
        <v>17614774.100000001</v>
      </c>
      <c r="N63" s="832">
        <v>17831893.280000001</v>
      </c>
      <c r="O63" s="832">
        <v>150174085.63</v>
      </c>
    </row>
    <row r="64" spans="2:15" outlineLevel="4">
      <c r="B64" s="831" t="s">
        <v>3639</v>
      </c>
      <c r="C64" s="832">
        <v>0</v>
      </c>
      <c r="D64" s="832">
        <v>0</v>
      </c>
      <c r="E64" s="832">
        <v>194.94</v>
      </c>
      <c r="F64" s="832">
        <v>0</v>
      </c>
      <c r="G64" s="832">
        <v>0</v>
      </c>
      <c r="H64" s="832">
        <v>447.96</v>
      </c>
      <c r="I64" s="832">
        <v>0</v>
      </c>
      <c r="J64" s="832">
        <v>0</v>
      </c>
      <c r="K64" s="832">
        <v>0</v>
      </c>
      <c r="L64" s="832">
        <v>0</v>
      </c>
      <c r="M64" s="832">
        <v>95.56</v>
      </c>
      <c r="N64" s="832">
        <v>0</v>
      </c>
      <c r="O64" s="832">
        <v>738.46</v>
      </c>
    </row>
    <row r="65" spans="2:16" outlineLevel="3">
      <c r="B65" s="831" t="s">
        <v>4172</v>
      </c>
      <c r="C65" s="832">
        <v>10217290.029999999</v>
      </c>
      <c r="D65" s="832">
        <v>9354896.7799999993</v>
      </c>
      <c r="E65" s="832">
        <v>9575464.0600000005</v>
      </c>
      <c r="F65" s="832">
        <v>8599279.1999999993</v>
      </c>
      <c r="G65" s="832">
        <v>10442653.210000001</v>
      </c>
      <c r="H65" s="832">
        <v>11948522.76</v>
      </c>
      <c r="I65" s="832">
        <v>15879918.060000001</v>
      </c>
      <c r="J65" s="832">
        <v>8560708.0500000007</v>
      </c>
      <c r="K65" s="832">
        <v>14005403.800000001</v>
      </c>
      <c r="L65" s="832">
        <v>16143925.199999999</v>
      </c>
      <c r="M65" s="832">
        <v>17614869.66</v>
      </c>
      <c r="N65" s="832">
        <v>17831893.280000001</v>
      </c>
      <c r="O65" s="832">
        <v>150174824.09</v>
      </c>
      <c r="P65" s="804" t="s">
        <v>3640</v>
      </c>
    </row>
    <row r="66" spans="2:16" outlineLevel="5">
      <c r="B66" s="831" t="s">
        <v>3641</v>
      </c>
      <c r="C66" s="832">
        <v>0</v>
      </c>
      <c r="D66" s="832">
        <v>0</v>
      </c>
      <c r="E66" s="832">
        <v>0</v>
      </c>
      <c r="F66" s="832">
        <v>0</v>
      </c>
      <c r="G66" s="832">
        <v>0</v>
      </c>
      <c r="H66" s="832">
        <v>0</v>
      </c>
      <c r="I66" s="832">
        <v>0</v>
      </c>
      <c r="J66" s="832">
        <v>0</v>
      </c>
      <c r="K66" s="832">
        <v>24090</v>
      </c>
      <c r="L66" s="832">
        <v>-12041.02</v>
      </c>
      <c r="M66" s="832">
        <v>-4011.04</v>
      </c>
      <c r="N66" s="832">
        <v>46289.16</v>
      </c>
      <c r="O66" s="832">
        <v>54327.1</v>
      </c>
      <c r="P66" s="805" t="s">
        <v>3642</v>
      </c>
    </row>
    <row r="67" spans="2:16" outlineLevel="5">
      <c r="B67" s="831" t="s">
        <v>3643</v>
      </c>
      <c r="C67" s="832">
        <v>0</v>
      </c>
      <c r="D67" s="832">
        <v>0</v>
      </c>
      <c r="E67" s="832">
        <v>0</v>
      </c>
      <c r="F67" s="832">
        <v>0</v>
      </c>
      <c r="G67" s="832">
        <v>0</v>
      </c>
      <c r="H67" s="832">
        <v>0</v>
      </c>
      <c r="I67" s="832">
        <v>0</v>
      </c>
      <c r="J67" s="832">
        <v>404.9</v>
      </c>
      <c r="K67" s="832">
        <v>0</v>
      </c>
      <c r="L67" s="832">
        <v>0</v>
      </c>
      <c r="M67" s="832">
        <v>0</v>
      </c>
      <c r="N67" s="832">
        <v>0</v>
      </c>
      <c r="O67" s="832">
        <v>404.9</v>
      </c>
      <c r="P67" s="805" t="s">
        <v>3642</v>
      </c>
    </row>
    <row r="68" spans="2:16" outlineLevel="5">
      <c r="B68" s="831" t="s">
        <v>4392</v>
      </c>
      <c r="C68" s="832">
        <v>0</v>
      </c>
      <c r="D68" s="832">
        <v>0</v>
      </c>
      <c r="E68" s="832">
        <v>0</v>
      </c>
      <c r="F68" s="832">
        <v>2000</v>
      </c>
      <c r="G68" s="832">
        <v>0</v>
      </c>
      <c r="H68" s="832">
        <v>0</v>
      </c>
      <c r="I68" s="832">
        <v>0</v>
      </c>
      <c r="J68" s="832">
        <v>0</v>
      </c>
      <c r="K68" s="832">
        <v>0</v>
      </c>
      <c r="L68" s="832">
        <v>0</v>
      </c>
      <c r="M68" s="832">
        <v>0</v>
      </c>
      <c r="N68" s="832">
        <v>0</v>
      </c>
      <c r="O68" s="832">
        <v>2000</v>
      </c>
      <c r="P68" s="805" t="s">
        <v>3642</v>
      </c>
    </row>
    <row r="69" spans="2:16" outlineLevel="5">
      <c r="B69" s="831" t="s">
        <v>3644</v>
      </c>
      <c r="C69" s="832">
        <v>98262.59</v>
      </c>
      <c r="D69" s="832">
        <v>124238.23</v>
      </c>
      <c r="E69" s="832">
        <v>104674.89</v>
      </c>
      <c r="F69" s="832">
        <v>108867.91</v>
      </c>
      <c r="G69" s="832">
        <v>101803.32</v>
      </c>
      <c r="H69" s="832">
        <v>93481.09</v>
      </c>
      <c r="I69" s="832">
        <v>62780.3</v>
      </c>
      <c r="J69" s="832">
        <v>102398.12</v>
      </c>
      <c r="K69" s="832">
        <v>83246.36</v>
      </c>
      <c r="L69" s="832">
        <v>92091.15</v>
      </c>
      <c r="M69" s="832">
        <v>73371.460000000006</v>
      </c>
      <c r="N69" s="832">
        <v>82489</v>
      </c>
      <c r="O69" s="832">
        <v>1127704.42</v>
      </c>
      <c r="P69" s="805" t="s">
        <v>3642</v>
      </c>
    </row>
    <row r="70" spans="2:16" outlineLevel="5">
      <c r="B70" s="831" t="s">
        <v>3645</v>
      </c>
      <c r="C70" s="832">
        <v>28090.69</v>
      </c>
      <c r="D70" s="832">
        <v>38383.870000000003</v>
      </c>
      <c r="E70" s="832">
        <v>40284.01</v>
      </c>
      <c r="F70" s="832">
        <v>38323.94</v>
      </c>
      <c r="G70" s="832">
        <v>43655.35</v>
      </c>
      <c r="H70" s="832">
        <v>38317.839999999997</v>
      </c>
      <c r="I70" s="832">
        <v>47153.85</v>
      </c>
      <c r="J70" s="832">
        <v>46974.02</v>
      </c>
      <c r="K70" s="832">
        <v>49219.86</v>
      </c>
      <c r="L70" s="832">
        <v>77996.84</v>
      </c>
      <c r="M70" s="832">
        <v>44510.09</v>
      </c>
      <c r="N70" s="832">
        <v>49269.31</v>
      </c>
      <c r="O70" s="832">
        <v>542179.67000000004</v>
      </c>
      <c r="P70" s="805" t="s">
        <v>3642</v>
      </c>
    </row>
    <row r="71" spans="2:16" outlineLevel="5">
      <c r="B71" s="831" t="s">
        <v>3646</v>
      </c>
      <c r="C71" s="832">
        <v>2977.62</v>
      </c>
      <c r="D71" s="832">
        <v>3469.63</v>
      </c>
      <c r="E71" s="832">
        <v>2469.54</v>
      </c>
      <c r="F71" s="832">
        <v>5046.67</v>
      </c>
      <c r="G71" s="832">
        <v>6121.57</v>
      </c>
      <c r="H71" s="832">
        <v>11720.7</v>
      </c>
      <c r="I71" s="832">
        <v>10246.07</v>
      </c>
      <c r="J71" s="832">
        <v>7795.04</v>
      </c>
      <c r="K71" s="832">
        <v>6926.54</v>
      </c>
      <c r="L71" s="832">
        <v>6421.69</v>
      </c>
      <c r="M71" s="832">
        <v>3639.24</v>
      </c>
      <c r="N71" s="832">
        <v>6282.72</v>
      </c>
      <c r="O71" s="832">
        <v>73117.03</v>
      </c>
      <c r="P71" s="805" t="s">
        <v>3642</v>
      </c>
    </row>
    <row r="72" spans="2:16" outlineLevel="5">
      <c r="B72" s="831" t="s">
        <v>3647</v>
      </c>
      <c r="C72" s="832">
        <v>20302</v>
      </c>
      <c r="D72" s="832">
        <v>15876.35</v>
      </c>
      <c r="E72" s="832">
        <v>22215.040000000001</v>
      </c>
      <c r="F72" s="832">
        <v>97714.36</v>
      </c>
      <c r="G72" s="832">
        <v>147194.35999999999</v>
      </c>
      <c r="H72" s="832">
        <v>11026.27</v>
      </c>
      <c r="I72" s="832">
        <v>8664.69</v>
      </c>
      <c r="J72" s="832">
        <v>-990.85</v>
      </c>
      <c r="K72" s="832">
        <v>22969.35</v>
      </c>
      <c r="L72" s="832">
        <v>102930.81</v>
      </c>
      <c r="M72" s="832">
        <v>24478.7</v>
      </c>
      <c r="N72" s="832">
        <v>7379.79</v>
      </c>
      <c r="O72" s="832">
        <v>479760.87</v>
      </c>
      <c r="P72" s="805" t="s">
        <v>3642</v>
      </c>
    </row>
    <row r="73" spans="2:16" outlineLevel="5">
      <c r="B73" s="831" t="s">
        <v>3648</v>
      </c>
      <c r="C73" s="832">
        <v>0</v>
      </c>
      <c r="D73" s="832">
        <v>0</v>
      </c>
      <c r="E73" s="832">
        <v>0</v>
      </c>
      <c r="F73" s="832">
        <v>0</v>
      </c>
      <c r="G73" s="832">
        <v>0</v>
      </c>
      <c r="H73" s="832">
        <v>-19353.080000000002</v>
      </c>
      <c r="I73" s="832">
        <v>0</v>
      </c>
      <c r="J73" s="832">
        <v>755</v>
      </c>
      <c r="K73" s="832">
        <v>0</v>
      </c>
      <c r="L73" s="832">
        <v>0</v>
      </c>
      <c r="M73" s="832">
        <v>0</v>
      </c>
      <c r="N73" s="832">
        <v>0</v>
      </c>
      <c r="O73" s="832">
        <v>-18598.080000000002</v>
      </c>
      <c r="P73" s="805" t="s">
        <v>3642</v>
      </c>
    </row>
    <row r="74" spans="2:16" outlineLevel="5">
      <c r="B74" s="831" t="s">
        <v>3649</v>
      </c>
      <c r="C74" s="832">
        <v>0</v>
      </c>
      <c r="D74" s="832">
        <v>0</v>
      </c>
      <c r="E74" s="832">
        <v>0</v>
      </c>
      <c r="F74" s="832">
        <v>714.28</v>
      </c>
      <c r="G74" s="832">
        <v>518.54</v>
      </c>
      <c r="H74" s="832">
        <v>171.63</v>
      </c>
      <c r="I74" s="832">
        <v>701.14</v>
      </c>
      <c r="J74" s="832">
        <v>879.85</v>
      </c>
      <c r="K74" s="832">
        <v>537.19000000000005</v>
      </c>
      <c r="L74" s="832">
        <v>623.65</v>
      </c>
      <c r="M74" s="832">
        <v>539.65</v>
      </c>
      <c r="N74" s="832">
        <v>264.33</v>
      </c>
      <c r="O74" s="832">
        <v>4950.26</v>
      </c>
      <c r="P74" s="805" t="s">
        <v>3642</v>
      </c>
    </row>
    <row r="75" spans="2:16" outlineLevel="5">
      <c r="B75" s="831" t="s">
        <v>3650</v>
      </c>
      <c r="C75" s="832">
        <v>289.7</v>
      </c>
      <c r="D75" s="832">
        <v>344.74</v>
      </c>
      <c r="E75" s="832">
        <v>0</v>
      </c>
      <c r="F75" s="832">
        <v>0</v>
      </c>
      <c r="G75" s="832">
        <v>-2000</v>
      </c>
      <c r="H75" s="832">
        <v>2169.44</v>
      </c>
      <c r="I75" s="832">
        <v>0</v>
      </c>
      <c r="J75" s="832">
        <v>240.42</v>
      </c>
      <c r="K75" s="832">
        <v>-44.4</v>
      </c>
      <c r="L75" s="832">
        <v>182.18</v>
      </c>
      <c r="M75" s="832">
        <v>345.5</v>
      </c>
      <c r="N75" s="832">
        <v>656.21</v>
      </c>
      <c r="O75" s="832">
        <v>2183.79</v>
      </c>
      <c r="P75" s="805" t="s">
        <v>3642</v>
      </c>
    </row>
    <row r="76" spans="2:16" outlineLevel="5">
      <c r="B76" s="831" t="s">
        <v>3651</v>
      </c>
      <c r="C76" s="832">
        <v>6588.15</v>
      </c>
      <c r="D76" s="832">
        <v>7163.17</v>
      </c>
      <c r="E76" s="832">
        <v>7033.71</v>
      </c>
      <c r="F76" s="832">
        <v>6493.03</v>
      </c>
      <c r="G76" s="832">
        <v>6800.4</v>
      </c>
      <c r="H76" s="832">
        <v>4746.25</v>
      </c>
      <c r="I76" s="832">
        <v>10250.85</v>
      </c>
      <c r="J76" s="832">
        <v>8757.56</v>
      </c>
      <c r="K76" s="832">
        <v>5966.63</v>
      </c>
      <c r="L76" s="832">
        <v>8724.26</v>
      </c>
      <c r="M76" s="832">
        <v>7422.43</v>
      </c>
      <c r="N76" s="832">
        <v>2579.87</v>
      </c>
      <c r="O76" s="832">
        <v>82526.31</v>
      </c>
      <c r="P76" s="805" t="s">
        <v>3642</v>
      </c>
    </row>
    <row r="77" spans="2:16" outlineLevel="5">
      <c r="B77" s="831" t="s">
        <v>3652</v>
      </c>
      <c r="C77" s="832">
        <v>48944.03</v>
      </c>
      <c r="D77" s="832">
        <v>50375.76</v>
      </c>
      <c r="E77" s="832">
        <v>64403.62</v>
      </c>
      <c r="F77" s="832">
        <v>46865.5</v>
      </c>
      <c r="G77" s="832">
        <v>44272.31</v>
      </c>
      <c r="H77" s="832">
        <v>46633.39</v>
      </c>
      <c r="I77" s="832">
        <v>66570.61</v>
      </c>
      <c r="J77" s="832">
        <v>96772.22</v>
      </c>
      <c r="K77" s="832">
        <v>57265.4</v>
      </c>
      <c r="L77" s="832">
        <v>55901.78</v>
      </c>
      <c r="M77" s="832">
        <v>53409.27</v>
      </c>
      <c r="N77" s="832">
        <v>49945.19</v>
      </c>
      <c r="O77" s="832">
        <v>681359.08</v>
      </c>
      <c r="P77" s="805" t="s">
        <v>3642</v>
      </c>
    </row>
    <row r="78" spans="2:16" outlineLevel="5">
      <c r="B78" s="831" t="s">
        <v>3653</v>
      </c>
      <c r="C78" s="832">
        <v>319247.90999999997</v>
      </c>
      <c r="D78" s="832">
        <v>115063.78</v>
      </c>
      <c r="E78" s="832">
        <v>157748.69</v>
      </c>
      <c r="F78" s="832">
        <v>149489.01999999999</v>
      </c>
      <c r="G78" s="832">
        <v>108441.02</v>
      </c>
      <c r="H78" s="832">
        <v>166597.93</v>
      </c>
      <c r="I78" s="832">
        <v>112572.51</v>
      </c>
      <c r="J78" s="832">
        <v>175884.51</v>
      </c>
      <c r="K78" s="832">
        <v>153955.16</v>
      </c>
      <c r="L78" s="832">
        <v>89368.56</v>
      </c>
      <c r="M78" s="832">
        <v>158834.12</v>
      </c>
      <c r="N78" s="832">
        <v>160538.65</v>
      </c>
      <c r="O78" s="832">
        <v>1867741.86</v>
      </c>
      <c r="P78" s="805" t="s">
        <v>3642</v>
      </c>
    </row>
    <row r="79" spans="2:16" outlineLevel="5">
      <c r="B79" s="831" t="s">
        <v>4173</v>
      </c>
      <c r="C79" s="832">
        <v>13105.07</v>
      </c>
      <c r="D79" s="832">
        <v>3211.23</v>
      </c>
      <c r="E79" s="832">
        <v>-3106.75</v>
      </c>
      <c r="F79" s="832">
        <v>2731.12</v>
      </c>
      <c r="G79" s="832">
        <v>3909.53</v>
      </c>
      <c r="H79" s="832">
        <v>6560.28</v>
      </c>
      <c r="I79" s="832">
        <v>-1571.85</v>
      </c>
      <c r="J79" s="832">
        <v>-4580.97</v>
      </c>
      <c r="K79" s="832">
        <v>3773.46</v>
      </c>
      <c r="L79" s="832">
        <v>-5155.29</v>
      </c>
      <c r="M79" s="832">
        <v>-2323.46</v>
      </c>
      <c r="N79" s="832">
        <v>44.62</v>
      </c>
      <c r="O79" s="832">
        <v>16596.990000000002</v>
      </c>
      <c r="P79" s="805" t="s">
        <v>3642</v>
      </c>
    </row>
    <row r="80" spans="2:16" outlineLevel="5">
      <c r="B80" s="831" t="s">
        <v>3654</v>
      </c>
      <c r="C80" s="832">
        <v>9503.91</v>
      </c>
      <c r="D80" s="832">
        <v>15537.93</v>
      </c>
      <c r="E80" s="832">
        <v>23440.03</v>
      </c>
      <c r="F80" s="832">
        <v>14981.7</v>
      </c>
      <c r="G80" s="832">
        <v>17811.080000000002</v>
      </c>
      <c r="H80" s="832">
        <v>17320.09</v>
      </c>
      <c r="I80" s="832">
        <v>17013.91</v>
      </c>
      <c r="J80" s="832">
        <v>29646.959999999999</v>
      </c>
      <c r="K80" s="832">
        <v>21365.05</v>
      </c>
      <c r="L80" s="832">
        <v>20703.71</v>
      </c>
      <c r="M80" s="832">
        <v>24787.96</v>
      </c>
      <c r="N80" s="832">
        <v>6975.66</v>
      </c>
      <c r="O80" s="832">
        <v>219087.99</v>
      </c>
      <c r="P80" s="805" t="s">
        <v>3642</v>
      </c>
    </row>
    <row r="81" spans="2:16" outlineLevel="5">
      <c r="B81" s="831" t="s">
        <v>3655</v>
      </c>
      <c r="C81" s="832">
        <v>123576.18</v>
      </c>
      <c r="D81" s="832">
        <v>10230.43</v>
      </c>
      <c r="E81" s="832">
        <v>23424.53</v>
      </c>
      <c r="F81" s="832">
        <v>29266.47</v>
      </c>
      <c r="G81" s="832">
        <v>88704.62</v>
      </c>
      <c r="H81" s="832">
        <v>46760.800000000003</v>
      </c>
      <c r="I81" s="832">
        <v>9192.5400000000009</v>
      </c>
      <c r="J81" s="832">
        <v>-418.88</v>
      </c>
      <c r="K81" s="832">
        <v>19268.78</v>
      </c>
      <c r="L81" s="832">
        <v>21902.87</v>
      </c>
      <c r="M81" s="832">
        <v>66790.64</v>
      </c>
      <c r="N81" s="832">
        <v>41079.99</v>
      </c>
      <c r="O81" s="832">
        <v>479778.97</v>
      </c>
      <c r="P81" s="805" t="s">
        <v>3642</v>
      </c>
    </row>
    <row r="82" spans="2:16" outlineLevel="5">
      <c r="B82" s="831" t="s">
        <v>3656</v>
      </c>
      <c r="C82" s="832">
        <v>-10243.379999999999</v>
      </c>
      <c r="D82" s="832">
        <v>28294.45</v>
      </c>
      <c r="E82" s="832">
        <v>20690.79</v>
      </c>
      <c r="F82" s="832">
        <v>22069.63</v>
      </c>
      <c r="G82" s="832">
        <v>17193.04</v>
      </c>
      <c r="H82" s="832">
        <v>14617.48</v>
      </c>
      <c r="I82" s="832">
        <v>12426.86</v>
      </c>
      <c r="J82" s="832">
        <v>14276.25</v>
      </c>
      <c r="K82" s="832">
        <v>7578.71</v>
      </c>
      <c r="L82" s="832">
        <v>13355.89</v>
      </c>
      <c r="M82" s="832">
        <v>7802.91</v>
      </c>
      <c r="N82" s="832">
        <v>11791.98</v>
      </c>
      <c r="O82" s="832">
        <v>159854.60999999999</v>
      </c>
      <c r="P82" s="805" t="s">
        <v>3642</v>
      </c>
    </row>
    <row r="83" spans="2:16" outlineLevel="5">
      <c r="B83" s="831" t="s">
        <v>3657</v>
      </c>
      <c r="C83" s="832">
        <v>55684.27</v>
      </c>
      <c r="D83" s="832">
        <v>4341.88</v>
      </c>
      <c r="E83" s="832">
        <v>4957.49</v>
      </c>
      <c r="F83" s="832">
        <v>3665.08</v>
      </c>
      <c r="G83" s="832">
        <v>31294.57</v>
      </c>
      <c r="H83" s="832">
        <v>4076.33</v>
      </c>
      <c r="I83" s="832">
        <v>6155.16</v>
      </c>
      <c r="J83" s="832">
        <v>13661.49</v>
      </c>
      <c r="K83" s="832">
        <v>11304.21</v>
      </c>
      <c r="L83" s="832">
        <v>15833.61</v>
      </c>
      <c r="M83" s="832">
        <v>5123.83</v>
      </c>
      <c r="N83" s="832">
        <v>7438.8</v>
      </c>
      <c r="O83" s="832">
        <v>163536.72</v>
      </c>
      <c r="P83" s="805" t="s">
        <v>3642</v>
      </c>
    </row>
    <row r="84" spans="2:16" outlineLevel="5">
      <c r="B84" s="831" t="s">
        <v>3658</v>
      </c>
      <c r="C84" s="832">
        <v>156440.45000000001</v>
      </c>
      <c r="D84" s="832">
        <v>257866.68</v>
      </c>
      <c r="E84" s="832">
        <v>303749.98</v>
      </c>
      <c r="F84" s="832">
        <v>223767.31</v>
      </c>
      <c r="G84" s="832">
        <v>240516.67</v>
      </c>
      <c r="H84" s="832">
        <v>172465.34</v>
      </c>
      <c r="I84" s="832">
        <v>196976.33</v>
      </c>
      <c r="J84" s="832">
        <v>221439.48</v>
      </c>
      <c r="K84" s="832">
        <v>191409.73</v>
      </c>
      <c r="L84" s="832">
        <v>215837.09</v>
      </c>
      <c r="M84" s="832">
        <v>224840.01</v>
      </c>
      <c r="N84" s="832">
        <v>197499.73</v>
      </c>
      <c r="O84" s="832">
        <v>2602808.7999999998</v>
      </c>
      <c r="P84" s="805" t="s">
        <v>3642</v>
      </c>
    </row>
    <row r="85" spans="2:16" outlineLevel="5">
      <c r="B85" s="831" t="s">
        <v>3659</v>
      </c>
      <c r="C85" s="832">
        <v>9344.66</v>
      </c>
      <c r="D85" s="832">
        <v>17520.59</v>
      </c>
      <c r="E85" s="832">
        <v>16142.05</v>
      </c>
      <c r="F85" s="832">
        <v>18620.419999999998</v>
      </c>
      <c r="G85" s="832">
        <v>7482.94</v>
      </c>
      <c r="H85" s="832">
        <v>3871.08</v>
      </c>
      <c r="I85" s="832">
        <v>17389.419999999998</v>
      </c>
      <c r="J85" s="832">
        <v>18234.080000000002</v>
      </c>
      <c r="K85" s="832">
        <v>11530.42</v>
      </c>
      <c r="L85" s="832">
        <v>22982.39</v>
      </c>
      <c r="M85" s="832">
        <v>15142.26</v>
      </c>
      <c r="N85" s="832">
        <v>19180.98</v>
      </c>
      <c r="O85" s="832">
        <v>177441.29</v>
      </c>
      <c r="P85" s="805" t="s">
        <v>3642</v>
      </c>
    </row>
    <row r="86" spans="2:16" outlineLevel="5">
      <c r="B86" s="831" t="s">
        <v>3660</v>
      </c>
      <c r="C86" s="832">
        <v>301.93</v>
      </c>
      <c r="D86" s="832">
        <v>0</v>
      </c>
      <c r="E86" s="832">
        <v>6666.21</v>
      </c>
      <c r="F86" s="832">
        <v>513.83000000000004</v>
      </c>
      <c r="G86" s="832">
        <v>0</v>
      </c>
      <c r="H86" s="832">
        <v>0</v>
      </c>
      <c r="I86" s="832">
        <v>0</v>
      </c>
      <c r="J86" s="832">
        <v>0</v>
      </c>
      <c r="K86" s="832">
        <v>0</v>
      </c>
      <c r="L86" s="832">
        <v>446.81</v>
      </c>
      <c r="M86" s="832">
        <v>0</v>
      </c>
      <c r="N86" s="832">
        <v>0</v>
      </c>
      <c r="O86" s="832">
        <v>7928.78</v>
      </c>
      <c r="P86" s="805" t="s">
        <v>3642</v>
      </c>
    </row>
    <row r="87" spans="2:16" s="858" customFormat="1" outlineLevel="5">
      <c r="B87" s="831" t="s">
        <v>3661</v>
      </c>
      <c r="C87" s="832">
        <v>26658</v>
      </c>
      <c r="D87" s="832">
        <v>26658</v>
      </c>
      <c r="E87" s="832">
        <v>26658</v>
      </c>
      <c r="F87" s="832">
        <v>26658</v>
      </c>
      <c r="G87" s="832">
        <v>26658</v>
      </c>
      <c r="H87" s="832">
        <v>26658</v>
      </c>
      <c r="I87" s="832">
        <v>26658</v>
      </c>
      <c r="J87" s="832">
        <v>26658</v>
      </c>
      <c r="K87" s="832">
        <v>26658</v>
      </c>
      <c r="L87" s="832">
        <v>26658</v>
      </c>
      <c r="M87" s="832">
        <v>26658</v>
      </c>
      <c r="N87" s="832">
        <v>26658</v>
      </c>
      <c r="O87" s="832">
        <v>319896</v>
      </c>
      <c r="P87" s="857" t="s">
        <v>3642</v>
      </c>
    </row>
    <row r="88" spans="2:16" outlineLevel="5">
      <c r="B88" s="831" t="s">
        <v>3662</v>
      </c>
      <c r="C88" s="832">
        <v>93166.41</v>
      </c>
      <c r="D88" s="832">
        <v>85812.86</v>
      </c>
      <c r="E88" s="832">
        <v>103560.98</v>
      </c>
      <c r="F88" s="832">
        <v>89871.39</v>
      </c>
      <c r="G88" s="832">
        <v>80998.52</v>
      </c>
      <c r="H88" s="832">
        <v>59203.33</v>
      </c>
      <c r="I88" s="832">
        <v>97030.84</v>
      </c>
      <c r="J88" s="832">
        <v>93288.75</v>
      </c>
      <c r="K88" s="832">
        <v>107109.66</v>
      </c>
      <c r="L88" s="832">
        <v>135654.22</v>
      </c>
      <c r="M88" s="832">
        <v>131160.12</v>
      </c>
      <c r="N88" s="832">
        <v>82784.05</v>
      </c>
      <c r="O88" s="832">
        <v>1159641.1299999999</v>
      </c>
      <c r="P88" s="805" t="s">
        <v>3642</v>
      </c>
    </row>
    <row r="89" spans="2:16" outlineLevel="5">
      <c r="B89" s="831" t="s">
        <v>3663</v>
      </c>
      <c r="C89" s="832">
        <v>0</v>
      </c>
      <c r="D89" s="832">
        <v>0</v>
      </c>
      <c r="E89" s="832">
        <v>0</v>
      </c>
      <c r="F89" s="832">
        <v>0</v>
      </c>
      <c r="G89" s="832">
        <v>0</v>
      </c>
      <c r="H89" s="832">
        <v>0</v>
      </c>
      <c r="I89" s="832">
        <v>0</v>
      </c>
      <c r="J89" s="832">
        <v>0</v>
      </c>
      <c r="K89" s="832">
        <v>0</v>
      </c>
      <c r="L89" s="832">
        <v>0</v>
      </c>
      <c r="M89" s="832">
        <v>0</v>
      </c>
      <c r="N89" s="832">
        <v>468</v>
      </c>
      <c r="O89" s="832">
        <v>468</v>
      </c>
      <c r="P89" s="805" t="s">
        <v>3642</v>
      </c>
    </row>
    <row r="90" spans="2:16" outlineLevel="5">
      <c r="B90" s="831" t="s">
        <v>3664</v>
      </c>
      <c r="C90" s="832">
        <v>331501.07</v>
      </c>
      <c r="D90" s="832">
        <v>47265.05</v>
      </c>
      <c r="E90" s="832">
        <v>145685.59</v>
      </c>
      <c r="F90" s="832">
        <v>161602.95000000001</v>
      </c>
      <c r="G90" s="832">
        <v>111710.5</v>
      </c>
      <c r="H90" s="832">
        <v>188110.2</v>
      </c>
      <c r="I90" s="832">
        <v>126521.42</v>
      </c>
      <c r="J90" s="832">
        <v>173218.14</v>
      </c>
      <c r="K90" s="832">
        <v>161201.47</v>
      </c>
      <c r="L90" s="832">
        <v>107779.97</v>
      </c>
      <c r="M90" s="832">
        <v>97801.24</v>
      </c>
      <c r="N90" s="832">
        <v>218131.44</v>
      </c>
      <c r="O90" s="832">
        <v>1870529.04</v>
      </c>
      <c r="P90" s="805" t="s">
        <v>3642</v>
      </c>
    </row>
    <row r="91" spans="2:16" outlineLevel="5">
      <c r="B91" s="831" t="s">
        <v>3665</v>
      </c>
      <c r="C91" s="832">
        <v>136528.93</v>
      </c>
      <c r="D91" s="832">
        <v>-32645.17</v>
      </c>
      <c r="E91" s="832">
        <v>-9679.98</v>
      </c>
      <c r="F91" s="832">
        <v>36663.86</v>
      </c>
      <c r="G91" s="832">
        <v>52312.11</v>
      </c>
      <c r="H91" s="832">
        <v>59614.97</v>
      </c>
      <c r="I91" s="832">
        <v>-67918.73</v>
      </c>
      <c r="J91" s="832">
        <v>-7146.95</v>
      </c>
      <c r="K91" s="832">
        <v>8294.51</v>
      </c>
      <c r="L91" s="832">
        <v>-14905.3</v>
      </c>
      <c r="M91" s="832">
        <v>-4470.01</v>
      </c>
      <c r="N91" s="832">
        <v>34272.15</v>
      </c>
      <c r="O91" s="832">
        <v>190920.39</v>
      </c>
      <c r="P91" s="805" t="s">
        <v>3642</v>
      </c>
    </row>
    <row r="92" spans="2:16" outlineLevel="5">
      <c r="B92" s="831" t="s">
        <v>3666</v>
      </c>
      <c r="C92" s="832">
        <v>71613.009999999995</v>
      </c>
      <c r="D92" s="832">
        <v>158396.79</v>
      </c>
      <c r="E92" s="832">
        <v>113451.05</v>
      </c>
      <c r="F92" s="832">
        <v>111781.42</v>
      </c>
      <c r="G92" s="832">
        <v>99911.5</v>
      </c>
      <c r="H92" s="832">
        <v>110530.59</v>
      </c>
      <c r="I92" s="832">
        <v>142351.04000000001</v>
      </c>
      <c r="J92" s="832">
        <v>138150.39999999999</v>
      </c>
      <c r="K92" s="832">
        <v>122808.66</v>
      </c>
      <c r="L92" s="832">
        <v>137694.06</v>
      </c>
      <c r="M92" s="832">
        <v>133269.53</v>
      </c>
      <c r="N92" s="832">
        <v>138267.5</v>
      </c>
      <c r="O92" s="832">
        <v>1478225.55</v>
      </c>
      <c r="P92" s="805" t="s">
        <v>3642</v>
      </c>
    </row>
    <row r="93" spans="2:16" outlineLevel="5">
      <c r="B93" s="831" t="s">
        <v>3667</v>
      </c>
      <c r="C93" s="832">
        <v>102805.07</v>
      </c>
      <c r="D93" s="832">
        <v>147512.72</v>
      </c>
      <c r="E93" s="832">
        <v>136418.12</v>
      </c>
      <c r="F93" s="832">
        <v>149073.78</v>
      </c>
      <c r="G93" s="832">
        <v>152995.57</v>
      </c>
      <c r="H93" s="832">
        <v>146920.53</v>
      </c>
      <c r="I93" s="832">
        <v>142290.51</v>
      </c>
      <c r="J93" s="832">
        <v>129202.55</v>
      </c>
      <c r="K93" s="832">
        <v>101982.96</v>
      </c>
      <c r="L93" s="832">
        <v>176491.8</v>
      </c>
      <c r="M93" s="832">
        <v>176543.87</v>
      </c>
      <c r="N93" s="832">
        <v>173487.09</v>
      </c>
      <c r="O93" s="832">
        <v>1735724.57</v>
      </c>
      <c r="P93" s="805" t="s">
        <v>3642</v>
      </c>
    </row>
    <row r="94" spans="2:16" outlineLevel="5">
      <c r="B94" s="831" t="s">
        <v>3668</v>
      </c>
      <c r="C94" s="832">
        <v>-112914.53</v>
      </c>
      <c r="D94" s="832">
        <v>-37002.550000000003</v>
      </c>
      <c r="E94" s="832">
        <v>-1009.73</v>
      </c>
      <c r="F94" s="832">
        <v>24947.82</v>
      </c>
      <c r="G94" s="832">
        <v>159463.67000000001</v>
      </c>
      <c r="H94" s="832">
        <v>125563.93</v>
      </c>
      <c r="I94" s="832">
        <v>-38077.910000000003</v>
      </c>
      <c r="J94" s="832">
        <v>58467.07</v>
      </c>
      <c r="K94" s="832">
        <v>17201.009999999998</v>
      </c>
      <c r="L94" s="832">
        <v>142101.9</v>
      </c>
      <c r="M94" s="832">
        <v>74061.320000000007</v>
      </c>
      <c r="N94" s="832">
        <v>232479.5</v>
      </c>
      <c r="O94" s="832">
        <v>645281.5</v>
      </c>
      <c r="P94" s="805" t="s">
        <v>3642</v>
      </c>
    </row>
    <row r="95" spans="2:16" outlineLevel="5">
      <c r="B95" s="831" t="s">
        <v>3669</v>
      </c>
      <c r="C95" s="832">
        <v>103206.24</v>
      </c>
      <c r="D95" s="832">
        <v>114494.16</v>
      </c>
      <c r="E95" s="832">
        <v>81786.320000000007</v>
      </c>
      <c r="F95" s="832">
        <v>85415.18</v>
      </c>
      <c r="G95" s="832">
        <v>120889.07</v>
      </c>
      <c r="H95" s="832">
        <v>57832.07</v>
      </c>
      <c r="I95" s="832">
        <v>81053.52</v>
      </c>
      <c r="J95" s="832">
        <v>69245.850000000006</v>
      </c>
      <c r="K95" s="832">
        <v>76863.11</v>
      </c>
      <c r="L95" s="832">
        <v>44819.77</v>
      </c>
      <c r="M95" s="832">
        <v>83942.97</v>
      </c>
      <c r="N95" s="832">
        <v>70002.12</v>
      </c>
      <c r="O95" s="832">
        <v>989550.38</v>
      </c>
      <c r="P95" s="805" t="s">
        <v>3642</v>
      </c>
    </row>
    <row r="96" spans="2:16" outlineLevel="5">
      <c r="B96" s="831" t="s">
        <v>3670</v>
      </c>
      <c r="C96" s="832">
        <v>4698.8500000000004</v>
      </c>
      <c r="D96" s="832">
        <v>8131.16</v>
      </c>
      <c r="E96" s="832">
        <v>11250.68</v>
      </c>
      <c r="F96" s="832">
        <v>2258.17</v>
      </c>
      <c r="G96" s="832">
        <v>3529.44</v>
      </c>
      <c r="H96" s="832">
        <v>104.85</v>
      </c>
      <c r="I96" s="832">
        <v>12779.2</v>
      </c>
      <c r="J96" s="832">
        <v>-2444.0500000000002</v>
      </c>
      <c r="K96" s="832">
        <v>14272.31</v>
      </c>
      <c r="L96" s="832">
        <v>6197.51</v>
      </c>
      <c r="M96" s="832">
        <v>3393.74</v>
      </c>
      <c r="N96" s="832">
        <v>10111.91</v>
      </c>
      <c r="O96" s="832">
        <v>74283.77</v>
      </c>
      <c r="P96" s="805" t="s">
        <v>3642</v>
      </c>
    </row>
    <row r="97" spans="2:16" outlineLevel="5">
      <c r="B97" s="831" t="s">
        <v>3671</v>
      </c>
      <c r="C97" s="832">
        <v>243896.3</v>
      </c>
      <c r="D97" s="832">
        <v>229549.03</v>
      </c>
      <c r="E97" s="832">
        <v>286509.65000000002</v>
      </c>
      <c r="F97" s="832">
        <v>123244.7</v>
      </c>
      <c r="G97" s="832">
        <v>243524.19</v>
      </c>
      <c r="H97" s="832">
        <v>188772.62</v>
      </c>
      <c r="I97" s="832">
        <v>132171.10999999999</v>
      </c>
      <c r="J97" s="832">
        <v>45105.52</v>
      </c>
      <c r="K97" s="832">
        <v>253706</v>
      </c>
      <c r="L97" s="832">
        <v>124292.65</v>
      </c>
      <c r="M97" s="832">
        <v>254315.14</v>
      </c>
      <c r="N97" s="832">
        <v>287251.27</v>
      </c>
      <c r="O97" s="832">
        <v>2412338.1800000002</v>
      </c>
      <c r="P97" s="805" t="s">
        <v>3642</v>
      </c>
    </row>
    <row r="98" spans="2:16" outlineLevel="5">
      <c r="B98" s="831" t="s">
        <v>3672</v>
      </c>
      <c r="C98" s="832">
        <v>13828.2</v>
      </c>
      <c r="D98" s="832">
        <v>23918.49</v>
      </c>
      <c r="E98" s="832">
        <v>20590.38</v>
      </c>
      <c r="F98" s="832">
        <v>21093.84</v>
      </c>
      <c r="G98" s="832">
        <v>14625.43</v>
      </c>
      <c r="H98" s="832">
        <v>14796.66</v>
      </c>
      <c r="I98" s="832">
        <v>25620.89</v>
      </c>
      <c r="J98" s="832">
        <v>24614.37</v>
      </c>
      <c r="K98" s="832">
        <v>21106.12</v>
      </c>
      <c r="L98" s="832">
        <v>26558.1</v>
      </c>
      <c r="M98" s="832">
        <v>28674.34</v>
      </c>
      <c r="N98" s="832">
        <v>-4614.7299999999996</v>
      </c>
      <c r="O98" s="832">
        <v>230812.09</v>
      </c>
      <c r="P98" s="805" t="s">
        <v>3642</v>
      </c>
    </row>
    <row r="99" spans="2:16" outlineLevel="5">
      <c r="B99" s="831" t="s">
        <v>3673</v>
      </c>
      <c r="C99" s="832">
        <v>345043.81</v>
      </c>
      <c r="D99" s="832">
        <v>345406.33</v>
      </c>
      <c r="E99" s="832">
        <v>459990.49</v>
      </c>
      <c r="F99" s="832">
        <v>380464.35</v>
      </c>
      <c r="G99" s="832">
        <v>385439.03</v>
      </c>
      <c r="H99" s="832">
        <v>324023.92</v>
      </c>
      <c r="I99" s="832">
        <v>428464.27</v>
      </c>
      <c r="J99" s="832">
        <v>401659.75</v>
      </c>
      <c r="K99" s="832">
        <v>353503.67</v>
      </c>
      <c r="L99" s="832">
        <v>427013.54</v>
      </c>
      <c r="M99" s="832">
        <v>343665.28</v>
      </c>
      <c r="N99" s="832">
        <v>294046.15000000002</v>
      </c>
      <c r="O99" s="832">
        <v>4488720.59</v>
      </c>
      <c r="P99" s="805" t="s">
        <v>3642</v>
      </c>
    </row>
    <row r="100" spans="2:16" outlineLevel="5">
      <c r="B100" s="831" t="s">
        <v>3674</v>
      </c>
      <c r="C100" s="832">
        <v>0</v>
      </c>
      <c r="D100" s="832">
        <v>0</v>
      </c>
      <c r="E100" s="832">
        <v>0</v>
      </c>
      <c r="F100" s="832">
        <v>0</v>
      </c>
      <c r="G100" s="832">
        <v>0</v>
      </c>
      <c r="H100" s="832">
        <v>0</v>
      </c>
      <c r="I100" s="832">
        <v>0</v>
      </c>
      <c r="J100" s="832">
        <v>0</v>
      </c>
      <c r="K100" s="832">
        <v>0</v>
      </c>
      <c r="L100" s="832">
        <v>0</v>
      </c>
      <c r="M100" s="832">
        <v>0</v>
      </c>
      <c r="N100" s="832">
        <v>1332</v>
      </c>
      <c r="O100" s="832">
        <v>1332</v>
      </c>
      <c r="P100" s="805" t="s">
        <v>3642</v>
      </c>
    </row>
    <row r="101" spans="2:16" outlineLevel="5">
      <c r="B101" s="831" t="s">
        <v>3675</v>
      </c>
      <c r="C101" s="832">
        <v>66933.509999999995</v>
      </c>
      <c r="D101" s="832">
        <v>71691.070000000007</v>
      </c>
      <c r="E101" s="832">
        <v>58715.63</v>
      </c>
      <c r="F101" s="832">
        <v>65385.3</v>
      </c>
      <c r="G101" s="832">
        <v>61028.93</v>
      </c>
      <c r="H101" s="832">
        <v>53262.46</v>
      </c>
      <c r="I101" s="832">
        <v>73061.789999999994</v>
      </c>
      <c r="J101" s="832">
        <v>75573.210000000006</v>
      </c>
      <c r="K101" s="832">
        <v>49075.68</v>
      </c>
      <c r="L101" s="832">
        <v>53440.63</v>
      </c>
      <c r="M101" s="832">
        <v>43552.78</v>
      </c>
      <c r="N101" s="832">
        <v>49514.22</v>
      </c>
      <c r="O101" s="832">
        <v>721235.21</v>
      </c>
      <c r="P101" s="805" t="s">
        <v>3642</v>
      </c>
    </row>
    <row r="102" spans="2:16" outlineLevel="5">
      <c r="B102" s="831" t="s">
        <v>3676</v>
      </c>
      <c r="C102" s="832">
        <v>199134.62</v>
      </c>
      <c r="D102" s="832">
        <v>259551.52</v>
      </c>
      <c r="E102" s="832">
        <v>218115.17</v>
      </c>
      <c r="F102" s="832">
        <v>260142.44</v>
      </c>
      <c r="G102" s="832">
        <v>233170.97</v>
      </c>
      <c r="H102" s="832">
        <v>226941.45</v>
      </c>
      <c r="I102" s="832">
        <v>271718.21999999997</v>
      </c>
      <c r="J102" s="832">
        <v>250548.49</v>
      </c>
      <c r="K102" s="832">
        <v>247224.16</v>
      </c>
      <c r="L102" s="832">
        <v>254931.47</v>
      </c>
      <c r="M102" s="832">
        <v>245509.88</v>
      </c>
      <c r="N102" s="832">
        <v>246630.6</v>
      </c>
      <c r="O102" s="832">
        <v>2913618.99</v>
      </c>
      <c r="P102" s="805" t="s">
        <v>3642</v>
      </c>
    </row>
    <row r="103" spans="2:16" outlineLevel="5">
      <c r="B103" s="831" t="s">
        <v>3677</v>
      </c>
      <c r="C103" s="832">
        <v>752230.25</v>
      </c>
      <c r="D103" s="832">
        <v>816867.79</v>
      </c>
      <c r="E103" s="832">
        <v>847019.56</v>
      </c>
      <c r="F103" s="832">
        <v>835527.44</v>
      </c>
      <c r="G103" s="832">
        <v>756460.5</v>
      </c>
      <c r="H103" s="832">
        <v>762190.03</v>
      </c>
      <c r="I103" s="832">
        <v>845676.93</v>
      </c>
      <c r="J103" s="832">
        <v>860629.08</v>
      </c>
      <c r="K103" s="832">
        <v>895571.05</v>
      </c>
      <c r="L103" s="832">
        <v>920083.73</v>
      </c>
      <c r="M103" s="832">
        <v>807003.56</v>
      </c>
      <c r="N103" s="832">
        <v>775100.35</v>
      </c>
      <c r="O103" s="832">
        <v>9874360.2699999996</v>
      </c>
      <c r="P103" s="805" t="s">
        <v>3642</v>
      </c>
    </row>
    <row r="104" spans="2:16" s="833" customFormat="1" outlineLevel="5">
      <c r="B104" s="831" t="s">
        <v>3678</v>
      </c>
      <c r="C104" s="832">
        <v>-2393351.4900000002</v>
      </c>
      <c r="D104" s="832">
        <v>980578.01</v>
      </c>
      <c r="E104" s="832">
        <v>1695967.83</v>
      </c>
      <c r="F104" s="832">
        <v>509324.45</v>
      </c>
      <c r="G104" s="832">
        <v>597983.77</v>
      </c>
      <c r="H104" s="832">
        <v>882451.01</v>
      </c>
      <c r="I104" s="832">
        <v>797591.85</v>
      </c>
      <c r="J104" s="832">
        <v>1029889.84</v>
      </c>
      <c r="K104" s="832">
        <v>1624699.75</v>
      </c>
      <c r="L104" s="832">
        <v>711986.41</v>
      </c>
      <c r="M104" s="832">
        <v>1174862.01</v>
      </c>
      <c r="N104" s="832">
        <v>1665507.31</v>
      </c>
      <c r="O104" s="832">
        <v>9277490.75</v>
      </c>
      <c r="P104" s="787" t="s">
        <v>3642</v>
      </c>
    </row>
    <row r="105" spans="2:16" outlineLevel="5">
      <c r="B105" s="831" t="s">
        <v>3679</v>
      </c>
      <c r="C105" s="832">
        <v>401065.63</v>
      </c>
      <c r="D105" s="832">
        <v>383560.75</v>
      </c>
      <c r="E105" s="832">
        <v>402474.55</v>
      </c>
      <c r="F105" s="832">
        <v>403011.69</v>
      </c>
      <c r="G105" s="832">
        <v>439748.41</v>
      </c>
      <c r="H105" s="832">
        <v>426395.14</v>
      </c>
      <c r="I105" s="832">
        <v>413985.22</v>
      </c>
      <c r="J105" s="832">
        <v>420791.12</v>
      </c>
      <c r="K105" s="832">
        <v>459987.84</v>
      </c>
      <c r="L105" s="832">
        <v>458033.84</v>
      </c>
      <c r="M105" s="832">
        <v>456555.9</v>
      </c>
      <c r="N105" s="832">
        <v>464814.99</v>
      </c>
      <c r="O105" s="832">
        <v>5130425.08</v>
      </c>
      <c r="P105" s="805" t="s">
        <v>3642</v>
      </c>
    </row>
    <row r="106" spans="2:16" outlineLevel="5">
      <c r="B106" s="831" t="s">
        <v>3680</v>
      </c>
      <c r="C106" s="832">
        <v>2710581.95</v>
      </c>
      <c r="D106" s="832">
        <v>2320550.12</v>
      </c>
      <c r="E106" s="832">
        <v>1925425.33</v>
      </c>
      <c r="F106" s="832">
        <v>2112850.96</v>
      </c>
      <c r="G106" s="832">
        <v>2107340.64</v>
      </c>
      <c r="H106" s="832">
        <v>2051908.28</v>
      </c>
      <c r="I106" s="832">
        <v>2114966.08</v>
      </c>
      <c r="J106" s="832">
        <v>1911624.23</v>
      </c>
      <c r="K106" s="832">
        <v>2121502.0299999998</v>
      </c>
      <c r="L106" s="832">
        <v>1921186.7</v>
      </c>
      <c r="M106" s="832">
        <v>1986897.9199999999</v>
      </c>
      <c r="N106" s="832">
        <v>2156874.42</v>
      </c>
      <c r="O106" s="832">
        <v>25441708.66</v>
      </c>
      <c r="P106" s="805" t="s">
        <v>3642</v>
      </c>
    </row>
    <row r="107" spans="2:16" outlineLevel="5">
      <c r="B107" s="831" t="s">
        <v>3681</v>
      </c>
      <c r="C107" s="832">
        <v>19085.93</v>
      </c>
      <c r="D107" s="832">
        <v>82623.179999999993</v>
      </c>
      <c r="E107" s="832">
        <v>52219.23</v>
      </c>
      <c r="F107" s="832">
        <v>42329.88</v>
      </c>
      <c r="G107" s="832">
        <v>65900.27</v>
      </c>
      <c r="H107" s="832">
        <v>37555.33</v>
      </c>
      <c r="I107" s="832">
        <v>35865.03</v>
      </c>
      <c r="J107" s="832">
        <v>28180.240000000002</v>
      </c>
      <c r="K107" s="832">
        <v>23648.32</v>
      </c>
      <c r="L107" s="832">
        <v>17637.939999999999</v>
      </c>
      <c r="M107" s="832">
        <v>9936.68</v>
      </c>
      <c r="N107" s="832">
        <v>14400.43</v>
      </c>
      <c r="O107" s="832">
        <v>429382.46</v>
      </c>
      <c r="P107" s="805" t="s">
        <v>3642</v>
      </c>
    </row>
    <row r="108" spans="2:16" outlineLevel="5">
      <c r="B108" s="831" t="s">
        <v>3682</v>
      </c>
      <c r="C108" s="832">
        <v>1879668.36</v>
      </c>
      <c r="D108" s="832">
        <v>1881653.79</v>
      </c>
      <c r="E108" s="832">
        <v>1885672.92</v>
      </c>
      <c r="F108" s="832">
        <v>1651091.84</v>
      </c>
      <c r="G108" s="832">
        <v>1651832.46</v>
      </c>
      <c r="H108" s="832">
        <v>1647802.4</v>
      </c>
      <c r="I108" s="832">
        <v>1653161.59</v>
      </c>
      <c r="J108" s="832">
        <v>1655991.79</v>
      </c>
      <c r="K108" s="832">
        <v>1652076.74</v>
      </c>
      <c r="L108" s="832">
        <v>1651572.46</v>
      </c>
      <c r="M108" s="832">
        <v>1651036.68</v>
      </c>
      <c r="N108" s="832">
        <v>1654224.79</v>
      </c>
      <c r="O108" s="832">
        <v>20515785.82</v>
      </c>
      <c r="P108" s="805" t="s">
        <v>3642</v>
      </c>
    </row>
    <row r="109" spans="2:16" outlineLevel="5">
      <c r="B109" s="831" t="s">
        <v>3683</v>
      </c>
      <c r="C109" s="832">
        <v>122483.8</v>
      </c>
      <c r="D109" s="832">
        <v>786643.99</v>
      </c>
      <c r="E109" s="832">
        <v>25723.58</v>
      </c>
      <c r="F109" s="832">
        <v>241628.83</v>
      </c>
      <c r="G109" s="832">
        <v>38536.410000000003</v>
      </c>
      <c r="H109" s="832">
        <v>51803.31</v>
      </c>
      <c r="I109" s="832">
        <v>560893.98</v>
      </c>
      <c r="J109" s="832">
        <v>63540.639999999999</v>
      </c>
      <c r="K109" s="832">
        <v>429185.36</v>
      </c>
      <c r="L109" s="832">
        <v>74086.820000000007</v>
      </c>
      <c r="M109" s="832">
        <v>228221.1</v>
      </c>
      <c r="N109" s="832">
        <v>154214.51999999999</v>
      </c>
      <c r="O109" s="832">
        <v>2776962.34</v>
      </c>
      <c r="P109" s="805" t="s">
        <v>3642</v>
      </c>
    </row>
    <row r="110" spans="2:16" outlineLevel="5">
      <c r="B110" s="831" t="s">
        <v>3684</v>
      </c>
      <c r="C110" s="832">
        <v>4023.39</v>
      </c>
      <c r="D110" s="832">
        <v>2785.71</v>
      </c>
      <c r="E110" s="832">
        <v>-1366.02</v>
      </c>
      <c r="F110" s="832">
        <v>2831.94</v>
      </c>
      <c r="G110" s="832">
        <v>1858.1</v>
      </c>
      <c r="H110" s="832">
        <v>4722.92</v>
      </c>
      <c r="I110" s="832">
        <v>-6988.89</v>
      </c>
      <c r="J110" s="832">
        <v>-5260.86</v>
      </c>
      <c r="K110" s="832">
        <v>1374.75</v>
      </c>
      <c r="L110" s="832">
        <v>2654.92</v>
      </c>
      <c r="M110" s="832">
        <v>-1350.76</v>
      </c>
      <c r="N110" s="832">
        <v>-35570.730000000003</v>
      </c>
      <c r="O110" s="832">
        <v>-30285.53</v>
      </c>
      <c r="P110" s="805" t="s">
        <v>3642</v>
      </c>
    </row>
    <row r="111" spans="2:16" outlineLevel="5">
      <c r="B111" s="831" t="s">
        <v>3685</v>
      </c>
      <c r="C111" s="832">
        <v>2961.18</v>
      </c>
      <c r="D111" s="832">
        <v>2803.01</v>
      </c>
      <c r="E111" s="832">
        <v>582.01</v>
      </c>
      <c r="F111" s="832">
        <v>317.39999999999998</v>
      </c>
      <c r="G111" s="832">
        <v>48.91</v>
      </c>
      <c r="H111" s="832">
        <v>467.31</v>
      </c>
      <c r="I111" s="832">
        <v>476.5</v>
      </c>
      <c r="J111" s="832">
        <v>502.64</v>
      </c>
      <c r="K111" s="832">
        <v>625.52</v>
      </c>
      <c r="L111" s="832">
        <v>1465.6</v>
      </c>
      <c r="M111" s="832">
        <v>1672.77</v>
      </c>
      <c r="N111" s="832">
        <v>1051.48</v>
      </c>
      <c r="O111" s="832">
        <v>12974.33</v>
      </c>
      <c r="P111" s="805" t="s">
        <v>3642</v>
      </c>
    </row>
    <row r="112" spans="2:16" outlineLevel="5">
      <c r="B112" s="831" t="s">
        <v>3686</v>
      </c>
      <c r="C112" s="832">
        <v>519350.64</v>
      </c>
      <c r="D112" s="832">
        <v>525805.11</v>
      </c>
      <c r="E112" s="832">
        <v>520524.15</v>
      </c>
      <c r="F112" s="832">
        <v>624131.36</v>
      </c>
      <c r="G112" s="832">
        <v>727707.45</v>
      </c>
      <c r="H112" s="832">
        <v>763267.37</v>
      </c>
      <c r="I112" s="832">
        <v>409417.67</v>
      </c>
      <c r="J112" s="832">
        <v>386051.53</v>
      </c>
      <c r="K112" s="832">
        <v>636706.71</v>
      </c>
      <c r="L112" s="832">
        <v>519640.3</v>
      </c>
      <c r="M112" s="832">
        <v>488156.65</v>
      </c>
      <c r="N112" s="832">
        <v>585823.68000000005</v>
      </c>
      <c r="O112" s="832">
        <v>6706582.6200000001</v>
      </c>
      <c r="P112" s="805" t="s">
        <v>3642</v>
      </c>
    </row>
    <row r="113" spans="2:16" outlineLevel="5">
      <c r="B113" s="831" t="s">
        <v>3687</v>
      </c>
      <c r="C113" s="832">
        <v>524830.30000000005</v>
      </c>
      <c r="D113" s="832">
        <v>187659.33</v>
      </c>
      <c r="E113" s="832">
        <v>320088.40999999997</v>
      </c>
      <c r="F113" s="832">
        <v>219305.60000000001</v>
      </c>
      <c r="G113" s="832">
        <v>275121.63</v>
      </c>
      <c r="H113" s="832">
        <v>360228.98</v>
      </c>
      <c r="I113" s="832">
        <v>266103.96000000002</v>
      </c>
      <c r="J113" s="832">
        <v>110988.07</v>
      </c>
      <c r="K113" s="832">
        <v>527990.75</v>
      </c>
      <c r="L113" s="832">
        <v>439411.9</v>
      </c>
      <c r="M113" s="832">
        <v>164899.51999999999</v>
      </c>
      <c r="N113" s="832">
        <v>316228.71000000002</v>
      </c>
      <c r="O113" s="832">
        <v>3712857.16</v>
      </c>
      <c r="P113" s="805" t="s">
        <v>3642</v>
      </c>
    </row>
    <row r="114" spans="2:16" outlineLevel="5">
      <c r="B114" s="831" t="s">
        <v>3688</v>
      </c>
      <c r="C114" s="832">
        <v>-184735.85</v>
      </c>
      <c r="D114" s="832">
        <v>-160394.69</v>
      </c>
      <c r="E114" s="832">
        <v>-191287.17</v>
      </c>
      <c r="F114" s="832">
        <v>-164618.04</v>
      </c>
      <c r="G114" s="832">
        <v>-214262.71</v>
      </c>
      <c r="H114" s="832">
        <v>-212754.75</v>
      </c>
      <c r="I114" s="832">
        <v>-151389.35</v>
      </c>
      <c r="J114" s="832">
        <v>-201323.36</v>
      </c>
      <c r="K114" s="832">
        <v>-231939.03</v>
      </c>
      <c r="L114" s="832">
        <v>-279174.51</v>
      </c>
      <c r="M114" s="832">
        <v>-181244.7</v>
      </c>
      <c r="N114" s="832">
        <v>-334581.52</v>
      </c>
      <c r="O114" s="832">
        <v>-2507705.6800000002</v>
      </c>
      <c r="P114" s="805" t="s">
        <v>3642</v>
      </c>
    </row>
    <row r="115" spans="2:16" outlineLevel="5">
      <c r="B115" s="831" t="s">
        <v>3689</v>
      </c>
      <c r="C115" s="832">
        <v>4661687.82</v>
      </c>
      <c r="D115" s="832">
        <v>1803465.03</v>
      </c>
      <c r="E115" s="832">
        <v>1836929.01</v>
      </c>
      <c r="F115" s="832">
        <v>1468061.49</v>
      </c>
      <c r="G115" s="832">
        <v>1892451.28</v>
      </c>
      <c r="H115" s="832">
        <v>1933711.07</v>
      </c>
      <c r="I115" s="832">
        <v>1766812.9</v>
      </c>
      <c r="J115" s="832">
        <v>1667275.93</v>
      </c>
      <c r="K115" s="832">
        <v>1578510.82</v>
      </c>
      <c r="L115" s="832">
        <v>1774498.79</v>
      </c>
      <c r="M115" s="832">
        <v>1388737.25</v>
      </c>
      <c r="N115" s="832">
        <v>1674631.08</v>
      </c>
      <c r="O115" s="832">
        <v>23446772.469999999</v>
      </c>
      <c r="P115" s="805" t="s">
        <v>3642</v>
      </c>
    </row>
    <row r="116" spans="2:16" outlineLevel="5">
      <c r="B116" s="831" t="s">
        <v>3690</v>
      </c>
      <c r="C116" s="832">
        <v>106665.16</v>
      </c>
      <c r="D116" s="832">
        <v>116083.92</v>
      </c>
      <c r="E116" s="832">
        <v>120700.88</v>
      </c>
      <c r="F116" s="832">
        <v>131419.46</v>
      </c>
      <c r="G116" s="832">
        <v>116967.07</v>
      </c>
      <c r="H116" s="832">
        <v>-249266.24</v>
      </c>
      <c r="I116" s="832">
        <v>112770.45</v>
      </c>
      <c r="J116" s="832">
        <v>100057.08</v>
      </c>
      <c r="K116" s="832">
        <v>197915.57</v>
      </c>
      <c r="L116" s="832">
        <v>-1240172.69</v>
      </c>
      <c r="M116" s="832">
        <v>185794.24</v>
      </c>
      <c r="N116" s="832">
        <v>99501.1</v>
      </c>
      <c r="O116" s="832">
        <v>-201564</v>
      </c>
      <c r="P116" s="805" t="s">
        <v>3642</v>
      </c>
    </row>
    <row r="117" spans="2:16" outlineLevel="5">
      <c r="B117" s="831" t="s">
        <v>3691</v>
      </c>
      <c r="C117" s="832">
        <v>138195.38</v>
      </c>
      <c r="D117" s="832">
        <v>2387.0700000000002</v>
      </c>
      <c r="E117" s="832">
        <v>-71806.53</v>
      </c>
      <c r="F117" s="832">
        <v>84792.59</v>
      </c>
      <c r="G117" s="832">
        <v>171.5</v>
      </c>
      <c r="H117" s="832">
        <v>-53745.07</v>
      </c>
      <c r="I117" s="832">
        <v>763405.91</v>
      </c>
      <c r="J117" s="832">
        <v>67683.77</v>
      </c>
      <c r="K117" s="832">
        <v>114484.65</v>
      </c>
      <c r="L117" s="832">
        <v>-36014.21</v>
      </c>
      <c r="M117" s="832">
        <v>66450.53</v>
      </c>
      <c r="N117" s="832">
        <v>-70309.86</v>
      </c>
      <c r="O117" s="832">
        <v>1005695.73</v>
      </c>
      <c r="P117" s="805" t="s">
        <v>3642</v>
      </c>
    </row>
    <row r="118" spans="2:16" outlineLevel="5">
      <c r="B118" s="831" t="s">
        <v>3692</v>
      </c>
      <c r="C118" s="832">
        <v>-361608.5</v>
      </c>
      <c r="D118" s="832">
        <v>-257867.35</v>
      </c>
      <c r="E118" s="832">
        <v>-317502.34999999998</v>
      </c>
      <c r="F118" s="832">
        <v>-360660.41</v>
      </c>
      <c r="G118" s="832">
        <v>-451895.8</v>
      </c>
      <c r="H118" s="832">
        <v>-375069.84</v>
      </c>
      <c r="I118" s="832">
        <v>-398681.53</v>
      </c>
      <c r="J118" s="832">
        <v>-270944.86</v>
      </c>
      <c r="K118" s="832">
        <v>-306167.06</v>
      </c>
      <c r="L118" s="832">
        <v>-261683.5</v>
      </c>
      <c r="M118" s="832">
        <v>-254885.21</v>
      </c>
      <c r="N118" s="832">
        <v>-224285.86</v>
      </c>
      <c r="O118" s="832">
        <v>-3841252.27</v>
      </c>
      <c r="P118" s="805" t="s">
        <v>3642</v>
      </c>
    </row>
    <row r="119" spans="2:16" outlineLevel="5">
      <c r="B119" s="831" t="s">
        <v>3693</v>
      </c>
      <c r="C119" s="832">
        <v>1284067.6200000001</v>
      </c>
      <c r="D119" s="832">
        <v>1188964.3500000001</v>
      </c>
      <c r="E119" s="832">
        <v>1019569.98</v>
      </c>
      <c r="F119" s="832">
        <v>1243890.06</v>
      </c>
      <c r="G119" s="832">
        <v>1237159.29</v>
      </c>
      <c r="H119" s="832">
        <v>1257523.3400000001</v>
      </c>
      <c r="I119" s="832">
        <v>1247013.5</v>
      </c>
      <c r="J119" s="832">
        <v>1308928.46</v>
      </c>
      <c r="K119" s="832">
        <v>1247871.43</v>
      </c>
      <c r="L119" s="832">
        <v>1282441.77</v>
      </c>
      <c r="M119" s="832">
        <v>1228244.5</v>
      </c>
      <c r="N119" s="832">
        <v>1232261.8799999999</v>
      </c>
      <c r="O119" s="832">
        <v>14777936.18</v>
      </c>
      <c r="P119" s="805" t="s">
        <v>3642</v>
      </c>
    </row>
    <row r="120" spans="2:16" outlineLevel="5">
      <c r="B120" s="831" t="s">
        <v>3694</v>
      </c>
      <c r="C120" s="832">
        <v>-86776.84</v>
      </c>
      <c r="D120" s="832">
        <v>-73806.210000000006</v>
      </c>
      <c r="E120" s="832">
        <v>-116072.02</v>
      </c>
      <c r="F120" s="832">
        <v>-109795.59</v>
      </c>
      <c r="G120" s="832">
        <v>-114628.12</v>
      </c>
      <c r="H120" s="832">
        <v>-77843.62</v>
      </c>
      <c r="I120" s="832">
        <v>-155357.43</v>
      </c>
      <c r="J120" s="832">
        <v>-139502.47</v>
      </c>
      <c r="K120" s="832">
        <v>-136126.42000000001</v>
      </c>
      <c r="L120" s="832">
        <v>-121617.3</v>
      </c>
      <c r="M120" s="832">
        <v>-125300.35</v>
      </c>
      <c r="N120" s="832">
        <v>-137933.48000000001</v>
      </c>
      <c r="O120" s="832">
        <v>-1394759.85</v>
      </c>
      <c r="P120" s="805" t="s">
        <v>3642</v>
      </c>
    </row>
    <row r="121" spans="2:16" outlineLevel="5">
      <c r="B121" s="831" t="s">
        <v>3695</v>
      </c>
      <c r="C121" s="832">
        <v>15165.12</v>
      </c>
      <c r="D121" s="832">
        <v>53285.32</v>
      </c>
      <c r="E121" s="832">
        <v>34339.58</v>
      </c>
      <c r="F121" s="832">
        <v>27286.31</v>
      </c>
      <c r="G121" s="832">
        <v>23983.26</v>
      </c>
      <c r="H121" s="832">
        <v>31760.04</v>
      </c>
      <c r="I121" s="832">
        <v>34699.46</v>
      </c>
      <c r="J121" s="832">
        <v>36628.480000000003</v>
      </c>
      <c r="K121" s="832">
        <v>27884.98</v>
      </c>
      <c r="L121" s="832">
        <v>33922.839999999997</v>
      </c>
      <c r="M121" s="832">
        <v>31148.81</v>
      </c>
      <c r="N121" s="832">
        <v>22047.7</v>
      </c>
      <c r="O121" s="832">
        <v>372151.9</v>
      </c>
      <c r="P121" s="805" t="s">
        <v>3642</v>
      </c>
    </row>
    <row r="122" spans="2:16" outlineLevel="5">
      <c r="B122" s="831" t="s">
        <v>3696</v>
      </c>
      <c r="C122" s="832">
        <v>459348.45</v>
      </c>
      <c r="D122" s="832">
        <v>882764.31</v>
      </c>
      <c r="E122" s="832">
        <v>834048.92</v>
      </c>
      <c r="F122" s="832">
        <v>1023494.96</v>
      </c>
      <c r="G122" s="832">
        <v>975372.22</v>
      </c>
      <c r="H122" s="832">
        <v>1048603.3</v>
      </c>
      <c r="I122" s="832">
        <v>600664.9</v>
      </c>
      <c r="J122" s="832">
        <v>760825.83</v>
      </c>
      <c r="K122" s="832">
        <v>883025.87</v>
      </c>
      <c r="L122" s="832">
        <v>1018300.02</v>
      </c>
      <c r="M122" s="832">
        <v>896022.08</v>
      </c>
      <c r="N122" s="832">
        <v>814860.81</v>
      </c>
      <c r="O122" s="832">
        <v>10197331.67</v>
      </c>
      <c r="P122" s="805" t="s">
        <v>3642</v>
      </c>
    </row>
    <row r="123" spans="2:16" outlineLevel="5">
      <c r="B123" s="831" t="s">
        <v>3697</v>
      </c>
      <c r="C123" s="832">
        <v>201955.33</v>
      </c>
      <c r="D123" s="832">
        <v>226179.73</v>
      </c>
      <c r="E123" s="832">
        <v>193427.91</v>
      </c>
      <c r="F123" s="832">
        <v>201606.24</v>
      </c>
      <c r="G123" s="832">
        <v>222244.07</v>
      </c>
      <c r="H123" s="832">
        <v>201081.76</v>
      </c>
      <c r="I123" s="832">
        <v>221706.23</v>
      </c>
      <c r="J123" s="832">
        <v>199463.32</v>
      </c>
      <c r="K123" s="832">
        <v>201179.27</v>
      </c>
      <c r="L123" s="832">
        <v>226974.59</v>
      </c>
      <c r="M123" s="832">
        <v>23956.23</v>
      </c>
      <c r="N123" s="832">
        <v>392366.72</v>
      </c>
      <c r="O123" s="832">
        <v>2512141.4</v>
      </c>
      <c r="P123" s="805" t="s">
        <v>3642</v>
      </c>
    </row>
    <row r="124" spans="2:16" outlineLevel="4">
      <c r="B124" s="831" t="s">
        <v>4174</v>
      </c>
      <c r="C124" s="832">
        <v>13285408.9</v>
      </c>
      <c r="D124" s="832">
        <v>13893250.449999999</v>
      </c>
      <c r="E124" s="832">
        <v>13463515.939999999</v>
      </c>
      <c r="F124" s="832">
        <v>12497561.93</v>
      </c>
      <c r="G124" s="832">
        <v>12960076.859999999</v>
      </c>
      <c r="H124" s="832">
        <v>12696310.51</v>
      </c>
      <c r="I124" s="832">
        <v>13163041.52</v>
      </c>
      <c r="J124" s="832">
        <v>12200290.800000001</v>
      </c>
      <c r="K124" s="832">
        <v>14181378.67</v>
      </c>
      <c r="L124" s="832">
        <v>11492071.720000001</v>
      </c>
      <c r="M124" s="832">
        <v>12569597.18</v>
      </c>
      <c r="N124" s="832">
        <v>13771755.779999999</v>
      </c>
      <c r="O124" s="832">
        <v>156174260.25999999</v>
      </c>
    </row>
    <row r="125" spans="2:16" outlineLevel="5">
      <c r="B125" s="831" t="s">
        <v>3698</v>
      </c>
      <c r="C125" s="832">
        <v>17501.580000000002</v>
      </c>
      <c r="D125" s="832">
        <v>24141.599999999999</v>
      </c>
      <c r="E125" s="832">
        <v>24009.97</v>
      </c>
      <c r="F125" s="832">
        <v>25187.82</v>
      </c>
      <c r="G125" s="832">
        <v>29705.24</v>
      </c>
      <c r="H125" s="832">
        <v>21934.61</v>
      </c>
      <c r="I125" s="832">
        <v>30883.31</v>
      </c>
      <c r="J125" s="832">
        <v>26620.74</v>
      </c>
      <c r="K125" s="832">
        <v>8510.8799999999992</v>
      </c>
      <c r="L125" s="832">
        <v>7735.52</v>
      </c>
      <c r="M125" s="832">
        <v>24299.77</v>
      </c>
      <c r="N125" s="832">
        <v>11303.76</v>
      </c>
      <c r="O125" s="832">
        <v>251834.8</v>
      </c>
      <c r="P125" s="805" t="s">
        <v>3642</v>
      </c>
    </row>
    <row r="126" spans="2:16" outlineLevel="5">
      <c r="B126" s="831" t="s">
        <v>3699</v>
      </c>
      <c r="C126" s="832">
        <v>0</v>
      </c>
      <c r="D126" s="832">
        <v>294.72000000000003</v>
      </c>
      <c r="E126" s="832">
        <v>857.39</v>
      </c>
      <c r="F126" s="832">
        <v>10452.6</v>
      </c>
      <c r="G126" s="832">
        <v>100.96</v>
      </c>
      <c r="H126" s="832">
        <v>125.5</v>
      </c>
      <c r="I126" s="832">
        <v>268.83999999999997</v>
      </c>
      <c r="J126" s="832">
        <v>321.04000000000002</v>
      </c>
      <c r="K126" s="832">
        <v>0</v>
      </c>
      <c r="L126" s="832">
        <v>0</v>
      </c>
      <c r="M126" s="832">
        <v>0</v>
      </c>
      <c r="N126" s="832">
        <v>0</v>
      </c>
      <c r="O126" s="832">
        <v>12421.05</v>
      </c>
      <c r="P126" s="805" t="s">
        <v>3642</v>
      </c>
    </row>
    <row r="127" spans="2:16" outlineLevel="5">
      <c r="B127" s="831" t="s">
        <v>3700</v>
      </c>
      <c r="C127" s="832">
        <v>940.67</v>
      </c>
      <c r="D127" s="832">
        <v>7820.29</v>
      </c>
      <c r="E127" s="832">
        <v>5303.26</v>
      </c>
      <c r="F127" s="832">
        <v>10477.56</v>
      </c>
      <c r="G127" s="832">
        <v>6600.75</v>
      </c>
      <c r="H127" s="832">
        <v>6914.45</v>
      </c>
      <c r="I127" s="832">
        <v>6898.56</v>
      </c>
      <c r="J127" s="832">
        <v>7929.78</v>
      </c>
      <c r="K127" s="832">
        <v>9896.66</v>
      </c>
      <c r="L127" s="832">
        <v>25395.360000000001</v>
      </c>
      <c r="M127" s="832">
        <v>10385.36</v>
      </c>
      <c r="N127" s="832">
        <v>18571.63</v>
      </c>
      <c r="O127" s="832">
        <v>117134.33</v>
      </c>
      <c r="P127" s="805" t="s">
        <v>3642</v>
      </c>
    </row>
    <row r="128" spans="2:16" outlineLevel="5">
      <c r="B128" s="831" t="s">
        <v>3701</v>
      </c>
      <c r="C128" s="832">
        <v>272473.86</v>
      </c>
      <c r="D128" s="832">
        <v>40302.410000000003</v>
      </c>
      <c r="E128" s="832">
        <v>26121.86</v>
      </c>
      <c r="F128" s="832">
        <v>16957.349999999999</v>
      </c>
      <c r="G128" s="832">
        <v>17231.11</v>
      </c>
      <c r="H128" s="832">
        <v>8453.2800000000007</v>
      </c>
      <c r="I128" s="832">
        <v>23727.49</v>
      </c>
      <c r="J128" s="832">
        <v>3299.95</v>
      </c>
      <c r="K128" s="832">
        <v>8802.5300000000007</v>
      </c>
      <c r="L128" s="832">
        <v>31510.93</v>
      </c>
      <c r="M128" s="832">
        <v>16389.61</v>
      </c>
      <c r="N128" s="832">
        <v>-5942.96</v>
      </c>
      <c r="O128" s="832">
        <v>459327.42</v>
      </c>
      <c r="P128" s="805" t="s">
        <v>3642</v>
      </c>
    </row>
    <row r="129" spans="2:16" outlineLevel="5">
      <c r="B129" s="831" t="s">
        <v>3702</v>
      </c>
      <c r="C129" s="832">
        <v>40015.9</v>
      </c>
      <c r="D129" s="832">
        <v>-14025.67</v>
      </c>
      <c r="E129" s="832">
        <v>31785.51</v>
      </c>
      <c r="F129" s="832">
        <v>35046.879999999997</v>
      </c>
      <c r="G129" s="832">
        <v>24934.55</v>
      </c>
      <c r="H129" s="832">
        <v>43196.07</v>
      </c>
      <c r="I129" s="832">
        <v>44505.24</v>
      </c>
      <c r="J129" s="832">
        <v>46398.9</v>
      </c>
      <c r="K129" s="832">
        <v>38663.230000000003</v>
      </c>
      <c r="L129" s="832">
        <v>29880.55</v>
      </c>
      <c r="M129" s="832">
        <v>2475.1799999999998</v>
      </c>
      <c r="N129" s="832">
        <v>47483.63</v>
      </c>
      <c r="O129" s="832">
        <v>370359.97</v>
      </c>
      <c r="P129" s="805" t="s">
        <v>3642</v>
      </c>
    </row>
    <row r="130" spans="2:16" outlineLevel="5">
      <c r="B130" s="831" t="s">
        <v>3703</v>
      </c>
      <c r="C130" s="832">
        <v>0</v>
      </c>
      <c r="D130" s="832">
        <v>0</v>
      </c>
      <c r="E130" s="832">
        <v>6111.12</v>
      </c>
      <c r="F130" s="832">
        <v>1365.98</v>
      </c>
      <c r="G130" s="832">
        <v>2710</v>
      </c>
      <c r="H130" s="832">
        <v>-15964</v>
      </c>
      <c r="I130" s="832">
        <v>1500</v>
      </c>
      <c r="J130" s="832">
        <v>0</v>
      </c>
      <c r="K130" s="832">
        <v>0</v>
      </c>
      <c r="L130" s="832">
        <v>0</v>
      </c>
      <c r="M130" s="832">
        <v>0</v>
      </c>
      <c r="N130" s="832">
        <v>0</v>
      </c>
      <c r="O130" s="832">
        <v>-4276.8999999999996</v>
      </c>
      <c r="P130" s="805" t="s">
        <v>3642</v>
      </c>
    </row>
    <row r="131" spans="2:16" outlineLevel="5">
      <c r="B131" s="831" t="s">
        <v>3704</v>
      </c>
      <c r="C131" s="832">
        <v>0</v>
      </c>
      <c r="D131" s="832">
        <v>162.53</v>
      </c>
      <c r="E131" s="832">
        <v>0</v>
      </c>
      <c r="F131" s="832">
        <v>767.62</v>
      </c>
      <c r="G131" s="832">
        <v>672</v>
      </c>
      <c r="H131" s="832">
        <v>1019.73</v>
      </c>
      <c r="I131" s="832">
        <v>309.25</v>
      </c>
      <c r="J131" s="832">
        <v>0</v>
      </c>
      <c r="K131" s="832">
        <v>489.62</v>
      </c>
      <c r="L131" s="832">
        <v>162.43</v>
      </c>
      <c r="M131" s="832">
        <v>388.62</v>
      </c>
      <c r="N131" s="832">
        <v>0</v>
      </c>
      <c r="O131" s="832">
        <v>3971.8</v>
      </c>
      <c r="P131" s="805" t="s">
        <v>3642</v>
      </c>
    </row>
    <row r="132" spans="2:16" outlineLevel="5">
      <c r="B132" s="831" t="s">
        <v>3705</v>
      </c>
      <c r="C132" s="832">
        <v>0</v>
      </c>
      <c r="D132" s="832">
        <v>0</v>
      </c>
      <c r="E132" s="832">
        <v>0</v>
      </c>
      <c r="F132" s="832">
        <v>277.56</v>
      </c>
      <c r="G132" s="832">
        <v>1862.48</v>
      </c>
      <c r="H132" s="832">
        <v>1663.9</v>
      </c>
      <c r="I132" s="832">
        <v>0</v>
      </c>
      <c r="J132" s="832">
        <v>-0.1</v>
      </c>
      <c r="K132" s="832">
        <v>92.52</v>
      </c>
      <c r="L132" s="832">
        <v>0</v>
      </c>
      <c r="M132" s="832">
        <v>0</v>
      </c>
      <c r="N132" s="832">
        <v>0</v>
      </c>
      <c r="O132" s="832">
        <v>3896.36</v>
      </c>
      <c r="P132" s="805" t="s">
        <v>3642</v>
      </c>
    </row>
    <row r="133" spans="2:16" outlineLevel="5">
      <c r="B133" s="831" t="s">
        <v>3706</v>
      </c>
      <c r="C133" s="832">
        <v>38027.03</v>
      </c>
      <c r="D133" s="832">
        <v>18783.5</v>
      </c>
      <c r="E133" s="832">
        <v>27692.7</v>
      </c>
      <c r="F133" s="832">
        <v>18683.89</v>
      </c>
      <c r="G133" s="832">
        <v>20002.2</v>
      </c>
      <c r="H133" s="832">
        <v>29057.9</v>
      </c>
      <c r="I133" s="832">
        <v>10638.72</v>
      </c>
      <c r="J133" s="832">
        <v>20725.919999999998</v>
      </c>
      <c r="K133" s="832">
        <v>22357.59</v>
      </c>
      <c r="L133" s="832">
        <v>9459.81</v>
      </c>
      <c r="M133" s="832">
        <v>17864.57</v>
      </c>
      <c r="N133" s="832">
        <v>38412.839999999997</v>
      </c>
      <c r="O133" s="832">
        <v>271706.67</v>
      </c>
      <c r="P133" s="805" t="s">
        <v>3642</v>
      </c>
    </row>
    <row r="134" spans="2:16" outlineLevel="5">
      <c r="B134" s="831" t="s">
        <v>3707</v>
      </c>
      <c r="C134" s="832">
        <v>85</v>
      </c>
      <c r="D134" s="832">
        <v>11379.88</v>
      </c>
      <c r="E134" s="832">
        <v>0</v>
      </c>
      <c r="F134" s="832">
        <v>0</v>
      </c>
      <c r="G134" s="832">
        <v>6475.08</v>
      </c>
      <c r="H134" s="832">
        <v>3697.24</v>
      </c>
      <c r="I134" s="832">
        <v>678.58</v>
      </c>
      <c r="J134" s="832">
        <v>1028.1099999999999</v>
      </c>
      <c r="K134" s="832">
        <v>1347.28</v>
      </c>
      <c r="L134" s="832">
        <v>730.49</v>
      </c>
      <c r="M134" s="832">
        <v>1074.3699999999999</v>
      </c>
      <c r="N134" s="832">
        <v>596.91999999999996</v>
      </c>
      <c r="O134" s="832">
        <v>27092.95</v>
      </c>
      <c r="P134" s="805" t="s">
        <v>3642</v>
      </c>
    </row>
    <row r="135" spans="2:16" outlineLevel="5">
      <c r="B135" s="831" t="s">
        <v>3708</v>
      </c>
      <c r="C135" s="832">
        <v>3159.45</v>
      </c>
      <c r="D135" s="832">
        <v>4013.68</v>
      </c>
      <c r="E135" s="832">
        <v>5474.78</v>
      </c>
      <c r="F135" s="832">
        <v>270</v>
      </c>
      <c r="G135" s="832">
        <v>2234.5</v>
      </c>
      <c r="H135" s="832">
        <v>17361.66</v>
      </c>
      <c r="I135" s="832">
        <v>598.53</v>
      </c>
      <c r="J135" s="832">
        <v>2697.46</v>
      </c>
      <c r="K135" s="832">
        <v>1308.0999999999999</v>
      </c>
      <c r="L135" s="832">
        <v>1605.19</v>
      </c>
      <c r="M135" s="832">
        <v>21136.97</v>
      </c>
      <c r="N135" s="832">
        <v>11713.05</v>
      </c>
      <c r="O135" s="832">
        <v>71573.37</v>
      </c>
      <c r="P135" s="805" t="s">
        <v>3642</v>
      </c>
    </row>
    <row r="136" spans="2:16" outlineLevel="5">
      <c r="B136" s="831" t="s">
        <v>3709</v>
      </c>
      <c r="C136" s="832">
        <v>0</v>
      </c>
      <c r="D136" s="832">
        <v>0</v>
      </c>
      <c r="E136" s="832">
        <v>28.5</v>
      </c>
      <c r="F136" s="832">
        <v>356.28</v>
      </c>
      <c r="G136" s="832">
        <v>4607</v>
      </c>
      <c r="H136" s="832">
        <v>0</v>
      </c>
      <c r="I136" s="832">
        <v>68.98</v>
      </c>
      <c r="J136" s="832">
        <v>104670</v>
      </c>
      <c r="K136" s="832">
        <v>862.32</v>
      </c>
      <c r="L136" s="832">
        <v>0</v>
      </c>
      <c r="M136" s="832">
        <v>0</v>
      </c>
      <c r="N136" s="832">
        <v>122837.16</v>
      </c>
      <c r="O136" s="832">
        <v>233430.24</v>
      </c>
      <c r="P136" s="805" t="s">
        <v>3642</v>
      </c>
    </row>
    <row r="137" spans="2:16" outlineLevel="5">
      <c r="B137" s="831" t="s">
        <v>3710</v>
      </c>
      <c r="C137" s="832">
        <v>0</v>
      </c>
      <c r="D137" s="832">
        <v>1000</v>
      </c>
      <c r="E137" s="832">
        <v>1000</v>
      </c>
      <c r="F137" s="832">
        <v>1000</v>
      </c>
      <c r="G137" s="832">
        <v>1000</v>
      </c>
      <c r="H137" s="832">
        <v>1000</v>
      </c>
      <c r="I137" s="832">
        <v>1000</v>
      </c>
      <c r="J137" s="832">
        <v>18135.25</v>
      </c>
      <c r="K137" s="832">
        <v>4000</v>
      </c>
      <c r="L137" s="832">
        <v>1187</v>
      </c>
      <c r="M137" s="832">
        <v>0</v>
      </c>
      <c r="N137" s="832">
        <v>0</v>
      </c>
      <c r="O137" s="832">
        <v>29322.25</v>
      </c>
      <c r="P137" s="805" t="s">
        <v>3642</v>
      </c>
    </row>
    <row r="138" spans="2:16" outlineLevel="5">
      <c r="B138" s="831" t="s">
        <v>3711</v>
      </c>
      <c r="C138" s="832">
        <v>43661.58</v>
      </c>
      <c r="D138" s="832">
        <v>142969.54999999999</v>
      </c>
      <c r="E138" s="832">
        <v>289587.93</v>
      </c>
      <c r="F138" s="832">
        <v>277949.5</v>
      </c>
      <c r="G138" s="832">
        <v>204147.51</v>
      </c>
      <c r="H138" s="832">
        <v>273591.84000000003</v>
      </c>
      <c r="I138" s="832">
        <v>-75558.179999999993</v>
      </c>
      <c r="J138" s="832">
        <v>24274.28</v>
      </c>
      <c r="K138" s="832">
        <v>23836.01</v>
      </c>
      <c r="L138" s="832">
        <v>97791.03</v>
      </c>
      <c r="M138" s="832">
        <v>31497.89</v>
      </c>
      <c r="N138" s="832">
        <v>63322.96</v>
      </c>
      <c r="O138" s="832">
        <v>1397071.9</v>
      </c>
      <c r="P138" s="805" t="s">
        <v>3642</v>
      </c>
    </row>
    <row r="139" spans="2:16" outlineLevel="5">
      <c r="B139" s="831" t="s">
        <v>3712</v>
      </c>
      <c r="C139" s="832">
        <v>232981.87</v>
      </c>
      <c r="D139" s="832">
        <v>78320.179999999993</v>
      </c>
      <c r="E139" s="832">
        <v>259137.37</v>
      </c>
      <c r="F139" s="832">
        <v>174498.11</v>
      </c>
      <c r="G139" s="832">
        <v>109204.73</v>
      </c>
      <c r="H139" s="832">
        <v>147761.70000000001</v>
      </c>
      <c r="I139" s="832">
        <v>117004.04</v>
      </c>
      <c r="J139" s="832">
        <v>170678.02</v>
      </c>
      <c r="K139" s="832">
        <v>194191.77</v>
      </c>
      <c r="L139" s="832">
        <v>92243.56</v>
      </c>
      <c r="M139" s="832">
        <v>61282.75</v>
      </c>
      <c r="N139" s="832">
        <v>34059.699999999997</v>
      </c>
      <c r="O139" s="832">
        <v>1671363.8</v>
      </c>
      <c r="P139" s="805" t="s">
        <v>3642</v>
      </c>
    </row>
    <row r="140" spans="2:16" outlineLevel="5">
      <c r="B140" s="831" t="s">
        <v>3713</v>
      </c>
      <c r="C140" s="832">
        <v>19629.759999999998</v>
      </c>
      <c r="D140" s="832">
        <v>1731.56</v>
      </c>
      <c r="E140" s="832">
        <v>24326.5</v>
      </c>
      <c r="F140" s="832">
        <v>13003.62</v>
      </c>
      <c r="G140" s="832">
        <v>788.94</v>
      </c>
      <c r="H140" s="832">
        <v>24721.98</v>
      </c>
      <c r="I140" s="832">
        <v>2769.28</v>
      </c>
      <c r="J140" s="832">
        <v>32552.76</v>
      </c>
      <c r="K140" s="832">
        <v>37256.29</v>
      </c>
      <c r="L140" s="832">
        <v>12616.73</v>
      </c>
      <c r="M140" s="832">
        <v>18061.8</v>
      </c>
      <c r="N140" s="832">
        <v>43782.2</v>
      </c>
      <c r="O140" s="832">
        <v>231241.42</v>
      </c>
      <c r="P140" s="805" t="s">
        <v>3642</v>
      </c>
    </row>
    <row r="141" spans="2:16" outlineLevel="5">
      <c r="B141" s="831" t="s">
        <v>3714</v>
      </c>
      <c r="C141" s="832">
        <v>0</v>
      </c>
      <c r="D141" s="832">
        <v>0</v>
      </c>
      <c r="E141" s="832">
        <v>0</v>
      </c>
      <c r="F141" s="832">
        <v>14.38</v>
      </c>
      <c r="G141" s="832">
        <v>0</v>
      </c>
      <c r="H141" s="832">
        <v>0</v>
      </c>
      <c r="I141" s="832">
        <v>0</v>
      </c>
      <c r="J141" s="832">
        <v>0</v>
      </c>
      <c r="K141" s="832">
        <v>0</v>
      </c>
      <c r="L141" s="832">
        <v>0</v>
      </c>
      <c r="M141" s="832">
        <v>0</v>
      </c>
      <c r="N141" s="832">
        <v>0</v>
      </c>
      <c r="O141" s="832">
        <v>14.38</v>
      </c>
      <c r="P141" s="805" t="s">
        <v>3642</v>
      </c>
    </row>
    <row r="142" spans="2:16" outlineLevel="5">
      <c r="B142" s="831" t="s">
        <v>3715</v>
      </c>
      <c r="C142" s="832">
        <v>1171143.69</v>
      </c>
      <c r="D142" s="832">
        <v>365774.65</v>
      </c>
      <c r="E142" s="832">
        <v>405653.95</v>
      </c>
      <c r="F142" s="832">
        <v>230727.67999999999</v>
      </c>
      <c r="G142" s="832">
        <v>406161.19</v>
      </c>
      <c r="H142" s="832">
        <v>694785.38</v>
      </c>
      <c r="I142" s="832">
        <v>-52704.54</v>
      </c>
      <c r="J142" s="832">
        <v>494594.12</v>
      </c>
      <c r="K142" s="832">
        <v>243554.94</v>
      </c>
      <c r="L142" s="832">
        <v>-105200.49</v>
      </c>
      <c r="M142" s="832">
        <v>151055.06</v>
      </c>
      <c r="N142" s="832">
        <v>544672.27</v>
      </c>
      <c r="O142" s="832">
        <v>4550217.9000000004</v>
      </c>
      <c r="P142" s="805" t="s">
        <v>3642</v>
      </c>
    </row>
    <row r="143" spans="2:16" outlineLevel="5">
      <c r="B143" s="831" t="s">
        <v>3716</v>
      </c>
      <c r="C143" s="832">
        <v>572.16999999999996</v>
      </c>
      <c r="D143" s="832">
        <v>4401.03</v>
      </c>
      <c r="E143" s="832">
        <v>710.71</v>
      </c>
      <c r="F143" s="832">
        <v>0</v>
      </c>
      <c r="G143" s="832">
        <v>1373.81</v>
      </c>
      <c r="H143" s="832">
        <v>2520.09</v>
      </c>
      <c r="I143" s="832">
        <v>0</v>
      </c>
      <c r="J143" s="832">
        <v>690.61</v>
      </c>
      <c r="K143" s="832">
        <v>1333.79</v>
      </c>
      <c r="L143" s="832">
        <v>1333.79</v>
      </c>
      <c r="M143" s="832">
        <v>1630.71</v>
      </c>
      <c r="N143" s="832">
        <v>4479.55</v>
      </c>
      <c r="O143" s="832">
        <v>19046.259999999998</v>
      </c>
      <c r="P143" s="805" t="s">
        <v>3642</v>
      </c>
    </row>
    <row r="144" spans="2:16" outlineLevel="5">
      <c r="B144" s="831" t="s">
        <v>3717</v>
      </c>
      <c r="C144" s="832">
        <v>128391.39</v>
      </c>
      <c r="D144" s="832">
        <v>273828.03000000003</v>
      </c>
      <c r="E144" s="832">
        <v>213597.44</v>
      </c>
      <c r="F144" s="832">
        <v>118508.9</v>
      </c>
      <c r="G144" s="832">
        <v>62218.61</v>
      </c>
      <c r="H144" s="832">
        <v>122241.93</v>
      </c>
      <c r="I144" s="832">
        <v>205574.7</v>
      </c>
      <c r="J144" s="832">
        <v>141941.37</v>
      </c>
      <c r="K144" s="832">
        <v>68434.48</v>
      </c>
      <c r="L144" s="832">
        <v>131512.57999999999</v>
      </c>
      <c r="M144" s="832">
        <v>97135.61</v>
      </c>
      <c r="N144" s="832">
        <v>58555.34</v>
      </c>
      <c r="O144" s="832">
        <v>1621940.38</v>
      </c>
      <c r="P144" s="805" t="s">
        <v>3642</v>
      </c>
    </row>
    <row r="145" spans="2:16" outlineLevel="5">
      <c r="B145" s="831" t="s">
        <v>3718</v>
      </c>
      <c r="C145" s="832">
        <v>2046877.02</v>
      </c>
      <c r="D145" s="832">
        <v>1735989.56</v>
      </c>
      <c r="E145" s="832">
        <v>1952708.57</v>
      </c>
      <c r="F145" s="832">
        <v>1537496.76</v>
      </c>
      <c r="G145" s="832">
        <v>2762802.78</v>
      </c>
      <c r="H145" s="832">
        <v>3325635.58</v>
      </c>
      <c r="I145" s="832">
        <v>2334090.5299999998</v>
      </c>
      <c r="J145" s="832">
        <v>1717834.07</v>
      </c>
      <c r="K145" s="832">
        <v>1904186.02</v>
      </c>
      <c r="L145" s="832">
        <v>1829669.19</v>
      </c>
      <c r="M145" s="832">
        <v>1147049.69</v>
      </c>
      <c r="N145" s="832">
        <v>2473714.15</v>
      </c>
      <c r="O145" s="832">
        <v>24768053.920000002</v>
      </c>
      <c r="P145" s="805" t="s">
        <v>3642</v>
      </c>
    </row>
    <row r="146" spans="2:16" outlineLevel="5">
      <c r="B146" s="831" t="s">
        <v>3719</v>
      </c>
      <c r="C146" s="832">
        <v>22682.74</v>
      </c>
      <c r="D146" s="832">
        <v>3725.69</v>
      </c>
      <c r="E146" s="832">
        <v>15425.74</v>
      </c>
      <c r="F146" s="832">
        <v>3025.27</v>
      </c>
      <c r="G146" s="832">
        <v>14046.86</v>
      </c>
      <c r="H146" s="832">
        <v>23142.01</v>
      </c>
      <c r="I146" s="832">
        <v>12722.63</v>
      </c>
      <c r="J146" s="832">
        <v>8495.73</v>
      </c>
      <c r="K146" s="832">
        <v>5947.61</v>
      </c>
      <c r="L146" s="832">
        <v>4809.28</v>
      </c>
      <c r="M146" s="832">
        <v>-2784.07</v>
      </c>
      <c r="N146" s="832">
        <v>15752.14</v>
      </c>
      <c r="O146" s="832">
        <v>126991.63</v>
      </c>
      <c r="P146" s="805" t="s">
        <v>3642</v>
      </c>
    </row>
    <row r="147" spans="2:16" outlineLevel="5">
      <c r="B147" s="831" t="s">
        <v>3720</v>
      </c>
      <c r="C147" s="832">
        <v>8362.7999999999993</v>
      </c>
      <c r="D147" s="832">
        <v>2050.5</v>
      </c>
      <c r="E147" s="832">
        <v>5556.58</v>
      </c>
      <c r="F147" s="832">
        <v>5194.05</v>
      </c>
      <c r="G147" s="832">
        <v>32848.39</v>
      </c>
      <c r="H147" s="832">
        <v>40728.78</v>
      </c>
      <c r="I147" s="832">
        <v>30206.22</v>
      </c>
      <c r="J147" s="832">
        <v>11654.97</v>
      </c>
      <c r="K147" s="832">
        <v>9634.9</v>
      </c>
      <c r="L147" s="832">
        <v>16373.31</v>
      </c>
      <c r="M147" s="832">
        <v>-1504.92</v>
      </c>
      <c r="N147" s="832">
        <v>57172.11</v>
      </c>
      <c r="O147" s="832">
        <v>218277.69</v>
      </c>
      <c r="P147" s="805" t="s">
        <v>3642</v>
      </c>
    </row>
    <row r="148" spans="2:16" outlineLevel="5">
      <c r="B148" s="831" t="s">
        <v>3721</v>
      </c>
      <c r="C148" s="832">
        <v>27242.02</v>
      </c>
      <c r="D148" s="832">
        <v>26516.75</v>
      </c>
      <c r="E148" s="832">
        <v>49890.34</v>
      </c>
      <c r="F148" s="832">
        <v>37555.15</v>
      </c>
      <c r="G148" s="832">
        <v>46797.68</v>
      </c>
      <c r="H148" s="832">
        <v>6845.46</v>
      </c>
      <c r="I148" s="832">
        <v>50832.14</v>
      </c>
      <c r="J148" s="832">
        <v>24149.11</v>
      </c>
      <c r="K148" s="832">
        <v>47477.04</v>
      </c>
      <c r="L148" s="832">
        <v>36872.699999999997</v>
      </c>
      <c r="M148" s="832">
        <v>30864.560000000001</v>
      </c>
      <c r="N148" s="832">
        <v>66281.440000000002</v>
      </c>
      <c r="O148" s="832">
        <v>451324.39</v>
      </c>
      <c r="P148" s="805" t="s">
        <v>3642</v>
      </c>
    </row>
    <row r="149" spans="2:16" outlineLevel="5">
      <c r="B149" s="831" t="s">
        <v>3722</v>
      </c>
      <c r="C149" s="832">
        <v>184889.33</v>
      </c>
      <c r="D149" s="832">
        <v>206461.32</v>
      </c>
      <c r="E149" s="832">
        <v>95020.49</v>
      </c>
      <c r="F149" s="832">
        <v>292535.21999999997</v>
      </c>
      <c r="G149" s="832">
        <v>-1870459.15</v>
      </c>
      <c r="H149" s="832">
        <v>-117561.54</v>
      </c>
      <c r="I149" s="832">
        <v>-649387.27</v>
      </c>
      <c r="J149" s="832">
        <v>-51368.39</v>
      </c>
      <c r="K149" s="832">
        <v>1966784.11</v>
      </c>
      <c r="L149" s="832">
        <v>208427.7</v>
      </c>
      <c r="M149" s="832">
        <v>137001.46</v>
      </c>
      <c r="N149" s="832">
        <v>-196183.09</v>
      </c>
      <c r="O149" s="832">
        <v>206160.19</v>
      </c>
      <c r="P149" s="805" t="s">
        <v>3642</v>
      </c>
    </row>
    <row r="150" spans="2:16" outlineLevel="5">
      <c r="B150" s="831" t="s">
        <v>3723</v>
      </c>
      <c r="C150" s="832">
        <v>19781.11</v>
      </c>
      <c r="D150" s="832">
        <v>24308.31</v>
      </c>
      <c r="E150" s="832">
        <v>22012.71</v>
      </c>
      <c r="F150" s="832">
        <v>29288.25</v>
      </c>
      <c r="G150" s="832">
        <v>22628.12</v>
      </c>
      <c r="H150" s="832">
        <v>20347.95</v>
      </c>
      <c r="I150" s="832">
        <v>26952.6</v>
      </c>
      <c r="J150" s="832">
        <v>20963.5</v>
      </c>
      <c r="K150" s="832">
        <v>21462.48</v>
      </c>
      <c r="L150" s="832">
        <v>32601.27</v>
      </c>
      <c r="M150" s="832">
        <v>16260.91</v>
      </c>
      <c r="N150" s="832">
        <v>25647.29</v>
      </c>
      <c r="O150" s="832">
        <v>282254.5</v>
      </c>
      <c r="P150" s="805"/>
    </row>
    <row r="151" spans="2:16" outlineLevel="4">
      <c r="B151" s="831" t="s">
        <v>4175</v>
      </c>
      <c r="C151" s="832">
        <v>4278418.97</v>
      </c>
      <c r="D151" s="832">
        <v>2959950.07</v>
      </c>
      <c r="E151" s="832">
        <v>3462013.42</v>
      </c>
      <c r="F151" s="832">
        <v>2840640.43</v>
      </c>
      <c r="G151" s="832">
        <v>1910695.34</v>
      </c>
      <c r="H151" s="832">
        <v>4683221.5</v>
      </c>
      <c r="I151" s="832">
        <v>2123579.65</v>
      </c>
      <c r="J151" s="832">
        <v>2828287.2</v>
      </c>
      <c r="K151" s="832">
        <v>4620430.17</v>
      </c>
      <c r="L151" s="832">
        <v>2466717.9300000002</v>
      </c>
      <c r="M151" s="832">
        <v>1781565.9</v>
      </c>
      <c r="N151" s="832">
        <v>3436232.09</v>
      </c>
      <c r="O151" s="832">
        <v>37391752.670000002</v>
      </c>
    </row>
    <row r="152" spans="2:16" outlineLevel="3">
      <c r="B152" s="831" t="s">
        <v>4176</v>
      </c>
      <c r="C152" s="832">
        <v>17563827.870000001</v>
      </c>
      <c r="D152" s="832">
        <v>16853200.52</v>
      </c>
      <c r="E152" s="832">
        <v>16925529.359999999</v>
      </c>
      <c r="F152" s="832">
        <v>15338202.359999999</v>
      </c>
      <c r="G152" s="832">
        <v>14870772.199999999</v>
      </c>
      <c r="H152" s="832">
        <v>17379532.010000002</v>
      </c>
      <c r="I152" s="832">
        <v>15286621.17</v>
      </c>
      <c r="J152" s="832">
        <v>15028578</v>
      </c>
      <c r="K152" s="832">
        <v>18801808.84</v>
      </c>
      <c r="L152" s="832">
        <v>13958789.65</v>
      </c>
      <c r="M152" s="832">
        <v>14351163.08</v>
      </c>
      <c r="N152" s="832">
        <v>17207987.870000001</v>
      </c>
      <c r="O152" s="832">
        <v>193566012.93000001</v>
      </c>
    </row>
    <row r="153" spans="2:16" outlineLevel="4">
      <c r="B153" s="831" t="s">
        <v>3724</v>
      </c>
      <c r="C153" s="832">
        <v>3392310.75</v>
      </c>
      <c r="D153" s="832">
        <v>3326300.88</v>
      </c>
      <c r="E153" s="832">
        <v>3323801.06</v>
      </c>
      <c r="F153" s="832">
        <v>3313836.51</v>
      </c>
      <c r="G153" s="832">
        <v>3303214.49</v>
      </c>
      <c r="H153" s="832">
        <v>3280948.29</v>
      </c>
      <c r="I153" s="832">
        <v>3291730.52</v>
      </c>
      <c r="J153" s="832">
        <v>3221318.57</v>
      </c>
      <c r="K153" s="832">
        <v>3252568.65</v>
      </c>
      <c r="L153" s="832">
        <v>3227976.36</v>
      </c>
      <c r="M153" s="832">
        <v>3217704.28</v>
      </c>
      <c r="N153" s="832">
        <v>3201123.23</v>
      </c>
      <c r="O153" s="832">
        <v>39352833.590000004</v>
      </c>
    </row>
    <row r="154" spans="2:16" outlineLevel="4">
      <c r="B154" s="831" t="s">
        <v>3725</v>
      </c>
      <c r="C154" s="832">
        <v>210224.76</v>
      </c>
      <c r="D154" s="832">
        <v>205667.41</v>
      </c>
      <c r="E154" s="832">
        <v>209952.15</v>
      </c>
      <c r="F154" s="832">
        <v>209952.16</v>
      </c>
      <c r="G154" s="832">
        <v>209952.16</v>
      </c>
      <c r="H154" s="832">
        <v>206418.33</v>
      </c>
      <c r="I154" s="832">
        <v>189654.41</v>
      </c>
      <c r="J154" s="832">
        <v>189664.29</v>
      </c>
      <c r="K154" s="832">
        <v>189664.27</v>
      </c>
      <c r="L154" s="832">
        <v>189664.3</v>
      </c>
      <c r="M154" s="832">
        <v>189642.91</v>
      </c>
      <c r="N154" s="832">
        <v>201965.12</v>
      </c>
      <c r="O154" s="832">
        <v>2402422.27</v>
      </c>
    </row>
    <row r="155" spans="2:16" outlineLevel="3">
      <c r="B155" s="831" t="s">
        <v>4177</v>
      </c>
      <c r="C155" s="832">
        <v>3602535.51</v>
      </c>
      <c r="D155" s="832">
        <v>3531968.29</v>
      </c>
      <c r="E155" s="832">
        <v>3533753.21</v>
      </c>
      <c r="F155" s="832">
        <v>3523788.67</v>
      </c>
      <c r="G155" s="832">
        <v>3513166.65</v>
      </c>
      <c r="H155" s="832">
        <v>3487366.62</v>
      </c>
      <c r="I155" s="832">
        <v>3481384.93</v>
      </c>
      <c r="J155" s="832">
        <v>3410982.86</v>
      </c>
      <c r="K155" s="832">
        <v>3442232.92</v>
      </c>
      <c r="L155" s="832">
        <v>3417640.66</v>
      </c>
      <c r="M155" s="832">
        <v>3407347.19</v>
      </c>
      <c r="N155" s="832">
        <v>3403088.35</v>
      </c>
      <c r="O155" s="832">
        <v>41755255.859999999</v>
      </c>
    </row>
    <row r="156" spans="2:16" outlineLevel="4">
      <c r="B156" s="831" t="s">
        <v>3726</v>
      </c>
      <c r="C156" s="832">
        <v>5525542.6100000003</v>
      </c>
      <c r="D156" s="832">
        <v>5759806.5499999998</v>
      </c>
      <c r="E156" s="832">
        <v>5608275.3499999996</v>
      </c>
      <c r="F156" s="832">
        <v>5920866.3799999999</v>
      </c>
      <c r="G156" s="832">
        <v>5652399.2000000002</v>
      </c>
      <c r="H156" s="832">
        <v>5632917.8399999999</v>
      </c>
      <c r="I156" s="832">
        <v>5337060.47</v>
      </c>
      <c r="J156" s="832">
        <v>5404637.54</v>
      </c>
      <c r="K156" s="832">
        <v>5476418.6299999999</v>
      </c>
      <c r="L156" s="832">
        <v>4788950.46</v>
      </c>
      <c r="M156" s="832">
        <v>5604265.4800000004</v>
      </c>
      <c r="N156" s="832">
        <v>5857331.4100000001</v>
      </c>
      <c r="O156" s="832">
        <v>66568471.920000002</v>
      </c>
    </row>
    <row r="157" spans="2:16" outlineLevel="3">
      <c r="B157" s="831" t="s">
        <v>4178</v>
      </c>
      <c r="C157" s="832">
        <v>5525542.6100000003</v>
      </c>
      <c r="D157" s="832">
        <v>5759806.5499999998</v>
      </c>
      <c r="E157" s="832">
        <v>5608275.3499999996</v>
      </c>
      <c r="F157" s="832">
        <v>5920866.3799999999</v>
      </c>
      <c r="G157" s="832">
        <v>5652399.2000000002</v>
      </c>
      <c r="H157" s="832">
        <v>5632917.8399999999</v>
      </c>
      <c r="I157" s="832">
        <v>5337060.47</v>
      </c>
      <c r="J157" s="832">
        <v>5404637.54</v>
      </c>
      <c r="K157" s="832">
        <v>5476418.6299999999</v>
      </c>
      <c r="L157" s="832">
        <v>4788950.46</v>
      </c>
      <c r="M157" s="832">
        <v>5604265.4800000004</v>
      </c>
      <c r="N157" s="832">
        <v>5857331.4100000001</v>
      </c>
      <c r="O157" s="832">
        <v>66568471.920000002</v>
      </c>
    </row>
    <row r="158" spans="2:16" outlineLevel="5">
      <c r="B158" s="831" t="s">
        <v>3727</v>
      </c>
      <c r="C158" s="832">
        <v>-208065.2</v>
      </c>
      <c r="D158" s="832">
        <v>-210321.86</v>
      </c>
      <c r="E158" s="832">
        <v>-215276.1</v>
      </c>
      <c r="F158" s="832">
        <v>-204362.95</v>
      </c>
      <c r="G158" s="832">
        <v>-179122.16</v>
      </c>
      <c r="H158" s="832">
        <v>-184807.5</v>
      </c>
      <c r="I158" s="832">
        <v>-182895.02</v>
      </c>
      <c r="J158" s="832">
        <v>-195282.95</v>
      </c>
      <c r="K158" s="832">
        <v>-200145.76</v>
      </c>
      <c r="L158" s="832">
        <v>-186235.33</v>
      </c>
      <c r="M158" s="832">
        <v>-173681.8</v>
      </c>
      <c r="N158" s="832">
        <v>-179112.6</v>
      </c>
      <c r="O158" s="832">
        <v>-2319309.23</v>
      </c>
    </row>
    <row r="159" spans="2:16" outlineLevel="4">
      <c r="B159" s="831" t="s">
        <v>4179</v>
      </c>
      <c r="C159" s="832">
        <v>-208065.2</v>
      </c>
      <c r="D159" s="832">
        <v>-210321.86</v>
      </c>
      <c r="E159" s="832">
        <v>-215276.1</v>
      </c>
      <c r="F159" s="832">
        <v>-204362.95</v>
      </c>
      <c r="G159" s="832">
        <v>-179122.16</v>
      </c>
      <c r="H159" s="832">
        <v>-184807.5</v>
      </c>
      <c r="I159" s="832">
        <v>-182895.02</v>
      </c>
      <c r="J159" s="832">
        <v>-195282.95</v>
      </c>
      <c r="K159" s="832">
        <v>-200145.76</v>
      </c>
      <c r="L159" s="832">
        <v>-186235.33</v>
      </c>
      <c r="M159" s="832">
        <v>-173681.8</v>
      </c>
      <c r="N159" s="832">
        <v>-179112.6</v>
      </c>
      <c r="O159" s="832">
        <v>-2319309.23</v>
      </c>
    </row>
    <row r="160" spans="2:16" outlineLevel="5">
      <c r="B160" s="831" t="s">
        <v>3728</v>
      </c>
      <c r="C160" s="832">
        <v>-1070816.33</v>
      </c>
      <c r="D160" s="832">
        <v>-934334.41</v>
      </c>
      <c r="E160" s="832">
        <v>-912619.86</v>
      </c>
      <c r="F160" s="832">
        <v>-750085.27</v>
      </c>
      <c r="G160" s="832">
        <v>-605880.21</v>
      </c>
      <c r="H160" s="832">
        <v>-626394.86</v>
      </c>
      <c r="I160" s="832">
        <v>-480906.99</v>
      </c>
      <c r="J160" s="832">
        <v>-465344.82</v>
      </c>
      <c r="K160" s="832">
        <v>-471283.32</v>
      </c>
      <c r="L160" s="832">
        <v>-611752.25</v>
      </c>
      <c r="M160" s="832">
        <v>-599943.06000000006</v>
      </c>
      <c r="N160" s="832">
        <v>-628079.24</v>
      </c>
      <c r="O160" s="832">
        <v>-8157440.6200000001</v>
      </c>
    </row>
    <row r="161" spans="2:15" outlineLevel="4">
      <c r="B161" s="831" t="s">
        <v>4180</v>
      </c>
      <c r="C161" s="832">
        <v>-1070816.33</v>
      </c>
      <c r="D161" s="832">
        <v>-934334.41</v>
      </c>
      <c r="E161" s="832">
        <v>-912619.86</v>
      </c>
      <c r="F161" s="832">
        <v>-750085.27</v>
      </c>
      <c r="G161" s="832">
        <v>-605880.21</v>
      </c>
      <c r="H161" s="832">
        <v>-626394.86</v>
      </c>
      <c r="I161" s="832">
        <v>-480906.99</v>
      </c>
      <c r="J161" s="832">
        <v>-465344.82</v>
      </c>
      <c r="K161" s="832">
        <v>-471283.32</v>
      </c>
      <c r="L161" s="832">
        <v>-611752.25</v>
      </c>
      <c r="M161" s="832">
        <v>-599943.06000000006</v>
      </c>
      <c r="N161" s="832">
        <v>-628079.24</v>
      </c>
      <c r="O161" s="832">
        <v>-8157440.6200000001</v>
      </c>
    </row>
    <row r="162" spans="2:15" outlineLevel="5">
      <c r="B162" s="831" t="s">
        <v>3729</v>
      </c>
      <c r="C162" s="832">
        <v>-475.46</v>
      </c>
      <c r="D162" s="832">
        <v>-11396.23</v>
      </c>
      <c r="E162" s="832">
        <v>-497.29</v>
      </c>
      <c r="F162" s="832">
        <v>-2272.8200000000002</v>
      </c>
      <c r="G162" s="832">
        <v>-4095.43</v>
      </c>
      <c r="H162" s="832">
        <v>-15656.28</v>
      </c>
      <c r="I162" s="832">
        <v>-11343.82</v>
      </c>
      <c r="J162" s="832">
        <v>-15377.56</v>
      </c>
      <c r="K162" s="832">
        <v>-1495.46</v>
      </c>
      <c r="L162" s="832">
        <v>-614.55999999999995</v>
      </c>
      <c r="M162" s="832">
        <v>944224.23</v>
      </c>
      <c r="N162" s="832">
        <v>-957263.11</v>
      </c>
      <c r="O162" s="832">
        <v>-76263.789999999994</v>
      </c>
    </row>
    <row r="163" spans="2:15" outlineLevel="5">
      <c r="B163" s="831" t="s">
        <v>4181</v>
      </c>
      <c r="C163" s="832">
        <v>0</v>
      </c>
      <c r="D163" s="832">
        <v>0</v>
      </c>
      <c r="E163" s="832">
        <v>0</v>
      </c>
      <c r="F163" s="832">
        <v>0</v>
      </c>
      <c r="G163" s="832">
        <v>0</v>
      </c>
      <c r="H163" s="832">
        <v>0</v>
      </c>
      <c r="I163" s="832">
        <v>-14.52</v>
      </c>
      <c r="J163" s="832">
        <v>-47.79</v>
      </c>
      <c r="K163" s="832">
        <v>-418.76</v>
      </c>
      <c r="L163" s="832">
        <v>0</v>
      </c>
      <c r="M163" s="832">
        <v>0</v>
      </c>
      <c r="N163" s="832">
        <v>-183.92</v>
      </c>
      <c r="O163" s="832">
        <v>-664.99</v>
      </c>
    </row>
    <row r="164" spans="2:15" outlineLevel="4">
      <c r="B164" s="831" t="s">
        <v>4182</v>
      </c>
      <c r="C164" s="832">
        <v>-475.46</v>
      </c>
      <c r="D164" s="832">
        <v>-11396.23</v>
      </c>
      <c r="E164" s="832">
        <v>-497.29</v>
      </c>
      <c r="F164" s="832">
        <v>-2272.8200000000002</v>
      </c>
      <c r="G164" s="832">
        <v>-4095.43</v>
      </c>
      <c r="H164" s="832">
        <v>-15656.28</v>
      </c>
      <c r="I164" s="832">
        <v>-11358.34</v>
      </c>
      <c r="J164" s="832">
        <v>-15425.35</v>
      </c>
      <c r="K164" s="832">
        <v>-1914.22</v>
      </c>
      <c r="L164" s="832">
        <v>-614.55999999999995</v>
      </c>
      <c r="M164" s="832">
        <v>944224.23</v>
      </c>
      <c r="N164" s="832">
        <v>-957447.03</v>
      </c>
      <c r="O164" s="832">
        <v>-76928.78</v>
      </c>
    </row>
    <row r="165" spans="2:15" outlineLevel="5">
      <c r="B165" s="831" t="s">
        <v>3730</v>
      </c>
      <c r="C165" s="832">
        <v>279777.95</v>
      </c>
      <c r="D165" s="832">
        <v>0</v>
      </c>
      <c r="E165" s="832">
        <v>0</v>
      </c>
      <c r="F165" s="832">
        <v>0</v>
      </c>
      <c r="G165" s="832">
        <v>0</v>
      </c>
      <c r="H165" s="832">
        <v>0</v>
      </c>
      <c r="I165" s="832">
        <v>0</v>
      </c>
      <c r="J165" s="832">
        <v>0</v>
      </c>
      <c r="K165" s="832">
        <v>0</v>
      </c>
      <c r="L165" s="832">
        <v>0</v>
      </c>
      <c r="M165" s="832">
        <v>0</v>
      </c>
      <c r="N165" s="832">
        <v>0</v>
      </c>
      <c r="O165" s="832">
        <v>279777.95</v>
      </c>
    </row>
    <row r="166" spans="2:15" outlineLevel="5">
      <c r="B166" s="831" t="s">
        <v>3731</v>
      </c>
      <c r="C166" s="832">
        <v>-1755.3</v>
      </c>
      <c r="D166" s="832">
        <v>143424</v>
      </c>
      <c r="E166" s="832">
        <v>1660</v>
      </c>
      <c r="F166" s="832">
        <v>146080</v>
      </c>
      <c r="G166" s="832">
        <v>60984.1</v>
      </c>
      <c r="H166" s="832">
        <v>12533</v>
      </c>
      <c r="I166" s="832">
        <v>2988</v>
      </c>
      <c r="J166" s="832">
        <v>664</v>
      </c>
      <c r="K166" s="832">
        <v>3984</v>
      </c>
      <c r="L166" s="832">
        <v>2324</v>
      </c>
      <c r="M166" s="832">
        <v>996</v>
      </c>
      <c r="N166" s="832">
        <v>199.2</v>
      </c>
      <c r="O166" s="832">
        <v>374081</v>
      </c>
    </row>
    <row r="167" spans="2:15" outlineLevel="5">
      <c r="B167" s="831" t="s">
        <v>4183</v>
      </c>
      <c r="C167" s="832">
        <v>0</v>
      </c>
      <c r="D167" s="832">
        <v>0</v>
      </c>
      <c r="E167" s="832">
        <v>0</v>
      </c>
      <c r="F167" s="832">
        <v>0</v>
      </c>
      <c r="G167" s="832">
        <v>0</v>
      </c>
      <c r="H167" s="832">
        <v>0</v>
      </c>
      <c r="I167" s="832">
        <v>512.69000000000005</v>
      </c>
      <c r="J167" s="832">
        <v>0</v>
      </c>
      <c r="K167" s="832">
        <v>0</v>
      </c>
      <c r="L167" s="832">
        <v>0</v>
      </c>
      <c r="M167" s="832">
        <v>0</v>
      </c>
      <c r="N167" s="832">
        <v>0</v>
      </c>
      <c r="O167" s="832">
        <v>512.69000000000005</v>
      </c>
    </row>
    <row r="168" spans="2:15" outlineLevel="5">
      <c r="B168" s="831" t="s">
        <v>3732</v>
      </c>
      <c r="C168" s="832">
        <v>2835.75</v>
      </c>
      <c r="D168" s="832">
        <v>10847.88</v>
      </c>
      <c r="E168" s="832">
        <v>8426.4</v>
      </c>
      <c r="F168" s="832">
        <v>5370.42</v>
      </c>
      <c r="G168" s="832">
        <v>5736.13</v>
      </c>
      <c r="H168" s="832">
        <v>10034.66</v>
      </c>
      <c r="I168" s="832">
        <v>8074.38</v>
      </c>
      <c r="J168" s="832">
        <v>10356.35</v>
      </c>
      <c r="K168" s="832">
        <v>8523</v>
      </c>
      <c r="L168" s="832">
        <v>9806.23</v>
      </c>
      <c r="M168" s="832">
        <v>16564.88</v>
      </c>
      <c r="N168" s="832">
        <v>3392.77</v>
      </c>
      <c r="O168" s="832">
        <v>99968.85</v>
      </c>
    </row>
    <row r="169" spans="2:15" outlineLevel="5">
      <c r="B169" s="831" t="s">
        <v>3733</v>
      </c>
      <c r="C169" s="832">
        <v>0</v>
      </c>
      <c r="D169" s="832">
        <v>0</v>
      </c>
      <c r="E169" s="832">
        <v>0</v>
      </c>
      <c r="F169" s="832">
        <v>0</v>
      </c>
      <c r="G169" s="832">
        <v>349.8</v>
      </c>
      <c r="H169" s="832">
        <v>0</v>
      </c>
      <c r="I169" s="832">
        <v>0</v>
      </c>
      <c r="J169" s="832">
        <v>0</v>
      </c>
      <c r="K169" s="832">
        <v>0</v>
      </c>
      <c r="L169" s="832">
        <v>37.22</v>
      </c>
      <c r="M169" s="832">
        <v>0</v>
      </c>
      <c r="N169" s="832">
        <v>0</v>
      </c>
      <c r="O169" s="832">
        <v>387.02</v>
      </c>
    </row>
    <row r="170" spans="2:15" outlineLevel="4">
      <c r="B170" s="831" t="s">
        <v>4184</v>
      </c>
      <c r="C170" s="832">
        <v>280858.40000000002</v>
      </c>
      <c r="D170" s="832">
        <v>154271.88</v>
      </c>
      <c r="E170" s="832">
        <v>10086.4</v>
      </c>
      <c r="F170" s="832">
        <v>151450.42000000001</v>
      </c>
      <c r="G170" s="832">
        <v>67070.03</v>
      </c>
      <c r="H170" s="832">
        <v>22567.66</v>
      </c>
      <c r="I170" s="832">
        <v>11575.07</v>
      </c>
      <c r="J170" s="832">
        <v>11020.35</v>
      </c>
      <c r="K170" s="832">
        <v>12507</v>
      </c>
      <c r="L170" s="832">
        <v>12167.45</v>
      </c>
      <c r="M170" s="832">
        <v>17560.88</v>
      </c>
      <c r="N170" s="832">
        <v>3591.97</v>
      </c>
      <c r="O170" s="832">
        <v>754727.51</v>
      </c>
    </row>
    <row r="171" spans="2:15" outlineLevel="3">
      <c r="B171" s="831" t="s">
        <v>4185</v>
      </c>
      <c r="C171" s="832">
        <v>-998498.59</v>
      </c>
      <c r="D171" s="832">
        <v>-1001780.62</v>
      </c>
      <c r="E171" s="832">
        <v>-1118306.8500000001</v>
      </c>
      <c r="F171" s="832">
        <v>-805270.62</v>
      </c>
      <c r="G171" s="832">
        <v>-722027.77</v>
      </c>
      <c r="H171" s="832">
        <v>-804290.98</v>
      </c>
      <c r="I171" s="832">
        <v>-663585.28000000003</v>
      </c>
      <c r="J171" s="832">
        <v>-665032.77</v>
      </c>
      <c r="K171" s="832">
        <v>-660836.30000000005</v>
      </c>
      <c r="L171" s="832">
        <v>-786434.69</v>
      </c>
      <c r="M171" s="832">
        <v>188160.25</v>
      </c>
      <c r="N171" s="832">
        <v>-1761046.9</v>
      </c>
      <c r="O171" s="832">
        <v>-9798951.1199999992</v>
      </c>
    </row>
    <row r="172" spans="2:15" outlineLevel="5">
      <c r="B172" s="831" t="s">
        <v>3734</v>
      </c>
      <c r="C172" s="832">
        <v>2677548.89</v>
      </c>
      <c r="D172" s="832">
        <v>2699949.95</v>
      </c>
      <c r="E172" s="832">
        <v>2687761.23</v>
      </c>
      <c r="F172" s="832">
        <v>2688388.41</v>
      </c>
      <c r="G172" s="832">
        <v>2689101.41</v>
      </c>
      <c r="H172" s="832">
        <v>2689101.41</v>
      </c>
      <c r="I172" s="832">
        <v>2689168.68</v>
      </c>
      <c r="J172" s="832">
        <v>2689101.39</v>
      </c>
      <c r="K172" s="832">
        <v>2553437.5</v>
      </c>
      <c r="L172" s="832">
        <v>2572782.64</v>
      </c>
      <c r="M172" s="832">
        <v>1651020.41</v>
      </c>
      <c r="N172" s="832">
        <v>3473137.22</v>
      </c>
      <c r="O172" s="832">
        <v>31760499.140000001</v>
      </c>
    </row>
    <row r="173" spans="2:15" outlineLevel="5">
      <c r="B173" s="831" t="s">
        <v>3735</v>
      </c>
      <c r="C173" s="832">
        <v>57853.94</v>
      </c>
      <c r="D173" s="832">
        <v>57853.94</v>
      </c>
      <c r="E173" s="832">
        <v>58277.55</v>
      </c>
      <c r="F173" s="832">
        <v>58277.55</v>
      </c>
      <c r="G173" s="832">
        <v>58277.55</v>
      </c>
      <c r="H173" s="832">
        <v>58277.55</v>
      </c>
      <c r="I173" s="832">
        <v>58277.55</v>
      </c>
      <c r="J173" s="832">
        <v>58277.55</v>
      </c>
      <c r="K173" s="832">
        <v>55511.78</v>
      </c>
      <c r="L173" s="832">
        <v>55511.78</v>
      </c>
      <c r="M173" s="832">
        <v>55511.78</v>
      </c>
      <c r="N173" s="832">
        <v>55511.78</v>
      </c>
      <c r="O173" s="832">
        <v>687420.3</v>
      </c>
    </row>
    <row r="174" spans="2:15" outlineLevel="5">
      <c r="B174" s="831" t="s">
        <v>3736</v>
      </c>
      <c r="C174" s="832">
        <v>57512.03</v>
      </c>
      <c r="D174" s="832">
        <v>57512.03</v>
      </c>
      <c r="E174" s="832">
        <v>57512.02</v>
      </c>
      <c r="F174" s="832">
        <v>59230.92</v>
      </c>
      <c r="G174" s="832">
        <v>59230.5</v>
      </c>
      <c r="H174" s="832">
        <v>59230.5</v>
      </c>
      <c r="I174" s="832">
        <v>59230.5</v>
      </c>
      <c r="J174" s="832">
        <v>59230.5</v>
      </c>
      <c r="K174" s="832">
        <v>56419.5</v>
      </c>
      <c r="L174" s="832">
        <v>56419.5</v>
      </c>
      <c r="M174" s="832">
        <v>56419.5</v>
      </c>
      <c r="N174" s="832">
        <v>56419.5</v>
      </c>
      <c r="O174" s="832">
        <v>694367</v>
      </c>
    </row>
    <row r="175" spans="2:15" outlineLevel="5">
      <c r="B175" s="831" t="s">
        <v>4565</v>
      </c>
      <c r="C175" s="832">
        <v>-3095.05</v>
      </c>
      <c r="D175" s="832">
        <v>0</v>
      </c>
      <c r="E175" s="832">
        <v>0</v>
      </c>
      <c r="F175" s="832">
        <v>0</v>
      </c>
      <c r="G175" s="832">
        <v>0</v>
      </c>
      <c r="H175" s="832">
        <v>0</v>
      </c>
      <c r="I175" s="832">
        <v>0</v>
      </c>
      <c r="J175" s="832">
        <v>0</v>
      </c>
      <c r="K175" s="832">
        <v>0</v>
      </c>
      <c r="L175" s="832">
        <v>0</v>
      </c>
      <c r="M175" s="832">
        <v>0</v>
      </c>
      <c r="N175" s="832">
        <v>0</v>
      </c>
      <c r="O175" s="832">
        <v>-3095.05</v>
      </c>
    </row>
    <row r="176" spans="2:15" outlineLevel="4">
      <c r="B176" s="831" t="s">
        <v>4186</v>
      </c>
      <c r="C176" s="832">
        <v>2789819.81</v>
      </c>
      <c r="D176" s="832">
        <v>2815315.92</v>
      </c>
      <c r="E176" s="832">
        <v>2803550.8</v>
      </c>
      <c r="F176" s="832">
        <v>2805896.88</v>
      </c>
      <c r="G176" s="832">
        <v>2806609.46</v>
      </c>
      <c r="H176" s="832">
        <v>2806609.46</v>
      </c>
      <c r="I176" s="832">
        <v>2806676.73</v>
      </c>
      <c r="J176" s="832">
        <v>2806609.44</v>
      </c>
      <c r="K176" s="832">
        <v>2665368.7799999998</v>
      </c>
      <c r="L176" s="832">
        <v>2684713.92</v>
      </c>
      <c r="M176" s="832">
        <v>1762951.69</v>
      </c>
      <c r="N176" s="832">
        <v>3585068.5</v>
      </c>
      <c r="O176" s="832">
        <v>33139191.390000001</v>
      </c>
    </row>
    <row r="177" spans="2:15" outlineLevel="5">
      <c r="B177" s="831" t="s">
        <v>3737</v>
      </c>
      <c r="C177" s="832">
        <v>2350673.0699999998</v>
      </c>
      <c r="D177" s="832">
        <v>2569654.7999999998</v>
      </c>
      <c r="E177" s="832">
        <v>1503755.38</v>
      </c>
      <c r="F177" s="832">
        <v>1420697.71</v>
      </c>
      <c r="G177" s="832">
        <v>1503678.04</v>
      </c>
      <c r="H177" s="832">
        <v>1523261.74</v>
      </c>
      <c r="I177" s="832">
        <v>940776.99</v>
      </c>
      <c r="J177" s="832">
        <v>1489044.64</v>
      </c>
      <c r="K177" s="832">
        <v>1421032.09</v>
      </c>
      <c r="L177" s="832">
        <v>1462643.45</v>
      </c>
      <c r="M177" s="832">
        <v>1402667.12</v>
      </c>
      <c r="N177" s="832">
        <v>1493002.07</v>
      </c>
      <c r="O177" s="832">
        <v>19080887.100000001</v>
      </c>
    </row>
    <row r="178" spans="2:15" outlineLevel="5">
      <c r="B178" s="831" t="s">
        <v>3738</v>
      </c>
      <c r="C178" s="832">
        <v>338503.37</v>
      </c>
      <c r="D178" s="832">
        <v>12972.5</v>
      </c>
      <c r="E178" s="832">
        <v>70204.740000000005</v>
      </c>
      <c r="F178" s="832">
        <v>365341.27</v>
      </c>
      <c r="G178" s="832">
        <v>48984.26</v>
      </c>
      <c r="H178" s="832">
        <v>4883.8</v>
      </c>
      <c r="I178" s="832">
        <v>322353.21000000002</v>
      </c>
      <c r="J178" s="832">
        <v>1781.46</v>
      </c>
      <c r="K178" s="832">
        <v>1933.1</v>
      </c>
      <c r="L178" s="832">
        <v>324216.45</v>
      </c>
      <c r="M178" s="832">
        <v>5503.72</v>
      </c>
      <c r="N178" s="832">
        <v>5747.32</v>
      </c>
      <c r="O178" s="832">
        <v>1502425.2</v>
      </c>
    </row>
    <row r="179" spans="2:15" outlineLevel="4">
      <c r="B179" s="831" t="s">
        <v>4187</v>
      </c>
      <c r="C179" s="832">
        <v>2689176.44</v>
      </c>
      <c r="D179" s="832">
        <v>2582627.2999999998</v>
      </c>
      <c r="E179" s="832">
        <v>1573960.12</v>
      </c>
      <c r="F179" s="832">
        <v>1786038.98</v>
      </c>
      <c r="G179" s="832">
        <v>1552662.3</v>
      </c>
      <c r="H179" s="832">
        <v>1528145.54</v>
      </c>
      <c r="I179" s="832">
        <v>1263130.2</v>
      </c>
      <c r="J179" s="832">
        <v>1490826.1</v>
      </c>
      <c r="K179" s="832">
        <v>1422965.19</v>
      </c>
      <c r="L179" s="832">
        <v>1786859.9</v>
      </c>
      <c r="M179" s="832">
        <v>1408170.84</v>
      </c>
      <c r="N179" s="832">
        <v>1498749.39</v>
      </c>
      <c r="O179" s="832">
        <v>20583312.300000001</v>
      </c>
    </row>
    <row r="180" spans="2:15" outlineLevel="5">
      <c r="B180" s="831" t="s">
        <v>3739</v>
      </c>
      <c r="C180" s="832">
        <v>-755899.88</v>
      </c>
      <c r="D180" s="832">
        <v>-659516.97</v>
      </c>
      <c r="E180" s="832">
        <v>-644172.17000000004</v>
      </c>
      <c r="F180" s="832">
        <v>-536819.65</v>
      </c>
      <c r="G180" s="832">
        <v>-444249.97</v>
      </c>
      <c r="H180" s="832">
        <v>-452166.75</v>
      </c>
      <c r="I180" s="832">
        <v>-342535.21</v>
      </c>
      <c r="J180" s="832">
        <v>-332385.96999999997</v>
      </c>
      <c r="K180" s="832">
        <v>-367125.97</v>
      </c>
      <c r="L180" s="832">
        <v>-395155.78</v>
      </c>
      <c r="M180" s="832">
        <v>-478097.89</v>
      </c>
      <c r="N180" s="832">
        <v>-524962.85</v>
      </c>
      <c r="O180" s="832">
        <v>-5933089.0599999996</v>
      </c>
    </row>
    <row r="181" spans="2:15" outlineLevel="4">
      <c r="B181" s="831" t="s">
        <v>4188</v>
      </c>
      <c r="C181" s="832">
        <v>-755899.88</v>
      </c>
      <c r="D181" s="832">
        <v>-659516.97</v>
      </c>
      <c r="E181" s="832">
        <v>-644172.17000000004</v>
      </c>
      <c r="F181" s="832">
        <v>-536819.65</v>
      </c>
      <c r="G181" s="832">
        <v>-444249.97</v>
      </c>
      <c r="H181" s="832">
        <v>-452166.75</v>
      </c>
      <c r="I181" s="832">
        <v>-342535.21</v>
      </c>
      <c r="J181" s="832">
        <v>-332385.96999999997</v>
      </c>
      <c r="K181" s="832">
        <v>-367125.97</v>
      </c>
      <c r="L181" s="832">
        <v>-395155.78</v>
      </c>
      <c r="M181" s="832">
        <v>-478097.89</v>
      </c>
      <c r="N181" s="832">
        <v>-524962.85</v>
      </c>
      <c r="O181" s="832">
        <v>-5933089.0599999996</v>
      </c>
    </row>
    <row r="182" spans="2:15" outlineLevel="3">
      <c r="B182" s="831" t="s">
        <v>4189</v>
      </c>
      <c r="C182" s="832">
        <v>4723096.37</v>
      </c>
      <c r="D182" s="832">
        <v>4738426.25</v>
      </c>
      <c r="E182" s="832">
        <v>3733338.75</v>
      </c>
      <c r="F182" s="832">
        <v>4055116.21</v>
      </c>
      <c r="G182" s="832">
        <v>3915021.79</v>
      </c>
      <c r="H182" s="832">
        <v>3882588.25</v>
      </c>
      <c r="I182" s="832">
        <v>3727271.72</v>
      </c>
      <c r="J182" s="832">
        <v>3965049.57</v>
      </c>
      <c r="K182" s="832">
        <v>3721208</v>
      </c>
      <c r="L182" s="832">
        <v>4076418.04</v>
      </c>
      <c r="M182" s="832">
        <v>2693024.64</v>
      </c>
      <c r="N182" s="832">
        <v>4558855.04</v>
      </c>
      <c r="O182" s="832">
        <v>47789414.630000003</v>
      </c>
    </row>
    <row r="183" spans="2:15" outlineLevel="4">
      <c r="B183" s="831" t="s">
        <v>3740</v>
      </c>
      <c r="C183" s="832">
        <v>-2185841.86</v>
      </c>
      <c r="D183" s="832">
        <v>2302585.44</v>
      </c>
      <c r="E183" s="832">
        <v>-12981824.710000001</v>
      </c>
      <c r="F183" s="832">
        <v>11041755.800000001</v>
      </c>
      <c r="G183" s="832">
        <v>1519336.2</v>
      </c>
      <c r="H183" s="832">
        <v>6306242.3600000003</v>
      </c>
      <c r="I183" s="832">
        <v>-3570129.63</v>
      </c>
      <c r="J183" s="832">
        <v>14446167.23</v>
      </c>
      <c r="K183" s="832">
        <v>-7540055.6100000003</v>
      </c>
      <c r="L183" s="832">
        <v>4524385.76</v>
      </c>
      <c r="M183" s="832">
        <v>5117660.67</v>
      </c>
      <c r="N183" s="832">
        <v>8014608.2300000004</v>
      </c>
      <c r="O183" s="832">
        <v>26994889.879999999</v>
      </c>
    </row>
    <row r="184" spans="2:15" outlineLevel="4">
      <c r="B184" s="831" t="s">
        <v>3741</v>
      </c>
      <c r="C184" s="832">
        <v>91532.68</v>
      </c>
      <c r="D184" s="832">
        <v>26380.19</v>
      </c>
      <c r="E184" s="832">
        <v>81144.28</v>
      </c>
      <c r="F184" s="832">
        <v>-137094.63</v>
      </c>
      <c r="G184" s="832">
        <v>45673.23</v>
      </c>
      <c r="H184" s="832">
        <v>70134.929999999993</v>
      </c>
      <c r="I184" s="832">
        <v>72161.39</v>
      </c>
      <c r="J184" s="832">
        <v>78792.86</v>
      </c>
      <c r="K184" s="832">
        <v>74752.789999999994</v>
      </c>
      <c r="L184" s="832">
        <v>68861.820000000007</v>
      </c>
      <c r="M184" s="832">
        <v>-312545.75</v>
      </c>
      <c r="N184" s="832">
        <v>448486.51</v>
      </c>
      <c r="O184" s="832">
        <v>608280.30000000005</v>
      </c>
    </row>
    <row r="185" spans="2:15" outlineLevel="4">
      <c r="B185" s="831" t="s">
        <v>3742</v>
      </c>
      <c r="C185" s="832">
        <v>30960846.829999998</v>
      </c>
      <c r="D185" s="832">
        <v>19813793.289999999</v>
      </c>
      <c r="E185" s="832">
        <v>19863014.329999998</v>
      </c>
      <c r="F185" s="832">
        <v>14721341.119999999</v>
      </c>
      <c r="G185" s="832">
        <v>8465390.3100000005</v>
      </c>
      <c r="H185" s="832">
        <v>5208936.74</v>
      </c>
      <c r="I185" s="832">
        <v>14400747.66</v>
      </c>
      <c r="J185" s="832">
        <v>5701182.3799999999</v>
      </c>
      <c r="K185" s="832">
        <v>26299636.68</v>
      </c>
      <c r="L185" s="832">
        <v>3352727.99</v>
      </c>
      <c r="M185" s="832">
        <v>3851039.08</v>
      </c>
      <c r="N185" s="832">
        <v>3523984.29</v>
      </c>
      <c r="O185" s="832">
        <v>156162640.69999999</v>
      </c>
    </row>
    <row r="186" spans="2:15" outlineLevel="4">
      <c r="B186" s="831" t="s">
        <v>3743</v>
      </c>
      <c r="C186" s="832">
        <v>-26971046.629999999</v>
      </c>
      <c r="D186" s="832">
        <v>-19617658.920000002</v>
      </c>
      <c r="E186" s="832">
        <v>-4755716.4400000004</v>
      </c>
      <c r="F186" s="832">
        <v>-23405862.940000001</v>
      </c>
      <c r="G186" s="832">
        <v>-5613531.0800000001</v>
      </c>
      <c r="H186" s="832">
        <v>-8620845.3599999994</v>
      </c>
      <c r="I186" s="832">
        <v>-9750116.75</v>
      </c>
      <c r="J186" s="832">
        <v>-17963518.809999999</v>
      </c>
      <c r="K186" s="832">
        <v>-14554835.189999999</v>
      </c>
      <c r="L186" s="832">
        <v>-6324988.9000000004</v>
      </c>
      <c r="M186" s="832">
        <v>-7289466.3399999999</v>
      </c>
      <c r="N186" s="832">
        <v>-10798291.359999999</v>
      </c>
      <c r="O186" s="832">
        <v>-155665878.72</v>
      </c>
    </row>
    <row r="187" spans="2:15" outlineLevel="4">
      <c r="B187" s="831" t="s">
        <v>3744</v>
      </c>
      <c r="C187" s="832">
        <v>0</v>
      </c>
      <c r="D187" s="832">
        <v>0</v>
      </c>
      <c r="E187" s="832">
        <v>-243.45</v>
      </c>
      <c r="F187" s="832">
        <v>-39416.67</v>
      </c>
      <c r="G187" s="832">
        <v>-39416.660000000003</v>
      </c>
      <c r="H187" s="832">
        <v>-39416.67</v>
      </c>
      <c r="I187" s="832">
        <v>-39416.67</v>
      </c>
      <c r="J187" s="832">
        <v>-39416.660000000003</v>
      </c>
      <c r="K187" s="832">
        <v>-39416.67</v>
      </c>
      <c r="L187" s="832">
        <v>-39416.67</v>
      </c>
      <c r="M187" s="832">
        <v>-39416.660000000003</v>
      </c>
      <c r="N187" s="832">
        <v>-39416.67</v>
      </c>
      <c r="O187" s="832">
        <v>-354993.45</v>
      </c>
    </row>
    <row r="188" spans="2:15" outlineLevel="3">
      <c r="B188" s="831" t="s">
        <v>4190</v>
      </c>
      <c r="C188" s="832">
        <v>1895491.02</v>
      </c>
      <c r="D188" s="832">
        <v>2525100</v>
      </c>
      <c r="E188" s="832">
        <v>2206374.0099999998</v>
      </c>
      <c r="F188" s="832">
        <v>2180722.6800000002</v>
      </c>
      <c r="G188" s="832">
        <v>4377452</v>
      </c>
      <c r="H188" s="832">
        <v>2925052</v>
      </c>
      <c r="I188" s="832">
        <v>1113246</v>
      </c>
      <c r="J188" s="832">
        <v>2223207</v>
      </c>
      <c r="K188" s="832">
        <v>4240082</v>
      </c>
      <c r="L188" s="832">
        <v>1581570</v>
      </c>
      <c r="M188" s="832">
        <v>1327271</v>
      </c>
      <c r="N188" s="832">
        <v>1149371</v>
      </c>
      <c r="O188" s="832">
        <v>27744938.710000001</v>
      </c>
    </row>
    <row r="189" spans="2:15" outlineLevel="2">
      <c r="B189" s="831" t="s">
        <v>4191</v>
      </c>
      <c r="C189" s="832">
        <v>42529284.82</v>
      </c>
      <c r="D189" s="832">
        <v>41761617.770000003</v>
      </c>
      <c r="E189" s="832">
        <v>40464427.890000001</v>
      </c>
      <c r="F189" s="832">
        <v>38812704.880000003</v>
      </c>
      <c r="G189" s="832">
        <v>42049437.280000001</v>
      </c>
      <c r="H189" s="832">
        <v>44451688.5</v>
      </c>
      <c r="I189" s="832">
        <v>44161917.07</v>
      </c>
      <c r="J189" s="832">
        <v>37928130.25</v>
      </c>
      <c r="K189" s="832">
        <v>49026317.890000001</v>
      </c>
      <c r="L189" s="832">
        <v>43180859.32</v>
      </c>
      <c r="M189" s="832">
        <v>45186101.299999997</v>
      </c>
      <c r="N189" s="832">
        <v>48247480.049999997</v>
      </c>
      <c r="O189" s="832">
        <v>517799967.01999998</v>
      </c>
    </row>
    <row r="190" spans="2:15" outlineLevel="1">
      <c r="B190" s="831" t="s">
        <v>4192</v>
      </c>
      <c r="C190" s="832">
        <v>-5104320.32</v>
      </c>
      <c r="D190" s="832">
        <v>-3433012.01</v>
      </c>
      <c r="E190" s="832">
        <v>-4256351.22</v>
      </c>
      <c r="F190" s="832">
        <v>-4815564.42</v>
      </c>
      <c r="G190" s="832">
        <v>-6578307.8899999997</v>
      </c>
      <c r="H190" s="832">
        <v>-5984641.4199999999</v>
      </c>
      <c r="I190" s="832">
        <v>-6566455.54</v>
      </c>
      <c r="J190" s="832">
        <v>-4548670.7300000004</v>
      </c>
      <c r="K190" s="832">
        <v>1446695.08</v>
      </c>
      <c r="L190" s="832">
        <v>-7180590.7199999997</v>
      </c>
      <c r="M190" s="832">
        <v>-6026034.1100000003</v>
      </c>
      <c r="N190" s="832">
        <v>-5218332.8099999996</v>
      </c>
      <c r="O190" s="832">
        <v>-58265586.109999999</v>
      </c>
    </row>
    <row r="191" spans="2:15" outlineLevel="6">
      <c r="B191" s="831" t="s">
        <v>3751</v>
      </c>
      <c r="C191" s="832">
        <v>455246</v>
      </c>
      <c r="D191" s="832">
        <v>542213.84</v>
      </c>
      <c r="E191" s="832">
        <v>-711180.59</v>
      </c>
      <c r="F191" s="832">
        <v>-286279.25</v>
      </c>
      <c r="G191" s="832">
        <v>0</v>
      </c>
      <c r="H191" s="832">
        <v>0</v>
      </c>
      <c r="I191" s="832">
        <v>0</v>
      </c>
      <c r="J191" s="832">
        <v>0</v>
      </c>
      <c r="K191" s="832">
        <v>0</v>
      </c>
      <c r="L191" s="832">
        <v>0</v>
      </c>
      <c r="M191" s="832">
        <v>0</v>
      </c>
      <c r="N191" s="832">
        <v>0</v>
      </c>
      <c r="O191" s="832">
        <v>0</v>
      </c>
    </row>
    <row r="192" spans="2:15" outlineLevel="6">
      <c r="B192" s="831" t="s">
        <v>4193</v>
      </c>
      <c r="C192" s="832">
        <v>793451.69</v>
      </c>
      <c r="D192" s="832">
        <v>570536.91</v>
      </c>
      <c r="E192" s="832">
        <v>13805.99</v>
      </c>
      <c r="F192" s="832">
        <v>-188223.72</v>
      </c>
      <c r="G192" s="832">
        <v>-275846.59000000003</v>
      </c>
      <c r="H192" s="832">
        <v>-192510.22</v>
      </c>
      <c r="I192" s="832">
        <v>-239428.73</v>
      </c>
      <c r="J192" s="832">
        <v>-467617.59</v>
      </c>
      <c r="K192" s="832">
        <v>165731.72</v>
      </c>
      <c r="L192" s="832">
        <v>1005308.57</v>
      </c>
      <c r="M192" s="832">
        <v>1000286.06</v>
      </c>
      <c r="N192" s="832">
        <v>1253498.3400000001</v>
      </c>
      <c r="O192" s="832">
        <v>3438992.43</v>
      </c>
    </row>
    <row r="193" spans="2:15" outlineLevel="6">
      <c r="B193" s="831" t="s">
        <v>4194</v>
      </c>
      <c r="C193" s="832">
        <v>85417.02</v>
      </c>
      <c r="D193" s="832">
        <v>71576.78</v>
      </c>
      <c r="E193" s="832">
        <v>-320364.65999999997</v>
      </c>
      <c r="F193" s="832">
        <v>-435587.86</v>
      </c>
      <c r="G193" s="832">
        <v>-486281.17</v>
      </c>
      <c r="H193" s="832">
        <v>-436517</v>
      </c>
      <c r="I193" s="832">
        <v>-415453.33</v>
      </c>
      <c r="J193" s="832">
        <v>-314632.28000000003</v>
      </c>
      <c r="K193" s="832">
        <v>-40137.17</v>
      </c>
      <c r="L193" s="832">
        <v>501441.75</v>
      </c>
      <c r="M193" s="832">
        <v>536021.42000000004</v>
      </c>
      <c r="N193" s="832">
        <v>703767.62</v>
      </c>
      <c r="O193" s="832">
        <v>-550748.88</v>
      </c>
    </row>
    <row r="194" spans="2:15" outlineLevel="6">
      <c r="B194" s="831" t="s">
        <v>4195</v>
      </c>
      <c r="C194" s="832">
        <v>752287.61</v>
      </c>
      <c r="D194" s="832">
        <v>517160.79</v>
      </c>
      <c r="E194" s="832">
        <v>625349.06999999995</v>
      </c>
      <c r="F194" s="832">
        <v>566456.30000000005</v>
      </c>
      <c r="G194" s="832">
        <v>654831.88</v>
      </c>
      <c r="H194" s="832">
        <v>653514.59</v>
      </c>
      <c r="I194" s="832">
        <v>696814.53</v>
      </c>
      <c r="J194" s="832">
        <v>784719.82</v>
      </c>
      <c r="K194" s="832">
        <v>625229.84</v>
      </c>
      <c r="L194" s="832">
        <v>621161.03</v>
      </c>
      <c r="M194" s="832">
        <v>621083.30000000005</v>
      </c>
      <c r="N194" s="832">
        <v>618926.57999999996</v>
      </c>
      <c r="O194" s="832">
        <v>7737535.3399999999</v>
      </c>
    </row>
    <row r="195" spans="2:15" outlineLevel="6">
      <c r="B195" s="831" t="s">
        <v>4196</v>
      </c>
      <c r="C195" s="832">
        <v>3260.95</v>
      </c>
      <c r="D195" s="832">
        <v>32391.8</v>
      </c>
      <c r="E195" s="832">
        <v>-113240.22</v>
      </c>
      <c r="F195" s="832">
        <v>-15127.3</v>
      </c>
      <c r="G195" s="832">
        <v>31776.57</v>
      </c>
      <c r="H195" s="832">
        <v>-27177.98</v>
      </c>
      <c r="I195" s="832">
        <v>-27333.03</v>
      </c>
      <c r="J195" s="832">
        <v>-14961.77</v>
      </c>
      <c r="K195" s="832">
        <v>38177.69</v>
      </c>
      <c r="L195" s="832">
        <v>55819.11</v>
      </c>
      <c r="M195" s="832">
        <v>107755.92</v>
      </c>
      <c r="N195" s="832">
        <v>145720.15</v>
      </c>
      <c r="O195" s="832">
        <v>217061.89</v>
      </c>
    </row>
    <row r="196" spans="2:15" outlineLevel="6">
      <c r="B196" s="831" t="s">
        <v>4197</v>
      </c>
      <c r="C196" s="832">
        <v>14525.89</v>
      </c>
      <c r="D196" s="832">
        <v>16270.15</v>
      </c>
      <c r="E196" s="832">
        <v>17683</v>
      </c>
      <c r="F196" s="832">
        <v>17682.93</v>
      </c>
      <c r="G196" s="832">
        <v>17612.79</v>
      </c>
      <c r="H196" s="832">
        <v>17621.919999999998</v>
      </c>
      <c r="I196" s="832">
        <v>17229.77</v>
      </c>
      <c r="J196" s="832">
        <v>16435.11</v>
      </c>
      <c r="K196" s="832">
        <v>14667.89</v>
      </c>
      <c r="L196" s="832">
        <v>13586</v>
      </c>
      <c r="M196" s="832">
        <v>13563.33</v>
      </c>
      <c r="N196" s="832">
        <v>13696.3</v>
      </c>
      <c r="O196" s="832">
        <v>190575.08</v>
      </c>
    </row>
    <row r="197" spans="2:15" outlineLevel="6">
      <c r="B197" s="831" t="s">
        <v>4198</v>
      </c>
      <c r="C197" s="832">
        <v>0</v>
      </c>
      <c r="D197" s="832">
        <v>0</v>
      </c>
      <c r="E197" s="832">
        <v>59434.9</v>
      </c>
      <c r="F197" s="832">
        <v>0</v>
      </c>
      <c r="G197" s="832">
        <v>0</v>
      </c>
      <c r="H197" s="832">
        <v>0</v>
      </c>
      <c r="I197" s="832">
        <v>0</v>
      </c>
      <c r="J197" s="832">
        <v>0</v>
      </c>
      <c r="K197" s="832">
        <v>0</v>
      </c>
      <c r="L197" s="832">
        <v>0</v>
      </c>
      <c r="M197" s="832">
        <v>0</v>
      </c>
      <c r="N197" s="832">
        <v>81390.83</v>
      </c>
      <c r="O197" s="832">
        <v>140825.73000000001</v>
      </c>
    </row>
    <row r="198" spans="2:15" outlineLevel="6">
      <c r="B198" s="831" t="s">
        <v>4199</v>
      </c>
      <c r="C198" s="832">
        <v>-8889.5499999999993</v>
      </c>
      <c r="D198" s="832">
        <v>-53666.97</v>
      </c>
      <c r="E198" s="832">
        <v>-66088.039999999994</v>
      </c>
      <c r="F198" s="832">
        <v>-74783.429999999993</v>
      </c>
      <c r="G198" s="832">
        <v>-51147.71</v>
      </c>
      <c r="H198" s="832">
        <v>-49040.72</v>
      </c>
      <c r="I198" s="832">
        <v>-37554.6</v>
      </c>
      <c r="J198" s="832">
        <v>5296.72</v>
      </c>
      <c r="K198" s="832">
        <v>74067.350000000006</v>
      </c>
      <c r="L198" s="832">
        <v>147154.76</v>
      </c>
      <c r="M198" s="832">
        <v>114162.32</v>
      </c>
      <c r="N198" s="832">
        <v>111177.19</v>
      </c>
      <c r="O198" s="832">
        <v>110687.32</v>
      </c>
    </row>
    <row r="199" spans="2:15" outlineLevel="6">
      <c r="B199" s="831" t="s">
        <v>4200</v>
      </c>
      <c r="C199" s="832">
        <v>283092.40999999997</v>
      </c>
      <c r="D199" s="832">
        <v>134060.49</v>
      </c>
      <c r="E199" s="832">
        <v>646093.07999999996</v>
      </c>
      <c r="F199" s="832">
        <v>-449815.24</v>
      </c>
      <c r="G199" s="832">
        <v>-504491.22</v>
      </c>
      <c r="H199" s="832">
        <v>-470161.19</v>
      </c>
      <c r="I199" s="832">
        <v>-479332.03</v>
      </c>
      <c r="J199" s="832">
        <v>-373328.07</v>
      </c>
      <c r="K199" s="832">
        <v>-124978.87</v>
      </c>
      <c r="L199" s="832">
        <v>328885.53999999998</v>
      </c>
      <c r="M199" s="832">
        <v>368470.76</v>
      </c>
      <c r="N199" s="832">
        <v>511791.61</v>
      </c>
      <c r="O199" s="832">
        <v>-129712.73</v>
      </c>
    </row>
    <row r="200" spans="2:15" outlineLevel="6">
      <c r="B200" s="831" t="s">
        <v>4201</v>
      </c>
      <c r="C200" s="832">
        <v>33162.620000000003</v>
      </c>
      <c r="D200" s="832">
        <v>32097.86</v>
      </c>
      <c r="E200" s="832">
        <v>-14078.95</v>
      </c>
      <c r="F200" s="832">
        <v>27487.85</v>
      </c>
      <c r="G200" s="832">
        <v>21232.43</v>
      </c>
      <c r="H200" s="832">
        <v>38172.660000000003</v>
      </c>
      <c r="I200" s="832">
        <v>5634.64</v>
      </c>
      <c r="J200" s="832">
        <v>1394.05</v>
      </c>
      <c r="K200" s="832">
        <v>-3129.49</v>
      </c>
      <c r="L200" s="832">
        <v>-2072.9899999999998</v>
      </c>
      <c r="M200" s="832">
        <v>-7856.36</v>
      </c>
      <c r="N200" s="832">
        <v>-11462.36</v>
      </c>
      <c r="O200" s="832">
        <v>120581.96</v>
      </c>
    </row>
    <row r="201" spans="2:15" outlineLevel="6">
      <c r="B201" s="831" t="s">
        <v>4202</v>
      </c>
      <c r="C201" s="832">
        <v>-19745.66</v>
      </c>
      <c r="D201" s="832">
        <v>17720.27</v>
      </c>
      <c r="E201" s="832">
        <v>24755.38</v>
      </c>
      <c r="F201" s="832">
        <v>11392.34</v>
      </c>
      <c r="G201" s="832">
        <v>-6322.77</v>
      </c>
      <c r="H201" s="832">
        <v>27019.83</v>
      </c>
      <c r="I201" s="832">
        <v>22381.29</v>
      </c>
      <c r="J201" s="832">
        <v>24702.68</v>
      </c>
      <c r="K201" s="832">
        <v>30583.33</v>
      </c>
      <c r="L201" s="832">
        <v>30583.34</v>
      </c>
      <c r="M201" s="832">
        <v>27764.29</v>
      </c>
      <c r="N201" s="832">
        <v>20083.330000000002</v>
      </c>
      <c r="O201" s="832">
        <v>210917.65</v>
      </c>
    </row>
    <row r="202" spans="2:15" outlineLevel="6">
      <c r="B202" s="831" t="s">
        <v>4203</v>
      </c>
      <c r="C202" s="832">
        <v>6250</v>
      </c>
      <c r="D202" s="832">
        <v>6250</v>
      </c>
      <c r="E202" s="832">
        <v>6250</v>
      </c>
      <c r="F202" s="832">
        <v>6250</v>
      </c>
      <c r="G202" s="832">
        <v>6250</v>
      </c>
      <c r="H202" s="832">
        <v>6250</v>
      </c>
      <c r="I202" s="832">
        <v>6250</v>
      </c>
      <c r="J202" s="832">
        <v>6250</v>
      </c>
      <c r="K202" s="832">
        <v>6250</v>
      </c>
      <c r="L202" s="832">
        <v>6250</v>
      </c>
      <c r="M202" s="832">
        <v>6250</v>
      </c>
      <c r="N202" s="832">
        <v>6250</v>
      </c>
      <c r="O202" s="832">
        <v>75000</v>
      </c>
    </row>
    <row r="203" spans="2:15" outlineLevel="6">
      <c r="B203" s="831" t="s">
        <v>4204</v>
      </c>
      <c r="C203" s="832">
        <v>53617.77</v>
      </c>
      <c r="D203" s="832">
        <v>-43699.63</v>
      </c>
      <c r="E203" s="832">
        <v>-185898.96</v>
      </c>
      <c r="F203" s="832">
        <v>-79729.240000000005</v>
      </c>
      <c r="G203" s="832">
        <v>-21609.75</v>
      </c>
      <c r="H203" s="832">
        <v>50337.13</v>
      </c>
      <c r="I203" s="832">
        <v>-48663.12</v>
      </c>
      <c r="J203" s="832">
        <v>72250.539999999994</v>
      </c>
      <c r="K203" s="832">
        <v>59116.800000000003</v>
      </c>
      <c r="L203" s="832">
        <v>66758.89</v>
      </c>
      <c r="M203" s="832">
        <v>87707.78</v>
      </c>
      <c r="N203" s="832">
        <v>43429.56</v>
      </c>
      <c r="O203" s="832">
        <v>53617.77</v>
      </c>
    </row>
    <row r="204" spans="2:15" outlineLevel="6">
      <c r="B204" s="831" t="s">
        <v>4205</v>
      </c>
      <c r="C204" s="832">
        <v>-189835.72</v>
      </c>
      <c r="D204" s="832">
        <v>-98392.65</v>
      </c>
      <c r="E204" s="832">
        <v>594113.54</v>
      </c>
      <c r="F204" s="832">
        <v>13273.06</v>
      </c>
      <c r="G204" s="832">
        <v>-812271.36</v>
      </c>
      <c r="H204" s="832">
        <v>-202120.76</v>
      </c>
      <c r="I204" s="832">
        <v>-662856.06000000006</v>
      </c>
      <c r="J204" s="832">
        <v>-689924.3</v>
      </c>
      <c r="K204" s="832">
        <v>-793386.43</v>
      </c>
      <c r="L204" s="832">
        <v>-691945.39</v>
      </c>
      <c r="M204" s="832">
        <v>-528134.23</v>
      </c>
      <c r="N204" s="832">
        <v>651242.39</v>
      </c>
      <c r="O204" s="832">
        <v>-3410237.91</v>
      </c>
    </row>
    <row r="205" spans="2:15" outlineLevel="6">
      <c r="B205" s="831" t="s">
        <v>4206</v>
      </c>
      <c r="C205" s="832">
        <v>-228590.6</v>
      </c>
      <c r="D205" s="832">
        <v>68333.33</v>
      </c>
      <c r="E205" s="832">
        <v>68333.33</v>
      </c>
      <c r="F205" s="832">
        <v>-209630.21</v>
      </c>
      <c r="G205" s="832">
        <v>68333.34</v>
      </c>
      <c r="H205" s="832">
        <v>68333.33</v>
      </c>
      <c r="I205" s="832">
        <v>-274805.65000000002</v>
      </c>
      <c r="J205" s="832">
        <v>68333.33</v>
      </c>
      <c r="K205" s="832">
        <v>68333.34</v>
      </c>
      <c r="L205" s="832">
        <v>-38447.800000000003</v>
      </c>
      <c r="M205" s="832">
        <v>68333.33</v>
      </c>
      <c r="N205" s="832">
        <v>68333.33</v>
      </c>
      <c r="O205" s="832">
        <v>-204807.6</v>
      </c>
    </row>
    <row r="206" spans="2:15" outlineLevel="6">
      <c r="B206" s="831" t="s">
        <v>4340</v>
      </c>
      <c r="C206" s="832">
        <v>-3000</v>
      </c>
      <c r="D206" s="832">
        <v>-3000</v>
      </c>
      <c r="E206" s="832">
        <v>-3000</v>
      </c>
      <c r="F206" s="832">
        <v>-3000</v>
      </c>
      <c r="G206" s="832">
        <v>-3000</v>
      </c>
      <c r="H206" s="832">
        <v>-3000</v>
      </c>
      <c r="I206" s="832">
        <v>-3000</v>
      </c>
      <c r="J206" s="832">
        <v>-3000</v>
      </c>
      <c r="K206" s="832">
        <v>-3000</v>
      </c>
      <c r="L206" s="832">
        <v>-3000</v>
      </c>
      <c r="M206" s="832">
        <v>-3000</v>
      </c>
      <c r="N206" s="832">
        <v>-3000</v>
      </c>
      <c r="O206" s="832">
        <v>-36000</v>
      </c>
    </row>
    <row r="207" spans="2:15" outlineLevel="6">
      <c r="B207" s="831" t="s">
        <v>4341</v>
      </c>
      <c r="C207" s="832">
        <v>-124217.53</v>
      </c>
      <c r="D207" s="832">
        <v>-557994.12</v>
      </c>
      <c r="E207" s="832">
        <v>-557994.12</v>
      </c>
      <c r="F207" s="832">
        <v>-557994.12</v>
      </c>
      <c r="G207" s="832">
        <v>-557994.12</v>
      </c>
      <c r="H207" s="832">
        <v>-557994.12</v>
      </c>
      <c r="I207" s="832">
        <v>-557994.12</v>
      </c>
      <c r="J207" s="832">
        <v>-557994.12</v>
      </c>
      <c r="K207" s="832">
        <v>-557994.12</v>
      </c>
      <c r="L207" s="832">
        <v>-557994.12</v>
      </c>
      <c r="M207" s="832">
        <v>-557994.12</v>
      </c>
      <c r="N207" s="832">
        <v>-557994.12</v>
      </c>
      <c r="O207" s="832">
        <v>-6262152.8499999996</v>
      </c>
    </row>
    <row r="208" spans="2:15" outlineLevel="6">
      <c r="B208" s="831" t="s">
        <v>4427</v>
      </c>
      <c r="C208" s="832">
        <v>-161416.67000000001</v>
      </c>
      <c r="D208" s="832">
        <v>-161416.67000000001</v>
      </c>
      <c r="E208" s="832">
        <v>-161416.67000000001</v>
      </c>
      <c r="F208" s="832">
        <v>-161416.67000000001</v>
      </c>
      <c r="G208" s="832">
        <v>-161416.67000000001</v>
      </c>
      <c r="H208" s="832">
        <v>-161416.67000000001</v>
      </c>
      <c r="I208" s="832">
        <v>-161416.67000000001</v>
      </c>
      <c r="J208" s="832">
        <v>-161416.67000000001</v>
      </c>
      <c r="K208" s="832">
        <v>-161416.67000000001</v>
      </c>
      <c r="L208" s="832">
        <v>-161416.67000000001</v>
      </c>
      <c r="M208" s="832">
        <v>-161416.67000000001</v>
      </c>
      <c r="N208" s="832">
        <v>-161416.67000000001</v>
      </c>
      <c r="O208" s="832">
        <v>-1937000.04</v>
      </c>
    </row>
    <row r="209" spans="2:15" outlineLevel="6">
      <c r="B209" s="831" t="s">
        <v>4465</v>
      </c>
      <c r="C209" s="832">
        <v>0</v>
      </c>
      <c r="D209" s="832">
        <v>360000</v>
      </c>
      <c r="E209" s="832">
        <v>0</v>
      </c>
      <c r="F209" s="832">
        <v>0</v>
      </c>
      <c r="G209" s="832">
        <v>0</v>
      </c>
      <c r="H209" s="832">
        <v>0</v>
      </c>
      <c r="I209" s="832">
        <v>833000</v>
      </c>
      <c r="J209" s="832">
        <v>0</v>
      </c>
      <c r="K209" s="832">
        <v>0</v>
      </c>
      <c r="L209" s="832">
        <v>0</v>
      </c>
      <c r="M209" s="832">
        <v>0</v>
      </c>
      <c r="N209" s="832">
        <v>0</v>
      </c>
      <c r="O209" s="832">
        <v>1193000</v>
      </c>
    </row>
    <row r="210" spans="2:15" outlineLevel="5">
      <c r="B210" s="831" t="s">
        <v>4207</v>
      </c>
      <c r="C210" s="832">
        <v>1744616.23</v>
      </c>
      <c r="D210" s="832">
        <v>1450442.18</v>
      </c>
      <c r="E210" s="832">
        <v>-77443.92</v>
      </c>
      <c r="F210" s="832">
        <v>-1819044.56</v>
      </c>
      <c r="G210" s="832">
        <v>-2080344.35</v>
      </c>
      <c r="H210" s="832">
        <v>-1238689.2</v>
      </c>
      <c r="I210" s="832">
        <v>-1326527.1100000001</v>
      </c>
      <c r="J210" s="832">
        <v>-1603492.55</v>
      </c>
      <c r="K210" s="832">
        <v>-601884.79</v>
      </c>
      <c r="L210" s="832">
        <v>1322072.02</v>
      </c>
      <c r="M210" s="832">
        <v>1692997.13</v>
      </c>
      <c r="N210" s="832">
        <v>3495434.08</v>
      </c>
      <c r="O210" s="832">
        <v>958135.16</v>
      </c>
    </row>
    <row r="211" spans="2:15" outlineLevel="6">
      <c r="B211" s="831" t="s">
        <v>3745</v>
      </c>
      <c r="C211" s="832">
        <v>-302151.45</v>
      </c>
      <c r="D211" s="832">
        <v>-135843.98000000001</v>
      </c>
      <c r="E211" s="832">
        <v>-116554.57</v>
      </c>
      <c r="F211" s="832">
        <v>-111154.34</v>
      </c>
      <c r="G211" s="832">
        <v>-107070.82</v>
      </c>
      <c r="H211" s="832">
        <v>-111047.03</v>
      </c>
      <c r="I211" s="832">
        <v>-140969.38</v>
      </c>
      <c r="J211" s="832">
        <v>-237193.41</v>
      </c>
      <c r="K211" s="832">
        <v>-372217.2</v>
      </c>
      <c r="L211" s="832">
        <v>-526390.27</v>
      </c>
      <c r="M211" s="832">
        <v>-454077.57</v>
      </c>
      <c r="N211" s="832">
        <v>-440920</v>
      </c>
      <c r="O211" s="832">
        <v>-3055590.02</v>
      </c>
    </row>
    <row r="212" spans="2:15" outlineLevel="6">
      <c r="B212" s="831" t="s">
        <v>3746</v>
      </c>
      <c r="C212" s="832">
        <v>-1449483.63</v>
      </c>
      <c r="D212" s="832">
        <v>-1174259.6599999999</v>
      </c>
      <c r="E212" s="832">
        <v>-817808.21</v>
      </c>
      <c r="F212" s="832">
        <v>-427131.38</v>
      </c>
      <c r="G212" s="832">
        <v>-409515.58</v>
      </c>
      <c r="H212" s="832">
        <v>-424671.05</v>
      </c>
      <c r="I212" s="832">
        <v>-838385.59</v>
      </c>
      <c r="J212" s="832">
        <v>-932146.71</v>
      </c>
      <c r="K212" s="832">
        <v>-598088.62</v>
      </c>
      <c r="L212" s="832">
        <v>-516224.22</v>
      </c>
      <c r="M212" s="832">
        <v>-1471086.64</v>
      </c>
      <c r="N212" s="832">
        <v>-1212297.8999999999</v>
      </c>
      <c r="O212" s="832">
        <v>-10271099.189999999</v>
      </c>
    </row>
    <row r="213" spans="2:15" outlineLevel="6">
      <c r="B213" s="831" t="s">
        <v>3747</v>
      </c>
      <c r="C213" s="832">
        <v>-27636818.809999999</v>
      </c>
      <c r="D213" s="832">
        <v>-18982227.98</v>
      </c>
      <c r="E213" s="832">
        <v>-11935828.1</v>
      </c>
      <c r="F213" s="832">
        <v>-9667084.6799999997</v>
      </c>
      <c r="G213" s="832">
        <v>-9373488.6699999999</v>
      </c>
      <c r="H213" s="832">
        <v>-9812798.9499999993</v>
      </c>
      <c r="I213" s="832">
        <v>-12180987.09</v>
      </c>
      <c r="J213" s="832">
        <v>-20827728.27</v>
      </c>
      <c r="K213" s="832">
        <v>-33936931.020000003</v>
      </c>
      <c r="L213" s="832">
        <v>-44464058.289999999</v>
      </c>
      <c r="M213" s="832">
        <v>-47867826</v>
      </c>
      <c r="N213" s="832">
        <v>-42285214.670000002</v>
      </c>
      <c r="O213" s="832">
        <v>-288970992.52999997</v>
      </c>
    </row>
    <row r="214" spans="2:15" outlineLevel="6">
      <c r="B214" s="831" t="s">
        <v>3748</v>
      </c>
      <c r="C214" s="832">
        <v>-583486.74</v>
      </c>
      <c r="D214" s="832">
        <v>-453489</v>
      </c>
      <c r="E214" s="832">
        <v>-250504.71</v>
      </c>
      <c r="F214" s="832">
        <v>-173022.78</v>
      </c>
      <c r="G214" s="832">
        <v>-157769.51</v>
      </c>
      <c r="H214" s="832">
        <v>-165707.72</v>
      </c>
      <c r="I214" s="832">
        <v>-223475.81</v>
      </c>
      <c r="J214" s="832">
        <v>-411510.9</v>
      </c>
      <c r="K214" s="832">
        <v>-719691</v>
      </c>
      <c r="L214" s="832">
        <v>-1012567.4</v>
      </c>
      <c r="M214" s="832">
        <v>-1110904.3500000001</v>
      </c>
      <c r="N214" s="832">
        <v>-1033330.46</v>
      </c>
      <c r="O214" s="832">
        <v>-6295460.3799999999</v>
      </c>
    </row>
    <row r="215" spans="2:15" outlineLevel="6">
      <c r="B215" s="831" t="s">
        <v>3749</v>
      </c>
      <c r="C215" s="832">
        <v>0</v>
      </c>
      <c r="D215" s="832">
        <v>0</v>
      </c>
      <c r="E215" s="832">
        <v>0</v>
      </c>
      <c r="F215" s="832">
        <v>0</v>
      </c>
      <c r="G215" s="832">
        <v>0</v>
      </c>
      <c r="H215" s="832">
        <v>0</v>
      </c>
      <c r="I215" s="832">
        <v>0</v>
      </c>
      <c r="J215" s="832">
        <v>0</v>
      </c>
      <c r="K215" s="832">
        <v>0</v>
      </c>
      <c r="L215" s="832">
        <v>-2.89</v>
      </c>
      <c r="M215" s="832">
        <v>0</v>
      </c>
      <c r="N215" s="832">
        <v>0</v>
      </c>
      <c r="O215" s="832">
        <v>-2.89</v>
      </c>
    </row>
    <row r="216" spans="2:15" outlineLevel="5">
      <c r="B216" s="831" t="s">
        <v>3750</v>
      </c>
      <c r="C216" s="832">
        <v>131153.25</v>
      </c>
      <c r="D216" s="832">
        <v>64371.03</v>
      </c>
      <c r="E216" s="832">
        <v>160350.29999999999</v>
      </c>
      <c r="F216" s="832">
        <v>117123.93</v>
      </c>
      <c r="G216" s="832">
        <v>108620.01</v>
      </c>
      <c r="H216" s="832">
        <v>112670.5</v>
      </c>
      <c r="I216" s="832">
        <v>127304.51</v>
      </c>
      <c r="J216" s="832">
        <v>211682</v>
      </c>
      <c r="K216" s="832">
        <v>357924.93</v>
      </c>
      <c r="L216" s="832">
        <v>508482.77</v>
      </c>
      <c r="M216" s="832">
        <v>549433.27</v>
      </c>
      <c r="N216" s="832">
        <v>525093.41</v>
      </c>
      <c r="O216" s="832">
        <v>2974209.91</v>
      </c>
    </row>
    <row r="217" spans="2:15" outlineLevel="4">
      <c r="B217" s="831" t="s">
        <v>4208</v>
      </c>
      <c r="C217" s="832">
        <v>-28096171.149999999</v>
      </c>
      <c r="D217" s="832">
        <v>-19231007.41</v>
      </c>
      <c r="E217" s="832">
        <v>-13037789.210000001</v>
      </c>
      <c r="F217" s="832">
        <v>-12080313.810000001</v>
      </c>
      <c r="G217" s="832">
        <v>-12019568.92</v>
      </c>
      <c r="H217" s="832">
        <v>-11640243.449999999</v>
      </c>
      <c r="I217" s="832">
        <v>-14583040.470000001</v>
      </c>
      <c r="J217" s="832">
        <v>-23800389.84</v>
      </c>
      <c r="K217" s="832">
        <v>-35870887.700000003</v>
      </c>
      <c r="L217" s="832">
        <v>-44688688.280000001</v>
      </c>
      <c r="M217" s="832">
        <v>-48661464.159999996</v>
      </c>
      <c r="N217" s="832">
        <v>-40951235.539999999</v>
      </c>
      <c r="O217" s="832">
        <v>-304660799.94</v>
      </c>
    </row>
    <row r="218" spans="2:15" outlineLevel="5">
      <c r="B218" s="831" t="s">
        <v>3752</v>
      </c>
      <c r="C218" s="832">
        <v>-121267.49</v>
      </c>
      <c r="D218" s="832">
        <v>-78424.92</v>
      </c>
      <c r="E218" s="832">
        <v>-73624.929999999993</v>
      </c>
      <c r="F218" s="832">
        <v>-110477.41</v>
      </c>
      <c r="G218" s="832">
        <v>-102657.67</v>
      </c>
      <c r="H218" s="832">
        <v>-122908.41</v>
      </c>
      <c r="I218" s="832">
        <v>-189425.4</v>
      </c>
      <c r="J218" s="832">
        <v>-190442.67</v>
      </c>
      <c r="K218" s="832">
        <v>-215982.07</v>
      </c>
      <c r="L218" s="832">
        <v>-232545.48</v>
      </c>
      <c r="M218" s="832">
        <v>-173035.51999999999</v>
      </c>
      <c r="N218" s="832">
        <v>-106373.58</v>
      </c>
      <c r="O218" s="832">
        <v>-1717165.55</v>
      </c>
    </row>
    <row r="219" spans="2:15" outlineLevel="5">
      <c r="B219" s="831" t="s">
        <v>3753</v>
      </c>
      <c r="C219" s="832">
        <v>-158055.57999999999</v>
      </c>
      <c r="D219" s="832">
        <v>-164848.93</v>
      </c>
      <c r="E219" s="832">
        <v>-162959.94</v>
      </c>
      <c r="F219" s="832">
        <v>-162415.38</v>
      </c>
      <c r="G219" s="832">
        <v>-162562.95000000001</v>
      </c>
      <c r="H219" s="832">
        <v>-162613.39000000001</v>
      </c>
      <c r="I219" s="832">
        <v>-163066.76</v>
      </c>
      <c r="J219" s="832">
        <v>-164233.87</v>
      </c>
      <c r="K219" s="832">
        <v>-165614.16</v>
      </c>
      <c r="L219" s="832">
        <v>-165570.07999999999</v>
      </c>
      <c r="M219" s="832">
        <v>-165233.57</v>
      </c>
      <c r="N219" s="832">
        <v>-165367.95000000001</v>
      </c>
      <c r="O219" s="832">
        <v>-1962542.56</v>
      </c>
    </row>
    <row r="220" spans="2:15" outlineLevel="4">
      <c r="B220" s="831" t="s">
        <v>4209</v>
      </c>
      <c r="C220" s="832">
        <v>-279323.07</v>
      </c>
      <c r="D220" s="832">
        <v>-243273.85</v>
      </c>
      <c r="E220" s="832">
        <v>-236584.87</v>
      </c>
      <c r="F220" s="832">
        <v>-272892.78999999998</v>
      </c>
      <c r="G220" s="832">
        <v>-265220.62</v>
      </c>
      <c r="H220" s="832">
        <v>-285521.8</v>
      </c>
      <c r="I220" s="832">
        <v>-352492.16</v>
      </c>
      <c r="J220" s="832">
        <v>-354676.54</v>
      </c>
      <c r="K220" s="832">
        <v>-381596.23</v>
      </c>
      <c r="L220" s="832">
        <v>-398115.56</v>
      </c>
      <c r="M220" s="832">
        <v>-338269.09</v>
      </c>
      <c r="N220" s="832">
        <v>-271741.53000000003</v>
      </c>
      <c r="O220" s="832">
        <v>-3679708.11</v>
      </c>
    </row>
    <row r="221" spans="2:15" outlineLevel="5">
      <c r="B221" s="831" t="s">
        <v>3755</v>
      </c>
      <c r="C221" s="832">
        <v>-2506513.4700000002</v>
      </c>
      <c r="D221" s="832">
        <v>-4395168.72</v>
      </c>
      <c r="E221" s="832">
        <v>-958344.61</v>
      </c>
      <c r="F221" s="832">
        <v>-58861.03</v>
      </c>
      <c r="G221" s="832">
        <v>1130095.74</v>
      </c>
      <c r="H221" s="832">
        <v>284353.18</v>
      </c>
      <c r="I221" s="832">
        <v>1640545.95</v>
      </c>
      <c r="J221" s="832">
        <v>5195458.8899999997</v>
      </c>
      <c r="K221" s="832">
        <v>6278897.1200000001</v>
      </c>
      <c r="L221" s="832">
        <v>594593.1</v>
      </c>
      <c r="M221" s="832">
        <v>1152018.97</v>
      </c>
      <c r="N221" s="832">
        <v>-4760279.72</v>
      </c>
      <c r="O221" s="832">
        <v>3596795.4</v>
      </c>
    </row>
    <row r="222" spans="2:15" outlineLevel="5">
      <c r="B222" s="831" t="s">
        <v>4210</v>
      </c>
      <c r="C222" s="832">
        <v>-3448009.27</v>
      </c>
      <c r="D222" s="832">
        <v>-2330776.25</v>
      </c>
      <c r="E222" s="832">
        <v>-1253633.01</v>
      </c>
      <c r="F222" s="832">
        <v>-106408.81</v>
      </c>
      <c r="G222" s="832">
        <v>603333.81000000006</v>
      </c>
      <c r="H222" s="832">
        <v>109514.92</v>
      </c>
      <c r="I222" s="832">
        <v>1299091.8799999999</v>
      </c>
      <c r="J222" s="832">
        <v>2154350.0299999998</v>
      </c>
      <c r="K222" s="832">
        <v>2438036.58</v>
      </c>
      <c r="L222" s="832">
        <v>994810.45</v>
      </c>
      <c r="M222" s="832">
        <v>1411703.31</v>
      </c>
      <c r="N222" s="832">
        <v>-2531500.77</v>
      </c>
      <c r="O222" s="832">
        <v>-659487.13</v>
      </c>
    </row>
    <row r="223" spans="2:15" outlineLevel="5">
      <c r="B223" s="831" t="s">
        <v>4211</v>
      </c>
      <c r="C223" s="832">
        <v>-447487.47</v>
      </c>
      <c r="D223" s="832">
        <v>-304945.21000000002</v>
      </c>
      <c r="E223" s="832">
        <v>-93668.02</v>
      </c>
      <c r="F223" s="832">
        <v>-4730.84</v>
      </c>
      <c r="G223" s="832">
        <v>63783.76</v>
      </c>
      <c r="H223" s="832">
        <v>15709.2</v>
      </c>
      <c r="I223" s="832">
        <v>83058.2</v>
      </c>
      <c r="J223" s="832">
        <v>253041.18</v>
      </c>
      <c r="K223" s="832">
        <v>332295.34000000003</v>
      </c>
      <c r="L223" s="832">
        <v>37134.370000000003</v>
      </c>
      <c r="M223" s="832">
        <v>129871.31</v>
      </c>
      <c r="N223" s="832">
        <v>-420706.73</v>
      </c>
      <c r="O223" s="832">
        <v>-356644.91</v>
      </c>
    </row>
    <row r="224" spans="2:15" outlineLevel="5">
      <c r="B224" s="831" t="s">
        <v>4212</v>
      </c>
      <c r="C224" s="832">
        <v>-154768.54</v>
      </c>
      <c r="D224" s="832">
        <v>-318376.55</v>
      </c>
      <c r="E224" s="832">
        <v>-81491.34</v>
      </c>
      <c r="F224" s="832">
        <v>3957.38</v>
      </c>
      <c r="G224" s="832">
        <v>69384.61</v>
      </c>
      <c r="H224" s="832">
        <v>13561.46</v>
      </c>
      <c r="I224" s="832">
        <v>68134.62</v>
      </c>
      <c r="J224" s="832">
        <v>277831.90000000002</v>
      </c>
      <c r="K224" s="832">
        <v>381645.87</v>
      </c>
      <c r="L224" s="832">
        <v>37992.81</v>
      </c>
      <c r="M224" s="832">
        <v>129509.05</v>
      </c>
      <c r="N224" s="832">
        <v>-277755.46999999997</v>
      </c>
      <c r="O224" s="832">
        <v>149625.79999999999</v>
      </c>
    </row>
    <row r="225" spans="2:16" outlineLevel="5">
      <c r="B225" s="831" t="s">
        <v>4213</v>
      </c>
      <c r="C225" s="832">
        <v>-209389.53</v>
      </c>
      <c r="D225" s="832">
        <v>-184699.03</v>
      </c>
      <c r="E225" s="832">
        <v>-56732.82</v>
      </c>
      <c r="F225" s="832">
        <v>-2865.36</v>
      </c>
      <c r="G225" s="832">
        <v>38632.519999999997</v>
      </c>
      <c r="H225" s="832">
        <v>10937.74</v>
      </c>
      <c r="I225" s="832">
        <v>51029.919999999998</v>
      </c>
      <c r="J225" s="832">
        <v>155465.26999999999</v>
      </c>
      <c r="K225" s="832">
        <v>204158.06</v>
      </c>
      <c r="L225" s="832">
        <v>22814.880000000001</v>
      </c>
      <c r="M225" s="832">
        <v>79791.27</v>
      </c>
      <c r="N225" s="832">
        <v>-147531.20000000001</v>
      </c>
      <c r="O225" s="832">
        <v>-38388.28</v>
      </c>
    </row>
    <row r="226" spans="2:16" outlineLevel="5">
      <c r="B226" s="831" t="s">
        <v>4214</v>
      </c>
      <c r="C226" s="832">
        <v>-52855.32</v>
      </c>
      <c r="D226" s="832">
        <v>37145.69</v>
      </c>
      <c r="E226" s="832">
        <v>24053.88</v>
      </c>
      <c r="F226" s="832">
        <v>677.13</v>
      </c>
      <c r="G226" s="832">
        <v>-16973.3</v>
      </c>
      <c r="H226" s="832">
        <v>-5457.31</v>
      </c>
      <c r="I226" s="832">
        <v>5599.54</v>
      </c>
      <c r="J226" s="832">
        <v>-40646.839999999997</v>
      </c>
      <c r="K226" s="832">
        <v>-54674.51</v>
      </c>
      <c r="L226" s="832">
        <v>-5999.05</v>
      </c>
      <c r="M226" s="832">
        <v>-20556.36</v>
      </c>
      <c r="N226" s="832">
        <v>40658.6</v>
      </c>
      <c r="O226" s="832">
        <v>-89027.85</v>
      </c>
    </row>
    <row r="227" spans="2:16" outlineLevel="4">
      <c r="B227" s="831" t="s">
        <v>4215</v>
      </c>
      <c r="C227" s="832">
        <v>-6819023.5999999996</v>
      </c>
      <c r="D227" s="832">
        <v>-7496820.0700000003</v>
      </c>
      <c r="E227" s="832">
        <v>-2419815.92</v>
      </c>
      <c r="F227" s="832">
        <v>-168231.53</v>
      </c>
      <c r="G227" s="832">
        <v>1888257.14</v>
      </c>
      <c r="H227" s="832">
        <v>428619.19</v>
      </c>
      <c r="I227" s="832">
        <v>3147460.11</v>
      </c>
      <c r="J227" s="832">
        <v>7995500.4299999997</v>
      </c>
      <c r="K227" s="832">
        <v>9580358.4600000009</v>
      </c>
      <c r="L227" s="832">
        <v>1681346.5600000001</v>
      </c>
      <c r="M227" s="832">
        <v>2882337.55</v>
      </c>
      <c r="N227" s="832">
        <v>-8097115.29</v>
      </c>
      <c r="O227" s="832">
        <v>2602873.0299999998</v>
      </c>
    </row>
    <row r="228" spans="2:16" outlineLevel="5">
      <c r="B228" s="831" t="s">
        <v>3754</v>
      </c>
      <c r="C228" s="832">
        <v>-55300.3</v>
      </c>
      <c r="D228" s="832">
        <v>-36834.720000000001</v>
      </c>
      <c r="E228" s="832">
        <v>-64178</v>
      </c>
      <c r="F228" s="832">
        <v>-36514.839999999997</v>
      </c>
      <c r="G228" s="832">
        <v>-37728.699999999997</v>
      </c>
      <c r="H228" s="832">
        <v>-29818.47</v>
      </c>
      <c r="I228" s="832">
        <v>-43594.64</v>
      </c>
      <c r="J228" s="832">
        <v>-44909.14</v>
      </c>
      <c r="K228" s="832">
        <v>-49072.12</v>
      </c>
      <c r="L228" s="832">
        <v>-50162.49</v>
      </c>
      <c r="M228" s="832">
        <v>-48020.95</v>
      </c>
      <c r="N228" s="832">
        <v>-78818.149999999994</v>
      </c>
      <c r="O228" s="832">
        <v>-574952.52</v>
      </c>
    </row>
    <row r="229" spans="2:16" outlineLevel="4">
      <c r="B229" s="831" t="s">
        <v>3756</v>
      </c>
      <c r="C229" s="832">
        <v>-7421.97</v>
      </c>
      <c r="D229" s="832">
        <v>-18500.060000000001</v>
      </c>
      <c r="E229" s="832">
        <v>-17196.36</v>
      </c>
      <c r="F229" s="832">
        <v>-27128.21</v>
      </c>
      <c r="G229" s="832">
        <v>-10880.27</v>
      </c>
      <c r="H229" s="832">
        <v>-15619.83</v>
      </c>
      <c r="I229" s="832">
        <v>-43959.39</v>
      </c>
      <c r="J229" s="832">
        <v>-98753.53</v>
      </c>
      <c r="K229" s="832">
        <v>-6803.77</v>
      </c>
      <c r="L229" s="832">
        <v>-5685.5</v>
      </c>
      <c r="M229" s="832">
        <v>-19975.82</v>
      </c>
      <c r="N229" s="832">
        <v>-8625.1299999999992</v>
      </c>
      <c r="O229" s="832">
        <v>-280549.84000000003</v>
      </c>
    </row>
    <row r="230" spans="2:16" outlineLevel="3">
      <c r="B230" s="831" t="s">
        <v>4169</v>
      </c>
      <c r="C230" s="832">
        <v>-35257240.090000004</v>
      </c>
      <c r="D230" s="832">
        <v>-27026436.109999999</v>
      </c>
      <c r="E230" s="832">
        <v>-15775564.359999999</v>
      </c>
      <c r="F230" s="832">
        <v>-12585081.18</v>
      </c>
      <c r="G230" s="832">
        <v>-10445141.369999999</v>
      </c>
      <c r="H230" s="832">
        <v>-11542584.359999999</v>
      </c>
      <c r="I230" s="832">
        <v>-11875626.550000001</v>
      </c>
      <c r="J230" s="832">
        <v>-16303228.619999999</v>
      </c>
      <c r="K230" s="832">
        <v>-26728001.359999999</v>
      </c>
      <c r="L230" s="832">
        <v>-43461305.270000003</v>
      </c>
      <c r="M230" s="832">
        <v>-46185392.469999999</v>
      </c>
      <c r="N230" s="832">
        <v>-49407535.640000001</v>
      </c>
      <c r="O230" s="832">
        <v>-306593137.38</v>
      </c>
    </row>
    <row r="231" spans="2:16" outlineLevel="4">
      <c r="B231" s="831" t="s">
        <v>4216</v>
      </c>
      <c r="C231" s="832">
        <v>-9880.33</v>
      </c>
      <c r="D231" s="832">
        <v>0</v>
      </c>
      <c r="E231" s="832">
        <v>0</v>
      </c>
      <c r="F231" s="832">
        <v>0</v>
      </c>
      <c r="G231" s="832">
        <v>0</v>
      </c>
      <c r="H231" s="832">
        <v>0</v>
      </c>
      <c r="I231" s="832">
        <v>0</v>
      </c>
      <c r="J231" s="832">
        <v>0</v>
      </c>
      <c r="K231" s="832">
        <v>0</v>
      </c>
      <c r="L231" s="832">
        <v>0</v>
      </c>
      <c r="M231" s="832">
        <v>0</v>
      </c>
      <c r="N231" s="832">
        <v>0</v>
      </c>
      <c r="O231" s="832">
        <v>-9880.33</v>
      </c>
    </row>
    <row r="232" spans="2:16" outlineLevel="3">
      <c r="B232" s="831" t="s">
        <v>4217</v>
      </c>
      <c r="C232" s="832">
        <v>-9880.33</v>
      </c>
      <c r="D232" s="832">
        <v>0</v>
      </c>
      <c r="E232" s="832">
        <v>0</v>
      </c>
      <c r="F232" s="832">
        <v>0</v>
      </c>
      <c r="G232" s="832">
        <v>0</v>
      </c>
      <c r="H232" s="832">
        <v>0</v>
      </c>
      <c r="I232" s="832">
        <v>0</v>
      </c>
      <c r="J232" s="832">
        <v>0</v>
      </c>
      <c r="K232" s="832">
        <v>0</v>
      </c>
      <c r="L232" s="832">
        <v>0</v>
      </c>
      <c r="M232" s="832">
        <v>0</v>
      </c>
      <c r="N232" s="832">
        <v>0</v>
      </c>
      <c r="O232" s="832">
        <v>-9880.33</v>
      </c>
    </row>
    <row r="233" spans="2:16" outlineLevel="2">
      <c r="B233" s="831" t="s">
        <v>4218</v>
      </c>
      <c r="C233" s="832">
        <v>-35267120.420000002</v>
      </c>
      <c r="D233" s="832">
        <v>-27026436.109999999</v>
      </c>
      <c r="E233" s="832">
        <v>-15775564.359999999</v>
      </c>
      <c r="F233" s="832">
        <v>-12585081.18</v>
      </c>
      <c r="G233" s="832">
        <v>-10445141.369999999</v>
      </c>
      <c r="H233" s="832">
        <v>-11542584.359999999</v>
      </c>
      <c r="I233" s="832">
        <v>-11875626.550000001</v>
      </c>
      <c r="J233" s="832">
        <v>-16303228.619999999</v>
      </c>
      <c r="K233" s="832">
        <v>-26728001.359999999</v>
      </c>
      <c r="L233" s="832">
        <v>-43461305.270000003</v>
      </c>
      <c r="M233" s="832">
        <v>-46185392.469999999</v>
      </c>
      <c r="N233" s="832">
        <v>-49407535.640000001</v>
      </c>
      <c r="O233" s="832">
        <v>-306603017.70999998</v>
      </c>
    </row>
    <row r="234" spans="2:16" outlineLevel="5">
      <c r="B234" s="831" t="s">
        <v>3757</v>
      </c>
      <c r="C234" s="832">
        <v>8216078.54</v>
      </c>
      <c r="D234" s="832">
        <v>8955265.1899999995</v>
      </c>
      <c r="E234" s="832">
        <v>6299478.1900000004</v>
      </c>
      <c r="F234" s="832">
        <v>5784466.25</v>
      </c>
      <c r="G234" s="832">
        <v>6410266.7300000004</v>
      </c>
      <c r="H234" s="832">
        <v>6899894.8700000001</v>
      </c>
      <c r="I234" s="832">
        <v>8048706.8399999999</v>
      </c>
      <c r="J234" s="832">
        <v>9841951.6500000004</v>
      </c>
      <c r="K234" s="832">
        <v>13665430.58</v>
      </c>
      <c r="L234" s="832">
        <v>17931829.739999998</v>
      </c>
      <c r="M234" s="832">
        <v>20154803.539999999</v>
      </c>
      <c r="N234" s="832">
        <v>18439257.27</v>
      </c>
      <c r="O234" s="832">
        <v>130647429.39</v>
      </c>
      <c r="P234" s="805" t="s">
        <v>3758</v>
      </c>
    </row>
    <row r="235" spans="2:16" outlineLevel="5">
      <c r="B235" s="831" t="s">
        <v>3759</v>
      </c>
      <c r="C235" s="832">
        <v>4400292.38</v>
      </c>
      <c r="D235" s="832">
        <v>-339742.15</v>
      </c>
      <c r="E235" s="832">
        <v>584161.46</v>
      </c>
      <c r="F235" s="832">
        <v>-1989328.72</v>
      </c>
      <c r="G235" s="832">
        <v>-2280414.91</v>
      </c>
      <c r="H235" s="832">
        <v>-1047229.68</v>
      </c>
      <c r="I235" s="832">
        <v>-1442603.32</v>
      </c>
      <c r="J235" s="832">
        <v>-718880.75</v>
      </c>
      <c r="K235" s="832">
        <v>485620.17</v>
      </c>
      <c r="L235" s="832">
        <v>1897369.71</v>
      </c>
      <c r="M235" s="832">
        <v>-1542159.02</v>
      </c>
      <c r="N235" s="832">
        <v>18591.64</v>
      </c>
      <c r="O235" s="832">
        <v>-1974323.19</v>
      </c>
      <c r="P235" s="805" t="s">
        <v>3760</v>
      </c>
    </row>
    <row r="236" spans="2:16" outlineLevel="5">
      <c r="B236" s="831" t="s">
        <v>3761</v>
      </c>
      <c r="C236" s="832">
        <v>3010214.34</v>
      </c>
      <c r="D236" s="832">
        <v>2539724.36</v>
      </c>
      <c r="E236" s="832">
        <v>137654.70000000001</v>
      </c>
      <c r="F236" s="832">
        <v>0</v>
      </c>
      <c r="G236" s="832">
        <v>0</v>
      </c>
      <c r="H236" s="832">
        <v>0</v>
      </c>
      <c r="I236" s="832">
        <v>543.55999999999995</v>
      </c>
      <c r="J236" s="832">
        <v>-543.55999999999995</v>
      </c>
      <c r="K236" s="832">
        <v>230341.02</v>
      </c>
      <c r="L236" s="832">
        <v>3634201.05</v>
      </c>
      <c r="M236" s="832">
        <v>5826534.71</v>
      </c>
      <c r="N236" s="832">
        <v>7961410.7999999998</v>
      </c>
      <c r="O236" s="832">
        <v>23340080.98</v>
      </c>
      <c r="P236" s="805" t="s">
        <v>2647</v>
      </c>
    </row>
    <row r="237" spans="2:16" outlineLevel="5">
      <c r="B237" s="831" t="s">
        <v>3762</v>
      </c>
      <c r="C237" s="832">
        <v>-38235.82</v>
      </c>
      <c r="D237" s="832">
        <v>-104887.88</v>
      </c>
      <c r="E237" s="832">
        <v>-1908457.7</v>
      </c>
      <c r="F237" s="832">
        <v>-2709941.42</v>
      </c>
      <c r="G237" s="832">
        <v>-3195268.48</v>
      </c>
      <c r="H237" s="832">
        <v>-3753639.63</v>
      </c>
      <c r="I237" s="832">
        <v>-4376615.79</v>
      </c>
      <c r="J237" s="832">
        <v>-5016454.4000000004</v>
      </c>
      <c r="K237" s="832">
        <v>-3136088.23</v>
      </c>
      <c r="L237" s="832">
        <v>-233208.02</v>
      </c>
      <c r="M237" s="832">
        <v>-18831.27</v>
      </c>
      <c r="N237" s="832">
        <v>-57907.73</v>
      </c>
      <c r="O237" s="832">
        <v>-24549536.370000001</v>
      </c>
      <c r="P237" s="805" t="s">
        <v>3758</v>
      </c>
    </row>
    <row r="238" spans="2:16" outlineLevel="5">
      <c r="B238" s="831" t="s">
        <v>3763</v>
      </c>
      <c r="C238" s="832">
        <v>-19839.060000000001</v>
      </c>
      <c r="D238" s="832">
        <v>-15362.97</v>
      </c>
      <c r="E238" s="832">
        <v>-6080.13</v>
      </c>
      <c r="F238" s="832">
        <v>-1665.88</v>
      </c>
      <c r="G238" s="832">
        <v>-1210.31</v>
      </c>
      <c r="H238" s="832">
        <v>-2710.91</v>
      </c>
      <c r="I238" s="832">
        <v>-4600.24</v>
      </c>
      <c r="J238" s="832">
        <v>-15662.39</v>
      </c>
      <c r="K238" s="832">
        <v>-36627.089999999997</v>
      </c>
      <c r="L238" s="832">
        <v>-57648.32</v>
      </c>
      <c r="M238" s="832">
        <v>-64970.37</v>
      </c>
      <c r="N238" s="832">
        <v>-70696.33</v>
      </c>
      <c r="O238" s="832">
        <v>-297074</v>
      </c>
      <c r="P238" s="805" t="s">
        <v>3758</v>
      </c>
    </row>
    <row r="239" spans="2:16" outlineLevel="4">
      <c r="B239" s="831" t="s">
        <v>4219</v>
      </c>
      <c r="C239" s="832">
        <v>15568510.380000001</v>
      </c>
      <c r="D239" s="832">
        <v>11034996.550000001</v>
      </c>
      <c r="E239" s="832">
        <v>5106756.5199999996</v>
      </c>
      <c r="F239" s="832">
        <v>1083530.23</v>
      </c>
      <c r="G239" s="832">
        <v>933373.03</v>
      </c>
      <c r="H239" s="832">
        <v>2096314.65</v>
      </c>
      <c r="I239" s="832">
        <v>2225431.0499999998</v>
      </c>
      <c r="J239" s="832">
        <v>4090410.55</v>
      </c>
      <c r="K239" s="832">
        <v>11208676.449999999</v>
      </c>
      <c r="L239" s="832">
        <v>23172544.16</v>
      </c>
      <c r="M239" s="832">
        <v>24355377.59</v>
      </c>
      <c r="N239" s="832">
        <v>26290655.649999999</v>
      </c>
      <c r="O239" s="832">
        <v>127166576.81</v>
      </c>
    </row>
    <row r="240" spans="2:16" outlineLevel="3">
      <c r="B240" s="831" t="s">
        <v>4220</v>
      </c>
      <c r="C240" s="832">
        <v>15568510.380000001</v>
      </c>
      <c r="D240" s="832">
        <v>11034996.550000001</v>
      </c>
      <c r="E240" s="832">
        <v>5106756.5199999996</v>
      </c>
      <c r="F240" s="832">
        <v>1083530.23</v>
      </c>
      <c r="G240" s="832">
        <v>933373.03</v>
      </c>
      <c r="H240" s="832">
        <v>2096314.65</v>
      </c>
      <c r="I240" s="832">
        <v>2225431.0499999998</v>
      </c>
      <c r="J240" s="832">
        <v>4090410.55</v>
      </c>
      <c r="K240" s="832">
        <v>11208676.449999999</v>
      </c>
      <c r="L240" s="832">
        <v>23172544.16</v>
      </c>
      <c r="M240" s="832">
        <v>24355377.59</v>
      </c>
      <c r="N240" s="832">
        <v>26290655.649999999</v>
      </c>
      <c r="O240" s="832">
        <v>127166576.81</v>
      </c>
    </row>
    <row r="241" spans="2:16" outlineLevel="5">
      <c r="B241" s="831" t="s">
        <v>3764</v>
      </c>
      <c r="C241" s="832">
        <v>88010.46</v>
      </c>
      <c r="D241" s="832">
        <v>62052.69</v>
      </c>
      <c r="E241" s="832">
        <v>77601.350000000006</v>
      </c>
      <c r="F241" s="832">
        <v>61382.34</v>
      </c>
      <c r="G241" s="832">
        <v>61736.99</v>
      </c>
      <c r="H241" s="832">
        <v>57501.98</v>
      </c>
      <c r="I241" s="832">
        <v>95223.31</v>
      </c>
      <c r="J241" s="832">
        <v>100800.33</v>
      </c>
      <c r="K241" s="832">
        <v>74187.64</v>
      </c>
      <c r="L241" s="832">
        <v>66792.639999999999</v>
      </c>
      <c r="M241" s="832">
        <v>66468.39</v>
      </c>
      <c r="N241" s="832">
        <v>61452.04</v>
      </c>
      <c r="O241" s="832">
        <v>873210.16</v>
      </c>
      <c r="P241" s="805" t="s">
        <v>3765</v>
      </c>
    </row>
    <row r="242" spans="2:16" outlineLevel="5">
      <c r="B242" s="831" t="s">
        <v>3766</v>
      </c>
      <c r="C242" s="832">
        <v>1296.98</v>
      </c>
      <c r="D242" s="832">
        <v>1427.3</v>
      </c>
      <c r="E242" s="832">
        <v>1548.61</v>
      </c>
      <c r="F242" s="832">
        <v>1954.53</v>
      </c>
      <c r="G242" s="832">
        <v>1739.32</v>
      </c>
      <c r="H242" s="832">
        <v>1337.85</v>
      </c>
      <c r="I242" s="832">
        <v>1078.5899999999999</v>
      </c>
      <c r="J242" s="832">
        <v>984.08</v>
      </c>
      <c r="K242" s="832">
        <v>3390.19</v>
      </c>
      <c r="L242" s="832">
        <v>1200.8499999999999</v>
      </c>
      <c r="M242" s="832">
        <v>706.14</v>
      </c>
      <c r="N242" s="832">
        <v>880.92</v>
      </c>
      <c r="O242" s="832">
        <v>17545.36</v>
      </c>
      <c r="P242" s="805" t="s">
        <v>3765</v>
      </c>
    </row>
    <row r="243" spans="2:16" outlineLevel="5">
      <c r="B243" s="831" t="s">
        <v>3767</v>
      </c>
      <c r="C243" s="832">
        <v>51278.14</v>
      </c>
      <c r="D243" s="832">
        <v>18868.43</v>
      </c>
      <c r="E243" s="832">
        <v>157432.73000000001</v>
      </c>
      <c r="F243" s="832">
        <v>69742.399999999994</v>
      </c>
      <c r="G243" s="832">
        <v>21071.14</v>
      </c>
      <c r="H243" s="832">
        <v>80735.75</v>
      </c>
      <c r="I243" s="832">
        <v>79959.31</v>
      </c>
      <c r="J243" s="832">
        <v>5204.63</v>
      </c>
      <c r="K243" s="832">
        <v>7591.58</v>
      </c>
      <c r="L243" s="832">
        <v>163.43</v>
      </c>
      <c r="M243" s="832">
        <v>-52395.32</v>
      </c>
      <c r="N243" s="832">
        <v>7952.11</v>
      </c>
      <c r="O243" s="832">
        <v>447604.33</v>
      </c>
      <c r="P243" s="805" t="s">
        <v>3765</v>
      </c>
    </row>
    <row r="244" spans="2:16" outlineLevel="5">
      <c r="B244" s="831" t="s">
        <v>3768</v>
      </c>
      <c r="C244" s="832">
        <v>6609.48</v>
      </c>
      <c r="D244" s="832">
        <v>2934.35</v>
      </c>
      <c r="E244" s="832">
        <v>6857.19</v>
      </c>
      <c r="F244" s="832">
        <v>6747.57</v>
      </c>
      <c r="G244" s="832">
        <v>13299.11</v>
      </c>
      <c r="H244" s="832">
        <v>6264.04</v>
      </c>
      <c r="I244" s="832">
        <v>4595.43</v>
      </c>
      <c r="J244" s="832">
        <v>3122.78</v>
      </c>
      <c r="K244" s="832">
        <v>3597.35</v>
      </c>
      <c r="L244" s="832">
        <v>4901.68</v>
      </c>
      <c r="M244" s="832">
        <v>5083.49</v>
      </c>
      <c r="N244" s="832">
        <v>4173.53</v>
      </c>
      <c r="O244" s="832">
        <v>68186</v>
      </c>
      <c r="P244" s="805" t="s">
        <v>3765</v>
      </c>
    </row>
    <row r="245" spans="2:16" outlineLevel="5">
      <c r="B245" s="831" t="s">
        <v>3769</v>
      </c>
      <c r="C245" s="832">
        <v>269860.93</v>
      </c>
      <c r="D245" s="832">
        <v>69857.509999999995</v>
      </c>
      <c r="E245" s="832">
        <v>113319.89</v>
      </c>
      <c r="F245" s="832">
        <v>119179.77</v>
      </c>
      <c r="G245" s="832">
        <v>125627.31</v>
      </c>
      <c r="H245" s="832">
        <v>129811.79</v>
      </c>
      <c r="I245" s="832">
        <v>64902.86</v>
      </c>
      <c r="J245" s="832">
        <v>127358.67</v>
      </c>
      <c r="K245" s="832">
        <v>151891.01</v>
      </c>
      <c r="L245" s="832">
        <v>122232.91</v>
      </c>
      <c r="M245" s="832">
        <v>96147.35</v>
      </c>
      <c r="N245" s="832">
        <v>170862.23</v>
      </c>
      <c r="O245" s="832">
        <v>1561052.23</v>
      </c>
      <c r="P245" s="805" t="s">
        <v>3765</v>
      </c>
    </row>
    <row r="246" spans="2:16" outlineLevel="5">
      <c r="B246" s="831" t="s">
        <v>3770</v>
      </c>
      <c r="C246" s="832">
        <v>124115.17</v>
      </c>
      <c r="D246" s="832">
        <v>128519.74</v>
      </c>
      <c r="E246" s="832">
        <v>112737.16</v>
      </c>
      <c r="F246" s="832">
        <v>120579.61</v>
      </c>
      <c r="G246" s="832">
        <v>127187.02</v>
      </c>
      <c r="H246" s="832">
        <v>107499.67</v>
      </c>
      <c r="I246" s="832">
        <v>117085.57</v>
      </c>
      <c r="J246" s="832">
        <v>154155.43</v>
      </c>
      <c r="K246" s="832">
        <v>134081.54999999999</v>
      </c>
      <c r="L246" s="832">
        <v>114025.35</v>
      </c>
      <c r="M246" s="832">
        <v>107953.22</v>
      </c>
      <c r="N246" s="832">
        <v>130498.69</v>
      </c>
      <c r="O246" s="832">
        <v>1478438.18</v>
      </c>
      <c r="P246" s="805" t="s">
        <v>3765</v>
      </c>
    </row>
    <row r="247" spans="2:16" outlineLevel="5">
      <c r="B247" s="831" t="s">
        <v>3771</v>
      </c>
      <c r="C247" s="832">
        <v>164735.07</v>
      </c>
      <c r="D247" s="832">
        <v>130385.74</v>
      </c>
      <c r="E247" s="832">
        <v>169001.38</v>
      </c>
      <c r="F247" s="832">
        <v>215903.91</v>
      </c>
      <c r="G247" s="832">
        <v>281452.09000000003</v>
      </c>
      <c r="H247" s="832">
        <v>219927.21</v>
      </c>
      <c r="I247" s="832">
        <v>342536.8</v>
      </c>
      <c r="J247" s="832">
        <v>231641.33</v>
      </c>
      <c r="K247" s="832">
        <v>317898.82</v>
      </c>
      <c r="L247" s="832">
        <v>302308.67</v>
      </c>
      <c r="M247" s="832">
        <v>301078.56</v>
      </c>
      <c r="N247" s="832">
        <v>140855.35</v>
      </c>
      <c r="O247" s="832">
        <v>2817724.93</v>
      </c>
      <c r="P247" s="805" t="s">
        <v>3765</v>
      </c>
    </row>
    <row r="248" spans="2:16" outlineLevel="5">
      <c r="B248" s="831" t="s">
        <v>3772</v>
      </c>
      <c r="C248" s="832">
        <v>82023.960000000006</v>
      </c>
      <c r="D248" s="832">
        <v>38508.11</v>
      </c>
      <c r="E248" s="832">
        <v>29306.48</v>
      </c>
      <c r="F248" s="832">
        <v>99076.47</v>
      </c>
      <c r="G248" s="832">
        <v>140308.45000000001</v>
      </c>
      <c r="H248" s="832">
        <v>110817.4</v>
      </c>
      <c r="I248" s="832">
        <v>128430.94</v>
      </c>
      <c r="J248" s="832">
        <v>79339.44</v>
      </c>
      <c r="K248" s="832">
        <v>29262.78</v>
      </c>
      <c r="L248" s="832">
        <v>44064.63</v>
      </c>
      <c r="M248" s="832">
        <v>37559.94</v>
      </c>
      <c r="N248" s="832">
        <v>69463.41</v>
      </c>
      <c r="O248" s="832">
        <v>888162.01</v>
      </c>
      <c r="P248" s="805" t="s">
        <v>3765</v>
      </c>
    </row>
    <row r="249" spans="2:16" outlineLevel="5">
      <c r="B249" s="831" t="s">
        <v>3773</v>
      </c>
      <c r="C249" s="832">
        <v>18717.75</v>
      </c>
      <c r="D249" s="832">
        <v>27374.080000000002</v>
      </c>
      <c r="E249" s="832">
        <v>21515.3</v>
      </c>
      <c r="F249" s="832">
        <v>20768.099999999999</v>
      </c>
      <c r="G249" s="832">
        <v>23590.39</v>
      </c>
      <c r="H249" s="832">
        <v>18533.37</v>
      </c>
      <c r="I249" s="832">
        <v>21710.54</v>
      </c>
      <c r="J249" s="832">
        <v>17916.39</v>
      </c>
      <c r="K249" s="832">
        <v>18081.900000000001</v>
      </c>
      <c r="L249" s="832">
        <v>30219.61</v>
      </c>
      <c r="M249" s="832">
        <v>27405.040000000001</v>
      </c>
      <c r="N249" s="832">
        <v>25436.35</v>
      </c>
      <c r="O249" s="832">
        <v>271268.82</v>
      </c>
      <c r="P249" s="805" t="s">
        <v>3765</v>
      </c>
    </row>
    <row r="250" spans="2:16" outlineLevel="5">
      <c r="B250" s="831" t="s">
        <v>3774</v>
      </c>
      <c r="C250" s="832">
        <v>482792.26</v>
      </c>
      <c r="D250" s="832">
        <v>364437.24</v>
      </c>
      <c r="E250" s="832">
        <v>87716.4</v>
      </c>
      <c r="F250" s="832">
        <v>462857.69</v>
      </c>
      <c r="G250" s="832">
        <v>95724</v>
      </c>
      <c r="H250" s="832">
        <v>63043.14</v>
      </c>
      <c r="I250" s="832">
        <v>-51439.15</v>
      </c>
      <c r="J250" s="832">
        <v>342123.53</v>
      </c>
      <c r="K250" s="832">
        <v>400802.2</v>
      </c>
      <c r="L250" s="832">
        <v>306038.28000000003</v>
      </c>
      <c r="M250" s="832">
        <v>308900.87</v>
      </c>
      <c r="N250" s="832">
        <v>287437.73</v>
      </c>
      <c r="O250" s="832">
        <v>3150434.19</v>
      </c>
      <c r="P250" s="805" t="s">
        <v>3765</v>
      </c>
    </row>
    <row r="251" spans="2:16" outlineLevel="5">
      <c r="B251" s="831" t="s">
        <v>3775</v>
      </c>
      <c r="C251" s="832">
        <v>5368.08</v>
      </c>
      <c r="D251" s="832">
        <v>16064.67</v>
      </c>
      <c r="E251" s="832">
        <v>12877.16</v>
      </c>
      <c r="F251" s="832">
        <v>17227.02</v>
      </c>
      <c r="G251" s="832">
        <v>9626.2999999999993</v>
      </c>
      <c r="H251" s="832">
        <v>12283.7</v>
      </c>
      <c r="I251" s="832">
        <v>20580.36</v>
      </c>
      <c r="J251" s="832">
        <v>12674.45</v>
      </c>
      <c r="K251" s="832">
        <v>19161.88</v>
      </c>
      <c r="L251" s="832">
        <v>27609.96</v>
      </c>
      <c r="M251" s="832">
        <v>35153.879999999997</v>
      </c>
      <c r="N251" s="832">
        <v>43120.43</v>
      </c>
      <c r="O251" s="832">
        <v>231747.89</v>
      </c>
      <c r="P251" s="805" t="s">
        <v>3765</v>
      </c>
    </row>
    <row r="252" spans="2:16" outlineLevel="5">
      <c r="B252" s="831" t="s">
        <v>3776</v>
      </c>
      <c r="C252" s="832">
        <v>683461.28</v>
      </c>
      <c r="D252" s="832">
        <v>545744.54</v>
      </c>
      <c r="E252" s="832">
        <v>587285.61</v>
      </c>
      <c r="F252" s="832">
        <v>566028.9</v>
      </c>
      <c r="G252" s="832">
        <v>600040.05000000005</v>
      </c>
      <c r="H252" s="832">
        <v>555863.42000000004</v>
      </c>
      <c r="I252" s="832">
        <v>698817.99</v>
      </c>
      <c r="J252" s="832">
        <v>704005.51</v>
      </c>
      <c r="K252" s="832">
        <v>715086.1</v>
      </c>
      <c r="L252" s="832">
        <v>946654.38</v>
      </c>
      <c r="M252" s="832">
        <v>736522.87</v>
      </c>
      <c r="N252" s="832">
        <v>712706.06</v>
      </c>
      <c r="O252" s="832">
        <v>8052216.71</v>
      </c>
      <c r="P252" s="805" t="s">
        <v>3765</v>
      </c>
    </row>
    <row r="253" spans="2:16" outlineLevel="5">
      <c r="B253" s="831" t="s">
        <v>3777</v>
      </c>
      <c r="C253" s="832">
        <v>52523.360000000001</v>
      </c>
      <c r="D253" s="832">
        <v>57509.49</v>
      </c>
      <c r="E253" s="832">
        <v>48040.09</v>
      </c>
      <c r="F253" s="832">
        <v>53497.11</v>
      </c>
      <c r="G253" s="832">
        <v>49932.77</v>
      </c>
      <c r="H253" s="832">
        <v>40717.870000000003</v>
      </c>
      <c r="I253" s="832">
        <v>53923.13</v>
      </c>
      <c r="J253" s="832">
        <v>51248.44</v>
      </c>
      <c r="K253" s="832">
        <v>40152.79</v>
      </c>
      <c r="L253" s="832">
        <v>43724.22</v>
      </c>
      <c r="M253" s="832">
        <v>37362.379999999997</v>
      </c>
      <c r="N253" s="832">
        <v>38793.410000000003</v>
      </c>
      <c r="O253" s="832">
        <v>567425.06000000006</v>
      </c>
      <c r="P253" s="805" t="s">
        <v>3765</v>
      </c>
    </row>
    <row r="254" spans="2:16" outlineLevel="5">
      <c r="B254" s="831" t="s">
        <v>3778</v>
      </c>
      <c r="C254" s="832">
        <v>58122.47</v>
      </c>
      <c r="D254" s="832">
        <v>77513.62</v>
      </c>
      <c r="E254" s="832">
        <v>65588.87</v>
      </c>
      <c r="F254" s="832">
        <v>75916.5</v>
      </c>
      <c r="G254" s="832">
        <v>66611.289999999994</v>
      </c>
      <c r="H254" s="832">
        <v>64677.919999999998</v>
      </c>
      <c r="I254" s="832">
        <v>78484.17</v>
      </c>
      <c r="J254" s="832">
        <v>71753.850000000006</v>
      </c>
      <c r="K254" s="832">
        <v>73880.09</v>
      </c>
      <c r="L254" s="832">
        <v>80687.149999999994</v>
      </c>
      <c r="M254" s="832">
        <v>75636.800000000003</v>
      </c>
      <c r="N254" s="832">
        <v>74371.839999999997</v>
      </c>
      <c r="O254" s="832">
        <v>863244.57</v>
      </c>
      <c r="P254" s="805" t="s">
        <v>3765</v>
      </c>
    </row>
    <row r="255" spans="2:16" outlineLevel="5">
      <c r="B255" s="831" t="s">
        <v>3779</v>
      </c>
      <c r="C255" s="832">
        <v>538577.53</v>
      </c>
      <c r="D255" s="832">
        <v>549999.80000000005</v>
      </c>
      <c r="E255" s="832">
        <v>548724.29</v>
      </c>
      <c r="F255" s="832">
        <v>520900.13</v>
      </c>
      <c r="G255" s="832">
        <v>534556.94999999995</v>
      </c>
      <c r="H255" s="832">
        <v>540312.1</v>
      </c>
      <c r="I255" s="832">
        <v>570908.02</v>
      </c>
      <c r="J255" s="832">
        <v>578600.13</v>
      </c>
      <c r="K255" s="832">
        <v>610590.52</v>
      </c>
      <c r="L255" s="832">
        <v>610000.1</v>
      </c>
      <c r="M255" s="832">
        <v>541191.4</v>
      </c>
      <c r="N255" s="832">
        <v>543280.37</v>
      </c>
      <c r="O255" s="832">
        <v>6687641.3399999999</v>
      </c>
      <c r="P255" s="805" t="s">
        <v>3765</v>
      </c>
    </row>
    <row r="256" spans="2:16" s="860" customFormat="1" outlineLevel="5">
      <c r="B256" s="831" t="s">
        <v>3780</v>
      </c>
      <c r="C256" s="832">
        <v>-1182771.47</v>
      </c>
      <c r="D256" s="832">
        <v>747806.22</v>
      </c>
      <c r="E256" s="832">
        <v>1312360.93</v>
      </c>
      <c r="F256" s="832">
        <v>469794.36</v>
      </c>
      <c r="G256" s="832">
        <v>651122.66</v>
      </c>
      <c r="H256" s="832">
        <v>964768.22</v>
      </c>
      <c r="I256" s="832">
        <v>834839.44</v>
      </c>
      <c r="J256" s="832">
        <v>822511.37</v>
      </c>
      <c r="K256" s="832">
        <v>988040.06</v>
      </c>
      <c r="L256" s="832">
        <v>394711.99</v>
      </c>
      <c r="M256" s="832">
        <v>570848.67000000004</v>
      </c>
      <c r="N256" s="832">
        <v>991092.43</v>
      </c>
      <c r="O256" s="832">
        <v>7565124.8799999999</v>
      </c>
      <c r="P256" s="859" t="s">
        <v>3765</v>
      </c>
    </row>
    <row r="257" spans="2:16" outlineLevel="5">
      <c r="B257" s="831" t="s">
        <v>3781</v>
      </c>
      <c r="C257" s="832">
        <v>259115.07</v>
      </c>
      <c r="D257" s="832">
        <v>245332.16</v>
      </c>
      <c r="E257" s="832">
        <v>262921.28999999998</v>
      </c>
      <c r="F257" s="832">
        <v>260306.42</v>
      </c>
      <c r="G257" s="832">
        <v>267892.96999999997</v>
      </c>
      <c r="H257" s="832">
        <v>272225.88</v>
      </c>
      <c r="I257" s="832">
        <v>271922.89</v>
      </c>
      <c r="J257" s="832">
        <v>282907.51</v>
      </c>
      <c r="K257" s="832">
        <v>297258.23</v>
      </c>
      <c r="L257" s="832">
        <v>297318.64</v>
      </c>
      <c r="M257" s="832">
        <v>303128.55</v>
      </c>
      <c r="N257" s="832">
        <v>307232.90999999997</v>
      </c>
      <c r="O257" s="832">
        <v>3327562.52</v>
      </c>
      <c r="P257" s="805" t="s">
        <v>3765</v>
      </c>
    </row>
    <row r="258" spans="2:16" outlineLevel="5">
      <c r="B258" s="831" t="s">
        <v>3782</v>
      </c>
      <c r="C258" s="832">
        <v>695784.42</v>
      </c>
      <c r="D258" s="832">
        <v>596835.35</v>
      </c>
      <c r="E258" s="832">
        <v>607221.21</v>
      </c>
      <c r="F258" s="832">
        <v>577909.5</v>
      </c>
      <c r="G258" s="832">
        <v>547765.5</v>
      </c>
      <c r="H258" s="832">
        <v>508208.93</v>
      </c>
      <c r="I258" s="832">
        <v>578386.82999999996</v>
      </c>
      <c r="J258" s="832">
        <v>961031.45</v>
      </c>
      <c r="K258" s="832">
        <v>762136.83</v>
      </c>
      <c r="L258" s="832">
        <v>701796.13</v>
      </c>
      <c r="M258" s="832">
        <v>777057.64</v>
      </c>
      <c r="N258" s="832">
        <v>795953.89</v>
      </c>
      <c r="O258" s="832">
        <v>8110087.6799999997</v>
      </c>
      <c r="P258" s="805" t="s">
        <v>3765</v>
      </c>
    </row>
    <row r="259" spans="2:16" outlineLevel="5">
      <c r="B259" s="831" t="s">
        <v>3783</v>
      </c>
      <c r="C259" s="832">
        <v>3388.41</v>
      </c>
      <c r="D259" s="832">
        <v>16775.18</v>
      </c>
      <c r="E259" s="832">
        <v>5144.49</v>
      </c>
      <c r="F259" s="832">
        <v>5036.76</v>
      </c>
      <c r="G259" s="832">
        <v>8175.27</v>
      </c>
      <c r="H259" s="832">
        <v>2334.3200000000002</v>
      </c>
      <c r="I259" s="832">
        <v>576.16</v>
      </c>
      <c r="J259" s="832">
        <v>553.92999999999995</v>
      </c>
      <c r="K259" s="832">
        <v>-319.27</v>
      </c>
      <c r="L259" s="832">
        <v>2058.1799999999998</v>
      </c>
      <c r="M259" s="832">
        <v>14.15</v>
      </c>
      <c r="N259" s="832">
        <v>6401.51</v>
      </c>
      <c r="O259" s="832">
        <v>50139.09</v>
      </c>
      <c r="P259" s="805" t="s">
        <v>3765</v>
      </c>
    </row>
    <row r="260" spans="2:16" outlineLevel="5">
      <c r="B260" s="831" t="s">
        <v>3784</v>
      </c>
      <c r="C260" s="832">
        <v>4232.91</v>
      </c>
      <c r="D260" s="832">
        <v>5637.92</v>
      </c>
      <c r="E260" s="832">
        <v>7263.53</v>
      </c>
      <c r="F260" s="832">
        <v>5619.59</v>
      </c>
      <c r="G260" s="832">
        <v>5855.65</v>
      </c>
      <c r="H260" s="832">
        <v>3215.69</v>
      </c>
      <c r="I260" s="832">
        <v>6530.42</v>
      </c>
      <c r="J260" s="832">
        <v>7947.61</v>
      </c>
      <c r="K260" s="832">
        <v>6302.39</v>
      </c>
      <c r="L260" s="832">
        <v>5521.7</v>
      </c>
      <c r="M260" s="832">
        <v>5577.58</v>
      </c>
      <c r="N260" s="832">
        <v>8208.67</v>
      </c>
      <c r="O260" s="832">
        <v>71913.66</v>
      </c>
      <c r="P260" s="805" t="s">
        <v>3765</v>
      </c>
    </row>
    <row r="261" spans="2:16" outlineLevel="5">
      <c r="B261" s="831" t="s">
        <v>3785</v>
      </c>
      <c r="C261" s="832">
        <v>21900.87</v>
      </c>
      <c r="D261" s="832">
        <v>21059.439999999999</v>
      </c>
      <c r="E261" s="832">
        <v>11327.22</v>
      </c>
      <c r="F261" s="832">
        <v>22971.33</v>
      </c>
      <c r="G261" s="832">
        <v>26937.67</v>
      </c>
      <c r="H261" s="832">
        <v>23989.11</v>
      </c>
      <c r="I261" s="832">
        <v>22721.42</v>
      </c>
      <c r="J261" s="832">
        <v>17601.62</v>
      </c>
      <c r="K261" s="832">
        <v>17466.07</v>
      </c>
      <c r="L261" s="832">
        <v>14872.95</v>
      </c>
      <c r="M261" s="832">
        <v>14403.19</v>
      </c>
      <c r="N261" s="832">
        <v>19375.43</v>
      </c>
      <c r="O261" s="832">
        <v>234626.32</v>
      </c>
      <c r="P261" s="805" t="s">
        <v>3765</v>
      </c>
    </row>
    <row r="262" spans="2:16" outlineLevel="5">
      <c r="B262" s="831" t="s">
        <v>3786</v>
      </c>
      <c r="C262" s="832">
        <v>3291.87</v>
      </c>
      <c r="D262" s="832">
        <v>2279.29</v>
      </c>
      <c r="E262" s="832">
        <v>-1117.6300000000001</v>
      </c>
      <c r="F262" s="832">
        <v>2317.08</v>
      </c>
      <c r="G262" s="832">
        <v>1520.31</v>
      </c>
      <c r="H262" s="832">
        <v>3864.27</v>
      </c>
      <c r="I262" s="832">
        <v>-5718.14</v>
      </c>
      <c r="J262" s="832">
        <v>-4304.29</v>
      </c>
      <c r="K262" s="832">
        <v>1124.75</v>
      </c>
      <c r="L262" s="832">
        <v>2172.1999999999998</v>
      </c>
      <c r="M262" s="832">
        <v>-1105.17</v>
      </c>
      <c r="N262" s="832">
        <v>-29103.33</v>
      </c>
      <c r="O262" s="832">
        <v>-24778.79</v>
      </c>
      <c r="P262" s="805" t="s">
        <v>3765</v>
      </c>
    </row>
    <row r="263" spans="2:16" outlineLevel="5">
      <c r="B263" s="831" t="s">
        <v>3787</v>
      </c>
      <c r="C263" s="832">
        <v>2422.7399999999998</v>
      </c>
      <c r="D263" s="832">
        <v>2293.38</v>
      </c>
      <c r="E263" s="832">
        <v>476.15</v>
      </c>
      <c r="F263" s="832">
        <v>259.73</v>
      </c>
      <c r="G263" s="832">
        <v>40.01</v>
      </c>
      <c r="H263" s="832">
        <v>382.32</v>
      </c>
      <c r="I263" s="832">
        <v>389.86</v>
      </c>
      <c r="J263" s="832">
        <v>411.26</v>
      </c>
      <c r="K263" s="832">
        <v>511.71</v>
      </c>
      <c r="L263" s="832">
        <v>1199.0899999999999</v>
      </c>
      <c r="M263" s="832">
        <v>1368.57</v>
      </c>
      <c r="N263" s="832">
        <v>860.31</v>
      </c>
      <c r="O263" s="832">
        <v>10615.13</v>
      </c>
      <c r="P263" s="805" t="s">
        <v>3765</v>
      </c>
    </row>
    <row r="264" spans="2:16" outlineLevel="5">
      <c r="B264" s="831" t="s">
        <v>3788</v>
      </c>
      <c r="C264" s="832">
        <v>341594.05</v>
      </c>
      <c r="D264" s="832">
        <v>232467.33</v>
      </c>
      <c r="E264" s="832">
        <v>237200.58</v>
      </c>
      <c r="F264" s="832">
        <v>407352.41</v>
      </c>
      <c r="G264" s="832">
        <v>331561.48</v>
      </c>
      <c r="H264" s="832">
        <v>349690.91</v>
      </c>
      <c r="I264" s="832">
        <v>425462.44</v>
      </c>
      <c r="J264" s="832">
        <v>209755.62</v>
      </c>
      <c r="K264" s="832">
        <v>236869.36</v>
      </c>
      <c r="L264" s="832">
        <v>235634.29</v>
      </c>
      <c r="M264" s="832">
        <v>211202.59</v>
      </c>
      <c r="N264" s="832">
        <v>250966.63</v>
      </c>
      <c r="O264" s="832">
        <v>3469757.69</v>
      </c>
      <c r="P264" s="805" t="s">
        <v>3765</v>
      </c>
    </row>
    <row r="265" spans="2:16" outlineLevel="5">
      <c r="B265" s="831" t="s">
        <v>3789</v>
      </c>
      <c r="C265" s="832">
        <v>252622.18</v>
      </c>
      <c r="D265" s="832">
        <v>93930.17</v>
      </c>
      <c r="E265" s="832">
        <v>159313.39000000001</v>
      </c>
      <c r="F265" s="832">
        <v>106699.02</v>
      </c>
      <c r="G265" s="832">
        <v>145758.1</v>
      </c>
      <c r="H265" s="832">
        <v>168960.99</v>
      </c>
      <c r="I265" s="832">
        <v>143915.9</v>
      </c>
      <c r="J265" s="832">
        <v>59314.66</v>
      </c>
      <c r="K265" s="832">
        <v>268532.90000000002</v>
      </c>
      <c r="L265" s="832">
        <v>215341.77</v>
      </c>
      <c r="M265" s="832">
        <v>82135.63</v>
      </c>
      <c r="N265" s="832">
        <v>141742.25</v>
      </c>
      <c r="O265" s="832">
        <v>1838266.96</v>
      </c>
      <c r="P265" s="805" t="s">
        <v>3765</v>
      </c>
    </row>
    <row r="266" spans="2:16" outlineLevel="5">
      <c r="B266" s="831" t="s">
        <v>3790</v>
      </c>
      <c r="C266" s="832">
        <v>-116653.72</v>
      </c>
      <c r="D266" s="832">
        <v>-107119.02</v>
      </c>
      <c r="E266" s="832">
        <v>-97954.75</v>
      </c>
      <c r="F266" s="832">
        <v>-130741.07</v>
      </c>
      <c r="G266" s="832">
        <v>-121198.84</v>
      </c>
      <c r="H266" s="832">
        <v>-114110.62</v>
      </c>
      <c r="I266" s="832">
        <v>-89396.72</v>
      </c>
      <c r="J266" s="832">
        <v>-137241.53</v>
      </c>
      <c r="K266" s="832">
        <v>-155041.21</v>
      </c>
      <c r="L266" s="832">
        <v>-196778.39</v>
      </c>
      <c r="M266" s="832">
        <v>-120335.51</v>
      </c>
      <c r="N266" s="832">
        <v>-202881.36</v>
      </c>
      <c r="O266" s="832">
        <v>-1589452.74</v>
      </c>
      <c r="P266" s="805" t="s">
        <v>3765</v>
      </c>
    </row>
    <row r="267" spans="2:16" outlineLevel="5">
      <c r="B267" s="831" t="s">
        <v>3791</v>
      </c>
      <c r="C267" s="832">
        <v>2180081.08</v>
      </c>
      <c r="D267" s="832">
        <v>893891.96</v>
      </c>
      <c r="E267" s="832">
        <v>897579.28</v>
      </c>
      <c r="F267" s="832">
        <v>706097.08</v>
      </c>
      <c r="G267" s="832">
        <v>935613.06</v>
      </c>
      <c r="H267" s="832">
        <v>742198.73</v>
      </c>
      <c r="I267" s="832">
        <v>893036.33</v>
      </c>
      <c r="J267" s="832">
        <v>836480.76</v>
      </c>
      <c r="K267" s="832">
        <v>740776.76</v>
      </c>
      <c r="L267" s="832">
        <v>891647.18</v>
      </c>
      <c r="M267" s="832">
        <v>675955.66</v>
      </c>
      <c r="N267" s="832">
        <v>855495.19</v>
      </c>
      <c r="O267" s="832">
        <v>11248853.07</v>
      </c>
      <c r="P267" s="805" t="s">
        <v>3765</v>
      </c>
    </row>
    <row r="268" spans="2:16" outlineLevel="5">
      <c r="B268" s="831" t="s">
        <v>3792</v>
      </c>
      <c r="C268" s="832">
        <v>52489.96</v>
      </c>
      <c r="D268" s="832">
        <v>58376.92</v>
      </c>
      <c r="E268" s="832">
        <v>58612.12</v>
      </c>
      <c r="F268" s="832">
        <v>65760.08</v>
      </c>
      <c r="G268" s="832">
        <v>59108.34</v>
      </c>
      <c r="H268" s="832">
        <v>61135.6</v>
      </c>
      <c r="I268" s="832">
        <v>56400.93</v>
      </c>
      <c r="J268" s="832">
        <v>50042.400000000001</v>
      </c>
      <c r="K268" s="832">
        <v>50042.400000000001</v>
      </c>
      <c r="L268" s="832">
        <v>-18839.63</v>
      </c>
      <c r="M268" s="832">
        <v>92870.34</v>
      </c>
      <c r="N268" s="832">
        <v>50246.22</v>
      </c>
      <c r="O268" s="832">
        <v>636245.68000000005</v>
      </c>
      <c r="P268" s="805" t="s">
        <v>3765</v>
      </c>
    </row>
    <row r="269" spans="2:16" outlineLevel="5">
      <c r="B269" s="831" t="s">
        <v>3793</v>
      </c>
      <c r="C269" s="832">
        <v>23810.62</v>
      </c>
      <c r="D269" s="832">
        <v>4080.59</v>
      </c>
      <c r="E269" s="832">
        <v>-14081.16</v>
      </c>
      <c r="F269" s="832">
        <v>21485.29</v>
      </c>
      <c r="G269" s="832">
        <v>14929.56</v>
      </c>
      <c r="H269" s="832">
        <v>25401.41</v>
      </c>
      <c r="I269" s="832">
        <v>214872.95</v>
      </c>
      <c r="J269" s="832">
        <v>25024.639999999999</v>
      </c>
      <c r="K269" s="832">
        <v>43041.65</v>
      </c>
      <c r="L269" s="832">
        <v>-28574.959999999999</v>
      </c>
      <c r="M269" s="832">
        <v>34826.92</v>
      </c>
      <c r="N269" s="832">
        <v>-30426.53</v>
      </c>
      <c r="O269" s="832">
        <v>334390.98</v>
      </c>
      <c r="P269" s="805" t="s">
        <v>3765</v>
      </c>
    </row>
    <row r="270" spans="2:16" outlineLevel="5">
      <c r="B270" s="831" t="s">
        <v>3794</v>
      </c>
      <c r="C270" s="832">
        <v>-240512.53</v>
      </c>
      <c r="D270" s="832">
        <v>-205881.52</v>
      </c>
      <c r="E270" s="832">
        <v>-182337.26</v>
      </c>
      <c r="F270" s="832">
        <v>-311308.53999999998</v>
      </c>
      <c r="G270" s="832">
        <v>-257063.84</v>
      </c>
      <c r="H270" s="832">
        <v>-184314.01</v>
      </c>
      <c r="I270" s="832">
        <v>-241486.36</v>
      </c>
      <c r="J270" s="832">
        <v>-220100.85</v>
      </c>
      <c r="K270" s="832">
        <v>-238823.21</v>
      </c>
      <c r="L270" s="832">
        <v>-236759.4</v>
      </c>
      <c r="M270" s="832">
        <v>-205838.18</v>
      </c>
      <c r="N270" s="832">
        <v>-138262.76</v>
      </c>
      <c r="O270" s="832">
        <v>-2662688.46</v>
      </c>
      <c r="P270" s="805" t="s">
        <v>3765</v>
      </c>
    </row>
    <row r="271" spans="2:16" outlineLevel="5">
      <c r="B271" s="831" t="s">
        <v>3795</v>
      </c>
      <c r="C271" s="832">
        <v>585878.04</v>
      </c>
      <c r="D271" s="832">
        <v>571094.49</v>
      </c>
      <c r="E271" s="832">
        <v>-257398.77</v>
      </c>
      <c r="F271" s="832">
        <v>708117.24</v>
      </c>
      <c r="G271" s="832">
        <v>708944.49</v>
      </c>
      <c r="H271" s="832">
        <v>714070.39</v>
      </c>
      <c r="I271" s="832">
        <v>710799.99</v>
      </c>
      <c r="J271" s="832">
        <v>714450.45</v>
      </c>
      <c r="K271" s="832">
        <v>713934.79</v>
      </c>
      <c r="L271" s="832">
        <v>711314.98</v>
      </c>
      <c r="M271" s="832">
        <v>709024.11</v>
      </c>
      <c r="N271" s="832">
        <v>706567.35</v>
      </c>
      <c r="O271" s="832">
        <v>7296797.5499999998</v>
      </c>
      <c r="P271" s="805" t="s">
        <v>3765</v>
      </c>
    </row>
    <row r="272" spans="2:16" outlineLevel="5">
      <c r="B272" s="831" t="s">
        <v>3796</v>
      </c>
      <c r="C272" s="832">
        <v>6036.15</v>
      </c>
      <c r="D272" s="832">
        <v>36891.75</v>
      </c>
      <c r="E272" s="832">
        <v>19329.13</v>
      </c>
      <c r="F272" s="832">
        <v>9056.7199999999993</v>
      </c>
      <c r="G272" s="832">
        <v>6518.33</v>
      </c>
      <c r="H272" s="832">
        <v>7448.38</v>
      </c>
      <c r="I272" s="832">
        <v>10022.379999999999</v>
      </c>
      <c r="J272" s="832">
        <v>11690.46</v>
      </c>
      <c r="K272" s="832">
        <v>6350.56</v>
      </c>
      <c r="L272" s="832">
        <v>10515.17</v>
      </c>
      <c r="M272" s="832">
        <v>23962.87</v>
      </c>
      <c r="N272" s="832">
        <v>6935.66</v>
      </c>
      <c r="O272" s="832">
        <v>154757.56</v>
      </c>
      <c r="P272" s="805" t="s">
        <v>3765</v>
      </c>
    </row>
    <row r="273" spans="2:16" outlineLevel="5">
      <c r="B273" s="831" t="s">
        <v>3797</v>
      </c>
      <c r="C273" s="832">
        <v>-208229.75</v>
      </c>
      <c r="D273" s="832">
        <v>354208.98</v>
      </c>
      <c r="E273" s="832">
        <v>315030.34000000003</v>
      </c>
      <c r="F273" s="832">
        <v>486657.77</v>
      </c>
      <c r="G273" s="832">
        <v>399458.53</v>
      </c>
      <c r="H273" s="832">
        <v>440626.03</v>
      </c>
      <c r="I273" s="832">
        <v>227875.58</v>
      </c>
      <c r="J273" s="832">
        <v>300664.90999999997</v>
      </c>
      <c r="K273" s="832">
        <v>358524.97</v>
      </c>
      <c r="L273" s="832">
        <v>445504.65</v>
      </c>
      <c r="M273" s="832">
        <v>372437.68</v>
      </c>
      <c r="N273" s="832">
        <v>325452.46000000002</v>
      </c>
      <c r="O273" s="832">
        <v>3818212.15</v>
      </c>
      <c r="P273" s="805" t="s">
        <v>3765</v>
      </c>
    </row>
    <row r="274" spans="2:16" outlineLevel="5">
      <c r="B274" s="831" t="s">
        <v>3798</v>
      </c>
      <c r="C274" s="832">
        <v>102194.26</v>
      </c>
      <c r="D274" s="832">
        <v>114452.4</v>
      </c>
      <c r="E274" s="832">
        <v>97879.18</v>
      </c>
      <c r="F274" s="832">
        <v>102017.63</v>
      </c>
      <c r="G274" s="832">
        <v>112422.91</v>
      </c>
      <c r="H274" s="832">
        <v>101752.22</v>
      </c>
      <c r="I274" s="832">
        <v>112176.06</v>
      </c>
      <c r="J274" s="832">
        <v>100933.26</v>
      </c>
      <c r="K274" s="832">
        <v>101801.57</v>
      </c>
      <c r="L274" s="832">
        <v>114854.61</v>
      </c>
      <c r="M274" s="832">
        <v>12122.43</v>
      </c>
      <c r="N274" s="832">
        <v>198547.02</v>
      </c>
      <c r="O274" s="832">
        <v>1271153.55</v>
      </c>
      <c r="P274" s="805" t="s">
        <v>3765</v>
      </c>
    </row>
    <row r="275" spans="2:16" outlineLevel="4">
      <c r="B275" s="831" t="s">
        <v>4174</v>
      </c>
      <c r="C275" s="832">
        <v>5414168.0800000001</v>
      </c>
      <c r="D275" s="832">
        <v>5775610.2999999998</v>
      </c>
      <c r="E275" s="832">
        <v>5478321.7800000003</v>
      </c>
      <c r="F275" s="832">
        <v>5927170.4500000002</v>
      </c>
      <c r="G275" s="832">
        <v>5997865.3399999999</v>
      </c>
      <c r="H275" s="832">
        <v>6101175.9800000004</v>
      </c>
      <c r="I275" s="832">
        <v>6400126.2300000004</v>
      </c>
      <c r="J275" s="832">
        <v>6520604.2300000004</v>
      </c>
      <c r="K275" s="832">
        <v>6798187.71</v>
      </c>
      <c r="L275" s="832">
        <v>6264135.0099999998</v>
      </c>
      <c r="M275" s="832">
        <v>5884432.7300000004</v>
      </c>
      <c r="N275" s="832">
        <v>6575688.4199999999</v>
      </c>
      <c r="O275" s="832">
        <v>73137486.260000005</v>
      </c>
    </row>
    <row r="276" spans="2:16" outlineLevel="5">
      <c r="B276" s="831" t="s">
        <v>3799</v>
      </c>
      <c r="C276" s="832">
        <v>13624.41</v>
      </c>
      <c r="D276" s="832">
        <v>55594.62</v>
      </c>
      <c r="E276" s="832">
        <v>103935.13</v>
      </c>
      <c r="F276" s="832">
        <v>134.9</v>
      </c>
      <c r="G276" s="832">
        <v>1902.29</v>
      </c>
      <c r="H276" s="832">
        <v>1192.23</v>
      </c>
      <c r="I276" s="832">
        <v>2073.6999999999998</v>
      </c>
      <c r="J276" s="832">
        <v>65670.34</v>
      </c>
      <c r="K276" s="832">
        <v>12472.47</v>
      </c>
      <c r="L276" s="832">
        <v>401.82</v>
      </c>
      <c r="M276" s="832">
        <v>0</v>
      </c>
      <c r="N276" s="832">
        <v>272</v>
      </c>
      <c r="O276" s="832">
        <v>257273.91</v>
      </c>
      <c r="P276" s="805" t="s">
        <v>3765</v>
      </c>
    </row>
    <row r="277" spans="2:16" outlineLevel="5">
      <c r="B277" s="831" t="s">
        <v>3800</v>
      </c>
      <c r="C277" s="832">
        <v>749963.38</v>
      </c>
      <c r="D277" s="832">
        <v>404961.54</v>
      </c>
      <c r="E277" s="832">
        <v>392750.47</v>
      </c>
      <c r="F277" s="832">
        <v>316053.02</v>
      </c>
      <c r="G277" s="832">
        <v>409941.98</v>
      </c>
      <c r="H277" s="832">
        <v>539559.31000000006</v>
      </c>
      <c r="I277" s="832">
        <v>99903.07</v>
      </c>
      <c r="J277" s="832">
        <v>445273.83</v>
      </c>
      <c r="K277" s="832">
        <v>235503.99</v>
      </c>
      <c r="L277" s="832">
        <v>28459.5</v>
      </c>
      <c r="M277" s="832">
        <v>136778.69</v>
      </c>
      <c r="N277" s="832">
        <v>501386.73</v>
      </c>
      <c r="O277" s="832">
        <v>4260535.51</v>
      </c>
      <c r="P277" s="805" t="s">
        <v>3765</v>
      </c>
    </row>
    <row r="278" spans="2:16" outlineLevel="5">
      <c r="B278" s="831" t="s">
        <v>3801</v>
      </c>
      <c r="C278" s="832">
        <v>89715.08</v>
      </c>
      <c r="D278" s="832">
        <v>5987.34</v>
      </c>
      <c r="E278" s="832">
        <v>49834.99</v>
      </c>
      <c r="F278" s="832">
        <v>772.38</v>
      </c>
      <c r="G278" s="832">
        <v>8142.7</v>
      </c>
      <c r="H278" s="832">
        <v>8612.52</v>
      </c>
      <c r="I278" s="832">
        <v>13167.66</v>
      </c>
      <c r="J278" s="832">
        <v>639.5</v>
      </c>
      <c r="K278" s="832">
        <v>0</v>
      </c>
      <c r="L278" s="832">
        <v>324.67</v>
      </c>
      <c r="M278" s="832">
        <v>0</v>
      </c>
      <c r="N278" s="832">
        <v>0</v>
      </c>
      <c r="O278" s="832">
        <v>177196.84</v>
      </c>
      <c r="P278" s="805" t="s">
        <v>3765</v>
      </c>
    </row>
    <row r="279" spans="2:16" outlineLevel="5">
      <c r="B279" s="831" t="s">
        <v>3802</v>
      </c>
      <c r="C279" s="832">
        <v>353934.81</v>
      </c>
      <c r="D279" s="832">
        <v>349228.88</v>
      </c>
      <c r="E279" s="832">
        <v>512960.99</v>
      </c>
      <c r="F279" s="832">
        <v>445614.45</v>
      </c>
      <c r="G279" s="832">
        <v>272613.46000000002</v>
      </c>
      <c r="H279" s="832">
        <v>238261.51</v>
      </c>
      <c r="I279" s="832">
        <v>332251.56</v>
      </c>
      <c r="J279" s="832">
        <v>168337.5</v>
      </c>
      <c r="K279" s="832">
        <v>202315.66</v>
      </c>
      <c r="L279" s="832">
        <v>205654.62</v>
      </c>
      <c r="M279" s="832">
        <v>180543.15</v>
      </c>
      <c r="N279" s="832">
        <v>204253.7</v>
      </c>
      <c r="O279" s="832">
        <v>3465970.29</v>
      </c>
      <c r="P279" s="805" t="s">
        <v>3765</v>
      </c>
    </row>
    <row r="280" spans="2:16" outlineLevel="5">
      <c r="B280" s="831" t="s">
        <v>3803</v>
      </c>
      <c r="C280" s="832">
        <v>24485.82</v>
      </c>
      <c r="D280" s="832">
        <v>9931.2999999999993</v>
      </c>
      <c r="E280" s="832">
        <v>11007.37</v>
      </c>
      <c r="F280" s="832">
        <v>8906.48</v>
      </c>
      <c r="G280" s="832">
        <v>4716.25</v>
      </c>
      <c r="H280" s="832">
        <v>8415.02</v>
      </c>
      <c r="I280" s="832">
        <v>6527.78</v>
      </c>
      <c r="J280" s="832">
        <v>9983.4599999999991</v>
      </c>
      <c r="K280" s="832">
        <v>3749.53</v>
      </c>
      <c r="L280" s="832">
        <v>11189.59</v>
      </c>
      <c r="M280" s="832">
        <v>7675.33</v>
      </c>
      <c r="N280" s="832">
        <v>5957.27</v>
      </c>
      <c r="O280" s="832">
        <v>112545.2</v>
      </c>
      <c r="P280" s="805" t="s">
        <v>3765</v>
      </c>
    </row>
    <row r="281" spans="2:16" outlineLevel="5">
      <c r="B281" s="831" t="s">
        <v>3804</v>
      </c>
      <c r="C281" s="832">
        <v>6403.89</v>
      </c>
      <c r="D281" s="832">
        <v>10543.78</v>
      </c>
      <c r="E281" s="832">
        <v>28859.87</v>
      </c>
      <c r="F281" s="832">
        <v>2775.45</v>
      </c>
      <c r="G281" s="832">
        <v>6823.24</v>
      </c>
      <c r="H281" s="832">
        <v>9585.58</v>
      </c>
      <c r="I281" s="832">
        <v>324.56</v>
      </c>
      <c r="J281" s="832">
        <v>3521.27</v>
      </c>
      <c r="K281" s="832">
        <v>3506.91</v>
      </c>
      <c r="L281" s="832">
        <v>1024.95</v>
      </c>
      <c r="M281" s="832">
        <v>1660.2</v>
      </c>
      <c r="N281" s="832">
        <v>11424.55</v>
      </c>
      <c r="O281" s="832">
        <v>86454.25</v>
      </c>
      <c r="P281" s="805" t="s">
        <v>3765</v>
      </c>
    </row>
    <row r="282" spans="2:16" outlineLevel="5">
      <c r="B282" s="831" t="s">
        <v>3805</v>
      </c>
      <c r="C282" s="832">
        <v>147248.9</v>
      </c>
      <c r="D282" s="832">
        <v>127005.78</v>
      </c>
      <c r="E282" s="832">
        <v>237668.67</v>
      </c>
      <c r="F282" s="832">
        <v>232022.92</v>
      </c>
      <c r="G282" s="832">
        <v>149133.53</v>
      </c>
      <c r="H282" s="832">
        <v>181606.59</v>
      </c>
      <c r="I282" s="832">
        <v>177946.45</v>
      </c>
      <c r="J282" s="832">
        <v>150213.84</v>
      </c>
      <c r="K282" s="832">
        <v>141005.47</v>
      </c>
      <c r="L282" s="832">
        <v>116686.55</v>
      </c>
      <c r="M282" s="832">
        <v>77100.600000000006</v>
      </c>
      <c r="N282" s="832">
        <v>92421.56</v>
      </c>
      <c r="O282" s="832">
        <v>1830060.86</v>
      </c>
      <c r="P282" s="805" t="s">
        <v>3765</v>
      </c>
    </row>
    <row r="283" spans="2:16" outlineLevel="5">
      <c r="B283" s="831" t="s">
        <v>3806</v>
      </c>
      <c r="C283" s="832">
        <v>8606.4599999999991</v>
      </c>
      <c r="D283" s="832">
        <v>11754.71</v>
      </c>
      <c r="E283" s="832">
        <v>21690.29</v>
      </c>
      <c r="F283" s="832">
        <v>25062.13</v>
      </c>
      <c r="G283" s="832">
        <v>19861.27</v>
      </c>
      <c r="H283" s="832">
        <v>18461.18</v>
      </c>
      <c r="I283" s="832">
        <v>42072.28</v>
      </c>
      <c r="J283" s="832">
        <v>25627.41</v>
      </c>
      <c r="K283" s="832">
        <v>21425.56</v>
      </c>
      <c r="L283" s="832">
        <v>16558.64</v>
      </c>
      <c r="M283" s="832">
        <v>15729.42</v>
      </c>
      <c r="N283" s="832">
        <v>15391.64</v>
      </c>
      <c r="O283" s="832">
        <v>242240.99</v>
      </c>
      <c r="P283" s="805" t="s">
        <v>3765</v>
      </c>
    </row>
    <row r="284" spans="2:16" outlineLevel="5">
      <c r="B284" s="831" t="s">
        <v>4393</v>
      </c>
      <c r="C284" s="832">
        <v>-35546.379999999997</v>
      </c>
      <c r="D284" s="832">
        <v>0</v>
      </c>
      <c r="E284" s="832">
        <v>-26177.81</v>
      </c>
      <c r="F284" s="832">
        <v>0</v>
      </c>
      <c r="G284" s="832">
        <v>-24321.78</v>
      </c>
      <c r="H284" s="832">
        <v>0</v>
      </c>
      <c r="I284" s="832">
        <v>0</v>
      </c>
      <c r="J284" s="832">
        <v>0</v>
      </c>
      <c r="K284" s="832">
        <v>0</v>
      </c>
      <c r="L284" s="832">
        <v>0</v>
      </c>
      <c r="M284" s="832">
        <v>0</v>
      </c>
      <c r="N284" s="832">
        <v>0</v>
      </c>
      <c r="O284" s="832">
        <v>-86045.97</v>
      </c>
      <c r="P284" s="805" t="s">
        <v>3765</v>
      </c>
    </row>
    <row r="285" spans="2:16" outlineLevel="5">
      <c r="B285" s="831" t="s">
        <v>3807</v>
      </c>
      <c r="C285" s="832">
        <v>-41680.839999999997</v>
      </c>
      <c r="D285" s="832">
        <v>115108.21</v>
      </c>
      <c r="E285" s="832">
        <v>26234.89</v>
      </c>
      <c r="F285" s="832">
        <v>50360.53</v>
      </c>
      <c r="G285" s="832">
        <v>26423.07</v>
      </c>
      <c r="H285" s="832">
        <v>14419.17</v>
      </c>
      <c r="I285" s="832">
        <v>18016.12</v>
      </c>
      <c r="J285" s="832">
        <v>13030.31</v>
      </c>
      <c r="K285" s="832">
        <v>11292.95</v>
      </c>
      <c r="L285" s="832">
        <v>20505.09</v>
      </c>
      <c r="M285" s="832">
        <v>13590.51</v>
      </c>
      <c r="N285" s="832">
        <v>36309.519999999997</v>
      </c>
      <c r="O285" s="832">
        <v>303609.53000000003</v>
      </c>
      <c r="P285" s="805" t="s">
        <v>3765</v>
      </c>
    </row>
    <row r="286" spans="2:16" outlineLevel="4">
      <c r="B286" s="831" t="s">
        <v>4175</v>
      </c>
      <c r="C286" s="832">
        <v>1316755.53</v>
      </c>
      <c r="D286" s="832">
        <v>1090116.1599999999</v>
      </c>
      <c r="E286" s="832">
        <v>1358764.86</v>
      </c>
      <c r="F286" s="832">
        <v>1081702.26</v>
      </c>
      <c r="G286" s="832">
        <v>875236.01</v>
      </c>
      <c r="H286" s="832">
        <v>1020113.11</v>
      </c>
      <c r="I286" s="832">
        <v>692283.18</v>
      </c>
      <c r="J286" s="832">
        <v>882297.46</v>
      </c>
      <c r="K286" s="832">
        <v>631272.54</v>
      </c>
      <c r="L286" s="832">
        <v>400805.43</v>
      </c>
      <c r="M286" s="832">
        <v>433077.9</v>
      </c>
      <c r="N286" s="832">
        <v>867416.97</v>
      </c>
      <c r="O286" s="832">
        <v>10649841.41</v>
      </c>
    </row>
    <row r="287" spans="2:16" outlineLevel="3">
      <c r="B287" s="831" t="s">
        <v>4176</v>
      </c>
      <c r="C287" s="832">
        <v>6730923.6100000003</v>
      </c>
      <c r="D287" s="832">
        <v>6865726.46</v>
      </c>
      <c r="E287" s="832">
        <v>6837086.6399999997</v>
      </c>
      <c r="F287" s="832">
        <v>7008872.71</v>
      </c>
      <c r="G287" s="832">
        <v>6873101.3499999996</v>
      </c>
      <c r="H287" s="832">
        <v>7121289.0899999999</v>
      </c>
      <c r="I287" s="832">
        <v>7092409.4100000001</v>
      </c>
      <c r="J287" s="832">
        <v>7402901.6900000004</v>
      </c>
      <c r="K287" s="832">
        <v>7429460.25</v>
      </c>
      <c r="L287" s="832">
        <v>6664940.4400000004</v>
      </c>
      <c r="M287" s="832">
        <v>6317510.6299999999</v>
      </c>
      <c r="N287" s="832">
        <v>7443105.3899999997</v>
      </c>
      <c r="O287" s="832">
        <v>83787327.670000002</v>
      </c>
    </row>
    <row r="288" spans="2:16" outlineLevel="4">
      <c r="B288" s="831" t="s">
        <v>3808</v>
      </c>
      <c r="C288" s="832">
        <v>1712617.99</v>
      </c>
      <c r="D288" s="832">
        <v>1707044.62</v>
      </c>
      <c r="E288" s="832">
        <v>1693533.22</v>
      </c>
      <c r="F288" s="832">
        <v>1697017.18</v>
      </c>
      <c r="G288" s="832">
        <v>1691498.58</v>
      </c>
      <c r="H288" s="832">
        <v>1683402.82</v>
      </c>
      <c r="I288" s="832">
        <v>1685794.42</v>
      </c>
      <c r="J288" s="832">
        <v>1648827.64</v>
      </c>
      <c r="K288" s="832">
        <v>1659451.52</v>
      </c>
      <c r="L288" s="832">
        <v>1654214.51</v>
      </c>
      <c r="M288" s="832">
        <v>1649690.44</v>
      </c>
      <c r="N288" s="832">
        <v>1647003.53</v>
      </c>
      <c r="O288" s="832">
        <v>20130096.469999999</v>
      </c>
    </row>
    <row r="289" spans="2:15" outlineLevel="4">
      <c r="B289" s="831" t="s">
        <v>3809</v>
      </c>
      <c r="C289" s="832">
        <v>113186.43</v>
      </c>
      <c r="D289" s="832">
        <v>111179.97</v>
      </c>
      <c r="E289" s="832">
        <v>113487.15</v>
      </c>
      <c r="F289" s="832">
        <v>113487.15</v>
      </c>
      <c r="G289" s="832">
        <v>113487.16</v>
      </c>
      <c r="H289" s="832">
        <v>113487.16</v>
      </c>
      <c r="I289" s="832">
        <v>102618.99</v>
      </c>
      <c r="J289" s="832">
        <v>102624.29</v>
      </c>
      <c r="K289" s="832">
        <v>102624.29</v>
      </c>
      <c r="L289" s="832">
        <v>102624.31</v>
      </c>
      <c r="M289" s="832">
        <v>102624.31</v>
      </c>
      <c r="N289" s="832">
        <v>105029.77</v>
      </c>
      <c r="O289" s="832">
        <v>1296460.98</v>
      </c>
    </row>
    <row r="290" spans="2:15" outlineLevel="3">
      <c r="B290" s="831" t="s">
        <v>4177</v>
      </c>
      <c r="C290" s="832">
        <v>1825804.42</v>
      </c>
      <c r="D290" s="832">
        <v>1818224.59</v>
      </c>
      <c r="E290" s="832">
        <v>1807020.37</v>
      </c>
      <c r="F290" s="832">
        <v>1810504.33</v>
      </c>
      <c r="G290" s="832">
        <v>1804985.74</v>
      </c>
      <c r="H290" s="832">
        <v>1796889.98</v>
      </c>
      <c r="I290" s="832">
        <v>1788413.41</v>
      </c>
      <c r="J290" s="832">
        <v>1751451.93</v>
      </c>
      <c r="K290" s="832">
        <v>1762075.81</v>
      </c>
      <c r="L290" s="832">
        <v>1756838.82</v>
      </c>
      <c r="M290" s="832">
        <v>1752314.75</v>
      </c>
      <c r="N290" s="832">
        <v>1752033.3</v>
      </c>
      <c r="O290" s="832">
        <v>21426557.449999999</v>
      </c>
    </row>
    <row r="291" spans="2:15" outlineLevel="4">
      <c r="B291" s="831" t="s">
        <v>3810</v>
      </c>
      <c r="C291" s="832">
        <v>2340070.46</v>
      </c>
      <c r="D291" s="832">
        <v>2358353.86</v>
      </c>
      <c r="E291" s="832">
        <v>2188021.85</v>
      </c>
      <c r="F291" s="832">
        <v>2168539.9900000002</v>
      </c>
      <c r="G291" s="832">
        <v>2059119.44</v>
      </c>
      <c r="H291" s="832">
        <v>2054747.85</v>
      </c>
      <c r="I291" s="832">
        <v>1981275.24</v>
      </c>
      <c r="J291" s="832">
        <v>2168903.44</v>
      </c>
      <c r="K291" s="832">
        <v>2389847.5699999998</v>
      </c>
      <c r="L291" s="832">
        <v>2443723.9500000002</v>
      </c>
      <c r="M291" s="832">
        <v>2574449.9700000002</v>
      </c>
      <c r="N291" s="832">
        <v>2786228.44</v>
      </c>
      <c r="O291" s="832">
        <v>27513282.059999999</v>
      </c>
    </row>
    <row r="292" spans="2:15" outlineLevel="3">
      <c r="B292" s="831" t="s">
        <v>4178</v>
      </c>
      <c r="C292" s="832">
        <v>2340070.46</v>
      </c>
      <c r="D292" s="832">
        <v>2358353.86</v>
      </c>
      <c r="E292" s="832">
        <v>2188021.85</v>
      </c>
      <c r="F292" s="832">
        <v>2168539.9900000002</v>
      </c>
      <c r="G292" s="832">
        <v>2059119.44</v>
      </c>
      <c r="H292" s="832">
        <v>2054747.85</v>
      </c>
      <c r="I292" s="832">
        <v>1981275.24</v>
      </c>
      <c r="J292" s="832">
        <v>2168903.44</v>
      </c>
      <c r="K292" s="832">
        <v>2389847.5699999998</v>
      </c>
      <c r="L292" s="832">
        <v>2443723.9500000002</v>
      </c>
      <c r="M292" s="832">
        <v>2574449.9700000002</v>
      </c>
      <c r="N292" s="832">
        <v>2786228.44</v>
      </c>
      <c r="O292" s="832">
        <v>27513282.059999999</v>
      </c>
    </row>
    <row r="293" spans="2:15" outlineLevel="5">
      <c r="B293" s="831" t="s">
        <v>3811</v>
      </c>
      <c r="C293" s="832">
        <v>-116691.44</v>
      </c>
      <c r="D293" s="832">
        <v>-116920.66</v>
      </c>
      <c r="E293" s="832">
        <v>-117149.2</v>
      </c>
      <c r="F293" s="832">
        <v>-112365.31</v>
      </c>
      <c r="G293" s="832">
        <v>-107664.15</v>
      </c>
      <c r="H293" s="832">
        <v>-107696.58</v>
      </c>
      <c r="I293" s="832">
        <v>-104169.5</v>
      </c>
      <c r="J293" s="832">
        <v>-186969.9</v>
      </c>
      <c r="K293" s="832">
        <v>-88619</v>
      </c>
      <c r="L293" s="832">
        <v>-91525.41</v>
      </c>
      <c r="M293" s="832">
        <v>-96661.96</v>
      </c>
      <c r="N293" s="832">
        <v>-99955.74</v>
      </c>
      <c r="O293" s="832">
        <v>-1346388.85</v>
      </c>
    </row>
    <row r="294" spans="2:15" outlineLevel="4">
      <c r="B294" s="831" t="s">
        <v>4179</v>
      </c>
      <c r="C294" s="832">
        <v>-116691.44</v>
      </c>
      <c r="D294" s="832">
        <v>-116920.66</v>
      </c>
      <c r="E294" s="832">
        <v>-117149.2</v>
      </c>
      <c r="F294" s="832">
        <v>-112365.31</v>
      </c>
      <c r="G294" s="832">
        <v>-107664.15</v>
      </c>
      <c r="H294" s="832">
        <v>-107696.58</v>
      </c>
      <c r="I294" s="832">
        <v>-104169.5</v>
      </c>
      <c r="J294" s="832">
        <v>-186969.9</v>
      </c>
      <c r="K294" s="832">
        <v>-88619</v>
      </c>
      <c r="L294" s="832">
        <v>-91525.41</v>
      </c>
      <c r="M294" s="832">
        <v>-96661.96</v>
      </c>
      <c r="N294" s="832">
        <v>-99955.74</v>
      </c>
      <c r="O294" s="832">
        <v>-1346388.85</v>
      </c>
    </row>
    <row r="295" spans="2:15" outlineLevel="5">
      <c r="B295" s="831" t="s">
        <v>3812</v>
      </c>
      <c r="C295" s="832">
        <v>-58271.05</v>
      </c>
      <c r="D295" s="832">
        <v>-47851.6</v>
      </c>
      <c r="E295" s="832">
        <v>-64211.9</v>
      </c>
      <c r="F295" s="832">
        <v>-49056</v>
      </c>
      <c r="G295" s="832">
        <v>-36330.03</v>
      </c>
      <c r="H295" s="832">
        <v>-33302.25</v>
      </c>
      <c r="I295" s="832">
        <v>-24198.31</v>
      </c>
      <c r="J295" s="832">
        <v>-22610.25</v>
      </c>
      <c r="K295" s="832">
        <v>-23059.65</v>
      </c>
      <c r="L295" s="832">
        <v>-29422.080000000002</v>
      </c>
      <c r="M295" s="832">
        <v>-20771.29</v>
      </c>
      <c r="N295" s="832">
        <v>-33087.46</v>
      </c>
      <c r="O295" s="832">
        <v>-442171.87</v>
      </c>
    </row>
    <row r="296" spans="2:15" outlineLevel="4">
      <c r="B296" s="831" t="s">
        <v>4180</v>
      </c>
      <c r="C296" s="832">
        <v>-58271.05</v>
      </c>
      <c r="D296" s="832">
        <v>-47851.6</v>
      </c>
      <c r="E296" s="832">
        <v>-64211.9</v>
      </c>
      <c r="F296" s="832">
        <v>-49056</v>
      </c>
      <c r="G296" s="832">
        <v>-36330.03</v>
      </c>
      <c r="H296" s="832">
        <v>-33302.25</v>
      </c>
      <c r="I296" s="832">
        <v>-24198.31</v>
      </c>
      <c r="J296" s="832">
        <v>-22610.25</v>
      </c>
      <c r="K296" s="832">
        <v>-23059.65</v>
      </c>
      <c r="L296" s="832">
        <v>-29422.080000000002</v>
      </c>
      <c r="M296" s="832">
        <v>-20771.29</v>
      </c>
      <c r="N296" s="832">
        <v>-33087.46</v>
      </c>
      <c r="O296" s="832">
        <v>-442171.87</v>
      </c>
    </row>
    <row r="297" spans="2:15" outlineLevel="5">
      <c r="B297" s="831" t="s">
        <v>3813</v>
      </c>
      <c r="C297" s="832">
        <v>-20.9</v>
      </c>
      <c r="D297" s="832">
        <v>0</v>
      </c>
      <c r="E297" s="832">
        <v>0</v>
      </c>
      <c r="F297" s="832">
        <v>66.22</v>
      </c>
      <c r="G297" s="832">
        <v>-483.14</v>
      </c>
      <c r="H297" s="832">
        <v>-1420.3</v>
      </c>
      <c r="I297" s="832">
        <v>-2090.5100000000002</v>
      </c>
      <c r="J297" s="832">
        <v>-333.06</v>
      </c>
      <c r="K297" s="832">
        <v>-526.46</v>
      </c>
      <c r="L297" s="832">
        <v>-18.53</v>
      </c>
      <c r="M297" s="832">
        <v>396177.12</v>
      </c>
      <c r="N297" s="832">
        <v>-396894.37</v>
      </c>
      <c r="O297" s="832">
        <v>-5543.93</v>
      </c>
    </row>
    <row r="298" spans="2:15" outlineLevel="5">
      <c r="B298" s="831" t="s">
        <v>4221</v>
      </c>
      <c r="C298" s="832">
        <v>0</v>
      </c>
      <c r="D298" s="832">
        <v>0</v>
      </c>
      <c r="E298" s="832">
        <v>0</v>
      </c>
      <c r="F298" s="832">
        <v>0</v>
      </c>
      <c r="G298" s="832">
        <v>0</v>
      </c>
      <c r="H298" s="832">
        <v>0</v>
      </c>
      <c r="I298" s="832">
        <v>-6.59</v>
      </c>
      <c r="J298" s="832">
        <v>-21.67</v>
      </c>
      <c r="K298" s="832">
        <v>-189.9</v>
      </c>
      <c r="L298" s="832">
        <v>0</v>
      </c>
      <c r="M298" s="832">
        <v>0</v>
      </c>
      <c r="N298" s="832">
        <v>-83.41</v>
      </c>
      <c r="O298" s="832">
        <v>-301.57</v>
      </c>
    </row>
    <row r="299" spans="2:15" outlineLevel="4">
      <c r="B299" s="831" t="s">
        <v>4182</v>
      </c>
      <c r="C299" s="832">
        <v>-20.9</v>
      </c>
      <c r="D299" s="832">
        <v>0</v>
      </c>
      <c r="E299" s="832">
        <v>0</v>
      </c>
      <c r="F299" s="832">
        <v>66.22</v>
      </c>
      <c r="G299" s="832">
        <v>-483.14</v>
      </c>
      <c r="H299" s="832">
        <v>-1420.3</v>
      </c>
      <c r="I299" s="832">
        <v>-2097.1</v>
      </c>
      <c r="J299" s="832">
        <v>-354.73</v>
      </c>
      <c r="K299" s="832">
        <v>-716.36</v>
      </c>
      <c r="L299" s="832">
        <v>-18.53</v>
      </c>
      <c r="M299" s="832">
        <v>396177.12</v>
      </c>
      <c r="N299" s="832">
        <v>-396977.78</v>
      </c>
      <c r="O299" s="832">
        <v>-5845.5</v>
      </c>
    </row>
    <row r="300" spans="2:15" outlineLevel="5">
      <c r="B300" s="831" t="s">
        <v>3814</v>
      </c>
      <c r="C300" s="832">
        <v>116729.61</v>
      </c>
      <c r="D300" s="832">
        <v>0</v>
      </c>
      <c r="E300" s="832">
        <v>0</v>
      </c>
      <c r="F300" s="832">
        <v>0</v>
      </c>
      <c r="G300" s="832">
        <v>0</v>
      </c>
      <c r="H300" s="832">
        <v>0</v>
      </c>
      <c r="I300" s="832">
        <v>0</v>
      </c>
      <c r="J300" s="832">
        <v>0</v>
      </c>
      <c r="K300" s="832">
        <v>0</v>
      </c>
      <c r="L300" s="832">
        <v>0</v>
      </c>
      <c r="M300" s="832">
        <v>0</v>
      </c>
      <c r="N300" s="832">
        <v>0</v>
      </c>
      <c r="O300" s="832">
        <v>116729.61</v>
      </c>
    </row>
    <row r="301" spans="2:15" outlineLevel="5">
      <c r="B301" s="831" t="s">
        <v>3815</v>
      </c>
      <c r="C301" s="832">
        <v>4955.3</v>
      </c>
      <c r="D301" s="832">
        <v>72576</v>
      </c>
      <c r="E301" s="832">
        <v>840</v>
      </c>
      <c r="F301" s="832">
        <v>73920</v>
      </c>
      <c r="G301" s="832">
        <v>25015.9</v>
      </c>
      <c r="H301" s="832">
        <v>6342</v>
      </c>
      <c r="I301" s="832">
        <v>1512</v>
      </c>
      <c r="J301" s="832">
        <v>336</v>
      </c>
      <c r="K301" s="832">
        <v>2016</v>
      </c>
      <c r="L301" s="832">
        <v>1176</v>
      </c>
      <c r="M301" s="832">
        <v>504</v>
      </c>
      <c r="N301" s="832">
        <v>100.8</v>
      </c>
      <c r="O301" s="832">
        <v>189294</v>
      </c>
    </row>
    <row r="302" spans="2:15" outlineLevel="5">
      <c r="B302" s="831" t="s">
        <v>3816</v>
      </c>
      <c r="C302" s="832">
        <v>1329.1</v>
      </c>
      <c r="D302" s="832">
        <v>4656.13</v>
      </c>
      <c r="E302" s="832">
        <v>3794.2</v>
      </c>
      <c r="F302" s="832">
        <v>2246.64</v>
      </c>
      <c r="G302" s="832">
        <v>2426.11</v>
      </c>
      <c r="H302" s="832">
        <v>4580.29</v>
      </c>
      <c r="I302" s="832">
        <v>3450.49</v>
      </c>
      <c r="J302" s="832">
        <v>4767.1899999999996</v>
      </c>
      <c r="K302" s="832">
        <v>4171.26</v>
      </c>
      <c r="L302" s="832">
        <v>4819.51</v>
      </c>
      <c r="M302" s="832">
        <v>7987.87</v>
      </c>
      <c r="N302" s="832">
        <v>1686.48</v>
      </c>
      <c r="O302" s="832">
        <v>45915.27</v>
      </c>
    </row>
    <row r="303" spans="2:15" outlineLevel="5">
      <c r="B303" s="831" t="s">
        <v>3817</v>
      </c>
      <c r="C303" s="832">
        <v>12038.25</v>
      </c>
      <c r="D303" s="832">
        <v>10427.49</v>
      </c>
      <c r="E303" s="832">
        <v>28103.79</v>
      </c>
      <c r="F303" s="832">
        <v>5550.1</v>
      </c>
      <c r="G303" s="832">
        <v>5338.14</v>
      </c>
      <c r="H303" s="832">
        <v>0</v>
      </c>
      <c r="I303" s="832">
        <v>0</v>
      </c>
      <c r="J303" s="832">
        <v>249.94</v>
      </c>
      <c r="K303" s="832">
        <v>832.7</v>
      </c>
      <c r="L303" s="832">
        <v>1093.6099999999999</v>
      </c>
      <c r="M303" s="832">
        <v>14475.66</v>
      </c>
      <c r="N303" s="832">
        <v>34752.080000000002</v>
      </c>
      <c r="O303" s="832">
        <v>112861.75999999999</v>
      </c>
    </row>
    <row r="304" spans="2:15" outlineLevel="4">
      <c r="B304" s="831" t="s">
        <v>4184</v>
      </c>
      <c r="C304" s="832">
        <v>135052.26</v>
      </c>
      <c r="D304" s="832">
        <v>87659.62</v>
      </c>
      <c r="E304" s="832">
        <v>32737.99</v>
      </c>
      <c r="F304" s="832">
        <v>81716.740000000005</v>
      </c>
      <c r="G304" s="832">
        <v>32780.15</v>
      </c>
      <c r="H304" s="832">
        <v>10922.29</v>
      </c>
      <c r="I304" s="832">
        <v>4962.49</v>
      </c>
      <c r="J304" s="832">
        <v>5353.13</v>
      </c>
      <c r="K304" s="832">
        <v>7019.96</v>
      </c>
      <c r="L304" s="832">
        <v>7089.12</v>
      </c>
      <c r="M304" s="832">
        <v>22967.53</v>
      </c>
      <c r="N304" s="832">
        <v>36539.360000000001</v>
      </c>
      <c r="O304" s="832">
        <v>464800.64</v>
      </c>
    </row>
    <row r="305" spans="2:15" outlineLevel="3">
      <c r="B305" s="831" t="s">
        <v>4185</v>
      </c>
      <c r="C305" s="832">
        <v>-39931.129999999997</v>
      </c>
      <c r="D305" s="832">
        <v>-77112.639999999999</v>
      </c>
      <c r="E305" s="832">
        <v>-148623.10999999999</v>
      </c>
      <c r="F305" s="832">
        <v>-79638.350000000006</v>
      </c>
      <c r="G305" s="832">
        <v>-111697.17</v>
      </c>
      <c r="H305" s="832">
        <v>-131496.84</v>
      </c>
      <c r="I305" s="832">
        <v>-125502.42</v>
      </c>
      <c r="J305" s="832">
        <v>-204581.75</v>
      </c>
      <c r="K305" s="832">
        <v>-105375.05</v>
      </c>
      <c r="L305" s="832">
        <v>-113876.9</v>
      </c>
      <c r="M305" s="832">
        <v>301711.40000000002</v>
      </c>
      <c r="N305" s="832">
        <v>-493481.62</v>
      </c>
      <c r="O305" s="832">
        <v>-1329605.58</v>
      </c>
    </row>
    <row r="306" spans="2:15" outlineLevel="5">
      <c r="B306" s="831" t="s">
        <v>3818</v>
      </c>
      <c r="C306" s="832">
        <v>1081997.44</v>
      </c>
      <c r="D306" s="832">
        <v>1091049.69</v>
      </c>
      <c r="E306" s="832">
        <v>1086124.24</v>
      </c>
      <c r="F306" s="832">
        <v>1086377.68</v>
      </c>
      <c r="G306" s="832">
        <v>1086665.81</v>
      </c>
      <c r="H306" s="832">
        <v>1086665.81</v>
      </c>
      <c r="I306" s="832">
        <v>1086692.99</v>
      </c>
      <c r="J306" s="832">
        <v>1086665.81</v>
      </c>
      <c r="K306" s="832">
        <v>1205764.1599999999</v>
      </c>
      <c r="L306" s="832">
        <v>1219644.5900000001</v>
      </c>
      <c r="M306" s="832">
        <v>782677.13</v>
      </c>
      <c r="N306" s="832">
        <v>1646463.64</v>
      </c>
      <c r="O306" s="832">
        <v>13546788.99</v>
      </c>
    </row>
    <row r="307" spans="2:15" outlineLevel="5">
      <c r="B307" s="831" t="s">
        <v>3819</v>
      </c>
      <c r="C307" s="832">
        <v>23378.78</v>
      </c>
      <c r="D307" s="832">
        <v>23378.78</v>
      </c>
      <c r="E307" s="832">
        <v>23549.96</v>
      </c>
      <c r="F307" s="832">
        <v>23549.96</v>
      </c>
      <c r="G307" s="832">
        <v>23549.96</v>
      </c>
      <c r="H307" s="832">
        <v>23549.96</v>
      </c>
      <c r="I307" s="832">
        <v>23549.96</v>
      </c>
      <c r="J307" s="832">
        <v>23549.96</v>
      </c>
      <c r="K307" s="832">
        <v>26315.73</v>
      </c>
      <c r="L307" s="832">
        <v>26315.73</v>
      </c>
      <c r="M307" s="832">
        <v>26315.73</v>
      </c>
      <c r="N307" s="832">
        <v>26315.73</v>
      </c>
      <c r="O307" s="832">
        <v>293320.24</v>
      </c>
    </row>
    <row r="308" spans="2:15" outlineLevel="5">
      <c r="B308" s="831" t="s">
        <v>3820</v>
      </c>
      <c r="C308" s="832">
        <v>23240.61</v>
      </c>
      <c r="D308" s="832">
        <v>23240.61</v>
      </c>
      <c r="E308" s="832">
        <v>23240.61</v>
      </c>
      <c r="F308" s="832">
        <v>23935.22</v>
      </c>
      <c r="G308" s="832">
        <v>23935.040000000001</v>
      </c>
      <c r="H308" s="832">
        <v>23935.040000000001</v>
      </c>
      <c r="I308" s="832">
        <v>23935.040000000001</v>
      </c>
      <c r="J308" s="832">
        <v>23935.040000000001</v>
      </c>
      <c r="K308" s="832">
        <v>26746.04</v>
      </c>
      <c r="L308" s="832">
        <v>26746.04</v>
      </c>
      <c r="M308" s="832">
        <v>26746.04</v>
      </c>
      <c r="N308" s="832">
        <v>26746.04</v>
      </c>
      <c r="O308" s="832">
        <v>296381.37</v>
      </c>
    </row>
    <row r="309" spans="2:15" outlineLevel="5">
      <c r="B309" s="831" t="s">
        <v>4566</v>
      </c>
      <c r="C309" s="832">
        <v>-1250.71</v>
      </c>
      <c r="D309" s="832">
        <v>0</v>
      </c>
      <c r="E309" s="832">
        <v>0</v>
      </c>
      <c r="F309" s="832">
        <v>0</v>
      </c>
      <c r="G309" s="832">
        <v>0</v>
      </c>
      <c r="H309" s="832">
        <v>0</v>
      </c>
      <c r="I309" s="832">
        <v>0</v>
      </c>
      <c r="J309" s="832">
        <v>0</v>
      </c>
      <c r="K309" s="832">
        <v>0</v>
      </c>
      <c r="L309" s="832">
        <v>0</v>
      </c>
      <c r="M309" s="832">
        <v>0</v>
      </c>
      <c r="N309" s="832">
        <v>0</v>
      </c>
      <c r="O309" s="832">
        <v>-1250.71</v>
      </c>
    </row>
    <row r="310" spans="2:15" outlineLevel="4">
      <c r="B310" s="831" t="s">
        <v>4186</v>
      </c>
      <c r="C310" s="832">
        <v>1127366.1200000001</v>
      </c>
      <c r="D310" s="832">
        <v>1137669.08</v>
      </c>
      <c r="E310" s="832">
        <v>1132914.81</v>
      </c>
      <c r="F310" s="832">
        <v>1133862.8600000001</v>
      </c>
      <c r="G310" s="832">
        <v>1134150.81</v>
      </c>
      <c r="H310" s="832">
        <v>1134150.81</v>
      </c>
      <c r="I310" s="832">
        <v>1134177.99</v>
      </c>
      <c r="J310" s="832">
        <v>1134150.81</v>
      </c>
      <c r="K310" s="832">
        <v>1258825.93</v>
      </c>
      <c r="L310" s="832">
        <v>1272706.3600000001</v>
      </c>
      <c r="M310" s="832">
        <v>835738.9</v>
      </c>
      <c r="N310" s="832">
        <v>1699525.41</v>
      </c>
      <c r="O310" s="832">
        <v>14135239.890000001</v>
      </c>
    </row>
    <row r="311" spans="2:15" outlineLevel="5">
      <c r="B311" s="831" t="s">
        <v>3821</v>
      </c>
      <c r="C311" s="832">
        <v>1247018.67</v>
      </c>
      <c r="D311" s="832">
        <v>409235.69</v>
      </c>
      <c r="E311" s="832">
        <v>407998.93</v>
      </c>
      <c r="F311" s="832">
        <v>359936.63</v>
      </c>
      <c r="G311" s="832">
        <v>413481.9</v>
      </c>
      <c r="H311" s="832">
        <v>401201.76</v>
      </c>
      <c r="I311" s="832">
        <v>409058.42</v>
      </c>
      <c r="J311" s="832">
        <v>445760.82</v>
      </c>
      <c r="K311" s="832">
        <v>456701.9</v>
      </c>
      <c r="L311" s="832">
        <v>390117.04</v>
      </c>
      <c r="M311" s="832">
        <v>391295.28</v>
      </c>
      <c r="N311" s="832">
        <v>347587.96</v>
      </c>
      <c r="O311" s="832">
        <v>5679395</v>
      </c>
    </row>
    <row r="312" spans="2:15" outlineLevel="5">
      <c r="B312" s="831" t="s">
        <v>3822</v>
      </c>
      <c r="C312" s="832">
        <v>136789.20000000001</v>
      </c>
      <c r="D312" s="832">
        <v>5242.18</v>
      </c>
      <c r="E312" s="832">
        <v>28369.73</v>
      </c>
      <c r="F312" s="832">
        <v>147634.39000000001</v>
      </c>
      <c r="G312" s="832">
        <v>19794.54</v>
      </c>
      <c r="H312" s="832">
        <v>1973.54</v>
      </c>
      <c r="I312" s="832">
        <v>130262.93</v>
      </c>
      <c r="J312" s="832">
        <v>719.89</v>
      </c>
      <c r="K312" s="832">
        <v>916.4</v>
      </c>
      <c r="L312" s="832">
        <v>153696.95000000001</v>
      </c>
      <c r="M312" s="832">
        <v>2609.08</v>
      </c>
      <c r="N312" s="832">
        <v>2724.55</v>
      </c>
      <c r="O312" s="832">
        <v>630733.38</v>
      </c>
    </row>
    <row r="313" spans="2:15" outlineLevel="4">
      <c r="B313" s="831" t="s">
        <v>4187</v>
      </c>
      <c r="C313" s="832">
        <v>1383807.87</v>
      </c>
      <c r="D313" s="832">
        <v>414477.87</v>
      </c>
      <c r="E313" s="832">
        <v>436368.66</v>
      </c>
      <c r="F313" s="832">
        <v>507571.02</v>
      </c>
      <c r="G313" s="832">
        <v>433276.44</v>
      </c>
      <c r="H313" s="832">
        <v>403175.3</v>
      </c>
      <c r="I313" s="832">
        <v>539321.35</v>
      </c>
      <c r="J313" s="832">
        <v>446480.71</v>
      </c>
      <c r="K313" s="832">
        <v>457618.3</v>
      </c>
      <c r="L313" s="832">
        <v>543813.99</v>
      </c>
      <c r="M313" s="832">
        <v>393904.36</v>
      </c>
      <c r="N313" s="832">
        <v>350312.51</v>
      </c>
      <c r="O313" s="832">
        <v>6310128.3799999999</v>
      </c>
    </row>
    <row r="314" spans="2:15" outlineLevel="5">
      <c r="B314" s="831" t="s">
        <v>3823</v>
      </c>
      <c r="C314" s="832">
        <v>-41155.919999999998</v>
      </c>
      <c r="D314" s="832">
        <v>-33771.08</v>
      </c>
      <c r="E314" s="832">
        <v>-45326.07</v>
      </c>
      <c r="F314" s="832">
        <v>-35104.11</v>
      </c>
      <c r="G314" s="832">
        <v>-26219.38</v>
      </c>
      <c r="H314" s="832">
        <v>-24449.34</v>
      </c>
      <c r="I314" s="832">
        <v>-17078.310000000001</v>
      </c>
      <c r="J314" s="832">
        <v>-16148.87</v>
      </c>
      <c r="K314" s="832">
        <v>-16822.12</v>
      </c>
      <c r="L314" s="832">
        <v>-19019.97</v>
      </c>
      <c r="M314" s="832">
        <v>-17398.759999999998</v>
      </c>
      <c r="N314" s="832">
        <v>-27658.07</v>
      </c>
      <c r="O314" s="832">
        <v>-320152</v>
      </c>
    </row>
    <row r="315" spans="2:15" outlineLevel="4">
      <c r="B315" s="831" t="s">
        <v>4188</v>
      </c>
      <c r="C315" s="832">
        <v>-41155.919999999998</v>
      </c>
      <c r="D315" s="832">
        <v>-33771.08</v>
      </c>
      <c r="E315" s="832">
        <v>-45326.07</v>
      </c>
      <c r="F315" s="832">
        <v>-35104.11</v>
      </c>
      <c r="G315" s="832">
        <v>-26219.38</v>
      </c>
      <c r="H315" s="832">
        <v>-24449.34</v>
      </c>
      <c r="I315" s="832">
        <v>-17078.310000000001</v>
      </c>
      <c r="J315" s="832">
        <v>-16148.87</v>
      </c>
      <c r="K315" s="832">
        <v>-16822.12</v>
      </c>
      <c r="L315" s="832">
        <v>-19019.97</v>
      </c>
      <c r="M315" s="832">
        <v>-17398.759999999998</v>
      </c>
      <c r="N315" s="832">
        <v>-27658.07</v>
      </c>
      <c r="O315" s="832">
        <v>-320152</v>
      </c>
    </row>
    <row r="316" spans="2:15" outlineLevel="3">
      <c r="B316" s="831" t="s">
        <v>4222</v>
      </c>
      <c r="C316" s="832">
        <v>2470018.0699999998</v>
      </c>
      <c r="D316" s="832">
        <v>1518375.87</v>
      </c>
      <c r="E316" s="832">
        <v>1523957.4</v>
      </c>
      <c r="F316" s="832">
        <v>1606329.77</v>
      </c>
      <c r="G316" s="832">
        <v>1541207.87</v>
      </c>
      <c r="H316" s="832">
        <v>1512876.77</v>
      </c>
      <c r="I316" s="832">
        <v>1656421.03</v>
      </c>
      <c r="J316" s="832">
        <v>1564482.65</v>
      </c>
      <c r="K316" s="832">
        <v>1699622.11</v>
      </c>
      <c r="L316" s="832">
        <v>1797500.38</v>
      </c>
      <c r="M316" s="832">
        <v>1212244.5</v>
      </c>
      <c r="N316" s="832">
        <v>2022179.85</v>
      </c>
      <c r="O316" s="832">
        <v>20125216.27</v>
      </c>
    </row>
    <row r="317" spans="2:15" outlineLevel="4">
      <c r="B317" s="831" t="s">
        <v>3824</v>
      </c>
      <c r="C317" s="832">
        <v>1752759.33</v>
      </c>
      <c r="D317" s="832">
        <v>2440896.96</v>
      </c>
      <c r="E317" s="832">
        <v>-4148625.52</v>
      </c>
      <c r="F317" s="832">
        <v>-733131.86</v>
      </c>
      <c r="G317" s="832">
        <v>-2686330.95</v>
      </c>
      <c r="H317" s="832">
        <v>-2777057.34</v>
      </c>
      <c r="I317" s="832">
        <v>-2052275.23</v>
      </c>
      <c r="J317" s="832">
        <v>-241069.02</v>
      </c>
      <c r="K317" s="832">
        <v>720637.47</v>
      </c>
      <c r="L317" s="832">
        <v>3944671.47</v>
      </c>
      <c r="M317" s="832">
        <v>4622140.7300000004</v>
      </c>
      <c r="N317" s="832">
        <v>4102106.85</v>
      </c>
      <c r="O317" s="832">
        <v>4944722.8899999997</v>
      </c>
    </row>
    <row r="318" spans="2:15" outlineLevel="4">
      <c r="B318" s="831" t="s">
        <v>3825</v>
      </c>
      <c r="C318" s="832">
        <v>43023.22</v>
      </c>
      <c r="D318" s="832">
        <v>11723.81</v>
      </c>
      <c r="E318" s="832">
        <v>33571.550000000003</v>
      </c>
      <c r="F318" s="832">
        <v>-6079.05</v>
      </c>
      <c r="G318" s="832">
        <v>29988.75</v>
      </c>
      <c r="H318" s="832">
        <v>39031.83</v>
      </c>
      <c r="I318" s="832">
        <v>40334.76</v>
      </c>
      <c r="J318" s="832">
        <v>72220.06</v>
      </c>
      <c r="K318" s="832">
        <v>32741.29</v>
      </c>
      <c r="L318" s="832">
        <v>33588.83</v>
      </c>
      <c r="M318" s="832">
        <v>-127619.46</v>
      </c>
      <c r="N318" s="832">
        <v>182517.19</v>
      </c>
      <c r="O318" s="832">
        <v>385042.78</v>
      </c>
    </row>
    <row r="319" spans="2:15" outlineLevel="4">
      <c r="B319" s="831" t="s">
        <v>3826</v>
      </c>
      <c r="C319" s="832">
        <v>17660849.710000001</v>
      </c>
      <c r="D319" s="832">
        <v>6923226.9900000002</v>
      </c>
      <c r="E319" s="832">
        <v>5273294.83</v>
      </c>
      <c r="F319" s="832">
        <v>6997666.1799999997</v>
      </c>
      <c r="G319" s="832">
        <v>3456601.22</v>
      </c>
      <c r="H319" s="832">
        <v>2922268.2</v>
      </c>
      <c r="I319" s="832">
        <v>2763965.09</v>
      </c>
      <c r="J319" s="832">
        <v>3438439.63</v>
      </c>
      <c r="K319" s="832">
        <v>7790774.5700000003</v>
      </c>
      <c r="L319" s="832">
        <v>1588652.53</v>
      </c>
      <c r="M319" s="832">
        <v>2224315.9900000002</v>
      </c>
      <c r="N319" s="832">
        <v>1932238.44</v>
      </c>
      <c r="O319" s="832">
        <v>62972293.380000003</v>
      </c>
    </row>
    <row r="320" spans="2:15" outlineLevel="4">
      <c r="B320" s="831" t="s">
        <v>3827</v>
      </c>
      <c r="C320" s="832">
        <v>-15450115.82</v>
      </c>
      <c r="D320" s="832">
        <v>-7970456.7800000003</v>
      </c>
      <c r="E320" s="832">
        <v>-1860573.95</v>
      </c>
      <c r="F320" s="832">
        <v>-6839930.4100000001</v>
      </c>
      <c r="G320" s="832">
        <v>-1999627.02</v>
      </c>
      <c r="H320" s="832">
        <v>-1508796.69</v>
      </c>
      <c r="I320" s="832">
        <v>-2503231.62</v>
      </c>
      <c r="J320" s="832">
        <v>-3467684.67</v>
      </c>
      <c r="K320" s="832">
        <v>-7360828.3300000001</v>
      </c>
      <c r="L320" s="832">
        <v>-1994395.83</v>
      </c>
      <c r="M320" s="832">
        <v>-2259272.2599999998</v>
      </c>
      <c r="N320" s="832">
        <v>-1787123.48</v>
      </c>
      <c r="O320" s="832">
        <v>-55002036.859999999</v>
      </c>
    </row>
    <row r="321" spans="2:15" outlineLevel="4">
      <c r="B321" s="831" t="s">
        <v>3828</v>
      </c>
      <c r="C321" s="832">
        <v>0</v>
      </c>
      <c r="D321" s="832">
        <v>0</v>
      </c>
      <c r="E321" s="832">
        <v>-9294.91</v>
      </c>
      <c r="F321" s="832">
        <v>-19250</v>
      </c>
      <c r="G321" s="832">
        <v>-19250</v>
      </c>
      <c r="H321" s="832">
        <v>-19250</v>
      </c>
      <c r="I321" s="832">
        <v>-19250</v>
      </c>
      <c r="J321" s="832">
        <v>-19250</v>
      </c>
      <c r="K321" s="832">
        <v>-19250</v>
      </c>
      <c r="L321" s="832">
        <v>-19250</v>
      </c>
      <c r="M321" s="832">
        <v>-19250</v>
      </c>
      <c r="N321" s="832">
        <v>-19250</v>
      </c>
      <c r="O321" s="832">
        <v>-182544.91</v>
      </c>
    </row>
    <row r="322" spans="2:15" outlineLevel="3">
      <c r="B322" s="831" t="s">
        <v>4190</v>
      </c>
      <c r="C322" s="832">
        <v>4006516.44</v>
      </c>
      <c r="D322" s="832">
        <v>1405390.98</v>
      </c>
      <c r="E322" s="832">
        <v>-711628</v>
      </c>
      <c r="F322" s="832">
        <v>-600725.14</v>
      </c>
      <c r="G322" s="832">
        <v>-1218618</v>
      </c>
      <c r="H322" s="832">
        <v>-1343804</v>
      </c>
      <c r="I322" s="832">
        <v>-1770457</v>
      </c>
      <c r="J322" s="832">
        <v>-217344</v>
      </c>
      <c r="K322" s="832">
        <v>1164075</v>
      </c>
      <c r="L322" s="832">
        <v>3553267</v>
      </c>
      <c r="M322" s="832">
        <v>4440315</v>
      </c>
      <c r="N322" s="832">
        <v>4410489</v>
      </c>
      <c r="O322" s="832">
        <v>13117477.279999999</v>
      </c>
    </row>
    <row r="323" spans="2:15" outlineLevel="2">
      <c r="B323" s="831" t="s">
        <v>4223</v>
      </c>
      <c r="C323" s="832">
        <v>32901912.25</v>
      </c>
      <c r="D323" s="832">
        <v>24923955.670000002</v>
      </c>
      <c r="E323" s="832">
        <v>16602591.67</v>
      </c>
      <c r="F323" s="832">
        <v>12997413.539999999</v>
      </c>
      <c r="G323" s="832">
        <v>11881472.26</v>
      </c>
      <c r="H323" s="832">
        <v>13106817.5</v>
      </c>
      <c r="I323" s="832">
        <v>12847990.720000001</v>
      </c>
      <c r="J323" s="832">
        <v>16556224.51</v>
      </c>
      <c r="K323" s="832">
        <v>25548382.140000001</v>
      </c>
      <c r="L323" s="832">
        <v>39274937.850000001</v>
      </c>
      <c r="M323" s="832">
        <v>40953923.840000004</v>
      </c>
      <c r="N323" s="832">
        <v>44211210.009999998</v>
      </c>
      <c r="O323" s="832">
        <v>291806831.95999998</v>
      </c>
    </row>
    <row r="324" spans="2:15" outlineLevel="1">
      <c r="B324" s="831" t="s">
        <v>4224</v>
      </c>
      <c r="C324" s="832">
        <v>-2365208.17</v>
      </c>
      <c r="D324" s="832">
        <v>-2102480.44</v>
      </c>
      <c r="E324" s="832">
        <v>827027.31</v>
      </c>
      <c r="F324" s="832">
        <v>412332.36</v>
      </c>
      <c r="G324" s="832">
        <v>1436330.89</v>
      </c>
      <c r="H324" s="832">
        <v>1564233.14</v>
      </c>
      <c r="I324" s="832">
        <v>972364.17</v>
      </c>
      <c r="J324" s="832">
        <v>252995.89</v>
      </c>
      <c r="K324" s="832">
        <v>-1179619.22</v>
      </c>
      <c r="L324" s="832">
        <v>-4186367.42</v>
      </c>
      <c r="M324" s="832">
        <v>-5231468.63</v>
      </c>
      <c r="N324" s="832">
        <v>-5196325.63</v>
      </c>
      <c r="O324" s="832">
        <v>-14796185.75</v>
      </c>
    </row>
    <row r="325" spans="2:15">
      <c r="B325" s="802" t="s">
        <v>4225</v>
      </c>
      <c r="C325" s="803">
        <v>-7469528.4900000002</v>
      </c>
      <c r="D325" s="803">
        <v>-5535492.4500000002</v>
      </c>
      <c r="E325" s="803">
        <v>-3429323.91</v>
      </c>
      <c r="F325" s="803">
        <v>-4403232.0599999996</v>
      </c>
      <c r="G325" s="803">
        <v>-5141977</v>
      </c>
      <c r="H325" s="803">
        <v>-4420408.28</v>
      </c>
      <c r="I325" s="803">
        <v>-5594091.3700000001</v>
      </c>
      <c r="J325" s="803">
        <v>-4295674.84</v>
      </c>
      <c r="K325" s="803">
        <v>267075.86</v>
      </c>
      <c r="L325" s="803">
        <v>-11366958.140000001</v>
      </c>
      <c r="M325" s="803">
        <v>-11257502.74</v>
      </c>
      <c r="N325" s="803">
        <v>-10414658.439999999</v>
      </c>
      <c r="O325" s="803">
        <v>-73061771.859999999</v>
      </c>
    </row>
    <row r="329" spans="2:15">
      <c r="B329" s="805" t="s">
        <v>3642</v>
      </c>
      <c r="C329" s="751">
        <f t="shared" ref="C329:D332" si="0">SUMIF($P$10:$P$325,$B329,C$10:C$325)</f>
        <v>17544046.759999994</v>
      </c>
      <c r="D329" s="751">
        <f t="shared" si="0"/>
        <v>16828892.210000001</v>
      </c>
      <c r="E329" s="751">
        <f t="shared" ref="E329:O332" si="1">SUMIF($P$10:$P$325,$B329,E$10:E$325)</f>
        <v>16903516.650000002</v>
      </c>
      <c r="F329" s="751">
        <f t="shared" si="1"/>
        <v>15308914.110000003</v>
      </c>
      <c r="G329" s="751">
        <f t="shared" si="1"/>
        <v>14848144.08</v>
      </c>
      <c r="H329" s="751">
        <f t="shared" si="1"/>
        <v>17359184.060000002</v>
      </c>
      <c r="I329" s="751">
        <f t="shared" si="1"/>
        <v>15259668.570000006</v>
      </c>
      <c r="J329" s="751">
        <f t="shared" si="1"/>
        <v>15007614.499999996</v>
      </c>
      <c r="K329" s="751">
        <f t="shared" si="1"/>
        <v>18780346.359999996</v>
      </c>
      <c r="L329" s="751">
        <f t="shared" si="1"/>
        <v>13926188.379999997</v>
      </c>
      <c r="M329" s="751">
        <f t="shared" si="1"/>
        <v>14334902.17</v>
      </c>
      <c r="N329" s="751">
        <f t="shared" si="1"/>
        <v>17182340.580000002</v>
      </c>
      <c r="O329" s="751">
        <f t="shared" si="1"/>
        <v>193283758.43000001</v>
      </c>
    </row>
    <row r="330" spans="2:15">
      <c r="B330" s="805" t="s">
        <v>3765</v>
      </c>
      <c r="C330" s="751">
        <f t="shared" si="0"/>
        <v>6730923.6100000003</v>
      </c>
      <c r="D330" s="751">
        <f t="shared" si="0"/>
        <v>6865726.4600000009</v>
      </c>
      <c r="E330" s="751">
        <f t="shared" si="1"/>
        <v>6837086.6400000015</v>
      </c>
      <c r="F330" s="751">
        <f t="shared" si="1"/>
        <v>7008872.7100000018</v>
      </c>
      <c r="G330" s="751">
        <f t="shared" si="1"/>
        <v>6873101.3499999996</v>
      </c>
      <c r="H330" s="751">
        <f t="shared" si="1"/>
        <v>7121289.089999998</v>
      </c>
      <c r="I330" s="751">
        <f t="shared" si="1"/>
        <v>7092409.4100000011</v>
      </c>
      <c r="J330" s="751">
        <f t="shared" si="1"/>
        <v>7402901.6899999995</v>
      </c>
      <c r="K330" s="751">
        <f t="shared" si="1"/>
        <v>7429460.2500000019</v>
      </c>
      <c r="L330" s="751">
        <f t="shared" si="1"/>
        <v>6664940.4400000004</v>
      </c>
      <c r="M330" s="751">
        <f t="shared" si="1"/>
        <v>6317510.6300000008</v>
      </c>
      <c r="N330" s="751">
        <f t="shared" si="1"/>
        <v>7443105.389999995</v>
      </c>
      <c r="O330" s="751">
        <f t="shared" si="1"/>
        <v>83787327.670000017</v>
      </c>
    </row>
    <row r="331" spans="2:15">
      <c r="B331" s="805" t="s">
        <v>3640</v>
      </c>
      <c r="C331" s="751">
        <f t="shared" si="0"/>
        <v>10217290.029999999</v>
      </c>
      <c r="D331" s="751">
        <f t="shared" si="0"/>
        <v>9354896.7799999993</v>
      </c>
      <c r="E331" s="751">
        <f t="shared" si="1"/>
        <v>9575464.0600000005</v>
      </c>
      <c r="F331" s="751">
        <f t="shared" si="1"/>
        <v>8599279.1999999993</v>
      </c>
      <c r="G331" s="751">
        <f t="shared" si="1"/>
        <v>10442653.210000001</v>
      </c>
      <c r="H331" s="751">
        <f t="shared" si="1"/>
        <v>11948522.76</v>
      </c>
      <c r="I331" s="751">
        <f t="shared" si="1"/>
        <v>15879918.060000001</v>
      </c>
      <c r="J331" s="751">
        <f t="shared" si="1"/>
        <v>8560708.0500000007</v>
      </c>
      <c r="K331" s="751">
        <f t="shared" si="1"/>
        <v>14005403.800000001</v>
      </c>
      <c r="L331" s="751">
        <f t="shared" si="1"/>
        <v>16143925.199999999</v>
      </c>
      <c r="M331" s="751">
        <f t="shared" si="1"/>
        <v>17614869.66</v>
      </c>
      <c r="N331" s="751">
        <f t="shared" si="1"/>
        <v>17831893.280000001</v>
      </c>
      <c r="O331" s="751">
        <f t="shared" si="1"/>
        <v>150174824.09</v>
      </c>
    </row>
    <row r="332" spans="2:15">
      <c r="B332" s="805" t="s">
        <v>3758</v>
      </c>
      <c r="C332" s="751">
        <f t="shared" si="0"/>
        <v>8158003.6600000001</v>
      </c>
      <c r="D332" s="751">
        <f t="shared" si="0"/>
        <v>8835014.339999998</v>
      </c>
      <c r="E332" s="751">
        <f t="shared" si="1"/>
        <v>4384940.3600000003</v>
      </c>
      <c r="F332" s="751">
        <f t="shared" si="1"/>
        <v>3072858.95</v>
      </c>
      <c r="G332" s="751">
        <f t="shared" si="1"/>
        <v>3213787.9400000004</v>
      </c>
      <c r="H332" s="751">
        <f t="shared" si="1"/>
        <v>3143544.33</v>
      </c>
      <c r="I332" s="751">
        <f t="shared" si="1"/>
        <v>3667490.8099999996</v>
      </c>
      <c r="J332" s="751">
        <f t="shared" si="1"/>
        <v>4809834.8600000003</v>
      </c>
      <c r="K332" s="751">
        <f t="shared" si="1"/>
        <v>10492715.26</v>
      </c>
      <c r="L332" s="751">
        <f t="shared" si="1"/>
        <v>17640973.399999999</v>
      </c>
      <c r="M332" s="751">
        <f t="shared" si="1"/>
        <v>20071001.899999999</v>
      </c>
      <c r="N332" s="751">
        <f t="shared" si="1"/>
        <v>18310653.210000001</v>
      </c>
      <c r="O332" s="751">
        <f t="shared" si="1"/>
        <v>105800819.02</v>
      </c>
    </row>
    <row r="334" spans="2:15">
      <c r="F334" s="788"/>
    </row>
    <row r="335" spans="2:15">
      <c r="F335" s="788"/>
    </row>
    <row r="336" spans="2:15">
      <c r="F336" s="788"/>
    </row>
    <row r="337" spans="6:14">
      <c r="F337" s="788"/>
    </row>
    <row r="339" spans="6:14">
      <c r="F339" s="834"/>
      <c r="G339" s="834"/>
      <c r="H339" s="834"/>
      <c r="I339" s="834"/>
      <c r="J339" s="834"/>
      <c r="K339" s="834"/>
      <c r="L339" s="834"/>
      <c r="M339" s="834"/>
      <c r="N339" s="834"/>
    </row>
    <row r="340" spans="6:14">
      <c r="F340" s="834"/>
      <c r="G340" s="834"/>
      <c r="H340" s="834"/>
      <c r="I340" s="834"/>
      <c r="J340" s="834"/>
      <c r="K340" s="834"/>
      <c r="L340" s="834"/>
      <c r="M340" s="834"/>
      <c r="N340" s="834"/>
    </row>
    <row r="341" spans="6:14">
      <c r="F341" s="834"/>
      <c r="G341" s="834"/>
      <c r="H341" s="834"/>
      <c r="I341" s="834"/>
      <c r="J341" s="834"/>
      <c r="K341" s="834"/>
      <c r="L341" s="834"/>
      <c r="M341" s="834"/>
      <c r="N341" s="834"/>
    </row>
    <row r="342" spans="6:14">
      <c r="F342" s="834"/>
      <c r="G342" s="834"/>
      <c r="H342" s="834"/>
      <c r="I342" s="834"/>
      <c r="J342" s="834"/>
      <c r="K342" s="834"/>
      <c r="L342" s="834"/>
      <c r="M342" s="834"/>
      <c r="N342" s="834"/>
    </row>
    <row r="343" spans="6:14">
      <c r="F343" s="834"/>
    </row>
    <row r="344" spans="6:14">
      <c r="F344" s="834"/>
    </row>
  </sheetData>
  <pageMargins left="0.7" right="0.7" top="0.75" bottom="0.75" header="0.3" footer="0.3"/>
  <pageSetup scale="54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1"/>
  <sheetViews>
    <sheetView view="pageBreakPreview" zoomScale="60" zoomScaleNormal="100" workbookViewId="0">
      <selection sqref="A1:XFD1048576"/>
    </sheetView>
  </sheetViews>
  <sheetFormatPr defaultRowHeight="12.75"/>
  <cols>
    <col min="1" max="1" width="28" style="41" bestFit="1" customWidth="1"/>
    <col min="2" max="2" width="9.125" style="41" bestFit="1" customWidth="1"/>
    <col min="3" max="3" width="13.5" style="41" bestFit="1" customWidth="1"/>
    <col min="4" max="4" width="12.375" style="41" bestFit="1" customWidth="1"/>
    <col min="5" max="5" width="13.5" style="41" bestFit="1" customWidth="1"/>
    <col min="6" max="6" width="9.125" style="41" bestFit="1" customWidth="1"/>
    <col min="7" max="7" width="9.375" style="41" bestFit="1" customWidth="1"/>
    <col min="8" max="8" width="14.125" style="41" bestFit="1" customWidth="1"/>
    <col min="9" max="9" width="9.375" style="41" bestFit="1" customWidth="1"/>
    <col min="10" max="16384" width="9" style="41"/>
  </cols>
  <sheetData>
    <row r="1" spans="1:8">
      <c r="A1" s="1007" t="s">
        <v>2494</v>
      </c>
      <c r="B1" s="1007"/>
      <c r="C1" s="1007"/>
      <c r="D1" s="1007"/>
      <c r="E1" s="1007"/>
    </row>
    <row r="2" spans="1:8">
      <c r="A2" s="1007" t="s">
        <v>2495</v>
      </c>
      <c r="B2" s="1007"/>
      <c r="C2" s="1007"/>
      <c r="D2" s="1007"/>
      <c r="E2" s="1007"/>
    </row>
    <row r="3" spans="1:8" s="975" customFormat="1">
      <c r="A3" s="1007"/>
      <c r="B3" s="1007"/>
      <c r="C3" s="1007"/>
      <c r="D3" s="1007"/>
      <c r="E3" s="1007"/>
    </row>
    <row r="4" spans="1:8">
      <c r="A4" s="976"/>
      <c r="B4" s="976"/>
      <c r="C4" s="976"/>
      <c r="D4" s="976"/>
      <c r="E4" s="976"/>
    </row>
    <row r="5" spans="1:8">
      <c r="A5" s="77"/>
      <c r="B5" s="77"/>
      <c r="C5" s="977" t="s">
        <v>2473</v>
      </c>
      <c r="D5" s="977" t="s">
        <v>2474</v>
      </c>
      <c r="E5" s="977" t="s">
        <v>2475</v>
      </c>
    </row>
    <row r="6" spans="1:8">
      <c r="A6" s="77"/>
      <c r="B6" s="77"/>
      <c r="C6" s="77"/>
      <c r="D6" s="77"/>
      <c r="E6" s="77"/>
    </row>
    <row r="7" spans="1:8">
      <c r="A7" s="29" t="s">
        <v>2476</v>
      </c>
      <c r="B7" s="30" t="s">
        <v>2484</v>
      </c>
      <c r="C7" s="31">
        <f>+C36</f>
        <v>0.68589999999999995</v>
      </c>
      <c r="D7" s="31">
        <f>+D36</f>
        <v>0.31409999999999999</v>
      </c>
      <c r="E7" s="31">
        <f>+E36</f>
        <v>1</v>
      </c>
      <c r="F7" s="29" t="s">
        <v>2476</v>
      </c>
    </row>
    <row r="8" spans="1:8">
      <c r="A8" s="32" t="s">
        <v>2477</v>
      </c>
      <c r="B8" s="30" t="s">
        <v>2477</v>
      </c>
      <c r="C8" s="31">
        <f>+C42</f>
        <v>0.84530000000000005</v>
      </c>
      <c r="D8" s="31">
        <f>+D42</f>
        <v>0.1547</v>
      </c>
      <c r="E8" s="31">
        <f>+E42</f>
        <v>1</v>
      </c>
      <c r="F8" s="32" t="s">
        <v>2477</v>
      </c>
    </row>
    <row r="9" spans="1:8">
      <c r="A9" s="32" t="s">
        <v>2478</v>
      </c>
      <c r="B9" s="30" t="s">
        <v>2485</v>
      </c>
      <c r="C9" s="31">
        <v>0.58986531372414497</v>
      </c>
      <c r="D9" s="31">
        <v>0.41013468627585503</v>
      </c>
      <c r="E9" s="31">
        <v>1</v>
      </c>
      <c r="F9" s="32" t="s">
        <v>2478</v>
      </c>
    </row>
    <row r="10" spans="1:8">
      <c r="A10" s="29" t="s">
        <v>2473</v>
      </c>
      <c r="B10" s="30" t="s">
        <v>2482</v>
      </c>
      <c r="C10" s="31">
        <v>1</v>
      </c>
      <c r="D10" s="31">
        <v>0</v>
      </c>
      <c r="E10" s="31">
        <v>1</v>
      </c>
      <c r="F10" s="29" t="s">
        <v>2473</v>
      </c>
    </row>
    <row r="11" spans="1:8">
      <c r="A11" s="29" t="s">
        <v>2474</v>
      </c>
      <c r="B11" s="30" t="s">
        <v>2483</v>
      </c>
      <c r="C11" s="31">
        <v>0</v>
      </c>
      <c r="D11" s="31">
        <v>1</v>
      </c>
      <c r="E11" s="31">
        <v>1</v>
      </c>
      <c r="F11" s="29" t="s">
        <v>2474</v>
      </c>
    </row>
    <row r="12" spans="1:8">
      <c r="A12" s="29" t="s">
        <v>2519</v>
      </c>
      <c r="B12" s="30" t="s">
        <v>2468</v>
      </c>
      <c r="C12" s="31">
        <v>0</v>
      </c>
      <c r="D12" s="31">
        <v>0</v>
      </c>
      <c r="E12" s="31">
        <v>0</v>
      </c>
      <c r="F12" s="29" t="s">
        <v>2519</v>
      </c>
    </row>
    <row r="13" spans="1:8">
      <c r="A13" s="29" t="s">
        <v>2479</v>
      </c>
      <c r="B13" s="30" t="s">
        <v>2486</v>
      </c>
      <c r="C13" s="31">
        <f>+C51</f>
        <v>0.74150000000000005</v>
      </c>
      <c r="D13" s="31">
        <f t="shared" ref="D13:E13" si="0">+D51</f>
        <v>0.25850000000000001</v>
      </c>
      <c r="E13" s="31">
        <f t="shared" si="0"/>
        <v>1</v>
      </c>
      <c r="F13" s="29" t="s">
        <v>2479</v>
      </c>
    </row>
    <row r="14" spans="1:8">
      <c r="A14" s="29" t="s">
        <v>2480</v>
      </c>
      <c r="B14" s="30" t="s">
        <v>2487</v>
      </c>
      <c r="C14" s="31">
        <f>+C83</f>
        <v>0.61780000000000002</v>
      </c>
      <c r="D14" s="31">
        <f t="shared" ref="D14:E14" si="1">+D83</f>
        <v>0.38219999999999998</v>
      </c>
      <c r="E14" s="31">
        <f t="shared" si="1"/>
        <v>1</v>
      </c>
      <c r="F14" s="29" t="s">
        <v>2480</v>
      </c>
      <c r="H14" s="41" t="s">
        <v>4607</v>
      </c>
    </row>
    <row r="15" spans="1:8">
      <c r="A15" s="29" t="s">
        <v>2481</v>
      </c>
      <c r="B15" s="30" t="s">
        <v>2488</v>
      </c>
      <c r="C15" s="31">
        <f>+C89</f>
        <v>0.73270000000000002</v>
      </c>
      <c r="D15" s="31">
        <f t="shared" ref="D15:E15" si="2">+D89</f>
        <v>0.26729999999999998</v>
      </c>
      <c r="E15" s="31">
        <f t="shared" si="2"/>
        <v>1</v>
      </c>
      <c r="F15" s="29" t="s">
        <v>2481</v>
      </c>
      <c r="H15" s="41" t="s">
        <v>4607</v>
      </c>
    </row>
    <row r="16" spans="1:8">
      <c r="A16" s="29" t="s">
        <v>817</v>
      </c>
      <c r="B16" s="30" t="s">
        <v>2489</v>
      </c>
      <c r="C16" s="31">
        <f>+C95</f>
        <v>0.63460000000000005</v>
      </c>
      <c r="D16" s="31">
        <f t="shared" ref="D16:E16" si="3">+D95</f>
        <v>0.3654</v>
      </c>
      <c r="E16" s="31">
        <f t="shared" si="3"/>
        <v>1</v>
      </c>
      <c r="F16" s="29" t="s">
        <v>817</v>
      </c>
      <c r="H16" s="41" t="s">
        <v>4610</v>
      </c>
    </row>
    <row r="17" spans="1:7">
      <c r="A17" s="32">
        <v>0.2</v>
      </c>
      <c r="B17" s="33">
        <v>0.2</v>
      </c>
      <c r="C17" s="34">
        <v>0.2</v>
      </c>
      <c r="D17" s="31">
        <v>0.8</v>
      </c>
      <c r="E17" s="31">
        <v>1</v>
      </c>
      <c r="F17" s="32">
        <v>0.2</v>
      </c>
    </row>
    <row r="18" spans="1:7">
      <c r="A18" s="32">
        <v>0.7</v>
      </c>
      <c r="B18" s="33">
        <v>0.7</v>
      </c>
      <c r="C18" s="34">
        <v>0.7</v>
      </c>
      <c r="D18" s="31">
        <v>0.30000000000000004</v>
      </c>
      <c r="E18" s="31">
        <v>1</v>
      </c>
      <c r="F18" s="32">
        <v>0.7</v>
      </c>
    </row>
    <row r="19" spans="1:7">
      <c r="A19" s="978" t="s">
        <v>2439</v>
      </c>
      <c r="B19" s="25" t="s">
        <v>2490</v>
      </c>
      <c r="C19" s="979">
        <f>+C101</f>
        <v>0.70940000000000003</v>
      </c>
      <c r="D19" s="979">
        <f>+D101</f>
        <v>0.29060000000000002</v>
      </c>
      <c r="E19" s="979">
        <f t="shared" ref="E19" si="4">+E101</f>
        <v>1</v>
      </c>
      <c r="F19" s="978" t="s">
        <v>2439</v>
      </c>
    </row>
    <row r="22" spans="1:7">
      <c r="A22" s="1008" t="s">
        <v>2516</v>
      </c>
      <c r="B22" s="1008"/>
      <c r="C22" s="1008"/>
      <c r="D22" s="1008"/>
      <c r="E22" s="1008"/>
    </row>
    <row r="24" spans="1:7">
      <c r="A24" s="978"/>
      <c r="C24" s="27" t="s">
        <v>2473</v>
      </c>
      <c r="D24" s="27" t="s">
        <v>2474</v>
      </c>
      <c r="E24" s="27" t="s">
        <v>2475</v>
      </c>
      <c r="G24" s="27"/>
    </row>
    <row r="25" spans="1:7">
      <c r="A25" s="978"/>
      <c r="C25" s="27"/>
      <c r="D25" s="27"/>
      <c r="E25" s="27"/>
      <c r="G25" s="27"/>
    </row>
    <row r="26" spans="1:7">
      <c r="A26" s="980" t="s">
        <v>2476</v>
      </c>
    </row>
    <row r="27" spans="1:7">
      <c r="A27" s="35" t="s">
        <v>4397</v>
      </c>
      <c r="B27" s="25"/>
    </row>
    <row r="28" spans="1:7">
      <c r="A28" s="35" t="s">
        <v>2499</v>
      </c>
      <c r="B28" s="25"/>
      <c r="C28" s="36">
        <v>1295794892</v>
      </c>
      <c r="D28" s="36">
        <v>611874644</v>
      </c>
      <c r="E28" s="36">
        <f>SUM(C28:D28)</f>
        <v>1907669536</v>
      </c>
    </row>
    <row r="29" spans="1:7">
      <c r="A29" s="35" t="s">
        <v>2500</v>
      </c>
      <c r="B29" s="25"/>
      <c r="C29" s="36">
        <v>137383056</v>
      </c>
      <c r="D29" s="36">
        <v>4331526</v>
      </c>
      <c r="E29" s="36">
        <f>SUM(C29:D29)</f>
        <v>141714582</v>
      </c>
    </row>
    <row r="30" spans="1:7">
      <c r="A30" s="35" t="s">
        <v>2491</v>
      </c>
    </row>
    <row r="31" spans="1:7">
      <c r="A31" s="37" t="s">
        <v>2492</v>
      </c>
      <c r="B31" s="25"/>
      <c r="C31" s="36">
        <v>-87680319</v>
      </c>
      <c r="D31" s="38"/>
      <c r="E31" s="36">
        <f>SUM(C31:D31)</f>
        <v>-87680319</v>
      </c>
    </row>
    <row r="32" spans="1:7" ht="15">
      <c r="A32" s="37" t="s">
        <v>2493</v>
      </c>
      <c r="B32" s="25"/>
      <c r="C32" s="39">
        <v>0</v>
      </c>
      <c r="D32" s="39">
        <v>-70861</v>
      </c>
      <c r="E32" s="39">
        <f>SUM(C32:D32)</f>
        <v>-70861</v>
      </c>
    </row>
    <row r="33" spans="1:5">
      <c r="A33" s="35"/>
      <c r="C33" s="36"/>
    </row>
    <row r="34" spans="1:5" ht="15">
      <c r="A34" s="35"/>
      <c r="B34" s="25"/>
      <c r="C34" s="40">
        <f>SUM(C28:C33)</f>
        <v>1345497629</v>
      </c>
      <c r="D34" s="40">
        <f>SUM(D28:D33)</f>
        <v>616135309</v>
      </c>
      <c r="E34" s="40">
        <f>SUM(E28:E33)</f>
        <v>1961632938</v>
      </c>
    </row>
    <row r="35" spans="1:5">
      <c r="A35" s="35"/>
    </row>
    <row r="36" spans="1:5">
      <c r="A36" s="35" t="s">
        <v>2498</v>
      </c>
      <c r="C36" s="28">
        <f>ROUND(C34/$E34,4)</f>
        <v>0.68589999999999995</v>
      </c>
      <c r="D36" s="28">
        <f>ROUND(D34/$E34,4)</f>
        <v>0.31409999999999999</v>
      </c>
      <c r="E36" s="28">
        <f>ROUND(E34/$E34,4)</f>
        <v>1</v>
      </c>
    </row>
    <row r="37" spans="1:5">
      <c r="E37" s="38"/>
    </row>
    <row r="39" spans="1:5">
      <c r="A39" s="98" t="s">
        <v>2496</v>
      </c>
    </row>
    <row r="40" spans="1:5" ht="25.5">
      <c r="A40" s="981" t="s">
        <v>2497</v>
      </c>
      <c r="C40" s="36">
        <v>50661</v>
      </c>
      <c r="D40" s="36">
        <v>9275</v>
      </c>
      <c r="E40" s="38">
        <f>+D40+C40</f>
        <v>59936</v>
      </c>
    </row>
    <row r="41" spans="1:5">
      <c r="A41" s="35"/>
      <c r="C41" s="114"/>
      <c r="D41" s="982"/>
    </row>
    <row r="42" spans="1:5">
      <c r="A42" s="35" t="s">
        <v>2498</v>
      </c>
      <c r="C42" s="983">
        <f>+ROUND(C40/$E40,4)</f>
        <v>0.84530000000000005</v>
      </c>
      <c r="D42" s="983">
        <f>+ROUND(D40/$E40,4)</f>
        <v>0.1547</v>
      </c>
      <c r="E42" s="983">
        <f>+ROUND(E40/$E40,4)</f>
        <v>1</v>
      </c>
    </row>
    <row r="45" spans="1:5">
      <c r="A45" s="98" t="s">
        <v>2479</v>
      </c>
      <c r="B45" s="77"/>
    </row>
    <row r="46" spans="1:5">
      <c r="A46" s="984"/>
      <c r="B46" s="77"/>
    </row>
    <row r="47" spans="1:5">
      <c r="A47" s="985" t="s">
        <v>2501</v>
      </c>
      <c r="C47" s="986">
        <f>+'Rate Base'!G10</f>
        <v>2002776.0574193287</v>
      </c>
      <c r="D47" s="986">
        <f>+'Rate Base'!H10</f>
        <v>803938.94590858545</v>
      </c>
      <c r="E47" s="987">
        <f>+D47+C47</f>
        <v>2806715.003327914</v>
      </c>
    </row>
    <row r="48" spans="1:5" ht="15">
      <c r="A48" s="985" t="s">
        <v>2452</v>
      </c>
      <c r="C48" s="39">
        <f>+'Rate Base'!G11</f>
        <v>-643006.12014860217</v>
      </c>
      <c r="D48" s="39">
        <f>+'Rate Base'!H11</f>
        <v>-329899.52463848086</v>
      </c>
      <c r="E48" s="988">
        <f>+D48+C48</f>
        <v>-972905.64478708303</v>
      </c>
    </row>
    <row r="49" spans="1:7" ht="15">
      <c r="C49" s="989">
        <f>+C48+C47</f>
        <v>1359769.9372707265</v>
      </c>
      <c r="D49" s="989">
        <f t="shared" ref="D49:E49" si="5">+D48+D47</f>
        <v>474039.42127010459</v>
      </c>
      <c r="E49" s="989">
        <f t="shared" si="5"/>
        <v>1833809.3585408311</v>
      </c>
    </row>
    <row r="51" spans="1:7">
      <c r="A51" s="35" t="s">
        <v>2498</v>
      </c>
      <c r="C51" s="983">
        <f>+ROUND(C49/$E49,4)</f>
        <v>0.74150000000000005</v>
      </c>
      <c r="D51" s="983">
        <f t="shared" ref="D51:E51" si="6">+ROUND(D49/$E49,4)</f>
        <v>0.25850000000000001</v>
      </c>
      <c r="E51" s="983">
        <f t="shared" si="6"/>
        <v>1</v>
      </c>
    </row>
    <row r="52" spans="1:7">
      <c r="A52" s="35"/>
      <c r="C52" s="983"/>
      <c r="D52" s="983"/>
      <c r="E52" s="983"/>
    </row>
    <row r="54" spans="1:7">
      <c r="A54" s="980" t="s">
        <v>2480</v>
      </c>
    </row>
    <row r="55" spans="1:7">
      <c r="A55" s="984" t="s">
        <v>2517</v>
      </c>
    </row>
    <row r="56" spans="1:7">
      <c r="A56" s="990" t="s">
        <v>4609</v>
      </c>
    </row>
    <row r="57" spans="1:7" ht="15.75">
      <c r="A57" s="41" t="s">
        <v>2502</v>
      </c>
      <c r="C57" s="625">
        <v>-3963570.57</v>
      </c>
      <c r="D57" s="625">
        <v>-2317780</v>
      </c>
      <c r="E57" s="625">
        <f>+D57+C57</f>
        <v>-6281350.5700000003</v>
      </c>
      <c r="G57" s="871"/>
    </row>
    <row r="58" spans="1:7" ht="15.75">
      <c r="A58" s="41" t="s">
        <v>4132</v>
      </c>
      <c r="C58" s="625">
        <v>-927</v>
      </c>
      <c r="D58" s="625">
        <v>-469.08</v>
      </c>
      <c r="E58" s="625">
        <f t="shared" ref="E58:E81" si="7">+D58+C58</f>
        <v>-1396.08</v>
      </c>
      <c r="G58" s="871"/>
    </row>
    <row r="59" spans="1:7" ht="15.75">
      <c r="A59" s="41" t="s">
        <v>2503</v>
      </c>
      <c r="C59" s="625">
        <v>8652.83</v>
      </c>
      <c r="D59" s="625">
        <v>5033.8900000000003</v>
      </c>
      <c r="E59" s="625">
        <f t="shared" si="7"/>
        <v>13686.720000000001</v>
      </c>
      <c r="G59" s="871"/>
    </row>
    <row r="60" spans="1:7" ht="15.75">
      <c r="A60" s="41" t="s">
        <v>2504</v>
      </c>
      <c r="C60" s="625">
        <v>6868045.5999999996</v>
      </c>
      <c r="D60" s="625">
        <v>4153523.06</v>
      </c>
      <c r="E60" s="625">
        <f t="shared" si="7"/>
        <v>11021568.66</v>
      </c>
      <c r="G60" s="871"/>
    </row>
    <row r="61" spans="1:7" ht="15.75">
      <c r="A61" s="41" t="s">
        <v>2505</v>
      </c>
      <c r="C61" s="625">
        <v>25930389.949999999</v>
      </c>
      <c r="D61" s="625">
        <v>16919095.149999999</v>
      </c>
      <c r="E61" s="625">
        <f t="shared" si="7"/>
        <v>42849485.099999994</v>
      </c>
      <c r="G61" s="871"/>
    </row>
    <row r="62" spans="1:7" ht="15.75">
      <c r="A62" s="41" t="s">
        <v>4133</v>
      </c>
      <c r="C62" s="625">
        <v>0</v>
      </c>
      <c r="D62" s="625">
        <v>1396.08</v>
      </c>
      <c r="E62" s="625">
        <f t="shared" si="7"/>
        <v>1396.08</v>
      </c>
      <c r="G62" s="871"/>
    </row>
    <row r="63" spans="1:7" ht="15.75">
      <c r="A63" s="41" t="s">
        <v>2506</v>
      </c>
      <c r="C63" s="625">
        <v>25042.19</v>
      </c>
      <c r="D63" s="625">
        <v>12671.96</v>
      </c>
      <c r="E63" s="625">
        <f t="shared" si="7"/>
        <v>37714.149999999994</v>
      </c>
      <c r="G63" s="871"/>
    </row>
    <row r="64" spans="1:7" ht="17.25">
      <c r="A64" s="41" t="s">
        <v>2507</v>
      </c>
      <c r="C64" s="988">
        <v>-50257.3</v>
      </c>
      <c r="D64" s="988">
        <v>-37300.93</v>
      </c>
      <c r="E64" s="988">
        <f t="shared" si="7"/>
        <v>-87558.23000000001</v>
      </c>
      <c r="G64" s="871"/>
    </row>
    <row r="65" spans="1:7">
      <c r="A65" s="41" t="s">
        <v>2508</v>
      </c>
      <c r="C65" s="625">
        <f>SUM(C57:C64)</f>
        <v>28817375.699999999</v>
      </c>
      <c r="D65" s="625">
        <f>SUM(D57:D64)</f>
        <v>18736170.129999999</v>
      </c>
      <c r="E65" s="38">
        <f t="shared" si="7"/>
        <v>47553545.829999998</v>
      </c>
      <c r="G65" s="872"/>
    </row>
    <row r="66" spans="1:7" ht="15.75">
      <c r="A66" s="41" t="s">
        <v>2509</v>
      </c>
      <c r="C66" s="625">
        <v>2439443.39</v>
      </c>
      <c r="D66" s="625">
        <v>583926.35</v>
      </c>
      <c r="E66" s="625">
        <f t="shared" si="7"/>
        <v>3023369.74</v>
      </c>
      <c r="G66" s="871"/>
    </row>
    <row r="67" spans="1:7" ht="15.75">
      <c r="A67" s="41" t="s">
        <v>4396</v>
      </c>
      <c r="C67" s="625">
        <v>-165412.17000000001</v>
      </c>
      <c r="D67" s="625">
        <v>-67021.850000000006</v>
      </c>
      <c r="E67" s="625">
        <f t="shared" si="7"/>
        <v>-232434.02000000002</v>
      </c>
      <c r="G67" s="871"/>
    </row>
    <row r="68" spans="1:7" ht="15.75">
      <c r="A68" s="41" t="s">
        <v>2510</v>
      </c>
      <c r="C68" s="625">
        <v>-1877466.57</v>
      </c>
      <c r="D68" s="625">
        <v>-474897.02</v>
      </c>
      <c r="E68" s="625">
        <f t="shared" si="7"/>
        <v>-2352363.59</v>
      </c>
      <c r="G68" s="871"/>
    </row>
    <row r="69" spans="1:7" ht="15.75">
      <c r="A69" s="41" t="s">
        <v>4134</v>
      </c>
      <c r="C69" s="625">
        <v>-315048.88</v>
      </c>
      <c r="D69" s="625">
        <v>-25972.69</v>
      </c>
      <c r="E69" s="625">
        <f t="shared" si="7"/>
        <v>-341021.57</v>
      </c>
      <c r="G69" s="871"/>
    </row>
    <row r="70" spans="1:7" ht="15.75">
      <c r="A70" s="41" t="s">
        <v>4135</v>
      </c>
      <c r="C70" s="625">
        <v>-48738.61</v>
      </c>
      <c r="D70" s="625">
        <v>-6582.06</v>
      </c>
      <c r="E70" s="625">
        <f t="shared" si="7"/>
        <v>-55320.67</v>
      </c>
      <c r="G70" s="871"/>
    </row>
    <row r="71" spans="1:7" ht="15.75">
      <c r="A71" s="41" t="s">
        <v>4136</v>
      </c>
      <c r="C71" s="625">
        <v>-582185.18000000005</v>
      </c>
      <c r="D71" s="625">
        <v>-80481.55</v>
      </c>
      <c r="E71" s="625">
        <f t="shared" si="7"/>
        <v>-662666.7300000001</v>
      </c>
      <c r="G71" s="871"/>
    </row>
    <row r="72" spans="1:7" ht="15.75">
      <c r="A72" s="41" t="s">
        <v>4608</v>
      </c>
      <c r="C72" s="625">
        <v>-6099.06</v>
      </c>
      <c r="D72" s="625">
        <v>-1318.24</v>
      </c>
      <c r="E72" s="625"/>
      <c r="G72" s="871"/>
    </row>
    <row r="73" spans="1:7" ht="15.75">
      <c r="A73" s="41" t="s">
        <v>2511</v>
      </c>
      <c r="C73" s="625">
        <v>2733335.43</v>
      </c>
      <c r="D73" s="625">
        <v>1216203.1399999999</v>
      </c>
      <c r="E73" s="625">
        <f t="shared" si="7"/>
        <v>3949538.5700000003</v>
      </c>
      <c r="G73" s="871"/>
    </row>
    <row r="74" spans="1:7" ht="15.75">
      <c r="A74" s="41" t="s">
        <v>2512</v>
      </c>
      <c r="C74" s="625">
        <v>-33124.69</v>
      </c>
      <c r="D74" s="625"/>
      <c r="E74" s="625">
        <f t="shared" si="7"/>
        <v>-33124.69</v>
      </c>
      <c r="G74" s="871"/>
    </row>
    <row r="75" spans="1:7" ht="15.75">
      <c r="A75" s="41" t="s">
        <v>2513</v>
      </c>
      <c r="C75" s="625">
        <v>1252340.18</v>
      </c>
      <c r="D75" s="625">
        <v>380385.67</v>
      </c>
      <c r="E75" s="625">
        <f t="shared" si="7"/>
        <v>1632725.8499999999</v>
      </c>
      <c r="G75" s="871"/>
    </row>
    <row r="76" spans="1:7" ht="15.75">
      <c r="A76" s="41" t="s">
        <v>4137</v>
      </c>
      <c r="C76" s="625">
        <v>159113.66</v>
      </c>
      <c r="D76" s="625">
        <v>996.47</v>
      </c>
      <c r="E76" s="625">
        <f t="shared" si="7"/>
        <v>160110.13</v>
      </c>
      <c r="G76" s="871"/>
    </row>
    <row r="77" spans="1:7" ht="15.75">
      <c r="A77" s="41" t="s">
        <v>4138</v>
      </c>
      <c r="C77" s="625">
        <v>52327.6</v>
      </c>
      <c r="D77" s="625">
        <v>1445.36</v>
      </c>
      <c r="E77" s="625">
        <f t="shared" si="7"/>
        <v>53772.959999999999</v>
      </c>
      <c r="G77" s="871"/>
    </row>
    <row r="78" spans="1:7" ht="15.75">
      <c r="A78" s="41" t="s">
        <v>4139</v>
      </c>
      <c r="C78" s="625">
        <v>367864.59</v>
      </c>
      <c r="D78" s="625">
        <v>29820.81</v>
      </c>
      <c r="E78" s="625">
        <f t="shared" si="7"/>
        <v>397685.4</v>
      </c>
      <c r="G78" s="871"/>
    </row>
    <row r="79" spans="1:7" ht="17.25">
      <c r="A79" s="41" t="s">
        <v>4140</v>
      </c>
      <c r="C79" s="988">
        <v>9885.15</v>
      </c>
      <c r="D79" s="988">
        <v>1212.8499999999999</v>
      </c>
      <c r="E79" s="988">
        <f t="shared" si="7"/>
        <v>11098</v>
      </c>
      <c r="G79" s="871"/>
    </row>
    <row r="80" spans="1:7" ht="15">
      <c r="A80" s="41" t="s">
        <v>2514</v>
      </c>
      <c r="C80" s="988">
        <f>SUM(C66:C79)</f>
        <v>3986234.84</v>
      </c>
      <c r="D80" s="988">
        <f>SUM(D66:D79)</f>
        <v>1557717.24</v>
      </c>
      <c r="E80" s="988">
        <f t="shared" si="7"/>
        <v>5543952.0800000001</v>
      </c>
    </row>
    <row r="81" spans="1:9" ht="15">
      <c r="A81" s="41" t="s">
        <v>2515</v>
      </c>
      <c r="C81" s="991">
        <f>+C65+C80</f>
        <v>32803610.539999999</v>
      </c>
      <c r="D81" s="991">
        <f>+D65+D80</f>
        <v>20293887.369999997</v>
      </c>
      <c r="E81" s="991">
        <f t="shared" si="7"/>
        <v>53097497.909999996</v>
      </c>
    </row>
    <row r="83" spans="1:9">
      <c r="A83" s="35" t="s">
        <v>2498</v>
      </c>
      <c r="C83" s="983">
        <f>ROUND(C81/$E81,4)</f>
        <v>0.61780000000000002</v>
      </c>
      <c r="D83" s="983">
        <f t="shared" ref="D83:E83" si="8">ROUND(D81/$E81,4)</f>
        <v>0.38219999999999998</v>
      </c>
      <c r="E83" s="983">
        <f t="shared" si="8"/>
        <v>1</v>
      </c>
      <c r="G83" s="808"/>
      <c r="H83" s="808"/>
      <c r="I83" s="808"/>
    </row>
    <row r="86" spans="1:9">
      <c r="A86" s="980" t="s">
        <v>4606</v>
      </c>
    </row>
    <row r="87" spans="1:9">
      <c r="A87" s="984" t="s">
        <v>2518</v>
      </c>
      <c r="C87" s="625">
        <f>+'591040 (2014)'!C5</f>
        <v>57513619.530000001</v>
      </c>
      <c r="D87" s="625">
        <f>+'591050 (2014)'!C4</f>
        <v>20983536.66</v>
      </c>
      <c r="E87" s="38">
        <f>+D87+C87</f>
        <v>78497156.189999998</v>
      </c>
    </row>
    <row r="89" spans="1:9">
      <c r="C89" s="983">
        <f>+ROUND(C87/$E87,4)</f>
        <v>0.73270000000000002</v>
      </c>
      <c r="D89" s="983">
        <f t="shared" ref="D89:E89" si="9">+ROUND(D87/$E87,4)</f>
        <v>0.26729999999999998</v>
      </c>
      <c r="E89" s="983">
        <f t="shared" si="9"/>
        <v>1</v>
      </c>
      <c r="G89" s="808"/>
      <c r="H89" s="808"/>
      <c r="I89" s="808"/>
    </row>
    <row r="92" spans="1:9">
      <c r="A92" s="980" t="s">
        <v>817</v>
      </c>
    </row>
    <row r="93" spans="1:9">
      <c r="A93" s="984" t="s">
        <v>4555</v>
      </c>
      <c r="C93" s="986">
        <f>12920152.1+1754195.28+621532.31</f>
        <v>15295879.689999999</v>
      </c>
      <c r="D93" s="986">
        <f>7433297.95+1009233.95+364612.24</f>
        <v>8807144.1400000006</v>
      </c>
      <c r="E93" s="987">
        <f>+D93+C93</f>
        <v>24103023.829999998</v>
      </c>
      <c r="G93" s="986"/>
      <c r="H93" s="986"/>
      <c r="I93" s="987"/>
    </row>
    <row r="95" spans="1:9">
      <c r="C95" s="983">
        <f>+ROUND(C93/$E93,4)</f>
        <v>0.63460000000000005</v>
      </c>
      <c r="D95" s="983">
        <f t="shared" ref="D95:E95" si="10">+ROUND(D93/$E93,4)</f>
        <v>0.3654</v>
      </c>
      <c r="E95" s="983">
        <f t="shared" si="10"/>
        <v>1</v>
      </c>
    </row>
    <row r="98" spans="1:5">
      <c r="A98" s="980" t="s">
        <v>2439</v>
      </c>
    </row>
    <row r="99" spans="1:5">
      <c r="A99" s="984" t="s">
        <v>4141</v>
      </c>
      <c r="C99" s="625">
        <f>+'Rate Base'!G22</f>
        <v>1120705.6870587864</v>
      </c>
      <c r="D99" s="625">
        <f>+'Rate Base'!H22</f>
        <v>459145.34599569463</v>
      </c>
      <c r="E99" s="625">
        <f>+D99+C99</f>
        <v>1579851.033054481</v>
      </c>
    </row>
    <row r="101" spans="1:5">
      <c r="C101" s="983">
        <f>+ROUND(C99/$E99,4)</f>
        <v>0.70940000000000003</v>
      </c>
      <c r="D101" s="983">
        <f t="shared" ref="D101:E101" si="11">+ROUND(D99/$E99,4)</f>
        <v>0.29060000000000002</v>
      </c>
      <c r="E101" s="983">
        <f t="shared" si="11"/>
        <v>1</v>
      </c>
    </row>
  </sheetData>
  <mergeCells count="4">
    <mergeCell ref="A1:E1"/>
    <mergeCell ref="A2:E2"/>
    <mergeCell ref="A3:E3"/>
    <mergeCell ref="A22:E22"/>
  </mergeCells>
  <pageMargins left="0.7" right="0.7" top="0.75" bottom="0.75" header="0.3" footer="0.3"/>
  <pageSetup orientation="portrait" r:id="rId1"/>
  <rowBreaks count="1" manualBreakCount="1">
    <brk id="53" max="4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41"/>
  <sheetViews>
    <sheetView view="pageBreakPreview" topLeftCell="A19" zoomScale="60" zoomScaleNormal="100" workbookViewId="0">
      <selection activeCell="F41" sqref="F41"/>
    </sheetView>
  </sheetViews>
  <sheetFormatPr defaultRowHeight="15.75"/>
  <cols>
    <col min="3" max="3" width="22" bestFit="1" customWidth="1"/>
    <col min="4" max="4" width="42.875" bestFit="1" customWidth="1"/>
  </cols>
  <sheetData>
    <row r="1" spans="2:4">
      <c r="B1" s="9" t="s">
        <v>2387</v>
      </c>
      <c r="C1" s="9" t="s">
        <v>2388</v>
      </c>
      <c r="D1" s="10" t="s">
        <v>2389</v>
      </c>
    </row>
    <row r="2" spans="2:4">
      <c r="B2" s="12" t="s">
        <v>2390</v>
      </c>
      <c r="C2" s="12" t="s">
        <v>2391</v>
      </c>
      <c r="D2" s="11" t="s">
        <v>2392</v>
      </c>
    </row>
    <row r="3" spans="2:4">
      <c r="B3" s="12" t="s">
        <v>2393</v>
      </c>
      <c r="C3" s="12" t="s">
        <v>2391</v>
      </c>
      <c r="D3" s="11" t="s">
        <v>1545</v>
      </c>
    </row>
    <row r="4" spans="2:4">
      <c r="B4" s="14" t="s">
        <v>2394</v>
      </c>
      <c r="C4" s="14" t="s">
        <v>2395</v>
      </c>
      <c r="D4" s="13" t="s">
        <v>2396</v>
      </c>
    </row>
    <row r="5" spans="2:4">
      <c r="B5" s="14" t="s">
        <v>2397</v>
      </c>
      <c r="C5" s="14" t="s">
        <v>2395</v>
      </c>
      <c r="D5" s="13" t="s">
        <v>2398</v>
      </c>
    </row>
    <row r="6" spans="2:4">
      <c r="B6" s="14" t="s">
        <v>2399</v>
      </c>
      <c r="C6" s="14" t="s">
        <v>2395</v>
      </c>
      <c r="D6" s="13" t="s">
        <v>1552</v>
      </c>
    </row>
    <row r="7" spans="2:4">
      <c r="B7" s="14" t="s">
        <v>2400</v>
      </c>
      <c r="C7" s="14" t="s">
        <v>2395</v>
      </c>
      <c r="D7" s="13" t="s">
        <v>2401</v>
      </c>
    </row>
    <row r="8" spans="2:4">
      <c r="B8" s="14" t="s">
        <v>2402</v>
      </c>
      <c r="C8" s="14" t="s">
        <v>2395</v>
      </c>
      <c r="D8" s="13" t="s">
        <v>2354</v>
      </c>
    </row>
    <row r="9" spans="2:4">
      <c r="B9" s="14" t="s">
        <v>2403</v>
      </c>
      <c r="C9" s="14" t="s">
        <v>2395</v>
      </c>
      <c r="D9" s="13" t="s">
        <v>2404</v>
      </c>
    </row>
    <row r="10" spans="2:4">
      <c r="B10" s="14" t="s">
        <v>2405</v>
      </c>
      <c r="C10" s="14" t="s">
        <v>2395</v>
      </c>
      <c r="D10" s="13" t="s">
        <v>2406</v>
      </c>
    </row>
    <row r="11" spans="2:4">
      <c r="B11" s="16" t="s">
        <v>2407</v>
      </c>
      <c r="C11" s="16" t="s">
        <v>2395</v>
      </c>
      <c r="D11" s="15" t="s">
        <v>2408</v>
      </c>
    </row>
    <row r="12" spans="2:4">
      <c r="B12" s="16" t="s">
        <v>2409</v>
      </c>
      <c r="C12" s="16" t="s">
        <v>2395</v>
      </c>
      <c r="D12" s="15" t="s">
        <v>2410</v>
      </c>
    </row>
    <row r="13" spans="2:4">
      <c r="B13" s="14" t="s">
        <v>2411</v>
      </c>
      <c r="C13" s="14" t="s">
        <v>2395</v>
      </c>
      <c r="D13" s="13" t="s">
        <v>2412</v>
      </c>
    </row>
    <row r="14" spans="2:4">
      <c r="B14" s="14" t="s">
        <v>2413</v>
      </c>
      <c r="C14" s="14" t="s">
        <v>2395</v>
      </c>
      <c r="D14" s="13" t="s">
        <v>2414</v>
      </c>
    </row>
    <row r="15" spans="2:4">
      <c r="B15" s="14" t="s">
        <v>2415</v>
      </c>
      <c r="C15" s="14" t="s">
        <v>2395</v>
      </c>
      <c r="D15" s="13" t="s">
        <v>2416</v>
      </c>
    </row>
    <row r="16" spans="2:4">
      <c r="B16" s="14" t="s">
        <v>2417</v>
      </c>
      <c r="C16" s="14" t="s">
        <v>2395</v>
      </c>
      <c r="D16" s="13" t="s">
        <v>2418</v>
      </c>
    </row>
    <row r="17" spans="2:4">
      <c r="B17" s="18" t="s">
        <v>2419</v>
      </c>
      <c r="C17" s="18" t="s">
        <v>2470</v>
      </c>
      <c r="D17" s="17" t="s">
        <v>2420</v>
      </c>
    </row>
    <row r="18" spans="2:4">
      <c r="B18" s="18" t="s">
        <v>2421</v>
      </c>
      <c r="C18" s="18" t="s">
        <v>2470</v>
      </c>
      <c r="D18" s="17" t="s">
        <v>2422</v>
      </c>
    </row>
    <row r="19" spans="2:4">
      <c r="B19" s="18" t="s">
        <v>2423</v>
      </c>
      <c r="C19" s="18" t="s">
        <v>2470</v>
      </c>
      <c r="D19" s="17" t="s">
        <v>2424</v>
      </c>
    </row>
    <row r="20" spans="2:4">
      <c r="B20" s="18" t="s">
        <v>2425</v>
      </c>
      <c r="C20" s="18" t="s">
        <v>2470</v>
      </c>
      <c r="D20" s="17" t="s">
        <v>2426</v>
      </c>
    </row>
    <row r="21" spans="2:4">
      <c r="B21" s="18" t="s">
        <v>2427</v>
      </c>
      <c r="C21" s="18" t="s">
        <v>2470</v>
      </c>
      <c r="D21" s="17" t="s">
        <v>2428</v>
      </c>
    </row>
    <row r="22" spans="2:4">
      <c r="B22" s="18" t="s">
        <v>2429</v>
      </c>
      <c r="C22" s="18" t="s">
        <v>2470</v>
      </c>
      <c r="D22" s="17"/>
    </row>
    <row r="23" spans="2:4">
      <c r="B23" s="18" t="s">
        <v>2430</v>
      </c>
      <c r="C23" s="18" t="s">
        <v>2470</v>
      </c>
      <c r="D23" s="17" t="s">
        <v>2431</v>
      </c>
    </row>
    <row r="24" spans="2:4">
      <c r="B24" s="18" t="s">
        <v>2432</v>
      </c>
      <c r="C24" s="18" t="s">
        <v>2470</v>
      </c>
      <c r="D24" s="17" t="s">
        <v>2433</v>
      </c>
    </row>
    <row r="25" spans="2:4">
      <c r="B25" s="18" t="s">
        <v>2434</v>
      </c>
      <c r="C25" s="18" t="s">
        <v>2470</v>
      </c>
      <c r="D25" s="17" t="s">
        <v>2435</v>
      </c>
    </row>
    <row r="26" spans="2:4">
      <c r="B26" s="18" t="s">
        <v>2436</v>
      </c>
      <c r="C26" s="18" t="s">
        <v>2470</v>
      </c>
      <c r="D26" s="17" t="s">
        <v>2437</v>
      </c>
    </row>
    <row r="27" spans="2:4">
      <c r="B27" s="20" t="s">
        <v>2438</v>
      </c>
      <c r="C27" s="20" t="s">
        <v>2439</v>
      </c>
      <c r="D27" s="19" t="s">
        <v>2440</v>
      </c>
    </row>
    <row r="28" spans="2:4">
      <c r="B28" s="20" t="s">
        <v>2441</v>
      </c>
      <c r="C28" s="20" t="s">
        <v>2439</v>
      </c>
      <c r="D28" s="19" t="s">
        <v>2442</v>
      </c>
    </row>
    <row r="29" spans="2:4">
      <c r="B29" s="20" t="s">
        <v>2443</v>
      </c>
      <c r="C29" s="20" t="s">
        <v>2439</v>
      </c>
      <c r="D29" s="19" t="s">
        <v>2444</v>
      </c>
    </row>
    <row r="30" spans="2:4">
      <c r="B30" s="20" t="s">
        <v>2445</v>
      </c>
      <c r="C30" s="20" t="s">
        <v>2439</v>
      </c>
      <c r="D30" s="19" t="s">
        <v>2446</v>
      </c>
    </row>
    <row r="31" spans="2:4">
      <c r="B31" s="20" t="s">
        <v>2447</v>
      </c>
      <c r="C31" s="20" t="s">
        <v>2439</v>
      </c>
      <c r="D31" s="19" t="s">
        <v>2448</v>
      </c>
    </row>
    <row r="32" spans="2:4">
      <c r="B32" s="20" t="s">
        <v>2449</v>
      </c>
      <c r="C32" s="20" t="s">
        <v>2439</v>
      </c>
      <c r="D32" s="19" t="s">
        <v>2450</v>
      </c>
    </row>
    <row r="33" spans="2:4">
      <c r="B33" s="20" t="s">
        <v>2451</v>
      </c>
      <c r="C33" s="20" t="s">
        <v>2439</v>
      </c>
      <c r="D33" s="19" t="s">
        <v>2452</v>
      </c>
    </row>
    <row r="34" spans="2:4">
      <c r="B34" s="20" t="s">
        <v>2453</v>
      </c>
      <c r="C34" s="20" t="s">
        <v>2439</v>
      </c>
      <c r="D34" s="19" t="s">
        <v>2454</v>
      </c>
    </row>
    <row r="35" spans="2:4">
      <c r="B35" s="20" t="s">
        <v>2455</v>
      </c>
      <c r="C35" s="20" t="s">
        <v>2439</v>
      </c>
      <c r="D35" s="19" t="s">
        <v>2469</v>
      </c>
    </row>
    <row r="36" spans="2:4">
      <c r="B36" s="20" t="s">
        <v>2456</v>
      </c>
      <c r="C36" s="20" t="s">
        <v>2439</v>
      </c>
      <c r="D36" s="19" t="s">
        <v>2457</v>
      </c>
    </row>
    <row r="37" spans="2:4">
      <c r="B37" s="20" t="s">
        <v>2458</v>
      </c>
      <c r="C37" s="20" t="s">
        <v>2439</v>
      </c>
      <c r="D37" s="19" t="s">
        <v>2459</v>
      </c>
    </row>
    <row r="38" spans="2:4">
      <c r="B38" s="20" t="s">
        <v>2460</v>
      </c>
      <c r="C38" s="20" t="s">
        <v>2439</v>
      </c>
      <c r="D38" s="19" t="s">
        <v>2461</v>
      </c>
    </row>
    <row r="39" spans="2:4">
      <c r="B39" s="20" t="s">
        <v>2462</v>
      </c>
      <c r="C39" s="20" t="s">
        <v>2439</v>
      </c>
      <c r="D39" s="19" t="s">
        <v>2463</v>
      </c>
    </row>
    <row r="40" spans="2:4">
      <c r="B40" s="22" t="s">
        <v>2464</v>
      </c>
      <c r="C40" s="22" t="s">
        <v>2471</v>
      </c>
      <c r="D40" s="21" t="s">
        <v>2465</v>
      </c>
    </row>
    <row r="41" spans="2:4">
      <c r="B41" s="24" t="s">
        <v>2466</v>
      </c>
      <c r="C41" s="24" t="s">
        <v>2472</v>
      </c>
      <c r="D41" s="23" t="s">
        <v>2467</v>
      </c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"/>
  <sheetViews>
    <sheetView view="pageBreakPreview" zoomScale="60" zoomScaleNormal="100" workbookViewId="0">
      <selection activeCell="N16" sqref="N16"/>
    </sheetView>
  </sheetViews>
  <sheetFormatPr defaultRowHeight="15.75"/>
  <cols>
    <col min="3" max="3" width="13.75" bestFit="1" customWidth="1"/>
  </cols>
  <sheetData>
    <row r="1" spans="1:3">
      <c r="A1" s="806" t="s">
        <v>4604</v>
      </c>
    </row>
    <row r="2" spans="1:3">
      <c r="A2" s="806" t="s">
        <v>4394</v>
      </c>
    </row>
    <row r="3" spans="1:3">
      <c r="A3" s="806"/>
    </row>
    <row r="4" spans="1:3">
      <c r="A4" s="806"/>
    </row>
    <row r="5" spans="1:3">
      <c r="A5" s="806" t="s">
        <v>4605</v>
      </c>
      <c r="C5" s="789">
        <v>57513619.530000001</v>
      </c>
    </row>
  </sheetData>
  <pageMargins left="0.7" right="0.7" top="0.75" bottom="0.75" header="0.3" footer="0.3"/>
  <pageSetup scale="98" orientation="portrait" r:id="rId1"/>
  <colBreaks count="1" manualBreakCount="1">
    <brk id="9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view="pageBreakPreview" zoomScale="60" zoomScaleNormal="100" workbookViewId="0">
      <selection activeCell="A5" sqref="A5"/>
    </sheetView>
  </sheetViews>
  <sheetFormatPr defaultRowHeight="15.75"/>
  <cols>
    <col min="3" max="3" width="14.25" bestFit="1" customWidth="1"/>
  </cols>
  <sheetData>
    <row r="1" spans="1:3">
      <c r="A1" s="806" t="s">
        <v>4603</v>
      </c>
      <c r="B1" s="806"/>
      <c r="C1" s="806"/>
    </row>
    <row r="2" spans="1:3">
      <c r="A2" s="806" t="s">
        <v>4395</v>
      </c>
      <c r="B2" s="806"/>
      <c r="C2" s="806"/>
    </row>
    <row r="3" spans="1:3">
      <c r="A3" s="806"/>
      <c r="B3" s="806"/>
      <c r="C3" s="806"/>
    </row>
    <row r="4" spans="1:3">
      <c r="A4" s="806" t="s">
        <v>4605</v>
      </c>
      <c r="B4" s="806"/>
      <c r="C4" s="807">
        <v>20983536.66</v>
      </c>
    </row>
  </sheetData>
  <pageMargins left="0.7" right="0.7" top="0.75" bottom="0.75" header="0.3" footer="0.3"/>
  <pageSetup scale="9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51"/>
  <sheetViews>
    <sheetView view="pageBreakPreview" zoomScale="75" zoomScaleNormal="75" zoomScaleSheetLayoutView="75" workbookViewId="0">
      <selection activeCell="F16" sqref="F16"/>
    </sheetView>
  </sheetViews>
  <sheetFormatPr defaultRowHeight="12.75"/>
  <cols>
    <col min="1" max="4" width="2.75" style="511" customWidth="1"/>
    <col min="5" max="5" width="3.25" style="512" customWidth="1"/>
    <col min="6" max="6" width="45.75" style="512" customWidth="1"/>
    <col min="7" max="7" width="10" style="717" customWidth="1"/>
    <col min="8" max="10" width="13.875" style="512" customWidth="1"/>
    <col min="11" max="11" width="3.375" style="512" customWidth="1"/>
    <col min="12" max="16384" width="9" style="513"/>
  </cols>
  <sheetData>
    <row r="1" spans="4:11" ht="15.75">
      <c r="D1" s="496"/>
      <c r="E1" s="497"/>
      <c r="F1" s="499"/>
      <c r="G1" s="713"/>
      <c r="H1" s="499"/>
      <c r="I1" s="499"/>
      <c r="J1" s="499"/>
      <c r="K1" s="499"/>
    </row>
    <row r="2" spans="4:11" s="557" customFormat="1" ht="15.75">
      <c r="D2" s="556" t="str">
        <f>+'Rate Base'!B2</f>
        <v>Rochester Gas &amp; Electric Corporation</v>
      </c>
      <c r="E2" s="556"/>
      <c r="F2" s="556"/>
      <c r="G2" s="714"/>
      <c r="H2" s="556"/>
      <c r="I2" s="556"/>
      <c r="J2" s="556"/>
      <c r="K2" s="556"/>
    </row>
    <row r="3" spans="4:11" s="557" customFormat="1" ht="15.75">
      <c r="D3" s="556" t="s">
        <v>3554</v>
      </c>
      <c r="E3" s="558"/>
      <c r="F3" s="558"/>
      <c r="G3" s="715"/>
      <c r="H3" s="558"/>
      <c r="I3" s="558"/>
      <c r="J3" s="558"/>
      <c r="K3" s="558"/>
    </row>
    <row r="4" spans="4:11" s="557" customFormat="1" ht="15.75">
      <c r="D4" s="559" t="str">
        <f>+'Rate Base'!B4</f>
        <v>12 Months Ended December 31, 2014</v>
      </c>
      <c r="E4" s="560"/>
      <c r="F4" s="560"/>
      <c r="G4" s="716"/>
      <c r="H4" s="560"/>
      <c r="I4" s="560"/>
      <c r="J4" s="560"/>
      <c r="K4" s="560"/>
    </row>
    <row r="5" spans="4:11" s="557" customFormat="1" ht="15.75">
      <c r="D5" s="561" t="s">
        <v>2574</v>
      </c>
      <c r="E5" s="560"/>
      <c r="F5" s="560"/>
      <c r="G5" s="716"/>
      <c r="H5" s="560"/>
      <c r="I5" s="560"/>
      <c r="J5" s="560"/>
      <c r="K5" s="560"/>
    </row>
    <row r="7" spans="4:11" ht="56.25" customHeight="1">
      <c r="F7" s="515"/>
      <c r="G7" s="718" t="s">
        <v>2625</v>
      </c>
      <c r="H7" s="563" t="s">
        <v>3555</v>
      </c>
      <c r="I7" s="564" t="s">
        <v>3556</v>
      </c>
      <c r="J7" s="563" t="s">
        <v>3557</v>
      </c>
      <c r="K7" s="562"/>
    </row>
    <row r="8" spans="4:11">
      <c r="D8" s="565" t="s">
        <v>3558</v>
      </c>
      <c r="E8" s="565"/>
      <c r="F8" s="565"/>
      <c r="G8" s="719"/>
      <c r="H8" s="565"/>
      <c r="I8" s="565"/>
      <c r="J8" s="565"/>
      <c r="K8" s="565"/>
    </row>
    <row r="9" spans="4:11">
      <c r="E9" s="512" t="s">
        <v>3559</v>
      </c>
      <c r="H9" s="87">
        <f>H57</f>
        <v>59586.208333333299</v>
      </c>
      <c r="I9" s="87">
        <f>+J9-H9</f>
        <v>0</v>
      </c>
      <c r="J9" s="87">
        <f>+J74</f>
        <v>59586.208333333299</v>
      </c>
    </row>
    <row r="10" spans="4:11">
      <c r="D10" s="565"/>
      <c r="E10" s="566" t="s">
        <v>2396</v>
      </c>
      <c r="F10" s="566"/>
      <c r="G10" s="720"/>
      <c r="H10" s="92">
        <v>0</v>
      </c>
      <c r="I10" s="92">
        <f>+J10-H10</f>
        <v>695556.22256958333</v>
      </c>
      <c r="J10" s="92">
        <f>+J104</f>
        <v>695556.22256958333</v>
      </c>
      <c r="K10" s="566"/>
    </row>
    <row r="11" spans="4:11" ht="15">
      <c r="D11" s="565"/>
      <c r="E11" s="566" t="s">
        <v>3560</v>
      </c>
      <c r="F11" s="566"/>
      <c r="G11" s="720"/>
      <c r="H11" s="129">
        <v>0</v>
      </c>
      <c r="I11" s="129">
        <f>+J11-H11</f>
        <v>4574.36796208333</v>
      </c>
      <c r="J11" s="129">
        <f>+J119</f>
        <v>4574.36796208333</v>
      </c>
      <c r="K11" s="566"/>
    </row>
    <row r="12" spans="4:11">
      <c r="D12" s="565"/>
      <c r="E12" s="566"/>
      <c r="F12" s="566"/>
      <c r="G12" s="720"/>
      <c r="H12" s="92"/>
      <c r="I12" s="92"/>
      <c r="J12" s="92"/>
      <c r="K12" s="566"/>
    </row>
    <row r="13" spans="4:11">
      <c r="D13" s="565"/>
      <c r="E13" s="566" t="s">
        <v>3561</v>
      </c>
      <c r="F13" s="566"/>
      <c r="G13" s="720"/>
      <c r="H13" s="92">
        <f>SUM(H8:H12)</f>
        <v>59586.208333333299</v>
      </c>
      <c r="I13" s="92">
        <f>SUM(I8:I12)</f>
        <v>700130.59053166665</v>
      </c>
      <c r="J13" s="92">
        <f>SUM(J8:J12)</f>
        <v>759716.7988649999</v>
      </c>
      <c r="K13" s="566"/>
    </row>
    <row r="14" spans="4:11">
      <c r="D14" s="565"/>
      <c r="E14" s="566" t="s">
        <v>2354</v>
      </c>
      <c r="F14" s="566"/>
      <c r="G14" s="720"/>
      <c r="H14" s="92">
        <v>0</v>
      </c>
      <c r="I14" s="92">
        <f>+J14-H14</f>
        <v>0</v>
      </c>
      <c r="J14" s="92">
        <f>+J125</f>
        <v>0</v>
      </c>
      <c r="K14" s="566"/>
    </row>
    <row r="15" spans="4:11" ht="15">
      <c r="D15" s="565"/>
      <c r="E15" s="566" t="s">
        <v>2404</v>
      </c>
      <c r="F15" s="566"/>
      <c r="G15" s="720"/>
      <c r="H15" s="129">
        <v>0</v>
      </c>
      <c r="I15" s="129">
        <f>+J15-H15</f>
        <v>824684.74046166637</v>
      </c>
      <c r="J15" s="129">
        <f>+J143</f>
        <v>824684.74046166637</v>
      </c>
      <c r="K15" s="566"/>
    </row>
    <row r="16" spans="4:11">
      <c r="D16" s="565"/>
      <c r="E16" s="566"/>
      <c r="F16" s="566"/>
      <c r="G16" s="720"/>
      <c r="H16" s="92"/>
      <c r="I16" s="92"/>
      <c r="J16" s="92"/>
      <c r="K16" s="566"/>
    </row>
    <row r="17" spans="4:11">
      <c r="D17" s="565"/>
      <c r="E17" s="566" t="s">
        <v>2475</v>
      </c>
      <c r="F17" s="566"/>
      <c r="G17" s="720"/>
      <c r="H17" s="533">
        <f>SUM(H13:H16)</f>
        <v>59586.208333333299</v>
      </c>
      <c r="I17" s="533">
        <f>SUM(I13:I16)</f>
        <v>1524815.3309933329</v>
      </c>
      <c r="J17" s="533">
        <f>SUM(J13:J16)</f>
        <v>1584401.5393266664</v>
      </c>
      <c r="K17" s="566"/>
    </row>
    <row r="18" spans="4:11">
      <c r="D18" s="565"/>
      <c r="E18" s="566"/>
      <c r="F18" s="566"/>
      <c r="G18" s="720"/>
      <c r="H18" s="567"/>
      <c r="I18" s="567"/>
      <c r="J18" s="567"/>
      <c r="K18" s="566"/>
    </row>
    <row r="19" spans="4:11">
      <c r="D19" s="565" t="s">
        <v>3562</v>
      </c>
      <c r="E19" s="565"/>
      <c r="F19" s="566"/>
      <c r="G19" s="720"/>
      <c r="H19" s="513"/>
      <c r="I19" s="513"/>
      <c r="J19" s="513"/>
      <c r="K19" s="566"/>
    </row>
    <row r="20" spans="4:11">
      <c r="E20" s="512" t="s">
        <v>3559</v>
      </c>
      <c r="F20" s="566"/>
      <c r="G20" s="720"/>
      <c r="H20" s="568">
        <f>+I20-J20</f>
        <v>-3.7608022243310897E-2</v>
      </c>
      <c r="I20" s="568">
        <f>ROUND(I9/I$17,30)</f>
        <v>0</v>
      </c>
      <c r="J20" s="568">
        <f>ROUND(J9/J$17,30)</f>
        <v>3.7608022243310897E-2</v>
      </c>
      <c r="K20" s="566"/>
    </row>
    <row r="21" spans="4:11">
      <c r="D21" s="565"/>
      <c r="E21" s="566" t="s">
        <v>2396</v>
      </c>
      <c r="F21" s="566"/>
      <c r="G21" s="720"/>
      <c r="H21" s="568">
        <f>+I21-J21</f>
        <v>1.7155188145195788E-2</v>
      </c>
      <c r="I21" s="568">
        <f>+I24-I20-I22</f>
        <v>0.45615767918365996</v>
      </c>
      <c r="J21" s="568">
        <f>+J24-J20-J22</f>
        <v>0.43900249103846417</v>
      </c>
      <c r="K21" s="566"/>
    </row>
    <row r="22" spans="4:11">
      <c r="D22" s="565"/>
      <c r="E22" s="566" t="s">
        <v>1547</v>
      </c>
      <c r="F22" s="566"/>
      <c r="G22" s="720"/>
      <c r="H22" s="569">
        <f>+I22-J22</f>
        <v>1.1282214217707984E-4</v>
      </c>
      <c r="I22" s="569">
        <f>ROUND(I11/I$17,30)</f>
        <v>2.9999488260020199E-3</v>
      </c>
      <c r="J22" s="569">
        <f>ROUND(J11/J$17,30)</f>
        <v>2.8871266838249401E-3</v>
      </c>
      <c r="K22" s="566"/>
    </row>
    <row r="23" spans="4:11">
      <c r="D23" s="565"/>
      <c r="E23" s="566"/>
      <c r="F23" s="566"/>
      <c r="G23" s="720"/>
      <c r="H23" s="568"/>
      <c r="I23" s="568"/>
      <c r="J23" s="568"/>
      <c r="K23" s="566"/>
    </row>
    <row r="24" spans="4:11">
      <c r="D24" s="565"/>
      <c r="E24" s="566" t="s">
        <v>3561</v>
      </c>
      <c r="F24" s="566"/>
      <c r="G24" s="720"/>
      <c r="H24" s="568">
        <f>SUM(H19:H23)</f>
        <v>-2.0340011955938028E-2</v>
      </c>
      <c r="I24" s="568">
        <f>ROUND(I13/I$17,30)</f>
        <v>0.45915762800966198</v>
      </c>
      <c r="J24" s="568">
        <f>ROUND(J13/J$17,30)</f>
        <v>0.47949763996560002</v>
      </c>
      <c r="K24" s="566"/>
    </row>
    <row r="25" spans="4:11">
      <c r="D25" s="565"/>
      <c r="E25" s="566" t="s">
        <v>2354</v>
      </c>
      <c r="F25" s="566"/>
      <c r="G25" s="720"/>
      <c r="H25" s="568">
        <f>+I25-J25</f>
        <v>0</v>
      </c>
      <c r="I25" s="568">
        <f>ROUND(I14/I$17,30)</f>
        <v>0</v>
      </c>
      <c r="J25" s="568">
        <f>ROUND(J14/J$17,30)</f>
        <v>0</v>
      </c>
      <c r="K25" s="566"/>
    </row>
    <row r="26" spans="4:11">
      <c r="D26" s="565"/>
      <c r="E26" s="566" t="s">
        <v>2404</v>
      </c>
      <c r="F26" s="566"/>
      <c r="G26" s="720"/>
      <c r="H26" s="569">
        <f>+I26-J26</f>
        <v>2.0340011955938042E-2</v>
      </c>
      <c r="I26" s="569">
        <f>+I28-I24-I25</f>
        <v>0.54084237199033802</v>
      </c>
      <c r="J26" s="569">
        <f>+J28-J24-J25</f>
        <v>0.52050236003439998</v>
      </c>
      <c r="K26" s="566"/>
    </row>
    <row r="27" spans="4:11">
      <c r="D27" s="565"/>
      <c r="E27" s="566"/>
      <c r="F27" s="566"/>
      <c r="G27" s="720"/>
      <c r="H27" s="568"/>
      <c r="I27" s="568"/>
      <c r="J27" s="568"/>
      <c r="K27" s="566"/>
    </row>
    <row r="28" spans="4:11">
      <c r="D28" s="565"/>
      <c r="E28" s="566" t="s">
        <v>2475</v>
      </c>
      <c r="F28" s="566"/>
      <c r="G28" s="720"/>
      <c r="H28" s="570">
        <f>SUM(H24:H27)</f>
        <v>0</v>
      </c>
      <c r="I28" s="570">
        <v>1</v>
      </c>
      <c r="J28" s="570">
        <v>1</v>
      </c>
      <c r="K28" s="566"/>
    </row>
    <row r="29" spans="4:11">
      <c r="D29" s="565"/>
      <c r="E29" s="566"/>
      <c r="F29" s="566"/>
      <c r="G29" s="720"/>
      <c r="H29" s="570"/>
      <c r="I29" s="570"/>
      <c r="J29" s="570"/>
      <c r="K29" s="566"/>
    </row>
    <row r="30" spans="4:11">
      <c r="D30" s="565" t="s">
        <v>3563</v>
      </c>
      <c r="E30" s="566"/>
      <c r="F30" s="566"/>
      <c r="G30" s="720"/>
      <c r="H30" s="92"/>
      <c r="I30" s="92"/>
      <c r="J30" s="92"/>
      <c r="K30" s="566"/>
    </row>
    <row r="31" spans="4:11" s="555" customFormat="1" ht="14.1" customHeight="1">
      <c r="E31" s="571" t="s">
        <v>3564</v>
      </c>
      <c r="F31" s="572"/>
      <c r="G31" s="721" t="s">
        <v>3565</v>
      </c>
      <c r="H31" s="101">
        <f>H66*(J31/(J32+J31))</f>
        <v>0.19084999999999996</v>
      </c>
      <c r="I31" s="896">
        <f t="shared" ref="I31:I32" si="0">+J31-H31</f>
        <v>0</v>
      </c>
      <c r="J31" s="897">
        <v>0.19084999999999999</v>
      </c>
      <c r="K31" s="898"/>
    </row>
    <row r="32" spans="4:11" s="555" customFormat="1" ht="14.1" customHeight="1">
      <c r="E32" s="571" t="s">
        <v>4399</v>
      </c>
      <c r="F32" s="572"/>
      <c r="G32" s="721">
        <v>431099</v>
      </c>
      <c r="H32" s="101">
        <f>H66*(J32/(J32+J31))</f>
        <v>299.26274999999998</v>
      </c>
      <c r="I32" s="101">
        <f t="shared" si="0"/>
        <v>0</v>
      </c>
      <c r="J32" s="899">
        <v>299.26275000000004</v>
      </c>
      <c r="K32" s="898"/>
    </row>
    <row r="33" spans="4:11" s="555" customFormat="1" ht="14.1" customHeight="1">
      <c r="E33" s="571" t="s">
        <v>4227</v>
      </c>
      <c r="F33" s="572"/>
      <c r="G33" s="721">
        <v>580334</v>
      </c>
      <c r="H33" s="101">
        <v>0</v>
      </c>
      <c r="I33" s="101">
        <f t="shared" ref="I33" si="1">+J33-H33</f>
        <v>271.08033</v>
      </c>
      <c r="J33" s="899">
        <v>271.08033</v>
      </c>
      <c r="K33" s="898"/>
    </row>
    <row r="34" spans="4:11" s="555" customFormat="1" ht="14.1" customHeight="1">
      <c r="E34" s="571" t="s">
        <v>3566</v>
      </c>
      <c r="F34" s="572"/>
      <c r="G34" s="721" t="s">
        <v>3567</v>
      </c>
      <c r="H34" s="101">
        <v>0</v>
      </c>
      <c r="I34" s="101">
        <f t="shared" ref="I34:I43" si="2">+J34-H34</f>
        <v>449.59352000000007</v>
      </c>
      <c r="J34" s="899">
        <v>449.59352000000007</v>
      </c>
      <c r="K34" s="898"/>
    </row>
    <row r="35" spans="4:11" s="555" customFormat="1" ht="14.1" customHeight="1">
      <c r="E35" s="571" t="s">
        <v>3568</v>
      </c>
      <c r="F35" s="572"/>
      <c r="G35" s="721" t="s">
        <v>3569</v>
      </c>
      <c r="H35" s="101">
        <v>0</v>
      </c>
      <c r="I35" s="101">
        <f t="shared" si="2"/>
        <v>54.49006</v>
      </c>
      <c r="J35" s="899">
        <v>54.49006</v>
      </c>
      <c r="K35" s="898"/>
    </row>
    <row r="36" spans="4:11" s="555" customFormat="1" ht="14.1" customHeight="1">
      <c r="E36" s="571" t="s">
        <v>3570</v>
      </c>
      <c r="F36" s="572"/>
      <c r="G36" s="721" t="s">
        <v>3571</v>
      </c>
      <c r="H36" s="101">
        <v>0</v>
      </c>
      <c r="I36" s="101">
        <f t="shared" si="2"/>
        <v>36.02852</v>
      </c>
      <c r="J36" s="899">
        <v>36.02852</v>
      </c>
      <c r="K36" s="898"/>
    </row>
    <row r="37" spans="4:11" s="555" customFormat="1" ht="14.1" customHeight="1">
      <c r="E37" s="571" t="s">
        <v>3572</v>
      </c>
      <c r="F37" s="572"/>
      <c r="G37" s="721" t="s">
        <v>3573</v>
      </c>
      <c r="H37" s="101">
        <v>0</v>
      </c>
      <c r="I37" s="101">
        <f t="shared" si="2"/>
        <v>39268.567880000002</v>
      </c>
      <c r="J37" s="899">
        <v>39268.567880000002</v>
      </c>
      <c r="K37" s="898"/>
    </row>
    <row r="38" spans="4:11" s="555" customFormat="1" ht="14.1" customHeight="1">
      <c r="E38" s="571" t="s">
        <v>4398</v>
      </c>
      <c r="F38" s="572"/>
      <c r="G38" s="721">
        <v>580399</v>
      </c>
      <c r="H38" s="101">
        <v>0</v>
      </c>
      <c r="I38" s="101">
        <f t="shared" ref="I38" si="3">+J38-H38</f>
        <v>1833.8958300000002</v>
      </c>
      <c r="J38" s="899">
        <v>1833.8958300000002</v>
      </c>
      <c r="K38" s="898"/>
    </row>
    <row r="39" spans="4:11" s="555" customFormat="1" ht="14.1" customHeight="1">
      <c r="E39" s="571" t="s">
        <v>3574</v>
      </c>
      <c r="F39" s="572"/>
      <c r="G39" s="721" t="s">
        <v>3575</v>
      </c>
      <c r="H39" s="101">
        <v>0</v>
      </c>
      <c r="I39" s="101">
        <f t="shared" si="2"/>
        <v>928.08285999999998</v>
      </c>
      <c r="J39" s="899">
        <v>928.08285999999998</v>
      </c>
      <c r="K39" s="898"/>
    </row>
    <row r="40" spans="4:11" s="555" customFormat="1" ht="14.1" customHeight="1">
      <c r="E40" s="571" t="s">
        <v>4226</v>
      </c>
      <c r="F40" s="572"/>
      <c r="G40" s="721">
        <v>580410</v>
      </c>
      <c r="H40" s="101">
        <v>0</v>
      </c>
      <c r="I40" s="101">
        <f t="shared" ref="I40" si="4">+J40-H40</f>
        <v>5767.6399200000005</v>
      </c>
      <c r="J40" s="899">
        <v>5767.6399200000005</v>
      </c>
      <c r="K40" s="898"/>
    </row>
    <row r="41" spans="4:11" s="555" customFormat="1" ht="14.1" customHeight="1">
      <c r="E41" s="571" t="s">
        <v>4236</v>
      </c>
      <c r="F41" s="572"/>
      <c r="G41" s="721"/>
      <c r="H41" s="101"/>
      <c r="I41" s="101">
        <f>J41</f>
        <v>-895.52239992197019</v>
      </c>
      <c r="J41" s="101">
        <f>'Items Not in Rate Base'!$F1048</f>
        <v>-895.52239992197019</v>
      </c>
      <c r="K41" s="898"/>
    </row>
    <row r="42" spans="4:11" s="555" customFormat="1" ht="14.1" customHeight="1">
      <c r="E42" s="571" t="s">
        <v>3576</v>
      </c>
      <c r="F42" s="572"/>
      <c r="G42" s="721" t="s">
        <v>3577</v>
      </c>
      <c r="H42" s="101">
        <v>0</v>
      </c>
      <c r="I42" s="101">
        <f t="shared" si="2"/>
        <v>52.657679999999992</v>
      </c>
      <c r="J42" s="899">
        <v>52.657679999999992</v>
      </c>
      <c r="K42" s="898"/>
    </row>
    <row r="43" spans="4:11" s="555" customFormat="1" ht="14.1" customHeight="1">
      <c r="E43" s="571" t="s">
        <v>3578</v>
      </c>
      <c r="F43" s="572"/>
      <c r="G43" s="721" t="s">
        <v>3579</v>
      </c>
      <c r="H43" s="107">
        <v>0</v>
      </c>
      <c r="I43" s="107">
        <f t="shared" si="2"/>
        <v>990.74837000000014</v>
      </c>
      <c r="J43" s="900">
        <v>990.74837000000014</v>
      </c>
      <c r="K43" s="898"/>
    </row>
    <row r="44" spans="4:11">
      <c r="D44" s="565"/>
      <c r="E44" s="566"/>
      <c r="F44" s="566"/>
      <c r="G44" s="720"/>
      <c r="H44" s="92"/>
      <c r="I44" s="92"/>
      <c r="J44" s="92"/>
      <c r="K44" s="566"/>
    </row>
    <row r="45" spans="4:11">
      <c r="D45" s="565"/>
      <c r="E45" s="566" t="s">
        <v>3580</v>
      </c>
      <c r="F45" s="566"/>
      <c r="G45" s="720"/>
      <c r="H45" s="87">
        <f>SUM(H30:H44)</f>
        <v>299.45359999999999</v>
      </c>
      <c r="I45" s="87">
        <f>SUM(I30:I44)</f>
        <v>48757.262570078041</v>
      </c>
      <c r="J45" s="87">
        <f>SUM(J30:J44)</f>
        <v>49056.716170078042</v>
      </c>
      <c r="K45" s="566"/>
    </row>
    <row r="46" spans="4:11">
      <c r="D46" s="565"/>
      <c r="E46" s="566"/>
      <c r="F46" s="566"/>
      <c r="G46" s="720"/>
      <c r="H46" s="87"/>
      <c r="I46" s="87"/>
      <c r="J46" s="87"/>
      <c r="K46" s="566"/>
    </row>
    <row r="47" spans="4:11">
      <c r="D47" s="565" t="s">
        <v>4228</v>
      </c>
      <c r="E47" s="566"/>
      <c r="F47" s="566"/>
      <c r="G47" s="720"/>
      <c r="H47" s="568"/>
      <c r="I47" s="568"/>
      <c r="J47" s="568"/>
      <c r="K47" s="566"/>
    </row>
    <row r="48" spans="4:11">
      <c r="D48" s="565"/>
      <c r="E48" s="566" t="s">
        <v>3580</v>
      </c>
      <c r="F48" s="566"/>
      <c r="G48" s="720"/>
      <c r="H48" s="568"/>
      <c r="I48" s="568">
        <f>ROUND(I45/I13,15)</f>
        <v>6.9640240305816004E-2</v>
      </c>
      <c r="J48" s="568">
        <f>ROUND(J45/J13,15)</f>
        <v>6.4572372551676999E-2</v>
      </c>
      <c r="K48" s="566"/>
    </row>
    <row r="49" spans="4:11">
      <c r="D49" s="565"/>
      <c r="E49" s="566"/>
      <c r="F49" s="566"/>
      <c r="G49" s="720"/>
      <c r="H49" s="569"/>
      <c r="I49" s="569"/>
      <c r="J49" s="569"/>
      <c r="K49" s="566"/>
    </row>
    <row r="50" spans="4:11">
      <c r="D50" s="565" t="s">
        <v>4229</v>
      </c>
      <c r="E50" s="566"/>
      <c r="F50" s="566"/>
      <c r="G50" s="720"/>
      <c r="H50" s="568"/>
      <c r="I50" s="568"/>
      <c r="J50" s="568"/>
      <c r="K50" s="566"/>
    </row>
    <row r="51" spans="4:11">
      <c r="D51" s="565"/>
      <c r="E51" s="566" t="s">
        <v>3580</v>
      </c>
      <c r="F51" s="566"/>
      <c r="G51" s="720"/>
      <c r="H51" s="568"/>
      <c r="I51" s="568">
        <f>+I45/I$17</f>
        <v>3.1975847552841288E-2</v>
      </c>
      <c r="J51" s="568">
        <f>+J45/J$17</f>
        <v>3.0962300245508469E-2</v>
      </c>
      <c r="K51" s="566"/>
    </row>
    <row r="52" spans="4:11">
      <c r="H52" s="92"/>
      <c r="I52" s="92"/>
      <c r="J52" s="92"/>
    </row>
    <row r="53" spans="4:11" s="573" customFormat="1">
      <c r="D53" s="511" t="s">
        <v>3581</v>
      </c>
      <c r="E53" s="512"/>
      <c r="F53" s="512"/>
      <c r="G53" s="717"/>
      <c r="H53" s="92"/>
      <c r="I53" s="555"/>
      <c r="J53" s="513"/>
      <c r="K53" s="512"/>
    </row>
    <row r="54" spans="4:11" s="573" customFormat="1">
      <c r="D54" s="511"/>
      <c r="E54" s="512" t="s">
        <v>3582</v>
      </c>
      <c r="F54" s="512"/>
      <c r="G54" s="721" t="s">
        <v>2405</v>
      </c>
      <c r="H54" s="87">
        <f>-SUMIF('Balance Sheet Detail'!$C:$C,$G54,'Balance Sheet Detail'!X:X)</f>
        <v>59586.208333333299</v>
      </c>
      <c r="I54" s="555"/>
      <c r="J54" s="513"/>
      <c r="K54" s="124"/>
    </row>
    <row r="55" spans="4:11" s="573" customFormat="1" ht="15">
      <c r="D55" s="574"/>
      <c r="E55" s="513" t="s">
        <v>3583</v>
      </c>
      <c r="F55" s="513"/>
      <c r="G55" s="722"/>
      <c r="H55" s="129">
        <f>-'Rate Base'!I36</f>
        <v>192720.60461791669</v>
      </c>
      <c r="I55" s="555"/>
      <c r="J55" s="513"/>
      <c r="K55" s="130"/>
    </row>
    <row r="56" spans="4:11" s="573" customFormat="1">
      <c r="D56" s="511"/>
      <c r="E56" s="512"/>
      <c r="F56" s="512"/>
      <c r="G56" s="717"/>
      <c r="H56" s="92"/>
      <c r="I56" s="555"/>
      <c r="J56" s="513"/>
      <c r="K56" s="512"/>
    </row>
    <row r="57" spans="4:11" s="573" customFormat="1">
      <c r="D57" s="511"/>
      <c r="E57" s="512" t="s">
        <v>3581</v>
      </c>
      <c r="F57" s="512"/>
      <c r="G57" s="717"/>
      <c r="H57" s="533">
        <f>MIN(H54:H55)</f>
        <v>59586.208333333299</v>
      </c>
      <c r="I57" s="555"/>
      <c r="J57" s="513"/>
      <c r="K57" s="512"/>
    </row>
    <row r="58" spans="4:11" s="573" customFormat="1">
      <c r="D58" s="511"/>
      <c r="E58" s="512"/>
      <c r="F58" s="512"/>
      <c r="G58" s="717"/>
      <c r="H58" s="568"/>
      <c r="I58" s="555"/>
      <c r="J58" s="92"/>
      <c r="K58" s="512"/>
    </row>
    <row r="59" spans="4:11" s="573" customFormat="1">
      <c r="D59" s="511" t="s">
        <v>3584</v>
      </c>
      <c r="E59" s="512"/>
      <c r="F59" s="512"/>
      <c r="G59" s="717"/>
      <c r="H59" s="568"/>
      <c r="I59" s="555"/>
      <c r="J59" s="92"/>
      <c r="K59" s="512"/>
    </row>
    <row r="60" spans="4:11" s="573" customFormat="1">
      <c r="D60" s="511"/>
      <c r="E60" s="512" t="s">
        <v>3585</v>
      </c>
      <c r="F60" s="512"/>
      <c r="G60" s="717"/>
      <c r="H60" s="575">
        <f>+J31+J32</f>
        <v>299.45360000000005</v>
      </c>
      <c r="I60" s="555"/>
      <c r="J60" s="92"/>
      <c r="K60" s="512"/>
    </row>
    <row r="61" spans="4:11" s="573" customFormat="1" ht="15">
      <c r="D61" s="511"/>
      <c r="E61" s="512" t="s">
        <v>3582</v>
      </c>
      <c r="F61" s="512"/>
      <c r="G61" s="717"/>
      <c r="H61" s="129">
        <f>+H54</f>
        <v>59586.208333333299</v>
      </c>
      <c r="I61" s="555"/>
      <c r="J61" s="92"/>
      <c r="K61" s="512"/>
    </row>
    <row r="62" spans="4:11" s="573" customFormat="1">
      <c r="D62" s="511"/>
      <c r="E62" s="512"/>
      <c r="F62" s="512"/>
      <c r="G62" s="717"/>
      <c r="H62" s="568"/>
      <c r="I62" s="555"/>
      <c r="J62" s="92"/>
      <c r="K62" s="512"/>
    </row>
    <row r="63" spans="4:11" s="573" customFormat="1">
      <c r="D63" s="511"/>
      <c r="E63" s="512" t="s">
        <v>3586</v>
      </c>
      <c r="F63" s="512"/>
      <c r="G63" s="717"/>
      <c r="H63" s="568">
        <f>+H60/H61</f>
        <v>5.0255521936354158E-3</v>
      </c>
      <c r="I63" s="555"/>
      <c r="J63" s="92"/>
      <c r="K63" s="512"/>
    </row>
    <row r="64" spans="4:11" s="573" customFormat="1" ht="15">
      <c r="D64" s="511"/>
      <c r="E64" s="512" t="s">
        <v>3581</v>
      </c>
      <c r="F64" s="512"/>
      <c r="G64" s="717"/>
      <c r="H64" s="576">
        <f>+H57</f>
        <v>59586.208333333299</v>
      </c>
      <c r="I64" s="555"/>
      <c r="J64" s="92"/>
      <c r="K64" s="512"/>
    </row>
    <row r="65" spans="1:11" s="573" customFormat="1">
      <c r="D65" s="511"/>
      <c r="E65" s="512"/>
      <c r="F65" s="512"/>
      <c r="G65" s="717"/>
      <c r="H65" s="568"/>
      <c r="I65" s="555"/>
      <c r="J65" s="92"/>
      <c r="K65" s="512"/>
    </row>
    <row r="66" spans="1:11" s="573" customFormat="1">
      <c r="D66" s="511"/>
      <c r="E66" s="512" t="s">
        <v>3587</v>
      </c>
      <c r="F66" s="512"/>
      <c r="G66" s="717"/>
      <c r="H66" s="533">
        <f>ROUND(H63*H64,15)</f>
        <v>299.45359999999999</v>
      </c>
      <c r="I66" s="555"/>
      <c r="K66" s="512"/>
    </row>
    <row r="67" spans="1:11" s="573" customFormat="1">
      <c r="D67" s="511"/>
      <c r="E67" s="512"/>
      <c r="F67" s="512"/>
      <c r="G67" s="717"/>
      <c r="H67" s="568"/>
      <c r="I67" s="555"/>
      <c r="K67" s="512"/>
    </row>
    <row r="68" spans="1:11" ht="14.1" customHeight="1">
      <c r="E68" s="577"/>
      <c r="F68" s="577"/>
      <c r="G68" s="723"/>
      <c r="H68" s="577"/>
      <c r="I68" s="513"/>
      <c r="J68" s="521"/>
      <c r="K68" s="574"/>
    </row>
    <row r="69" spans="1:11" ht="14.1" customHeight="1">
      <c r="D69" s="574" t="s">
        <v>3559</v>
      </c>
      <c r="E69" s="577"/>
      <c r="F69" s="577"/>
      <c r="H69" s="513"/>
      <c r="I69" s="513"/>
      <c r="J69" s="521"/>
      <c r="K69" s="513"/>
    </row>
    <row r="70" spans="1:11" s="92" customFormat="1" ht="13.5" customHeight="1">
      <c r="A70" s="543"/>
      <c r="B70" s="543"/>
      <c r="C70" s="543"/>
      <c r="D70" s="578"/>
      <c r="E70" s="571" t="s">
        <v>442</v>
      </c>
      <c r="F70" s="543"/>
      <c r="G70" s="721" t="s">
        <v>3588</v>
      </c>
      <c r="H70" s="579" t="s">
        <v>2808</v>
      </c>
      <c r="J70" s="87">
        <f>-SUMIF('Balance Sheet Detail'!$C:$C,$G70,'Balance Sheet Detail'!X:X)</f>
        <v>75</v>
      </c>
      <c r="K70" s="124"/>
    </row>
    <row r="71" spans="1:11" s="92" customFormat="1" ht="14.1" customHeight="1">
      <c r="A71" s="543"/>
      <c r="B71" s="543"/>
      <c r="C71" s="543"/>
      <c r="D71" s="578"/>
      <c r="E71" s="571" t="s">
        <v>443</v>
      </c>
      <c r="F71" s="543"/>
      <c r="G71" s="721">
        <v>231150</v>
      </c>
      <c r="H71" s="579"/>
      <c r="J71" s="2">
        <f>-SUMIF('Balance Sheet Detail'!$C:$C,$G71,'Balance Sheet Detail'!X:X)</f>
        <v>59511.208333333299</v>
      </c>
      <c r="K71" s="124"/>
    </row>
    <row r="72" spans="1:11" ht="3.75" customHeight="1">
      <c r="A72" s="543"/>
      <c r="B72" s="543"/>
      <c r="C72" s="543"/>
      <c r="D72" s="578"/>
      <c r="E72" s="543"/>
      <c r="F72" s="543"/>
      <c r="G72" s="721"/>
      <c r="H72" s="543"/>
      <c r="I72" s="92"/>
      <c r="J72" s="129">
        <v>0</v>
      </c>
      <c r="K72" s="124"/>
    </row>
    <row r="73" spans="1:11" ht="12" customHeight="1">
      <c r="A73" s="543"/>
      <c r="B73" s="543"/>
      <c r="C73" s="543"/>
      <c r="D73" s="578"/>
      <c r="E73" s="580" t="s">
        <v>2808</v>
      </c>
      <c r="F73" s="580"/>
      <c r="G73" s="721"/>
      <c r="H73" s="543"/>
      <c r="I73" s="92"/>
      <c r="J73" s="581">
        <f>+J74-SUM(J69:J72)</f>
        <v>0</v>
      </c>
      <c r="K73" s="124"/>
    </row>
    <row r="74" spans="1:11" ht="14.1" customHeight="1">
      <c r="A74" s="543"/>
      <c r="B74" s="543"/>
      <c r="C74" s="543"/>
      <c r="D74" s="578"/>
      <c r="E74" s="513" t="s">
        <v>2475</v>
      </c>
      <c r="F74" s="513"/>
      <c r="G74" s="721" t="s">
        <v>2405</v>
      </c>
      <c r="H74" s="543"/>
      <c r="I74" s="513"/>
      <c r="J74" s="582">
        <f>-SUMIF('Balance Sheet Detail'!$C:$C,$G74,'Balance Sheet Detail'!X:X)</f>
        <v>59586.208333333299</v>
      </c>
      <c r="K74" s="124"/>
    </row>
    <row r="75" spans="1:11" ht="13.5" customHeight="1">
      <c r="D75" s="574"/>
      <c r="E75" s="583"/>
      <c r="F75" s="583"/>
      <c r="G75" s="724"/>
      <c r="H75" s="583"/>
      <c r="I75" s="513"/>
      <c r="J75" s="92"/>
      <c r="K75" s="584"/>
    </row>
    <row r="76" spans="1:11" ht="14.1" customHeight="1">
      <c r="D76" s="574" t="s">
        <v>2396</v>
      </c>
      <c r="E76" s="583"/>
      <c r="F76" s="583"/>
      <c r="G76" s="724"/>
      <c r="H76" s="583"/>
      <c r="I76" s="513"/>
      <c r="J76" s="92"/>
      <c r="K76" s="584"/>
    </row>
    <row r="77" spans="1:11" ht="14.1" customHeight="1">
      <c r="D77" s="513"/>
      <c r="E77" s="583" t="s">
        <v>3589</v>
      </c>
      <c r="F77" s="574"/>
      <c r="G77" s="725"/>
      <c r="H77" s="513"/>
      <c r="I77" s="513"/>
      <c r="J77" s="521"/>
      <c r="K77" s="585"/>
    </row>
    <row r="78" spans="1:11" s="92" customFormat="1" ht="14.1" customHeight="1">
      <c r="A78" s="543"/>
      <c r="B78" s="543"/>
      <c r="C78" s="543"/>
      <c r="F78" s="571" t="s">
        <v>3590</v>
      </c>
      <c r="G78" s="721" t="s">
        <v>3591</v>
      </c>
      <c r="J78" s="2">
        <f>-SUMIF('Balance Sheet Detail'!$C:$C,$G78,'Balance Sheet Detail'!X:X)</f>
        <v>0</v>
      </c>
      <c r="K78" s="124"/>
    </row>
    <row r="79" spans="1:11" s="92" customFormat="1" ht="14.1" customHeight="1">
      <c r="A79" s="543"/>
      <c r="B79" s="543"/>
      <c r="C79" s="543"/>
      <c r="F79" s="571" t="s">
        <v>412</v>
      </c>
      <c r="G79" s="721" t="s">
        <v>3592</v>
      </c>
      <c r="J79" s="2">
        <f>-SUMIF('Balance Sheet Detail'!$C:$C,$G79,'Balance Sheet Detail'!X:X)</f>
        <v>757850</v>
      </c>
      <c r="K79" s="124"/>
    </row>
    <row r="80" spans="1:11" s="92" customFormat="1" ht="14.1" customHeight="1">
      <c r="A80" s="543"/>
      <c r="B80" s="543"/>
      <c r="C80" s="543"/>
      <c r="F80" s="571" t="s">
        <v>419</v>
      </c>
      <c r="G80" s="721">
        <v>224990</v>
      </c>
      <c r="J80" s="2">
        <f>-SUMIF('Balance Sheet Detail'!$C:$C,$G80,'Balance Sheet Detail'!X:X)</f>
        <v>0</v>
      </c>
      <c r="K80" s="124"/>
    </row>
    <row r="81" spans="1:11" s="92" customFormat="1" ht="14.1" customHeight="1">
      <c r="A81" s="543"/>
      <c r="B81" s="543"/>
      <c r="C81" s="543"/>
      <c r="F81" s="571" t="s">
        <v>420</v>
      </c>
      <c r="G81" s="721">
        <v>224991</v>
      </c>
      <c r="J81" s="2">
        <f>-SUMIF('Balance Sheet Detail'!$C:$C,$G81,'Balance Sheet Detail'!X:X)</f>
        <v>0</v>
      </c>
      <c r="K81" s="124"/>
    </row>
    <row r="82" spans="1:11" s="92" customFormat="1" ht="14.1" customHeight="1">
      <c r="A82" s="543"/>
      <c r="B82" s="543"/>
      <c r="C82" s="543"/>
      <c r="F82" s="571" t="s">
        <v>421</v>
      </c>
      <c r="G82" s="721">
        <v>224992</v>
      </c>
      <c r="J82" s="2">
        <f>-SUMIF('Balance Sheet Detail'!$C:$C,$G82,'Balance Sheet Detail'!X:X)</f>
        <v>-50731.25</v>
      </c>
      <c r="K82" s="124"/>
    </row>
    <row r="83" spans="1:11" ht="4.5" customHeight="1">
      <c r="A83" s="543"/>
      <c r="B83" s="543"/>
      <c r="C83" s="543"/>
      <c r="D83" s="513"/>
      <c r="E83" s="586"/>
      <c r="F83" s="587"/>
      <c r="G83" s="721"/>
      <c r="H83" s="543"/>
      <c r="I83" s="92"/>
      <c r="J83" s="129">
        <v>0</v>
      </c>
      <c r="K83" s="124"/>
    </row>
    <row r="84" spans="1:11" ht="14.1" customHeight="1">
      <c r="A84" s="543"/>
      <c r="B84" s="543"/>
      <c r="C84" s="543"/>
      <c r="D84" s="513"/>
      <c r="E84" s="586"/>
      <c r="F84" s="578"/>
      <c r="G84" s="721"/>
      <c r="H84" s="543"/>
      <c r="I84" s="92"/>
      <c r="J84" s="581">
        <f>+J85-SUM(J77:J83)</f>
        <v>0</v>
      </c>
      <c r="K84" s="124"/>
    </row>
    <row r="85" spans="1:11" ht="14.1" customHeight="1">
      <c r="A85" s="543"/>
      <c r="B85" s="543"/>
      <c r="C85" s="543"/>
      <c r="D85" s="513"/>
      <c r="E85" s="586"/>
      <c r="F85" s="513" t="s">
        <v>2475</v>
      </c>
      <c r="G85" s="721" t="s">
        <v>2394</v>
      </c>
      <c r="H85" s="543"/>
      <c r="I85" s="513"/>
      <c r="J85" s="582">
        <f>-SUMIF('Balance Sheet Detail'!$C:$C,$G85,'Balance Sheet Detail'!X:X)</f>
        <v>707118.75</v>
      </c>
      <c r="K85" s="124"/>
    </row>
    <row r="86" spans="1:11" ht="12" customHeight="1">
      <c r="D86" s="574"/>
      <c r="E86" s="513"/>
      <c r="F86" s="513"/>
      <c r="G86" s="726"/>
      <c r="H86" s="543"/>
      <c r="I86" s="513"/>
      <c r="J86" s="87"/>
      <c r="K86" s="588"/>
    </row>
    <row r="87" spans="1:11" ht="14.1" customHeight="1">
      <c r="D87" s="513"/>
      <c r="E87" s="583" t="s">
        <v>2412</v>
      </c>
      <c r="F87" s="574"/>
      <c r="G87" s="725"/>
      <c r="H87" s="513"/>
      <c r="I87" s="513"/>
      <c r="J87" s="521"/>
      <c r="K87" s="585"/>
    </row>
    <row r="88" spans="1:11" ht="14.1" customHeight="1">
      <c r="D88" s="513"/>
      <c r="E88" s="513"/>
      <c r="F88" s="571" t="s">
        <v>423</v>
      </c>
      <c r="G88" s="727" t="s">
        <v>3593</v>
      </c>
      <c r="H88" s="513"/>
      <c r="I88" s="513"/>
      <c r="J88" s="2">
        <f>-SUMIF('Balance Sheet Detail'!$C:$C,$G88,'Balance Sheet Detail'!X:X)</f>
        <v>-714.13432</v>
      </c>
      <c r="K88" s="124"/>
    </row>
    <row r="89" spans="1:11" ht="14.1" customHeight="1">
      <c r="D89" s="513"/>
      <c r="E89" s="513"/>
      <c r="F89" s="571" t="s">
        <v>3594</v>
      </c>
      <c r="G89" s="727" t="s">
        <v>3595</v>
      </c>
      <c r="H89" s="513"/>
      <c r="I89" s="513"/>
      <c r="J89" s="2">
        <f>-SUMIF('Balance Sheet Detail'!$C:$C,$G89,'Balance Sheet Detail'!X:X)</f>
        <v>0</v>
      </c>
      <c r="K89" s="124"/>
    </row>
    <row r="90" spans="1:11" ht="3.75" customHeight="1">
      <c r="D90" s="513"/>
      <c r="E90" s="590"/>
      <c r="F90" s="591"/>
      <c r="G90" s="727"/>
      <c r="H90" s="513"/>
      <c r="I90" s="513"/>
      <c r="J90" s="129">
        <v>0</v>
      </c>
      <c r="K90" s="589"/>
    </row>
    <row r="91" spans="1:11" ht="12" customHeight="1">
      <c r="A91" s="543"/>
      <c r="B91" s="543"/>
      <c r="C91" s="543"/>
      <c r="D91" s="513"/>
      <c r="E91" s="586"/>
      <c r="F91" s="578"/>
      <c r="G91" s="728"/>
      <c r="H91" s="513"/>
      <c r="I91" s="513"/>
      <c r="J91" s="581">
        <f>+J92-SUM(J87:J90)</f>
        <v>0</v>
      </c>
      <c r="K91" s="592"/>
    </row>
    <row r="92" spans="1:11" ht="14.1" customHeight="1">
      <c r="D92" s="513"/>
      <c r="E92" s="583"/>
      <c r="F92" s="577" t="s">
        <v>2475</v>
      </c>
      <c r="G92" s="721" t="s">
        <v>2411</v>
      </c>
      <c r="H92" s="513"/>
      <c r="I92" s="513"/>
      <c r="J92" s="582">
        <f>-SUMIF('Balance Sheet Detail'!$C:$C,$G92,'Balance Sheet Detail'!X:X)</f>
        <v>-714.13432</v>
      </c>
      <c r="K92" s="124"/>
    </row>
    <row r="93" spans="1:11" ht="14.1" customHeight="1">
      <c r="D93" s="513"/>
      <c r="E93" s="583"/>
      <c r="F93" s="574"/>
      <c r="G93" s="725"/>
      <c r="H93" s="513"/>
      <c r="I93" s="513"/>
      <c r="J93" s="582"/>
      <c r="K93" s="585"/>
    </row>
    <row r="94" spans="1:11" ht="14.1" customHeight="1">
      <c r="D94" s="513"/>
      <c r="E94" s="583" t="s">
        <v>2418</v>
      </c>
      <c r="F94" s="574"/>
      <c r="G94" s="725"/>
      <c r="H94" s="513"/>
      <c r="I94" s="513"/>
      <c r="J94" s="521"/>
      <c r="K94" s="585"/>
    </row>
    <row r="95" spans="1:11" ht="14.1" customHeight="1">
      <c r="D95" s="513"/>
      <c r="E95" s="513"/>
      <c r="F95" s="571" t="s">
        <v>3596</v>
      </c>
      <c r="G95" s="727" t="s">
        <v>3597</v>
      </c>
      <c r="H95" s="513"/>
      <c r="I95" s="513"/>
      <c r="J95" s="2">
        <f>-SUMIF('Balance Sheet Detail'!$C:$C,$G95,'Balance Sheet Detail'!X:X)</f>
        <v>0</v>
      </c>
      <c r="K95" s="124"/>
    </row>
    <row r="96" spans="1:11" ht="14.1" customHeight="1">
      <c r="D96" s="513"/>
      <c r="E96" s="513"/>
      <c r="F96" s="571" t="s">
        <v>217</v>
      </c>
      <c r="G96" s="727" t="s">
        <v>3598</v>
      </c>
      <c r="H96" s="513"/>
      <c r="I96" s="513"/>
      <c r="J96" s="2">
        <f>-SUMIF('Balance Sheet Detail'!$C:$C,$G96,'Balance Sheet Detail'!X:X)</f>
        <v>-9390.5982225000007</v>
      </c>
      <c r="K96" s="124"/>
    </row>
    <row r="97" spans="1:11" ht="14.1" customHeight="1">
      <c r="D97" s="513"/>
      <c r="E97" s="513"/>
      <c r="F97" s="571" t="s">
        <v>222</v>
      </c>
      <c r="G97" s="727" t="s">
        <v>3599</v>
      </c>
      <c r="H97" s="513"/>
      <c r="I97" s="513"/>
      <c r="J97" s="2">
        <f>-SUMIF('Balance Sheet Detail'!$C:$C,$G97,'Balance Sheet Detail'!X:X)</f>
        <v>0</v>
      </c>
      <c r="K97" s="124"/>
    </row>
    <row r="98" spans="1:11" ht="14.1" customHeight="1">
      <c r="D98" s="513"/>
      <c r="E98" s="513"/>
      <c r="F98" s="571" t="s">
        <v>224</v>
      </c>
      <c r="G98" s="727" t="s">
        <v>3600</v>
      </c>
      <c r="H98" s="513"/>
      <c r="I98" s="513"/>
      <c r="J98" s="2">
        <f>-SUMIF('Balance Sheet Detail'!$C:$C,$G98,'Balance Sheet Detail'!X:X)</f>
        <v>-1457.7948879166699</v>
      </c>
      <c r="K98" s="124"/>
    </row>
    <row r="99" spans="1:11" ht="14.1" customHeight="1">
      <c r="D99" s="513"/>
      <c r="E99" s="513"/>
      <c r="F99" s="571" t="e">
        <v>#N/A</v>
      </c>
      <c r="G99" s="727">
        <v>181450</v>
      </c>
      <c r="H99" s="513"/>
      <c r="I99" s="513"/>
      <c r="J99" s="2">
        <f>-SUMIF('Balance Sheet Detail'!$C:$C,$G99,'Balance Sheet Detail'!X:X)</f>
        <v>0</v>
      </c>
      <c r="K99" s="124"/>
    </row>
    <row r="100" spans="1:11" ht="3.75" customHeight="1">
      <c r="D100" s="513"/>
      <c r="E100" s="590"/>
      <c r="F100" s="593"/>
      <c r="G100" s="727"/>
      <c r="H100" s="513"/>
      <c r="I100" s="513"/>
      <c r="J100" s="129">
        <v>0</v>
      </c>
      <c r="K100" s="589"/>
    </row>
    <row r="101" spans="1:11" ht="12" customHeight="1">
      <c r="A101" s="543"/>
      <c r="B101" s="543"/>
      <c r="C101" s="543"/>
      <c r="D101" s="513"/>
      <c r="E101" s="586"/>
      <c r="F101" s="594"/>
      <c r="G101" s="728"/>
      <c r="H101" s="513"/>
      <c r="I101" s="513"/>
      <c r="J101" s="581">
        <f>+J102-SUM(J94:J100)</f>
        <v>0</v>
      </c>
      <c r="K101" s="592"/>
    </row>
    <row r="102" spans="1:11" ht="14.1" customHeight="1">
      <c r="D102" s="513"/>
      <c r="E102" s="583"/>
      <c r="F102" s="577" t="s">
        <v>2475</v>
      </c>
      <c r="G102" s="721" t="s">
        <v>2417</v>
      </c>
      <c r="H102" s="513"/>
      <c r="I102" s="513"/>
      <c r="J102" s="582">
        <f>-SUMIF('Balance Sheet Detail'!$C:$C,$G102,'Balance Sheet Detail'!X:X)</f>
        <v>-10848.393110416671</v>
      </c>
      <c r="K102" s="124"/>
    </row>
    <row r="103" spans="1:11" ht="14.1" customHeight="1">
      <c r="D103" s="513"/>
      <c r="E103" s="583"/>
      <c r="F103" s="577"/>
      <c r="G103" s="721"/>
      <c r="H103" s="513"/>
      <c r="I103" s="513"/>
      <c r="J103" s="582"/>
      <c r="K103" s="124"/>
    </row>
    <row r="104" spans="1:11" ht="14.1" customHeight="1">
      <c r="D104" s="513"/>
      <c r="E104" s="583" t="s">
        <v>2475</v>
      </c>
      <c r="F104" s="577"/>
      <c r="G104" s="721"/>
      <c r="H104" s="513"/>
      <c r="I104" s="513"/>
      <c r="J104" s="582">
        <f>+J85+J92+J102</f>
        <v>695556.22256958333</v>
      </c>
      <c r="K104" s="124"/>
    </row>
    <row r="105" spans="1:11" ht="14.1" customHeight="1">
      <c r="D105" s="574"/>
      <c r="E105" s="513"/>
      <c r="F105" s="513"/>
      <c r="G105" s="726"/>
      <c r="H105" s="543"/>
      <c r="I105" s="513"/>
      <c r="J105" s="87"/>
      <c r="K105" s="588"/>
    </row>
    <row r="106" spans="1:11" ht="14.1" customHeight="1">
      <c r="D106" s="574" t="s">
        <v>3601</v>
      </c>
      <c r="E106" s="513"/>
      <c r="F106" s="513"/>
      <c r="G106" s="726"/>
      <c r="H106" s="543"/>
      <c r="I106" s="513"/>
      <c r="J106" s="87"/>
      <c r="K106" s="588"/>
    </row>
    <row r="107" spans="1:11" ht="14.1" customHeight="1">
      <c r="D107" s="513"/>
      <c r="E107" s="583" t="s">
        <v>1547</v>
      </c>
      <c r="F107" s="574"/>
      <c r="G107" s="725"/>
      <c r="H107" s="513"/>
      <c r="I107" s="513"/>
      <c r="J107" s="521"/>
      <c r="K107" s="585"/>
    </row>
    <row r="108" spans="1:11" ht="14.1" customHeight="1">
      <c r="D108" s="513"/>
      <c r="E108" s="513"/>
      <c r="F108" s="571" t="s">
        <v>518</v>
      </c>
      <c r="G108" s="727" t="s">
        <v>3602</v>
      </c>
      <c r="H108" s="513"/>
      <c r="I108" s="513"/>
      <c r="J108" s="2">
        <f>-SUMIF('Balance Sheet Detail'!$C:$C,$G108,'Balance Sheet Detail'!X:X)</f>
        <v>0</v>
      </c>
      <c r="K108" s="124"/>
    </row>
    <row r="109" spans="1:11" ht="14.1" customHeight="1">
      <c r="D109" s="513"/>
      <c r="E109" s="513"/>
      <c r="F109" s="571" t="s">
        <v>519</v>
      </c>
      <c r="G109" s="727" t="s">
        <v>3603</v>
      </c>
      <c r="H109" s="513"/>
      <c r="I109" s="513"/>
      <c r="J109" s="2">
        <f>-SUMIF('Balance Sheet Detail'!$C:$C,$G109,'Balance Sheet Detail'!X:X)</f>
        <v>4574.36796208333</v>
      </c>
      <c r="K109" s="124"/>
    </row>
    <row r="110" spans="1:11" ht="14.1" customHeight="1">
      <c r="D110" s="513"/>
      <c r="E110" s="513"/>
      <c r="F110" s="571" t="s">
        <v>3604</v>
      </c>
      <c r="G110" s="727" t="s">
        <v>3605</v>
      </c>
      <c r="H110" s="513"/>
      <c r="I110" s="513"/>
      <c r="J110" s="2">
        <f>-SUMIF('Balance Sheet Detail'!$C:$C,$G110,'Balance Sheet Detail'!X:X)</f>
        <v>0</v>
      </c>
      <c r="K110" s="124"/>
    </row>
    <row r="111" spans="1:11" ht="3.75" customHeight="1">
      <c r="D111" s="513"/>
      <c r="E111" s="590"/>
      <c r="F111" s="595"/>
      <c r="G111" s="726"/>
      <c r="H111" s="513"/>
      <c r="I111" s="513"/>
      <c r="J111" s="129">
        <v>0</v>
      </c>
      <c r="K111" s="588"/>
    </row>
    <row r="112" spans="1:11" ht="12" customHeight="1">
      <c r="A112" s="543"/>
      <c r="B112" s="543"/>
      <c r="C112" s="543"/>
      <c r="D112" s="513"/>
      <c r="E112" s="586"/>
      <c r="F112" s="578"/>
      <c r="G112" s="729" t="s">
        <v>2808</v>
      </c>
      <c r="H112" s="513"/>
      <c r="I112" s="513"/>
      <c r="J112" s="581">
        <f>+J113-SUM(J107:J111)</f>
        <v>0</v>
      </c>
      <c r="K112" s="596"/>
    </row>
    <row r="113" spans="1:11" ht="14.1" customHeight="1">
      <c r="D113" s="513"/>
      <c r="E113" s="583"/>
      <c r="F113" s="577" t="s">
        <v>2475</v>
      </c>
      <c r="G113" s="721" t="s">
        <v>2397</v>
      </c>
      <c r="H113" s="513"/>
      <c r="I113" s="513"/>
      <c r="J113" s="582">
        <f>-SUMIF('Balance Sheet Detail'!$C:$C,$G113,'Balance Sheet Detail'!X:X)</f>
        <v>4574.36796208333</v>
      </c>
      <c r="K113" s="124"/>
    </row>
    <row r="114" spans="1:11" ht="14.1" customHeight="1">
      <c r="D114" s="513"/>
      <c r="E114" s="583"/>
      <c r="F114" s="577"/>
      <c r="G114" s="721"/>
      <c r="H114" s="513"/>
      <c r="I114" s="513"/>
      <c r="J114" s="582"/>
      <c r="K114" s="124"/>
    </row>
    <row r="115" spans="1:11" ht="13.5" customHeight="1">
      <c r="E115" s="597" t="s">
        <v>1552</v>
      </c>
      <c r="F115" s="513"/>
      <c r="G115" s="721" t="s">
        <v>2399</v>
      </c>
      <c r="I115" s="513"/>
      <c r="J115" s="582">
        <f>-SUMIF('Balance Sheet Detail'!$C:$C,$G115,'Balance Sheet Detail'!X:X)</f>
        <v>0</v>
      </c>
      <c r="K115" s="124"/>
    </row>
    <row r="116" spans="1:11" ht="14.1" customHeight="1">
      <c r="E116" s="597"/>
      <c r="F116" s="513"/>
      <c r="G116" s="721"/>
      <c r="I116" s="513"/>
      <c r="J116" s="598"/>
      <c r="K116" s="124"/>
    </row>
    <row r="117" spans="1:11" ht="14.1" customHeight="1">
      <c r="E117" s="597" t="s">
        <v>2401</v>
      </c>
      <c r="F117" s="513"/>
      <c r="G117" s="721" t="s">
        <v>2400</v>
      </c>
      <c r="I117" s="513"/>
      <c r="J117" s="582">
        <f>-SUMIF('Balance Sheet Detail'!$C:$C,$G117,'Balance Sheet Detail'!X:X)</f>
        <v>0</v>
      </c>
      <c r="K117" s="124"/>
    </row>
    <row r="118" spans="1:11" ht="12" customHeight="1">
      <c r="D118" s="513"/>
      <c r="E118" s="583"/>
      <c r="F118" s="577"/>
      <c r="G118" s="721"/>
      <c r="H118" s="513"/>
      <c r="I118" s="513"/>
      <c r="J118" s="582"/>
      <c r="K118" s="124"/>
    </row>
    <row r="119" spans="1:11" ht="14.1" customHeight="1">
      <c r="D119" s="513"/>
      <c r="E119" s="583" t="s">
        <v>2475</v>
      </c>
      <c r="F119" s="577"/>
      <c r="G119" s="721"/>
      <c r="H119" s="513"/>
      <c r="I119" s="513"/>
      <c r="J119" s="599">
        <f>SUM(J113:J118)</f>
        <v>4574.36796208333</v>
      </c>
      <c r="K119" s="124"/>
    </row>
    <row r="120" spans="1:11">
      <c r="G120" s="728"/>
      <c r="I120" s="513"/>
      <c r="J120" s="513"/>
      <c r="K120" s="510"/>
    </row>
    <row r="121" spans="1:11" ht="14.1" customHeight="1">
      <c r="D121" s="574" t="s">
        <v>2354</v>
      </c>
      <c r="G121" s="728"/>
      <c r="I121" s="513"/>
      <c r="J121" s="513"/>
      <c r="K121" s="510"/>
    </row>
    <row r="122" spans="1:11" ht="14.1" customHeight="1">
      <c r="E122" s="571" t="s">
        <v>365</v>
      </c>
      <c r="F122" s="571"/>
      <c r="G122" s="727" t="s">
        <v>3606</v>
      </c>
      <c r="H122" s="513"/>
      <c r="I122" s="513"/>
      <c r="J122" s="92"/>
      <c r="K122" s="589"/>
    </row>
    <row r="123" spans="1:11" ht="4.5" customHeight="1">
      <c r="A123" s="543"/>
      <c r="B123" s="543"/>
      <c r="C123" s="543"/>
      <c r="D123" s="578"/>
      <c r="E123" s="543"/>
      <c r="F123" s="543"/>
      <c r="G123" s="726"/>
      <c r="H123" s="543"/>
      <c r="I123" s="92"/>
      <c r="J123" s="129">
        <v>0</v>
      </c>
      <c r="K123" s="588"/>
    </row>
    <row r="124" spans="1:11" ht="15">
      <c r="A124" s="543"/>
      <c r="B124" s="543"/>
      <c r="C124" s="543"/>
      <c r="D124" s="578"/>
      <c r="E124" s="580"/>
      <c r="F124" s="580"/>
      <c r="G124" s="726"/>
      <c r="H124" s="543"/>
      <c r="I124" s="92"/>
      <c r="J124" s="581">
        <f>+J125-SUM(J121:J123)</f>
        <v>0</v>
      </c>
      <c r="K124" s="588"/>
    </row>
    <row r="125" spans="1:11" ht="14.1" customHeight="1">
      <c r="A125" s="543"/>
      <c r="B125" s="543"/>
      <c r="C125" s="543"/>
      <c r="D125" s="578"/>
      <c r="E125" s="513" t="s">
        <v>2475</v>
      </c>
      <c r="F125" s="513"/>
      <c r="G125" s="721" t="s">
        <v>2402</v>
      </c>
      <c r="H125" s="543"/>
      <c r="I125" s="513"/>
      <c r="J125" s="582"/>
      <c r="K125" s="124"/>
    </row>
    <row r="126" spans="1:11">
      <c r="E126" s="600"/>
      <c r="G126" s="728"/>
      <c r="I126" s="513"/>
      <c r="J126" s="513"/>
      <c r="K126" s="510"/>
    </row>
    <row r="127" spans="1:11" ht="14.1" customHeight="1">
      <c r="D127" s="574" t="s">
        <v>2404</v>
      </c>
      <c r="G127" s="728"/>
      <c r="I127" s="513"/>
      <c r="J127" s="513"/>
      <c r="K127" s="510"/>
    </row>
    <row r="128" spans="1:11" ht="14.1" customHeight="1">
      <c r="E128" s="512" t="s">
        <v>364</v>
      </c>
      <c r="G128" s="727">
        <v>201000</v>
      </c>
      <c r="H128" s="513"/>
      <c r="I128" s="513"/>
      <c r="J128" s="2">
        <f>-SUMIF('Balance Sheet Detail'!$C:$C,$G128,'Balance Sheet Detail'!X:X)</f>
        <v>194429.065</v>
      </c>
      <c r="K128" s="124"/>
    </row>
    <row r="129" spans="1:11" s="92" customFormat="1" ht="14.1" customHeight="1">
      <c r="A129" s="602"/>
      <c r="B129" s="602"/>
      <c r="C129" s="602"/>
      <c r="D129" s="602"/>
      <c r="E129" s="571" t="s">
        <v>374</v>
      </c>
      <c r="F129" s="601"/>
      <c r="G129" s="727" t="s">
        <v>3607</v>
      </c>
      <c r="J129" s="2">
        <f>-SUMIF('Balance Sheet Detail'!$C:$C,$G129,'Balance Sheet Detail'!X:X)</f>
        <v>519192.26312000002</v>
      </c>
      <c r="K129" s="124"/>
    </row>
    <row r="130" spans="1:11" s="92" customFormat="1" ht="14.1" customHeight="1">
      <c r="A130" s="602"/>
      <c r="B130" s="602"/>
      <c r="C130" s="602"/>
      <c r="D130" s="602"/>
      <c r="E130" s="571" t="s">
        <v>3608</v>
      </c>
      <c r="F130" s="601"/>
      <c r="G130" s="727" t="s">
        <v>3609</v>
      </c>
      <c r="J130" s="2">
        <f>-SUMIF('Balance Sheet Detail'!$C:$C,$G130,'Balance Sheet Detail'!X:X)</f>
        <v>0</v>
      </c>
      <c r="K130" s="124"/>
    </row>
    <row r="131" spans="1:11" s="92" customFormat="1" ht="14.1" customHeight="1">
      <c r="A131" s="602"/>
      <c r="B131" s="602"/>
      <c r="C131" s="602"/>
      <c r="E131" s="571" t="s">
        <v>377</v>
      </c>
      <c r="F131" s="601"/>
      <c r="G131" s="727">
        <v>211000</v>
      </c>
      <c r="J131" s="2">
        <f>-SUMIF('Balance Sheet Detail'!$C:$C,$G131,'Balance Sheet Detail'!X:X)</f>
        <v>97983.184410000002</v>
      </c>
      <c r="K131" s="124"/>
    </row>
    <row r="132" spans="1:11" s="92" customFormat="1" ht="14.1" customHeight="1">
      <c r="A132" s="602"/>
      <c r="B132" s="602"/>
      <c r="C132" s="602"/>
      <c r="D132" s="602"/>
      <c r="E132" s="571" t="s">
        <v>378</v>
      </c>
      <c r="F132" s="601"/>
      <c r="G132" s="727">
        <v>211300</v>
      </c>
      <c r="J132" s="2">
        <f>-SUMIF('Balance Sheet Detail'!$C:$C,$G132,'Balance Sheet Detail'!X:X)</f>
        <v>-75000</v>
      </c>
      <c r="K132" s="124"/>
    </row>
    <row r="133" spans="1:11" s="92" customFormat="1" ht="14.1" customHeight="1">
      <c r="A133" s="602"/>
      <c r="B133" s="602"/>
      <c r="C133" s="602"/>
      <c r="D133" s="602"/>
      <c r="E133" s="571" t="s">
        <v>379</v>
      </c>
      <c r="F133" s="603"/>
      <c r="G133" s="727" t="s">
        <v>3610</v>
      </c>
      <c r="J133" s="2">
        <f>-SUMIF('Balance Sheet Detail'!$C:$C,$G133,'Balance Sheet Detail'!X:X)</f>
        <v>2886.17362</v>
      </c>
      <c r="K133" s="124"/>
    </row>
    <row r="134" spans="1:11" s="92" customFormat="1" ht="14.1" customHeight="1">
      <c r="A134" s="602"/>
      <c r="B134" s="602"/>
      <c r="C134" s="602"/>
      <c r="D134" s="602"/>
      <c r="E134" s="571" t="s">
        <v>380</v>
      </c>
      <c r="F134" s="601"/>
      <c r="G134" s="727" t="s">
        <v>3611</v>
      </c>
      <c r="J134" s="2">
        <f>-SUMIF('Balance Sheet Detail'!$C:$C,$G134,'Balance Sheet Detail'!X:X)</f>
        <v>-15118.363939999999</v>
      </c>
      <c r="K134" s="124"/>
    </row>
    <row r="135" spans="1:11" s="92" customFormat="1" ht="13.5" customHeight="1">
      <c r="A135" s="602"/>
      <c r="B135" s="602"/>
      <c r="C135" s="602"/>
      <c r="D135" s="602"/>
      <c r="E135" s="571" t="s">
        <v>381</v>
      </c>
      <c r="F135" s="601"/>
      <c r="G135" s="727" t="s">
        <v>3612</v>
      </c>
      <c r="J135" s="2">
        <f>-SUMIF('Balance Sheet Detail'!$C:$C,$G135,'Balance Sheet Detail'!X:X)</f>
        <v>235.98699999999999</v>
      </c>
      <c r="K135" s="124"/>
    </row>
    <row r="136" spans="1:11" s="92" customFormat="1" ht="14.1" customHeight="1">
      <c r="A136" s="602"/>
      <c r="B136" s="602"/>
      <c r="C136" s="602"/>
      <c r="D136" s="602"/>
      <c r="E136" s="571" t="s">
        <v>382</v>
      </c>
      <c r="F136" s="601"/>
      <c r="G136" s="727" t="s">
        <v>3613</v>
      </c>
      <c r="J136" s="2">
        <f>-SUMIF('Balance Sheet Detail'!$C:$C,$G136,'Balance Sheet Detail'!X:X)</f>
        <v>180247.95002958301</v>
      </c>
      <c r="K136" s="124"/>
    </row>
    <row r="137" spans="1:11" s="92" customFormat="1" ht="14.1" customHeight="1">
      <c r="A137" s="602"/>
      <c r="B137" s="602"/>
      <c r="C137" s="602"/>
      <c r="D137" s="602"/>
      <c r="E137" s="571" t="s">
        <v>383</v>
      </c>
      <c r="F137" s="601"/>
      <c r="G137" s="727" t="s">
        <v>3614</v>
      </c>
      <c r="J137" s="2">
        <f>-SUMIF('Balance Sheet Detail'!$C:$C,$G137,'Balance Sheet Detail'!X:X)</f>
        <v>-7291.6666666666697</v>
      </c>
      <c r="K137" s="124"/>
    </row>
    <row r="138" spans="1:11" s="92" customFormat="1" ht="14.1" customHeight="1">
      <c r="A138" s="602"/>
      <c r="B138" s="602"/>
      <c r="C138" s="602"/>
      <c r="D138" s="602"/>
      <c r="E138" s="571" t="s">
        <v>3615</v>
      </c>
      <c r="F138" s="601"/>
      <c r="G138" s="727">
        <v>216200</v>
      </c>
      <c r="J138" s="2">
        <f>-SUMIF('Balance Sheet Detail'!$C:$C,$G138,'Balance Sheet Detail'!X:X)</f>
        <v>0</v>
      </c>
      <c r="K138" s="124"/>
    </row>
    <row r="139" spans="1:11" s="92" customFormat="1" ht="14.1" customHeight="1">
      <c r="A139" s="602"/>
      <c r="B139" s="602"/>
      <c r="C139" s="602"/>
      <c r="D139" s="602"/>
      <c r="E139" s="571" t="s">
        <v>384</v>
      </c>
      <c r="F139" s="601"/>
      <c r="G139" s="727">
        <v>217000</v>
      </c>
      <c r="J139" s="2">
        <f>-SUMIF('Balance Sheet Detail'!$C:$C,$G139,'Balance Sheet Detail'!X:X)</f>
        <v>-117238.17053</v>
      </c>
      <c r="K139" s="124"/>
    </row>
    <row r="140" spans="1:11" s="92" customFormat="1" ht="14.1" customHeight="1">
      <c r="A140" s="602"/>
      <c r="B140" s="602"/>
      <c r="C140" s="602"/>
      <c r="D140" s="602"/>
      <c r="E140" s="571" t="s">
        <v>3616</v>
      </c>
      <c r="F140" s="601"/>
      <c r="G140" s="727">
        <v>800000</v>
      </c>
      <c r="J140" s="2">
        <f>-SUMIF('Balance Sheet Detail'!$C:$C,$G140,'Balance Sheet Detail'!X:X)</f>
        <v>44358.318418750001</v>
      </c>
      <c r="K140" s="124"/>
    </row>
    <row r="141" spans="1:11" ht="4.5" customHeight="1">
      <c r="A141" s="543"/>
      <c r="B141" s="543"/>
      <c r="C141" s="543"/>
      <c r="D141" s="578"/>
      <c r="E141" s="543"/>
      <c r="F141" s="513"/>
      <c r="G141" s="726"/>
      <c r="H141" s="543"/>
      <c r="I141" s="92"/>
      <c r="J141" s="129">
        <v>0</v>
      </c>
      <c r="K141" s="588"/>
    </row>
    <row r="142" spans="1:11" ht="12" customHeight="1">
      <c r="A142" s="543"/>
      <c r="B142" s="543"/>
      <c r="C142" s="543"/>
      <c r="D142" s="578"/>
      <c r="E142" s="580"/>
      <c r="F142" s="513"/>
      <c r="G142" s="726"/>
      <c r="H142" s="543"/>
      <c r="I142" s="92"/>
      <c r="J142" s="581">
        <f>+J143-SUM(J127:J141)</f>
        <v>0</v>
      </c>
      <c r="K142" s="588"/>
    </row>
    <row r="143" spans="1:11" ht="14.1" customHeight="1">
      <c r="A143" s="543"/>
      <c r="B143" s="543"/>
      <c r="C143" s="543"/>
      <c r="D143" s="578"/>
      <c r="E143" s="513" t="s">
        <v>2475</v>
      </c>
      <c r="F143" s="513"/>
      <c r="G143" s="721" t="s">
        <v>2403</v>
      </c>
      <c r="H143" s="543"/>
      <c r="I143" s="513"/>
      <c r="J143" s="582">
        <f>-SUMIF('Balance Sheet Detail'!$C:$C,$G143,'Balance Sheet Detail'!X:X)</f>
        <v>824684.74046166637</v>
      </c>
      <c r="K143" s="124"/>
    </row>
    <row r="144" spans="1:11" s="606" customFormat="1" ht="15">
      <c r="A144" s="511"/>
      <c r="B144" s="511"/>
      <c r="C144" s="511"/>
      <c r="D144" s="511"/>
      <c r="E144" s="604"/>
      <c r="F144" s="512"/>
      <c r="G144" s="717"/>
      <c r="H144" s="512"/>
      <c r="I144" s="512"/>
      <c r="J144" s="605"/>
      <c r="K144" s="512"/>
    </row>
    <row r="145" spans="10:10">
      <c r="J145" s="513"/>
    </row>
    <row r="146" spans="10:10">
      <c r="J146" s="513"/>
    </row>
    <row r="147" spans="10:10">
      <c r="J147" s="513"/>
    </row>
    <row r="148" spans="10:10">
      <c r="J148" s="513"/>
    </row>
    <row r="149" spans="10:10">
      <c r="J149" s="513"/>
    </row>
    <row r="150" spans="10:10">
      <c r="J150" s="513"/>
    </row>
    <row r="151" spans="10:10">
      <c r="J151" s="513"/>
    </row>
    <row r="152" spans="10:10">
      <c r="J152" s="92"/>
    </row>
    <row r="153" spans="10:10">
      <c r="J153" s="92"/>
    </row>
    <row r="154" spans="10:10">
      <c r="J154" s="92"/>
    </row>
    <row r="155" spans="10:10">
      <c r="J155" s="513"/>
    </row>
    <row r="156" spans="10:10">
      <c r="J156" s="513"/>
    </row>
    <row r="157" spans="10:10">
      <c r="J157" s="513"/>
    </row>
    <row r="158" spans="10:10">
      <c r="J158" s="513"/>
    </row>
    <row r="159" spans="10:10">
      <c r="J159" s="513"/>
    </row>
    <row r="160" spans="10:10">
      <c r="J160" s="513"/>
    </row>
    <row r="161" spans="10:10">
      <c r="J161" s="513"/>
    </row>
    <row r="162" spans="10:10">
      <c r="J162" s="513"/>
    </row>
    <row r="163" spans="10:10">
      <c r="J163" s="513"/>
    </row>
    <row r="164" spans="10:10">
      <c r="J164" s="513"/>
    </row>
    <row r="165" spans="10:10">
      <c r="J165" s="513"/>
    </row>
    <row r="166" spans="10:10">
      <c r="J166" s="513"/>
    </row>
    <row r="167" spans="10:10">
      <c r="J167" s="513"/>
    </row>
    <row r="168" spans="10:10">
      <c r="J168" s="513"/>
    </row>
    <row r="169" spans="10:10">
      <c r="J169" s="513"/>
    </row>
    <row r="170" spans="10:10">
      <c r="J170" s="513"/>
    </row>
    <row r="171" spans="10:10">
      <c r="J171" s="513"/>
    </row>
    <row r="172" spans="10:10">
      <c r="J172" s="513"/>
    </row>
    <row r="173" spans="10:10">
      <c r="J173" s="513"/>
    </row>
    <row r="174" spans="10:10">
      <c r="J174" s="513"/>
    </row>
    <row r="175" spans="10:10">
      <c r="J175" s="513"/>
    </row>
    <row r="176" spans="10:10">
      <c r="J176" s="513"/>
    </row>
    <row r="177" spans="10:10">
      <c r="J177" s="513"/>
    </row>
    <row r="178" spans="10:10">
      <c r="J178" s="513"/>
    </row>
    <row r="179" spans="10:10">
      <c r="J179" s="513"/>
    </row>
    <row r="180" spans="10:10">
      <c r="J180" s="513"/>
    </row>
    <row r="181" spans="10:10">
      <c r="J181" s="513"/>
    </row>
    <row r="182" spans="10:10">
      <c r="J182" s="513"/>
    </row>
    <row r="183" spans="10:10">
      <c r="J183" s="513"/>
    </row>
    <row r="184" spans="10:10">
      <c r="J184" s="513"/>
    </row>
    <row r="185" spans="10:10">
      <c r="J185" s="513"/>
    </row>
    <row r="186" spans="10:10">
      <c r="J186" s="513"/>
    </row>
    <row r="187" spans="10:10">
      <c r="J187" s="513"/>
    </row>
    <row r="188" spans="10:10">
      <c r="J188" s="513"/>
    </row>
    <row r="189" spans="10:10">
      <c r="J189" s="513"/>
    </row>
    <row r="190" spans="10:10">
      <c r="J190" s="513"/>
    </row>
    <row r="191" spans="10:10">
      <c r="J191" s="513"/>
    </row>
    <row r="192" spans="10:10">
      <c r="J192" s="513"/>
    </row>
    <row r="193" spans="10:10">
      <c r="J193" s="513"/>
    </row>
    <row r="194" spans="10:10">
      <c r="J194" s="513"/>
    </row>
    <row r="195" spans="10:10">
      <c r="J195" s="513"/>
    </row>
    <row r="196" spans="10:10">
      <c r="J196" s="513"/>
    </row>
    <row r="197" spans="10:10">
      <c r="J197" s="513"/>
    </row>
    <row r="198" spans="10:10">
      <c r="J198" s="513"/>
    </row>
    <row r="199" spans="10:10">
      <c r="J199" s="513"/>
    </row>
    <row r="200" spans="10:10">
      <c r="J200" s="513"/>
    </row>
    <row r="201" spans="10:10">
      <c r="J201" s="513"/>
    </row>
    <row r="202" spans="10:10">
      <c r="J202" s="513"/>
    </row>
    <row r="203" spans="10:10">
      <c r="J203" s="513"/>
    </row>
    <row r="204" spans="10:10">
      <c r="J204" s="513"/>
    </row>
    <row r="205" spans="10:10">
      <c r="J205" s="513"/>
    </row>
    <row r="206" spans="10:10">
      <c r="J206" s="513"/>
    </row>
    <row r="207" spans="10:10">
      <c r="J207" s="513"/>
    </row>
    <row r="208" spans="10:10">
      <c r="J208" s="513"/>
    </row>
    <row r="209" spans="10:10">
      <c r="J209" s="513"/>
    </row>
    <row r="210" spans="10:10">
      <c r="J210" s="513"/>
    </row>
    <row r="211" spans="10:10">
      <c r="J211" s="513"/>
    </row>
    <row r="212" spans="10:10">
      <c r="J212" s="513"/>
    </row>
    <row r="213" spans="10:10">
      <c r="J213" s="513"/>
    </row>
    <row r="214" spans="10:10">
      <c r="J214" s="513"/>
    </row>
    <row r="215" spans="10:10">
      <c r="J215" s="513"/>
    </row>
    <row r="216" spans="10:10">
      <c r="J216" s="513"/>
    </row>
    <row r="217" spans="10:10">
      <c r="J217" s="513"/>
    </row>
    <row r="218" spans="10:10">
      <c r="J218" s="513"/>
    </row>
    <row r="219" spans="10:10">
      <c r="J219" s="513"/>
    </row>
    <row r="220" spans="10:10">
      <c r="J220" s="513"/>
    </row>
    <row r="221" spans="10:10">
      <c r="J221" s="513"/>
    </row>
    <row r="222" spans="10:10">
      <c r="J222" s="513"/>
    </row>
    <row r="223" spans="10:10">
      <c r="J223" s="513"/>
    </row>
    <row r="224" spans="10:10">
      <c r="J224" s="513"/>
    </row>
    <row r="225" spans="10:10">
      <c r="J225" s="513"/>
    </row>
    <row r="226" spans="10:10">
      <c r="J226" s="513"/>
    </row>
    <row r="227" spans="10:10">
      <c r="J227" s="513"/>
    </row>
    <row r="228" spans="10:10">
      <c r="J228" s="513"/>
    </row>
    <row r="229" spans="10:10">
      <c r="J229" s="513"/>
    </row>
    <row r="230" spans="10:10">
      <c r="J230" s="513"/>
    </row>
    <row r="231" spans="10:10">
      <c r="J231" s="513"/>
    </row>
    <row r="232" spans="10:10">
      <c r="J232" s="513"/>
    </row>
    <row r="233" spans="10:10">
      <c r="J233" s="513"/>
    </row>
    <row r="234" spans="10:10">
      <c r="J234" s="513"/>
    </row>
    <row r="235" spans="10:10">
      <c r="J235" s="513"/>
    </row>
    <row r="236" spans="10:10">
      <c r="J236" s="513"/>
    </row>
    <row r="237" spans="10:10">
      <c r="J237" s="513"/>
    </row>
    <row r="238" spans="10:10">
      <c r="J238" s="513"/>
    </row>
    <row r="239" spans="10:10">
      <c r="J239" s="513"/>
    </row>
    <row r="240" spans="10:10">
      <c r="J240" s="513"/>
    </row>
    <row r="241" spans="10:10">
      <c r="J241" s="513"/>
    </row>
    <row r="242" spans="10:10">
      <c r="J242" s="513"/>
    </row>
    <row r="243" spans="10:10">
      <c r="J243" s="513"/>
    </row>
    <row r="244" spans="10:10">
      <c r="J244" s="513"/>
    </row>
    <row r="245" spans="10:10">
      <c r="J245" s="513"/>
    </row>
    <row r="246" spans="10:10">
      <c r="J246" s="513"/>
    </row>
    <row r="247" spans="10:10">
      <c r="J247" s="513"/>
    </row>
    <row r="248" spans="10:10">
      <c r="J248" s="513"/>
    </row>
    <row r="249" spans="10:10">
      <c r="J249" s="513"/>
    </row>
    <row r="250" spans="10:10">
      <c r="J250" s="513"/>
    </row>
    <row r="251" spans="10:10">
      <c r="J251" s="513"/>
    </row>
    <row r="252" spans="10:10">
      <c r="J252" s="513"/>
    </row>
    <row r="253" spans="10:10">
      <c r="J253" s="513"/>
    </row>
    <row r="254" spans="10:10">
      <c r="J254" s="513"/>
    </row>
    <row r="255" spans="10:10">
      <c r="J255" s="513"/>
    </row>
    <row r="256" spans="10:10">
      <c r="J256" s="513"/>
    </row>
    <row r="257" spans="10:10">
      <c r="J257" s="513"/>
    </row>
    <row r="258" spans="10:10">
      <c r="J258" s="513"/>
    </row>
    <row r="259" spans="10:10">
      <c r="J259" s="513"/>
    </row>
    <row r="260" spans="10:10">
      <c r="J260" s="513"/>
    </row>
    <row r="261" spans="10:10">
      <c r="J261" s="513"/>
    </row>
    <row r="262" spans="10:10">
      <c r="J262" s="513"/>
    </row>
    <row r="263" spans="10:10">
      <c r="J263" s="513"/>
    </row>
    <row r="264" spans="10:10">
      <c r="J264" s="513"/>
    </row>
    <row r="265" spans="10:10">
      <c r="J265" s="513"/>
    </row>
    <row r="266" spans="10:10">
      <c r="J266" s="513"/>
    </row>
    <row r="267" spans="10:10">
      <c r="J267" s="513"/>
    </row>
    <row r="268" spans="10:10">
      <c r="J268" s="513"/>
    </row>
    <row r="269" spans="10:10">
      <c r="J269" s="513"/>
    </row>
    <row r="270" spans="10:10">
      <c r="J270" s="513"/>
    </row>
    <row r="271" spans="10:10">
      <c r="J271" s="513"/>
    </row>
    <row r="272" spans="10:10">
      <c r="J272" s="513"/>
    </row>
    <row r="273" spans="10:10">
      <c r="J273" s="513"/>
    </row>
    <row r="274" spans="10:10">
      <c r="J274" s="513"/>
    </row>
    <row r="275" spans="10:10">
      <c r="J275" s="513"/>
    </row>
    <row r="276" spans="10:10">
      <c r="J276" s="513"/>
    </row>
    <row r="277" spans="10:10">
      <c r="J277" s="513"/>
    </row>
    <row r="278" spans="10:10">
      <c r="J278" s="513"/>
    </row>
    <row r="279" spans="10:10">
      <c r="J279" s="513"/>
    </row>
    <row r="280" spans="10:10">
      <c r="J280" s="513"/>
    </row>
    <row r="281" spans="10:10">
      <c r="J281" s="513"/>
    </row>
    <row r="282" spans="10:10">
      <c r="J282" s="513"/>
    </row>
    <row r="283" spans="10:10">
      <c r="J283" s="513"/>
    </row>
    <row r="284" spans="10:10">
      <c r="J284" s="513"/>
    </row>
    <row r="285" spans="10:10">
      <c r="J285" s="513"/>
    </row>
    <row r="286" spans="10:10">
      <c r="J286" s="513"/>
    </row>
    <row r="287" spans="10:10">
      <c r="J287" s="513"/>
    </row>
    <row r="288" spans="10:10">
      <c r="J288" s="513"/>
    </row>
    <row r="289" spans="10:10">
      <c r="J289" s="513"/>
    </row>
    <row r="290" spans="10:10">
      <c r="J290" s="513"/>
    </row>
    <row r="291" spans="10:10">
      <c r="J291" s="513"/>
    </row>
    <row r="292" spans="10:10">
      <c r="J292" s="513"/>
    </row>
    <row r="293" spans="10:10">
      <c r="J293" s="513"/>
    </row>
    <row r="294" spans="10:10">
      <c r="J294" s="513"/>
    </row>
    <row r="295" spans="10:10">
      <c r="J295" s="513"/>
    </row>
    <row r="296" spans="10:10">
      <c r="J296" s="513"/>
    </row>
    <row r="297" spans="10:10">
      <c r="J297" s="513"/>
    </row>
    <row r="298" spans="10:10">
      <c r="J298" s="513"/>
    </row>
    <row r="299" spans="10:10">
      <c r="J299" s="513"/>
    </row>
    <row r="300" spans="10:10">
      <c r="J300" s="513"/>
    </row>
    <row r="301" spans="10:10">
      <c r="J301" s="513"/>
    </row>
    <row r="302" spans="10:10">
      <c r="J302" s="513"/>
    </row>
    <row r="303" spans="10:10">
      <c r="J303" s="513"/>
    </row>
    <row r="304" spans="10:10">
      <c r="J304" s="513"/>
    </row>
    <row r="305" spans="10:10">
      <c r="J305" s="513"/>
    </row>
    <row r="306" spans="10:10">
      <c r="J306" s="513"/>
    </row>
    <row r="307" spans="10:10">
      <c r="J307" s="513"/>
    </row>
    <row r="308" spans="10:10">
      <c r="J308" s="513"/>
    </row>
    <row r="309" spans="10:10">
      <c r="J309" s="513"/>
    </row>
    <row r="310" spans="10:10">
      <c r="J310" s="513"/>
    </row>
    <row r="311" spans="10:10">
      <c r="J311" s="513"/>
    </row>
    <row r="312" spans="10:10">
      <c r="J312" s="513"/>
    </row>
    <row r="313" spans="10:10">
      <c r="J313" s="513"/>
    </row>
    <row r="314" spans="10:10">
      <c r="J314" s="513"/>
    </row>
    <row r="315" spans="10:10">
      <c r="J315" s="513"/>
    </row>
    <row r="316" spans="10:10">
      <c r="J316" s="513"/>
    </row>
    <row r="317" spans="10:10">
      <c r="J317" s="513"/>
    </row>
    <row r="318" spans="10:10">
      <c r="J318" s="513"/>
    </row>
    <row r="319" spans="10:10">
      <c r="J319" s="513"/>
    </row>
    <row r="320" spans="10:10">
      <c r="J320" s="513"/>
    </row>
    <row r="321" spans="10:10">
      <c r="J321" s="513"/>
    </row>
    <row r="322" spans="10:10">
      <c r="J322" s="513"/>
    </row>
    <row r="323" spans="10:10">
      <c r="J323" s="513"/>
    </row>
    <row r="324" spans="10:10">
      <c r="J324" s="513"/>
    </row>
    <row r="325" spans="10:10">
      <c r="J325" s="513"/>
    </row>
    <row r="326" spans="10:10">
      <c r="J326" s="513"/>
    </row>
    <row r="327" spans="10:10">
      <c r="J327" s="513"/>
    </row>
    <row r="328" spans="10:10">
      <c r="J328" s="513"/>
    </row>
    <row r="329" spans="10:10">
      <c r="J329" s="513"/>
    </row>
    <row r="330" spans="10:10">
      <c r="J330" s="513"/>
    </row>
    <row r="331" spans="10:10">
      <c r="J331" s="513"/>
    </row>
    <row r="332" spans="10:10">
      <c r="J332" s="513"/>
    </row>
    <row r="333" spans="10:10">
      <c r="J333" s="513"/>
    </row>
    <row r="334" spans="10:10">
      <c r="J334" s="513"/>
    </row>
    <row r="335" spans="10:10">
      <c r="J335" s="513"/>
    </row>
    <row r="336" spans="10:10">
      <c r="J336" s="513"/>
    </row>
    <row r="337" spans="10:10">
      <c r="J337" s="513"/>
    </row>
    <row r="338" spans="10:10">
      <c r="J338" s="513"/>
    </row>
    <row r="339" spans="10:10">
      <c r="J339" s="513"/>
    </row>
    <row r="340" spans="10:10">
      <c r="J340" s="513"/>
    </row>
    <row r="341" spans="10:10">
      <c r="J341" s="513"/>
    </row>
    <row r="342" spans="10:10">
      <c r="J342" s="513"/>
    </row>
    <row r="343" spans="10:10">
      <c r="J343" s="513"/>
    </row>
    <row r="344" spans="10:10">
      <c r="J344" s="513"/>
    </row>
    <row r="345" spans="10:10">
      <c r="J345" s="513"/>
    </row>
    <row r="346" spans="10:10">
      <c r="J346" s="513"/>
    </row>
    <row r="347" spans="10:10">
      <c r="J347" s="513"/>
    </row>
    <row r="348" spans="10:10">
      <c r="J348" s="513"/>
    </row>
    <row r="349" spans="10:10">
      <c r="J349" s="513"/>
    </row>
    <row r="350" spans="10:10">
      <c r="J350" s="513"/>
    </row>
    <row r="351" spans="10:10">
      <c r="J351" s="513"/>
    </row>
  </sheetData>
  <conditionalFormatting sqref="J152:J154 G143 K143 J128:K140 G54:G55 G122 G113:G119 G70:G74 G78:G85 G88:G92 G95:G104 G108:G110 G125 I52:J52 J58:J65 H56:H57 H52:H54 K70:K74 K125 K54:K55 J122:K122 J70:J71 J78:K82 K78:K85 J88:K89 K88:K92 J95:K99 K95:K104 J108:K110 K113:K119 G128:G140 J7 H9:J18 G31:G43 K31:K43">
    <cfRule type="cellIs" dxfId="265" priority="23" stopIfTrue="1" operator="equal">
      <formula>"see detail"</formula>
    </cfRule>
  </conditionalFormatting>
  <conditionalFormatting sqref="J142 J73 J84 J101 J91 J112 J124">
    <cfRule type="cellIs" dxfId="264" priority="22" stopIfTrue="1" operator="equal">
      <formula>0</formula>
    </cfRule>
  </conditionalFormatting>
  <printOptions horizontalCentered="1"/>
  <pageMargins left="0" right="0" top="0" bottom="0" header="0" footer="0"/>
  <pageSetup scale="75" orientation="portrait" r:id="rId1"/>
  <headerFooter alignWithMargins="0"/>
  <rowBreaks count="2" manualBreakCount="2">
    <brk id="51" min="3" max="10" man="1"/>
    <brk id="105" min="3" max="1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6"/>
  <sheetViews>
    <sheetView view="pageBreakPreview" zoomScale="70" zoomScaleNormal="100" zoomScaleSheetLayoutView="70" workbookViewId="0">
      <selection activeCell="C14" sqref="C14"/>
    </sheetView>
  </sheetViews>
  <sheetFormatPr defaultRowHeight="12.75"/>
  <cols>
    <col min="1" max="1" width="3.25" style="98" customWidth="1"/>
    <col min="2" max="2" width="3.25" style="77" customWidth="1"/>
    <col min="3" max="3" width="43.375" style="77" customWidth="1"/>
    <col min="4" max="4" width="22.625" style="30" customWidth="1"/>
    <col min="5" max="5" width="13.5" style="114" customWidth="1"/>
    <col min="6" max="6" width="9.625" style="30" bestFit="1" customWidth="1"/>
    <col min="7" max="7" width="2.625" style="125" customWidth="1"/>
    <col min="8" max="8" width="10.25" style="77" bestFit="1" customWidth="1"/>
    <col min="9" max="9" width="8.875" style="77" bestFit="1" customWidth="1"/>
    <col min="10" max="10" width="9.625" style="77" bestFit="1" customWidth="1"/>
    <col min="11" max="16384" width="9" style="77"/>
  </cols>
  <sheetData>
    <row r="1" spans="1:10">
      <c r="A1" s="111"/>
      <c r="B1" s="112"/>
      <c r="C1" s="112"/>
      <c r="D1" s="113"/>
      <c r="F1" s="113"/>
      <c r="G1" s="115"/>
      <c r="H1" s="110"/>
      <c r="I1" s="110"/>
      <c r="J1" s="116"/>
    </row>
    <row r="2" spans="1:10">
      <c r="A2" s="111"/>
      <c r="B2" s="112"/>
      <c r="C2" s="112"/>
      <c r="D2" s="113"/>
      <c r="F2" s="113"/>
      <c r="G2" s="115"/>
      <c r="H2" s="110"/>
      <c r="I2" s="110"/>
      <c r="J2" s="116"/>
    </row>
    <row r="3" spans="1:10" s="99" customFormat="1">
      <c r="B3" s="117" t="s">
        <v>2494</v>
      </c>
      <c r="C3" s="117"/>
      <c r="D3" s="117"/>
      <c r="E3" s="117"/>
      <c r="F3" s="117"/>
      <c r="G3" s="117"/>
      <c r="H3" s="117"/>
      <c r="I3" s="117"/>
      <c r="J3" s="117"/>
    </row>
    <row r="4" spans="1:10" s="99" customFormat="1">
      <c r="B4" s="117" t="s">
        <v>2623</v>
      </c>
      <c r="C4" s="117"/>
      <c r="D4" s="117"/>
      <c r="E4" s="117"/>
      <c r="F4" s="117"/>
      <c r="G4" s="117"/>
      <c r="H4" s="117"/>
      <c r="I4" s="117"/>
      <c r="J4" s="117"/>
    </row>
    <row r="5" spans="1:10" s="99" customFormat="1" ht="15" customHeight="1">
      <c r="B5" s="117" t="str">
        <f>+'Rate Base'!B4</f>
        <v>12 Months Ended December 31, 2014</v>
      </c>
      <c r="C5" s="117"/>
      <c r="D5" s="117"/>
      <c r="E5" s="117"/>
      <c r="F5" s="117"/>
      <c r="G5" s="117"/>
      <c r="H5" s="117"/>
      <c r="I5" s="117"/>
      <c r="J5" s="117"/>
    </row>
    <row r="6" spans="1:10" s="99" customFormat="1">
      <c r="B6" s="117" t="s">
        <v>2624</v>
      </c>
      <c r="C6" s="117"/>
      <c r="D6" s="117"/>
      <c r="E6" s="117"/>
      <c r="F6" s="117"/>
      <c r="G6" s="117"/>
      <c r="H6" s="117"/>
      <c r="I6" s="117"/>
      <c r="J6" s="117"/>
    </row>
    <row r="7" spans="1:10" s="99" customFormat="1">
      <c r="B7" s="118" t="s">
        <v>2574</v>
      </c>
      <c r="C7" s="117"/>
      <c r="D7" s="117"/>
      <c r="E7" s="117"/>
      <c r="F7" s="117"/>
      <c r="G7" s="117"/>
      <c r="H7" s="117"/>
      <c r="I7" s="117"/>
      <c r="J7" s="117"/>
    </row>
    <row r="8" spans="1:10" s="99" customFormat="1">
      <c r="A8" s="874"/>
      <c r="B8" s="874"/>
      <c r="C8" s="119"/>
      <c r="D8" s="874"/>
      <c r="E8" s="874"/>
      <c r="F8" s="874"/>
      <c r="G8" s="874"/>
      <c r="H8" s="992"/>
      <c r="I8" s="992"/>
      <c r="J8" s="992"/>
    </row>
    <row r="9" spans="1:10">
      <c r="D9" s="120" t="s">
        <v>2625</v>
      </c>
      <c r="E9" s="120" t="s">
        <v>2626</v>
      </c>
      <c r="F9" s="120" t="s">
        <v>2627</v>
      </c>
      <c r="G9" s="120"/>
      <c r="H9" s="120" t="s">
        <v>2473</v>
      </c>
      <c r="I9" s="120" t="s">
        <v>2474</v>
      </c>
      <c r="J9" s="120" t="s">
        <v>2475</v>
      </c>
    </row>
    <row r="10" spans="1:10">
      <c r="A10" s="98" t="s">
        <v>2628</v>
      </c>
      <c r="D10" s="121"/>
      <c r="F10" s="122"/>
      <c r="G10" s="121"/>
      <c r="H10" s="123"/>
      <c r="I10" s="123"/>
      <c r="J10" s="123"/>
    </row>
    <row r="11" spans="1:10">
      <c r="B11" s="571" t="s">
        <v>18</v>
      </c>
      <c r="C11" s="571"/>
      <c r="D11" s="124">
        <v>101010</v>
      </c>
      <c r="E11" s="114" t="s">
        <v>2473</v>
      </c>
      <c r="F11" s="122">
        <f>+VLOOKUP(+E11,Allocators!$A$7:$F$19,3)</f>
        <v>1</v>
      </c>
      <c r="G11" s="579"/>
      <c r="H11" s="100">
        <f>ROUND($F11*J11,0)</f>
        <v>1580356</v>
      </c>
      <c r="I11" s="100">
        <f>+J11-H11</f>
        <v>-8.5970419924706221E-2</v>
      </c>
      <c r="J11" s="87">
        <f>SUMIF('Balance Sheet Detail'!$C:$C,$D11,'Balance Sheet Detail'!X:X)</f>
        <v>1580355.9140295801</v>
      </c>
    </row>
    <row r="12" spans="1:10">
      <c r="B12" s="571" t="s">
        <v>19</v>
      </c>
      <c r="C12" s="571"/>
      <c r="D12" s="124">
        <v>101030</v>
      </c>
      <c r="E12" s="114" t="s">
        <v>2474</v>
      </c>
      <c r="F12" s="122">
        <f>+VLOOKUP(+E12,Allocators!$A$7:$F$19,3)</f>
        <v>0</v>
      </c>
      <c r="G12" s="579"/>
      <c r="H12" s="101">
        <f>ROUND($F12*J12,0)</f>
        <v>0</v>
      </c>
      <c r="I12" s="101">
        <f>+J12-H12</f>
        <v>702467.54883541702</v>
      </c>
      <c r="J12" s="101">
        <f>SUMIF('Balance Sheet Detail'!$C:$C,$D12,'Balance Sheet Detail'!X:X)</f>
        <v>702467.54883541702</v>
      </c>
    </row>
    <row r="13" spans="1:10">
      <c r="B13" s="571" t="s">
        <v>20</v>
      </c>
      <c r="C13" s="571"/>
      <c r="D13" s="124">
        <v>101070</v>
      </c>
      <c r="E13" s="114" t="s">
        <v>2476</v>
      </c>
      <c r="F13" s="122">
        <f>+VLOOKUP(+E13,Allocators!$A$7:$F$19,3)</f>
        <v>0.68589999999999995</v>
      </c>
      <c r="G13" s="579"/>
      <c r="H13" s="101">
        <f>ROUND($F13*J13,0)</f>
        <v>152197</v>
      </c>
      <c r="I13" s="101">
        <f>+J13-H13</f>
        <v>69697.32381541701</v>
      </c>
      <c r="J13" s="101">
        <f>SUMIF('Balance Sheet Detail'!$C:$C,$D13,'Balance Sheet Detail'!X:X)</f>
        <v>221894.32381541701</v>
      </c>
    </row>
    <row r="14" spans="1:10" ht="5.25" customHeight="1">
      <c r="B14" s="571"/>
      <c r="C14" s="571"/>
      <c r="D14" s="124"/>
      <c r="F14" s="125"/>
      <c r="G14" s="579"/>
      <c r="H14" s="107">
        <v>0</v>
      </c>
      <c r="I14" s="107">
        <v>0</v>
      </c>
      <c r="J14" s="107">
        <v>0</v>
      </c>
    </row>
    <row r="15" spans="1:10">
      <c r="D15" s="126"/>
      <c r="F15" s="122"/>
      <c r="G15" s="579"/>
      <c r="H15" s="123"/>
      <c r="I15" s="123"/>
      <c r="J15" s="123"/>
    </row>
    <row r="16" spans="1:10">
      <c r="B16" s="77" t="str">
        <f>+A10</f>
        <v>Gross Utility Plant</v>
      </c>
      <c r="D16" s="126"/>
      <c r="F16" s="122"/>
      <c r="G16" s="579"/>
      <c r="H16" s="127">
        <f>SUM(H10:H15)</f>
        <v>1732553</v>
      </c>
      <c r="I16" s="127">
        <f>SUM(I10:I15)</f>
        <v>772164.78668041411</v>
      </c>
      <c r="J16" s="127">
        <f>SUM(J10:J15)</f>
        <v>2504717.7866804139</v>
      </c>
    </row>
    <row r="17" spans="1:10">
      <c r="B17" s="92"/>
      <c r="C17" s="92"/>
      <c r="D17" s="126"/>
      <c r="F17" s="122"/>
      <c r="G17" s="579"/>
      <c r="H17" s="123"/>
      <c r="I17" s="123"/>
    </row>
    <row r="18" spans="1:10">
      <c r="A18" s="98" t="s">
        <v>2599</v>
      </c>
      <c r="D18" s="121"/>
      <c r="F18" s="122"/>
      <c r="G18" s="579"/>
      <c r="H18" s="123"/>
      <c r="I18" s="123"/>
      <c r="J18" s="123"/>
    </row>
    <row r="19" spans="1:10">
      <c r="B19" s="571" t="s">
        <v>22</v>
      </c>
      <c r="C19" s="571"/>
      <c r="D19" s="124">
        <v>105010</v>
      </c>
      <c r="E19" s="114" t="s">
        <v>2473</v>
      </c>
      <c r="F19" s="122">
        <f>+VLOOKUP(+E19,Allocators!$A$7:$F$19,3)</f>
        <v>1</v>
      </c>
      <c r="G19" s="579"/>
      <c r="H19" s="101">
        <f>ROUND($F19*J19,0)</f>
        <v>449</v>
      </c>
      <c r="I19" s="101">
        <f>+ROUND(J19-H19,0)</f>
        <v>0</v>
      </c>
      <c r="J19" s="101">
        <f>SUMIF('Balance Sheet Detail'!$C:$C,$D19,'Balance Sheet Detail'!X:X)</f>
        <v>448.66568999999998</v>
      </c>
    </row>
    <row r="20" spans="1:10" ht="5.25" customHeight="1">
      <c r="B20" s="571"/>
      <c r="C20" s="571"/>
      <c r="D20" s="124"/>
      <c r="F20" s="122"/>
      <c r="G20" s="124"/>
      <c r="H20" s="107">
        <v>0</v>
      </c>
      <c r="I20" s="107">
        <v>0</v>
      </c>
      <c r="J20" s="107">
        <v>0</v>
      </c>
    </row>
    <row r="21" spans="1:10">
      <c r="D21" s="126"/>
      <c r="F21" s="122"/>
      <c r="G21" s="126"/>
      <c r="H21" s="123"/>
      <c r="I21" s="123"/>
      <c r="J21" s="123"/>
    </row>
    <row r="22" spans="1:10">
      <c r="B22" s="77" t="str">
        <f>+A18</f>
        <v>Plant Held for Future Use</v>
      </c>
      <c r="D22" s="126"/>
      <c r="F22" s="122"/>
      <c r="G22" s="126"/>
      <c r="H22" s="135">
        <f>SUM(H18:H21)</f>
        <v>449</v>
      </c>
      <c r="I22" s="135">
        <f>SUM(I18:I21)</f>
        <v>0</v>
      </c>
      <c r="J22" s="135">
        <f>SUM(J18:J21)</f>
        <v>448.66568999999998</v>
      </c>
    </row>
    <row r="23" spans="1:10">
      <c r="B23" s="92"/>
      <c r="C23" s="92"/>
      <c r="D23" s="126"/>
      <c r="F23" s="122"/>
      <c r="G23" s="579"/>
      <c r="H23" s="123"/>
      <c r="I23" s="123"/>
    </row>
    <row r="24" spans="1:10">
      <c r="A24" s="98" t="s">
        <v>2629</v>
      </c>
      <c r="D24" s="126"/>
      <c r="F24" s="122"/>
      <c r="G24" s="579"/>
      <c r="H24" s="123"/>
      <c r="I24" s="123"/>
      <c r="J24" s="123"/>
    </row>
    <row r="25" spans="1:10">
      <c r="B25" s="571" t="s">
        <v>23</v>
      </c>
      <c r="C25" s="571"/>
      <c r="D25" s="124">
        <v>106010</v>
      </c>
      <c r="E25" s="114" t="s">
        <v>2473</v>
      </c>
      <c r="F25" s="122">
        <f>+VLOOKUP(+E25,Allocators!$A$7:$F$19,3)</f>
        <v>1</v>
      </c>
      <c r="G25" s="579"/>
      <c r="H25" s="100">
        <f>ROUND($F25*J25,0)</f>
        <v>251633</v>
      </c>
      <c r="I25" s="100">
        <f>+J25-H25</f>
        <v>-8.6105416994541883E-2</v>
      </c>
      <c r="J25" s="87">
        <f>SUMIF('Balance Sheet Detail'!$C:$C,$D25,'Balance Sheet Detail'!X:X)</f>
        <v>251632.91389458301</v>
      </c>
    </row>
    <row r="26" spans="1:10">
      <c r="B26" s="571" t="s">
        <v>24</v>
      </c>
      <c r="C26" s="571"/>
      <c r="D26" s="124">
        <v>106030</v>
      </c>
      <c r="E26" s="114" t="s">
        <v>2474</v>
      </c>
      <c r="F26" s="122">
        <f>+VLOOKUP(+E26,Allocators!$A$7:$F$19,3)</f>
        <v>0</v>
      </c>
      <c r="G26" s="579"/>
      <c r="H26" s="101">
        <f>ROUND($F26*J26,0)</f>
        <v>0</v>
      </c>
      <c r="I26" s="101">
        <f>+J26-H26</f>
        <v>24025.515234166702</v>
      </c>
      <c r="J26" s="101">
        <f>SUMIF('Balance Sheet Detail'!$C:$C,$D26,'Balance Sheet Detail'!X:X)</f>
        <v>24025.515234166702</v>
      </c>
    </row>
    <row r="27" spans="1:10" ht="15">
      <c r="B27" s="571" t="s">
        <v>25</v>
      </c>
      <c r="C27" s="571"/>
      <c r="D27" s="124">
        <v>106070</v>
      </c>
      <c r="E27" s="114" t="s">
        <v>2476</v>
      </c>
      <c r="F27" s="122">
        <f>+VLOOKUP(+E27,Allocators!$A$7:$F$19,3)</f>
        <v>0.68589999999999995</v>
      </c>
      <c r="G27" s="579"/>
      <c r="H27" s="107">
        <f>ROUND($F27*J27,0)</f>
        <v>15704</v>
      </c>
      <c r="I27" s="107">
        <f>+J27-H27</f>
        <v>7191.4576249999991</v>
      </c>
      <c r="J27" s="107">
        <f>SUMIF('Balance Sheet Detail'!$C:$C,$D27,'Balance Sheet Detail'!X:X)</f>
        <v>22895.457624999999</v>
      </c>
    </row>
    <row r="28" spans="1:10">
      <c r="D28" s="126"/>
      <c r="F28" s="122"/>
      <c r="G28" s="579"/>
      <c r="H28" s="123"/>
      <c r="I28" s="123"/>
      <c r="J28" s="123"/>
    </row>
    <row r="29" spans="1:10">
      <c r="B29" s="77" t="str">
        <f>+A24</f>
        <v>Completed Construction</v>
      </c>
      <c r="D29" s="126"/>
      <c r="F29" s="122"/>
      <c r="G29" s="579"/>
      <c r="H29" s="127">
        <f>SUM(H24:H28)</f>
        <v>267337</v>
      </c>
      <c r="I29" s="127">
        <f>SUM(I24:I28)</f>
        <v>31216.886753749706</v>
      </c>
      <c r="J29" s="127">
        <f>SUM(J24:J28)</f>
        <v>298553.88675374968</v>
      </c>
    </row>
    <row r="30" spans="1:10">
      <c r="D30" s="126"/>
      <c r="F30" s="122"/>
      <c r="G30" s="579"/>
      <c r="H30" s="123"/>
      <c r="I30" s="123"/>
      <c r="J30" s="123"/>
    </row>
    <row r="31" spans="1:10">
      <c r="A31" s="98" t="s">
        <v>2630</v>
      </c>
      <c r="D31" s="126"/>
      <c r="F31" s="122"/>
      <c r="G31" s="579"/>
      <c r="H31" s="123"/>
      <c r="I31" s="123"/>
      <c r="J31" s="123"/>
    </row>
    <row r="32" spans="1:10">
      <c r="B32" s="571" t="s">
        <v>26</v>
      </c>
      <c r="D32" s="124">
        <v>107010</v>
      </c>
      <c r="E32" s="114" t="s">
        <v>2473</v>
      </c>
      <c r="F32" s="122">
        <f>+VLOOKUP(+E32,Allocators!$A$7:$F$19,3)</f>
        <v>1</v>
      </c>
      <c r="G32" s="579"/>
      <c r="H32" s="100">
        <f>ROUND($F32*J32,0)</f>
        <v>176898</v>
      </c>
      <c r="I32" s="100">
        <f>+J32-H32</f>
        <v>0.19853708299342543</v>
      </c>
      <c r="J32" s="87">
        <f>SUMIF('Balance Sheet Detail'!$C:$C,$D32,'Balance Sheet Detail'!X:X)</f>
        <v>176898.19853708299</v>
      </c>
    </row>
    <row r="33" spans="1:12">
      <c r="B33" s="571" t="s">
        <v>27</v>
      </c>
      <c r="D33" s="124">
        <v>107030</v>
      </c>
      <c r="E33" s="114" t="s">
        <v>2474</v>
      </c>
      <c r="F33" s="122">
        <f>+VLOOKUP(+E33,Allocators!$A$7:$F$19,3)</f>
        <v>0</v>
      </c>
      <c r="G33" s="579"/>
      <c r="H33" s="101">
        <f>ROUND($F33*J33,0)</f>
        <v>0</v>
      </c>
      <c r="I33" s="101">
        <f>+J33-H33</f>
        <v>6279.3047933333301</v>
      </c>
      <c r="J33" s="101">
        <f>SUMIF('Balance Sheet Detail'!$C:$C,$D33,'Balance Sheet Detail'!X:X)</f>
        <v>6279.3047933333301</v>
      </c>
    </row>
    <row r="34" spans="1:12" ht="15">
      <c r="B34" s="571" t="s">
        <v>28</v>
      </c>
      <c r="D34" s="124">
        <v>107070</v>
      </c>
      <c r="E34" s="114" t="s">
        <v>2476</v>
      </c>
      <c r="F34" s="122">
        <f>+VLOOKUP(+E34,Allocators!$A$7:$F$19,3)</f>
        <v>0.68589999999999995</v>
      </c>
      <c r="G34" s="579"/>
      <c r="H34" s="107">
        <f>ROUND($F34*J34,0)</f>
        <v>8600</v>
      </c>
      <c r="I34" s="107">
        <f>+J34-H34</f>
        <v>3937.7654912500002</v>
      </c>
      <c r="J34" s="107">
        <f>SUMIF('Balance Sheet Detail'!$C:$C,$D34,'Balance Sheet Detail'!X:X)</f>
        <v>12537.76549125</v>
      </c>
    </row>
    <row r="35" spans="1:12">
      <c r="D35" s="121"/>
      <c r="F35" s="122"/>
      <c r="G35" s="579"/>
      <c r="H35" s="123"/>
      <c r="I35" s="123"/>
      <c r="J35" s="123"/>
    </row>
    <row r="36" spans="1:12">
      <c r="B36" s="77" t="str">
        <f>+A31</f>
        <v>Construction Work in Progress</v>
      </c>
      <c r="D36" s="121"/>
      <c r="F36" s="122"/>
      <c r="G36" s="579"/>
      <c r="H36" s="127">
        <f>SUM(H31:H35)</f>
        <v>185498</v>
      </c>
      <c r="I36" s="127">
        <f>SUM(I31:I35)</f>
        <v>10217.268821666323</v>
      </c>
      <c r="J36" s="127">
        <f>SUM(J31:J35)</f>
        <v>195715.26882166634</v>
      </c>
    </row>
    <row r="37" spans="1:12">
      <c r="D37" s="130"/>
      <c r="F37" s="122"/>
      <c r="G37" s="579"/>
      <c r="H37" s="92"/>
      <c r="I37" s="92"/>
      <c r="J37" s="92"/>
    </row>
    <row r="38" spans="1:12">
      <c r="B38" s="77" t="s">
        <v>2631</v>
      </c>
      <c r="D38" s="94"/>
      <c r="E38" s="94"/>
      <c r="F38" s="94"/>
      <c r="G38" s="579"/>
      <c r="H38" s="901">
        <f>-'IB-CWIP'!P48</f>
        <v>-183060.59917234848</v>
      </c>
      <c r="I38" s="901">
        <f>-'IB-CWIP'!P49</f>
        <v>-9660.0054455682093</v>
      </c>
      <c r="J38" s="533">
        <f>SUM(H38:I38)</f>
        <v>-192720.60461791669</v>
      </c>
      <c r="K38" s="101"/>
      <c r="L38" s="101"/>
    </row>
    <row r="39" spans="1:12">
      <c r="D39" s="94"/>
      <c r="E39" s="94"/>
      <c r="F39" s="94"/>
      <c r="G39" s="579"/>
      <c r="H39" s="123"/>
      <c r="I39" s="123"/>
      <c r="J39" s="123"/>
    </row>
    <row r="40" spans="1:12">
      <c r="A40" s="98" t="s">
        <v>2624</v>
      </c>
      <c r="D40" s="121"/>
      <c r="F40" s="122"/>
      <c r="G40" s="579"/>
      <c r="H40" s="127">
        <f>+H16+H29+H22+H36+H38</f>
        <v>2002776.4008276516</v>
      </c>
      <c r="I40" s="127">
        <f>+I16+I29+I22+I36+I38</f>
        <v>803938.93681026192</v>
      </c>
      <c r="J40" s="127">
        <f>+J16+J29+J22+J36+J38</f>
        <v>2806715.0033279136</v>
      </c>
    </row>
    <row r="42" spans="1:12">
      <c r="F42" s="122"/>
      <c r="G42" s="121"/>
      <c r="H42" s="123"/>
      <c r="I42" s="123"/>
      <c r="J42" s="123"/>
    </row>
    <row r="43" spans="1:12" s="99" customFormat="1">
      <c r="B43" s="117" t="str">
        <f>+B$3</f>
        <v>Rochester Gas and Electric Corporation</v>
      </c>
      <c r="C43" s="117"/>
      <c r="D43" s="117"/>
      <c r="E43" s="117"/>
      <c r="F43" s="117"/>
      <c r="G43" s="117"/>
      <c r="H43" s="117"/>
      <c r="I43" s="117"/>
      <c r="J43" s="117"/>
    </row>
    <row r="44" spans="1:12" s="99" customFormat="1">
      <c r="B44" s="117" t="str">
        <f>+B$4</f>
        <v>Rate Base - Detail</v>
      </c>
      <c r="C44" s="117"/>
      <c r="D44" s="117"/>
      <c r="E44" s="117"/>
      <c r="F44" s="117"/>
      <c r="G44" s="117"/>
      <c r="H44" s="117"/>
      <c r="I44" s="117"/>
      <c r="J44" s="117"/>
    </row>
    <row r="45" spans="1:12" s="99" customFormat="1">
      <c r="B45" s="117" t="str">
        <f>+B$5</f>
        <v>12 Months Ended December 31, 2014</v>
      </c>
      <c r="C45" s="117"/>
      <c r="D45" s="117"/>
      <c r="E45" s="117"/>
      <c r="F45" s="117"/>
      <c r="G45" s="117"/>
      <c r="H45" s="117"/>
      <c r="I45" s="117"/>
      <c r="J45" s="117"/>
    </row>
    <row r="46" spans="1:12" s="99" customFormat="1">
      <c r="B46" s="117" t="s">
        <v>2632</v>
      </c>
      <c r="C46" s="117"/>
      <c r="D46" s="117"/>
      <c r="E46" s="117"/>
      <c r="F46" s="117"/>
      <c r="G46" s="117"/>
      <c r="H46" s="117"/>
      <c r="I46" s="117"/>
      <c r="J46" s="117"/>
    </row>
    <row r="47" spans="1:12" s="99" customFormat="1">
      <c r="B47" s="118" t="s">
        <v>2574</v>
      </c>
      <c r="C47" s="117"/>
      <c r="D47" s="117"/>
      <c r="E47" s="117"/>
      <c r="F47" s="117"/>
      <c r="G47" s="117"/>
      <c r="H47" s="117"/>
      <c r="I47" s="117"/>
      <c r="J47" s="117"/>
    </row>
    <row r="48" spans="1:12" s="99" customFormat="1">
      <c r="B48" s="118"/>
      <c r="C48" s="117"/>
      <c r="D48" s="117"/>
      <c r="E48" s="117"/>
      <c r="F48" s="117"/>
      <c r="G48" s="117"/>
      <c r="H48" s="992"/>
      <c r="I48" s="992"/>
      <c r="J48" s="992"/>
    </row>
    <row r="49" spans="1:10">
      <c r="D49" s="120" t="s">
        <v>2625</v>
      </c>
      <c r="E49" s="120" t="s">
        <v>2626</v>
      </c>
      <c r="F49" s="120" t="s">
        <v>2627</v>
      </c>
      <c r="G49" s="120"/>
      <c r="H49" s="120" t="s">
        <v>2473</v>
      </c>
      <c r="I49" s="120" t="s">
        <v>2474</v>
      </c>
      <c r="J49" s="120" t="s">
        <v>2475</v>
      </c>
    </row>
    <row r="50" spans="1:10">
      <c r="A50" s="98" t="s">
        <v>2452</v>
      </c>
      <c r="D50" s="121"/>
      <c r="F50" s="122"/>
      <c r="G50" s="579"/>
      <c r="H50" s="123"/>
      <c r="I50" s="123"/>
      <c r="J50" s="123"/>
    </row>
    <row r="51" spans="1:10">
      <c r="B51" s="571" t="s">
        <v>29</v>
      </c>
      <c r="C51" s="571"/>
      <c r="D51" s="124">
        <v>108008</v>
      </c>
      <c r="E51" s="114" t="s">
        <v>2473</v>
      </c>
      <c r="F51" s="122">
        <f>+VLOOKUP(+E51,Allocators!$A$7:$F$19,3)</f>
        <v>1</v>
      </c>
      <c r="G51" s="579"/>
      <c r="H51" s="101">
        <f t="shared" ref="H51:H67" si="0">ROUND($F51*J51,0)</f>
        <v>0</v>
      </c>
      <c r="I51" s="101">
        <f t="shared" ref="I51:I67" si="1">+J51-H51</f>
        <v>0</v>
      </c>
      <c r="J51" s="101">
        <f>SUMIF('Balance Sheet Detail'!$C:$C,$D51,'Balance Sheet Detail'!X:X)</f>
        <v>0</v>
      </c>
    </row>
    <row r="52" spans="1:10">
      <c r="B52" s="571" t="s">
        <v>31</v>
      </c>
      <c r="C52" s="571"/>
      <c r="D52" s="124">
        <v>108010</v>
      </c>
      <c r="E52" s="114" t="s">
        <v>2473</v>
      </c>
      <c r="F52" s="122">
        <f>+VLOOKUP(+E52,Allocators!$A$7:$F$19,3)</f>
        <v>1</v>
      </c>
      <c r="G52" s="579"/>
      <c r="H52" s="101">
        <f t="shared" si="0"/>
        <v>-542000</v>
      </c>
      <c r="I52" s="101">
        <f t="shared" si="1"/>
        <v>0.25659250002354383</v>
      </c>
      <c r="J52" s="101">
        <f>SUMIF('Balance Sheet Detail'!$C:$C,$D52,'Balance Sheet Detail'!X:X)</f>
        <v>-541999.74340749998</v>
      </c>
    </row>
    <row r="53" spans="1:10">
      <c r="B53" s="571" t="s">
        <v>32</v>
      </c>
      <c r="C53" s="571"/>
      <c r="D53" s="124">
        <v>108011</v>
      </c>
      <c r="E53" s="114" t="s">
        <v>2473</v>
      </c>
      <c r="F53" s="122">
        <f>+VLOOKUP(+E53,Allocators!$A$7:$F$19,3)</f>
        <v>1</v>
      </c>
      <c r="G53" s="579"/>
      <c r="H53" s="101">
        <f t="shared" si="0"/>
        <v>0</v>
      </c>
      <c r="I53" s="101">
        <f t="shared" si="1"/>
        <v>0</v>
      </c>
      <c r="J53" s="101">
        <f>SUMIF('Balance Sheet Detail'!$C:$C,$D53,'Balance Sheet Detail'!X:X)</f>
        <v>0</v>
      </c>
    </row>
    <row r="54" spans="1:10">
      <c r="B54" s="571" t="s">
        <v>33</v>
      </c>
      <c r="C54" s="571"/>
      <c r="D54" s="124">
        <v>108015</v>
      </c>
      <c r="E54" s="114" t="s">
        <v>2473</v>
      </c>
      <c r="F54" s="122">
        <f>+VLOOKUP(+E54,Allocators!$A$7:$F$19,3)</f>
        <v>1</v>
      </c>
      <c r="G54" s="579"/>
      <c r="H54" s="101">
        <f t="shared" si="0"/>
        <v>0</v>
      </c>
      <c r="I54" s="101">
        <f t="shared" si="1"/>
        <v>0</v>
      </c>
      <c r="J54" s="101">
        <f>SUMIF('Balance Sheet Detail'!$C:$C,$D54,'Balance Sheet Detail'!X:X)</f>
        <v>0</v>
      </c>
    </row>
    <row r="55" spans="1:10">
      <c r="B55" s="571" t="s">
        <v>34</v>
      </c>
      <c r="C55" s="571"/>
      <c r="D55" s="124">
        <v>108016</v>
      </c>
      <c r="E55" s="114" t="s">
        <v>2476</v>
      </c>
      <c r="F55" s="122">
        <f>+VLOOKUP(+E55,Allocators!$A$7:$F$19,3)</f>
        <v>0.68589999999999995</v>
      </c>
      <c r="G55" s="579"/>
      <c r="H55" s="101">
        <f t="shared" si="0"/>
        <v>0</v>
      </c>
      <c r="I55" s="101">
        <f t="shared" si="1"/>
        <v>0</v>
      </c>
      <c r="J55" s="101">
        <f>SUMIF('Balance Sheet Detail'!$C:$C,$D55,'Balance Sheet Detail'!X:X)</f>
        <v>0</v>
      </c>
    </row>
    <row r="56" spans="1:10">
      <c r="B56" s="571" t="s">
        <v>35</v>
      </c>
      <c r="C56" s="571"/>
      <c r="D56" s="124">
        <v>108019</v>
      </c>
      <c r="E56" s="114" t="s">
        <v>2473</v>
      </c>
      <c r="F56" s="122">
        <f>+VLOOKUP(+E56,Allocators!$A$7:$F$19,3)</f>
        <v>1</v>
      </c>
      <c r="G56" s="579"/>
      <c r="H56" s="101">
        <f t="shared" si="0"/>
        <v>0</v>
      </c>
      <c r="I56" s="101">
        <f t="shared" si="1"/>
        <v>0</v>
      </c>
      <c r="J56" s="101">
        <f>SUMIF('Balance Sheet Detail'!$C:$C,$D56,'Balance Sheet Detail'!X:X)</f>
        <v>0</v>
      </c>
    </row>
    <row r="57" spans="1:10">
      <c r="B57" s="571" t="s">
        <v>36</v>
      </c>
      <c r="C57" s="571"/>
      <c r="D57" s="124">
        <v>108030</v>
      </c>
      <c r="E57" s="114" t="s">
        <v>2474</v>
      </c>
      <c r="F57" s="122">
        <f>+VLOOKUP(+E57,Allocators!$A$7:$F$19,3)</f>
        <v>0</v>
      </c>
      <c r="G57" s="579"/>
      <c r="H57" s="101">
        <f t="shared" si="0"/>
        <v>0</v>
      </c>
      <c r="I57" s="101">
        <f t="shared" si="1"/>
        <v>-285245.54418708303</v>
      </c>
      <c r="J57" s="101">
        <f>SUMIF('Balance Sheet Detail'!$C:$C,$D57,'Balance Sheet Detail'!X:X)</f>
        <v>-285245.54418708303</v>
      </c>
    </row>
    <row r="58" spans="1:10">
      <c r="B58" s="571" t="s">
        <v>37</v>
      </c>
      <c r="C58" s="571"/>
      <c r="D58" s="124">
        <v>108031</v>
      </c>
      <c r="E58" s="114" t="s">
        <v>2474</v>
      </c>
      <c r="F58" s="122">
        <f>+VLOOKUP(+E58,Allocators!$A$7:$F$19,3)</f>
        <v>0</v>
      </c>
      <c r="G58" s="579"/>
      <c r="H58" s="101">
        <f t="shared" si="0"/>
        <v>0</v>
      </c>
      <c r="I58" s="101">
        <f t="shared" si="1"/>
        <v>0</v>
      </c>
      <c r="J58" s="101">
        <f>SUMIF('Balance Sheet Detail'!$C:$C,$D58,'Balance Sheet Detail'!X:X)</f>
        <v>0</v>
      </c>
    </row>
    <row r="59" spans="1:10">
      <c r="B59" s="571" t="s">
        <v>38</v>
      </c>
      <c r="C59" s="571"/>
      <c r="D59" s="124">
        <v>108035</v>
      </c>
      <c r="E59" s="114" t="s">
        <v>2474</v>
      </c>
      <c r="F59" s="122">
        <f>+VLOOKUP(+E59,Allocators!$A$7:$F$19,3)</f>
        <v>0</v>
      </c>
      <c r="G59" s="579"/>
      <c r="H59" s="101">
        <f t="shared" si="0"/>
        <v>0</v>
      </c>
      <c r="I59" s="101">
        <f t="shared" si="1"/>
        <v>0</v>
      </c>
      <c r="J59" s="101">
        <f>SUMIF('Balance Sheet Detail'!$C:$C,$D59,'Balance Sheet Detail'!X:X)</f>
        <v>0</v>
      </c>
    </row>
    <row r="60" spans="1:10">
      <c r="B60" s="571" t="s">
        <v>39</v>
      </c>
      <c r="C60" s="571"/>
      <c r="D60" s="124">
        <v>108039</v>
      </c>
      <c r="E60" s="114" t="s">
        <v>2474</v>
      </c>
      <c r="F60" s="122">
        <f>+VLOOKUP(+E60,Allocators!$A$7:$F$19,3)</f>
        <v>0</v>
      </c>
      <c r="G60" s="579"/>
      <c r="H60" s="101">
        <f t="shared" si="0"/>
        <v>0</v>
      </c>
      <c r="I60" s="101">
        <f t="shared" si="1"/>
        <v>0</v>
      </c>
      <c r="J60" s="101">
        <f>SUMIF('Balance Sheet Detail'!$C:$C,$D60,'Balance Sheet Detail'!X:X)</f>
        <v>0</v>
      </c>
    </row>
    <row r="61" spans="1:10">
      <c r="B61" s="571" t="s">
        <v>40</v>
      </c>
      <c r="C61" s="571"/>
      <c r="D61" s="124">
        <v>108070</v>
      </c>
      <c r="E61" s="114" t="s">
        <v>2476</v>
      </c>
      <c r="F61" s="122">
        <f>+VLOOKUP(+E61,Allocators!$A$7:$F$19,3)</f>
        <v>0.68589999999999995</v>
      </c>
      <c r="G61" s="579"/>
      <c r="H61" s="101">
        <f t="shared" si="0"/>
        <v>-41426</v>
      </c>
      <c r="I61" s="101">
        <f t="shared" si="1"/>
        <v>-18969.972807500002</v>
      </c>
      <c r="J61" s="101">
        <f>SUMIF('Balance Sheet Detail'!$C:$C,$D61,'Balance Sheet Detail'!X:X)</f>
        <v>-60395.972807500002</v>
      </c>
    </row>
    <row r="62" spans="1:10">
      <c r="B62" s="571" t="s">
        <v>41</v>
      </c>
      <c r="C62" s="571"/>
      <c r="D62" s="124">
        <v>108071</v>
      </c>
      <c r="E62" s="114" t="s">
        <v>2476</v>
      </c>
      <c r="F62" s="122">
        <f>+VLOOKUP(+E62,Allocators!$A$7:$F$19,3)</f>
        <v>0.68589999999999995</v>
      </c>
      <c r="G62" s="579"/>
      <c r="H62" s="101">
        <f t="shared" si="0"/>
        <v>0</v>
      </c>
      <c r="I62" s="101">
        <f t="shared" si="1"/>
        <v>0</v>
      </c>
      <c r="J62" s="101">
        <f>SUMIF('Balance Sheet Detail'!$C:$C,$D62,'Balance Sheet Detail'!X:X)</f>
        <v>0</v>
      </c>
    </row>
    <row r="63" spans="1:10" s="103" customFormat="1">
      <c r="A63" s="99"/>
      <c r="B63" s="571" t="s">
        <v>42</v>
      </c>
      <c r="C63" s="571"/>
      <c r="D63" s="124">
        <v>108075</v>
      </c>
      <c r="E63" s="114" t="s">
        <v>2476</v>
      </c>
      <c r="F63" s="122">
        <f>+VLOOKUP(+E63,Allocators!$A$7:$F$19,3)</f>
        <v>0.68589999999999995</v>
      </c>
      <c r="G63" s="579"/>
      <c r="H63" s="101">
        <f t="shared" si="0"/>
        <v>0</v>
      </c>
      <c r="I63" s="101">
        <f t="shared" si="1"/>
        <v>0</v>
      </c>
      <c r="J63" s="101">
        <f>SUMIF('Balance Sheet Detail'!$C:$C,$D63,'Balance Sheet Detail'!X:X)</f>
        <v>0</v>
      </c>
    </row>
    <row r="64" spans="1:10" s="103" customFormat="1">
      <c r="A64" s="99"/>
      <c r="B64" s="571" t="s">
        <v>43</v>
      </c>
      <c r="C64" s="571"/>
      <c r="D64" s="124">
        <v>108076</v>
      </c>
      <c r="E64" s="114" t="s">
        <v>2476</v>
      </c>
      <c r="F64" s="122">
        <f>+VLOOKUP(+E64,Allocators!$A$7:$F$19,3)</f>
        <v>0.68589999999999995</v>
      </c>
      <c r="G64" s="579"/>
      <c r="H64" s="101">
        <f t="shared" si="0"/>
        <v>0</v>
      </c>
      <c r="I64" s="101">
        <f t="shared" si="1"/>
        <v>0</v>
      </c>
      <c r="J64" s="101">
        <f>SUMIF('Balance Sheet Detail'!$C:$C,$D64,'Balance Sheet Detail'!X:X)</f>
        <v>0</v>
      </c>
    </row>
    <row r="65" spans="1:10" s="103" customFormat="1">
      <c r="A65" s="99"/>
      <c r="B65" s="571" t="s">
        <v>50</v>
      </c>
      <c r="C65" s="571"/>
      <c r="D65" s="124">
        <v>111010</v>
      </c>
      <c r="E65" s="114" t="s">
        <v>2473</v>
      </c>
      <c r="F65" s="122">
        <f>+VLOOKUP(+E65,Allocators!$A$7:$F$19,3)</f>
        <v>1</v>
      </c>
      <c r="G65" s="579"/>
      <c r="H65" s="101">
        <f t="shared" si="0"/>
        <v>-5487</v>
      </c>
      <c r="I65" s="101">
        <f t="shared" si="1"/>
        <v>-1.1298333330159949E-2</v>
      </c>
      <c r="J65" s="101">
        <f>SUMIF('Balance Sheet Detail'!$C:$C,$D65,'Balance Sheet Detail'!X:X)</f>
        <v>-5487.0112983333302</v>
      </c>
    </row>
    <row r="66" spans="1:10" s="103" customFormat="1">
      <c r="A66" s="99"/>
      <c r="B66" s="571" t="s">
        <v>51</v>
      </c>
      <c r="C66" s="571"/>
      <c r="D66" s="124">
        <v>111030</v>
      </c>
      <c r="E66" s="114" t="s">
        <v>2474</v>
      </c>
      <c r="F66" s="122">
        <f>+VLOOKUP(+E66,Allocators!$A$7:$F$19,3)</f>
        <v>0</v>
      </c>
      <c r="G66" s="579"/>
      <c r="H66" s="101">
        <f t="shared" si="0"/>
        <v>0</v>
      </c>
      <c r="I66" s="101">
        <f t="shared" si="1"/>
        <v>-911.98790791666704</v>
      </c>
      <c r="J66" s="101">
        <f>SUMIF('Balance Sheet Detail'!$C:$C,$D66,'Balance Sheet Detail'!X:X)</f>
        <v>-911.98790791666704</v>
      </c>
    </row>
    <row r="67" spans="1:10" s="103" customFormat="1">
      <c r="A67" s="99"/>
      <c r="B67" s="571" t="s">
        <v>52</v>
      </c>
      <c r="C67" s="571"/>
      <c r="D67" s="124">
        <v>111070</v>
      </c>
      <c r="E67" s="114" t="s">
        <v>2476</v>
      </c>
      <c r="F67" s="122">
        <f>+VLOOKUP(+E67,Allocators!$A$7:$F$19,3)</f>
        <v>0.68589999999999995</v>
      </c>
      <c r="G67" s="579"/>
      <c r="H67" s="101">
        <f t="shared" si="0"/>
        <v>-54094</v>
      </c>
      <c r="I67" s="101">
        <f t="shared" si="1"/>
        <v>-24771.385178750003</v>
      </c>
      <c r="J67" s="101">
        <f>SUMIF('Balance Sheet Detail'!$C:$C,$D67,'Balance Sheet Detail'!X:X)</f>
        <v>-78865.385178750003</v>
      </c>
    </row>
    <row r="68" spans="1:10" s="103" customFormat="1" ht="4.5" customHeight="1">
      <c r="A68" s="99"/>
      <c r="B68" s="571"/>
      <c r="C68" s="571"/>
      <c r="D68" s="124"/>
      <c r="E68" s="114"/>
      <c r="F68" s="122"/>
      <c r="G68" s="579"/>
      <c r="H68" s="102">
        <v>0</v>
      </c>
      <c r="I68" s="102">
        <v>0</v>
      </c>
      <c r="J68" s="131">
        <v>0</v>
      </c>
    </row>
    <row r="69" spans="1:10">
      <c r="D69" s="130"/>
      <c r="F69" s="122"/>
      <c r="G69" s="579"/>
      <c r="H69" s="123"/>
      <c r="I69" s="123"/>
      <c r="J69" s="123"/>
    </row>
    <row r="70" spans="1:10">
      <c r="B70" s="77" t="s">
        <v>2588</v>
      </c>
      <c r="D70" s="121"/>
      <c r="F70" s="122"/>
      <c r="G70" s="579"/>
      <c r="H70" s="128">
        <f>SUM(H50:H69)</f>
        <v>-643007</v>
      </c>
      <c r="I70" s="128">
        <f>SUM(I50:I69)</f>
        <v>-329898.64478708303</v>
      </c>
      <c r="J70" s="128">
        <f>SUM(J50:J69)</f>
        <v>-972905.64478708303</v>
      </c>
    </row>
    <row r="71" spans="1:10">
      <c r="D71" s="120"/>
      <c r="E71" s="120"/>
      <c r="F71" s="120"/>
      <c r="G71" s="120"/>
      <c r="H71" s="120"/>
      <c r="I71" s="120"/>
      <c r="J71" s="120"/>
    </row>
    <row r="72" spans="1:10">
      <c r="A72" s="98" t="s">
        <v>2633</v>
      </c>
      <c r="D72" s="121"/>
      <c r="F72" s="122"/>
      <c r="G72" s="579"/>
      <c r="H72" s="123"/>
      <c r="I72" s="123"/>
      <c r="J72" s="123"/>
    </row>
    <row r="73" spans="1:10">
      <c r="B73" s="571" t="s">
        <v>44</v>
      </c>
      <c r="C73" s="571"/>
      <c r="D73" s="124">
        <v>108101</v>
      </c>
      <c r="E73" s="114" t="s">
        <v>2473</v>
      </c>
      <c r="F73" s="122">
        <f>+VLOOKUP(+E73,Allocators!$A$7:$F$19,3)</f>
        <v>1</v>
      </c>
      <c r="G73" s="579"/>
      <c r="H73" s="101">
        <f t="shared" ref="H73:H78" si="2">ROUND($F73*J73,0)</f>
        <v>0</v>
      </c>
      <c r="I73" s="101">
        <f t="shared" ref="I73:I78" si="3">+J73-H73</f>
        <v>0</v>
      </c>
      <c r="J73" s="101">
        <f>SUMIF('Balance Sheet Detail'!$C:$C,$D73,'Balance Sheet Detail'!X:X)</f>
        <v>0</v>
      </c>
    </row>
    <row r="74" spans="1:10">
      <c r="B74" s="571" t="s">
        <v>45</v>
      </c>
      <c r="C74" s="571"/>
      <c r="D74" s="124">
        <v>108103</v>
      </c>
      <c r="E74" s="114" t="s">
        <v>2474</v>
      </c>
      <c r="F74" s="122">
        <f>+VLOOKUP(+E74,Allocators!$A$7:$F$19,3)</f>
        <v>0</v>
      </c>
      <c r="G74" s="579"/>
      <c r="H74" s="101">
        <f t="shared" si="2"/>
        <v>0</v>
      </c>
      <c r="I74" s="101">
        <f t="shared" si="3"/>
        <v>0</v>
      </c>
      <c r="J74" s="101">
        <f>SUMIF('Balance Sheet Detail'!$C:$C,$D74,'Balance Sheet Detail'!X:X)</f>
        <v>0</v>
      </c>
    </row>
    <row r="75" spans="1:10">
      <c r="B75" s="571" t="s">
        <v>46</v>
      </c>
      <c r="C75" s="571"/>
      <c r="D75" s="124">
        <v>108107</v>
      </c>
      <c r="E75" s="114" t="s">
        <v>2476</v>
      </c>
      <c r="F75" s="122">
        <f>+VLOOKUP(+E75,Allocators!$A$7:$F$19,3)</f>
        <v>0.68589999999999995</v>
      </c>
      <c r="G75" s="579"/>
      <c r="H75" s="101">
        <f t="shared" si="2"/>
        <v>0</v>
      </c>
      <c r="I75" s="101">
        <f t="shared" si="3"/>
        <v>0</v>
      </c>
      <c r="J75" s="101">
        <f>SUMIF('Balance Sheet Detail'!$C:$C,$D75,'Balance Sheet Detail'!X:X)</f>
        <v>0</v>
      </c>
    </row>
    <row r="76" spans="1:10">
      <c r="B76" s="571" t="s">
        <v>47</v>
      </c>
      <c r="C76" s="571"/>
      <c r="D76" s="124">
        <v>108111</v>
      </c>
      <c r="E76" s="114" t="s">
        <v>2473</v>
      </c>
      <c r="F76" s="122">
        <f>+VLOOKUP(+E76,Allocators!$A$7:$F$19,3)</f>
        <v>1</v>
      </c>
      <c r="G76" s="579"/>
      <c r="H76" s="101">
        <f t="shared" si="2"/>
        <v>0</v>
      </c>
      <c r="I76" s="101">
        <f t="shared" si="3"/>
        <v>0</v>
      </c>
      <c r="J76" s="101">
        <f>SUMIF('Balance Sheet Detail'!$C:$C,$D76,'Balance Sheet Detail'!X:X)</f>
        <v>0</v>
      </c>
    </row>
    <row r="77" spans="1:10">
      <c r="B77" s="571" t="s">
        <v>48</v>
      </c>
      <c r="C77" s="571"/>
      <c r="D77" s="124">
        <v>108113</v>
      </c>
      <c r="E77" s="114" t="s">
        <v>2474</v>
      </c>
      <c r="F77" s="122">
        <f>+VLOOKUP(+E77,Allocators!$A$7:$F$19,3)</f>
        <v>0</v>
      </c>
      <c r="G77" s="579"/>
      <c r="H77" s="101">
        <f t="shared" si="2"/>
        <v>0</v>
      </c>
      <c r="I77" s="101">
        <f t="shared" si="3"/>
        <v>0</v>
      </c>
      <c r="J77" s="101">
        <f>SUMIF('Balance Sheet Detail'!$C:$C,$D77,'Balance Sheet Detail'!X:X)</f>
        <v>0</v>
      </c>
    </row>
    <row r="78" spans="1:10" ht="15">
      <c r="B78" s="571" t="s">
        <v>49</v>
      </c>
      <c r="C78" s="571"/>
      <c r="D78" s="124">
        <v>108117</v>
      </c>
      <c r="E78" s="114" t="s">
        <v>2476</v>
      </c>
      <c r="F78" s="122">
        <f>+VLOOKUP(+E78,Allocators!$A$7:$F$19,3)</f>
        <v>0.68589999999999995</v>
      </c>
      <c r="G78" s="579"/>
      <c r="H78" s="107">
        <f t="shared" si="2"/>
        <v>0</v>
      </c>
      <c r="I78" s="107">
        <f t="shared" si="3"/>
        <v>0</v>
      </c>
      <c r="J78" s="107">
        <f>SUMIF('Balance Sheet Detail'!$C:$C,$D78,'Balance Sheet Detail'!X:X)</f>
        <v>0</v>
      </c>
    </row>
    <row r="79" spans="1:10">
      <c r="D79" s="121"/>
      <c r="F79" s="122"/>
      <c r="G79" s="579"/>
      <c r="H79" s="123"/>
      <c r="I79" s="123"/>
      <c r="J79" s="123"/>
    </row>
    <row r="80" spans="1:10">
      <c r="B80" s="77" t="s">
        <v>2475</v>
      </c>
      <c r="D80" s="121"/>
      <c r="F80" s="122"/>
      <c r="G80" s="579"/>
      <c r="H80" s="128">
        <f>SUM(H72:H79)</f>
        <v>0</v>
      </c>
      <c r="I80" s="128">
        <f>SUM(I72:I79)</f>
        <v>0</v>
      </c>
      <c r="J80" s="128">
        <f>SUM(J72:J79)</f>
        <v>0</v>
      </c>
    </row>
    <row r="81" spans="1:10">
      <c r="D81" s="121"/>
      <c r="F81" s="122"/>
      <c r="G81" s="579"/>
      <c r="H81" s="123"/>
      <c r="I81" s="123"/>
      <c r="J81" s="123"/>
    </row>
    <row r="82" spans="1:10" s="99" customFormat="1">
      <c r="A82" s="98" t="s">
        <v>2598</v>
      </c>
      <c r="D82" s="132"/>
      <c r="E82" s="133"/>
      <c r="F82" s="134"/>
      <c r="G82" s="132"/>
      <c r="H82" s="127">
        <f>+H70+H80</f>
        <v>-643007</v>
      </c>
      <c r="I82" s="127">
        <f>+I70+I80</f>
        <v>-329898.64478708303</v>
      </c>
      <c r="J82" s="127">
        <f>+J70+J80</f>
        <v>-972905.64478708303</v>
      </c>
    </row>
    <row r="83" spans="1:10">
      <c r="F83" s="122"/>
      <c r="G83" s="121"/>
      <c r="H83" s="123"/>
      <c r="I83" s="123"/>
      <c r="J83" s="123"/>
    </row>
    <row r="84" spans="1:10">
      <c r="F84" s="122"/>
      <c r="G84" s="121"/>
      <c r="H84" s="123"/>
      <c r="I84" s="123"/>
      <c r="J84" s="123"/>
    </row>
    <row r="85" spans="1:10" s="99" customFormat="1">
      <c r="A85" s="992" t="str">
        <f>+B3</f>
        <v>Rochester Gas and Electric Corporation</v>
      </c>
      <c r="B85" s="992"/>
      <c r="C85" s="992"/>
      <c r="D85" s="992"/>
      <c r="E85" s="992"/>
      <c r="F85" s="992"/>
      <c r="G85" s="992"/>
      <c r="H85" s="992"/>
      <c r="I85" s="992"/>
      <c r="J85" s="992"/>
    </row>
    <row r="86" spans="1:10" s="99" customFormat="1">
      <c r="A86" s="992" t="str">
        <f>+B4</f>
        <v>Rate Base - Detail</v>
      </c>
      <c r="B86" s="992"/>
      <c r="C86" s="992"/>
      <c r="D86" s="992"/>
      <c r="E86" s="992"/>
      <c r="F86" s="992"/>
      <c r="G86" s="992"/>
      <c r="H86" s="992"/>
      <c r="I86" s="992"/>
      <c r="J86" s="992"/>
    </row>
    <row r="87" spans="1:10" s="99" customFormat="1">
      <c r="A87" s="992" t="str">
        <f>+B5</f>
        <v>12 Months Ended December 31, 2014</v>
      </c>
      <c r="B87" s="992"/>
      <c r="C87" s="992"/>
      <c r="D87" s="992"/>
      <c r="E87" s="992"/>
      <c r="F87" s="992"/>
      <c r="G87" s="992"/>
      <c r="H87" s="992"/>
      <c r="I87" s="992"/>
      <c r="J87" s="992"/>
    </row>
    <row r="88" spans="1:10" s="99" customFormat="1">
      <c r="A88" s="992" t="s">
        <v>3913</v>
      </c>
      <c r="B88" s="992"/>
      <c r="C88" s="992"/>
      <c r="D88" s="992"/>
      <c r="E88" s="992"/>
      <c r="F88" s="992"/>
      <c r="G88" s="992"/>
      <c r="H88" s="992"/>
      <c r="I88" s="992"/>
      <c r="J88" s="992"/>
    </row>
    <row r="89" spans="1:10" s="99" customFormat="1">
      <c r="A89" s="874"/>
      <c r="B89" s="874"/>
      <c r="C89" s="874"/>
      <c r="D89" s="874"/>
      <c r="E89" s="874"/>
      <c r="F89" s="874"/>
      <c r="G89" s="874"/>
      <c r="H89" s="992"/>
      <c r="I89" s="992"/>
      <c r="J89" s="992"/>
    </row>
    <row r="90" spans="1:10">
      <c r="D90" s="120" t="s">
        <v>2625</v>
      </c>
      <c r="E90" s="120" t="s">
        <v>2626</v>
      </c>
      <c r="F90" s="120" t="s">
        <v>2627</v>
      </c>
      <c r="G90" s="120"/>
      <c r="H90" s="120" t="s">
        <v>2473</v>
      </c>
      <c r="I90" s="120" t="s">
        <v>2474</v>
      </c>
      <c r="J90" s="120" t="s">
        <v>2475</v>
      </c>
    </row>
    <row r="91" spans="1:10">
      <c r="A91" s="136" t="s">
        <v>2600</v>
      </c>
      <c r="D91" s="121"/>
      <c r="F91" s="122"/>
      <c r="G91" s="121"/>
      <c r="H91" s="104"/>
      <c r="I91" s="138"/>
      <c r="J91" s="138"/>
    </row>
    <row r="92" spans="1:10">
      <c r="B92" s="571" t="s">
        <v>165</v>
      </c>
      <c r="C92" s="571"/>
      <c r="D92" s="124">
        <v>151540</v>
      </c>
      <c r="E92" s="114" t="s">
        <v>2473</v>
      </c>
      <c r="F92" s="122">
        <f>+VLOOKUP(+E92,Allocators!$A$7:$F$19,3)</f>
        <v>1</v>
      </c>
      <c r="G92" s="124"/>
      <c r="H92" s="101">
        <f>ROUND($F92*J92,0)</f>
        <v>0</v>
      </c>
      <c r="I92" s="140">
        <f>+ROUND(J92-H92,0)</f>
        <v>0</v>
      </c>
      <c r="J92" s="140">
        <f>SUMIF('Balance Sheet Detail'!$C:$C,$D92,'Balance Sheet Detail'!X:X)</f>
        <v>0</v>
      </c>
    </row>
    <row r="93" spans="1:10">
      <c r="B93" s="571" t="s">
        <v>166</v>
      </c>
      <c r="C93" s="571"/>
      <c r="D93" s="124">
        <v>151610</v>
      </c>
      <c r="E93" s="114" t="s">
        <v>2473</v>
      </c>
      <c r="F93" s="122">
        <f>+VLOOKUP(+E93,Allocators!$A$7:$F$19,3)</f>
        <v>1</v>
      </c>
      <c r="G93" s="124"/>
      <c r="H93" s="101">
        <f>ROUND($F93*J93,0)</f>
        <v>0</v>
      </c>
      <c r="I93" s="140">
        <f>+ROUND(J93-H93,0)</f>
        <v>0</v>
      </c>
      <c r="J93" s="140">
        <f>SUMIF('Balance Sheet Detail'!$C:$C,$D93,'Balance Sheet Detail'!X:X)</f>
        <v>0</v>
      </c>
    </row>
    <row r="94" spans="1:10">
      <c r="B94" s="571" t="s">
        <v>167</v>
      </c>
      <c r="C94" s="571"/>
      <c r="D94" s="124">
        <v>151640</v>
      </c>
      <c r="E94" s="114" t="s">
        <v>2473</v>
      </c>
      <c r="F94" s="122">
        <f>+VLOOKUP(+E94,Allocators!$A$7:$F$19,3)</f>
        <v>1</v>
      </c>
      <c r="G94" s="124"/>
      <c r="H94" s="101">
        <f>ROUND($F94*J94,0)</f>
        <v>0</v>
      </c>
      <c r="I94" s="140">
        <f>+ROUND(J94-H94,0)</f>
        <v>0</v>
      </c>
      <c r="J94" s="140">
        <f>SUMIF('Balance Sheet Detail'!$C:$C,$D94,'Balance Sheet Detail'!X:X)</f>
        <v>0</v>
      </c>
    </row>
    <row r="95" spans="1:10">
      <c r="B95" s="571" t="s">
        <v>168</v>
      </c>
      <c r="C95" s="571"/>
      <c r="D95" s="124">
        <v>151650</v>
      </c>
      <c r="E95" s="114" t="s">
        <v>2473</v>
      </c>
      <c r="F95" s="122">
        <f>+VLOOKUP(+E95,Allocators!$A$7:$F$19,3)</f>
        <v>1</v>
      </c>
      <c r="G95" s="124"/>
      <c r="H95" s="101">
        <f>ROUND($F95*J95,0)</f>
        <v>0</v>
      </c>
      <c r="I95" s="140">
        <f>+ROUND(J95-H95,0)</f>
        <v>0</v>
      </c>
      <c r="J95" s="101">
        <f>SUMIF('Balance Sheet Detail'!$C:$C,$D95,'Balance Sheet Detail'!X:X)</f>
        <v>0</v>
      </c>
    </row>
    <row r="96" spans="1:10" ht="15">
      <c r="B96" s="571" t="s">
        <v>169</v>
      </c>
      <c r="C96" s="571"/>
      <c r="D96" s="124">
        <v>151900</v>
      </c>
      <c r="E96" s="114" t="s">
        <v>2473</v>
      </c>
      <c r="F96" s="122">
        <f>+VLOOKUP(+E96,Allocators!$A$7:$F$19,3)</f>
        <v>1</v>
      </c>
      <c r="G96" s="124"/>
      <c r="H96" s="107">
        <f>ROUND($F96*J96,0)</f>
        <v>0</v>
      </c>
      <c r="I96" s="141">
        <f>+ROUND(J96-H96,0)</f>
        <v>0</v>
      </c>
      <c r="J96" s="141">
        <f>SUMIF('Balance Sheet Detail'!$C:$C,$D96,'Balance Sheet Detail'!X:X)</f>
        <v>0</v>
      </c>
    </row>
    <row r="97" spans="1:10">
      <c r="D97" s="126"/>
      <c r="F97" s="122"/>
      <c r="G97" s="126"/>
      <c r="H97" s="104"/>
      <c r="I97" s="138"/>
      <c r="J97" s="138"/>
    </row>
    <row r="98" spans="1:10">
      <c r="B98" s="77" t="str">
        <f>+A91</f>
        <v>Fossil Fuels</v>
      </c>
      <c r="D98" s="126"/>
      <c r="F98" s="122"/>
      <c r="G98" s="126"/>
      <c r="H98" s="123">
        <f>SUM(H91:H97)</f>
        <v>0</v>
      </c>
      <c r="I98" s="139">
        <f>SUM(I91:I97)</f>
        <v>0</v>
      </c>
      <c r="J98" s="123">
        <f>SUM(J91:J97)</f>
        <v>0</v>
      </c>
    </row>
    <row r="99" spans="1:10">
      <c r="D99" s="137"/>
      <c r="G99" s="137"/>
    </row>
    <row r="100" spans="1:10">
      <c r="A100" s="136" t="s">
        <v>2634</v>
      </c>
      <c r="D100" s="126"/>
      <c r="F100" s="122"/>
      <c r="G100" s="126"/>
      <c r="H100" s="104"/>
      <c r="I100" s="104"/>
      <c r="J100" s="104"/>
    </row>
    <row r="101" spans="1:10">
      <c r="B101" s="571" t="s">
        <v>183</v>
      </c>
      <c r="D101" s="124">
        <v>164100</v>
      </c>
      <c r="E101" s="114" t="s">
        <v>2474</v>
      </c>
      <c r="F101" s="122">
        <f>+VLOOKUP(+E101,Allocators!$A$7:$F$19,3)</f>
        <v>0</v>
      </c>
      <c r="G101" s="124"/>
      <c r="H101" s="101">
        <f>ROUND($F101*J101,0)</f>
        <v>0</v>
      </c>
      <c r="I101" s="101">
        <f>+ROUND(J101-H101,0)</f>
        <v>7885</v>
      </c>
      <c r="J101" s="101">
        <f>SUMIF('Balance Sheet Detail'!$C:$C,$D101,'Balance Sheet Detail'!X:X)</f>
        <v>7884.9516149999999</v>
      </c>
    </row>
    <row r="102" spans="1:10">
      <c r="B102" s="571" t="s">
        <v>184</v>
      </c>
      <c r="D102" s="124">
        <v>164102</v>
      </c>
      <c r="E102" s="114" t="s">
        <v>2474</v>
      </c>
      <c r="F102" s="122">
        <f>+VLOOKUP(+E102,Allocators!$A$7:$F$19,3)</f>
        <v>0</v>
      </c>
      <c r="G102" s="124"/>
      <c r="H102" s="101">
        <f t="shared" ref="H102:H108" si="4">ROUND($F102*J102,0)</f>
        <v>0</v>
      </c>
      <c r="I102" s="101">
        <f t="shared" ref="I102:I108" si="5">+ROUND(J102-H102,0)</f>
        <v>0</v>
      </c>
      <c r="J102" s="101">
        <f>SUMIF('Balance Sheet Detail'!$C:$C,$D102,'Balance Sheet Detail'!X:X)</f>
        <v>0</v>
      </c>
    </row>
    <row r="103" spans="1:10">
      <c r="B103" s="571" t="s">
        <v>185</v>
      </c>
      <c r="D103" s="124">
        <v>164105</v>
      </c>
      <c r="E103" s="114" t="s">
        <v>2474</v>
      </c>
      <c r="F103" s="122">
        <f>+VLOOKUP(+E103,Allocators!$A$7:$F$19,3)</f>
        <v>0</v>
      </c>
      <c r="G103" s="124"/>
      <c r="H103" s="101">
        <f t="shared" si="4"/>
        <v>0</v>
      </c>
      <c r="I103" s="101">
        <f t="shared" si="5"/>
        <v>0</v>
      </c>
      <c r="J103" s="101">
        <f>SUMIF('Balance Sheet Detail'!$C:$C,$D103,'Balance Sheet Detail'!X:X)</f>
        <v>0</v>
      </c>
    </row>
    <row r="104" spans="1:10">
      <c r="B104" s="571" t="s">
        <v>186</v>
      </c>
      <c r="D104" s="124">
        <v>164107</v>
      </c>
      <c r="E104" s="114" t="s">
        <v>2474</v>
      </c>
      <c r="F104" s="122">
        <f>+VLOOKUP(+E104,Allocators!$A$7:$F$19,3)</f>
        <v>0</v>
      </c>
      <c r="G104" s="124"/>
      <c r="H104" s="101">
        <f t="shared" si="4"/>
        <v>0</v>
      </c>
      <c r="I104" s="101">
        <f t="shared" si="5"/>
        <v>0</v>
      </c>
      <c r="J104" s="101">
        <f>SUMIF('Balance Sheet Detail'!$C:$C,$D104,'Balance Sheet Detail'!X:X)</f>
        <v>0</v>
      </c>
    </row>
    <row r="105" spans="1:10">
      <c r="B105" s="571" t="s">
        <v>187</v>
      </c>
      <c r="D105" s="124">
        <v>164108</v>
      </c>
      <c r="E105" s="114" t="s">
        <v>2474</v>
      </c>
      <c r="F105" s="122">
        <f>+VLOOKUP(+E105,Allocators!$A$7:$F$19,3)</f>
        <v>0</v>
      </c>
      <c r="G105" s="124"/>
      <c r="H105" s="101">
        <f t="shared" si="4"/>
        <v>0</v>
      </c>
      <c r="I105" s="101">
        <f t="shared" si="5"/>
        <v>0</v>
      </c>
      <c r="J105" s="101">
        <f>SUMIF('Balance Sheet Detail'!$C:$C,$D105,'Balance Sheet Detail'!X:X)</f>
        <v>0</v>
      </c>
    </row>
    <row r="106" spans="1:10">
      <c r="B106" s="571" t="s">
        <v>188</v>
      </c>
      <c r="D106" s="124">
        <v>164110</v>
      </c>
      <c r="E106" s="114" t="s">
        <v>2474</v>
      </c>
      <c r="F106" s="122">
        <f>+VLOOKUP(+E106,Allocators!$A$7:$F$19,3)</f>
        <v>0</v>
      </c>
      <c r="G106" s="124"/>
      <c r="H106" s="101">
        <f t="shared" si="4"/>
        <v>0</v>
      </c>
      <c r="I106" s="101">
        <f t="shared" si="5"/>
        <v>0</v>
      </c>
      <c r="J106" s="101">
        <f>SUMIF('Balance Sheet Detail'!$C:$C,$D106,'Balance Sheet Detail'!X:X)</f>
        <v>0</v>
      </c>
    </row>
    <row r="107" spans="1:10">
      <c r="B107" s="571" t="s">
        <v>2808</v>
      </c>
      <c r="D107" s="124">
        <v>164120</v>
      </c>
      <c r="E107" s="114" t="s">
        <v>2474</v>
      </c>
      <c r="F107" s="122">
        <f>+VLOOKUP(+E107,Allocators!$A$7:$F$19,3)</f>
        <v>0</v>
      </c>
      <c r="G107" s="124"/>
      <c r="H107" s="101">
        <f t="shared" si="4"/>
        <v>0</v>
      </c>
      <c r="I107" s="101">
        <f t="shared" si="5"/>
        <v>0</v>
      </c>
      <c r="J107" s="101">
        <f>SUMIF('Balance Sheet Detail'!$C:$C,$D107,'Balance Sheet Detail'!X:X)</f>
        <v>0</v>
      </c>
    </row>
    <row r="108" spans="1:10">
      <c r="A108" s="99"/>
      <c r="B108" s="571" t="s">
        <v>2808</v>
      </c>
      <c r="D108" s="124">
        <v>164130</v>
      </c>
      <c r="E108" s="114" t="s">
        <v>2474</v>
      </c>
      <c r="F108" s="122">
        <f>+VLOOKUP(+E108,Allocators!$A$7:$F$19,3)</f>
        <v>0</v>
      </c>
      <c r="G108" s="124"/>
      <c r="H108" s="101">
        <f t="shared" si="4"/>
        <v>0</v>
      </c>
      <c r="I108" s="101">
        <f t="shared" si="5"/>
        <v>0</v>
      </c>
      <c r="J108" s="101">
        <f>SUMIF('Balance Sheet Detail'!$C:$C,$D108,'Balance Sheet Detail'!X:X)</f>
        <v>0</v>
      </c>
    </row>
    <row r="109" spans="1:10">
      <c r="A109" s="99"/>
      <c r="B109" s="571" t="s">
        <v>189</v>
      </c>
      <c r="D109" s="124">
        <v>164160</v>
      </c>
      <c r="E109" s="114" t="s">
        <v>2474</v>
      </c>
      <c r="F109" s="122">
        <f>+VLOOKUP(+E109,Allocators!$A$7:$F$19,3)</f>
        <v>0</v>
      </c>
      <c r="G109" s="124"/>
      <c r="H109" s="101">
        <f>ROUND($F109*J109,0)</f>
        <v>0</v>
      </c>
      <c r="I109" s="101">
        <f>+ROUND(J109-H109,0)</f>
        <v>6522</v>
      </c>
      <c r="J109" s="101">
        <f>SUMIF('Balance Sheet Detail'!$C:$C,$D109,'Balance Sheet Detail'!X:X)</f>
        <v>6521.6267912499998</v>
      </c>
    </row>
    <row r="110" spans="1:10">
      <c r="A110" s="99"/>
      <c r="B110" s="571" t="s">
        <v>2391</v>
      </c>
      <c r="D110" s="124"/>
      <c r="F110" s="122"/>
      <c r="G110" s="124"/>
      <c r="H110" s="615">
        <f>H112-SUM(H101:H109)</f>
        <v>0</v>
      </c>
      <c r="I110" s="615">
        <f>I112-SUM(I101:I109)</f>
        <v>-0.42159375000119326</v>
      </c>
      <c r="J110" s="615">
        <f>SUM(H110:I110)</f>
        <v>-0.42159375000119326</v>
      </c>
    </row>
    <row r="111" spans="1:10" ht="3.75" customHeight="1">
      <c r="D111" s="121"/>
      <c r="F111" s="122"/>
      <c r="G111" s="121"/>
      <c r="H111" s="142">
        <v>0</v>
      </c>
      <c r="I111" s="142">
        <v>0</v>
      </c>
      <c r="J111" s="142">
        <v>0</v>
      </c>
    </row>
    <row r="112" spans="1:10">
      <c r="B112" s="77" t="str">
        <f>+A100</f>
        <v>Underground Gas Stored - to Commodity</v>
      </c>
      <c r="D112" s="126" t="s">
        <v>2455</v>
      </c>
      <c r="F112" s="122"/>
      <c r="G112" s="121"/>
      <c r="H112" s="123">
        <f>SUMIF('Balance Sheet Detail'!$C:$C,$D112,'Balance Sheet Detail'!U:U)</f>
        <v>0</v>
      </c>
      <c r="I112" s="123">
        <f>SUMIF('Balance Sheet Detail'!$C:$C,$D112,'Balance Sheet Detail'!V:V)</f>
        <v>14406.578406249999</v>
      </c>
      <c r="J112" s="123">
        <f>SUM(H112:I112)</f>
        <v>14406.578406249999</v>
      </c>
    </row>
    <row r="113" spans="1:10">
      <c r="A113" s="136"/>
      <c r="D113" s="125"/>
      <c r="H113" s="101"/>
      <c r="I113" s="101"/>
      <c r="J113" s="101"/>
    </row>
    <row r="114" spans="1:10">
      <c r="A114" s="136"/>
    </row>
    <row r="115" spans="1:10" s="99" customFormat="1">
      <c r="B115" s="117" t="s">
        <v>2494</v>
      </c>
      <c r="C115" s="117"/>
      <c r="D115" s="117"/>
      <c r="E115" s="117"/>
      <c r="F115" s="117"/>
      <c r="G115" s="117"/>
      <c r="H115" s="117"/>
      <c r="I115" s="117"/>
      <c r="J115" s="117"/>
    </row>
    <row r="116" spans="1:10" s="99" customFormat="1">
      <c r="B116" s="117" t="str">
        <f>+B$4</f>
        <v>Rate Base - Detail</v>
      </c>
      <c r="C116" s="117"/>
      <c r="D116" s="117"/>
      <c r="E116" s="117"/>
      <c r="F116" s="117"/>
      <c r="G116" s="117"/>
      <c r="H116" s="117"/>
      <c r="I116" s="117"/>
      <c r="J116" s="117"/>
    </row>
    <row r="117" spans="1:10" s="99" customFormat="1">
      <c r="B117" s="117" t="str">
        <f>+B$5</f>
        <v>12 Months Ended December 31, 2014</v>
      </c>
      <c r="C117" s="117"/>
      <c r="D117" s="117"/>
      <c r="E117" s="117"/>
      <c r="F117" s="117"/>
      <c r="G117" s="117"/>
      <c r="H117" s="117"/>
      <c r="I117" s="117"/>
      <c r="J117" s="117"/>
    </row>
    <row r="118" spans="1:10" s="99" customFormat="1">
      <c r="B118" s="117" t="s">
        <v>2635</v>
      </c>
      <c r="C118" s="117"/>
      <c r="D118" s="117"/>
      <c r="E118" s="117"/>
      <c r="F118" s="117"/>
      <c r="G118" s="117"/>
      <c r="H118" s="117"/>
      <c r="I118" s="117"/>
      <c r="J118" s="117"/>
    </row>
    <row r="119" spans="1:10" s="99" customFormat="1">
      <c r="B119" s="118" t="s">
        <v>2574</v>
      </c>
      <c r="C119" s="117"/>
      <c r="D119" s="117"/>
      <c r="E119" s="117"/>
      <c r="F119" s="117"/>
      <c r="G119" s="117"/>
      <c r="H119" s="117"/>
      <c r="I119" s="117"/>
      <c r="J119" s="117"/>
    </row>
    <row r="120" spans="1:10" s="99" customFormat="1">
      <c r="A120" s="874"/>
      <c r="B120" s="874"/>
      <c r="C120" s="874"/>
      <c r="D120" s="874"/>
      <c r="E120" s="874"/>
      <c r="F120" s="874"/>
      <c r="G120" s="874"/>
      <c r="H120" s="992"/>
      <c r="I120" s="992"/>
      <c r="J120" s="992"/>
    </row>
    <row r="121" spans="1:10" ht="15" customHeight="1">
      <c r="D121" s="120" t="s">
        <v>2625</v>
      </c>
      <c r="E121" s="120" t="s">
        <v>2626</v>
      </c>
      <c r="F121" s="120" t="s">
        <v>2627</v>
      </c>
      <c r="G121" s="120"/>
      <c r="H121" s="120" t="s">
        <v>2473</v>
      </c>
      <c r="I121" s="120" t="s">
        <v>2474</v>
      </c>
      <c r="J121" s="120" t="s">
        <v>2475</v>
      </c>
    </row>
    <row r="122" spans="1:10">
      <c r="A122" s="136" t="s">
        <v>2601</v>
      </c>
      <c r="D122" s="125"/>
    </row>
    <row r="123" spans="1:10">
      <c r="A123" s="136"/>
      <c r="B123" s="571" t="s">
        <v>168</v>
      </c>
      <c r="D123" s="124">
        <v>151650</v>
      </c>
      <c r="E123" s="114" t="s">
        <v>2473</v>
      </c>
      <c r="F123" s="122">
        <f>+VLOOKUP(+E123,Allocators!$A$7:$F$19,3)</f>
        <v>1</v>
      </c>
      <c r="H123" s="101">
        <f t="shared" ref="H123" si="6">ROUND($F123*J123,0)</f>
        <v>0</v>
      </c>
      <c r="I123" s="101">
        <f t="shared" ref="I123" si="7">+ROUND(J123-H123,0)</f>
        <v>0</v>
      </c>
      <c r="J123" s="101">
        <f>SUMIF('Balance Sheet Detail'!$C:$C,$D123,'Balance Sheet Detail'!X:X)</f>
        <v>0</v>
      </c>
    </row>
    <row r="124" spans="1:10">
      <c r="B124" s="571" t="s">
        <v>170</v>
      </c>
      <c r="D124" s="124">
        <v>154210</v>
      </c>
      <c r="E124" s="114" t="s">
        <v>2479</v>
      </c>
      <c r="F124" s="122">
        <f>+VLOOKUP(+E124,Allocators!$A$7:$F$19,3)</f>
        <v>0.74150000000000005</v>
      </c>
      <c r="G124" s="124"/>
      <c r="H124" s="101">
        <f t="shared" ref="H124:H132" si="8">ROUND($F124*J124,0)</f>
        <v>7748</v>
      </c>
      <c r="I124" s="101">
        <f t="shared" ref="I124:I132" si="9">+ROUND(J124-H124,0)</f>
        <v>2701</v>
      </c>
      <c r="J124" s="101">
        <f>SUMIF('Balance Sheet Detail'!$C:$C,$D124,'Balance Sheet Detail'!X:X)</f>
        <v>10448.52961</v>
      </c>
    </row>
    <row r="125" spans="1:10">
      <c r="B125" s="571" t="s">
        <v>171</v>
      </c>
      <c r="D125" s="124">
        <v>154212</v>
      </c>
      <c r="E125" s="114" t="s">
        <v>2479</v>
      </c>
      <c r="F125" s="122">
        <f>+VLOOKUP(+E125,Allocators!$A$7:$F$19,3)</f>
        <v>0.74150000000000005</v>
      </c>
      <c r="G125" s="124"/>
      <c r="H125" s="101">
        <f>ROUND($F125*J125,0)</f>
        <v>0</v>
      </c>
      <c r="I125" s="101">
        <f>+ROUND(J125-H125,0)</f>
        <v>0</v>
      </c>
      <c r="J125" s="101">
        <f>SUMIF('Balance Sheet Detail'!$C:$C,$D125,'Balance Sheet Detail'!X:X)</f>
        <v>8.4291666666700001E-4</v>
      </c>
    </row>
    <row r="126" spans="1:10">
      <c r="B126" s="571" t="s">
        <v>172</v>
      </c>
      <c r="D126" s="124">
        <v>154530</v>
      </c>
      <c r="E126" s="114" t="s">
        <v>2479</v>
      </c>
      <c r="F126" s="125">
        <f>+VLOOKUP(+E126,Allocators!$A$7:$F$19,3)</f>
        <v>0.74150000000000005</v>
      </c>
      <c r="G126" s="124"/>
      <c r="H126" s="101">
        <f t="shared" si="8"/>
        <v>0</v>
      </c>
      <c r="I126" s="101">
        <f t="shared" si="9"/>
        <v>0</v>
      </c>
      <c r="J126" s="101">
        <f>SUMIF('Balance Sheet Detail'!$C:$C,$D126,'Balance Sheet Detail'!X:X)</f>
        <v>0</v>
      </c>
    </row>
    <row r="127" spans="1:10">
      <c r="B127" s="571" t="s">
        <v>173</v>
      </c>
      <c r="D127" s="124">
        <v>154820</v>
      </c>
      <c r="E127" s="114" t="s">
        <v>2479</v>
      </c>
      <c r="F127" s="122">
        <f>+VLOOKUP(+E127,Allocators!$A$7:$F$19,3)</f>
        <v>0.74150000000000005</v>
      </c>
      <c r="G127" s="124"/>
      <c r="H127" s="101">
        <f t="shared" si="8"/>
        <v>0</v>
      </c>
      <c r="I127" s="101">
        <f t="shared" si="9"/>
        <v>0</v>
      </c>
      <c r="J127" s="101">
        <f>SUMIF('Balance Sheet Detail'!$C:$C,$D127,'Balance Sheet Detail'!X:X)</f>
        <v>0</v>
      </c>
    </row>
    <row r="128" spans="1:10">
      <c r="B128" s="571" t="s">
        <v>174</v>
      </c>
      <c r="D128" s="124">
        <v>154950</v>
      </c>
      <c r="E128" s="114" t="s">
        <v>2479</v>
      </c>
      <c r="F128" s="122">
        <f>+VLOOKUP(+E128,Allocators!$A$7:$F$19,3)</f>
        <v>0.74150000000000005</v>
      </c>
      <c r="G128" s="124"/>
      <c r="H128" s="101">
        <f t="shared" si="8"/>
        <v>0</v>
      </c>
      <c r="I128" s="101">
        <f t="shared" si="9"/>
        <v>0</v>
      </c>
      <c r="J128" s="101">
        <f>SUMIF('Balance Sheet Detail'!$C:$C,$D128,'Balance Sheet Detail'!X:X)</f>
        <v>0</v>
      </c>
    </row>
    <row r="129" spans="1:10">
      <c r="A129" s="99"/>
      <c r="B129" s="571" t="s">
        <v>177</v>
      </c>
      <c r="D129" s="124">
        <v>154980</v>
      </c>
      <c r="E129" s="114" t="s">
        <v>2479</v>
      </c>
      <c r="F129" s="122">
        <f>+VLOOKUP(+E129,Allocators!$A$7:$F$19,3)</f>
        <v>0.74150000000000005</v>
      </c>
      <c r="G129" s="124"/>
      <c r="H129" s="101">
        <f>ROUND($F129*J129,0)</f>
        <v>0</v>
      </c>
      <c r="I129" s="101">
        <f>+ROUND(J129-H129,0)</f>
        <v>0</v>
      </c>
      <c r="J129" s="101">
        <f>SUMIF('Balance Sheet Detail'!$C:$C,$D129,'Balance Sheet Detail'!X:X)</f>
        <v>0</v>
      </c>
    </row>
    <row r="130" spans="1:10">
      <c r="B130" s="571" t="s">
        <v>178</v>
      </c>
      <c r="C130" s="108"/>
      <c r="D130" s="124">
        <v>158100</v>
      </c>
      <c r="E130" s="114" t="s">
        <v>2473</v>
      </c>
      <c r="F130" s="122">
        <f>+VLOOKUP(+E130,Allocators!$A$7:$F$19,3)</f>
        <v>1</v>
      </c>
      <c r="G130" s="124"/>
      <c r="H130" s="101">
        <f t="shared" si="8"/>
        <v>0</v>
      </c>
      <c r="I130" s="101">
        <f t="shared" si="9"/>
        <v>0</v>
      </c>
      <c r="J130" s="101">
        <f>SUMIF('Balance Sheet Detail'!$C:$C,$D130,'Balance Sheet Detail'!X:X)</f>
        <v>0</v>
      </c>
    </row>
    <row r="131" spans="1:10">
      <c r="B131" s="571" t="s">
        <v>179</v>
      </c>
      <c r="C131" s="108"/>
      <c r="D131" s="124">
        <v>158102</v>
      </c>
      <c r="E131" s="114" t="s">
        <v>2473</v>
      </c>
      <c r="F131" s="122">
        <f>+VLOOKUP(+E131,Allocators!$A$7:$F$19,3)</f>
        <v>1</v>
      </c>
      <c r="G131" s="124"/>
      <c r="H131" s="101">
        <f>ROUND($F131*J131,0)</f>
        <v>0</v>
      </c>
      <c r="I131" s="101">
        <f>+ROUND(J131-H131,0)</f>
        <v>0</v>
      </c>
      <c r="J131" s="101">
        <f>SUMIF('Balance Sheet Detail'!$C:$C,$D131,'Balance Sheet Detail'!X:X)</f>
        <v>0</v>
      </c>
    </row>
    <row r="132" spans="1:10">
      <c r="B132" s="571" t="s">
        <v>180</v>
      </c>
      <c r="C132" s="108"/>
      <c r="D132" s="124">
        <v>158110</v>
      </c>
      <c r="E132" s="114" t="s">
        <v>2473</v>
      </c>
      <c r="F132" s="122">
        <f>+VLOOKUP(+E132,Allocators!$A$7:$F$19,3)</f>
        <v>1</v>
      </c>
      <c r="G132" s="124"/>
      <c r="H132" s="101">
        <f t="shared" si="8"/>
        <v>-4</v>
      </c>
      <c r="I132" s="101">
        <f t="shared" si="9"/>
        <v>0</v>
      </c>
      <c r="J132" s="101">
        <f>SUMIF('Balance Sheet Detail'!$C:$C,$D132,'Balance Sheet Detail'!X:X)</f>
        <v>-3.7509000000000001</v>
      </c>
    </row>
    <row r="133" spans="1:10">
      <c r="B133" s="571" t="s">
        <v>181</v>
      </c>
      <c r="C133" s="108"/>
      <c r="D133" s="124">
        <v>158112</v>
      </c>
      <c r="E133" s="114" t="s">
        <v>2473</v>
      </c>
      <c r="F133" s="122">
        <f>+VLOOKUP(+E133,Allocators!$A$7:$F$19,3)</f>
        <v>1</v>
      </c>
      <c r="G133" s="124"/>
      <c r="H133" s="101">
        <f>ROUND($F133*J133,0)</f>
        <v>0</v>
      </c>
      <c r="I133" s="101">
        <f>+ROUND(J133-H133,0)</f>
        <v>0</v>
      </c>
      <c r="J133" s="101">
        <f>SUMIF('Balance Sheet Detail'!$C:$C,$D133,'Balance Sheet Detail'!X:X)</f>
        <v>0</v>
      </c>
    </row>
    <row r="134" spans="1:10">
      <c r="B134" s="571" t="s">
        <v>182</v>
      </c>
      <c r="C134" s="108"/>
      <c r="D134" s="124">
        <v>158115</v>
      </c>
      <c r="E134" s="114" t="s">
        <v>2474</v>
      </c>
      <c r="F134" s="122">
        <f>+VLOOKUP(+E134,Allocators!$A$7:$F$19,3)</f>
        <v>0</v>
      </c>
      <c r="G134" s="124"/>
      <c r="H134" s="101">
        <f>ROUND($F134*J134,0)</f>
        <v>0</v>
      </c>
      <c r="I134" s="101">
        <f>+ROUND(J134-H134,0)</f>
        <v>0</v>
      </c>
      <c r="J134" s="101">
        <f>SUMIF('Balance Sheet Detail'!$C:$C,$D134,'Balance Sheet Detail'!X:X)</f>
        <v>0</v>
      </c>
    </row>
    <row r="135" spans="1:10">
      <c r="B135" s="571" t="s">
        <v>2391</v>
      </c>
      <c r="C135" s="108"/>
      <c r="D135" s="124"/>
      <c r="F135" s="122"/>
      <c r="G135" s="124"/>
      <c r="H135" s="615">
        <f>H137-SUM(H123:H134)</f>
        <v>-0.16556916229183116</v>
      </c>
      <c r="I135" s="615">
        <f>I137-SUM(I123:I134)</f>
        <v>-5.4877921041679656E-2</v>
      </c>
      <c r="J135" s="615">
        <f>SUM(H135:I135)</f>
        <v>-0.22044708333351082</v>
      </c>
    </row>
    <row r="136" spans="1:10" ht="3.75" customHeight="1">
      <c r="D136" s="126"/>
      <c r="F136" s="122"/>
      <c r="G136" s="126"/>
      <c r="H136" s="142">
        <v>0</v>
      </c>
      <c r="I136" s="142">
        <v>0</v>
      </c>
      <c r="J136" s="142">
        <v>0</v>
      </c>
    </row>
    <row r="137" spans="1:10">
      <c r="B137" s="77" t="str">
        <f>+A122</f>
        <v>Materials and Supplies</v>
      </c>
      <c r="D137" s="126" t="s">
        <v>2456</v>
      </c>
      <c r="F137" s="122"/>
      <c r="G137" s="126"/>
      <c r="H137" s="123">
        <f>SUMIF('Balance Sheet Detail'!$C:$C,$D137,'Balance Sheet Detail'!U:U)</f>
        <v>7743.8344308377082</v>
      </c>
      <c r="I137" s="123">
        <f>SUMIF('Balance Sheet Detail'!$C:$C,$D137,'Balance Sheet Detail'!V:V)</f>
        <v>2700.9451220789583</v>
      </c>
      <c r="J137" s="123">
        <f>SUM(H137:I137)</f>
        <v>10444.779552916667</v>
      </c>
    </row>
    <row r="138" spans="1:10">
      <c r="A138" s="136"/>
      <c r="D138" s="137"/>
      <c r="G138" s="137"/>
    </row>
    <row r="139" spans="1:10">
      <c r="A139" s="136" t="s">
        <v>2534</v>
      </c>
      <c r="D139" s="137"/>
      <c r="G139" s="137"/>
    </row>
    <row r="140" spans="1:10">
      <c r="B140" s="571" t="s">
        <v>190</v>
      </c>
      <c r="D140" s="124">
        <v>165020</v>
      </c>
      <c r="E140" s="114" t="s">
        <v>2479</v>
      </c>
      <c r="F140" s="122">
        <f>+VLOOKUP(+E140,Allocators!$A$7:$F$19,3)</f>
        <v>0.74150000000000005</v>
      </c>
      <c r="G140" s="124"/>
      <c r="H140" s="101">
        <f t="shared" ref="H140:H147" si="10">ROUND($F140*J140,0)</f>
        <v>523</v>
      </c>
      <c r="I140" s="101">
        <f t="shared" ref="I140:I147" si="11">+ROUND(J140-H140,0)</f>
        <v>182</v>
      </c>
      <c r="J140" s="101">
        <f>SUMIF('Balance Sheet Detail'!$C:$C,$D140,'Balance Sheet Detail'!X:X)</f>
        <v>705.23996541666702</v>
      </c>
    </row>
    <row r="141" spans="1:10">
      <c r="B141" s="571" t="s">
        <v>191</v>
      </c>
      <c r="D141" s="124">
        <v>165030</v>
      </c>
      <c r="E141" s="114" t="s">
        <v>2478</v>
      </c>
      <c r="F141" s="122">
        <f>+VLOOKUP(+E141,Allocators!$A$7:$F$19,3)</f>
        <v>0.58986531372414497</v>
      </c>
      <c r="G141" s="124"/>
      <c r="H141" s="101">
        <f t="shared" si="10"/>
        <v>217</v>
      </c>
      <c r="I141" s="101">
        <f t="shared" si="11"/>
        <v>151</v>
      </c>
      <c r="J141" s="101">
        <f>SUMIF('Balance Sheet Detail'!$C:$C,$D141,'Balance Sheet Detail'!X:X)</f>
        <v>368.22261750000001</v>
      </c>
    </row>
    <row r="142" spans="1:10">
      <c r="B142" s="571" t="s">
        <v>192</v>
      </c>
      <c r="D142" s="124">
        <v>165040</v>
      </c>
      <c r="E142" s="114" t="s">
        <v>2479</v>
      </c>
      <c r="F142" s="122">
        <f>+VLOOKUP(+E142,Allocators!$A$7:$F$19,3)</f>
        <v>0.74150000000000005</v>
      </c>
      <c r="G142" s="124"/>
      <c r="H142" s="101">
        <f>ROUND($F142*J142,0)</f>
        <v>236</v>
      </c>
      <c r="I142" s="101">
        <f>+ROUND(J142-H142,0)</f>
        <v>82</v>
      </c>
      <c r="J142" s="101">
        <f>SUMIF('Balance Sheet Detail'!$C:$C,$D142,'Balance Sheet Detail'!X:X)</f>
        <v>318.33541250000002</v>
      </c>
    </row>
    <row r="143" spans="1:10">
      <c r="B143" s="571" t="s">
        <v>193</v>
      </c>
      <c r="D143" s="124">
        <v>165050</v>
      </c>
      <c r="E143" s="114" t="s">
        <v>2473</v>
      </c>
      <c r="F143" s="122">
        <f>+VLOOKUP(+E143,Allocators!$A$7:$F$19,3)</f>
        <v>1</v>
      </c>
      <c r="G143" s="124"/>
      <c r="H143" s="101">
        <f t="shared" si="10"/>
        <v>0</v>
      </c>
      <c r="I143" s="101">
        <f t="shared" si="11"/>
        <v>0</v>
      </c>
      <c r="J143" s="101">
        <f>SUMIF('Balance Sheet Detail'!$C:$C,$D143,'Balance Sheet Detail'!X:X)</f>
        <v>0</v>
      </c>
    </row>
    <row r="144" spans="1:10">
      <c r="B144" s="571" t="s">
        <v>194</v>
      </c>
      <c r="D144" s="124">
        <v>165110</v>
      </c>
      <c r="E144" s="114" t="s">
        <v>2481</v>
      </c>
      <c r="F144" s="122">
        <f>+VLOOKUP(+E144,Allocators!$A$7:$F$19,3)</f>
        <v>0.73270000000000002</v>
      </c>
      <c r="G144" s="124"/>
      <c r="H144" s="101">
        <f t="shared" si="10"/>
        <v>23601</v>
      </c>
      <c r="I144" s="101">
        <f t="shared" si="11"/>
        <v>8611</v>
      </c>
      <c r="J144" s="101">
        <f>SUMIF('Balance Sheet Detail'!$C:$C,$D144,'Balance Sheet Detail'!X:X)</f>
        <v>32211.55486375</v>
      </c>
    </row>
    <row r="145" spans="1:10">
      <c r="B145" s="571" t="s">
        <v>195</v>
      </c>
      <c r="D145" s="124">
        <v>165120</v>
      </c>
      <c r="E145" s="114" t="s">
        <v>2481</v>
      </c>
      <c r="F145" s="122">
        <f>+VLOOKUP(+E145,Allocators!$A$7:$F$19,3)</f>
        <v>0.73270000000000002</v>
      </c>
      <c r="G145" s="124"/>
      <c r="H145" s="101">
        <f t="shared" si="10"/>
        <v>0</v>
      </c>
      <c r="I145" s="101">
        <f t="shared" si="11"/>
        <v>0</v>
      </c>
      <c r="J145" s="101">
        <f>SUMIF('Balance Sheet Detail'!$C:$C,$D145,'Balance Sheet Detail'!X:X)</f>
        <v>0</v>
      </c>
    </row>
    <row r="146" spans="1:10">
      <c r="B146" s="571" t="s">
        <v>196</v>
      </c>
      <c r="D146" s="124">
        <v>165170</v>
      </c>
      <c r="E146" s="114" t="s">
        <v>2479</v>
      </c>
      <c r="F146" s="122">
        <f>+VLOOKUP(+E146,Allocators!$A$7:$F$19,3)</f>
        <v>0.74150000000000005</v>
      </c>
      <c r="G146" s="124"/>
      <c r="H146" s="101">
        <f t="shared" si="10"/>
        <v>0</v>
      </c>
      <c r="I146" s="101">
        <f t="shared" si="11"/>
        <v>0</v>
      </c>
      <c r="J146" s="101">
        <f>SUMIF('Balance Sheet Detail'!$C:$C,$D146,'Balance Sheet Detail'!X:X)</f>
        <v>0</v>
      </c>
    </row>
    <row r="147" spans="1:10">
      <c r="B147" s="571" t="s">
        <v>197</v>
      </c>
      <c r="D147" s="124">
        <v>165290</v>
      </c>
      <c r="E147" s="114" t="s">
        <v>817</v>
      </c>
      <c r="F147" s="122">
        <f>+VLOOKUP(+E147,Allocators!$A$7:$F$19,3)</f>
        <v>0.63460000000000005</v>
      </c>
      <c r="G147" s="124"/>
      <c r="H147" s="101">
        <f t="shared" si="10"/>
        <v>4259</v>
      </c>
      <c r="I147" s="101">
        <f t="shared" si="11"/>
        <v>2452</v>
      </c>
      <c r="J147" s="101">
        <f>SUMIF('Balance Sheet Detail'!$C:$C,$D147,'Balance Sheet Detail'!X:X)</f>
        <v>6711.4243116666703</v>
      </c>
    </row>
    <row r="148" spans="1:10">
      <c r="B148" s="571" t="s">
        <v>2391</v>
      </c>
      <c r="D148" s="124"/>
      <c r="F148" s="125"/>
      <c r="G148" s="124"/>
      <c r="H148" s="615">
        <f>H151-SUM(H140:H147)-H149</f>
        <v>0.65900937043988961</v>
      </c>
      <c r="I148" s="615">
        <f>I151-SUM(I140:I147)-I149</f>
        <v>0.11816146286582807</v>
      </c>
      <c r="J148" s="615">
        <f>SUM(H148:I148)</f>
        <v>0.77717083330571768</v>
      </c>
    </row>
    <row r="149" spans="1:10">
      <c r="B149" s="105" t="s">
        <v>2636</v>
      </c>
      <c r="D149" s="124"/>
      <c r="E149" s="114" t="s">
        <v>817</v>
      </c>
      <c r="F149" s="122">
        <f>+VLOOKUP(+E149,Allocators!$A$7:$F$19,3)</f>
        <v>0.63460000000000005</v>
      </c>
      <c r="G149" s="124"/>
      <c r="H149" s="102">
        <f>ROUND($F149*J149,0)</f>
        <v>-3201</v>
      </c>
      <c r="I149" s="102">
        <f>+ROUND(J149-H149,0)</f>
        <v>-1843</v>
      </c>
      <c r="J149" s="902">
        <f>-'PSC Assess Liab'!U24/1000</f>
        <v>-5044.1078354166675</v>
      </c>
    </row>
    <row r="150" spans="1:10">
      <c r="D150" s="121"/>
      <c r="F150" s="122"/>
      <c r="G150" s="121"/>
      <c r="H150" s="104"/>
      <c r="I150" s="104"/>
      <c r="J150" s="104"/>
    </row>
    <row r="151" spans="1:10">
      <c r="B151" s="77" t="str">
        <f>+A139</f>
        <v>Prepayments</v>
      </c>
      <c r="D151" s="126" t="s">
        <v>2458</v>
      </c>
      <c r="F151" s="122"/>
      <c r="G151" s="121"/>
      <c r="H151" s="123">
        <f>SUMIF('Balance Sheet Detail'!$C:$C,$D151,'Balance Sheet Detail'!U:U)+H149</f>
        <v>25635.65900937044</v>
      </c>
      <c r="I151" s="123">
        <f>SUMIF('Balance Sheet Detail'!$C:$C,$D151,'Balance Sheet Detail'!V:V)+I149</f>
        <v>9635.1181614628658</v>
      </c>
      <c r="J151" s="123">
        <f>SUM(H151:I151)</f>
        <v>35270.777170833302</v>
      </c>
    </row>
    <row r="152" spans="1:10">
      <c r="D152" s="121"/>
      <c r="F152" s="122"/>
      <c r="G152" s="121"/>
      <c r="H152" s="123"/>
      <c r="I152" s="123"/>
      <c r="J152" s="123"/>
    </row>
    <row r="153" spans="1:10">
      <c r="A153" s="98" t="s">
        <v>2602</v>
      </c>
      <c r="D153" s="121"/>
      <c r="F153" s="122"/>
      <c r="G153" s="121"/>
      <c r="H153" s="123"/>
      <c r="I153" s="123"/>
      <c r="J153" s="123"/>
    </row>
    <row r="154" spans="1:10">
      <c r="D154" s="121"/>
      <c r="F154" s="122"/>
      <c r="G154" s="121"/>
      <c r="H154" s="123"/>
      <c r="I154" s="123"/>
      <c r="J154" s="123"/>
    </row>
    <row r="155" spans="1:10">
      <c r="B155" s="143" t="s">
        <v>2575</v>
      </c>
      <c r="D155" s="121"/>
      <c r="F155" s="122"/>
      <c r="G155" s="121"/>
      <c r="H155" s="123"/>
      <c r="I155" s="123"/>
      <c r="J155" s="123"/>
    </row>
    <row r="156" spans="1:10">
      <c r="B156" s="144" t="s">
        <v>2576</v>
      </c>
      <c r="D156" s="121"/>
      <c r="F156" s="122"/>
      <c r="G156" s="121"/>
      <c r="H156" s="145">
        <v>6</v>
      </c>
      <c r="I156" s="145"/>
      <c r="J156" s="145"/>
    </row>
    <row r="157" spans="1:10">
      <c r="B157" s="144" t="s">
        <v>2577</v>
      </c>
      <c r="D157" s="121"/>
      <c r="F157" s="122"/>
      <c r="G157" s="121"/>
      <c r="H157" s="146">
        <v>365</v>
      </c>
      <c r="I157" s="146"/>
      <c r="J157" s="146"/>
    </row>
    <row r="158" spans="1:10">
      <c r="B158" s="144"/>
      <c r="D158" s="121"/>
      <c r="F158" s="122"/>
      <c r="G158" s="121"/>
      <c r="H158" s="88"/>
      <c r="I158" s="88"/>
      <c r="J158" s="88"/>
    </row>
    <row r="159" spans="1:10">
      <c r="B159" s="144" t="s">
        <v>2637</v>
      </c>
      <c r="D159" s="121"/>
      <c r="F159" s="122"/>
      <c r="G159" s="121"/>
      <c r="H159" s="147">
        <f>+H156/H157</f>
        <v>1.643835616438356E-2</v>
      </c>
      <c r="I159" s="147"/>
      <c r="J159" s="147"/>
    </row>
    <row r="160" spans="1:10">
      <c r="B160" s="144"/>
      <c r="D160" s="121"/>
      <c r="F160" s="122"/>
      <c r="G160" s="121"/>
      <c r="H160" s="147"/>
      <c r="I160" s="147"/>
      <c r="J160" s="147"/>
    </row>
    <row r="161" spans="1:10">
      <c r="B161" s="144" t="s">
        <v>2638</v>
      </c>
      <c r="D161" s="121"/>
      <c r="F161" s="122"/>
      <c r="G161" s="121"/>
      <c r="H161" s="903">
        <f>'WC_Purch Power'!G12/1000</f>
        <v>150174.82409000001</v>
      </c>
      <c r="I161" s="94"/>
      <c r="J161" s="94"/>
    </row>
    <row r="162" spans="1:10">
      <c r="B162" s="144" t="s">
        <v>2639</v>
      </c>
      <c r="D162" s="121"/>
      <c r="F162" s="122"/>
      <c r="G162" s="121"/>
      <c r="H162" s="150">
        <v>1</v>
      </c>
      <c r="I162" s="123"/>
      <c r="J162" s="123"/>
    </row>
    <row r="163" spans="1:10">
      <c r="B163" s="144"/>
      <c r="D163" s="121"/>
      <c r="F163" s="122"/>
      <c r="G163" s="121"/>
      <c r="H163" s="123"/>
      <c r="I163" s="123"/>
      <c r="J163" s="123"/>
    </row>
    <row r="164" spans="1:10" ht="15">
      <c r="B164" s="144" t="s">
        <v>2640</v>
      </c>
      <c r="D164" s="121"/>
      <c r="F164" s="122"/>
      <c r="G164" s="121"/>
      <c r="H164" s="151">
        <f>H161*H162</f>
        <v>150174.82409000001</v>
      </c>
      <c r="I164" s="142"/>
      <c r="J164" s="142"/>
    </row>
    <row r="165" spans="1:10" ht="15">
      <c r="B165" s="144"/>
      <c r="D165" s="121"/>
      <c r="F165" s="122"/>
      <c r="G165" s="121"/>
      <c r="H165" s="151"/>
      <c r="I165" s="142"/>
      <c r="J165" s="142"/>
    </row>
    <row r="166" spans="1:10" ht="15">
      <c r="B166" s="144" t="s">
        <v>2641</v>
      </c>
      <c r="D166" s="121"/>
      <c r="F166" s="122"/>
      <c r="G166" s="121"/>
      <c r="H166" s="151">
        <f>H159*H164</f>
        <v>2468.6272453150682</v>
      </c>
      <c r="I166" s="142"/>
      <c r="J166" s="142"/>
    </row>
    <row r="167" spans="1:10">
      <c r="D167" s="121"/>
      <c r="F167" s="122"/>
      <c r="G167" s="121"/>
      <c r="H167" s="123"/>
      <c r="I167" s="123"/>
      <c r="J167" s="123"/>
    </row>
    <row r="168" spans="1:10" s="153" customFormat="1">
      <c r="A168" s="88"/>
      <c r="B168" s="152" t="s">
        <v>2642</v>
      </c>
      <c r="C168" s="88"/>
      <c r="D168" s="88"/>
      <c r="E168" s="88"/>
      <c r="I168" s="154"/>
    </row>
    <row r="169" spans="1:10" s="153" customFormat="1">
      <c r="B169" s="152"/>
      <c r="C169" s="88" t="s">
        <v>2643</v>
      </c>
      <c r="D169" s="88"/>
      <c r="E169" s="88"/>
      <c r="I169" s="145"/>
    </row>
    <row r="170" spans="1:10" s="153" customFormat="1">
      <c r="B170" s="152"/>
      <c r="C170" s="155" t="s">
        <v>2644</v>
      </c>
      <c r="D170" s="88"/>
      <c r="E170" s="88"/>
      <c r="I170" s="145"/>
    </row>
    <row r="171" spans="1:10" s="153" customFormat="1">
      <c r="B171" s="152"/>
      <c r="C171" s="155" t="s">
        <v>2645</v>
      </c>
      <c r="D171" s="88"/>
      <c r="E171" s="88"/>
      <c r="I171" s="146"/>
    </row>
    <row r="172" spans="1:10" s="153" customFormat="1">
      <c r="B172" s="152"/>
      <c r="C172" s="88"/>
      <c r="D172" s="88"/>
      <c r="E172" s="88"/>
      <c r="I172" s="151"/>
    </row>
    <row r="173" spans="1:10" s="153" customFormat="1">
      <c r="B173" s="152"/>
      <c r="C173" s="88" t="s">
        <v>2646</v>
      </c>
      <c r="D173" s="88"/>
      <c r="E173" s="88"/>
      <c r="I173" s="156"/>
    </row>
    <row r="174" spans="1:10" s="153" customFormat="1">
      <c r="B174" s="152"/>
      <c r="C174" s="88" t="s">
        <v>2577</v>
      </c>
      <c r="D174" s="88"/>
      <c r="E174" s="88"/>
      <c r="I174" s="146"/>
    </row>
    <row r="175" spans="1:10" s="153" customFormat="1">
      <c r="B175" s="152"/>
      <c r="C175" s="88"/>
      <c r="D175" s="88"/>
      <c r="E175" s="88"/>
      <c r="I175" s="88"/>
    </row>
    <row r="176" spans="1:10" s="153" customFormat="1">
      <c r="B176" s="152"/>
      <c r="C176" s="88" t="s">
        <v>2578</v>
      </c>
      <c r="D176" s="88"/>
      <c r="E176" s="88"/>
      <c r="I176" s="147"/>
    </row>
    <row r="177" spans="1:9" s="153" customFormat="1">
      <c r="B177" s="152"/>
      <c r="C177" s="157" t="s">
        <v>2647</v>
      </c>
      <c r="D177" s="88" t="s">
        <v>2648</v>
      </c>
      <c r="E177" s="88"/>
      <c r="I177" s="94"/>
    </row>
    <row r="178" spans="1:9" s="153" customFormat="1">
      <c r="B178" s="152"/>
      <c r="C178" s="88"/>
      <c r="D178" s="88"/>
      <c r="E178" s="88"/>
      <c r="I178" s="94"/>
    </row>
    <row r="179" spans="1:9" s="153" customFormat="1">
      <c r="B179" s="152"/>
      <c r="C179" s="88" t="s">
        <v>2649</v>
      </c>
      <c r="D179" s="88"/>
      <c r="E179" s="88"/>
      <c r="I179" s="94"/>
    </row>
    <row r="180" spans="1:9" s="81" customFormat="1">
      <c r="A180" s="158"/>
      <c r="B180" s="105"/>
      <c r="C180" s="105"/>
      <c r="D180" s="105"/>
      <c r="H180" s="92"/>
      <c r="I180" s="92"/>
    </row>
    <row r="181" spans="1:9" s="81" customFormat="1">
      <c r="A181" s="158"/>
      <c r="B181" s="159" t="s">
        <v>2579</v>
      </c>
      <c r="C181" s="105"/>
      <c r="D181" s="105"/>
      <c r="H181" s="92"/>
      <c r="I181" s="92"/>
    </row>
    <row r="182" spans="1:9" s="81" customFormat="1" ht="15">
      <c r="C182" s="160" t="s">
        <v>2580</v>
      </c>
      <c r="D182" s="161"/>
      <c r="E182" s="161"/>
      <c r="H182" s="903">
        <f>+'P12GAAP - TME 12-31-14'!O329/1000</f>
        <v>193283.75843000002</v>
      </c>
      <c r="I182" s="903">
        <f>+'P12GAAP - TME 12-31-14'!O330/1000</f>
        <v>83787.327670000013</v>
      </c>
    </row>
    <row r="183" spans="1:9" s="81" customFormat="1">
      <c r="A183" s="162"/>
      <c r="C183" s="162" t="s">
        <v>2650</v>
      </c>
      <c r="D183" s="162" t="s">
        <v>2651</v>
      </c>
      <c r="E183" s="81" t="s">
        <v>2652</v>
      </c>
      <c r="H183" s="163">
        <f>-'P12GAAP - TME 12-31-14'!O87/1000</f>
        <v>-319.89600000000002</v>
      </c>
      <c r="I183" s="164">
        <v>0</v>
      </c>
    </row>
    <row r="184" spans="1:9" s="81" customFormat="1">
      <c r="A184" s="162"/>
      <c r="C184" s="162" t="s">
        <v>2653</v>
      </c>
      <c r="D184" s="162"/>
      <c r="H184" s="163">
        <f>-'PSC Assess Liab'!V8/1000</f>
        <v>-12309.220679999999</v>
      </c>
      <c r="I184" s="163">
        <f>-'PSC Assess Liab'!V9/1000</f>
        <v>-6216.329249999998</v>
      </c>
    </row>
    <row r="185" spans="1:9" s="81" customFormat="1" ht="15">
      <c r="A185" s="162"/>
      <c r="C185" s="162" t="s">
        <v>2654</v>
      </c>
      <c r="D185" s="162" t="s">
        <v>2655</v>
      </c>
      <c r="E185" s="81" t="s">
        <v>2656</v>
      </c>
      <c r="H185" s="904">
        <f>-'P12GAAP - TME 12-31-14'!O104/1000</f>
        <v>-9277.4907500000008</v>
      </c>
      <c r="I185" s="904">
        <f>-'P12GAAP - TME 12-31-14'!O256/1000</f>
        <v>-7565.1248800000003</v>
      </c>
    </row>
    <row r="186" spans="1:9" s="81" customFormat="1">
      <c r="A186" s="162"/>
      <c r="C186" s="162"/>
      <c r="D186" s="162"/>
      <c r="H186" s="154"/>
      <c r="I186" s="154"/>
    </row>
    <row r="187" spans="1:9" s="81" customFormat="1">
      <c r="A187" s="162"/>
      <c r="C187" s="162" t="s">
        <v>2581</v>
      </c>
      <c r="D187" s="162"/>
      <c r="H187" s="154">
        <f>SUM(H181:H186)</f>
        <v>171377.15100000001</v>
      </c>
      <c r="I187" s="154">
        <f>SUM(I181:I186)</f>
        <v>70005.873540000015</v>
      </c>
    </row>
    <row r="188" spans="1:9" s="81" customFormat="1">
      <c r="A188" s="162"/>
      <c r="C188" s="162" t="s">
        <v>2582</v>
      </c>
      <c r="D188" s="162"/>
      <c r="H188" s="166">
        <v>0.125</v>
      </c>
      <c r="I188" s="167">
        <f>+H188</f>
        <v>0.125</v>
      </c>
    </row>
    <row r="189" spans="1:9" s="81" customFormat="1">
      <c r="A189" s="162"/>
      <c r="C189" s="162"/>
      <c r="D189" s="162"/>
      <c r="H189" s="145"/>
      <c r="I189" s="145"/>
    </row>
    <row r="190" spans="1:9" s="81" customFormat="1" ht="15">
      <c r="A190" s="162"/>
      <c r="B190" s="80"/>
      <c r="C190" s="162" t="s">
        <v>2583</v>
      </c>
      <c r="D190" s="162"/>
      <c r="E190" s="168"/>
      <c r="H190" s="168">
        <f>H187*H188</f>
        <v>21422.143875000002</v>
      </c>
      <c r="I190" s="168">
        <f>I187*I188</f>
        <v>8750.7341925000019</v>
      </c>
    </row>
    <row r="191" spans="1:9" s="81" customFormat="1">
      <c r="A191" s="162"/>
      <c r="B191" s="80"/>
      <c r="C191" s="162"/>
      <c r="D191" s="162"/>
      <c r="E191" s="145"/>
      <c r="H191" s="145"/>
      <c r="I191" s="145"/>
    </row>
    <row r="192" spans="1:9" s="81" customFormat="1">
      <c r="A192" s="162"/>
      <c r="B192" s="80" t="s">
        <v>2475</v>
      </c>
      <c r="C192" s="162"/>
      <c r="D192" s="162"/>
      <c r="E192" s="169"/>
      <c r="H192" s="169">
        <f>+H166+H179+H190</f>
        <v>23890.771120315068</v>
      </c>
      <c r="I192" s="169">
        <f>+I164+I179+I190</f>
        <v>8750.7341925000019</v>
      </c>
    </row>
    <row r="193" spans="1:10">
      <c r="D193" s="121"/>
      <c r="F193" s="122"/>
      <c r="G193" s="121"/>
      <c r="H193" s="123"/>
      <c r="I193" s="123"/>
      <c r="J193" s="123"/>
    </row>
    <row r="194" spans="1:10">
      <c r="A194" s="992" t="s">
        <v>2494</v>
      </c>
      <c r="B194" s="992"/>
      <c r="C194" s="992"/>
      <c r="D194" s="992"/>
      <c r="E194" s="992"/>
      <c r="F194" s="992"/>
      <c r="G194" s="992"/>
      <c r="H194" s="992"/>
      <c r="I194" s="992"/>
      <c r="J194" s="992"/>
    </row>
    <row r="195" spans="1:10">
      <c r="A195" s="992" t="str">
        <f>+B$4</f>
        <v>Rate Base - Detail</v>
      </c>
      <c r="B195" s="992"/>
      <c r="C195" s="992"/>
      <c r="D195" s="992"/>
      <c r="E195" s="992"/>
      <c r="F195" s="992"/>
      <c r="G195" s="992"/>
      <c r="H195" s="992"/>
      <c r="I195" s="992"/>
      <c r="J195" s="992"/>
    </row>
    <row r="196" spans="1:10">
      <c r="A196" s="992" t="str">
        <f>+B$5</f>
        <v>12 Months Ended December 31, 2014</v>
      </c>
      <c r="B196" s="992"/>
      <c r="C196" s="992"/>
      <c r="D196" s="992"/>
      <c r="E196" s="992"/>
      <c r="F196" s="992"/>
      <c r="G196" s="992"/>
      <c r="H196" s="992"/>
      <c r="I196" s="992"/>
      <c r="J196" s="992"/>
    </row>
    <row r="197" spans="1:10">
      <c r="A197" s="993" t="s">
        <v>2657</v>
      </c>
      <c r="B197" s="993"/>
      <c r="C197" s="993"/>
      <c r="D197" s="993"/>
      <c r="E197" s="993"/>
      <c r="F197" s="993"/>
      <c r="G197" s="993"/>
      <c r="H197" s="993"/>
      <c r="I197" s="993"/>
      <c r="J197" s="993"/>
    </row>
    <row r="198" spans="1:10">
      <c r="A198" s="875"/>
      <c r="B198" s="875"/>
      <c r="C198" s="875"/>
      <c r="D198" s="875"/>
      <c r="E198" s="875"/>
      <c r="F198" s="875"/>
      <c r="G198" s="875"/>
      <c r="H198" s="992"/>
      <c r="I198" s="992"/>
      <c r="J198" s="992"/>
    </row>
    <row r="199" spans="1:10" s="170" customFormat="1">
      <c r="A199" s="109"/>
      <c r="D199" s="171" t="s">
        <v>2625</v>
      </c>
      <c r="E199" s="171" t="s">
        <v>2626</v>
      </c>
      <c r="F199" s="171" t="s">
        <v>2627</v>
      </c>
      <c r="G199" s="171"/>
      <c r="H199" s="171" t="s">
        <v>2473</v>
      </c>
      <c r="I199" s="171" t="s">
        <v>2474</v>
      </c>
      <c r="J199" s="171" t="s">
        <v>2475</v>
      </c>
    </row>
    <row r="200" spans="1:10">
      <c r="D200" s="120"/>
      <c r="E200" s="120"/>
      <c r="F200" s="120"/>
      <c r="G200" s="120"/>
      <c r="H200" s="120"/>
      <c r="I200" s="120"/>
      <c r="J200" s="120"/>
    </row>
    <row r="201" spans="1:10">
      <c r="B201" s="136" t="s">
        <v>2607</v>
      </c>
      <c r="D201" s="114"/>
      <c r="F201" s="122"/>
      <c r="G201" s="121"/>
      <c r="H201" s="104"/>
      <c r="I201" s="104"/>
      <c r="J201" s="104"/>
    </row>
    <row r="202" spans="1:10">
      <c r="A202" s="77"/>
      <c r="B202" s="172" t="s">
        <v>2607</v>
      </c>
      <c r="C202" s="571" t="s">
        <v>4587</v>
      </c>
      <c r="D202" s="709">
        <v>120520</v>
      </c>
      <c r="E202" s="114" t="s">
        <v>2473</v>
      </c>
      <c r="F202" s="122">
        <f>+VLOOKUP(+E202,Allocators!$A$7:$F$19,3)</f>
        <v>1</v>
      </c>
      <c r="G202" s="579"/>
      <c r="H202" s="101">
        <f>ROUND($F202*J202,0)</f>
        <v>0</v>
      </c>
      <c r="I202" s="101">
        <f>+ROUND(J202-H202,0)</f>
        <v>0</v>
      </c>
      <c r="J202" s="101">
        <f>SUMIF('Balance Sheet Detail'!$C:$C,$D202,'Balance Sheet Detail'!X:X)</f>
        <v>0</v>
      </c>
    </row>
    <row r="203" spans="1:10">
      <c r="A203" s="77"/>
      <c r="B203" s="172" t="s">
        <v>2607</v>
      </c>
      <c r="C203" s="571" t="s">
        <v>4588</v>
      </c>
      <c r="D203" s="709">
        <v>120590</v>
      </c>
      <c r="E203" s="114" t="s">
        <v>2473</v>
      </c>
      <c r="F203" s="122">
        <f>+VLOOKUP(+E203,Allocators!$A$7:$F$19,3)</f>
        <v>1</v>
      </c>
      <c r="G203" s="579"/>
      <c r="H203" s="101">
        <f>ROUND($F203*J203,0)</f>
        <v>0</v>
      </c>
      <c r="I203" s="101">
        <f>+ROUND(J203-H203,0)</f>
        <v>0</v>
      </c>
      <c r="J203" s="101">
        <f>SUMIF('Balance Sheet Detail'!$C:$C,$D203,'Balance Sheet Detail'!X:X)</f>
        <v>0</v>
      </c>
    </row>
    <row r="204" spans="1:10" ht="15">
      <c r="A204" s="77"/>
      <c r="B204" s="172" t="s">
        <v>2607</v>
      </c>
      <c r="C204" s="571" t="s">
        <v>429</v>
      </c>
      <c r="D204" s="709">
        <v>228430</v>
      </c>
      <c r="E204" s="114" t="s">
        <v>2473</v>
      </c>
      <c r="F204" s="122">
        <f>+VLOOKUP(+E204,Allocators!$A$7:$F$19,3)</f>
        <v>1</v>
      </c>
      <c r="G204" s="579"/>
      <c r="H204" s="107">
        <f>ROUND($F204*J204,0)</f>
        <v>-122222</v>
      </c>
      <c r="I204" s="107">
        <f>+ROUND(J204-H204,0)</f>
        <v>0</v>
      </c>
      <c r="J204" s="107">
        <f>SUMIF('Balance Sheet Detail'!$C:$C,$D204,'Balance Sheet Detail'!X:X)</f>
        <v>-122222.08621749999</v>
      </c>
    </row>
    <row r="205" spans="1:10">
      <c r="A205" s="77"/>
      <c r="B205" s="98"/>
      <c r="D205" s="709"/>
      <c r="E205" s="120"/>
      <c r="F205" s="120"/>
      <c r="G205" s="579"/>
      <c r="H205" s="120"/>
      <c r="I205" s="120"/>
      <c r="J205" s="120"/>
    </row>
    <row r="206" spans="1:10">
      <c r="A206" s="77"/>
      <c r="B206" s="136" t="s">
        <v>2617</v>
      </c>
      <c r="D206" s="709"/>
      <c r="F206" s="122"/>
      <c r="G206" s="579"/>
      <c r="H206" s="104"/>
      <c r="I206" s="104"/>
      <c r="J206" s="104"/>
    </row>
    <row r="207" spans="1:10">
      <c r="A207" s="77"/>
      <c r="B207" s="172" t="s">
        <v>2617</v>
      </c>
      <c r="C207" s="571" t="s">
        <v>290</v>
      </c>
      <c r="D207" s="709">
        <v>183010</v>
      </c>
      <c r="E207" s="114" t="s">
        <v>2473</v>
      </c>
      <c r="F207" s="122">
        <f>+VLOOKUP(+E207,Allocators!$A$7:$F$19,3)</f>
        <v>1</v>
      </c>
      <c r="G207" s="579"/>
      <c r="H207" s="101">
        <f>ROUND($F207*J207,0)</f>
        <v>1383</v>
      </c>
      <c r="I207" s="101">
        <f>+ROUND(J207-H207,0)</f>
        <v>0</v>
      </c>
      <c r="J207" s="101">
        <f>SUMIF('Balance Sheet Detail'!$C:$C,$D207,'Balance Sheet Detail'!X:X)</f>
        <v>1383.22251416667</v>
      </c>
    </row>
    <row r="208" spans="1:10">
      <c r="A208" s="77"/>
      <c r="B208" s="172" t="s">
        <v>2617</v>
      </c>
      <c r="C208" s="571" t="s">
        <v>291</v>
      </c>
      <c r="D208" s="709">
        <v>183030</v>
      </c>
      <c r="E208" s="114" t="s">
        <v>2474</v>
      </c>
      <c r="F208" s="122">
        <f>+VLOOKUP(+E208,Allocators!$A$7:$F$19,3)</f>
        <v>0</v>
      </c>
      <c r="G208" s="579"/>
      <c r="H208" s="101">
        <f>ROUND($F208*J208,0)</f>
        <v>0</v>
      </c>
      <c r="I208" s="101">
        <f>+ROUND(J208-H208,0)</f>
        <v>0</v>
      </c>
      <c r="J208" s="101">
        <f>SUMIF('Balance Sheet Detail'!$C:$C,$D208,'Balance Sheet Detail'!X:X)</f>
        <v>0</v>
      </c>
    </row>
    <row r="209" spans="1:10" ht="4.5" customHeight="1">
      <c r="A209" s="77"/>
      <c r="B209" s="136"/>
      <c r="C209" s="108"/>
      <c r="D209" s="709"/>
      <c r="F209" s="122"/>
      <c r="G209" s="579"/>
      <c r="H209" s="173">
        <v>0</v>
      </c>
      <c r="I209" s="173">
        <v>0</v>
      </c>
      <c r="J209" s="173">
        <v>0</v>
      </c>
    </row>
    <row r="210" spans="1:10">
      <c r="A210" s="77"/>
      <c r="B210" s="136"/>
      <c r="C210" s="108" t="s">
        <v>2475</v>
      </c>
      <c r="D210" s="709"/>
      <c r="E210" s="114" t="s">
        <v>2658</v>
      </c>
      <c r="F210" s="122" t="s">
        <v>2585</v>
      </c>
      <c r="G210" s="579"/>
      <c r="H210" s="104">
        <f>SUM(H207:H209)</f>
        <v>1383</v>
      </c>
      <c r="I210" s="104">
        <f>SUM(I207:I209)</f>
        <v>0</v>
      </c>
      <c r="J210" s="104">
        <f>SUM(J207:J209)</f>
        <v>1383.22251416667</v>
      </c>
    </row>
    <row r="211" spans="1:10">
      <c r="A211" s="77"/>
      <c r="B211" s="98"/>
      <c r="C211" s="571"/>
      <c r="D211" s="709"/>
      <c r="F211" s="125"/>
      <c r="G211" s="579"/>
      <c r="H211" s="101"/>
      <c r="I211" s="101"/>
      <c r="J211" s="101"/>
    </row>
    <row r="212" spans="1:10">
      <c r="A212" s="77"/>
      <c r="B212" s="98" t="s">
        <v>1136</v>
      </c>
      <c r="C212" s="571"/>
      <c r="D212" s="709"/>
      <c r="F212" s="125"/>
      <c r="G212" s="579"/>
      <c r="H212" s="101"/>
      <c r="I212" s="101"/>
      <c r="J212" s="101"/>
    </row>
    <row r="213" spans="1:10">
      <c r="A213" s="77"/>
      <c r="B213" s="172" t="s">
        <v>1136</v>
      </c>
      <c r="C213" s="571" t="s">
        <v>69</v>
      </c>
      <c r="D213" s="709">
        <v>129215</v>
      </c>
      <c r="E213" s="114" t="s">
        <v>2480</v>
      </c>
      <c r="F213" s="122">
        <f>+VLOOKUP(+E213,Allocators!$A$7:$F$19,3)</f>
        <v>0.61780000000000002</v>
      </c>
      <c r="G213" s="579"/>
      <c r="H213" s="101">
        <f>ROUND($F213*J213,0)</f>
        <v>0</v>
      </c>
      <c r="I213" s="101">
        <f>+ROUND(J213-H213,0)</f>
        <v>0</v>
      </c>
      <c r="J213" s="101">
        <f>SUMIF('Balance Sheet Detail'!$C:$C,$D213,'Balance Sheet Detail'!X:X)</f>
        <v>0</v>
      </c>
    </row>
    <row r="214" spans="1:10">
      <c r="A214" s="77"/>
      <c r="B214" s="172" t="s">
        <v>1136</v>
      </c>
      <c r="C214" s="571" t="s">
        <v>4589</v>
      </c>
      <c r="D214" s="709">
        <v>228305</v>
      </c>
      <c r="E214" s="114" t="s">
        <v>2480</v>
      </c>
      <c r="F214" s="122">
        <f>+VLOOKUP(+E214,Allocators!$A$7:$F$19,3)</f>
        <v>0.61780000000000002</v>
      </c>
      <c r="G214" s="579"/>
      <c r="H214" s="101">
        <f>ROUND($F214*J214,0)</f>
        <v>-26615</v>
      </c>
      <c r="I214" s="101">
        <f>+ROUND(J214-H214,0)</f>
        <v>-16465</v>
      </c>
      <c r="J214" s="101">
        <f>SUMIF('Balance Sheet Detail'!$C:$C,$D214,'Balance Sheet Detail'!X:X)</f>
        <v>-43079.521817916699</v>
      </c>
    </row>
    <row r="215" spans="1:10">
      <c r="A215" s="77"/>
      <c r="B215" s="172" t="s">
        <v>1136</v>
      </c>
      <c r="C215" s="571" t="s">
        <v>2659</v>
      </c>
      <c r="D215" s="114" t="s">
        <v>3829</v>
      </c>
      <c r="E215" s="114" t="s">
        <v>2480</v>
      </c>
      <c r="F215" s="122">
        <f>+VLOOKUP(+E215,Allocators!$A$7:$F$19,3)</f>
        <v>0.61780000000000002</v>
      </c>
      <c r="G215" s="579"/>
      <c r="H215" s="101">
        <f>SUMIF('Balance Sheet Detail'!$AQ:$AQ,$D215,'Balance Sheet Detail'!U:U)</f>
        <v>61459.734023212899</v>
      </c>
      <c r="I215" s="101">
        <f>SUMIF('Balance Sheet Detail'!$AQ:$AQ,$D215,'Balance Sheet Detail'!V:V)</f>
        <v>38021.868474703799</v>
      </c>
      <c r="J215" s="101">
        <f>SUM(H215:I215)</f>
        <v>99481.602497916698</v>
      </c>
    </row>
    <row r="216" spans="1:10" ht="6" customHeight="1">
      <c r="A216" s="77"/>
      <c r="B216" s="98"/>
      <c r="C216" s="94"/>
      <c r="D216" s="114"/>
      <c r="F216" s="125"/>
      <c r="G216" s="579"/>
      <c r="H216" s="107">
        <v>0</v>
      </c>
      <c r="I216" s="107">
        <v>0</v>
      </c>
      <c r="J216" s="107">
        <v>0</v>
      </c>
    </row>
    <row r="217" spans="1:10">
      <c r="A217" s="77"/>
      <c r="B217" s="98"/>
      <c r="C217" s="94"/>
      <c r="D217" s="114"/>
      <c r="E217" s="114" t="s">
        <v>1673</v>
      </c>
      <c r="F217" s="174" t="s">
        <v>2585</v>
      </c>
      <c r="G217" s="579"/>
      <c r="H217" s="101">
        <f>SUM(H213:H216)</f>
        <v>34844.734023212899</v>
      </c>
      <c r="I217" s="101">
        <f>SUM(I213:I216)</f>
        <v>21556.868474703799</v>
      </c>
      <c r="J217" s="101">
        <f>SUM(J213:J216)</f>
        <v>56402.080679999999</v>
      </c>
    </row>
    <row r="218" spans="1:10">
      <c r="A218" s="77"/>
      <c r="B218" s="98"/>
      <c r="C218" s="94"/>
      <c r="D218" s="114"/>
      <c r="F218" s="125"/>
      <c r="G218" s="579"/>
      <c r="H218" s="101"/>
      <c r="I218" s="101"/>
      <c r="J218" s="101"/>
    </row>
    <row r="219" spans="1:10">
      <c r="A219" s="77"/>
      <c r="B219" s="136" t="s">
        <v>2608</v>
      </c>
      <c r="D219" s="114"/>
      <c r="F219" s="122"/>
      <c r="G219" s="579"/>
      <c r="H219" s="104"/>
      <c r="I219" s="104"/>
      <c r="J219" s="104"/>
    </row>
    <row r="220" spans="1:10">
      <c r="A220" s="77"/>
      <c r="B220" s="172" t="s">
        <v>1134</v>
      </c>
      <c r="C220" s="571" t="s">
        <v>428</v>
      </c>
      <c r="D220" s="709">
        <v>228420</v>
      </c>
      <c r="E220" s="114" t="s">
        <v>2479</v>
      </c>
      <c r="F220" s="122">
        <f>+VLOOKUP(+E220,Allocators!$A$7:$F$19,3)</f>
        <v>0.74150000000000005</v>
      </c>
      <c r="G220" s="579"/>
      <c r="H220" s="101">
        <f>ROUND($F220*J220,0)</f>
        <v>-79201</v>
      </c>
      <c r="I220" s="101">
        <f>+ROUND(J220-H220,0)</f>
        <v>-27611</v>
      </c>
      <c r="J220" s="101">
        <f>SUMIF('Balance Sheet Detail'!$C:$C,$D220,'Balance Sheet Detail'!X:X)</f>
        <v>-106812.044125</v>
      </c>
    </row>
    <row r="221" spans="1:10">
      <c r="A221" s="77"/>
      <c r="B221" s="172" t="s">
        <v>1134</v>
      </c>
      <c r="C221" s="571" t="s">
        <v>2659</v>
      </c>
      <c r="D221" s="114" t="s">
        <v>3830</v>
      </c>
      <c r="E221" s="114" t="s">
        <v>2479</v>
      </c>
      <c r="F221" s="122">
        <f>+VLOOKUP(+E221,Allocators!$A$7:$F$19,3)</f>
        <v>0.74150000000000005</v>
      </c>
      <c r="G221" s="579"/>
      <c r="H221" s="101">
        <f>SUMIF('Balance Sheet Detail'!$AQ:$AQ,$D221,'Balance Sheet Detail'!U:U)</f>
        <v>80286.020704419439</v>
      </c>
      <c r="I221" s="101">
        <f>SUMIF('Balance Sheet Detail'!$AQ:$AQ,$D221,'Balance Sheet Detail'!V:V)</f>
        <v>28172.7520605809</v>
      </c>
      <c r="J221" s="101">
        <f>SUM(H221:I221)</f>
        <v>108458.77276500034</v>
      </c>
    </row>
    <row r="222" spans="1:10" ht="4.5" customHeight="1">
      <c r="A222" s="77"/>
      <c r="B222" s="136"/>
      <c r="C222" s="108"/>
      <c r="D222" s="114"/>
      <c r="F222" s="122"/>
      <c r="G222" s="579"/>
      <c r="H222" s="173">
        <v>0</v>
      </c>
      <c r="I222" s="173">
        <v>0</v>
      </c>
      <c r="J222" s="173">
        <v>0</v>
      </c>
    </row>
    <row r="223" spans="1:10">
      <c r="A223" s="77"/>
      <c r="B223" s="136"/>
      <c r="C223" s="108"/>
      <c r="D223" s="114"/>
      <c r="E223" s="114" t="s">
        <v>1134</v>
      </c>
      <c r="F223" s="122" t="s">
        <v>2585</v>
      </c>
      <c r="G223" s="579"/>
      <c r="H223" s="104">
        <f>SUM(H220:H222)</f>
        <v>1085.0207044194394</v>
      </c>
      <c r="I223" s="104">
        <f>SUM(I220:I222)</f>
        <v>561.75206058090043</v>
      </c>
      <c r="J223" s="104">
        <f>SUM(J220:J222)</f>
        <v>1646.7286400003359</v>
      </c>
    </row>
    <row r="224" spans="1:10">
      <c r="A224" s="77"/>
      <c r="B224" s="136"/>
      <c r="C224" s="108"/>
      <c r="D224" s="114"/>
      <c r="F224" s="122"/>
      <c r="G224" s="579"/>
      <c r="H224" s="104"/>
      <c r="I224" s="104"/>
      <c r="J224" s="104"/>
    </row>
    <row r="225" spans="1:10">
      <c r="A225" s="77"/>
      <c r="B225" s="98" t="s">
        <v>1131</v>
      </c>
      <c r="C225" s="571"/>
      <c r="D225" s="114"/>
      <c r="F225" s="122"/>
      <c r="G225" s="579"/>
      <c r="H225" s="104"/>
      <c r="I225" s="104"/>
      <c r="J225" s="104"/>
    </row>
    <row r="226" spans="1:10">
      <c r="A226" s="77"/>
      <c r="B226" s="172"/>
      <c r="C226" s="571" t="s">
        <v>2659</v>
      </c>
      <c r="D226" s="114" t="s">
        <v>4536</v>
      </c>
      <c r="F226" s="122"/>
      <c r="G226" s="579"/>
      <c r="H226" s="101">
        <f>SUMIF('Balance Sheet Detail'!$AQ:$AQ,$D226,'Balance Sheet Detail'!U:U)</f>
        <v>141.32098208333301</v>
      </c>
      <c r="I226" s="101">
        <f>SUMIF('Balance Sheet Detail'!$AQ:$AQ,$D226,'Balance Sheet Detail'!V:V)</f>
        <v>-187.72641874999999</v>
      </c>
      <c r="J226" s="101">
        <f>SUM(H226:I226)</f>
        <v>-46.405436666666986</v>
      </c>
    </row>
    <row r="227" spans="1:10" ht="15">
      <c r="A227" s="77"/>
      <c r="B227" s="172"/>
      <c r="C227" s="571"/>
      <c r="D227" s="114"/>
      <c r="F227" s="122"/>
      <c r="G227" s="579"/>
      <c r="H227" s="107">
        <v>0</v>
      </c>
      <c r="I227" s="107">
        <v>0</v>
      </c>
      <c r="J227" s="107">
        <v>0</v>
      </c>
    </row>
    <row r="228" spans="1:10">
      <c r="A228" s="77"/>
      <c r="B228" s="136"/>
      <c r="C228" s="108"/>
      <c r="D228" s="114"/>
      <c r="F228" s="122"/>
      <c r="G228" s="579"/>
      <c r="H228" s="104">
        <f>SUM(H224:H226)</f>
        <v>141.32098208333301</v>
      </c>
      <c r="I228" s="104">
        <f>SUM(I224:I226)</f>
        <v>-187.72641874999999</v>
      </c>
      <c r="J228" s="104">
        <f>SUM(J224:J226)</f>
        <v>-46.405436666666986</v>
      </c>
    </row>
    <row r="229" spans="1:10" ht="15">
      <c r="A229" s="77"/>
      <c r="B229" s="98"/>
      <c r="C229" s="571"/>
      <c r="D229" s="114"/>
      <c r="F229" s="122"/>
      <c r="G229" s="579"/>
      <c r="H229" s="107"/>
      <c r="I229" s="107"/>
      <c r="J229" s="107"/>
    </row>
    <row r="230" spans="1:10" ht="15">
      <c r="A230" s="77"/>
      <c r="B230" s="98" t="s">
        <v>1325</v>
      </c>
      <c r="C230" s="571"/>
      <c r="D230" s="709"/>
      <c r="F230" s="122"/>
      <c r="G230" s="579"/>
      <c r="H230" s="107"/>
      <c r="I230" s="107"/>
      <c r="J230" s="107"/>
    </row>
    <row r="231" spans="1:10">
      <c r="A231" s="77"/>
      <c r="B231" s="172" t="s">
        <v>1325</v>
      </c>
      <c r="C231" s="571" t="s">
        <v>434</v>
      </c>
      <c r="D231" s="709">
        <v>228490</v>
      </c>
      <c r="E231" s="114" t="s">
        <v>2473</v>
      </c>
      <c r="F231" s="122">
        <f>+VLOOKUP(+E231,Allocators!$A$7:$F$19,3)</f>
        <v>1</v>
      </c>
      <c r="G231" s="579"/>
      <c r="H231" s="101">
        <f>ROUND($F231*J231,0)</f>
        <v>0</v>
      </c>
      <c r="I231" s="101">
        <f>+ROUND(J231-H231,0)</f>
        <v>0</v>
      </c>
      <c r="J231" s="101">
        <f>SUMIF('Balance Sheet Detail'!$C:$C,$D231,'Balance Sheet Detail'!X:X)</f>
        <v>0</v>
      </c>
    </row>
    <row r="232" spans="1:10">
      <c r="A232" s="77"/>
      <c r="B232" s="172" t="s">
        <v>1325</v>
      </c>
      <c r="C232" s="571" t="s">
        <v>2659</v>
      </c>
      <c r="D232" s="114" t="s">
        <v>3831</v>
      </c>
      <c r="E232" s="114" t="s">
        <v>2473</v>
      </c>
      <c r="F232" s="122">
        <f>+VLOOKUP(+E232,Allocators!$A$7:$F$19,3)</f>
        <v>1</v>
      </c>
      <c r="G232" s="579"/>
      <c r="H232" s="101">
        <f>SUMIF('Balance Sheet Detail'!$AQ:$AQ,$D232,'Balance Sheet Detail'!U:U)</f>
        <v>0</v>
      </c>
      <c r="I232" s="101">
        <f>SUMIF('Balance Sheet Detail'!$AQ:$AQ,$D232,'Balance Sheet Detail'!V:V)</f>
        <v>0</v>
      </c>
      <c r="J232" s="101">
        <f>SUM(H232:I232)</f>
        <v>0</v>
      </c>
    </row>
    <row r="233" spans="1:10">
      <c r="A233" s="77"/>
      <c r="B233" s="172"/>
      <c r="C233" s="571" t="s">
        <v>3832</v>
      </c>
      <c r="D233" s="114"/>
      <c r="F233" s="122"/>
      <c r="G233" s="579"/>
      <c r="H233" s="101">
        <v>-2282.09337</v>
      </c>
      <c r="I233" s="101">
        <v>0</v>
      </c>
      <c r="J233" s="101">
        <f>SUM(H233:I233)</f>
        <v>-2282.09337</v>
      </c>
    </row>
    <row r="234" spans="1:10" ht="3.75" customHeight="1">
      <c r="A234" s="77"/>
      <c r="B234" s="98"/>
      <c r="C234" s="571"/>
      <c r="D234" s="114"/>
      <c r="F234" s="122"/>
      <c r="G234" s="579"/>
      <c r="H234" s="102">
        <v>0</v>
      </c>
      <c r="I234" s="102">
        <v>0</v>
      </c>
      <c r="J234" s="102">
        <v>0</v>
      </c>
    </row>
    <row r="235" spans="1:10">
      <c r="A235" s="77"/>
      <c r="B235" s="98"/>
      <c r="D235" s="114"/>
      <c r="E235" s="114" t="s">
        <v>2660</v>
      </c>
      <c r="F235" s="122" t="s">
        <v>2585</v>
      </c>
      <c r="G235" s="579"/>
      <c r="H235" s="104">
        <f>SUM(H231:H234)</f>
        <v>-2282.09337</v>
      </c>
      <c r="I235" s="104">
        <f>SUM(I231:I234)</f>
        <v>0</v>
      </c>
      <c r="J235" s="104">
        <f>SUM(J231:J234)</f>
        <v>-2282.09337</v>
      </c>
    </row>
    <row r="236" spans="1:10">
      <c r="A236" s="77"/>
      <c r="B236" s="98"/>
      <c r="D236" s="114"/>
      <c r="F236" s="122"/>
      <c r="G236" s="579"/>
      <c r="H236" s="120"/>
      <c r="I236" s="120"/>
      <c r="J236" s="120"/>
    </row>
    <row r="237" spans="1:10">
      <c r="A237" s="77"/>
      <c r="B237" s="136" t="s">
        <v>4570</v>
      </c>
      <c r="C237" s="108"/>
      <c r="D237" s="114"/>
      <c r="F237" s="122"/>
      <c r="G237" s="579"/>
      <c r="H237" s="104"/>
      <c r="I237" s="104"/>
      <c r="J237" s="104"/>
    </row>
    <row r="238" spans="1:10">
      <c r="A238" s="77"/>
      <c r="B238" s="136"/>
      <c r="C238" s="108" t="s">
        <v>4544</v>
      </c>
      <c r="D238" s="709">
        <v>257000</v>
      </c>
      <c r="E238" s="114" t="s">
        <v>2479</v>
      </c>
      <c r="F238" s="122">
        <f>+VLOOKUP(+E238,Allocators!$A$7:$F$19,3)</f>
        <v>0.74150000000000005</v>
      </c>
      <c r="G238" s="579"/>
      <c r="H238" s="101">
        <f>ROUND($F238*J238,0)</f>
        <v>-40</v>
      </c>
      <c r="I238" s="101">
        <f>+ROUND(J238-H238,0)</f>
        <v>-14</v>
      </c>
      <c r="J238" s="101">
        <f>SUMIF('Balance Sheet Detail'!$C:$C,$D238,'Balance Sheet Detail'!X:X)</f>
        <v>-53.9868016666667</v>
      </c>
    </row>
    <row r="239" spans="1:10" ht="15">
      <c r="A239" s="77"/>
      <c r="B239" s="172" t="str">
        <f>+B237</f>
        <v>Gain/Loss on Reaquired Debt</v>
      </c>
      <c r="C239" s="571" t="s">
        <v>320</v>
      </c>
      <c r="D239" s="709">
        <v>189010</v>
      </c>
      <c r="E239" s="114" t="s">
        <v>2479</v>
      </c>
      <c r="F239" s="122">
        <f>+VLOOKUP(+E239,Allocators!$A$7:$F$19,3)</f>
        <v>0.74150000000000005</v>
      </c>
      <c r="G239" s="579"/>
      <c r="H239" s="107">
        <f>ROUND($F239*J239,0)</f>
        <v>5172</v>
      </c>
      <c r="I239" s="107">
        <f>+ROUND(J239-H239,0)</f>
        <v>1803</v>
      </c>
      <c r="J239" s="107">
        <f>SUMIF('Balance Sheet Detail'!$C:$C,$D239,'Balance Sheet Detail'!X:X)</f>
        <v>6974.90216458333</v>
      </c>
    </row>
    <row r="240" spans="1:10" ht="15">
      <c r="A240" s="77"/>
      <c r="B240" s="172"/>
      <c r="C240" s="571"/>
      <c r="D240" s="709"/>
      <c r="F240" s="122"/>
      <c r="G240" s="579"/>
      <c r="H240" s="107"/>
      <c r="I240" s="107"/>
      <c r="J240" s="107"/>
    </row>
    <row r="241" spans="1:10" ht="15">
      <c r="A241" s="77"/>
      <c r="B241" s="136" t="s">
        <v>2662</v>
      </c>
      <c r="C241" s="571"/>
      <c r="D241" s="114"/>
      <c r="F241" s="122"/>
      <c r="G241" s="579"/>
      <c r="H241" s="107"/>
      <c r="I241" s="107"/>
      <c r="J241" s="107"/>
    </row>
    <row r="242" spans="1:10">
      <c r="A242" s="77"/>
      <c r="B242" s="172" t="str">
        <f>+B241</f>
        <v>Net (Gains) &amp; Losses on Interest Rate Hedges</v>
      </c>
      <c r="C242" s="571" t="s">
        <v>389</v>
      </c>
      <c r="D242" s="709">
        <v>219533</v>
      </c>
      <c r="E242" s="114" t="s">
        <v>2479</v>
      </c>
      <c r="F242" s="122">
        <f>+VLOOKUP(+E242,Allocators!$A$7:$F$19,3)</f>
        <v>0.74150000000000005</v>
      </c>
      <c r="G242" s="579"/>
      <c r="H242" s="101">
        <f>ROUND($F242*J242,0)</f>
        <v>63601</v>
      </c>
      <c r="I242" s="101">
        <f>+ROUND(J242-H242,0)</f>
        <v>22173</v>
      </c>
      <c r="J242" s="101">
        <f>SUMIF('Balance Sheet Detail'!$C:$C,$D242,'Balance Sheet Detail'!X:X)</f>
        <v>85773.762319999994</v>
      </c>
    </row>
    <row r="243" spans="1:10">
      <c r="A243" s="77"/>
      <c r="B243" s="172" t="str">
        <f>+B242</f>
        <v>Net (Gains) &amp; Losses on Interest Rate Hedges</v>
      </c>
      <c r="C243" s="571" t="s">
        <v>391</v>
      </c>
      <c r="D243" s="709">
        <v>219537</v>
      </c>
      <c r="E243" s="114" t="s">
        <v>2479</v>
      </c>
      <c r="F243" s="122">
        <f>+VLOOKUP(+E243,Allocators!$A$7:$F$19,3)</f>
        <v>0.74150000000000005</v>
      </c>
      <c r="G243" s="579"/>
      <c r="H243" s="101">
        <f>ROUND($F243*J243,0)</f>
        <v>-2317</v>
      </c>
      <c r="I243" s="101">
        <f>+ROUND(J243-H243,0)</f>
        <v>-807</v>
      </c>
      <c r="J243" s="101">
        <f>SUMIF('Balance Sheet Detail'!$C:$C,$D243,'Balance Sheet Detail'!X:X)</f>
        <v>-3124.1382899999999</v>
      </c>
    </row>
    <row r="244" spans="1:10">
      <c r="A244" s="77"/>
      <c r="B244" s="172" t="str">
        <f>+B243</f>
        <v>Net (Gains) &amp; Losses on Interest Rate Hedges</v>
      </c>
      <c r="C244" s="571" t="s">
        <v>2663</v>
      </c>
      <c r="D244" s="114"/>
      <c r="E244" s="114" t="s">
        <v>2479</v>
      </c>
      <c r="F244" s="122">
        <f>+VLOOKUP(+E244,Allocators!$A$7:$F$19,3)</f>
        <v>0.74150000000000005</v>
      </c>
      <c r="G244" s="579"/>
      <c r="H244" s="101">
        <f>J244*$F244</f>
        <v>-12284.552205088448</v>
      </c>
      <c r="I244" s="101">
        <f>J244-H244</f>
        <v>-4282.6119285439836</v>
      </c>
      <c r="J244" s="163">
        <f>-'Items Not in Rate Base'!H1102</f>
        <v>-16567.164133632432</v>
      </c>
    </row>
    <row r="245" spans="1:10" ht="16.5" customHeight="1">
      <c r="A245" s="77"/>
      <c r="B245" s="136"/>
      <c r="C245" s="108"/>
      <c r="D245" s="114"/>
      <c r="F245" s="122"/>
      <c r="G245" s="579"/>
      <c r="H245" s="173">
        <v>0</v>
      </c>
      <c r="I245" s="173">
        <v>0</v>
      </c>
      <c r="J245" s="173">
        <v>0</v>
      </c>
    </row>
    <row r="246" spans="1:10">
      <c r="A246" s="77"/>
      <c r="B246" s="172"/>
      <c r="C246" s="175"/>
      <c r="D246" s="114"/>
      <c r="E246" s="77"/>
      <c r="F246" s="122" t="s">
        <v>2585</v>
      </c>
      <c r="G246" s="579"/>
      <c r="H246" s="104">
        <f>SUM(H242:H245)</f>
        <v>48999.447794911554</v>
      </c>
      <c r="I246" s="104">
        <f>SUM(I242:I245)</f>
        <v>17083.388071456015</v>
      </c>
      <c r="J246" s="104">
        <f>SUM(J242:J245)</f>
        <v>66082.459896367567</v>
      </c>
    </row>
    <row r="247" spans="1:10">
      <c r="A247" s="77"/>
      <c r="C247" s="579"/>
      <c r="D247" s="114"/>
      <c r="E247" s="77"/>
      <c r="F247" s="122"/>
      <c r="G247" s="579"/>
      <c r="H247" s="104"/>
      <c r="I247" s="104"/>
      <c r="J247" s="104"/>
    </row>
    <row r="248" spans="1:10">
      <c r="A248" s="77"/>
      <c r="B248" s="136" t="s">
        <v>2621</v>
      </c>
      <c r="C248" s="579"/>
      <c r="D248" s="114"/>
      <c r="E248" s="77"/>
      <c r="F248" s="122"/>
      <c r="G248" s="579"/>
      <c r="H248" s="104"/>
      <c r="I248" s="104"/>
      <c r="J248" s="104"/>
    </row>
    <row r="249" spans="1:10">
      <c r="A249" s="77"/>
      <c r="B249" s="172" t="str">
        <f>+B248</f>
        <v>Commodity Hedge Margin Account - to Commodity</v>
      </c>
      <c r="C249" s="571" t="s">
        <v>207</v>
      </c>
      <c r="D249" s="709">
        <v>174175</v>
      </c>
      <c r="E249" s="77"/>
      <c r="F249" s="122"/>
      <c r="G249" s="579"/>
      <c r="H249" s="100">
        <f>(+H253-H251)*($J249/SUM($J$249:$J$250))</f>
        <v>0</v>
      </c>
      <c r="I249" s="100">
        <f>(+I253-I251)*($J249/SUM($J$249:$J$250))</f>
        <v>0</v>
      </c>
      <c r="J249" s="101">
        <f>SUMIF('Balance Sheet Detail'!$C:$C,$D249,'Balance Sheet Detail'!X:X)</f>
        <v>0</v>
      </c>
    </row>
    <row r="250" spans="1:10">
      <c r="A250" s="77"/>
      <c r="B250" s="172" t="str">
        <f>+B249</f>
        <v>Commodity Hedge Margin Account - to Commodity</v>
      </c>
      <c r="C250" s="571" t="s">
        <v>208</v>
      </c>
      <c r="D250" s="709">
        <v>174176</v>
      </c>
      <c r="E250" s="77"/>
      <c r="F250" s="122"/>
      <c r="G250" s="579"/>
      <c r="H250" s="101">
        <f>(+H253-H251)*($J250/SUM($J$249:$J$250))</f>
        <v>4249.7311129166665</v>
      </c>
      <c r="I250" s="101">
        <f>(+I253-I251)*($J250/SUM($J$249:$J$250))</f>
        <v>-310.51760916666672</v>
      </c>
      <c r="J250" s="101">
        <f>SUMIF('Balance Sheet Detail'!$C:$C,$D250,'Balance Sheet Detail'!X:X)</f>
        <v>3939.2135037500002</v>
      </c>
    </row>
    <row r="251" spans="1:10">
      <c r="A251" s="77"/>
      <c r="B251" s="172" t="str">
        <f>+B250</f>
        <v>Commodity Hedge Margin Account - to Commodity</v>
      </c>
      <c r="C251" s="571" t="s">
        <v>2664</v>
      </c>
      <c r="D251" s="445"/>
      <c r="E251" s="77"/>
      <c r="F251" s="122"/>
      <c r="G251" s="579"/>
      <c r="H251" s="101">
        <f>+J251</f>
        <v>-524.91798333333463</v>
      </c>
      <c r="I251" s="101">
        <v>0</v>
      </c>
      <c r="J251" s="101">
        <f>+J253-SUM(J249:J250)</f>
        <v>-524.91798333333463</v>
      </c>
    </row>
    <row r="252" spans="1:10" ht="17.25" customHeight="1">
      <c r="A252" s="77"/>
      <c r="B252" s="136"/>
      <c r="C252" s="108"/>
      <c r="D252" s="445"/>
      <c r="F252" s="122"/>
      <c r="G252" s="579"/>
      <c r="H252" s="173">
        <v>0</v>
      </c>
      <c r="I252" s="173">
        <v>0</v>
      </c>
      <c r="J252" s="173">
        <v>0</v>
      </c>
    </row>
    <row r="253" spans="1:10">
      <c r="A253" s="77"/>
      <c r="B253" s="172"/>
      <c r="C253" s="579"/>
      <c r="D253" s="445"/>
      <c r="E253" s="77"/>
      <c r="F253" s="122" t="s">
        <v>2585</v>
      </c>
      <c r="G253" s="579"/>
      <c r="H253" s="163">
        <f>+'Hedge Margin'!Q14/1000</f>
        <v>3724.8131295833323</v>
      </c>
      <c r="I253" s="163">
        <f>+'Hedge Margin'!Q22/1000</f>
        <v>-310.51760916666672</v>
      </c>
      <c r="J253" s="151">
        <f>SUM(H253:I253)</f>
        <v>3414.2955204166656</v>
      </c>
    </row>
    <row r="254" spans="1:10">
      <c r="A254" s="77"/>
      <c r="B254" s="98"/>
      <c r="D254" s="445"/>
      <c r="E254" s="120"/>
      <c r="F254" s="120"/>
      <c r="G254" s="579"/>
      <c r="H254" s="120"/>
      <c r="I254" s="120"/>
      <c r="J254" s="120"/>
    </row>
    <row r="255" spans="1:10">
      <c r="A255" s="77"/>
      <c r="B255" s="98" t="s">
        <v>2605</v>
      </c>
      <c r="D255" s="114"/>
      <c r="F255" s="122"/>
      <c r="G255" s="579"/>
      <c r="H255" s="101"/>
      <c r="I255" s="101"/>
      <c r="J255" s="101"/>
    </row>
    <row r="256" spans="1:10" ht="15">
      <c r="A256" s="77"/>
      <c r="B256" s="176" t="s">
        <v>820</v>
      </c>
      <c r="C256" s="571" t="s">
        <v>2659</v>
      </c>
      <c r="D256" s="114" t="s">
        <v>3833</v>
      </c>
      <c r="F256" s="122"/>
      <c r="G256" s="579"/>
      <c r="H256" s="107">
        <f>SUMIF('Balance Sheet Detail'!$AQ:$AQ,$D256,'Balance Sheet Detail'!U:U)</f>
        <v>104.59296999999999</v>
      </c>
      <c r="I256" s="107">
        <f>SUMIF('Balance Sheet Detail'!$AQ:$AQ,$D256,'Balance Sheet Detail'!V:V)</f>
        <v>113.52670999999999</v>
      </c>
      <c r="J256" s="107">
        <f>SUM(H256:I256)</f>
        <v>218.11967999999999</v>
      </c>
    </row>
    <row r="257" spans="1:10">
      <c r="A257" s="77"/>
      <c r="B257" s="98"/>
      <c r="D257" s="114"/>
      <c r="E257" s="120"/>
      <c r="F257" s="120"/>
      <c r="G257" s="579"/>
      <c r="H257" s="120"/>
      <c r="I257" s="120"/>
      <c r="J257" s="120"/>
    </row>
    <row r="258" spans="1:10">
      <c r="A258" s="77"/>
      <c r="B258" s="98" t="s">
        <v>2606</v>
      </c>
      <c r="C258" s="108"/>
      <c r="D258" s="114"/>
      <c r="F258" s="122"/>
      <c r="G258" s="579"/>
      <c r="H258" s="104"/>
      <c r="I258" s="104"/>
      <c r="J258" s="104"/>
    </row>
    <row r="259" spans="1:10" ht="15">
      <c r="A259" s="77"/>
      <c r="B259" s="176" t="s">
        <v>1128</v>
      </c>
      <c r="C259" s="571" t="s">
        <v>2659</v>
      </c>
      <c r="D259" s="114" t="s">
        <v>3834</v>
      </c>
      <c r="F259" s="122"/>
      <c r="G259" s="579"/>
      <c r="H259" s="107">
        <f>SUMIF('Balance Sheet Detail'!$AQ:$AQ,$D259,'Balance Sheet Detail'!U:U)</f>
        <v>0</v>
      </c>
      <c r="I259" s="107">
        <f>SUMIF('Balance Sheet Detail'!$AQ:$AQ,$D259,'Balance Sheet Detail'!V:V)</f>
        <v>0</v>
      </c>
      <c r="J259" s="107">
        <f>SUM(H259:I259)</f>
        <v>0</v>
      </c>
    </row>
    <row r="260" spans="1:10">
      <c r="A260" s="77"/>
      <c r="B260" s="98"/>
      <c r="D260" s="114"/>
      <c r="E260" s="120"/>
      <c r="F260" s="120"/>
      <c r="G260" s="579"/>
      <c r="H260" s="120"/>
      <c r="I260" s="120"/>
      <c r="J260" s="120"/>
    </row>
    <row r="261" spans="1:10">
      <c r="A261" s="77"/>
      <c r="B261" s="136" t="str">
        <f>+C262</f>
        <v>OTH NON-CUR LIAB - ACCUM PROV FOR INJUR &amp; DAM</v>
      </c>
      <c r="C261" s="108"/>
      <c r="D261" s="114"/>
      <c r="F261" s="122"/>
      <c r="G261" s="579"/>
      <c r="H261" s="104"/>
      <c r="I261" s="104"/>
      <c r="J261" s="104"/>
    </row>
    <row r="262" spans="1:10" ht="15">
      <c r="A262" s="77"/>
      <c r="B262" s="172" t="s">
        <v>424</v>
      </c>
      <c r="C262" s="571" t="s">
        <v>424</v>
      </c>
      <c r="D262" s="709">
        <v>228200</v>
      </c>
      <c r="E262" s="114" t="s">
        <v>2473</v>
      </c>
      <c r="F262" s="122">
        <f>+VLOOKUP(+E262,Allocators!$A$7:$F$19,3)</f>
        <v>1</v>
      </c>
      <c r="G262" s="579"/>
      <c r="H262" s="107">
        <f>ROUND($F262*J262,15)</f>
        <v>-2712.5</v>
      </c>
      <c r="I262" s="107">
        <f>+ROUND(J262-H262,0)</f>
        <v>0</v>
      </c>
      <c r="J262" s="107">
        <f>SUMIF('Balance Sheet Detail'!$C:$C,$D262,'Balance Sheet Detail'!X:X)</f>
        <v>-2712.5</v>
      </c>
    </row>
    <row r="263" spans="1:10">
      <c r="A263" s="77"/>
      <c r="B263" s="98"/>
      <c r="C263" s="108"/>
      <c r="D263" s="445"/>
      <c r="F263" s="122"/>
      <c r="G263" s="579"/>
    </row>
    <row r="264" spans="1:10">
      <c r="A264" s="77"/>
      <c r="B264" s="136" t="str">
        <f>+C265</f>
        <v>OTH NON-CUR LIAB - WORKERS COMP RESERVE</v>
      </c>
      <c r="C264" s="108"/>
      <c r="D264" s="445"/>
      <c r="F264" s="122"/>
      <c r="G264" s="579"/>
      <c r="H264" s="104"/>
      <c r="I264" s="104"/>
      <c r="J264" s="104"/>
    </row>
    <row r="265" spans="1:10">
      <c r="A265" s="77"/>
      <c r="B265" s="172" t="s">
        <v>425</v>
      </c>
      <c r="C265" s="571" t="s">
        <v>425</v>
      </c>
      <c r="D265" s="709">
        <v>228300</v>
      </c>
      <c r="E265" s="114" t="s">
        <v>2480</v>
      </c>
      <c r="F265" s="122">
        <f>+VLOOKUP(+E265,Allocators!$A$7:$F$19,3)</f>
        <v>0.61780000000000002</v>
      </c>
      <c r="G265" s="579"/>
      <c r="H265" s="101">
        <f>ROUND($F265*J265,15)</f>
        <v>-2123.6875</v>
      </c>
      <c r="I265" s="101">
        <f>+ROUND(J265-H265,0)</f>
        <v>-1314</v>
      </c>
      <c r="J265" s="101">
        <f>SUMIF('Balance Sheet Detail'!$C:$C,$D265,'Balance Sheet Detail'!X:X)</f>
        <v>-3437.5</v>
      </c>
    </row>
    <row r="266" spans="1:10" ht="15">
      <c r="A266" s="77"/>
      <c r="B266" s="172" t="s">
        <v>425</v>
      </c>
      <c r="C266" s="571" t="s">
        <v>65</v>
      </c>
      <c r="D266" s="709">
        <v>128000</v>
      </c>
      <c r="E266" s="114" t="s">
        <v>2480</v>
      </c>
      <c r="F266" s="122">
        <f>+VLOOKUP(+E266,Allocators!$A$7:$F$19,3)</f>
        <v>0.61780000000000002</v>
      </c>
      <c r="G266" s="579"/>
      <c r="H266" s="107">
        <f>ROUND($F266*J266,15)</f>
        <v>88.049602508333095</v>
      </c>
      <c r="I266" s="107">
        <f>+ROUND(J266-H266,0)</f>
        <v>54</v>
      </c>
      <c r="J266" s="107">
        <f>SUMIF('Balance Sheet Detail'!$C:$C,$D266,'Balance Sheet Detail'!X:X)</f>
        <v>142.52120833333299</v>
      </c>
    </row>
    <row r="267" spans="1:10">
      <c r="A267" s="77"/>
      <c r="B267" s="98"/>
      <c r="C267" s="108"/>
      <c r="D267" s="445"/>
      <c r="F267" s="122"/>
      <c r="G267" s="579"/>
      <c r="H267" s="123"/>
      <c r="I267" s="123"/>
      <c r="J267" s="123"/>
    </row>
    <row r="268" spans="1:10">
      <c r="A268" s="77"/>
      <c r="B268" s="136" t="s">
        <v>1135</v>
      </c>
      <c r="C268" s="108"/>
      <c r="D268" s="445"/>
      <c r="F268" s="122"/>
      <c r="G268" s="579"/>
      <c r="H268" s="104"/>
      <c r="I268" s="104"/>
      <c r="J268" s="104"/>
    </row>
    <row r="269" spans="1:10">
      <c r="A269" s="77"/>
      <c r="B269" s="172" t="s">
        <v>1135</v>
      </c>
      <c r="C269" s="571" t="s">
        <v>426</v>
      </c>
      <c r="D269" s="709">
        <v>228310</v>
      </c>
      <c r="E269" s="114" t="s">
        <v>2480</v>
      </c>
      <c r="F269" s="122">
        <f>+VLOOKUP(+E269,Allocators!$A$7:$F$19,3)</f>
        <v>0.61780000000000002</v>
      </c>
      <c r="G269" s="579"/>
      <c r="H269" s="101">
        <f>ROUND($F269*J269,15)</f>
        <v>-43824.312713733998</v>
      </c>
      <c r="I269" s="101">
        <f>+ROUND(J269-H269,0)</f>
        <v>-27112</v>
      </c>
      <c r="J269" s="101">
        <f>SUMIF('Balance Sheet Detail'!$C:$C,$D269,'Balance Sheet Detail'!X:X)</f>
        <v>-70936.084029999998</v>
      </c>
    </row>
    <row r="270" spans="1:10">
      <c r="A270" s="77"/>
      <c r="B270" s="172" t="s">
        <v>1135</v>
      </c>
      <c r="C270" s="571" t="s">
        <v>4590</v>
      </c>
      <c r="D270" s="709">
        <v>242245</v>
      </c>
      <c r="E270" s="114" t="s">
        <v>2480</v>
      </c>
      <c r="F270" s="122">
        <f>+VLOOKUP(+E270,Allocators!$A$7:$F$19,3)</f>
        <v>0.61780000000000002</v>
      </c>
      <c r="G270" s="579"/>
      <c r="H270" s="101">
        <f>ROUND($F270*J270,15)</f>
        <v>-3856.0007850749998</v>
      </c>
      <c r="I270" s="101">
        <f>+ROUND(J270-H270,0)</f>
        <v>-2386</v>
      </c>
      <c r="J270" s="101">
        <f>SUMIF('Balance Sheet Detail'!$C:$C,$D270,'Balance Sheet Detail'!X:X)</f>
        <v>-6241.5033750000002</v>
      </c>
    </row>
    <row r="271" spans="1:10">
      <c r="A271" s="77"/>
      <c r="B271" s="172" t="s">
        <v>1135</v>
      </c>
      <c r="C271" s="571" t="s">
        <v>2659</v>
      </c>
      <c r="D271" s="114" t="s">
        <v>3835</v>
      </c>
      <c r="E271" s="114" t="s">
        <v>2480</v>
      </c>
      <c r="F271" s="122">
        <f>+VLOOKUP(+E271,Allocators!$A$7:$F$19,3)</f>
        <v>0.61780000000000002</v>
      </c>
      <c r="G271" s="579"/>
      <c r="H271" s="101">
        <f>SUMIF('Balance Sheet Detail'!$AQ:$AQ,$D271,'Balance Sheet Detail'!U:U)</f>
        <v>-2384.31281599267</v>
      </c>
      <c r="I271" s="101">
        <f>SUMIF('Balance Sheet Detail'!$AQ:$AQ,$D271,'Balance Sheet Detail'!V:V)</f>
        <v>-1475.047520674</v>
      </c>
      <c r="J271" s="101">
        <f>SUM(H271:I271)</f>
        <v>-3859.3603366666703</v>
      </c>
    </row>
    <row r="272" spans="1:10" ht="6" customHeight="1">
      <c r="A272" s="77"/>
      <c r="B272" s="98"/>
      <c r="C272" s="571"/>
      <c r="D272" s="114"/>
      <c r="F272" s="122"/>
      <c r="G272" s="579"/>
      <c r="H272" s="107">
        <v>0</v>
      </c>
      <c r="I272" s="107">
        <v>0</v>
      </c>
      <c r="J272" s="107">
        <v>0</v>
      </c>
    </row>
    <row r="273" spans="1:13">
      <c r="A273" s="77"/>
      <c r="B273" s="98"/>
      <c r="C273" s="108"/>
      <c r="D273" s="114"/>
      <c r="E273" s="114" t="s">
        <v>927</v>
      </c>
      <c r="F273" s="174" t="s">
        <v>2585</v>
      </c>
      <c r="G273" s="579"/>
      <c r="H273" s="104">
        <f>SUM(H269:H272)</f>
        <v>-50064.626314801666</v>
      </c>
      <c r="I273" s="104">
        <f>SUM(I269:I272)</f>
        <v>-30973.047520674001</v>
      </c>
      <c r="J273" s="104">
        <f>SUM(J269:J272)</f>
        <v>-81036.947741666663</v>
      </c>
    </row>
    <row r="274" spans="1:13">
      <c r="A274" s="77"/>
      <c r="B274" s="98" t="s">
        <v>2610</v>
      </c>
      <c r="C274" s="108"/>
      <c r="D274" s="114"/>
      <c r="F274" s="174"/>
      <c r="G274" s="579"/>
      <c r="H274" s="104"/>
      <c r="I274" s="104"/>
      <c r="J274" s="104"/>
    </row>
    <row r="275" spans="1:13" ht="15">
      <c r="A275" s="77"/>
      <c r="B275" s="172" t="s">
        <v>1586</v>
      </c>
      <c r="C275" s="571" t="s">
        <v>2659</v>
      </c>
      <c r="D275" s="114" t="s">
        <v>3836</v>
      </c>
      <c r="E275" s="114" t="s">
        <v>2480</v>
      </c>
      <c r="F275" s="122">
        <f>+VLOOKUP(+E275,Allocators!$A$7:$F$19,3)</f>
        <v>0.61780000000000002</v>
      </c>
      <c r="G275" s="579"/>
      <c r="H275" s="107">
        <f>SUMIF('Balance Sheet Detail'!$AQ:$AQ,$D275,'Balance Sheet Detail'!U:U)</f>
        <v>-1530.2184033771691</v>
      </c>
      <c r="I275" s="107">
        <f>SUMIF('Balance Sheet Detail'!$AQ:$AQ,$D275,'Balance Sheet Detail'!V:V)</f>
        <v>-946.66473578950104</v>
      </c>
      <c r="J275" s="107">
        <f>SUM(H275:I275)</f>
        <v>-2476.8831391666699</v>
      </c>
    </row>
    <row r="276" spans="1:13">
      <c r="A276" s="77"/>
      <c r="B276" s="172"/>
      <c r="C276" s="571"/>
      <c r="D276" s="114"/>
      <c r="F276" s="122"/>
      <c r="G276" s="579"/>
      <c r="H276" s="101"/>
      <c r="I276" s="101"/>
      <c r="J276" s="101"/>
    </row>
    <row r="277" spans="1:13">
      <c r="A277" s="77"/>
      <c r="B277" s="98" t="s">
        <v>1199</v>
      </c>
      <c r="C277" s="571"/>
      <c r="D277" s="114"/>
      <c r="F277" s="122"/>
      <c r="G277" s="579"/>
      <c r="H277" s="101"/>
      <c r="I277" s="101"/>
      <c r="J277" s="101"/>
    </row>
    <row r="278" spans="1:13" ht="15">
      <c r="A278" s="77"/>
      <c r="B278" s="172" t="s">
        <v>1199</v>
      </c>
      <c r="C278" s="571" t="s">
        <v>2659</v>
      </c>
      <c r="D278" s="114" t="s">
        <v>3837</v>
      </c>
      <c r="E278" s="114" t="s">
        <v>2473</v>
      </c>
      <c r="F278" s="122">
        <f>+VLOOKUP(+E278,Allocators!$A$7:$F$19,3)</f>
        <v>1</v>
      </c>
      <c r="G278" s="579"/>
      <c r="H278" s="107">
        <f>SUMIF('Balance Sheet Detail'!$AQ:$AQ,$D278,'Balance Sheet Detail'!U:U)</f>
        <v>5E-15</v>
      </c>
      <c r="I278" s="107">
        <f>SUMIF('Balance Sheet Detail'!$AQ:$AQ,$D278,'Balance Sheet Detail'!V:V)</f>
        <v>2.0000000000000002E-15</v>
      </c>
      <c r="J278" s="107">
        <f>SUM(H278:I278)</f>
        <v>7.0000000000000001E-15</v>
      </c>
    </row>
    <row r="279" spans="1:13">
      <c r="A279" s="77"/>
      <c r="B279" s="98"/>
      <c r="C279" s="108"/>
      <c r="D279" s="114"/>
      <c r="F279" s="174"/>
      <c r="G279" s="579"/>
      <c r="H279" s="104"/>
      <c r="I279" s="104"/>
      <c r="J279" s="104"/>
    </row>
    <row r="280" spans="1:13" ht="15">
      <c r="A280" s="77"/>
      <c r="B280" s="98" t="s">
        <v>2665</v>
      </c>
      <c r="C280" s="571"/>
      <c r="D280" s="114"/>
      <c r="F280" s="122"/>
      <c r="G280" s="579"/>
      <c r="H280" s="107"/>
      <c r="I280" s="107"/>
      <c r="J280" s="107"/>
    </row>
    <row r="281" spans="1:13">
      <c r="A281" s="77"/>
      <c r="B281" s="172" t="s">
        <v>2622</v>
      </c>
      <c r="C281" s="571" t="s">
        <v>204</v>
      </c>
      <c r="D281" s="709">
        <v>174110</v>
      </c>
      <c r="E281" s="114" t="s">
        <v>2473</v>
      </c>
      <c r="F281" s="122">
        <f>+VLOOKUP(+E281,Allocators!$A$7:$F$19,3)</f>
        <v>1</v>
      </c>
      <c r="G281" s="579"/>
      <c r="H281" s="101">
        <f>ROUND($F281*J281,15)</f>
        <v>0</v>
      </c>
      <c r="I281" s="101">
        <f>+ROUND(J281-H281,0)</f>
        <v>0</v>
      </c>
      <c r="J281" s="101">
        <f>SUMIF('Balance Sheet Detail'!$C:$C,$D281,'Balance Sheet Detail'!X:X)</f>
        <v>0</v>
      </c>
    </row>
    <row r="282" spans="1:13">
      <c r="A282" s="77"/>
      <c r="B282" s="172" t="s">
        <v>1141</v>
      </c>
      <c r="C282" s="571" t="s">
        <v>2659</v>
      </c>
      <c r="D282" s="114" t="s">
        <v>3838</v>
      </c>
      <c r="E282" s="114" t="s">
        <v>2473</v>
      </c>
      <c r="F282" s="122">
        <f>+VLOOKUP(+E282,Allocators!$A$7:$F$19,3)</f>
        <v>1</v>
      </c>
      <c r="G282" s="579"/>
      <c r="H282" s="101">
        <f>SUMIF('Balance Sheet Detail'!$AQ:$AQ,$D282,'Balance Sheet Detail'!U:U)</f>
        <v>-4721.5901029166334</v>
      </c>
      <c r="I282" s="101">
        <f>SUMIF('Balance Sheet Detail'!$AQ:$AQ,$D282,'Balance Sheet Detail'!V:V)</f>
        <v>0</v>
      </c>
      <c r="J282" s="101">
        <f>SUM(H282:I282)</f>
        <v>-4721.5901029166334</v>
      </c>
    </row>
    <row r="283" spans="1:13" ht="3.75" customHeight="1">
      <c r="A283" s="77"/>
      <c r="B283" s="136"/>
      <c r="C283" s="108"/>
      <c r="D283" s="114"/>
      <c r="F283" s="122"/>
      <c r="G283" s="579"/>
      <c r="H283" s="173">
        <v>0</v>
      </c>
      <c r="I283" s="173">
        <v>0</v>
      </c>
      <c r="J283" s="173">
        <v>0</v>
      </c>
      <c r="K283" s="173"/>
      <c r="L283" s="173"/>
      <c r="M283" s="173"/>
    </row>
    <row r="284" spans="1:13">
      <c r="A284" s="77"/>
      <c r="B284" s="98"/>
      <c r="C284" s="571"/>
      <c r="D284" s="114"/>
      <c r="E284" s="114" t="s">
        <v>2666</v>
      </c>
      <c r="F284" s="122" t="s">
        <v>2585</v>
      </c>
      <c r="G284" s="579"/>
      <c r="H284" s="101">
        <f>SUM(H281:H283)</f>
        <v>-4721.5901029166334</v>
      </c>
      <c r="I284" s="101">
        <f>SUM(I281:I283)</f>
        <v>0</v>
      </c>
      <c r="J284" s="101">
        <f>SUM(J281:J283)</f>
        <v>-4721.5901029166334</v>
      </c>
      <c r="K284" s="101"/>
      <c r="L284" s="101"/>
      <c r="M284" s="101"/>
    </row>
    <row r="285" spans="1:13">
      <c r="A285" s="77"/>
      <c r="B285" s="98"/>
      <c r="C285" s="571"/>
      <c r="D285" s="114"/>
      <c r="F285" s="122"/>
      <c r="G285" s="579"/>
      <c r="H285" s="101"/>
      <c r="I285" s="101"/>
      <c r="J285" s="101"/>
    </row>
    <row r="286" spans="1:13">
      <c r="A286" s="77"/>
      <c r="B286" s="98" t="s">
        <v>2603</v>
      </c>
      <c r="C286" s="571"/>
      <c r="D286" s="114"/>
      <c r="F286" s="122"/>
      <c r="G286" s="579"/>
      <c r="H286" s="101"/>
      <c r="I286" s="101"/>
      <c r="J286" s="101"/>
    </row>
    <row r="287" spans="1:13" ht="15">
      <c r="A287" s="77"/>
      <c r="B287" s="172" t="s">
        <v>1140</v>
      </c>
      <c r="C287" s="571" t="s">
        <v>2659</v>
      </c>
      <c r="D287" s="114" t="s">
        <v>3839</v>
      </c>
      <c r="E287" s="114" t="s">
        <v>2473</v>
      </c>
      <c r="F287" s="122">
        <f>+VLOOKUP(+E287,Allocators!$A$7:$F$19,3)</f>
        <v>1</v>
      </c>
      <c r="G287" s="579"/>
      <c r="H287" s="107">
        <f>SUMIF('Balance Sheet Detail'!$AQ:$AQ,$D287,'Balance Sheet Detail'!U:U)</f>
        <v>1.36E-13</v>
      </c>
      <c r="I287" s="107">
        <f>SUMIF('Balance Sheet Detail'!$AQ:$AQ,$D287,'Balance Sheet Detail'!V:V)</f>
        <v>0</v>
      </c>
      <c r="J287" s="107">
        <f>SUM(H287:I287)</f>
        <v>1.36E-13</v>
      </c>
    </row>
    <row r="288" spans="1:13">
      <c r="A288" s="77"/>
      <c r="B288" s="98"/>
      <c r="C288" s="571"/>
      <c r="D288" s="114"/>
      <c r="F288" s="122"/>
      <c r="G288" s="579"/>
      <c r="H288" s="101"/>
      <c r="I288" s="101"/>
      <c r="J288" s="101"/>
    </row>
    <row r="289" spans="1:10">
      <c r="A289" s="77"/>
      <c r="B289" s="98" t="s">
        <v>2615</v>
      </c>
      <c r="C289" s="571"/>
      <c r="D289" s="114"/>
      <c r="F289" s="122"/>
      <c r="G289" s="579"/>
      <c r="H289" s="101"/>
      <c r="I289" s="101"/>
      <c r="J289" s="101"/>
    </row>
    <row r="290" spans="1:10" ht="15">
      <c r="A290" s="77"/>
      <c r="B290" s="172" t="s">
        <v>2615</v>
      </c>
      <c r="C290" s="571" t="s">
        <v>2659</v>
      </c>
      <c r="D290" s="114" t="s">
        <v>3840</v>
      </c>
      <c r="E290" s="114" t="s">
        <v>2473</v>
      </c>
      <c r="F290" s="122">
        <f>+VLOOKUP(+E290,Allocators!$A$7:$F$19,3)</f>
        <v>1</v>
      </c>
      <c r="G290" s="579"/>
      <c r="H290" s="107">
        <f>SUMIF('Balance Sheet Detail'!$AQ:$AQ,$D290,'Balance Sheet Detail'!U:U)</f>
        <v>-9.7000000000000003E-14</v>
      </c>
      <c r="I290" s="107">
        <f>SUMIF('Balance Sheet Detail'!$AQ:$AQ,$D290,'Balance Sheet Detail'!V:V)</f>
        <v>0</v>
      </c>
      <c r="J290" s="107">
        <f>SUM(H290:I290)</f>
        <v>-9.7000000000000003E-14</v>
      </c>
    </row>
    <row r="291" spans="1:10">
      <c r="A291" s="77"/>
      <c r="B291" s="98"/>
      <c r="C291" s="571"/>
      <c r="D291" s="114"/>
      <c r="F291" s="122"/>
      <c r="G291" s="579"/>
      <c r="H291" s="101"/>
      <c r="I291" s="101"/>
      <c r="J291" s="101"/>
    </row>
    <row r="292" spans="1:10">
      <c r="A292" s="77"/>
      <c r="B292" s="98" t="s">
        <v>2613</v>
      </c>
      <c r="C292" s="571"/>
      <c r="D292" s="114"/>
      <c r="F292" s="122"/>
      <c r="G292" s="579"/>
      <c r="H292" s="101"/>
      <c r="I292" s="101"/>
      <c r="J292" s="101"/>
    </row>
    <row r="293" spans="1:10" ht="15">
      <c r="A293" s="77"/>
      <c r="B293" s="172" t="s">
        <v>2613</v>
      </c>
      <c r="C293" s="571" t="s">
        <v>2659</v>
      </c>
      <c r="D293" s="114" t="s">
        <v>3841</v>
      </c>
      <c r="E293" s="114" t="s">
        <v>2473</v>
      </c>
      <c r="F293" s="122">
        <v>1</v>
      </c>
      <c r="G293" s="579"/>
      <c r="H293" s="107">
        <f>SUMIF('Balance Sheet Detail'!$AQ:$AQ,$D293,'Balance Sheet Detail'!U:U)</f>
        <v>-4711.5450595833299</v>
      </c>
      <c r="I293" s="107">
        <f>SUMIF('Balance Sheet Detail'!$AQ:$AQ,$D293,'Balance Sheet Detail'!V:V)</f>
        <v>0</v>
      </c>
      <c r="J293" s="107">
        <f>SUM(H293:I293)</f>
        <v>-4711.5450595833299</v>
      </c>
    </row>
    <row r="294" spans="1:10">
      <c r="A294" s="77"/>
      <c r="B294" s="98"/>
      <c r="C294" s="571"/>
      <c r="D294" s="114"/>
      <c r="F294" s="122"/>
      <c r="G294" s="579"/>
      <c r="H294" s="101"/>
      <c r="I294" s="101"/>
      <c r="J294" s="101"/>
    </row>
    <row r="295" spans="1:10">
      <c r="A295" s="77"/>
      <c r="B295" s="98" t="s">
        <v>1144</v>
      </c>
      <c r="C295" s="571"/>
      <c r="D295" s="114"/>
      <c r="F295" s="122"/>
      <c r="G295" s="579"/>
      <c r="H295" s="101"/>
      <c r="I295" s="101"/>
      <c r="J295" s="101"/>
    </row>
    <row r="296" spans="1:10" ht="15">
      <c r="A296" s="77"/>
      <c r="B296" s="172" t="s">
        <v>1144</v>
      </c>
      <c r="C296" s="571" t="s">
        <v>2659</v>
      </c>
      <c r="D296" s="114" t="s">
        <v>3842</v>
      </c>
      <c r="E296" s="114" t="s">
        <v>2473</v>
      </c>
      <c r="F296" s="122">
        <f>+VLOOKUP(+E296,Allocators!$A$7:$F$19,3)</f>
        <v>1</v>
      </c>
      <c r="G296" s="579"/>
      <c r="H296" s="107">
        <f>SUMIF('Balance Sheet Detail'!$AQ:$AQ,$D296,'Balance Sheet Detail'!U:U)</f>
        <v>1.72E-13</v>
      </c>
      <c r="I296" s="107">
        <f>SUMIF('Balance Sheet Detail'!$AQ:$AQ,$D296,'Balance Sheet Detail'!V:V)</f>
        <v>0</v>
      </c>
      <c r="J296" s="107">
        <f>SUM(H296:I296)</f>
        <v>1.72E-13</v>
      </c>
    </row>
    <row r="297" spans="1:10">
      <c r="A297" s="77"/>
      <c r="B297" s="98"/>
      <c r="C297" s="571"/>
      <c r="D297" s="114"/>
      <c r="F297" s="122"/>
      <c r="G297" s="579"/>
      <c r="H297" s="101"/>
      <c r="I297" s="101"/>
      <c r="J297" s="101"/>
    </row>
    <row r="298" spans="1:10">
      <c r="A298" s="77"/>
      <c r="B298" s="98" t="s">
        <v>1332</v>
      </c>
      <c r="C298" s="571"/>
      <c r="D298" s="114"/>
      <c r="F298" s="122"/>
      <c r="G298" s="579"/>
      <c r="H298" s="101"/>
      <c r="I298" s="101"/>
      <c r="J298" s="101"/>
    </row>
    <row r="299" spans="1:10" ht="15">
      <c r="A299" s="77"/>
      <c r="B299" s="172" t="s">
        <v>1332</v>
      </c>
      <c r="C299" s="571" t="s">
        <v>2659</v>
      </c>
      <c r="D299" s="114" t="s">
        <v>3843</v>
      </c>
      <c r="E299" s="114" t="s">
        <v>2473</v>
      </c>
      <c r="F299" s="122">
        <f>+VLOOKUP(+E299,Allocators!$A$7:$F$19,3)</f>
        <v>1</v>
      </c>
      <c r="G299" s="579"/>
      <c r="H299" s="107">
        <f>SUMIF('Balance Sheet Detail'!$AQ:$AQ,$D299,'Balance Sheet Detail'!U:U)</f>
        <v>-6810.4008695833299</v>
      </c>
      <c r="I299" s="107">
        <f>SUMIF('Balance Sheet Detail'!$AQ:$AQ,$D299,'Balance Sheet Detail'!V:V)</f>
        <v>0</v>
      </c>
      <c r="J299" s="107">
        <f>SUM(H299:I299)</f>
        <v>-6810.4008695833299</v>
      </c>
    </row>
    <row r="300" spans="1:10">
      <c r="A300" s="77"/>
      <c r="B300" s="98"/>
      <c r="C300" s="571"/>
      <c r="D300" s="114"/>
      <c r="F300" s="122"/>
      <c r="G300" s="579"/>
      <c r="H300" s="101"/>
      <c r="I300" s="101"/>
      <c r="J300" s="101"/>
    </row>
    <row r="301" spans="1:10">
      <c r="A301" s="77"/>
      <c r="B301" s="98" t="s">
        <v>2694</v>
      </c>
      <c r="C301" s="571"/>
      <c r="D301" s="114"/>
      <c r="F301" s="122"/>
      <c r="G301" s="579"/>
      <c r="H301" s="101"/>
      <c r="I301" s="101"/>
      <c r="J301" s="101"/>
    </row>
    <row r="302" spans="1:10">
      <c r="A302" s="77"/>
      <c r="B302" s="172"/>
      <c r="C302" s="571" t="s">
        <v>30</v>
      </c>
      <c r="D302" s="709">
        <v>108009</v>
      </c>
      <c r="E302" s="114" t="s">
        <v>2473</v>
      </c>
      <c r="F302" s="122">
        <f>+VLOOKUP(+E302,Allocators!$A$7:$F$19,3)</f>
        <v>1</v>
      </c>
      <c r="G302" s="579"/>
      <c r="H302" s="101">
        <f t="shared" ref="H302" si="12">ROUND($F302*J302,0)</f>
        <v>0</v>
      </c>
      <c r="I302" s="101">
        <f t="shared" ref="I302" si="13">+J302-H302</f>
        <v>0</v>
      </c>
      <c r="J302" s="101">
        <f>SUMIF('Balance Sheet Detail'!$C:$C,$D302,'Balance Sheet Detail'!X:X)</f>
        <v>0</v>
      </c>
    </row>
    <row r="303" spans="1:10" ht="15">
      <c r="C303" s="571" t="s">
        <v>2659</v>
      </c>
      <c r="D303" s="124" t="s">
        <v>4092</v>
      </c>
      <c r="E303" s="114" t="s">
        <v>2473</v>
      </c>
      <c r="F303" s="122">
        <f>+VLOOKUP(+E303,Allocators!$A$7:$F$19,3)</f>
        <v>1</v>
      </c>
      <c r="G303" s="579"/>
      <c r="H303" s="107">
        <f>SUMIF('Balance Sheet Detail'!$AQ:$AQ,$D303,'Balance Sheet Detail'!U:U)</f>
        <v>-9103.3722849999995</v>
      </c>
      <c r="I303" s="107">
        <f>SUMIF('Balance Sheet Detail'!$AQ:$AQ,$D303,'Balance Sheet Detail'!V:V)</f>
        <v>0</v>
      </c>
      <c r="J303" s="107">
        <f>SUM(H303:I303)</f>
        <v>-9103.3722849999995</v>
      </c>
    </row>
    <row r="304" spans="1:10">
      <c r="A304" s="77"/>
      <c r="B304" s="98"/>
      <c r="C304" s="571"/>
      <c r="D304" s="114"/>
      <c r="F304" s="122"/>
      <c r="G304" s="579"/>
      <c r="H304" s="101"/>
      <c r="I304" s="101"/>
      <c r="J304" s="101"/>
    </row>
    <row r="305" spans="1:10">
      <c r="A305" s="77"/>
      <c r="B305" s="98" t="s">
        <v>2667</v>
      </c>
      <c r="C305" s="571"/>
      <c r="D305" s="114"/>
      <c r="F305" s="122"/>
      <c r="G305" s="579"/>
      <c r="H305" s="101"/>
      <c r="I305" s="101"/>
      <c r="J305" s="101"/>
    </row>
    <row r="306" spans="1:10" ht="15">
      <c r="A306" s="77"/>
      <c r="B306" s="172" t="s">
        <v>1142</v>
      </c>
      <c r="C306" s="571" t="s">
        <v>2659</v>
      </c>
      <c r="D306" s="114" t="s">
        <v>3844</v>
      </c>
      <c r="E306" s="114" t="s">
        <v>2474</v>
      </c>
      <c r="F306" s="122">
        <f>+VLOOKUP(+E306,Allocators!$A$7:$F$19,3)</f>
        <v>0</v>
      </c>
      <c r="G306" s="579"/>
      <c r="H306" s="107">
        <f>SUMIF('Balance Sheet Detail'!$AQ:$AQ,$D306,'Balance Sheet Detail'!U:U)</f>
        <v>0</v>
      </c>
      <c r="I306" s="107">
        <f>SUMIF('Balance Sheet Detail'!$AQ:$AQ,$D306,'Balance Sheet Detail'!V:V)</f>
        <v>0</v>
      </c>
      <c r="J306" s="107">
        <f>SUM(H306:I306)</f>
        <v>0</v>
      </c>
    </row>
    <row r="307" spans="1:10">
      <c r="A307" s="77"/>
      <c r="B307" s="98"/>
      <c r="C307" s="571"/>
      <c r="D307" s="114"/>
      <c r="F307" s="122"/>
      <c r="G307" s="579"/>
      <c r="H307" s="101"/>
      <c r="I307" s="101"/>
      <c r="J307" s="101"/>
    </row>
    <row r="308" spans="1:10">
      <c r="A308" s="77"/>
      <c r="B308" s="98" t="s">
        <v>1468</v>
      </c>
      <c r="C308" s="571"/>
      <c r="D308" s="114"/>
      <c r="F308" s="122"/>
      <c r="G308" s="579"/>
      <c r="H308" s="101"/>
      <c r="I308" s="101"/>
      <c r="J308" s="101"/>
    </row>
    <row r="309" spans="1:10" ht="15">
      <c r="A309" s="77"/>
      <c r="B309" s="172" t="s">
        <v>1468</v>
      </c>
      <c r="C309" s="571" t="s">
        <v>2659</v>
      </c>
      <c r="D309" s="114" t="s">
        <v>3845</v>
      </c>
      <c r="E309" s="114" t="s">
        <v>2473</v>
      </c>
      <c r="F309" s="122">
        <f>+VLOOKUP(+E309,Allocators!$A$7:$F$19,3)</f>
        <v>1</v>
      </c>
      <c r="G309" s="579"/>
      <c r="H309" s="107">
        <f>SUMIF('Balance Sheet Detail'!$AQ:$AQ,$D309,'Balance Sheet Detail'!U:U)</f>
        <v>0</v>
      </c>
      <c r="I309" s="107">
        <f>SUMIF('Balance Sheet Detail'!$AQ:$AQ,$D309,'Balance Sheet Detail'!V:V)</f>
        <v>0</v>
      </c>
      <c r="J309" s="107">
        <f>SUM(H309:I309)</f>
        <v>0</v>
      </c>
    </row>
    <row r="310" spans="1:10">
      <c r="A310" s="77"/>
      <c r="B310" s="172"/>
      <c r="C310" s="571"/>
      <c r="D310" s="114"/>
      <c r="F310" s="122"/>
      <c r="G310" s="579"/>
      <c r="H310" s="101"/>
      <c r="I310" s="101"/>
      <c r="J310" s="101"/>
    </row>
    <row r="311" spans="1:10">
      <c r="A311" s="77"/>
      <c r="B311" s="98" t="s">
        <v>1330</v>
      </c>
      <c r="C311" s="571"/>
      <c r="D311" s="114"/>
      <c r="F311" s="122"/>
      <c r="G311" s="579"/>
      <c r="H311" s="101"/>
      <c r="I311" s="101"/>
      <c r="J311" s="101"/>
    </row>
    <row r="312" spans="1:10">
      <c r="A312" s="77"/>
      <c r="B312" s="172" t="str">
        <f>B311</f>
        <v>ASGA</v>
      </c>
      <c r="C312" s="571" t="s">
        <v>2659</v>
      </c>
      <c r="D312" s="114" t="s">
        <v>3846</v>
      </c>
      <c r="E312" s="114" t="s">
        <v>2473</v>
      </c>
      <c r="F312" s="122">
        <f>+VLOOKUP(+E312,Allocators!$A$7:$F$19,3)</f>
        <v>1</v>
      </c>
      <c r="G312" s="579"/>
      <c r="H312" s="101">
        <f>SUMIF('Balance Sheet Detail'!$AQ:$AQ,$D312,'Balance Sheet Detail'!U:U)</f>
        <v>0</v>
      </c>
      <c r="I312" s="101">
        <f>SUMIF('Balance Sheet Detail'!$AQ:$AQ,$D312,'Balance Sheet Detail'!V:V)</f>
        <v>0</v>
      </c>
      <c r="J312" s="101">
        <f>SUM(H312:I312)</f>
        <v>0</v>
      </c>
    </row>
    <row r="313" spans="1:10">
      <c r="A313" s="77"/>
      <c r="B313" s="172" t="str">
        <f>B312</f>
        <v>ASGA</v>
      </c>
      <c r="C313" s="571" t="s">
        <v>3912</v>
      </c>
      <c r="D313" s="114"/>
      <c r="F313" s="122"/>
      <c r="G313" s="579"/>
      <c r="H313" s="101">
        <f>H442</f>
        <v>-2796</v>
      </c>
      <c r="I313" s="101">
        <f>I444</f>
        <v>0</v>
      </c>
      <c r="J313" s="92">
        <f>SUM(H313:I313)</f>
        <v>-2796</v>
      </c>
    </row>
    <row r="314" spans="1:10" ht="3.75" customHeight="1">
      <c r="A314" s="77"/>
      <c r="B314" s="98"/>
      <c r="C314" s="571"/>
      <c r="D314" s="114"/>
      <c r="E314" s="77"/>
      <c r="F314" s="77"/>
      <c r="G314" s="579"/>
      <c r="H314" s="102">
        <v>0</v>
      </c>
      <c r="I314" s="102">
        <v>0</v>
      </c>
      <c r="J314" s="102">
        <v>0</v>
      </c>
    </row>
    <row r="315" spans="1:10">
      <c r="A315" s="77"/>
      <c r="B315" s="172"/>
      <c r="C315" s="571"/>
      <c r="D315" s="114"/>
      <c r="F315" s="122" t="s">
        <v>2585</v>
      </c>
      <c r="G315" s="579"/>
      <c r="H315" s="101">
        <f>SUM(H312:H314)</f>
        <v>-2796</v>
      </c>
      <c r="I315" s="101">
        <f>SUM(I312:I314)</f>
        <v>0</v>
      </c>
      <c r="J315" s="101">
        <f>SUM(J312:J314)</f>
        <v>-2796</v>
      </c>
    </row>
    <row r="316" spans="1:10">
      <c r="A316" s="77"/>
      <c r="B316" s="98" t="s">
        <v>2604</v>
      </c>
      <c r="C316" s="571"/>
      <c r="D316" s="114"/>
      <c r="F316" s="122"/>
      <c r="G316" s="579"/>
      <c r="H316" s="101"/>
      <c r="I316" s="101"/>
      <c r="J316" s="101"/>
    </row>
    <row r="317" spans="1:10" ht="15">
      <c r="A317" s="77"/>
      <c r="B317" s="172" t="s">
        <v>819</v>
      </c>
      <c r="C317" s="571" t="s">
        <v>2659</v>
      </c>
      <c r="D317" s="114" t="s">
        <v>3847</v>
      </c>
      <c r="F317" s="122"/>
      <c r="G317" s="579"/>
      <c r="H317" s="107">
        <f>SUMIF('Balance Sheet Detail'!$AQ:$AQ,$D317,'Balance Sheet Detail'!U:U)</f>
        <v>3400.8301999999999</v>
      </c>
      <c r="I317" s="107">
        <f>SUMIF('Balance Sheet Detail'!$AQ:$AQ,$D317,'Balance Sheet Detail'!V:V)</f>
        <v>646.01076</v>
      </c>
      <c r="J317" s="107">
        <f>SUM(H317:I317)</f>
        <v>4046.84096</v>
      </c>
    </row>
    <row r="318" spans="1:10">
      <c r="A318" s="77"/>
      <c r="B318" s="172"/>
      <c r="C318" s="571"/>
      <c r="D318" s="114"/>
      <c r="F318" s="122"/>
      <c r="G318" s="579"/>
      <c r="H318" s="101"/>
      <c r="I318" s="101"/>
      <c r="J318" s="101"/>
    </row>
    <row r="319" spans="1:10">
      <c r="A319" s="77"/>
      <c r="B319" s="98" t="s">
        <v>1127</v>
      </c>
      <c r="C319" s="571"/>
      <c r="D319" s="114"/>
      <c r="F319" s="122"/>
      <c r="G319" s="579"/>
      <c r="H319" s="101"/>
      <c r="I319" s="101"/>
      <c r="J319" s="101"/>
    </row>
    <row r="320" spans="1:10" ht="15">
      <c r="A320" s="77"/>
      <c r="B320" s="172" t="s">
        <v>1127</v>
      </c>
      <c r="C320" s="571" t="s">
        <v>2659</v>
      </c>
      <c r="D320" s="114" t="s">
        <v>3848</v>
      </c>
      <c r="E320" s="114" t="s">
        <v>2473</v>
      </c>
      <c r="F320" s="122">
        <f>+VLOOKUP(+E320,Allocators!$A$7:$F$19,3)</f>
        <v>1</v>
      </c>
      <c r="G320" s="579"/>
      <c r="H320" s="107">
        <f>SUMIF('Balance Sheet Detail'!$AQ:$AQ,$D320,'Balance Sheet Detail'!U:U)</f>
        <v>303.63474000000002</v>
      </c>
      <c r="I320" s="107">
        <f>SUMIF('Balance Sheet Detail'!$AQ:$AQ,$D320,'Balance Sheet Detail'!V:V)</f>
        <v>0</v>
      </c>
      <c r="J320" s="107">
        <f>SUM(H320:I320)</f>
        <v>303.63474000000002</v>
      </c>
    </row>
    <row r="321" spans="1:10">
      <c r="A321" s="77"/>
      <c r="B321" s="172"/>
      <c r="C321" s="571"/>
      <c r="D321" s="114"/>
      <c r="F321" s="122"/>
      <c r="G321" s="579"/>
      <c r="H321" s="102"/>
      <c r="I321" s="102"/>
      <c r="J321" s="131"/>
    </row>
    <row r="322" spans="1:10">
      <c r="A322" s="77"/>
      <c r="B322" s="98" t="s">
        <v>2609</v>
      </c>
      <c r="C322" s="571"/>
      <c r="D322" s="114"/>
      <c r="F322" s="122"/>
      <c r="G322" s="579"/>
      <c r="H322" s="102"/>
      <c r="I322" s="102"/>
      <c r="J322" s="131"/>
    </row>
    <row r="323" spans="1:10" ht="15">
      <c r="A323" s="77"/>
      <c r="B323" s="172" t="s">
        <v>1487</v>
      </c>
      <c r="C323" s="571" t="s">
        <v>2659</v>
      </c>
      <c r="D323" s="114" t="s">
        <v>3873</v>
      </c>
      <c r="F323" s="122"/>
      <c r="G323" s="579"/>
      <c r="H323" s="107">
        <f>SUMIF('Balance Sheet Detail'!$AQ:$AQ,$D323,'Balance Sheet Detail'!U:U)</f>
        <v>5E-15</v>
      </c>
      <c r="I323" s="107">
        <f>SUMIF('Balance Sheet Detail'!$AQ:$AQ,$D323,'Balance Sheet Detail'!V:V)</f>
        <v>1.0000000000000001E-15</v>
      </c>
      <c r="J323" s="107">
        <f>SUM(H323:I323)</f>
        <v>5.9999999999999997E-15</v>
      </c>
    </row>
    <row r="324" spans="1:10">
      <c r="A324" s="77"/>
      <c r="B324" s="172"/>
      <c r="C324" s="571"/>
      <c r="D324" s="114"/>
      <c r="F324" s="122"/>
      <c r="G324" s="579"/>
      <c r="H324" s="102"/>
      <c r="I324" s="102"/>
      <c r="J324" s="131"/>
    </row>
    <row r="325" spans="1:10">
      <c r="A325" s="77"/>
      <c r="B325" s="98" t="s">
        <v>4377</v>
      </c>
      <c r="C325" s="571"/>
      <c r="D325" s="114"/>
      <c r="F325" s="122"/>
      <c r="G325" s="579"/>
      <c r="H325" s="102"/>
      <c r="I325" s="102"/>
      <c r="J325" s="131"/>
    </row>
    <row r="326" spans="1:10" ht="15">
      <c r="A326" s="77"/>
      <c r="B326" s="172" t="str">
        <f>B325</f>
        <v>Funded DIT Tax True-up Deferral</v>
      </c>
      <c r="C326" s="571" t="s">
        <v>2659</v>
      </c>
      <c r="D326" s="114" t="s">
        <v>4380</v>
      </c>
      <c r="F326" s="122"/>
      <c r="G326" s="579"/>
      <c r="H326" s="107">
        <f>SUMIF('Balance Sheet Detail'!$AQ:$AQ,$D326,'Balance Sheet Detail'!U:U)</f>
        <v>28775.137382916699</v>
      </c>
      <c r="I326" s="107">
        <f>SUMIF('Balance Sheet Detail'!$AQ:$AQ,$D326,'Balance Sheet Detail'!V:V)</f>
        <v>23417.679055416698</v>
      </c>
      <c r="J326" s="107">
        <f>SUM(H326:I326)</f>
        <v>52192.816438333393</v>
      </c>
    </row>
    <row r="327" spans="1:10">
      <c r="A327" s="77"/>
      <c r="B327" s="172"/>
      <c r="C327" s="571"/>
      <c r="D327" s="114"/>
      <c r="F327" s="122"/>
      <c r="G327" s="579"/>
      <c r="H327" s="102"/>
      <c r="I327" s="102"/>
      <c r="J327" s="131"/>
    </row>
    <row r="328" spans="1:10">
      <c r="A328" s="77"/>
      <c r="B328" s="98" t="s">
        <v>2880</v>
      </c>
      <c r="C328" s="571"/>
      <c r="D328" s="114"/>
      <c r="F328" s="122"/>
      <c r="G328" s="579"/>
      <c r="H328" s="102"/>
      <c r="I328" s="102"/>
      <c r="J328" s="131"/>
    </row>
    <row r="329" spans="1:10" ht="15">
      <c r="A329" s="77"/>
      <c r="B329" s="172" t="str">
        <f>B328</f>
        <v>Hung Deferred Taxes</v>
      </c>
      <c r="C329" s="571" t="s">
        <v>2659</v>
      </c>
      <c r="D329" s="114" t="s">
        <v>4231</v>
      </c>
      <c r="F329" s="122"/>
      <c r="G329" s="579"/>
      <c r="H329" s="107">
        <f>SUMIF('Balance Sheet Detail'!$AQ:$AQ,$D329,'Balance Sheet Detail'!U:U)</f>
        <v>0</v>
      </c>
      <c r="I329" s="107">
        <f>SUMIF('Balance Sheet Detail'!$AQ:$AQ,$D329,'Balance Sheet Detail'!V:V)</f>
        <v>0</v>
      </c>
      <c r="J329" s="107">
        <f>SUM(H329:I329)</f>
        <v>0</v>
      </c>
    </row>
    <row r="330" spans="1:10">
      <c r="A330" s="77"/>
      <c r="B330" s="172"/>
      <c r="C330" s="571"/>
      <c r="D330" s="114"/>
      <c r="F330" s="122"/>
      <c r="G330" s="579"/>
      <c r="H330" s="102"/>
      <c r="I330" s="102"/>
      <c r="J330" s="131"/>
    </row>
    <row r="331" spans="1:10">
      <c r="A331" s="77"/>
      <c r="B331" s="98" t="s">
        <v>2611</v>
      </c>
      <c r="C331" s="571"/>
      <c r="D331" s="114"/>
      <c r="F331" s="122"/>
      <c r="G331" s="579"/>
      <c r="H331" s="102"/>
      <c r="I331" s="102"/>
      <c r="J331" s="131"/>
    </row>
    <row r="332" spans="1:10" ht="15">
      <c r="A332" s="77"/>
      <c r="B332" s="172" t="str">
        <f>B331</f>
        <v>IRS Audit - 1998 - 2001</v>
      </c>
      <c r="C332" s="571" t="s">
        <v>2659</v>
      </c>
      <c r="D332" s="114" t="s">
        <v>3850</v>
      </c>
      <c r="F332" s="122"/>
      <c r="G332" s="579"/>
      <c r="H332" s="107">
        <f>SUMIF('Balance Sheet Detail'!$AQ:$AQ,$D332,'Balance Sheet Detail'!U:U)</f>
        <v>70.105860000000007</v>
      </c>
      <c r="I332" s="107">
        <f>SUMIF('Balance Sheet Detail'!$AQ:$AQ,$D332,'Balance Sheet Detail'!V:V)</f>
        <v>-199.10727</v>
      </c>
      <c r="J332" s="107">
        <f>SUM(H332:I332)</f>
        <v>-129.00140999999999</v>
      </c>
    </row>
    <row r="333" spans="1:10">
      <c r="A333" s="77"/>
      <c r="B333" s="172"/>
      <c r="C333" s="571"/>
      <c r="D333" s="114"/>
      <c r="F333" s="122"/>
      <c r="G333" s="579"/>
      <c r="H333" s="102"/>
      <c r="I333" s="102"/>
      <c r="J333" s="131"/>
    </row>
    <row r="334" spans="1:10">
      <c r="A334" s="77"/>
      <c r="B334" s="98" t="s">
        <v>1118</v>
      </c>
      <c r="C334" s="571"/>
      <c r="D334" s="114"/>
      <c r="F334" s="122"/>
      <c r="G334" s="579"/>
      <c r="H334" s="102"/>
      <c r="I334" s="102"/>
      <c r="J334" s="131"/>
    </row>
    <row r="335" spans="1:10" ht="15">
      <c r="A335" s="77"/>
      <c r="B335" s="172" t="str">
        <f>B334</f>
        <v>Medicare Part D</v>
      </c>
      <c r="C335" s="571" t="s">
        <v>2659</v>
      </c>
      <c r="D335" s="114" t="s">
        <v>3851</v>
      </c>
      <c r="F335" s="122"/>
      <c r="G335" s="579"/>
      <c r="H335" s="107">
        <f>SUMIF('Balance Sheet Detail'!$AQ:$AQ,$D335,'Balance Sheet Detail'!U:U)</f>
        <v>-9.7719999999991994E-2</v>
      </c>
      <c r="I335" s="107">
        <f>SUMIF('Balance Sheet Detail'!$AQ:$AQ,$D335,'Balance Sheet Detail'!V:V)</f>
        <v>1.0000000000000001E-15</v>
      </c>
      <c r="J335" s="107">
        <f>SUM(H335:I335)</f>
        <v>-9.7719999999990995E-2</v>
      </c>
    </row>
    <row r="336" spans="1:10">
      <c r="A336" s="77"/>
      <c r="B336" s="172"/>
      <c r="C336" s="571"/>
      <c r="D336" s="114"/>
      <c r="F336" s="122"/>
      <c r="G336" s="579"/>
      <c r="H336" s="101"/>
      <c r="I336" s="101"/>
      <c r="J336" s="101"/>
    </row>
    <row r="337" spans="1:10">
      <c r="A337" s="77"/>
      <c r="B337" s="98" t="s">
        <v>999</v>
      </c>
      <c r="C337" s="571"/>
      <c r="D337" s="114"/>
      <c r="F337" s="122"/>
      <c r="G337" s="579"/>
      <c r="H337" s="101"/>
      <c r="I337" s="101"/>
      <c r="J337" s="101"/>
    </row>
    <row r="338" spans="1:10" ht="15">
      <c r="A338" s="77"/>
      <c r="B338" s="172" t="str">
        <f>B337</f>
        <v>Mendon Heater</v>
      </c>
      <c r="C338" s="571" t="s">
        <v>2659</v>
      </c>
      <c r="D338" s="114" t="s">
        <v>3852</v>
      </c>
      <c r="F338" s="122"/>
      <c r="G338" s="579"/>
      <c r="H338" s="107">
        <f>SUMIF('Balance Sheet Detail'!$AQ:$AQ,$D338,'Balance Sheet Detail'!U:U)</f>
        <v>0</v>
      </c>
      <c r="I338" s="107">
        <f>SUMIF('Balance Sheet Detail'!$AQ:$AQ,$D338,'Balance Sheet Detail'!V:V)</f>
        <v>0</v>
      </c>
      <c r="J338" s="107">
        <f>SUM(H338:I338)</f>
        <v>0</v>
      </c>
    </row>
    <row r="339" spans="1:10">
      <c r="A339" s="77"/>
      <c r="B339" s="172"/>
      <c r="C339" s="571"/>
      <c r="D339" s="114"/>
      <c r="F339" s="122"/>
      <c r="G339" s="579"/>
      <c r="H339" s="101"/>
      <c r="I339" s="101"/>
      <c r="J339" s="101"/>
    </row>
    <row r="340" spans="1:10">
      <c r="A340" s="77"/>
      <c r="B340" s="98" t="s">
        <v>4103</v>
      </c>
      <c r="C340" s="571"/>
      <c r="D340" s="114"/>
      <c r="F340" s="122"/>
      <c r="G340" s="579"/>
      <c r="H340" s="101"/>
      <c r="I340" s="101"/>
      <c r="J340" s="101"/>
    </row>
    <row r="341" spans="1:10" ht="15">
      <c r="A341" s="77"/>
      <c r="B341" s="172" t="str">
        <f>B340</f>
        <v>Net Plant Reconciliation</v>
      </c>
      <c r="C341" s="571" t="s">
        <v>2659</v>
      </c>
      <c r="D341" s="114" t="s">
        <v>4233</v>
      </c>
      <c r="F341" s="122"/>
      <c r="G341" s="579"/>
      <c r="H341" s="107">
        <f>SUMIF('Balance Sheet Detail'!$AQ:$AQ,$D341,'Balance Sheet Detail'!U:U)</f>
        <v>-9653.4120000000003</v>
      </c>
      <c r="I341" s="107">
        <f>SUMIF('Balance Sheet Detail'!$AQ:$AQ,$D341,'Balance Sheet Detail'!V:V)</f>
        <v>-66.809010000000001</v>
      </c>
      <c r="J341" s="107">
        <f>SUM(H341:I341)</f>
        <v>-9720.2210100000011</v>
      </c>
    </row>
    <row r="342" spans="1:10">
      <c r="A342" s="77"/>
      <c r="B342" s="172"/>
      <c r="C342" s="571"/>
      <c r="D342" s="114"/>
      <c r="F342" s="122"/>
      <c r="G342" s="579"/>
      <c r="H342" s="101"/>
      <c r="I342" s="101"/>
      <c r="J342" s="101"/>
    </row>
    <row r="343" spans="1:10">
      <c r="A343" s="77"/>
      <c r="B343" s="98" t="s">
        <v>1126</v>
      </c>
      <c r="C343" s="571"/>
      <c r="D343" s="114"/>
      <c r="F343" s="122"/>
      <c r="G343" s="579"/>
      <c r="H343" s="101"/>
      <c r="I343" s="101"/>
      <c r="J343" s="101"/>
    </row>
    <row r="344" spans="1:10" ht="15">
      <c r="A344" s="77"/>
      <c r="B344" s="172" t="str">
        <f>B343</f>
        <v>NYS Tax Audit</v>
      </c>
      <c r="C344" s="571" t="s">
        <v>2659</v>
      </c>
      <c r="D344" s="114" t="s">
        <v>3853</v>
      </c>
      <c r="F344" s="122"/>
      <c r="G344" s="579"/>
      <c r="H344" s="107">
        <f>SUMIF('Balance Sheet Detail'!$AQ:$AQ,$D344,'Balance Sheet Detail'!U:U)</f>
        <v>227.76737999999997</v>
      </c>
      <c r="I344" s="107">
        <f>SUMIF('Balance Sheet Detail'!$AQ:$AQ,$D344,'Balance Sheet Detail'!V:V)</f>
        <v>623.56858</v>
      </c>
      <c r="J344" s="107">
        <f>SUM(H344:I344)</f>
        <v>851.33596</v>
      </c>
    </row>
    <row r="345" spans="1:10">
      <c r="A345" s="77"/>
      <c r="B345" s="172"/>
      <c r="C345" s="571"/>
      <c r="D345" s="114"/>
      <c r="F345" s="122"/>
      <c r="G345" s="579"/>
      <c r="H345" s="101"/>
      <c r="I345" s="101"/>
      <c r="J345" s="101"/>
    </row>
    <row r="346" spans="1:10">
      <c r="A346" s="77"/>
      <c r="B346" s="98" t="s">
        <v>2614</v>
      </c>
      <c r="C346" s="571"/>
      <c r="D346" s="114"/>
      <c r="F346" s="122"/>
      <c r="G346" s="579"/>
      <c r="H346" s="101"/>
      <c r="I346" s="101"/>
      <c r="J346" s="101"/>
    </row>
    <row r="347" spans="1:10" ht="15">
      <c r="A347" s="77"/>
      <c r="B347" s="172" t="s">
        <v>2614</v>
      </c>
      <c r="C347" s="571" t="s">
        <v>2659</v>
      </c>
      <c r="D347" s="114" t="s">
        <v>3849</v>
      </c>
      <c r="F347" s="122"/>
      <c r="G347" s="579"/>
      <c r="H347" s="107">
        <f>SUMIF('Balance Sheet Detail'!$AQ:$AQ,$D347,'Balance Sheet Detail'!U:U)</f>
        <v>-319.08900999999997</v>
      </c>
      <c r="I347" s="107">
        <f>SUMIF('Balance Sheet Detail'!$AQ:$AQ,$D347,'Balance Sheet Detail'!V:V)</f>
        <v>-515.71281999999997</v>
      </c>
      <c r="J347" s="107">
        <f>SUM(H347:I347)</f>
        <v>-834.80182999999988</v>
      </c>
    </row>
    <row r="348" spans="1:10">
      <c r="A348" s="77"/>
      <c r="B348" s="172"/>
      <c r="C348" s="571"/>
      <c r="D348" s="114"/>
      <c r="F348" s="122"/>
      <c r="G348" s="579"/>
      <c r="H348" s="102"/>
      <c r="I348" s="102"/>
      <c r="J348" s="131"/>
    </row>
    <row r="349" spans="1:10">
      <c r="A349" s="77"/>
      <c r="B349" s="98" t="s">
        <v>816</v>
      </c>
      <c r="C349" s="571"/>
      <c r="D349" s="114"/>
      <c r="F349" s="122"/>
      <c r="G349" s="579"/>
      <c r="H349" s="101"/>
      <c r="I349" s="101"/>
      <c r="J349" s="101"/>
    </row>
    <row r="350" spans="1:10" ht="15">
      <c r="A350" s="77"/>
      <c r="B350" s="172"/>
      <c r="C350" s="571" t="s">
        <v>2659</v>
      </c>
      <c r="D350" s="114" t="s">
        <v>3854</v>
      </c>
      <c r="F350" s="122"/>
      <c r="G350" s="579"/>
      <c r="H350" s="107">
        <f>SUMIF('Balance Sheet Detail'!$AQ:$AQ,$D350,'Balance Sheet Detail'!U:U)</f>
        <v>0</v>
      </c>
      <c r="I350" s="107">
        <f>SUMIF('Balance Sheet Detail'!$AQ:$AQ,$D350,'Balance Sheet Detail'!V:V)</f>
        <v>0</v>
      </c>
      <c r="J350" s="107">
        <f>SUM(H350:I350)</f>
        <v>0</v>
      </c>
    </row>
    <row r="351" spans="1:10">
      <c r="A351" s="77"/>
      <c r="B351" s="172"/>
      <c r="C351" s="571"/>
      <c r="D351" s="114"/>
      <c r="F351" s="122"/>
      <c r="G351" s="579"/>
      <c r="H351" s="101"/>
      <c r="I351" s="101"/>
      <c r="J351" s="101"/>
    </row>
    <row r="352" spans="1:10">
      <c r="A352" s="77"/>
      <c r="B352" s="98" t="s">
        <v>1481</v>
      </c>
      <c r="C352" s="571"/>
      <c r="D352" s="114"/>
      <c r="F352" s="122"/>
      <c r="G352" s="579"/>
      <c r="H352" s="101"/>
      <c r="I352" s="101"/>
      <c r="J352" s="101"/>
    </row>
    <row r="353" spans="1:10" ht="15">
      <c r="A353" s="77"/>
      <c r="B353" s="172" t="str">
        <f>B352</f>
        <v>Positive Benefit Adjustment</v>
      </c>
      <c r="C353" s="571" t="s">
        <v>2659</v>
      </c>
      <c r="D353" s="114" t="s">
        <v>3855</v>
      </c>
      <c r="F353" s="122"/>
      <c r="G353" s="579"/>
      <c r="H353" s="107">
        <f>SUMIF('Balance Sheet Detail'!$AQ:$AQ,$D353,'Balance Sheet Detail'!U:U)</f>
        <v>-37852.993609999998</v>
      </c>
      <c r="I353" s="107">
        <f>SUMIF('Balance Sheet Detail'!$AQ:$AQ,$D353,'Balance Sheet Detail'!V:V)</f>
        <v>348.34663999999998</v>
      </c>
      <c r="J353" s="107">
        <f>SUM(H353:I353)</f>
        <v>-37504.646969999994</v>
      </c>
    </row>
    <row r="354" spans="1:10">
      <c r="A354" s="77"/>
      <c r="B354" s="172"/>
      <c r="C354" s="571"/>
      <c r="D354" s="114"/>
      <c r="F354" s="122"/>
      <c r="G354" s="579"/>
      <c r="H354" s="101"/>
      <c r="I354" s="101"/>
      <c r="J354" s="101"/>
    </row>
    <row r="355" spans="1:10">
      <c r="A355" s="77"/>
      <c r="B355" s="98" t="s">
        <v>1181</v>
      </c>
      <c r="C355" s="571"/>
      <c r="D355" s="114"/>
      <c r="F355" s="122"/>
      <c r="G355" s="579"/>
      <c r="H355" s="101"/>
      <c r="I355" s="101"/>
      <c r="J355" s="101"/>
    </row>
    <row r="356" spans="1:10" ht="15">
      <c r="A356" s="77"/>
      <c r="B356" s="172" t="str">
        <f>B355</f>
        <v>Property Tax 481(a)</v>
      </c>
      <c r="C356" s="571" t="s">
        <v>2659</v>
      </c>
      <c r="D356" s="114" t="s">
        <v>3856</v>
      </c>
      <c r="F356" s="122"/>
      <c r="G356" s="579"/>
      <c r="H356" s="107">
        <f>SUMIF('Balance Sheet Detail'!$AQ:$AQ,$D356,'Balance Sheet Detail'!U:U)</f>
        <v>-345.96557999999999</v>
      </c>
      <c r="I356" s="107">
        <f>SUMIF('Balance Sheet Detail'!$AQ:$AQ,$D356,'Balance Sheet Detail'!V:V)</f>
        <v>-151.36189999999999</v>
      </c>
      <c r="J356" s="107">
        <f>SUM(H356:I356)</f>
        <v>-497.32747999999998</v>
      </c>
    </row>
    <row r="357" spans="1:10">
      <c r="A357" s="77"/>
      <c r="B357" s="172"/>
      <c r="C357" s="571"/>
      <c r="D357" s="114"/>
      <c r="F357" s="122"/>
      <c r="G357" s="579"/>
      <c r="H357" s="102"/>
      <c r="I357" s="102"/>
      <c r="J357" s="131"/>
    </row>
    <row r="358" spans="1:10">
      <c r="A358" s="77"/>
      <c r="B358" s="98" t="s">
        <v>1113</v>
      </c>
      <c r="C358" s="571"/>
      <c r="D358" s="114"/>
      <c r="F358" s="122"/>
      <c r="G358" s="579"/>
      <c r="H358" s="102"/>
      <c r="I358" s="102"/>
      <c r="J358" s="131"/>
    </row>
    <row r="359" spans="1:10" ht="15">
      <c r="A359" s="77"/>
      <c r="B359" s="98"/>
      <c r="C359" s="571" t="s">
        <v>2659</v>
      </c>
      <c r="D359" s="114" t="s">
        <v>3874</v>
      </c>
      <c r="F359" s="122"/>
      <c r="G359" s="579"/>
      <c r="H359" s="107">
        <f>SUMIF('Balance Sheet Detail'!$AQ:$AQ,$D359,'Balance Sheet Detail'!U:U)</f>
        <v>1.1640000000000001E-12</v>
      </c>
      <c r="I359" s="107">
        <f>SUMIF('Balance Sheet Detail'!$AQ:$AQ,$D359,'Balance Sheet Detail'!V:V)</f>
        <v>0</v>
      </c>
      <c r="J359" s="107">
        <f>SUM(H359:I359)</f>
        <v>1.1640000000000001E-12</v>
      </c>
    </row>
    <row r="360" spans="1:10">
      <c r="A360" s="77"/>
      <c r="B360" s="172"/>
      <c r="C360" s="594"/>
      <c r="D360" s="114"/>
      <c r="F360" s="122"/>
      <c r="G360" s="579"/>
      <c r="H360" s="102"/>
      <c r="I360" s="102"/>
      <c r="J360" s="131"/>
    </row>
    <row r="361" spans="1:10">
      <c r="A361" s="77"/>
      <c r="B361" s="98" t="s">
        <v>2618</v>
      </c>
      <c r="C361" s="594"/>
      <c r="D361" s="114"/>
      <c r="F361" s="122"/>
      <c r="G361" s="579"/>
      <c r="H361" s="102"/>
      <c r="I361" s="102"/>
      <c r="J361" s="131"/>
    </row>
    <row r="362" spans="1:10">
      <c r="A362" s="77"/>
      <c r="B362" s="98"/>
      <c r="C362" s="571" t="s">
        <v>4382</v>
      </c>
      <c r="D362" s="709">
        <v>174210</v>
      </c>
      <c r="E362" s="114" t="s">
        <v>2473</v>
      </c>
      <c r="F362" s="122">
        <f>+VLOOKUP(+E362,Allocators!$A$7:$F$19,3)</f>
        <v>1</v>
      </c>
      <c r="G362" s="579"/>
      <c r="H362" s="101">
        <f>((SUM('PSC Assess Liab'!$I39:$U39)-('PSC Assess Liab'!$I39+'PSC Assess Liab'!U39)/2)/12)/1000</f>
        <v>5.6681029166666654</v>
      </c>
      <c r="I362" s="101">
        <v>0</v>
      </c>
      <c r="J362" s="799">
        <f>SUM(G362:I362)</f>
        <v>5.6681029166666654</v>
      </c>
    </row>
    <row r="363" spans="1:10">
      <c r="A363" s="77"/>
      <c r="B363" s="98"/>
      <c r="C363" s="571" t="s">
        <v>4382</v>
      </c>
      <c r="D363" s="709">
        <v>174220</v>
      </c>
      <c r="E363" s="114" t="s">
        <v>2474</v>
      </c>
      <c r="F363" s="122">
        <f>+VLOOKUP(+E363,Allocators!$A$7:$F$19,3)</f>
        <v>0</v>
      </c>
      <c r="G363" s="579"/>
      <c r="H363" s="799">
        <v>0</v>
      </c>
      <c r="I363" s="101">
        <f>((SUM('PSC Assess Liab'!$I45:$U45)-('PSC Assess Liab'!I45+'PSC Assess Liab'!U45)/2)/12)/1000</f>
        <v>-57.106862499999998</v>
      </c>
      <c r="J363" s="799">
        <f>SUM(G363:I363)</f>
        <v>-57.106862499999998</v>
      </c>
    </row>
    <row r="364" spans="1:10" ht="15">
      <c r="A364" s="77"/>
      <c r="B364" s="172" t="s">
        <v>2618</v>
      </c>
      <c r="C364" s="571" t="s">
        <v>2659</v>
      </c>
      <c r="D364" s="114" t="s">
        <v>3857</v>
      </c>
      <c r="F364" s="122"/>
      <c r="G364" s="579"/>
      <c r="H364" s="107">
        <f>SUMIF('Balance Sheet Detail'!$AQ:$AQ,$D364,'Balance Sheet Detail'!U:U)</f>
        <v>18.686495000000001</v>
      </c>
      <c r="I364" s="107">
        <f>SUMIF('Balance Sheet Detail'!$AQ:$AQ,$D364,'Balance Sheet Detail'!V:V)</f>
        <v>-11.562606666666699</v>
      </c>
      <c r="J364" s="107">
        <f>SUM(G364:I364)</f>
        <v>7.1238883333333014</v>
      </c>
    </row>
    <row r="365" spans="1:10">
      <c r="A365" s="77"/>
      <c r="B365" s="172"/>
      <c r="C365" s="571"/>
      <c r="D365" s="114"/>
      <c r="F365" s="122" t="s">
        <v>2585</v>
      </c>
      <c r="G365" s="579"/>
      <c r="H365" s="799">
        <f>SUM(H362:H364)</f>
        <v>24.354597916666666</v>
      </c>
      <c r="I365" s="799">
        <f>SUM(I362:I364)</f>
        <v>-68.669469166666701</v>
      </c>
      <c r="J365" s="799">
        <f>SUM(J362:J364)</f>
        <v>-44.314871250000039</v>
      </c>
    </row>
    <row r="366" spans="1:10">
      <c r="A366" s="77"/>
      <c r="B366" s="98" t="s">
        <v>2619</v>
      </c>
      <c r="C366" s="594"/>
      <c r="D366" s="114"/>
      <c r="F366" s="122"/>
      <c r="G366" s="579"/>
      <c r="H366" s="102"/>
      <c r="I366" s="102"/>
      <c r="J366" s="131"/>
    </row>
    <row r="367" spans="1:10" ht="15">
      <c r="A367" s="77"/>
      <c r="B367" s="172" t="s">
        <v>2619</v>
      </c>
      <c r="C367" s="571" t="s">
        <v>2659</v>
      </c>
      <c r="D367" s="114" t="s">
        <v>3858</v>
      </c>
      <c r="F367" s="122"/>
      <c r="G367" s="579"/>
      <c r="H367" s="107">
        <f>SUMIF('Balance Sheet Detail'!$AQ:$AQ,$D367,'Balance Sheet Detail'!U:U)</f>
        <v>0</v>
      </c>
      <c r="I367" s="107">
        <f>SUMIF('Balance Sheet Detail'!$AQ:$AQ,$D367,'Balance Sheet Detail'!V:V)</f>
        <v>1046.9082937499998</v>
      </c>
      <c r="J367" s="107">
        <f>SUM(H367:I367)</f>
        <v>1046.9082937499998</v>
      </c>
    </row>
    <row r="368" spans="1:10">
      <c r="A368" s="77"/>
      <c r="B368" s="172"/>
      <c r="C368" s="571"/>
      <c r="D368" s="114"/>
      <c r="F368" s="122"/>
      <c r="G368" s="579"/>
      <c r="H368" s="102"/>
      <c r="I368" s="102"/>
      <c r="J368" s="131"/>
    </row>
    <row r="369" spans="1:10">
      <c r="A369" s="77"/>
      <c r="B369" s="98" t="s">
        <v>2586</v>
      </c>
      <c r="C369" s="571"/>
      <c r="D369" s="114"/>
      <c r="F369" s="122"/>
      <c r="G369" s="579"/>
      <c r="H369" s="102"/>
      <c r="I369" s="102"/>
      <c r="J369" s="131"/>
    </row>
    <row r="370" spans="1:10" ht="15">
      <c r="A370" s="77"/>
      <c r="B370" s="172" t="str">
        <f>B369</f>
        <v>R&amp;D Tax Credit</v>
      </c>
      <c r="C370" s="571" t="s">
        <v>2659</v>
      </c>
      <c r="D370" s="114" t="s">
        <v>3875</v>
      </c>
      <c r="F370" s="122"/>
      <c r="G370" s="579"/>
      <c r="H370" s="107">
        <f>SUMIF('Balance Sheet Detail'!$AQ:$AQ,$D370,'Balance Sheet Detail'!U:U)</f>
        <v>-0.21158083333333499</v>
      </c>
      <c r="I370" s="107">
        <f>SUMIF('Balance Sheet Detail'!$AQ:$AQ,$D370,'Balance Sheet Detail'!V:V)</f>
        <v>2.6220416666666999E-2</v>
      </c>
      <c r="J370" s="107">
        <f>SUM(H370:I370)</f>
        <v>-0.185360416666668</v>
      </c>
    </row>
    <row r="371" spans="1:10">
      <c r="A371" s="77"/>
      <c r="B371" s="172"/>
      <c r="C371" s="571"/>
      <c r="D371" s="114"/>
      <c r="F371" s="122"/>
      <c r="G371" s="579"/>
      <c r="H371" s="102"/>
      <c r="I371" s="102"/>
      <c r="J371" s="131"/>
    </row>
    <row r="372" spans="1:10">
      <c r="A372" s="77"/>
      <c r="B372" s="98" t="s">
        <v>1114</v>
      </c>
      <c r="C372" s="571"/>
      <c r="D372" s="114"/>
      <c r="F372" s="122"/>
      <c r="G372" s="579"/>
      <c r="H372" s="102"/>
      <c r="I372" s="102"/>
      <c r="J372" s="131"/>
    </row>
    <row r="373" spans="1:10" ht="15">
      <c r="A373" s="77"/>
      <c r="B373" s="172" t="str">
        <f>B372</f>
        <v>Sarbanes-Oxley</v>
      </c>
      <c r="C373" s="571" t="s">
        <v>2659</v>
      </c>
      <c r="D373" s="114" t="s">
        <v>3859</v>
      </c>
      <c r="F373" s="122"/>
      <c r="G373" s="579"/>
      <c r="H373" s="107">
        <f>SUMIF('Balance Sheet Detail'!$AQ:$AQ,$D373,'Balance Sheet Detail'!U:U)</f>
        <v>386.43360999999999</v>
      </c>
      <c r="I373" s="107">
        <f>SUMIF('Balance Sheet Detail'!$AQ:$AQ,$D373,'Balance Sheet Detail'!V:V)</f>
        <v>193.91578999999999</v>
      </c>
      <c r="J373" s="107">
        <f>SUM(H373:I373)</f>
        <v>580.34939999999995</v>
      </c>
    </row>
    <row r="374" spans="1:10">
      <c r="A374" s="77"/>
      <c r="B374" s="172"/>
      <c r="C374" s="571"/>
      <c r="D374" s="114"/>
      <c r="F374" s="122"/>
      <c r="G374" s="579"/>
      <c r="H374" s="101"/>
      <c r="I374" s="101"/>
      <c r="J374" s="101"/>
    </row>
    <row r="375" spans="1:10">
      <c r="A375" s="77"/>
      <c r="B375" s="98" t="s">
        <v>1117</v>
      </c>
      <c r="C375" s="571"/>
      <c r="D375" s="114"/>
      <c r="F375" s="122"/>
      <c r="G375" s="579"/>
      <c r="H375" s="101"/>
      <c r="I375" s="101"/>
      <c r="J375" s="101"/>
    </row>
    <row r="376" spans="1:10" ht="15">
      <c r="A376" s="77"/>
      <c r="B376" s="172" t="str">
        <f>B375</f>
        <v>Security Costs</v>
      </c>
      <c r="C376" s="571" t="s">
        <v>2659</v>
      </c>
      <c r="D376" s="114" t="s">
        <v>3860</v>
      </c>
      <c r="F376" s="122"/>
      <c r="G376" s="579"/>
      <c r="H376" s="107">
        <f>SUMIF('Balance Sheet Detail'!$AQ:$AQ,$D376,'Balance Sheet Detail'!U:U)</f>
        <v>0</v>
      </c>
      <c r="I376" s="107">
        <f>SUMIF('Balance Sheet Detail'!$AQ:$AQ,$D376,'Balance Sheet Detail'!V:V)</f>
        <v>2.0000000000000002E-15</v>
      </c>
      <c r="J376" s="107">
        <f>SUM(H376:I376)</f>
        <v>2.0000000000000002E-15</v>
      </c>
    </row>
    <row r="377" spans="1:10">
      <c r="A377" s="77"/>
      <c r="B377" s="172"/>
      <c r="C377" s="571"/>
      <c r="D377" s="114"/>
      <c r="F377" s="122"/>
      <c r="G377" s="579"/>
      <c r="H377" s="102"/>
      <c r="I377" s="102"/>
      <c r="J377" s="131"/>
    </row>
    <row r="378" spans="1:10">
      <c r="A378" s="77"/>
      <c r="B378" s="98"/>
      <c r="C378" s="571"/>
      <c r="D378" s="114"/>
      <c r="F378" s="122"/>
      <c r="G378" s="579"/>
      <c r="H378" s="102"/>
      <c r="I378" s="102"/>
      <c r="J378" s="131"/>
    </row>
    <row r="379" spans="1:10" ht="15">
      <c r="A379" s="77"/>
      <c r="B379" s="172">
        <f>B378</f>
        <v>0</v>
      </c>
      <c r="C379" s="571" t="s">
        <v>2659</v>
      </c>
      <c r="D379" s="114" t="s">
        <v>4235</v>
      </c>
      <c r="F379" s="122"/>
      <c r="G379" s="579"/>
      <c r="H379" s="107">
        <f>SUMIF('Balance Sheet Detail'!$AQ:$AQ,$D379,'Balance Sheet Detail'!U:U)</f>
        <v>-828.75132625000003</v>
      </c>
      <c r="I379" s="107">
        <f>SUMIF('Balance Sheet Detail'!$AQ:$AQ,$D379,'Balance Sheet Detail'!V:V)</f>
        <v>0</v>
      </c>
      <c r="J379" s="107">
        <f>SUM(H379:I379)</f>
        <v>-828.75132625000003</v>
      </c>
    </row>
    <row r="380" spans="1:10">
      <c r="A380" s="77"/>
      <c r="B380" s="172"/>
      <c r="C380" s="571"/>
      <c r="D380" s="114"/>
      <c r="F380" s="122"/>
      <c r="G380" s="579"/>
      <c r="H380" s="102"/>
      <c r="I380" s="102"/>
      <c r="J380" s="131"/>
    </row>
    <row r="381" spans="1:10">
      <c r="A381" s="77"/>
      <c r="B381" s="98" t="s">
        <v>1115</v>
      </c>
      <c r="C381" s="571"/>
      <c r="D381" s="114"/>
      <c r="F381" s="122"/>
      <c r="G381" s="579"/>
      <c r="H381" s="102"/>
      <c r="I381" s="102"/>
      <c r="J381" s="131"/>
    </row>
    <row r="382" spans="1:10" ht="15">
      <c r="A382" s="77"/>
      <c r="B382" s="172" t="str">
        <f>B381</f>
        <v>Stray Voltage</v>
      </c>
      <c r="C382" s="571" t="s">
        <v>2659</v>
      </c>
      <c r="D382" s="114" t="s">
        <v>3861</v>
      </c>
      <c r="F382" s="122"/>
      <c r="G382" s="579"/>
      <c r="H382" s="107">
        <f>SUMIF('Balance Sheet Detail'!$AQ:$AQ,$D382,'Balance Sheet Detail'!U:U)</f>
        <v>2966.2099699999999</v>
      </c>
      <c r="I382" s="107">
        <f>SUMIF('Balance Sheet Detail'!$AQ:$AQ,$D382,'Balance Sheet Detail'!V:V)</f>
        <v>0</v>
      </c>
      <c r="J382" s="107">
        <f>SUM(H382:I382)</f>
        <v>2966.2099699999999</v>
      </c>
    </row>
    <row r="383" spans="1:10">
      <c r="A383" s="77"/>
      <c r="B383" s="172"/>
      <c r="C383" s="571"/>
      <c r="D383" s="114"/>
      <c r="F383" s="122"/>
      <c r="G383" s="579"/>
      <c r="H383" s="101"/>
      <c r="I383" s="101"/>
      <c r="J383" s="101"/>
    </row>
    <row r="384" spans="1:10">
      <c r="A384" s="77"/>
      <c r="B384" s="98" t="s">
        <v>1168</v>
      </c>
      <c r="C384" s="571"/>
      <c r="D384" s="114"/>
      <c r="F384" s="122"/>
      <c r="G384" s="579"/>
      <c r="H384" s="101"/>
      <c r="I384" s="101"/>
      <c r="J384" s="101"/>
    </row>
    <row r="385" spans="1:10" ht="15">
      <c r="A385" s="77"/>
      <c r="B385" s="172" t="str">
        <f>B384</f>
        <v>Variable Rate Debt - Pre-2004</v>
      </c>
      <c r="C385" s="571" t="s">
        <v>2659</v>
      </c>
      <c r="D385" s="114" t="s">
        <v>3862</v>
      </c>
      <c r="F385" s="122"/>
      <c r="G385" s="579"/>
      <c r="H385" s="107">
        <f>SUMIF('Balance Sheet Detail'!$AQ:$AQ,$D385,'Balance Sheet Detail'!U:U)</f>
        <v>2.6999999999999999E-14</v>
      </c>
      <c r="I385" s="107">
        <f>SUMIF('Balance Sheet Detail'!$AQ:$AQ,$D385,'Balance Sheet Detail'!V:V)</f>
        <v>0</v>
      </c>
      <c r="J385" s="107">
        <f>SUM(H385:I385)</f>
        <v>2.6999999999999999E-14</v>
      </c>
    </row>
    <row r="386" spans="1:10">
      <c r="A386" s="77"/>
      <c r="B386" s="172"/>
      <c r="C386" s="571"/>
      <c r="D386" s="114"/>
      <c r="F386" s="122"/>
      <c r="G386" s="579"/>
      <c r="H386" s="101"/>
      <c r="I386" s="101"/>
      <c r="J386" s="101"/>
    </row>
    <row r="387" spans="1:10">
      <c r="A387" s="77"/>
      <c r="B387" s="98" t="s">
        <v>2620</v>
      </c>
      <c r="C387" s="571"/>
      <c r="D387" s="114"/>
      <c r="F387" s="122"/>
      <c r="G387" s="579"/>
      <c r="H387" s="102"/>
      <c r="I387" s="102"/>
      <c r="J387" s="131"/>
    </row>
    <row r="388" spans="1:10" ht="15">
      <c r="A388" s="77"/>
      <c r="B388" s="172" t="str">
        <f>B387</f>
        <v>Variable Rate Debt - Post-2003</v>
      </c>
      <c r="C388" s="571" t="s">
        <v>2659</v>
      </c>
      <c r="D388" s="114" t="s">
        <v>3863</v>
      </c>
      <c r="F388" s="122"/>
      <c r="G388" s="579"/>
      <c r="H388" s="107">
        <f>SUMIF('Balance Sheet Detail'!$AQ:$AQ,$D388,'Balance Sheet Detail'!U:U)</f>
        <v>0</v>
      </c>
      <c r="I388" s="107">
        <f>SUMIF('Balance Sheet Detail'!$AQ:$AQ,$D388,'Balance Sheet Detail'!V:V)</f>
        <v>0</v>
      </c>
      <c r="J388" s="107">
        <f>SUM(H388:I388)</f>
        <v>0</v>
      </c>
    </row>
    <row r="389" spans="1:10">
      <c r="A389" s="77"/>
      <c r="B389" s="172"/>
      <c r="C389" s="571"/>
      <c r="D389" s="114"/>
      <c r="F389" s="122"/>
      <c r="G389" s="579"/>
      <c r="H389" s="101"/>
      <c r="I389" s="101"/>
      <c r="J389" s="101"/>
    </row>
    <row r="390" spans="1:10">
      <c r="A390" s="77"/>
      <c r="B390" s="98" t="s">
        <v>2668</v>
      </c>
      <c r="C390" s="571"/>
      <c r="D390" s="114"/>
      <c r="F390" s="122"/>
      <c r="G390" s="579"/>
      <c r="H390" s="101"/>
      <c r="I390" s="101"/>
      <c r="J390" s="101"/>
    </row>
    <row r="391" spans="1:10">
      <c r="A391" s="77"/>
      <c r="B391" s="172" t="s">
        <v>1174</v>
      </c>
      <c r="C391" s="571" t="s">
        <v>2659</v>
      </c>
      <c r="D391" s="114" t="s">
        <v>3865</v>
      </c>
      <c r="F391" s="122"/>
      <c r="G391" s="579"/>
      <c r="H391" s="101">
        <f>SUMIF('Balance Sheet Detail'!$AQ:$AQ,$D391,'Balance Sheet Detail'!U:U)</f>
        <v>0</v>
      </c>
      <c r="I391" s="101">
        <f>SUMIF('Balance Sheet Detail'!$AQ:$AQ,$D391,'Balance Sheet Detail'!V:V)</f>
        <v>0</v>
      </c>
      <c r="J391" s="101">
        <f t="shared" ref="J391:J399" si="14">SUM(H391:I391)</f>
        <v>0</v>
      </c>
    </row>
    <row r="392" spans="1:10">
      <c r="A392" s="77"/>
      <c r="B392" s="172" t="s">
        <v>1120</v>
      </c>
      <c r="C392" s="571" t="s">
        <v>2659</v>
      </c>
      <c r="D392" s="114" t="s">
        <v>3864</v>
      </c>
      <c r="F392" s="122"/>
      <c r="G392" s="579"/>
      <c r="H392" s="101">
        <f>SUMIF('Balance Sheet Detail'!$AQ:$AQ,$D392,'Balance Sheet Detail'!U:U)</f>
        <v>-2230.7696279166698</v>
      </c>
      <c r="I392" s="101">
        <f>SUMIF('Balance Sheet Detail'!$AQ:$AQ,$D392,'Balance Sheet Detail'!V:V)</f>
        <v>0</v>
      </c>
      <c r="J392" s="101">
        <f t="shared" si="14"/>
        <v>-2230.7696279166698</v>
      </c>
    </row>
    <row r="393" spans="1:10">
      <c r="A393" s="77"/>
      <c r="B393" s="172" t="s">
        <v>1309</v>
      </c>
      <c r="C393" s="571" t="s">
        <v>2659</v>
      </c>
      <c r="D393" s="114" t="s">
        <v>3866</v>
      </c>
      <c r="E393" s="177"/>
      <c r="F393" s="122"/>
      <c r="G393" s="579"/>
      <c r="H393" s="101">
        <f>SUMIF('Balance Sheet Detail'!$AQ:$AQ,$D393,'Balance Sheet Detail'!U:U)</f>
        <v>1.09E-13</v>
      </c>
      <c r="I393" s="101">
        <f>$I$447</f>
        <v>-2645</v>
      </c>
      <c r="J393" s="101">
        <f t="shared" si="14"/>
        <v>-2645</v>
      </c>
    </row>
    <row r="394" spans="1:10">
      <c r="A394" s="77"/>
      <c r="B394" s="172" t="s">
        <v>2669</v>
      </c>
      <c r="C394" s="571" t="s">
        <v>2659</v>
      </c>
      <c r="D394" s="114" t="s">
        <v>3867</v>
      </c>
      <c r="F394" s="122"/>
      <c r="G394" s="579"/>
      <c r="H394" s="101">
        <f>SUMIF('Balance Sheet Detail'!$AQ:$AQ,$D394,'Balance Sheet Detail'!U:U)</f>
        <v>1761.96039</v>
      </c>
      <c r="I394" s="101">
        <f>SUMIF('Balance Sheet Detail'!$AQ:$AQ,$D394,'Balance Sheet Detail'!V:V)</f>
        <v>0</v>
      </c>
      <c r="J394" s="101">
        <f t="shared" si="14"/>
        <v>1761.96039</v>
      </c>
    </row>
    <row r="395" spans="1:10">
      <c r="A395" s="77"/>
      <c r="B395" s="172" t="s">
        <v>2612</v>
      </c>
      <c r="C395" s="571" t="s">
        <v>2659</v>
      </c>
      <c r="D395" s="114" t="s">
        <v>3868</v>
      </c>
      <c r="F395" s="122"/>
      <c r="G395" s="579"/>
      <c r="H395" s="101">
        <f>SUMIF('Balance Sheet Detail'!$AQ:$AQ,$D395,'Balance Sheet Detail'!U:U)</f>
        <v>0</v>
      </c>
      <c r="I395" s="101">
        <f>SUMIF('Balance Sheet Detail'!$AQ:$AQ,$D395,'Balance Sheet Detail'!V:V)</f>
        <v>-1613.4326600000034</v>
      </c>
      <c r="J395" s="101">
        <f t="shared" si="14"/>
        <v>-1613.4326600000034</v>
      </c>
    </row>
    <row r="396" spans="1:10">
      <c r="A396" s="77"/>
      <c r="B396" s="172" t="s">
        <v>812</v>
      </c>
      <c r="C396" s="571" t="s">
        <v>2659</v>
      </c>
      <c r="D396" s="114" t="s">
        <v>3869</v>
      </c>
      <c r="F396" s="122"/>
      <c r="G396" s="579"/>
      <c r="H396" s="101">
        <f>SUMIF('Balance Sheet Detail'!$AQ:$AQ,$D396,'Balance Sheet Detail'!U:U)</f>
        <v>-3.8999999999999998E-14</v>
      </c>
      <c r="I396" s="101">
        <f>SUMIF('Balance Sheet Detail'!$AQ:$AQ,$D396,'Balance Sheet Detail'!V:V)</f>
        <v>2.9999999999999998E-15</v>
      </c>
      <c r="J396" s="101">
        <f t="shared" si="14"/>
        <v>-3.5999999999999998E-14</v>
      </c>
    </row>
    <row r="397" spans="1:10">
      <c r="A397" s="77"/>
      <c r="B397" s="172" t="s">
        <v>2616</v>
      </c>
      <c r="C397" s="571" t="s">
        <v>2659</v>
      </c>
      <c r="D397" s="114" t="s">
        <v>3870</v>
      </c>
      <c r="F397" s="122"/>
      <c r="G397" s="579"/>
      <c r="H397" s="101">
        <f>SUMIF('Balance Sheet Detail'!$AQ:$AQ,$D397,'Balance Sheet Detail'!U:U)</f>
        <v>-2.3300000000000002E-13</v>
      </c>
      <c r="I397" s="101">
        <f>SUMIF('Balance Sheet Detail'!$AQ:$AQ,$D397,'Balance Sheet Detail'!V:V)</f>
        <v>0</v>
      </c>
      <c r="J397" s="101">
        <f t="shared" si="14"/>
        <v>-2.3300000000000002E-13</v>
      </c>
    </row>
    <row r="398" spans="1:10">
      <c r="A398" s="77"/>
      <c r="B398" s="172" t="s">
        <v>1159</v>
      </c>
      <c r="C398" s="571" t="s">
        <v>2659</v>
      </c>
      <c r="D398" s="114" t="s">
        <v>3871</v>
      </c>
      <c r="F398" s="122"/>
      <c r="G398" s="579"/>
      <c r="H398" s="101">
        <f>SUMIF('Balance Sheet Detail'!$AQ:$AQ,$D398,'Balance Sheet Detail'!U:U)</f>
        <v>0</v>
      </c>
      <c r="I398" s="101">
        <f>SUMIF('Balance Sheet Detail'!$AQ:$AQ,$D398,'Balance Sheet Detail'!V:V)</f>
        <v>0</v>
      </c>
      <c r="J398" s="101">
        <f t="shared" si="14"/>
        <v>0</v>
      </c>
    </row>
    <row r="399" spans="1:10">
      <c r="A399" s="77"/>
      <c r="B399" s="172" t="s">
        <v>1132</v>
      </c>
      <c r="C399" s="571" t="s">
        <v>2659</v>
      </c>
      <c r="D399" s="114" t="s">
        <v>3872</v>
      </c>
      <c r="F399" s="122"/>
      <c r="G399" s="579"/>
      <c r="H399" s="101">
        <f>SUMIF('Balance Sheet Detail'!$AQ:$AQ,$D399,'Balance Sheet Detail'!U:U)</f>
        <v>0</v>
      </c>
      <c r="I399" s="101">
        <f>SUMIF('Balance Sheet Detail'!$AQ:$AQ,$D399,'Balance Sheet Detail'!V:V)</f>
        <v>0</v>
      </c>
      <c r="J399" s="101">
        <f t="shared" si="14"/>
        <v>0</v>
      </c>
    </row>
    <row r="400" spans="1:10" ht="3.75" customHeight="1">
      <c r="A400" s="77"/>
      <c r="B400" s="98"/>
      <c r="C400" s="571"/>
      <c r="D400" s="114"/>
      <c r="E400" s="77"/>
      <c r="F400" s="77"/>
      <c r="G400" s="579"/>
      <c r="H400" s="102">
        <v>0</v>
      </c>
      <c r="I400" s="102">
        <v>0</v>
      </c>
      <c r="J400" s="102">
        <v>0</v>
      </c>
    </row>
    <row r="401" spans="1:10">
      <c r="A401" s="77"/>
      <c r="B401" s="98"/>
      <c r="C401" s="571"/>
      <c r="D401" s="114"/>
      <c r="E401" s="114" t="s">
        <v>2670</v>
      </c>
      <c r="F401" s="122" t="s">
        <v>2585</v>
      </c>
      <c r="G401" s="579"/>
      <c r="H401" s="101">
        <f>SUM(H391:H400)</f>
        <v>-468.80923791667016</v>
      </c>
      <c r="I401" s="101">
        <f>SUM(I391:I400)</f>
        <v>-4258.4326600000031</v>
      </c>
      <c r="J401" s="101">
        <f>SUM(J391:J400)</f>
        <v>-4727.2418979166732</v>
      </c>
    </row>
    <row r="402" spans="1:10">
      <c r="A402" s="77"/>
      <c r="B402" s="98"/>
      <c r="C402" s="571"/>
      <c r="D402" s="114"/>
      <c r="F402" s="122"/>
      <c r="G402" s="579"/>
      <c r="H402" s="101"/>
      <c r="I402" s="101"/>
      <c r="J402" s="101"/>
    </row>
    <row r="403" spans="1:10">
      <c r="A403" s="77"/>
      <c r="B403" s="98" t="s">
        <v>2671</v>
      </c>
      <c r="C403" s="571"/>
      <c r="D403" s="114"/>
      <c r="F403" s="122"/>
      <c r="G403" s="579"/>
      <c r="H403" s="101"/>
      <c r="I403" s="101"/>
      <c r="J403" s="101"/>
    </row>
    <row r="404" spans="1:10">
      <c r="A404" s="77"/>
      <c r="B404" s="98"/>
      <c r="C404" s="571" t="s">
        <v>2659</v>
      </c>
      <c r="D404" s="114" t="s">
        <v>2391</v>
      </c>
      <c r="F404" s="122"/>
      <c r="G404" s="579"/>
      <c r="H404" s="101">
        <f>+'Balance Sheet Detail'!U2984</f>
        <v>-3855.1478455773031</v>
      </c>
      <c r="I404" s="101">
        <f>+'Balance Sheet Detail'!V2984</f>
        <v>2778.6230147440874</v>
      </c>
      <c r="J404" s="92">
        <f>SUM(H404:I404)</f>
        <v>-1076.5248308332157</v>
      </c>
    </row>
    <row r="405" spans="1:10">
      <c r="A405" s="77"/>
      <c r="B405" s="98"/>
      <c r="C405" s="571"/>
      <c r="D405" s="114"/>
      <c r="F405" s="122"/>
      <c r="G405" s="579"/>
      <c r="H405" s="101"/>
      <c r="I405" s="101"/>
      <c r="J405" s="101"/>
    </row>
    <row r="406" spans="1:10">
      <c r="A406" s="77"/>
      <c r="B406" s="98"/>
      <c r="C406" s="108"/>
      <c r="D406" s="126"/>
      <c r="F406" s="122"/>
      <c r="G406" s="579"/>
      <c r="H406" s="123"/>
      <c r="I406" s="123"/>
      <c r="J406" s="123"/>
    </row>
    <row r="407" spans="1:10">
      <c r="A407" s="98" t="s">
        <v>2672</v>
      </c>
      <c r="B407" s="98"/>
      <c r="C407" s="108"/>
      <c r="D407" s="126"/>
      <c r="F407" s="122"/>
      <c r="G407" s="579"/>
      <c r="H407" s="178">
        <f>SUM(H200:H406)-SUMIF($F200:$F404,$F401,H200:H404)</f>
        <v>-130603.73788620389</v>
      </c>
      <c r="I407" s="178">
        <f>SUM(I200:I406)-SUMIF($F200:$F404,$F401,I200:I404)</f>
        <v>31033.837838771338</v>
      </c>
      <c r="J407" s="178">
        <f>SUM(J200:J406)-SUMIF($F200:$F404,$F401,J200:J404)</f>
        <v>-99568.405101131881</v>
      </c>
    </row>
    <row r="408" spans="1:10">
      <c r="A408" s="77"/>
      <c r="B408" s="98"/>
      <c r="C408" s="108"/>
      <c r="D408" s="126"/>
      <c r="F408" s="122"/>
      <c r="G408" s="579"/>
      <c r="H408" s="123"/>
      <c r="I408" s="123"/>
      <c r="J408" s="123"/>
    </row>
    <row r="409" spans="1:10">
      <c r="A409" s="77"/>
      <c r="B409" s="98"/>
      <c r="C409" s="108"/>
      <c r="D409" s="126"/>
      <c r="F409" s="122"/>
      <c r="G409" s="579"/>
      <c r="H409" s="135"/>
      <c r="I409" s="135"/>
      <c r="J409" s="135"/>
    </row>
    <row r="410" spans="1:10">
      <c r="A410" s="136" t="s">
        <v>2673</v>
      </c>
      <c r="D410" s="126"/>
      <c r="F410" s="122"/>
      <c r="G410" s="579"/>
      <c r="H410" s="179"/>
      <c r="I410" s="179"/>
      <c r="J410" s="179"/>
    </row>
    <row r="411" spans="1:10" s="184" customFormat="1">
      <c r="A411" s="180"/>
      <c r="B411" s="181"/>
      <c r="C411" s="571"/>
      <c r="D411" s="182"/>
      <c r="E411" s="114"/>
      <c r="F411" s="122"/>
      <c r="G411" s="579"/>
      <c r="H411" s="183"/>
      <c r="I411" s="183"/>
      <c r="J411" s="183"/>
    </row>
    <row r="412" spans="1:10">
      <c r="B412" s="108"/>
      <c r="D412" s="126"/>
      <c r="F412" s="122"/>
      <c r="G412" s="579"/>
      <c r="H412" s="135"/>
      <c r="I412" s="135"/>
      <c r="J412" s="135"/>
    </row>
    <row r="413" spans="1:10">
      <c r="A413" s="103"/>
      <c r="B413" s="177"/>
      <c r="D413" s="126"/>
      <c r="F413" s="122"/>
      <c r="G413" s="579"/>
      <c r="H413" s="135"/>
      <c r="I413" s="135"/>
      <c r="J413" s="135"/>
    </row>
    <row r="414" spans="1:10">
      <c r="B414" s="108"/>
      <c r="C414" s="108"/>
      <c r="D414" s="126"/>
      <c r="F414" s="122"/>
      <c r="G414" s="579"/>
      <c r="H414" s="135"/>
      <c r="I414" s="135"/>
      <c r="J414" s="135"/>
    </row>
    <row r="415" spans="1:10">
      <c r="A415" s="98" t="s">
        <v>2674</v>
      </c>
      <c r="B415" s="108"/>
      <c r="C415" s="108"/>
      <c r="D415" s="126"/>
      <c r="F415" s="122"/>
      <c r="G415" s="579"/>
      <c r="H415" s="127">
        <f>SUM(H407:H414)</f>
        <v>-130603.73788620389</v>
      </c>
      <c r="I415" s="127">
        <f>SUM(I407:I414)</f>
        <v>31033.837838771338</v>
      </c>
      <c r="J415" s="127">
        <f>SUM(J407:J414)</f>
        <v>-99568.405101131881</v>
      </c>
    </row>
    <row r="416" spans="1:10" s="81" customFormat="1">
      <c r="A416" s="185"/>
      <c r="D416" s="84"/>
      <c r="H416" s="92"/>
      <c r="I416" s="92"/>
      <c r="J416" s="92"/>
    </row>
    <row r="417" spans="1:10" s="81" customFormat="1">
      <c r="A417" s="185" t="s">
        <v>2567</v>
      </c>
      <c r="D417" s="84"/>
      <c r="G417" s="84"/>
    </row>
    <row r="418" spans="1:10" s="81" customFormat="1">
      <c r="A418" s="185"/>
      <c r="C418" s="81" t="s">
        <v>3876</v>
      </c>
      <c r="D418" s="84"/>
      <c r="G418" s="84"/>
      <c r="H418" s="151">
        <f>+'Balance Sheet Detail'!U3082</f>
        <v>-233484.5373112279</v>
      </c>
      <c r="I418" s="151">
        <f>+'Balance Sheet Detail'!V3082</f>
        <v>-101341.56931793877</v>
      </c>
      <c r="J418" s="151">
        <f>SUM(H418:I418)</f>
        <v>-334826.10662916669</v>
      </c>
    </row>
    <row r="419" spans="1:10" s="81" customFormat="1">
      <c r="A419" s="185"/>
      <c r="C419" s="608" t="s">
        <v>3906</v>
      </c>
      <c r="D419" s="84"/>
      <c r="G419" s="84"/>
      <c r="H419" s="151"/>
      <c r="I419" s="151"/>
      <c r="J419" s="151"/>
    </row>
    <row r="420" spans="1:10" s="81" customFormat="1">
      <c r="A420" s="185"/>
      <c r="C420" s="607" t="s">
        <v>3877</v>
      </c>
      <c r="D420" s="84"/>
      <c r="G420" s="84"/>
      <c r="H420" s="151">
        <f>-'Bonus Depr ADIT'!AI10/1000</f>
        <v>78017.678364735504</v>
      </c>
      <c r="I420" s="151">
        <f>-'Bonus Depr ADIT'!AI11/1000</f>
        <v>20880.577392337444</v>
      </c>
      <c r="J420" s="151">
        <f>SUM(H420:I420)</f>
        <v>98898.25575707294</v>
      </c>
    </row>
    <row r="421" spans="1:10" s="81" customFormat="1">
      <c r="A421" s="185"/>
      <c r="C421" s="798" t="s">
        <v>3910</v>
      </c>
      <c r="D421" s="84"/>
      <c r="G421" s="84"/>
      <c r="H421" s="151">
        <f>H393*-0.39615</f>
        <v>-4.3180349999999999E-14</v>
      </c>
      <c r="I421" s="151">
        <f>I393*-0.39615</f>
        <v>1047.81675</v>
      </c>
      <c r="J421" s="151">
        <f>J393*-0.39615</f>
        <v>1047.81675</v>
      </c>
    </row>
    <row r="422" spans="1:10" s="81" customFormat="1">
      <c r="A422" s="185"/>
      <c r="C422" s="798" t="s">
        <v>4349</v>
      </c>
      <c r="D422" s="84"/>
      <c r="G422" s="84"/>
      <c r="H422" s="151">
        <f>-H356*0.39615</f>
        <v>137.05426451700001</v>
      </c>
      <c r="I422" s="151">
        <f>-I356*0.39615</f>
        <v>59.962016684999995</v>
      </c>
      <c r="J422" s="151">
        <f>-J356*0.39615</f>
        <v>197.01628120199999</v>
      </c>
    </row>
    <row r="423" spans="1:10" s="81" customFormat="1">
      <c r="A423" s="185"/>
      <c r="C423" s="798" t="s">
        <v>3878</v>
      </c>
      <c r="D423" s="84"/>
      <c r="G423" s="84"/>
      <c r="H423" s="151">
        <f>H223*-0.39615</f>
        <v>-429.83095205576092</v>
      </c>
      <c r="I423" s="151">
        <f>I223*-0.39615</f>
        <v>-222.5380787991237</v>
      </c>
      <c r="J423" s="151">
        <f>J223*-0.39615</f>
        <v>-652.35155073613305</v>
      </c>
    </row>
    <row r="424" spans="1:10" s="81" customFormat="1">
      <c r="A424" s="185"/>
      <c r="C424" s="798" t="s">
        <v>3903</v>
      </c>
      <c r="G424" s="84"/>
      <c r="H424" s="151">
        <f>H443</f>
        <v>1107.6354000000001</v>
      </c>
      <c r="I424" s="151">
        <v>0</v>
      </c>
      <c r="J424" s="151">
        <f>SUM(H424:I424)</f>
        <v>1107.6354000000001</v>
      </c>
    </row>
    <row r="425" spans="1:10" s="81" customFormat="1">
      <c r="A425" s="185"/>
      <c r="C425" s="798" t="s">
        <v>3902</v>
      </c>
      <c r="D425" s="84"/>
      <c r="G425" s="84"/>
      <c r="H425" s="151">
        <f>H309*-0.39615</f>
        <v>0</v>
      </c>
      <c r="I425" s="151">
        <f>I309*-0.39615</f>
        <v>0</v>
      </c>
      <c r="J425" s="151">
        <f>J309*-0.39615</f>
        <v>0</v>
      </c>
    </row>
    <row r="426" spans="1:10" s="81" customFormat="1">
      <c r="A426" s="185"/>
      <c r="C426" s="798" t="s">
        <v>4355</v>
      </c>
      <c r="D426" s="84"/>
      <c r="G426" s="84"/>
      <c r="H426" s="151">
        <f>-(H391+H392)*0.39615</f>
        <v>883.71938809918879</v>
      </c>
      <c r="I426" s="151">
        <f>-(I391+I392)*0.39615</f>
        <v>0</v>
      </c>
      <c r="J426" s="151">
        <f>-(J391+J392)*0.39615</f>
        <v>883.71938809918879</v>
      </c>
    </row>
    <row r="427" spans="1:10" s="81" customFormat="1">
      <c r="A427" s="185"/>
      <c r="C427" s="798" t="s">
        <v>3904</v>
      </c>
      <c r="D427" s="84"/>
      <c r="G427" s="84"/>
      <c r="H427" s="151">
        <f>H365*-0.39615</f>
        <v>-9.6480739646874998</v>
      </c>
      <c r="I427" s="151">
        <f>I365*-0.39615</f>
        <v>27.203410210375015</v>
      </c>
      <c r="J427" s="151">
        <f>J365*-0.39615</f>
        <v>17.555336245687517</v>
      </c>
    </row>
    <row r="428" spans="1:10" s="81" customFormat="1">
      <c r="A428" s="185"/>
      <c r="C428" s="798" t="s">
        <v>3911</v>
      </c>
      <c r="D428" s="84"/>
      <c r="G428" s="84"/>
      <c r="H428" s="151">
        <f>H359*-0.39615</f>
        <v>-4.6111860000000006E-13</v>
      </c>
      <c r="I428" s="151">
        <f>I359*-0.39615</f>
        <v>0</v>
      </c>
      <c r="J428" s="151">
        <f>J359*-0.39615</f>
        <v>-4.6111860000000006E-13</v>
      </c>
    </row>
    <row r="429" spans="1:10" s="81" customFormat="1">
      <c r="A429" s="185"/>
      <c r="C429" s="798" t="s">
        <v>3905</v>
      </c>
      <c r="D429" s="84"/>
      <c r="G429" s="84"/>
      <c r="H429" s="151">
        <f>H233*-0.39615</f>
        <v>904.05128852550001</v>
      </c>
      <c r="I429" s="151">
        <f>I233*-0.39615</f>
        <v>0</v>
      </c>
      <c r="J429" s="151">
        <f>J233*-0.39615</f>
        <v>904.05128852550001</v>
      </c>
    </row>
    <row r="430" spans="1:10" s="81" customFormat="1">
      <c r="A430" s="185"/>
      <c r="C430" s="798" t="s">
        <v>4037</v>
      </c>
      <c r="D430" s="84"/>
      <c r="E430" s="114" t="s">
        <v>2480</v>
      </c>
      <c r="F430" s="125">
        <v>0.61329999999999996</v>
      </c>
      <c r="G430" s="84"/>
      <c r="H430" s="101">
        <f>ROUND($F430*J430,15)</f>
        <v>-19.999235006552599</v>
      </c>
      <c r="I430" s="101">
        <f>+ROUND(J430-H430,0)</f>
        <v>-13</v>
      </c>
      <c r="J430" s="151">
        <f>-'Items Not in Rate Base'!P1027</f>
        <v>-32.609220620499933</v>
      </c>
    </row>
    <row r="431" spans="1:10" s="81" customFormat="1">
      <c r="A431" s="185"/>
      <c r="C431" s="798" t="s">
        <v>4537</v>
      </c>
      <c r="D431" s="84"/>
      <c r="E431" s="114"/>
      <c r="F431" s="125"/>
      <c r="G431" s="84"/>
      <c r="H431" s="101">
        <f>+H228*-0.39615</f>
        <v>-55.984307052312374</v>
      </c>
      <c r="I431" s="101">
        <f>+I228*-0.39615</f>
        <v>74.367820787812491</v>
      </c>
      <c r="J431" s="101">
        <f>+J228*-0.39615</f>
        <v>18.383513735500127</v>
      </c>
    </row>
    <row r="432" spans="1:10" s="81" customFormat="1">
      <c r="A432" s="185"/>
      <c r="C432" s="798" t="s">
        <v>4039</v>
      </c>
      <c r="D432" s="84"/>
      <c r="E432" s="114"/>
      <c r="F432" s="125"/>
      <c r="G432" s="84"/>
      <c r="H432" s="101">
        <f>-'Items Not in Rate Base'!P931*-0.39615</f>
        <v>25.923056876687511</v>
      </c>
      <c r="I432" s="101">
        <f>-'Items Not in Rate Base'!P932*-0.39615</f>
        <v>13.117686394187514</v>
      </c>
      <c r="J432" s="151">
        <f>-'Items Not in Rate Base'!P934*-0.39615</f>
        <v>39.040743270875026</v>
      </c>
    </row>
    <row r="433" spans="1:10" ht="3.75" customHeight="1">
      <c r="A433" s="77"/>
      <c r="B433" s="98"/>
      <c r="C433" s="571"/>
      <c r="D433" s="114"/>
      <c r="E433" s="77"/>
      <c r="F433" s="77"/>
      <c r="G433" s="579"/>
      <c r="H433" s="102">
        <v>0</v>
      </c>
      <c r="I433" s="102">
        <v>0</v>
      </c>
      <c r="J433" s="102">
        <v>0</v>
      </c>
    </row>
    <row r="434" spans="1:10" s="81" customFormat="1">
      <c r="A434" s="185" t="s">
        <v>3909</v>
      </c>
      <c r="D434" s="84"/>
      <c r="G434" s="84"/>
      <c r="H434" s="178">
        <f>SUM(H418:H433)</f>
        <v>-152923.93811655333</v>
      </c>
      <c r="I434" s="178">
        <f>SUM(I418:I433)</f>
        <v>-79474.062320323064</v>
      </c>
      <c r="J434" s="178">
        <f>SUM(J418:J433)</f>
        <v>-232397.59294237167</v>
      </c>
    </row>
    <row r="435" spans="1:10" s="81" customFormat="1">
      <c r="A435" s="185"/>
      <c r="D435" s="84"/>
      <c r="G435" s="84"/>
    </row>
    <row r="436" spans="1:10" s="81" customFormat="1">
      <c r="A436" s="185" t="s">
        <v>2675</v>
      </c>
      <c r="D436" s="84"/>
      <c r="H436" s="186">
        <f>+'Balance Sheet Detail'!U2866</f>
        <v>-133.22398125000001</v>
      </c>
      <c r="I436" s="186">
        <f>+'Balance Sheet Detail'!V2866</f>
        <v>-72.327220416666606</v>
      </c>
      <c r="J436" s="186">
        <f>SUM(H436:I436)</f>
        <v>-205.5512016666666</v>
      </c>
    </row>
    <row r="437" spans="1:10" s="81" customFormat="1" ht="13.5" thickBot="1">
      <c r="A437" s="187"/>
      <c r="B437" s="106"/>
      <c r="C437" s="106"/>
      <c r="D437" s="188"/>
      <c r="E437" s="106"/>
      <c r="F437" s="106"/>
      <c r="G437" s="188"/>
      <c r="H437" s="623"/>
      <c r="I437" s="106"/>
      <c r="J437" s="106"/>
    </row>
    <row r="438" spans="1:10" s="81" customFormat="1">
      <c r="A438" s="185"/>
      <c r="D438" s="84"/>
      <c r="G438" s="84"/>
    </row>
    <row r="439" spans="1:10">
      <c r="A439" s="98" t="s">
        <v>2676</v>
      </c>
    </row>
    <row r="441" spans="1:10">
      <c r="B441" s="103" t="s">
        <v>1330</v>
      </c>
    </row>
    <row r="442" spans="1:10">
      <c r="C442" s="77" t="s">
        <v>2442</v>
      </c>
      <c r="H442" s="189">
        <v>-2796</v>
      </c>
      <c r="I442" s="149">
        <v>0</v>
      </c>
      <c r="J442" s="149">
        <f>SUM(H442:I442)</f>
        <v>-2796</v>
      </c>
    </row>
    <row r="443" spans="1:10">
      <c r="C443" s="77" t="s">
        <v>2444</v>
      </c>
      <c r="H443" s="190">
        <v>1107.6354000000001</v>
      </c>
      <c r="I443" s="191">
        <v>0</v>
      </c>
      <c r="J443" s="192">
        <f>SUM(H443:I443)</f>
        <v>1107.6354000000001</v>
      </c>
    </row>
    <row r="444" spans="1:10">
      <c r="C444" s="77" t="s">
        <v>2677</v>
      </c>
      <c r="H444" s="149">
        <f>SUM(H442:H443)</f>
        <v>-1688.3645999999999</v>
      </c>
      <c r="I444" s="149">
        <f>SUM(I442:I443)</f>
        <v>0</v>
      </c>
      <c r="J444" s="149">
        <f>SUM(J442:J443)</f>
        <v>-1688.3645999999999</v>
      </c>
    </row>
    <row r="445" spans="1:10">
      <c r="H445" s="149"/>
      <c r="I445" s="149"/>
      <c r="J445" s="149"/>
    </row>
    <row r="446" spans="1:10">
      <c r="B446" s="616" t="s">
        <v>1309</v>
      </c>
      <c r="C446" s="555"/>
      <c r="D446" s="617"/>
      <c r="E446" s="572"/>
      <c r="F446" s="617"/>
      <c r="H446" s="555"/>
      <c r="I446" s="555"/>
      <c r="J446" s="149"/>
    </row>
    <row r="447" spans="1:10">
      <c r="B447" s="555"/>
      <c r="C447" s="555" t="s">
        <v>4019</v>
      </c>
      <c r="D447" s="617"/>
      <c r="E447" s="555"/>
      <c r="F447" s="617"/>
      <c r="H447" s="618">
        <v>-9237.5148800000006</v>
      </c>
      <c r="I447" s="618">
        <v>-2645</v>
      </c>
      <c r="J447" s="149"/>
    </row>
    <row r="448" spans="1:10">
      <c r="B448" s="555"/>
      <c r="C448" s="555" t="s">
        <v>4020</v>
      </c>
      <c r="D448" s="710">
        <v>0.39615</v>
      </c>
      <c r="E448" s="555"/>
      <c r="F448" s="617"/>
      <c r="H448" s="173">
        <f>H447*-$D448</f>
        <v>3659.4415197120002</v>
      </c>
      <c r="I448" s="173">
        <f>I447*-$D448</f>
        <v>1047.81675</v>
      </c>
      <c r="J448" s="149"/>
    </row>
    <row r="449" spans="1:10">
      <c r="B449" s="555"/>
      <c r="C449" s="555" t="s">
        <v>4021</v>
      </c>
      <c r="D449" s="619" t="s">
        <v>4022</v>
      </c>
      <c r="E449" s="555"/>
      <c r="F449" s="617"/>
      <c r="H449" s="104">
        <f>SUM(H447:H448)</f>
        <v>-5578.0733602880009</v>
      </c>
      <c r="I449" s="104">
        <f>SUM(I447:I448)</f>
        <v>-1597.18325</v>
      </c>
      <c r="J449" s="149"/>
    </row>
    <row r="450" spans="1:10" ht="15">
      <c r="B450" s="555"/>
      <c r="C450" s="555" t="s">
        <v>4023</v>
      </c>
      <c r="D450" s="617"/>
      <c r="E450" s="620">
        <f>1/40</f>
        <v>2.5000000000000001E-2</v>
      </c>
      <c r="F450" s="620">
        <v>0</v>
      </c>
      <c r="H450" s="555"/>
      <c r="I450" s="555"/>
      <c r="J450" s="149"/>
    </row>
    <row r="451" spans="1:10">
      <c r="B451" s="555"/>
      <c r="C451" s="555" t="s">
        <v>4024</v>
      </c>
      <c r="D451" s="617"/>
      <c r="E451" s="104">
        <f>-H449*E450</f>
        <v>139.45183400720003</v>
      </c>
      <c r="F451" s="104">
        <f>-I449*F450</f>
        <v>0</v>
      </c>
      <c r="H451" s="555"/>
      <c r="I451" s="555"/>
      <c r="J451" s="149"/>
    </row>
    <row r="452" spans="1:10">
      <c r="B452" s="555"/>
      <c r="C452" s="555" t="s">
        <v>4025</v>
      </c>
      <c r="D452" s="621"/>
      <c r="E452" s="173">
        <v>16</v>
      </c>
      <c r="F452" s="173">
        <v>16</v>
      </c>
      <c r="H452" s="555"/>
      <c r="I452" s="555"/>
      <c r="J452" s="149"/>
    </row>
    <row r="453" spans="1:10">
      <c r="B453" s="555"/>
      <c r="C453" s="555" t="s">
        <v>4026</v>
      </c>
      <c r="D453" s="617"/>
      <c r="E453" s="572"/>
      <c r="F453" s="617"/>
      <c r="H453" s="173">
        <f>E451*E452</f>
        <v>2231.2293441152005</v>
      </c>
      <c r="I453" s="173">
        <f>F451*F452</f>
        <v>0</v>
      </c>
      <c r="J453" s="149"/>
    </row>
    <row r="454" spans="1:10">
      <c r="B454" s="555"/>
      <c r="C454" s="555" t="s">
        <v>4027</v>
      </c>
      <c r="D454" s="617"/>
      <c r="E454" s="572"/>
      <c r="F454" s="555"/>
      <c r="H454" s="622">
        <f>SUM(H449:H453)</f>
        <v>-3346.8440161728004</v>
      </c>
      <c r="I454" s="622">
        <f>SUM(I449:I453)</f>
        <v>-1597.18325</v>
      </c>
      <c r="J454" s="149"/>
    </row>
    <row r="455" spans="1:10">
      <c r="H455" s="149"/>
      <c r="I455" s="149"/>
      <c r="J455" s="149"/>
    </row>
    <row r="456" spans="1:10" ht="13.5" thickBot="1">
      <c r="A456" s="613"/>
      <c r="B456" s="609"/>
      <c r="C456" s="609"/>
      <c r="D456" s="610"/>
      <c r="E456" s="611"/>
      <c r="F456" s="610"/>
      <c r="G456" s="612"/>
      <c r="H456" s="614"/>
      <c r="I456" s="614"/>
      <c r="J456" s="614"/>
    </row>
  </sheetData>
  <autoFilter ref="B199:J404"/>
  <mergeCells count="13">
    <mergeCell ref="H198:J198"/>
    <mergeCell ref="H89:J89"/>
    <mergeCell ref="H120:J120"/>
    <mergeCell ref="A194:J194"/>
    <mergeCell ref="A195:J195"/>
    <mergeCell ref="A196:J196"/>
    <mergeCell ref="A197:J197"/>
    <mergeCell ref="A88:J88"/>
    <mergeCell ref="H8:J8"/>
    <mergeCell ref="H48:J48"/>
    <mergeCell ref="A85:J85"/>
    <mergeCell ref="A86:J86"/>
    <mergeCell ref="A87:J87"/>
  </mergeCells>
  <conditionalFormatting sqref="D411">
    <cfRule type="cellIs" dxfId="263" priority="1" stopIfTrue="1" operator="equal">
      <formula>"see detail"</formula>
    </cfRule>
  </conditionalFormatting>
  <printOptions horizontalCentered="1"/>
  <pageMargins left="0" right="0" top="0" bottom="0" header="0.5" footer="0.5"/>
  <pageSetup scale="64" orientation="portrait" r:id="rId1"/>
  <headerFooter alignWithMargins="0"/>
  <rowBreaks count="6" manualBreakCount="6">
    <brk id="41" max="9" man="1"/>
    <brk id="83" max="9" man="1"/>
    <brk id="113" max="9" man="1"/>
    <brk id="193" max="16383" man="1"/>
    <brk id="266" max="9" man="1"/>
    <brk id="364" max="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3179"/>
  <sheetViews>
    <sheetView showGridLines="0" view="pageBreakPreview" zoomScale="60" zoomScaleNormal="85" workbookViewId="0">
      <pane xSplit="8" ySplit="5" topLeftCell="AB6" activePane="bottomRight" state="frozen"/>
      <selection activeCell="F160" sqref="F160"/>
      <selection pane="topRight" activeCell="F160" sqref="F160"/>
      <selection pane="bottomLeft" activeCell="F160" sqref="F160"/>
      <selection pane="bottomRight" activeCell="AO63" sqref="AO63"/>
    </sheetView>
  </sheetViews>
  <sheetFormatPr defaultRowHeight="12.75" outlineLevelCol="1"/>
  <cols>
    <col min="1" max="1" width="10" style="395" customWidth="1" outlineLevel="1"/>
    <col min="2" max="2" width="24.125" style="395" customWidth="1" outlineLevel="1"/>
    <col min="3" max="3" width="8.625" style="642" bestFit="1" customWidth="1"/>
    <col min="4" max="4" width="10.375" style="679" customWidth="1" outlineLevel="1"/>
    <col min="5" max="5" width="14" style="416" customWidth="1" outlineLevel="1"/>
    <col min="6" max="6" width="12" style="416" customWidth="1"/>
    <col min="7" max="7" width="26.25" style="416" customWidth="1"/>
    <col min="8" max="8" width="26.25" style="669" customWidth="1" outlineLevel="1"/>
    <col min="9" max="9" width="7.375" style="416" customWidth="1" outlineLevel="1"/>
    <col min="10" max="10" width="8.5" style="395" customWidth="1"/>
    <col min="11" max="11" width="9.625" style="416" customWidth="1"/>
    <col min="12" max="12" width="12.75" style="642" customWidth="1"/>
    <col min="13" max="13" width="9.75" style="416" customWidth="1"/>
    <col min="14" max="14" width="20.25" style="416" customWidth="1"/>
    <col min="15" max="15" width="40.125" style="416" customWidth="1"/>
    <col min="16" max="16" width="9" style="679" customWidth="1"/>
    <col min="17" max="17" width="12.375" style="416" customWidth="1"/>
    <col min="18" max="20" width="9" style="483" customWidth="1"/>
    <col min="21" max="23" width="9" style="5"/>
    <col min="24" max="24" width="9.875" style="5" bestFit="1" customWidth="1"/>
    <col min="25" max="27" width="9" style="5"/>
    <col min="28" max="28" width="9.875" style="5" bestFit="1" customWidth="1"/>
    <col min="29" max="29" width="14.875" style="5" bestFit="1" customWidth="1"/>
    <col min="30" max="30" width="14.25" style="5" customWidth="1"/>
    <col min="31" max="33" width="15" style="5" customWidth="1"/>
    <col min="34" max="34" width="13.5" style="5" customWidth="1"/>
    <col min="35" max="36" width="15" style="5" customWidth="1"/>
    <col min="37" max="37" width="13.25" style="5" bestFit="1" customWidth="1"/>
    <col min="38" max="40" width="15" style="5" customWidth="1"/>
    <col min="41" max="41" width="17" style="5" customWidth="1"/>
    <col min="42" max="42" width="9" style="5"/>
    <col min="43" max="43" width="23.25" style="5" customWidth="1"/>
    <col min="44" max="44" width="28.75" style="5" bestFit="1" customWidth="1"/>
    <col min="45" max="86" width="0" style="5" hidden="1" customWidth="1"/>
    <col min="87" max="16384" width="9" style="5"/>
  </cols>
  <sheetData>
    <row r="1" spans="1:44" ht="15.75" customHeight="1">
      <c r="A1" s="428" t="s">
        <v>0</v>
      </c>
      <c r="B1" s="429"/>
      <c r="C1" s="997" t="s">
        <v>2522</v>
      </c>
      <c r="D1" s="998"/>
      <c r="E1" s="998"/>
      <c r="F1" s="998"/>
      <c r="G1" s="998"/>
      <c r="H1" s="998"/>
      <c r="I1" s="998"/>
      <c r="J1" s="998"/>
      <c r="K1" s="999"/>
      <c r="L1" s="1000"/>
      <c r="M1" s="1000"/>
      <c r="N1" s="1000"/>
      <c r="O1" s="1001"/>
      <c r="P1" s="1002"/>
      <c r="Q1" s="1002"/>
      <c r="R1" s="1002"/>
      <c r="S1" s="1002"/>
      <c r="T1" s="1003"/>
      <c r="U1" s="994" t="s">
        <v>4568</v>
      </c>
      <c r="V1" s="995"/>
      <c r="W1" s="995"/>
      <c r="X1" s="996"/>
      <c r="Y1" s="994" t="s">
        <v>4569</v>
      </c>
      <c r="Z1" s="995"/>
      <c r="AA1" s="995"/>
      <c r="AB1" s="995"/>
      <c r="AC1" s="47"/>
      <c r="AD1" s="742"/>
      <c r="AE1" s="742"/>
      <c r="AF1" s="742"/>
      <c r="AG1" s="742"/>
      <c r="AH1" s="742"/>
      <c r="AI1" s="742"/>
      <c r="AJ1" s="742"/>
      <c r="AK1" s="742"/>
      <c r="AL1" s="742"/>
      <c r="AM1" s="742"/>
      <c r="AN1" s="742"/>
      <c r="AO1" s="742"/>
    </row>
    <row r="2" spans="1:44" s="6" customFormat="1" ht="26.25" thickBot="1">
      <c r="A2" s="430"/>
      <c r="B2" s="431" t="s">
        <v>2521</v>
      </c>
      <c r="C2" s="634" t="s">
        <v>1</v>
      </c>
      <c r="D2" s="634" t="s">
        <v>2520</v>
      </c>
      <c r="E2" s="396" t="s">
        <v>2</v>
      </c>
      <c r="F2" s="396" t="s">
        <v>3</v>
      </c>
      <c r="G2" s="396" t="s">
        <v>4</v>
      </c>
      <c r="H2" s="634" t="s">
        <v>5</v>
      </c>
      <c r="I2" s="396" t="s">
        <v>6</v>
      </c>
      <c r="J2" s="396" t="s">
        <v>7</v>
      </c>
      <c r="K2" s="431" t="s">
        <v>8</v>
      </c>
      <c r="L2" s="685" t="s">
        <v>9</v>
      </c>
      <c r="M2" s="432" t="s">
        <v>10</v>
      </c>
      <c r="N2" s="433" t="s">
        <v>10</v>
      </c>
      <c r="O2" s="434" t="s">
        <v>11</v>
      </c>
      <c r="P2" s="692" t="s">
        <v>12</v>
      </c>
      <c r="Q2" s="435" t="s">
        <v>13</v>
      </c>
      <c r="R2" s="478" t="s">
        <v>14</v>
      </c>
      <c r="S2" s="478" t="s">
        <v>15</v>
      </c>
      <c r="T2" s="479" t="s">
        <v>16</v>
      </c>
      <c r="U2" s="210" t="s">
        <v>2473</v>
      </c>
      <c r="V2" s="211" t="s">
        <v>2474</v>
      </c>
      <c r="W2" s="212" t="s">
        <v>2678</v>
      </c>
      <c r="X2" s="211" t="s">
        <v>2475</v>
      </c>
      <c r="Y2" s="210" t="s">
        <v>2473</v>
      </c>
      <c r="Z2" s="211" t="s">
        <v>2474</v>
      </c>
      <c r="AA2" s="212" t="s">
        <v>2678</v>
      </c>
      <c r="AB2" s="211" t="s">
        <v>2475</v>
      </c>
      <c r="AC2" s="48">
        <v>41609</v>
      </c>
      <c r="AD2" s="743">
        <v>41640</v>
      </c>
      <c r="AE2" s="743">
        <v>41671</v>
      </c>
      <c r="AF2" s="743">
        <v>41699</v>
      </c>
      <c r="AG2" s="743">
        <v>41730</v>
      </c>
      <c r="AH2" s="743">
        <v>41760</v>
      </c>
      <c r="AI2" s="743">
        <v>41791</v>
      </c>
      <c r="AJ2" s="743">
        <v>41821</v>
      </c>
      <c r="AK2" s="743">
        <v>41852</v>
      </c>
      <c r="AL2" s="743">
        <v>41883</v>
      </c>
      <c r="AM2" s="743">
        <v>41913</v>
      </c>
      <c r="AN2" s="743">
        <v>41944</v>
      </c>
      <c r="AO2" s="743">
        <v>41974</v>
      </c>
      <c r="AP2" s="6" t="s">
        <v>2564</v>
      </c>
      <c r="AQ2" s="6" t="s">
        <v>2520</v>
      </c>
    </row>
    <row r="3" spans="1:44" s="7" customFormat="1" ht="6.75" customHeight="1" thickTop="1">
      <c r="A3" s="436"/>
      <c r="B3" s="437"/>
      <c r="C3" s="635"/>
      <c r="D3" s="695"/>
      <c r="E3" s="414"/>
      <c r="F3" s="414"/>
      <c r="G3" s="414"/>
      <c r="H3" s="666"/>
      <c r="I3" s="414"/>
      <c r="J3" s="397"/>
      <c r="K3" s="438"/>
      <c r="L3" s="686"/>
      <c r="M3" s="439"/>
      <c r="N3" s="439"/>
      <c r="O3" s="440"/>
      <c r="P3" s="635"/>
      <c r="Q3" s="397"/>
      <c r="R3" s="480"/>
      <c r="S3" s="480"/>
      <c r="T3" s="481"/>
      <c r="U3" s="199"/>
      <c r="V3" s="200"/>
      <c r="W3" s="201"/>
      <c r="X3" s="202"/>
      <c r="Y3" s="199"/>
      <c r="Z3" s="200"/>
      <c r="AA3" s="201"/>
      <c r="AB3" s="202"/>
      <c r="AC3" s="49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</row>
    <row r="4" spans="1:44" s="7" customFormat="1" ht="17.25" customHeight="1">
      <c r="A4" s="436"/>
      <c r="B4" s="437"/>
      <c r="C4" s="635"/>
      <c r="D4" s="695"/>
      <c r="E4" s="414"/>
      <c r="F4" s="414"/>
      <c r="G4" s="414"/>
      <c r="H4" s="666"/>
      <c r="I4" s="414"/>
      <c r="J4" s="397"/>
      <c r="K4" s="438"/>
      <c r="L4" s="686"/>
      <c r="M4" s="439"/>
      <c r="N4" s="439"/>
      <c r="O4" s="440"/>
      <c r="P4" s="635"/>
      <c r="Q4" s="397"/>
      <c r="R4" s="480"/>
      <c r="S4" s="480"/>
      <c r="T4" s="481"/>
      <c r="U4" s="203"/>
      <c r="V4" s="204"/>
      <c r="W4" s="205"/>
      <c r="X4" s="206"/>
      <c r="Y4" s="203"/>
      <c r="Z4" s="204"/>
      <c r="AA4" s="205"/>
      <c r="AB4" s="206"/>
      <c r="AC4" s="49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</row>
    <row r="5" spans="1:44" s="7" customFormat="1">
      <c r="A5" s="398"/>
      <c r="B5" s="398"/>
      <c r="C5" s="636"/>
      <c r="D5" s="696"/>
      <c r="E5" s="415"/>
      <c r="F5" s="415"/>
      <c r="G5" s="415"/>
      <c r="H5" s="667"/>
      <c r="I5" s="415"/>
      <c r="J5" s="398"/>
      <c r="K5" s="415"/>
      <c r="L5" s="636"/>
      <c r="M5" s="415"/>
      <c r="N5" s="415"/>
      <c r="O5" s="415"/>
      <c r="P5" s="636"/>
      <c r="Q5" s="398"/>
      <c r="R5" s="482"/>
      <c r="S5" s="482"/>
      <c r="T5" s="482"/>
      <c r="U5" s="45"/>
      <c r="V5" s="45"/>
      <c r="W5" s="45"/>
      <c r="X5" s="45"/>
      <c r="Y5" s="45"/>
      <c r="Z5" s="45"/>
      <c r="AA5" s="45"/>
      <c r="AB5" s="45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</row>
    <row r="6" spans="1:44" s="7" customFormat="1" ht="28.5" customHeight="1">
      <c r="A6" s="194" t="s">
        <v>2529</v>
      </c>
      <c r="B6" s="195"/>
      <c r="C6" s="637"/>
      <c r="D6" s="697"/>
      <c r="E6" s="197"/>
      <c r="F6" s="197"/>
      <c r="G6" s="197"/>
      <c r="H6" s="668"/>
      <c r="I6" s="197"/>
      <c r="J6" s="196"/>
      <c r="K6" s="197"/>
      <c r="L6" s="637"/>
      <c r="M6" s="197"/>
      <c r="N6" s="197"/>
      <c r="O6" s="197"/>
      <c r="P6" s="637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8"/>
      <c r="AD6" s="198"/>
      <c r="AE6" s="198"/>
      <c r="AF6" s="198"/>
      <c r="AG6" s="198"/>
      <c r="AH6" s="198"/>
      <c r="AI6" s="198"/>
      <c r="AJ6" s="198"/>
      <c r="AK6" s="198"/>
      <c r="AL6" s="198"/>
      <c r="AM6" s="198"/>
      <c r="AN6" s="198"/>
      <c r="AO6" s="198"/>
    </row>
    <row r="7" spans="1:44" s="41" customFormat="1" ht="12.75" customHeight="1">
      <c r="A7" s="25" t="s">
        <v>17</v>
      </c>
      <c r="B7" s="25" t="str">
        <f>CONCATENATE(A7,C7,D7,E7)</f>
        <v>GL101010</v>
      </c>
      <c r="C7" s="638">
        <v>101010</v>
      </c>
      <c r="D7" s="735"/>
      <c r="F7" s="1" t="s">
        <v>18</v>
      </c>
      <c r="H7" s="736">
        <v>0</v>
      </c>
      <c r="I7" s="25"/>
      <c r="J7" s="25"/>
      <c r="K7" s="442" t="str">
        <f t="shared" ref="K7:K70" si="0">IF(L7="N3","Y","")</f>
        <v/>
      </c>
      <c r="L7" s="736" t="s">
        <v>2438</v>
      </c>
      <c r="M7" s="25" t="str">
        <f>LEFT(L7,1)</f>
        <v>R</v>
      </c>
      <c r="N7" s="25" t="str">
        <f>IF($L7&lt;&gt;"",VLOOKUP($L7,Categories!$B$2:$D$41,2,FALSE),IF($F7&lt;&gt;"","No Cat",""))</f>
        <v>Rate Base</v>
      </c>
      <c r="O7" s="25" t="str">
        <f>IF($L7&lt;&gt;"",VLOOKUP($L7,Categories!$B$2:$D$41,3,FALSE),IF($F7&lt;&gt;"","No Cat",""))</f>
        <v>Utility Plant</v>
      </c>
      <c r="P7" s="736" t="s">
        <v>2482</v>
      </c>
      <c r="Q7" s="25" t="str">
        <f>VLOOKUP($P7,Allocators!$B$7:$F$19,5,FALSE)</f>
        <v>Electric</v>
      </c>
      <c r="R7" s="737">
        <f>VLOOKUP($P7,Allocators!$B$7:$F$19,2,FALSE)</f>
        <v>1</v>
      </c>
      <c r="S7" s="737">
        <f>VLOOKUP($P7,Allocators!$B$7:$F$19,3,FALSE)</f>
        <v>0</v>
      </c>
      <c r="T7" s="737" t="str">
        <f t="shared" ref="T7:T14" si="1">IF(P7="N",1,"0.0%")</f>
        <v>0.0%</v>
      </c>
      <c r="U7" s="2">
        <f>IF(ABS(X7)=0,"",IF($R7="NO ALLOC","NO ALLOC",ROUND($R7*X7,15)))</f>
        <v>1580355.9140295801</v>
      </c>
      <c r="V7" s="2">
        <f>IF(ABS(X7)=0,"",IF($S7="NO ALLOC","NO ALLOC",ROUND($S7*X7,15)))</f>
        <v>0</v>
      </c>
      <c r="W7" s="2">
        <f>IF(ABS(X7)=0,"",IF($T7="NO ALLOC","NO ALLOC",ROUND($T7*X7,15)))</f>
        <v>0</v>
      </c>
      <c r="X7" s="2">
        <f>IF(ISERROR(ROUND((SUM(AC7:AO7)-((AC7+AO7))/2)/12,15)),"",ROUND((SUM(AC7:AO7)-((AC7+AO7))/2)/12,15))</f>
        <v>1580355.9140295801</v>
      </c>
      <c r="Y7" s="2">
        <f>IF(ABS(AB7)=0,"",IF($R7="NO ALLOC","NO ALLOC",ROUND($R7*AB7,15)))</f>
        <v>1767342.20104</v>
      </c>
      <c r="Z7" s="2">
        <f>IF(ABS(AB7)=0,"",IF($S7="NO ALLOC","NO ALLOC",ROUND($S7*AB7,15)))</f>
        <v>0</v>
      </c>
      <c r="AA7" s="2">
        <f>IF(ABS(AB7)=0,"",IF($T7="NO ALLOC","NO ALLOC",ROUND($T7*AB7,15)))</f>
        <v>0</v>
      </c>
      <c r="AB7" s="2">
        <f>IF(AO7="",0,+AO7)</f>
        <v>1767342.20104</v>
      </c>
      <c r="AC7" s="759">
        <v>1397383.60145</v>
      </c>
      <c r="AD7" s="741">
        <v>1404939.4974799999</v>
      </c>
      <c r="AE7" s="741">
        <v>1406745.4314300001</v>
      </c>
      <c r="AF7" s="741">
        <v>1415039.66821</v>
      </c>
      <c r="AG7" s="741">
        <v>1429522.03382</v>
      </c>
      <c r="AH7" s="741">
        <v>1476545.7373299999</v>
      </c>
      <c r="AI7" s="741">
        <v>1634177.2691600001</v>
      </c>
      <c r="AJ7" s="741">
        <v>1657553.1881500001</v>
      </c>
      <c r="AK7" s="741">
        <v>1716724.1753</v>
      </c>
      <c r="AL7" s="741">
        <v>1730097.9867700001</v>
      </c>
      <c r="AM7" s="741">
        <v>1745609.13035</v>
      </c>
      <c r="AN7" s="741">
        <v>1764953.9491099999</v>
      </c>
      <c r="AO7" s="741">
        <v>1767342.20104</v>
      </c>
      <c r="AP7" s="41" t="str">
        <f t="shared" ref="AP7:AP70" si="2">CONCATENATE(A7,M7)</f>
        <v>GLR</v>
      </c>
      <c r="AQ7" s="41" t="str">
        <f t="shared" ref="AQ7:AQ70" si="3">CONCATENATE(AP7,L7,H7)</f>
        <v>GLRR10</v>
      </c>
      <c r="AR7" s="41" t="str">
        <f t="shared" ref="AR7:AR70" si="4">CONCATENATE(L7,H7,J7)</f>
        <v>R10</v>
      </c>
    </row>
    <row r="8" spans="1:44" s="41" customFormat="1" ht="12.75" customHeight="1">
      <c r="A8" s="25" t="s">
        <v>17</v>
      </c>
      <c r="B8" s="25" t="str">
        <f t="shared" ref="B8:B74" si="5">CONCATENATE(A8,C8,D8,E8)</f>
        <v>GL101030</v>
      </c>
      <c r="C8" s="638">
        <v>101030</v>
      </c>
      <c r="D8" s="735"/>
      <c r="F8" s="1" t="s">
        <v>19</v>
      </c>
      <c r="H8" s="736">
        <v>0</v>
      </c>
      <c r="I8" s="25"/>
      <c r="J8" s="25"/>
      <c r="K8" s="442" t="str">
        <f t="shared" si="0"/>
        <v/>
      </c>
      <c r="L8" s="736" t="s">
        <v>2438</v>
      </c>
      <c r="M8" s="25" t="str">
        <f t="shared" ref="M8:M74" si="6">LEFT(L8,1)</f>
        <v>R</v>
      </c>
      <c r="N8" s="25" t="str">
        <f>IF(L8&lt;&gt;"",VLOOKUP(L8,Categories!$B$2:$D$41,2,FALSE),IF(F8&lt;&gt;"","No Cat",""))</f>
        <v>Rate Base</v>
      </c>
      <c r="O8" s="25" t="str">
        <f>IF($L8&lt;&gt;"",VLOOKUP($L8,Categories!$B$2:$D$41,3,FALSE),IF($F8&lt;&gt;"","No Cat",""))</f>
        <v>Utility Plant</v>
      </c>
      <c r="P8" s="736" t="s">
        <v>2483</v>
      </c>
      <c r="Q8" s="25" t="str">
        <f>VLOOKUP($P8,Allocators!$B$7:$F$19,5,FALSE)</f>
        <v>Gas</v>
      </c>
      <c r="R8" s="737">
        <f>VLOOKUP($P8,Allocators!$B$7:$F$19,2,FALSE)</f>
        <v>0</v>
      </c>
      <c r="S8" s="737">
        <f>VLOOKUP($P8,Allocators!$B$7:$F$19,3,FALSE)</f>
        <v>1</v>
      </c>
      <c r="T8" s="737" t="str">
        <f t="shared" si="1"/>
        <v>0.0%</v>
      </c>
      <c r="U8" s="2">
        <f t="shared" ref="U8:U71" si="7">IF(ABS(X8)=0,"",IF($R8="NO ALLOC","NO ALLOC",ROUND($R8*X8,15)))</f>
        <v>0</v>
      </c>
      <c r="V8" s="2">
        <f t="shared" ref="V8:V71" si="8">IF(ABS(X8)=0,"",IF($S8="NO ALLOC","NO ALLOC",ROUND($S8*X8,15)))</f>
        <v>702467.54883541702</v>
      </c>
      <c r="W8" s="2">
        <f t="shared" ref="W8:W71" si="9">IF(ABS(X8)=0,"",IF($T8="NO ALLOC","NO ALLOC",ROUND($T8*X8,15)))</f>
        <v>0</v>
      </c>
      <c r="X8" s="2">
        <f t="shared" ref="X8:X71" si="10">IF(ISERROR(ROUND((SUM(AC8:AO8)-((AC8+AO8))/2)/12,15)),"",ROUND((SUM(AC8:AO8)-((AC8+AO8))/2)/12,15))</f>
        <v>702467.54883541702</v>
      </c>
      <c r="Y8" s="2">
        <f t="shared" ref="Y8:Y71" si="11">IF(ABS(AB8)=0,"",IF($R8="NO ALLOC","NO ALLOC",ROUND($R8*AB8,15)))</f>
        <v>0</v>
      </c>
      <c r="Z8" s="2">
        <f t="shared" ref="Z8:Z71" si="12">IF(ABS(AB8)=0,"",IF($S8="NO ALLOC","NO ALLOC",ROUND($S8*AB8,15)))</f>
        <v>714079.44163999998</v>
      </c>
      <c r="AA8" s="2">
        <f t="shared" ref="AA8:AA71" si="13">IF(ABS(AB8)=0,"",IF($T8="NO ALLOC","NO ALLOC",ROUND($T8*AB8,15)))</f>
        <v>0</v>
      </c>
      <c r="AB8" s="2">
        <f t="shared" ref="AB8:AB71" si="14">IF(AO8="",0,+AO8)</f>
        <v>714079.44163999998</v>
      </c>
      <c r="AC8" s="759">
        <v>685389.22190999996</v>
      </c>
      <c r="AD8" s="741">
        <v>687813.33033999999</v>
      </c>
      <c r="AE8" s="741">
        <v>691876.31478999997</v>
      </c>
      <c r="AF8" s="741">
        <v>697934.05744</v>
      </c>
      <c r="AG8" s="741">
        <v>700017.83851000003</v>
      </c>
      <c r="AH8" s="741">
        <v>702592.06499999994</v>
      </c>
      <c r="AI8" s="741">
        <v>703468.48583000002</v>
      </c>
      <c r="AJ8" s="741">
        <v>706412.62688</v>
      </c>
      <c r="AK8" s="741">
        <v>707871.31598000007</v>
      </c>
      <c r="AL8" s="741">
        <v>708126.99742999999</v>
      </c>
      <c r="AM8" s="741">
        <v>711294.89586000005</v>
      </c>
      <c r="AN8" s="741">
        <v>712468.32619000005</v>
      </c>
      <c r="AO8" s="741">
        <v>714079.44163999998</v>
      </c>
      <c r="AP8" s="41" t="str">
        <f t="shared" si="2"/>
        <v>GLR</v>
      </c>
      <c r="AQ8" s="41" t="str">
        <f t="shared" si="3"/>
        <v>GLRR10</v>
      </c>
      <c r="AR8" s="41" t="str">
        <f t="shared" si="4"/>
        <v>R10</v>
      </c>
    </row>
    <row r="9" spans="1:44" s="41" customFormat="1" ht="12.75" customHeight="1">
      <c r="A9" s="25" t="s">
        <v>17</v>
      </c>
      <c r="B9" s="25" t="str">
        <f t="shared" si="5"/>
        <v>GL101070</v>
      </c>
      <c r="C9" s="638">
        <v>101070</v>
      </c>
      <c r="D9" s="735"/>
      <c r="F9" s="1" t="s">
        <v>20</v>
      </c>
      <c r="H9" s="736">
        <v>0</v>
      </c>
      <c r="I9" s="25"/>
      <c r="J9" s="25"/>
      <c r="K9" s="442" t="str">
        <f t="shared" si="0"/>
        <v/>
      </c>
      <c r="L9" s="736" t="s">
        <v>2438</v>
      </c>
      <c r="M9" s="25" t="str">
        <f t="shared" si="6"/>
        <v>R</v>
      </c>
      <c r="N9" s="25" t="str">
        <f>IF(L9&lt;&gt;"",VLOOKUP(L9,Categories!$B$2:$D$41,2,FALSE),IF(F9&lt;&gt;"","No Cat",""))</f>
        <v>Rate Base</v>
      </c>
      <c r="O9" s="25" t="str">
        <f>IF($L9&lt;&gt;"",VLOOKUP($L9,Categories!$B$2:$D$41,3,FALSE),IF($F9&lt;&gt;"","No Cat",""))</f>
        <v>Utility Plant</v>
      </c>
      <c r="P9" s="736" t="s">
        <v>2484</v>
      </c>
      <c r="Q9" s="25" t="str">
        <f>VLOOKUP($P9,Allocators!$B$7:$F$19,5,FALSE)</f>
        <v>Common</v>
      </c>
      <c r="R9" s="737">
        <f>VLOOKUP($P9,Allocators!$B$7:$F$19,2,FALSE)</f>
        <v>0.68589999999999995</v>
      </c>
      <c r="S9" s="737">
        <f>VLOOKUP($P9,Allocators!$B$7:$F$19,3,FALSE)</f>
        <v>0.31409999999999999</v>
      </c>
      <c r="T9" s="737" t="str">
        <f t="shared" si="1"/>
        <v>0.0%</v>
      </c>
      <c r="U9" s="2">
        <f t="shared" si="7"/>
        <v>152197.316704995</v>
      </c>
      <c r="V9" s="2">
        <f t="shared" si="8"/>
        <v>69697.007110422506</v>
      </c>
      <c r="W9" s="2">
        <f t="shared" si="9"/>
        <v>0</v>
      </c>
      <c r="X9" s="2">
        <f t="shared" si="10"/>
        <v>221894.32381541701</v>
      </c>
      <c r="Y9" s="2">
        <f t="shared" si="11"/>
        <v>158476.48748729099</v>
      </c>
      <c r="Z9" s="2">
        <f t="shared" si="12"/>
        <v>72572.481002708999</v>
      </c>
      <c r="AA9" s="2">
        <f t="shared" si="13"/>
        <v>0</v>
      </c>
      <c r="AB9" s="2">
        <f t="shared" si="14"/>
        <v>231048.96849</v>
      </c>
      <c r="AC9" s="759">
        <v>206189.65634000002</v>
      </c>
      <c r="AD9" s="741">
        <v>206450.82717999999</v>
      </c>
      <c r="AE9" s="741">
        <v>206668.71965000001</v>
      </c>
      <c r="AF9" s="741">
        <v>210035.52744000001</v>
      </c>
      <c r="AG9" s="741">
        <v>222820.19084999998</v>
      </c>
      <c r="AH9" s="741">
        <v>226485.51502000002</v>
      </c>
      <c r="AI9" s="741">
        <v>226363.149</v>
      </c>
      <c r="AJ9" s="741">
        <v>225458.22341000001</v>
      </c>
      <c r="AK9" s="741">
        <v>225900.32034999999</v>
      </c>
      <c r="AL9" s="741">
        <v>230571.28863</v>
      </c>
      <c r="AM9" s="741">
        <v>231424.47751</v>
      </c>
      <c r="AN9" s="741">
        <v>231934.33433000001</v>
      </c>
      <c r="AO9" s="741">
        <v>231048.96849</v>
      </c>
      <c r="AP9" s="41" t="str">
        <f t="shared" si="2"/>
        <v>GLR</v>
      </c>
      <c r="AQ9" s="41" t="str">
        <f t="shared" si="3"/>
        <v>GLRR10</v>
      </c>
      <c r="AR9" s="41" t="str">
        <f t="shared" si="4"/>
        <v>R10</v>
      </c>
    </row>
    <row r="10" spans="1:44" s="41" customFormat="1" ht="12.75" customHeight="1">
      <c r="A10" s="442" t="s">
        <v>17</v>
      </c>
      <c r="B10" s="442" t="str">
        <f t="shared" si="5"/>
        <v>GL102010</v>
      </c>
      <c r="C10" s="638">
        <v>102010</v>
      </c>
      <c r="D10" s="735"/>
      <c r="E10" s="626"/>
      <c r="F10" s="441" t="s">
        <v>21</v>
      </c>
      <c r="G10" s="626"/>
      <c r="H10" s="736">
        <v>0</v>
      </c>
      <c r="I10" s="442"/>
      <c r="J10" s="442"/>
      <c r="K10" s="442" t="str">
        <f t="shared" si="0"/>
        <v/>
      </c>
      <c r="L10" s="736" t="s">
        <v>2421</v>
      </c>
      <c r="M10" s="442" t="str">
        <f t="shared" si="6"/>
        <v>N</v>
      </c>
      <c r="N10" s="442" t="str">
        <f>IF(L10&lt;&gt;"",VLOOKUP(L10,Categories!$B$2:$D$41,2,FALSE),IF(F10&lt;&gt;"","No Cat",""))</f>
        <v>NRBASE</v>
      </c>
      <c r="O10" s="442" t="str">
        <f>IF($L10&lt;&gt;"",VLOOKUP($L10,Categories!$B$2:$D$41,3,FALSE),IF($F10&lt;&gt;"","No Cat",""))</f>
        <v>Direct Assign Items Not in RB</v>
      </c>
      <c r="P10" s="736" t="s">
        <v>2468</v>
      </c>
      <c r="Q10" s="442" t="str">
        <f>VLOOKUP($P10,Allocators!$B$7:$F$19,5,FALSE)</f>
        <v>Not in Rate Base</v>
      </c>
      <c r="R10" s="737">
        <f>VLOOKUP($P10,Allocators!$B$7:$F$19,2,FALSE)</f>
        <v>0</v>
      </c>
      <c r="S10" s="737">
        <f>VLOOKUP($P10,Allocators!$B$7:$F$19,3,FALSE)</f>
        <v>0</v>
      </c>
      <c r="T10" s="737">
        <f t="shared" si="1"/>
        <v>1</v>
      </c>
      <c r="U10" s="2">
        <f t="shared" si="7"/>
        <v>0</v>
      </c>
      <c r="V10" s="2">
        <f t="shared" si="8"/>
        <v>0</v>
      </c>
      <c r="W10" s="2">
        <f t="shared" si="9"/>
        <v>0.97270333333333303</v>
      </c>
      <c r="X10" s="2">
        <f t="shared" si="10"/>
        <v>0.97270333333333303</v>
      </c>
      <c r="Y10" s="2" t="str">
        <f t="shared" si="11"/>
        <v/>
      </c>
      <c r="Z10" s="2" t="str">
        <f t="shared" si="12"/>
        <v/>
      </c>
      <c r="AA10" s="2" t="str">
        <f t="shared" si="13"/>
        <v/>
      </c>
      <c r="AB10" s="2">
        <f t="shared" si="14"/>
        <v>0</v>
      </c>
      <c r="AC10" s="759">
        <v>0</v>
      </c>
      <c r="AD10" s="741">
        <v>2.91811</v>
      </c>
      <c r="AE10" s="741">
        <v>2.91811</v>
      </c>
      <c r="AF10" s="741">
        <v>2.91811</v>
      </c>
      <c r="AG10" s="741">
        <v>2.91811</v>
      </c>
      <c r="AH10" s="741">
        <v>0</v>
      </c>
      <c r="AI10" s="741">
        <v>0</v>
      </c>
      <c r="AJ10" s="741">
        <v>0</v>
      </c>
      <c r="AK10" s="741">
        <v>0</v>
      </c>
      <c r="AL10" s="741">
        <v>0</v>
      </c>
      <c r="AM10" s="741">
        <v>0</v>
      </c>
      <c r="AN10" s="741">
        <v>0</v>
      </c>
      <c r="AO10" s="741">
        <v>0</v>
      </c>
      <c r="AP10" s="41" t="str">
        <f t="shared" si="2"/>
        <v>GLN</v>
      </c>
      <c r="AQ10" s="41" t="str">
        <f t="shared" si="3"/>
        <v>GLNN20</v>
      </c>
      <c r="AR10" s="41" t="str">
        <f t="shared" si="4"/>
        <v>N20</v>
      </c>
    </row>
    <row r="11" spans="1:44" s="41" customFormat="1" ht="12.75" customHeight="1">
      <c r="A11" s="25" t="s">
        <v>17</v>
      </c>
      <c r="B11" s="25" t="str">
        <f t="shared" si="5"/>
        <v>GL105010</v>
      </c>
      <c r="C11" s="638">
        <v>105010</v>
      </c>
      <c r="D11" s="735"/>
      <c r="F11" s="1" t="s">
        <v>22</v>
      </c>
      <c r="H11" s="736">
        <v>0</v>
      </c>
      <c r="I11" s="25"/>
      <c r="J11" s="25"/>
      <c r="K11" s="442" t="str">
        <f t="shared" si="0"/>
        <v/>
      </c>
      <c r="L11" s="736" t="s">
        <v>2438</v>
      </c>
      <c r="M11" s="25" t="str">
        <f t="shared" si="6"/>
        <v>R</v>
      </c>
      <c r="N11" s="25" t="str">
        <f>IF(L11&lt;&gt;"",VLOOKUP(L11,Categories!$B$2:$D$41,2,FALSE),IF(F11&lt;&gt;"","No Cat",""))</f>
        <v>Rate Base</v>
      </c>
      <c r="O11" s="25" t="str">
        <f>IF($L11&lt;&gt;"",VLOOKUP($L11,Categories!$B$2:$D$41,3,FALSE),IF($F11&lt;&gt;"","No Cat",""))</f>
        <v>Utility Plant</v>
      </c>
      <c r="P11" s="736" t="s">
        <v>2482</v>
      </c>
      <c r="Q11" s="25" t="str">
        <f>VLOOKUP($P11,Allocators!$B$7:$F$19,5,FALSE)</f>
        <v>Electric</v>
      </c>
      <c r="R11" s="737">
        <f>VLOOKUP($P11,Allocators!$B$7:$F$19,2,FALSE)</f>
        <v>1</v>
      </c>
      <c r="S11" s="737">
        <f>VLOOKUP($P11,Allocators!$B$7:$F$19,3,FALSE)</f>
        <v>0</v>
      </c>
      <c r="T11" s="737" t="str">
        <f t="shared" si="1"/>
        <v>0.0%</v>
      </c>
      <c r="U11" s="2">
        <f t="shared" si="7"/>
        <v>448.66568999999998</v>
      </c>
      <c r="V11" s="2">
        <f t="shared" si="8"/>
        <v>0</v>
      </c>
      <c r="W11" s="2">
        <f t="shared" si="9"/>
        <v>0</v>
      </c>
      <c r="X11" s="2">
        <f t="shared" si="10"/>
        <v>448.66568999999998</v>
      </c>
      <c r="Y11" s="2">
        <f t="shared" si="11"/>
        <v>448.66568999999998</v>
      </c>
      <c r="Z11" s="2">
        <f t="shared" si="12"/>
        <v>0</v>
      </c>
      <c r="AA11" s="2">
        <f t="shared" si="13"/>
        <v>0</v>
      </c>
      <c r="AB11" s="2">
        <f t="shared" si="14"/>
        <v>448.66568999999998</v>
      </c>
      <c r="AC11" s="759">
        <v>448.66568999999998</v>
      </c>
      <c r="AD11" s="741">
        <v>448.66568999999998</v>
      </c>
      <c r="AE11" s="741">
        <v>448.66568999999998</v>
      </c>
      <c r="AF11" s="741">
        <v>448.66568999999998</v>
      </c>
      <c r="AG11" s="741">
        <v>448.66568999999998</v>
      </c>
      <c r="AH11" s="741">
        <v>448.66568999999998</v>
      </c>
      <c r="AI11" s="741">
        <v>448.66568999999998</v>
      </c>
      <c r="AJ11" s="741">
        <v>448.66568999999998</v>
      </c>
      <c r="AK11" s="741">
        <v>448.66568999999998</v>
      </c>
      <c r="AL11" s="741">
        <v>448.66568999999998</v>
      </c>
      <c r="AM11" s="741">
        <v>448.66568999999998</v>
      </c>
      <c r="AN11" s="741">
        <v>448.66568999999998</v>
      </c>
      <c r="AO11" s="741">
        <v>448.66568999999998</v>
      </c>
      <c r="AP11" s="41" t="str">
        <f t="shared" si="2"/>
        <v>GLR</v>
      </c>
      <c r="AQ11" s="41" t="str">
        <f t="shared" si="3"/>
        <v>GLRR10</v>
      </c>
      <c r="AR11" s="41" t="str">
        <f t="shared" si="4"/>
        <v>R10</v>
      </c>
    </row>
    <row r="12" spans="1:44" s="41" customFormat="1" ht="12.75" customHeight="1">
      <c r="A12" s="25" t="s">
        <v>17</v>
      </c>
      <c r="B12" s="25" t="str">
        <f t="shared" si="5"/>
        <v>GL106010</v>
      </c>
      <c r="C12" s="638">
        <v>106010</v>
      </c>
      <c r="D12" s="735"/>
      <c r="F12" s="1" t="s">
        <v>23</v>
      </c>
      <c r="H12" s="736">
        <v>0</v>
      </c>
      <c r="I12" s="25"/>
      <c r="J12" s="25"/>
      <c r="K12" s="442" t="str">
        <f t="shared" si="0"/>
        <v/>
      </c>
      <c r="L12" s="736" t="s">
        <v>2438</v>
      </c>
      <c r="M12" s="25" t="str">
        <f t="shared" si="6"/>
        <v>R</v>
      </c>
      <c r="N12" s="25" t="str">
        <f>IF(L12&lt;&gt;"",VLOOKUP(L12,Categories!$B$2:$D$41,2,FALSE),IF(F12&lt;&gt;"","No Cat",""))</f>
        <v>Rate Base</v>
      </c>
      <c r="O12" s="25" t="str">
        <f>IF($L12&lt;&gt;"",VLOOKUP($L12,Categories!$B$2:$D$41,3,FALSE),IF($F12&lt;&gt;"","No Cat",""))</f>
        <v>Utility Plant</v>
      </c>
      <c r="P12" s="736" t="s">
        <v>2482</v>
      </c>
      <c r="Q12" s="25" t="str">
        <f>VLOOKUP($P12,Allocators!$B$7:$F$19,5,FALSE)</f>
        <v>Electric</v>
      </c>
      <c r="R12" s="737">
        <f>VLOOKUP($P12,Allocators!$B$7:$F$19,2,FALSE)</f>
        <v>1</v>
      </c>
      <c r="S12" s="737">
        <f>VLOOKUP($P12,Allocators!$B$7:$F$19,3,FALSE)</f>
        <v>0</v>
      </c>
      <c r="T12" s="737" t="str">
        <f t="shared" si="1"/>
        <v>0.0%</v>
      </c>
      <c r="U12" s="2">
        <f t="shared" si="7"/>
        <v>251632.91389458301</v>
      </c>
      <c r="V12" s="2">
        <f t="shared" si="8"/>
        <v>0</v>
      </c>
      <c r="W12" s="2">
        <f t="shared" si="9"/>
        <v>0</v>
      </c>
      <c r="X12" s="2">
        <f t="shared" si="10"/>
        <v>251632.91389458301</v>
      </c>
      <c r="Y12" s="2">
        <f t="shared" si="11"/>
        <v>84348.943180000002</v>
      </c>
      <c r="Z12" s="2">
        <f t="shared" si="12"/>
        <v>0</v>
      </c>
      <c r="AA12" s="2">
        <f t="shared" si="13"/>
        <v>0</v>
      </c>
      <c r="AB12" s="2">
        <f t="shared" si="14"/>
        <v>84348.943180000002</v>
      </c>
      <c r="AC12" s="759">
        <v>403237.75429000001</v>
      </c>
      <c r="AD12" s="741">
        <v>404637.22006000002</v>
      </c>
      <c r="AE12" s="741">
        <v>405620.20545999997</v>
      </c>
      <c r="AF12" s="741">
        <v>409900.09794999997</v>
      </c>
      <c r="AG12" s="741">
        <v>399003.12349000003</v>
      </c>
      <c r="AH12" s="741">
        <v>356446.45980000001</v>
      </c>
      <c r="AI12" s="741">
        <v>195164.97863999999</v>
      </c>
      <c r="AJ12" s="741">
        <v>175987.81322000001</v>
      </c>
      <c r="AK12" s="741">
        <v>121612.95878</v>
      </c>
      <c r="AL12" s="741">
        <v>113627.20864</v>
      </c>
      <c r="AM12" s="741">
        <v>101786.10118000001</v>
      </c>
      <c r="AN12" s="741">
        <v>92015.450779999999</v>
      </c>
      <c r="AO12" s="741">
        <v>84348.943180000002</v>
      </c>
      <c r="AP12" s="41" t="str">
        <f t="shared" si="2"/>
        <v>GLR</v>
      </c>
      <c r="AQ12" s="41" t="str">
        <f t="shared" si="3"/>
        <v>GLRR10</v>
      </c>
      <c r="AR12" s="41" t="str">
        <f t="shared" si="4"/>
        <v>R10</v>
      </c>
    </row>
    <row r="13" spans="1:44" s="41" customFormat="1" ht="12.75" customHeight="1">
      <c r="A13" s="25" t="s">
        <v>17</v>
      </c>
      <c r="B13" s="25" t="str">
        <f t="shared" si="5"/>
        <v>GL106030</v>
      </c>
      <c r="C13" s="638">
        <v>106030</v>
      </c>
      <c r="D13" s="735"/>
      <c r="F13" s="1" t="s">
        <v>24</v>
      </c>
      <c r="H13" s="736">
        <v>0</v>
      </c>
      <c r="I13" s="25"/>
      <c r="J13" s="25"/>
      <c r="K13" s="442" t="str">
        <f t="shared" si="0"/>
        <v/>
      </c>
      <c r="L13" s="736" t="s">
        <v>2438</v>
      </c>
      <c r="M13" s="25" t="str">
        <f t="shared" si="6"/>
        <v>R</v>
      </c>
      <c r="N13" s="25" t="str">
        <f>IF(L13&lt;&gt;"",VLOOKUP(L13,Categories!$B$2:$D$41,2,FALSE),IF(F13&lt;&gt;"","No Cat",""))</f>
        <v>Rate Base</v>
      </c>
      <c r="O13" s="25" t="str">
        <f>IF($L13&lt;&gt;"",VLOOKUP($L13,Categories!$B$2:$D$41,3,FALSE),IF($F13&lt;&gt;"","No Cat",""))</f>
        <v>Utility Plant</v>
      </c>
      <c r="P13" s="736" t="s">
        <v>2483</v>
      </c>
      <c r="Q13" s="25" t="str">
        <f>VLOOKUP($P13,Allocators!$B$7:$F$19,5,FALSE)</f>
        <v>Gas</v>
      </c>
      <c r="R13" s="737">
        <f>VLOOKUP($P13,Allocators!$B$7:$F$19,2,FALSE)</f>
        <v>0</v>
      </c>
      <c r="S13" s="737">
        <f>VLOOKUP($P13,Allocators!$B$7:$F$19,3,FALSE)</f>
        <v>1</v>
      </c>
      <c r="T13" s="737" t="str">
        <f t="shared" si="1"/>
        <v>0.0%</v>
      </c>
      <c r="U13" s="2">
        <f t="shared" si="7"/>
        <v>0</v>
      </c>
      <c r="V13" s="2">
        <f t="shared" si="8"/>
        <v>24025.515234166702</v>
      </c>
      <c r="W13" s="2">
        <f t="shared" si="9"/>
        <v>0</v>
      </c>
      <c r="X13" s="2">
        <f t="shared" si="10"/>
        <v>24025.515234166702</v>
      </c>
      <c r="Y13" s="2">
        <f t="shared" si="11"/>
        <v>0</v>
      </c>
      <c r="Z13" s="2">
        <f t="shared" si="12"/>
        <v>28141.881509999999</v>
      </c>
      <c r="AA13" s="2">
        <f t="shared" si="13"/>
        <v>0</v>
      </c>
      <c r="AB13" s="2">
        <f t="shared" si="14"/>
        <v>28141.881510000003</v>
      </c>
      <c r="AC13" s="759">
        <v>31627.785090000001</v>
      </c>
      <c r="AD13" s="741">
        <v>30529.070199999998</v>
      </c>
      <c r="AE13" s="741">
        <v>27041.780870000002</v>
      </c>
      <c r="AF13" s="741">
        <v>21169.160739999999</v>
      </c>
      <c r="AG13" s="741">
        <v>21673.835930000001</v>
      </c>
      <c r="AH13" s="741">
        <v>20985.256719999998</v>
      </c>
      <c r="AI13" s="741">
        <v>22523.032079999997</v>
      </c>
      <c r="AJ13" s="741">
        <v>21627.019489999999</v>
      </c>
      <c r="AK13" s="741">
        <v>22009.393350000002</v>
      </c>
      <c r="AL13" s="741">
        <v>21514.403170000001</v>
      </c>
      <c r="AM13" s="741">
        <v>24394.315649999997</v>
      </c>
      <c r="AN13" s="741">
        <v>24954.081309999998</v>
      </c>
      <c r="AO13" s="741">
        <v>28141.881510000003</v>
      </c>
      <c r="AP13" s="41" t="str">
        <f t="shared" si="2"/>
        <v>GLR</v>
      </c>
      <c r="AQ13" s="41" t="str">
        <f t="shared" si="3"/>
        <v>GLRR10</v>
      </c>
      <c r="AR13" s="41" t="str">
        <f t="shared" si="4"/>
        <v>R10</v>
      </c>
    </row>
    <row r="14" spans="1:44" s="41" customFormat="1" ht="12.75" customHeight="1">
      <c r="A14" s="25" t="s">
        <v>17</v>
      </c>
      <c r="B14" s="25" t="str">
        <f t="shared" si="5"/>
        <v>GL106070</v>
      </c>
      <c r="C14" s="638">
        <v>106070</v>
      </c>
      <c r="D14" s="735"/>
      <c r="F14" s="1" t="s">
        <v>25</v>
      </c>
      <c r="H14" s="736">
        <v>0</v>
      </c>
      <c r="I14" s="25"/>
      <c r="J14" s="25"/>
      <c r="K14" s="442" t="str">
        <f t="shared" si="0"/>
        <v/>
      </c>
      <c r="L14" s="736" t="s">
        <v>2438</v>
      </c>
      <c r="M14" s="25" t="str">
        <f t="shared" si="6"/>
        <v>R</v>
      </c>
      <c r="N14" s="25" t="str">
        <f>IF(L14&lt;&gt;"",VLOOKUP(L14,Categories!$B$2:$D$41,2,FALSE),IF(F14&lt;&gt;"","No Cat",""))</f>
        <v>Rate Base</v>
      </c>
      <c r="O14" s="25" t="str">
        <f>IF($L14&lt;&gt;"",VLOOKUP($L14,Categories!$B$2:$D$41,3,FALSE),IF($F14&lt;&gt;"","No Cat",""))</f>
        <v>Utility Plant</v>
      </c>
      <c r="P14" s="736" t="s">
        <v>2484</v>
      </c>
      <c r="Q14" s="25" t="str">
        <f>VLOOKUP($P14,Allocators!$B$7:$F$19,5,FALSE)</f>
        <v>Common</v>
      </c>
      <c r="R14" s="737">
        <f>VLOOKUP($P14,Allocators!$B$7:$F$19,2,FALSE)</f>
        <v>0.68589999999999995</v>
      </c>
      <c r="S14" s="737">
        <f>VLOOKUP($P14,Allocators!$B$7:$F$19,3,FALSE)</f>
        <v>0.31409999999999999</v>
      </c>
      <c r="T14" s="737" t="str">
        <f t="shared" si="1"/>
        <v>0.0%</v>
      </c>
      <c r="U14" s="2">
        <f t="shared" si="7"/>
        <v>15703.9943849875</v>
      </c>
      <c r="V14" s="2">
        <f t="shared" si="8"/>
        <v>7191.4632400125001</v>
      </c>
      <c r="W14" s="2">
        <f t="shared" si="9"/>
        <v>0</v>
      </c>
      <c r="X14" s="2">
        <f t="shared" si="10"/>
        <v>22895.457624999999</v>
      </c>
      <c r="Y14" s="2">
        <f t="shared" si="11"/>
        <v>11639.151226901</v>
      </c>
      <c r="Z14" s="2">
        <f t="shared" si="12"/>
        <v>5330.0151630990003</v>
      </c>
      <c r="AA14" s="2">
        <f t="shared" si="13"/>
        <v>0</v>
      </c>
      <c r="AB14" s="2">
        <f t="shared" si="14"/>
        <v>16969.166390000002</v>
      </c>
      <c r="AC14" s="759">
        <v>31633.263149999999</v>
      </c>
      <c r="AD14" s="741">
        <v>32778.523789999999</v>
      </c>
      <c r="AE14" s="741">
        <v>36036.819729999996</v>
      </c>
      <c r="AF14" s="741">
        <v>35082.098090000007</v>
      </c>
      <c r="AG14" s="741">
        <v>22558.98661</v>
      </c>
      <c r="AH14" s="741">
        <v>17132.776829999999</v>
      </c>
      <c r="AI14" s="741">
        <v>18294.478300000002</v>
      </c>
      <c r="AJ14" s="741">
        <v>20091.131120000002</v>
      </c>
      <c r="AK14" s="741">
        <v>20018.361089999999</v>
      </c>
      <c r="AL14" s="741">
        <v>16162.93014</v>
      </c>
      <c r="AM14" s="741">
        <v>15764.777900000001</v>
      </c>
      <c r="AN14" s="741">
        <v>16523.39313</v>
      </c>
      <c r="AO14" s="741">
        <v>16969.166390000002</v>
      </c>
      <c r="AP14" s="41" t="str">
        <f t="shared" si="2"/>
        <v>GLR</v>
      </c>
      <c r="AQ14" s="41" t="str">
        <f t="shared" si="3"/>
        <v>GLRR10</v>
      </c>
      <c r="AR14" s="41" t="str">
        <f t="shared" si="4"/>
        <v>R10</v>
      </c>
    </row>
    <row r="15" spans="1:44" s="41" customFormat="1" ht="12.75" customHeight="1">
      <c r="A15" s="25" t="s">
        <v>17</v>
      </c>
      <c r="B15" s="25" t="str">
        <f t="shared" si="5"/>
        <v>GL107010</v>
      </c>
      <c r="C15" s="638">
        <v>107010</v>
      </c>
      <c r="D15" s="735"/>
      <c r="F15" s="1" t="s">
        <v>26</v>
      </c>
      <c r="H15" s="736">
        <v>0</v>
      </c>
      <c r="I15" s="25"/>
      <c r="J15" s="25"/>
      <c r="K15" s="442" t="str">
        <f t="shared" si="0"/>
        <v/>
      </c>
      <c r="L15" s="736" t="s">
        <v>2449</v>
      </c>
      <c r="M15" s="25" t="str">
        <f t="shared" si="6"/>
        <v>R</v>
      </c>
      <c r="N15" s="25" t="str">
        <f>IF(L15&lt;&gt;"",VLOOKUP(L15,Categories!$B$2:$D$41,2,FALSE),IF(F15&lt;&gt;"","No Cat",""))</f>
        <v>Rate Base</v>
      </c>
      <c r="O15" s="25" t="str">
        <f>IF($L15&lt;&gt;"",VLOOKUP($L15,Categories!$B$2:$D$41,3,FALSE),IF($F15&lt;&gt;"","No Cat",""))</f>
        <v>Uncompleted CWIP</v>
      </c>
      <c r="P15" s="736" t="s">
        <v>2482</v>
      </c>
      <c r="Q15" s="25" t="str">
        <f>VLOOKUP($P15,Allocators!$B$7:$F$19,5,FALSE)</f>
        <v>Electric</v>
      </c>
      <c r="R15" s="737">
        <f>VLOOKUP($P15,Allocators!$B$7:$F$19,2,FALSE)</f>
        <v>1</v>
      </c>
      <c r="S15" s="737">
        <f>VLOOKUP($P15,Allocators!$B$7:$F$19,3,FALSE)</f>
        <v>0</v>
      </c>
      <c r="T15" s="737" t="str">
        <f>IF(P15="N",1,"0.0%")</f>
        <v>0.0%</v>
      </c>
      <c r="U15" s="2">
        <f t="shared" si="7"/>
        <v>176898.19853708299</v>
      </c>
      <c r="V15" s="2">
        <f t="shared" si="8"/>
        <v>0</v>
      </c>
      <c r="W15" s="2">
        <f t="shared" si="9"/>
        <v>0</v>
      </c>
      <c r="X15" s="2">
        <f t="shared" si="10"/>
        <v>176898.19853708299</v>
      </c>
      <c r="Y15" s="2">
        <f t="shared" si="11"/>
        <v>207911.72396999999</v>
      </c>
      <c r="Z15" s="2">
        <f t="shared" si="12"/>
        <v>0</v>
      </c>
      <c r="AA15" s="2">
        <f t="shared" si="13"/>
        <v>0</v>
      </c>
      <c r="AB15" s="2">
        <f t="shared" si="14"/>
        <v>207911.72396999999</v>
      </c>
      <c r="AC15" s="759">
        <v>170378.69560000001</v>
      </c>
      <c r="AD15" s="741">
        <v>168490.40578</v>
      </c>
      <c r="AE15" s="741">
        <v>168920.97052999999</v>
      </c>
      <c r="AF15" s="741">
        <v>164118.75388999999</v>
      </c>
      <c r="AG15" s="741">
        <v>172251.16438</v>
      </c>
      <c r="AH15" s="741">
        <v>172884.11486</v>
      </c>
      <c r="AI15" s="741">
        <v>170549.13341000001</v>
      </c>
      <c r="AJ15" s="741">
        <v>174782.36828999998</v>
      </c>
      <c r="AK15" s="741">
        <v>176700.92631000001</v>
      </c>
      <c r="AL15" s="741">
        <v>183348.63221000001</v>
      </c>
      <c r="AM15" s="741">
        <v>191569.24628999998</v>
      </c>
      <c r="AN15" s="741">
        <v>190017.45671</v>
      </c>
      <c r="AO15" s="741">
        <v>207911.72396999999</v>
      </c>
      <c r="AP15" s="41" t="str">
        <f t="shared" si="2"/>
        <v>GLR</v>
      </c>
      <c r="AQ15" s="41" t="str">
        <f t="shared" si="3"/>
        <v>GLRR20</v>
      </c>
      <c r="AR15" s="41" t="str">
        <f t="shared" si="4"/>
        <v>R20</v>
      </c>
    </row>
    <row r="16" spans="1:44" s="41" customFormat="1" ht="13.5" customHeight="1">
      <c r="A16" s="25" t="s">
        <v>17</v>
      </c>
      <c r="B16" s="25" t="str">
        <f t="shared" si="5"/>
        <v>GL107030</v>
      </c>
      <c r="C16" s="638">
        <v>107030</v>
      </c>
      <c r="D16" s="735"/>
      <c r="F16" s="1" t="s">
        <v>27</v>
      </c>
      <c r="H16" s="736">
        <v>0</v>
      </c>
      <c r="I16" s="25"/>
      <c r="J16" s="25"/>
      <c r="K16" s="442" t="str">
        <f t="shared" si="0"/>
        <v/>
      </c>
      <c r="L16" s="736" t="s">
        <v>2449</v>
      </c>
      <c r="M16" s="25" t="str">
        <f t="shared" si="6"/>
        <v>R</v>
      </c>
      <c r="N16" s="25" t="str">
        <f>IF(L16&lt;&gt;"",VLOOKUP(L16,Categories!$B$2:$D$41,2,FALSE),IF(F16&lt;&gt;"","No Cat",""))</f>
        <v>Rate Base</v>
      </c>
      <c r="O16" s="25" t="str">
        <f>IF($L16&lt;&gt;"",VLOOKUP($L16,Categories!$B$2:$D$41,3,FALSE),IF($F16&lt;&gt;"","No Cat",""))</f>
        <v>Uncompleted CWIP</v>
      </c>
      <c r="P16" s="736" t="s">
        <v>2483</v>
      </c>
      <c r="Q16" s="25" t="str">
        <f>VLOOKUP($P16,Allocators!$B$7:$F$19,5,FALSE)</f>
        <v>Gas</v>
      </c>
      <c r="R16" s="737">
        <f>VLOOKUP($P16,Allocators!$B$7:$F$19,2,FALSE)</f>
        <v>0</v>
      </c>
      <c r="S16" s="737">
        <f>VLOOKUP($P16,Allocators!$B$7:$F$19,3,FALSE)</f>
        <v>1</v>
      </c>
      <c r="T16" s="737" t="str">
        <f t="shared" ref="T16:T84" si="15">IF(P16="N",1,"0.0%")</f>
        <v>0.0%</v>
      </c>
      <c r="U16" s="2">
        <f t="shared" si="7"/>
        <v>0</v>
      </c>
      <c r="V16" s="2">
        <f t="shared" si="8"/>
        <v>6279.3047933333301</v>
      </c>
      <c r="W16" s="2">
        <f t="shared" si="9"/>
        <v>0</v>
      </c>
      <c r="X16" s="2">
        <f t="shared" si="10"/>
        <v>6279.3047933333301</v>
      </c>
      <c r="Y16" s="2">
        <f t="shared" si="11"/>
        <v>0</v>
      </c>
      <c r="Z16" s="2">
        <f t="shared" si="12"/>
        <v>6172.4393300000002</v>
      </c>
      <c r="AA16" s="2">
        <f t="shared" si="13"/>
        <v>0</v>
      </c>
      <c r="AB16" s="2">
        <f t="shared" si="14"/>
        <v>6172.4393300000002</v>
      </c>
      <c r="AC16" s="759">
        <v>5049.9771500000006</v>
      </c>
      <c r="AD16" s="741">
        <v>4907.3241399999997</v>
      </c>
      <c r="AE16" s="741">
        <v>5330.6414699999996</v>
      </c>
      <c r="AF16" s="741">
        <v>5393.1762900000003</v>
      </c>
      <c r="AG16" s="741">
        <v>5452.8038799999995</v>
      </c>
      <c r="AH16" s="741">
        <v>5401.0000300000002</v>
      </c>
      <c r="AI16" s="741">
        <v>6332.5996500000001</v>
      </c>
      <c r="AJ16" s="741">
        <v>6621.7073099999998</v>
      </c>
      <c r="AK16" s="741">
        <v>8438.2021600000007</v>
      </c>
      <c r="AL16" s="741">
        <v>8840.5419199999997</v>
      </c>
      <c r="AM16" s="741">
        <v>6692.29972</v>
      </c>
      <c r="AN16" s="741">
        <v>6330.1527100000003</v>
      </c>
      <c r="AO16" s="741">
        <v>6172.4393300000002</v>
      </c>
      <c r="AP16" s="41" t="str">
        <f t="shared" si="2"/>
        <v>GLR</v>
      </c>
      <c r="AQ16" s="41" t="str">
        <f t="shared" si="3"/>
        <v>GLRR20</v>
      </c>
      <c r="AR16" s="41" t="str">
        <f t="shared" si="4"/>
        <v>R20</v>
      </c>
    </row>
    <row r="17" spans="1:44" s="41" customFormat="1" ht="12.75" customHeight="1">
      <c r="A17" s="25" t="s">
        <v>17</v>
      </c>
      <c r="B17" s="25" t="str">
        <f t="shared" si="5"/>
        <v>GL107070</v>
      </c>
      <c r="C17" s="638">
        <v>107070</v>
      </c>
      <c r="D17" s="735"/>
      <c r="F17" s="1" t="s">
        <v>28</v>
      </c>
      <c r="H17" s="736">
        <v>0</v>
      </c>
      <c r="I17" s="25"/>
      <c r="J17" s="25"/>
      <c r="K17" s="442" t="str">
        <f t="shared" si="0"/>
        <v/>
      </c>
      <c r="L17" s="736" t="s">
        <v>2449</v>
      </c>
      <c r="M17" s="25" t="str">
        <f t="shared" si="6"/>
        <v>R</v>
      </c>
      <c r="N17" s="25" t="str">
        <f>IF(L17&lt;&gt;"",VLOOKUP(L17,Categories!$B$2:$D$41,2,FALSE),IF(F17&lt;&gt;"","No Cat",""))</f>
        <v>Rate Base</v>
      </c>
      <c r="O17" s="25" t="str">
        <f>IF($L17&lt;&gt;"",VLOOKUP($L17,Categories!$B$2:$D$41,3,FALSE),IF($F17&lt;&gt;"","No Cat",""))</f>
        <v>Uncompleted CWIP</v>
      </c>
      <c r="P17" s="736" t="s">
        <v>2484</v>
      </c>
      <c r="Q17" s="25" t="str">
        <f>VLOOKUP($P17,Allocators!$B$7:$F$19,5,FALSE)</f>
        <v>Common</v>
      </c>
      <c r="R17" s="737">
        <f>VLOOKUP($P17,Allocators!$B$7:$F$19,2,FALSE)</f>
        <v>0.68589999999999995</v>
      </c>
      <c r="S17" s="737">
        <f>VLOOKUP($P17,Allocators!$B$7:$F$19,3,FALSE)</f>
        <v>0.31409999999999999</v>
      </c>
      <c r="T17" s="737" t="str">
        <f t="shared" si="15"/>
        <v>0.0%</v>
      </c>
      <c r="U17" s="2">
        <f t="shared" si="7"/>
        <v>8599.6533504483705</v>
      </c>
      <c r="V17" s="2">
        <f t="shared" si="8"/>
        <v>3938.1121408016202</v>
      </c>
      <c r="W17" s="2">
        <f t="shared" si="9"/>
        <v>0</v>
      </c>
      <c r="X17" s="2">
        <f t="shared" si="10"/>
        <v>12537.76549125</v>
      </c>
      <c r="Y17" s="2">
        <f t="shared" si="11"/>
        <v>13455.016879261</v>
      </c>
      <c r="Z17" s="2">
        <f t="shared" si="12"/>
        <v>6161.5699107390001</v>
      </c>
      <c r="AA17" s="2">
        <f t="shared" si="13"/>
        <v>0</v>
      </c>
      <c r="AB17" s="2">
        <f t="shared" si="14"/>
        <v>19616.586789999998</v>
      </c>
      <c r="AC17" s="759">
        <v>15812.693019999999</v>
      </c>
      <c r="AD17" s="741">
        <v>14840.95039</v>
      </c>
      <c r="AE17" s="741">
        <v>11568.07978</v>
      </c>
      <c r="AF17" s="741">
        <v>9833.7703000000001</v>
      </c>
      <c r="AG17" s="741">
        <v>9376.0868399999999</v>
      </c>
      <c r="AH17" s="741">
        <v>10237.714039999999</v>
      </c>
      <c r="AI17" s="741">
        <v>10821.1949</v>
      </c>
      <c r="AJ17" s="741">
        <v>11623.39553</v>
      </c>
      <c r="AK17" s="741">
        <v>12272.534830000001</v>
      </c>
      <c r="AL17" s="741">
        <v>12854.75252</v>
      </c>
      <c r="AM17" s="741">
        <v>14084.71759</v>
      </c>
      <c r="AN17" s="741">
        <v>15225.349269999999</v>
      </c>
      <c r="AO17" s="741">
        <v>19616.586789999998</v>
      </c>
      <c r="AP17" s="41" t="str">
        <f t="shared" si="2"/>
        <v>GLR</v>
      </c>
      <c r="AQ17" s="41" t="str">
        <f t="shared" si="3"/>
        <v>GLRR20</v>
      </c>
      <c r="AR17" s="41" t="str">
        <f t="shared" si="4"/>
        <v>R20</v>
      </c>
    </row>
    <row r="18" spans="1:44" s="41" customFormat="1" ht="12.75" customHeight="1">
      <c r="A18" s="25" t="s">
        <v>17</v>
      </c>
      <c r="B18" s="25" t="str">
        <f t="shared" si="5"/>
        <v>GL108008</v>
      </c>
      <c r="C18" s="638">
        <v>108008</v>
      </c>
      <c r="D18" s="735"/>
      <c r="F18" s="1" t="s">
        <v>29</v>
      </c>
      <c r="H18" s="736">
        <v>0</v>
      </c>
      <c r="I18" s="25"/>
      <c r="J18" s="25"/>
      <c r="K18" s="442" t="str">
        <f t="shared" si="0"/>
        <v/>
      </c>
      <c r="L18" s="736" t="s">
        <v>2451</v>
      </c>
      <c r="M18" s="25" t="str">
        <f t="shared" si="6"/>
        <v>R</v>
      </c>
      <c r="N18" s="25" t="str">
        <f>IF(L18&lt;&gt;"",VLOOKUP(L18,Categories!$B$2:$D$41,2,FALSE),IF(F18&lt;&gt;"","No Cat",""))</f>
        <v>Rate Base</v>
      </c>
      <c r="O18" s="25" t="str">
        <f>IF($L18&lt;&gt;"",VLOOKUP($L18,Categories!$B$2:$D$41,3,FALSE),IF($F18&lt;&gt;"","No Cat",""))</f>
        <v>Depreciation Reserve</v>
      </c>
      <c r="P18" s="736" t="s">
        <v>2468</v>
      </c>
      <c r="Q18" s="25" t="str">
        <f>VLOOKUP($P18,Allocators!$B$7:$F$19,5,FALSE)</f>
        <v>Not in Rate Base</v>
      </c>
      <c r="R18" s="737">
        <f>VLOOKUP($P18,Allocators!$B$7:$F$19,2,FALSE)</f>
        <v>0</v>
      </c>
      <c r="S18" s="737">
        <f>VLOOKUP($P18,Allocators!$B$7:$F$19,3,FALSE)</f>
        <v>0</v>
      </c>
      <c r="T18" s="737">
        <f t="shared" si="15"/>
        <v>1</v>
      </c>
      <c r="U18" s="2" t="str">
        <f t="shared" si="7"/>
        <v/>
      </c>
      <c r="V18" s="2" t="str">
        <f t="shared" si="8"/>
        <v/>
      </c>
      <c r="W18" s="2" t="str">
        <f t="shared" si="9"/>
        <v/>
      </c>
      <c r="X18" s="2">
        <f t="shared" si="10"/>
        <v>0</v>
      </c>
      <c r="Y18" s="2" t="str">
        <f t="shared" si="11"/>
        <v/>
      </c>
      <c r="Z18" s="2" t="str">
        <f t="shared" si="12"/>
        <v/>
      </c>
      <c r="AA18" s="2" t="str">
        <f t="shared" si="13"/>
        <v/>
      </c>
      <c r="AB18" s="2">
        <f t="shared" si="14"/>
        <v>0</v>
      </c>
      <c r="AC18" s="759">
        <v>0</v>
      </c>
      <c r="AD18" s="741">
        <v>0</v>
      </c>
      <c r="AE18" s="741">
        <v>0</v>
      </c>
      <c r="AF18" s="741">
        <v>0</v>
      </c>
      <c r="AG18" s="741">
        <v>0</v>
      </c>
      <c r="AH18" s="741">
        <v>0</v>
      </c>
      <c r="AI18" s="741">
        <v>0</v>
      </c>
      <c r="AJ18" s="741">
        <v>0</v>
      </c>
      <c r="AK18" s="741">
        <v>0</v>
      </c>
      <c r="AL18" s="741">
        <v>0</v>
      </c>
      <c r="AM18" s="741">
        <v>0</v>
      </c>
      <c r="AN18" s="741">
        <v>0</v>
      </c>
      <c r="AO18" s="741">
        <v>0</v>
      </c>
      <c r="AP18" s="41" t="str">
        <f t="shared" si="2"/>
        <v>GLR</v>
      </c>
      <c r="AQ18" s="41" t="str">
        <f t="shared" si="3"/>
        <v>GLRR30</v>
      </c>
      <c r="AR18" s="41" t="str">
        <f t="shared" si="4"/>
        <v>R30</v>
      </c>
    </row>
    <row r="19" spans="1:44" s="41" customFormat="1" ht="12.75" customHeight="1">
      <c r="A19" s="25" t="s">
        <v>17</v>
      </c>
      <c r="B19" s="25" t="str">
        <f t="shared" si="5"/>
        <v>GL108009</v>
      </c>
      <c r="C19" s="638">
        <v>108009</v>
      </c>
      <c r="D19" s="735"/>
      <c r="F19" s="1" t="s">
        <v>30</v>
      </c>
      <c r="H19" s="736" t="s">
        <v>2694</v>
      </c>
      <c r="I19" s="25"/>
      <c r="J19" s="25"/>
      <c r="K19" s="442" t="str">
        <f t="shared" si="0"/>
        <v/>
      </c>
      <c r="L19" s="736" t="s">
        <v>2441</v>
      </c>
      <c r="M19" s="25" t="str">
        <f t="shared" si="6"/>
        <v>R</v>
      </c>
      <c r="N19" s="25" t="str">
        <f>IF(L19&lt;&gt;"",VLOOKUP(L19,Categories!$B$2:$D$41,2,FALSE),IF(F19&lt;&gt;"","No Cat",""))</f>
        <v>Rate Base</v>
      </c>
      <c r="O19" s="25" t="str">
        <f>IF($L19&lt;&gt;"",VLOOKUP($L19,Categories!$B$2:$D$41,3,FALSE),IF($F19&lt;&gt;"","No Cat",""))</f>
        <v>Deferred Debits &amp; Credits</v>
      </c>
      <c r="P19" s="736" t="s">
        <v>2482</v>
      </c>
      <c r="Q19" s="25" t="str">
        <f>VLOOKUP($P19,Allocators!$B$7:$F$19,5,FALSE)</f>
        <v>Electric</v>
      </c>
      <c r="R19" s="737">
        <f>VLOOKUP($P19,Allocators!$B$7:$F$19,2,FALSE)</f>
        <v>1</v>
      </c>
      <c r="S19" s="737">
        <f>VLOOKUP($P19,Allocators!$B$7:$F$19,3,FALSE)</f>
        <v>0</v>
      </c>
      <c r="T19" s="737" t="str">
        <f t="shared" si="15"/>
        <v>0.0%</v>
      </c>
      <c r="U19" s="2" t="str">
        <f t="shared" si="7"/>
        <v/>
      </c>
      <c r="V19" s="2" t="str">
        <f t="shared" si="8"/>
        <v/>
      </c>
      <c r="W19" s="2" t="str">
        <f t="shared" si="9"/>
        <v/>
      </c>
      <c r="X19" s="2">
        <f t="shared" si="10"/>
        <v>0</v>
      </c>
      <c r="Y19" s="2" t="str">
        <f t="shared" si="11"/>
        <v/>
      </c>
      <c r="Z19" s="2" t="str">
        <f t="shared" si="12"/>
        <v/>
      </c>
      <c r="AA19" s="2" t="str">
        <f t="shared" si="13"/>
        <v/>
      </c>
      <c r="AB19" s="2">
        <f t="shared" si="14"/>
        <v>0</v>
      </c>
      <c r="AC19" s="759">
        <v>0</v>
      </c>
      <c r="AD19" s="741">
        <v>0</v>
      </c>
      <c r="AE19" s="741">
        <v>0</v>
      </c>
      <c r="AF19" s="741">
        <v>0</v>
      </c>
      <c r="AG19" s="741">
        <v>0</v>
      </c>
      <c r="AH19" s="741">
        <v>0</v>
      </c>
      <c r="AI19" s="741">
        <v>0</v>
      </c>
      <c r="AJ19" s="741">
        <v>0</v>
      </c>
      <c r="AK19" s="741">
        <v>0</v>
      </c>
      <c r="AL19" s="741">
        <v>0</v>
      </c>
      <c r="AM19" s="741">
        <v>0</v>
      </c>
      <c r="AN19" s="741">
        <v>0</v>
      </c>
      <c r="AO19" s="741">
        <v>0</v>
      </c>
      <c r="AP19" s="41" t="str">
        <f t="shared" si="2"/>
        <v>GLR</v>
      </c>
      <c r="AQ19" s="41" t="str">
        <f t="shared" si="3"/>
        <v>GLRR10Russell Decommissioning Reserve</v>
      </c>
      <c r="AR19" s="41" t="str">
        <f t="shared" si="4"/>
        <v>R10Russell Decommissioning Reserve</v>
      </c>
    </row>
    <row r="20" spans="1:44" s="41" customFormat="1" ht="12.75" customHeight="1">
      <c r="A20" s="25" t="s">
        <v>17</v>
      </c>
      <c r="B20" s="25" t="str">
        <f t="shared" si="5"/>
        <v>GL108010</v>
      </c>
      <c r="C20" s="638">
        <v>108010</v>
      </c>
      <c r="D20" s="735"/>
      <c r="F20" s="1" t="s">
        <v>31</v>
      </c>
      <c r="H20" s="736">
        <v>0</v>
      </c>
      <c r="I20" s="25"/>
      <c r="J20" s="25"/>
      <c r="K20" s="442" t="str">
        <f t="shared" si="0"/>
        <v/>
      </c>
      <c r="L20" s="736" t="s">
        <v>2451</v>
      </c>
      <c r="M20" s="25" t="str">
        <f t="shared" si="6"/>
        <v>R</v>
      </c>
      <c r="N20" s="25" t="str">
        <f>IF(L20&lt;&gt;"",VLOOKUP(L20,Categories!$B$2:$D$41,2,FALSE),IF(F20&lt;&gt;"","No Cat",""))</f>
        <v>Rate Base</v>
      </c>
      <c r="O20" s="25" t="str">
        <f>IF($L20&lt;&gt;"",VLOOKUP($L20,Categories!$B$2:$D$41,3,FALSE),IF($F20&lt;&gt;"","No Cat",""))</f>
        <v>Depreciation Reserve</v>
      </c>
      <c r="P20" s="736" t="s">
        <v>2482</v>
      </c>
      <c r="Q20" s="25" t="str">
        <f>VLOOKUP($P20,Allocators!$B$7:$F$19,5,FALSE)</f>
        <v>Electric</v>
      </c>
      <c r="R20" s="737">
        <f>VLOOKUP($P20,Allocators!$B$7:$F$19,2,FALSE)</f>
        <v>1</v>
      </c>
      <c r="S20" s="737">
        <f>VLOOKUP($P20,Allocators!$B$7:$F$19,3,FALSE)</f>
        <v>0</v>
      </c>
      <c r="T20" s="737" t="str">
        <f t="shared" si="15"/>
        <v>0.0%</v>
      </c>
      <c r="U20" s="2">
        <f t="shared" si="7"/>
        <v>-541999.74340749998</v>
      </c>
      <c r="V20" s="2">
        <f t="shared" si="8"/>
        <v>0</v>
      </c>
      <c r="W20" s="2">
        <f t="shared" si="9"/>
        <v>0</v>
      </c>
      <c r="X20" s="2">
        <f t="shared" si="10"/>
        <v>-541999.74340749998</v>
      </c>
      <c r="Y20" s="2">
        <f t="shared" si="11"/>
        <v>-537085.78688000003</v>
      </c>
      <c r="Z20" s="2">
        <f t="shared" si="12"/>
        <v>0</v>
      </c>
      <c r="AA20" s="2">
        <f t="shared" si="13"/>
        <v>0</v>
      </c>
      <c r="AB20" s="2">
        <f t="shared" si="14"/>
        <v>-537085.78688000003</v>
      </c>
      <c r="AC20" s="759">
        <v>-540774.45455999998</v>
      </c>
      <c r="AD20" s="741">
        <v>-542638.36651999992</v>
      </c>
      <c r="AE20" s="741">
        <v>-544009.92933000007</v>
      </c>
      <c r="AF20" s="741">
        <v>-545536.01787999994</v>
      </c>
      <c r="AG20" s="741">
        <v>-547313.40009999997</v>
      </c>
      <c r="AH20" s="741">
        <v>-549351.06824000005</v>
      </c>
      <c r="AI20" s="741">
        <v>-534436.39789999998</v>
      </c>
      <c r="AJ20" s="741">
        <v>-536512.14382999996</v>
      </c>
      <c r="AK20" s="741">
        <v>-539108.15136000002</v>
      </c>
      <c r="AL20" s="741">
        <v>-541004.30265999993</v>
      </c>
      <c r="AM20" s="741">
        <v>-541983.56425000005</v>
      </c>
      <c r="AN20" s="741">
        <v>-543173.45810000005</v>
      </c>
      <c r="AO20" s="741">
        <v>-537085.78688000003</v>
      </c>
      <c r="AP20" s="41" t="str">
        <f t="shared" si="2"/>
        <v>GLR</v>
      </c>
      <c r="AQ20" s="41" t="str">
        <f t="shared" si="3"/>
        <v>GLRR30</v>
      </c>
      <c r="AR20" s="41" t="str">
        <f t="shared" si="4"/>
        <v>R30</v>
      </c>
    </row>
    <row r="21" spans="1:44" s="41" customFormat="1" ht="12.75" customHeight="1">
      <c r="A21" s="25" t="s">
        <v>17</v>
      </c>
      <c r="B21" s="25" t="str">
        <f t="shared" si="5"/>
        <v>GL108011</v>
      </c>
      <c r="C21" s="638">
        <v>108011</v>
      </c>
      <c r="D21" s="735"/>
      <c r="F21" s="1" t="s">
        <v>32</v>
      </c>
      <c r="H21" s="736">
        <v>0</v>
      </c>
      <c r="I21" s="25"/>
      <c r="J21" s="25"/>
      <c r="K21" s="442" t="str">
        <f t="shared" si="0"/>
        <v/>
      </c>
      <c r="L21" s="736" t="s">
        <v>2451</v>
      </c>
      <c r="M21" s="25" t="str">
        <f t="shared" si="6"/>
        <v>R</v>
      </c>
      <c r="N21" s="25" t="str">
        <f>IF(L21&lt;&gt;"",VLOOKUP(L21,Categories!$B$2:$D$41,2,FALSE),IF(F21&lt;&gt;"","No Cat",""))</f>
        <v>Rate Base</v>
      </c>
      <c r="O21" s="25" t="str">
        <f>IF($L21&lt;&gt;"",VLOOKUP($L21,Categories!$B$2:$D$41,3,FALSE),IF($F21&lt;&gt;"","No Cat",""))</f>
        <v>Depreciation Reserve</v>
      </c>
      <c r="P21" s="736" t="s">
        <v>2482</v>
      </c>
      <c r="Q21" s="25" t="str">
        <f>VLOOKUP($P21,Allocators!$B$7:$F$19,5,FALSE)</f>
        <v>Electric</v>
      </c>
      <c r="R21" s="737">
        <f>VLOOKUP($P21,Allocators!$B$7:$F$19,2,FALSE)</f>
        <v>1</v>
      </c>
      <c r="S21" s="737">
        <f>VLOOKUP($P21,Allocators!$B$7:$F$19,3,FALSE)</f>
        <v>0</v>
      </c>
      <c r="T21" s="737" t="str">
        <f t="shared" si="15"/>
        <v>0.0%</v>
      </c>
      <c r="U21" s="2" t="str">
        <f t="shared" si="7"/>
        <v/>
      </c>
      <c r="V21" s="2" t="str">
        <f t="shared" si="8"/>
        <v/>
      </c>
      <c r="W21" s="2" t="str">
        <f t="shared" si="9"/>
        <v/>
      </c>
      <c r="X21" s="2">
        <f t="shared" si="10"/>
        <v>0</v>
      </c>
      <c r="Y21" s="2" t="str">
        <f t="shared" si="11"/>
        <v/>
      </c>
      <c r="Z21" s="2" t="str">
        <f t="shared" si="12"/>
        <v/>
      </c>
      <c r="AA21" s="2" t="str">
        <f t="shared" si="13"/>
        <v/>
      </c>
      <c r="AB21" s="2">
        <f t="shared" si="14"/>
        <v>0</v>
      </c>
      <c r="AC21" s="759">
        <v>0</v>
      </c>
      <c r="AD21" s="741">
        <v>0</v>
      </c>
      <c r="AE21" s="741">
        <v>0</v>
      </c>
      <c r="AF21" s="741">
        <v>0</v>
      </c>
      <c r="AG21" s="741">
        <v>0</v>
      </c>
      <c r="AH21" s="741">
        <v>0</v>
      </c>
      <c r="AI21" s="741">
        <v>0</v>
      </c>
      <c r="AJ21" s="741">
        <v>0</v>
      </c>
      <c r="AK21" s="741">
        <v>0</v>
      </c>
      <c r="AL21" s="741">
        <v>0</v>
      </c>
      <c r="AM21" s="741">
        <v>0</v>
      </c>
      <c r="AN21" s="741">
        <v>0</v>
      </c>
      <c r="AO21" s="741">
        <v>0</v>
      </c>
      <c r="AP21" s="41" t="str">
        <f t="shared" si="2"/>
        <v>GLR</v>
      </c>
      <c r="AQ21" s="41" t="str">
        <f t="shared" si="3"/>
        <v>GLRR30</v>
      </c>
      <c r="AR21" s="41" t="str">
        <f t="shared" si="4"/>
        <v>R30</v>
      </c>
    </row>
    <row r="22" spans="1:44" s="41" customFormat="1" ht="12.75" customHeight="1">
      <c r="A22" s="25" t="s">
        <v>17</v>
      </c>
      <c r="B22" s="25" t="str">
        <f t="shared" si="5"/>
        <v>GL108015</v>
      </c>
      <c r="C22" s="638">
        <v>108015</v>
      </c>
      <c r="D22" s="735"/>
      <c r="F22" s="1" t="s">
        <v>33</v>
      </c>
      <c r="H22" s="736">
        <v>0</v>
      </c>
      <c r="I22" s="25"/>
      <c r="J22" s="25"/>
      <c r="K22" s="442" t="str">
        <f t="shared" si="0"/>
        <v/>
      </c>
      <c r="L22" s="736" t="s">
        <v>2451</v>
      </c>
      <c r="M22" s="25" t="str">
        <f t="shared" si="6"/>
        <v>R</v>
      </c>
      <c r="N22" s="25" t="str">
        <f>IF(L22&lt;&gt;"",VLOOKUP(L22,Categories!$B$2:$D$41,2,FALSE),IF(F22&lt;&gt;"","No Cat",""))</f>
        <v>Rate Base</v>
      </c>
      <c r="O22" s="25" t="str">
        <f>IF($L22&lt;&gt;"",VLOOKUP($L22,Categories!$B$2:$D$41,3,FALSE),IF($F22&lt;&gt;"","No Cat",""))</f>
        <v>Depreciation Reserve</v>
      </c>
      <c r="P22" s="736" t="s">
        <v>2482</v>
      </c>
      <c r="Q22" s="25" t="str">
        <f>VLOOKUP($P22,Allocators!$B$7:$F$19,5,FALSE)</f>
        <v>Electric</v>
      </c>
      <c r="R22" s="737">
        <f>VLOOKUP($P22,Allocators!$B$7:$F$19,2,FALSE)</f>
        <v>1</v>
      </c>
      <c r="S22" s="737">
        <f>VLOOKUP($P22,Allocators!$B$7:$F$19,3,FALSE)</f>
        <v>0</v>
      </c>
      <c r="T22" s="737" t="str">
        <f t="shared" si="15"/>
        <v>0.0%</v>
      </c>
      <c r="U22" s="2" t="str">
        <f t="shared" si="7"/>
        <v/>
      </c>
      <c r="V22" s="2" t="str">
        <f t="shared" si="8"/>
        <v/>
      </c>
      <c r="W22" s="2" t="str">
        <f t="shared" si="9"/>
        <v/>
      </c>
      <c r="X22" s="2">
        <f t="shared" si="10"/>
        <v>0</v>
      </c>
      <c r="Y22" s="2" t="str">
        <f t="shared" si="11"/>
        <v/>
      </c>
      <c r="Z22" s="2" t="str">
        <f t="shared" si="12"/>
        <v/>
      </c>
      <c r="AA22" s="2" t="str">
        <f t="shared" si="13"/>
        <v/>
      </c>
      <c r="AB22" s="2">
        <f t="shared" si="14"/>
        <v>0</v>
      </c>
      <c r="AC22" s="759">
        <v>0</v>
      </c>
      <c r="AD22" s="741">
        <v>0</v>
      </c>
      <c r="AE22" s="741">
        <v>0</v>
      </c>
      <c r="AF22" s="741">
        <v>0</v>
      </c>
      <c r="AG22" s="741">
        <v>0</v>
      </c>
      <c r="AH22" s="741">
        <v>0</v>
      </c>
      <c r="AI22" s="741">
        <v>0</v>
      </c>
      <c r="AJ22" s="741">
        <v>0</v>
      </c>
      <c r="AK22" s="741">
        <v>0</v>
      </c>
      <c r="AL22" s="741">
        <v>0</v>
      </c>
      <c r="AM22" s="741">
        <v>0</v>
      </c>
      <c r="AN22" s="741">
        <v>0</v>
      </c>
      <c r="AO22" s="741">
        <v>0</v>
      </c>
      <c r="AP22" s="41" t="str">
        <f t="shared" si="2"/>
        <v>GLR</v>
      </c>
      <c r="AQ22" s="41" t="str">
        <f t="shared" si="3"/>
        <v>GLRR30</v>
      </c>
      <c r="AR22" s="41" t="str">
        <f t="shared" si="4"/>
        <v>R30</v>
      </c>
    </row>
    <row r="23" spans="1:44" s="41" customFormat="1" ht="12.75" customHeight="1">
      <c r="A23" s="25" t="s">
        <v>17</v>
      </c>
      <c r="B23" s="25" t="str">
        <f t="shared" si="5"/>
        <v>GL108016</v>
      </c>
      <c r="C23" s="638">
        <v>108016</v>
      </c>
      <c r="D23" s="735"/>
      <c r="F23" s="1" t="s">
        <v>34</v>
      </c>
      <c r="H23" s="736">
        <v>0</v>
      </c>
      <c r="I23" s="25"/>
      <c r="J23" s="25"/>
      <c r="K23" s="442" t="str">
        <f t="shared" si="0"/>
        <v/>
      </c>
      <c r="L23" s="736" t="s">
        <v>2451</v>
      </c>
      <c r="M23" s="25" t="str">
        <f t="shared" si="6"/>
        <v>R</v>
      </c>
      <c r="N23" s="25" t="str">
        <f>IF(L23&lt;&gt;"",VLOOKUP(L23,Categories!$B$2:$D$41,2,FALSE),IF(F23&lt;&gt;"","No Cat",""))</f>
        <v>Rate Base</v>
      </c>
      <c r="O23" s="25" t="str">
        <f>IF($L23&lt;&gt;"",VLOOKUP($L23,Categories!$B$2:$D$41,3,FALSE),IF($F23&lt;&gt;"","No Cat",""))</f>
        <v>Depreciation Reserve</v>
      </c>
      <c r="P23" s="736" t="s">
        <v>2484</v>
      </c>
      <c r="Q23" s="25" t="str">
        <f>VLOOKUP($P23,Allocators!$B$7:$F$19,5,FALSE)</f>
        <v>Common</v>
      </c>
      <c r="R23" s="737">
        <f>VLOOKUP($P23,Allocators!$B$7:$F$19,2,FALSE)</f>
        <v>0.68589999999999995</v>
      </c>
      <c r="S23" s="737">
        <f>VLOOKUP($P23,Allocators!$B$7:$F$19,3,FALSE)</f>
        <v>0.31409999999999999</v>
      </c>
      <c r="T23" s="737" t="str">
        <f t="shared" si="15"/>
        <v>0.0%</v>
      </c>
      <c r="U23" s="2" t="str">
        <f t="shared" si="7"/>
        <v/>
      </c>
      <c r="V23" s="2" t="str">
        <f t="shared" si="8"/>
        <v/>
      </c>
      <c r="W23" s="2" t="str">
        <f t="shared" si="9"/>
        <v/>
      </c>
      <c r="X23" s="2">
        <f t="shared" si="10"/>
        <v>0</v>
      </c>
      <c r="Y23" s="2" t="str">
        <f t="shared" si="11"/>
        <v/>
      </c>
      <c r="Z23" s="2" t="str">
        <f t="shared" si="12"/>
        <v/>
      </c>
      <c r="AA23" s="2" t="str">
        <f t="shared" si="13"/>
        <v/>
      </c>
      <c r="AB23" s="2">
        <f t="shared" si="14"/>
        <v>0</v>
      </c>
      <c r="AC23" s="759">
        <v>0</v>
      </c>
      <c r="AD23" s="741">
        <v>0</v>
      </c>
      <c r="AE23" s="741">
        <v>0</v>
      </c>
      <c r="AF23" s="741">
        <v>0</v>
      </c>
      <c r="AG23" s="741">
        <v>0</v>
      </c>
      <c r="AH23" s="741">
        <v>0</v>
      </c>
      <c r="AI23" s="741">
        <v>0</v>
      </c>
      <c r="AJ23" s="741">
        <v>0</v>
      </c>
      <c r="AK23" s="741">
        <v>0</v>
      </c>
      <c r="AL23" s="741">
        <v>0</v>
      </c>
      <c r="AM23" s="741">
        <v>0</v>
      </c>
      <c r="AN23" s="741">
        <v>0</v>
      </c>
      <c r="AO23" s="741">
        <v>0</v>
      </c>
      <c r="AP23" s="41" t="str">
        <f t="shared" si="2"/>
        <v>GLR</v>
      </c>
      <c r="AQ23" s="41" t="str">
        <f t="shared" si="3"/>
        <v>GLRR30</v>
      </c>
      <c r="AR23" s="41" t="str">
        <f t="shared" si="4"/>
        <v>R30</v>
      </c>
    </row>
    <row r="24" spans="1:44" s="41" customFormat="1" ht="12.75" customHeight="1">
      <c r="A24" s="25" t="s">
        <v>17</v>
      </c>
      <c r="B24" s="25" t="str">
        <f t="shared" si="5"/>
        <v>GL108019</v>
      </c>
      <c r="C24" s="638">
        <v>108019</v>
      </c>
      <c r="D24" s="735"/>
      <c r="F24" s="1" t="s">
        <v>35</v>
      </c>
      <c r="H24" s="736">
        <v>0</v>
      </c>
      <c r="I24" s="25"/>
      <c r="J24" s="25"/>
      <c r="K24" s="442" t="str">
        <f t="shared" si="0"/>
        <v/>
      </c>
      <c r="L24" s="736" t="s">
        <v>2451</v>
      </c>
      <c r="M24" s="25" t="str">
        <f t="shared" si="6"/>
        <v>R</v>
      </c>
      <c r="N24" s="25" t="str">
        <f>IF(L24&lt;&gt;"",VLOOKUP(L24,Categories!$B$2:$D$41,2,FALSE),IF(F24&lt;&gt;"","No Cat",""))</f>
        <v>Rate Base</v>
      </c>
      <c r="O24" s="25" t="str">
        <f>IF($L24&lt;&gt;"",VLOOKUP($L24,Categories!$B$2:$D$41,3,FALSE),IF($F24&lt;&gt;"","No Cat",""))</f>
        <v>Depreciation Reserve</v>
      </c>
      <c r="P24" s="736" t="s">
        <v>2482</v>
      </c>
      <c r="Q24" s="25" t="str">
        <f>VLOOKUP($P24,Allocators!$B$7:$F$19,5,FALSE)</f>
        <v>Electric</v>
      </c>
      <c r="R24" s="737">
        <f>VLOOKUP($P24,Allocators!$B$7:$F$19,2,FALSE)</f>
        <v>1</v>
      </c>
      <c r="S24" s="737">
        <f>VLOOKUP($P24,Allocators!$B$7:$F$19,3,FALSE)</f>
        <v>0</v>
      </c>
      <c r="T24" s="737" t="str">
        <f t="shared" si="15"/>
        <v>0.0%</v>
      </c>
      <c r="U24" s="2" t="str">
        <f t="shared" si="7"/>
        <v/>
      </c>
      <c r="V24" s="2" t="str">
        <f t="shared" si="8"/>
        <v/>
      </c>
      <c r="W24" s="2" t="str">
        <f t="shared" si="9"/>
        <v/>
      </c>
      <c r="X24" s="2">
        <f t="shared" si="10"/>
        <v>0</v>
      </c>
      <c r="Y24" s="2" t="str">
        <f t="shared" si="11"/>
        <v/>
      </c>
      <c r="Z24" s="2" t="str">
        <f t="shared" si="12"/>
        <v/>
      </c>
      <c r="AA24" s="2" t="str">
        <f t="shared" si="13"/>
        <v/>
      </c>
      <c r="AB24" s="2">
        <f t="shared" si="14"/>
        <v>0</v>
      </c>
      <c r="AC24" s="759">
        <v>0</v>
      </c>
      <c r="AD24" s="741">
        <v>0</v>
      </c>
      <c r="AE24" s="741">
        <v>0</v>
      </c>
      <c r="AF24" s="741">
        <v>0</v>
      </c>
      <c r="AG24" s="741">
        <v>0</v>
      </c>
      <c r="AH24" s="741">
        <v>0</v>
      </c>
      <c r="AI24" s="741">
        <v>0</v>
      </c>
      <c r="AJ24" s="741">
        <v>0</v>
      </c>
      <c r="AK24" s="741">
        <v>0</v>
      </c>
      <c r="AL24" s="741">
        <v>0</v>
      </c>
      <c r="AM24" s="741">
        <v>0</v>
      </c>
      <c r="AN24" s="741">
        <v>0</v>
      </c>
      <c r="AO24" s="741">
        <v>0</v>
      </c>
      <c r="AP24" s="41" t="str">
        <f t="shared" si="2"/>
        <v>GLR</v>
      </c>
      <c r="AQ24" s="41" t="str">
        <f t="shared" si="3"/>
        <v>GLRR30</v>
      </c>
      <c r="AR24" s="41" t="str">
        <f t="shared" si="4"/>
        <v>R30</v>
      </c>
    </row>
    <row r="25" spans="1:44" s="41" customFormat="1" ht="12.75" customHeight="1">
      <c r="A25" s="25" t="s">
        <v>17</v>
      </c>
      <c r="B25" s="25" t="str">
        <f t="shared" si="5"/>
        <v>GL108030</v>
      </c>
      <c r="C25" s="638">
        <v>108030</v>
      </c>
      <c r="D25" s="735"/>
      <c r="F25" s="1" t="s">
        <v>36</v>
      </c>
      <c r="H25" s="736">
        <v>0</v>
      </c>
      <c r="I25" s="25"/>
      <c r="J25" s="25"/>
      <c r="K25" s="442" t="str">
        <f t="shared" si="0"/>
        <v/>
      </c>
      <c r="L25" s="736" t="s">
        <v>2451</v>
      </c>
      <c r="M25" s="25" t="str">
        <f t="shared" si="6"/>
        <v>R</v>
      </c>
      <c r="N25" s="25" t="str">
        <f>IF(L25&lt;&gt;"",VLOOKUP(L25,Categories!$B$2:$D$41,2,FALSE),IF(F25&lt;&gt;"","No Cat",""))</f>
        <v>Rate Base</v>
      </c>
      <c r="O25" s="25" t="str">
        <f>IF($L25&lt;&gt;"",VLOOKUP($L25,Categories!$B$2:$D$41,3,FALSE),IF($F25&lt;&gt;"","No Cat",""))</f>
        <v>Depreciation Reserve</v>
      </c>
      <c r="P25" s="736" t="s">
        <v>2483</v>
      </c>
      <c r="Q25" s="25" t="str">
        <f>VLOOKUP($P25,Allocators!$B$7:$F$19,5,FALSE)</f>
        <v>Gas</v>
      </c>
      <c r="R25" s="737">
        <f>VLOOKUP($P25,Allocators!$B$7:$F$19,2,FALSE)</f>
        <v>0</v>
      </c>
      <c r="S25" s="737">
        <f>VLOOKUP($P25,Allocators!$B$7:$F$19,3,FALSE)</f>
        <v>1</v>
      </c>
      <c r="T25" s="737" t="str">
        <f t="shared" si="15"/>
        <v>0.0%</v>
      </c>
      <c r="U25" s="2">
        <f t="shared" si="7"/>
        <v>0</v>
      </c>
      <c r="V25" s="2">
        <f t="shared" si="8"/>
        <v>-285245.54418708303</v>
      </c>
      <c r="W25" s="2">
        <f t="shared" si="9"/>
        <v>0</v>
      </c>
      <c r="X25" s="2">
        <f t="shared" si="10"/>
        <v>-285245.54418708303</v>
      </c>
      <c r="Y25" s="2">
        <f t="shared" si="11"/>
        <v>0</v>
      </c>
      <c r="Z25" s="2">
        <f t="shared" si="12"/>
        <v>-291205.09311000002</v>
      </c>
      <c r="AA25" s="2">
        <f t="shared" si="13"/>
        <v>0</v>
      </c>
      <c r="AB25" s="2">
        <f t="shared" si="14"/>
        <v>-291205.09311000002</v>
      </c>
      <c r="AC25" s="759">
        <v>-279580.45142</v>
      </c>
      <c r="AD25" s="741">
        <v>-280933.84269999998</v>
      </c>
      <c r="AE25" s="741">
        <v>-282131.80088</v>
      </c>
      <c r="AF25" s="741">
        <v>-281956.17020999995</v>
      </c>
      <c r="AG25" s="741">
        <v>-283119.77673000004</v>
      </c>
      <c r="AH25" s="741">
        <v>-284270.08496000001</v>
      </c>
      <c r="AI25" s="741">
        <v>-285327.63039999997</v>
      </c>
      <c r="AJ25" s="741">
        <v>-286413.83474999998</v>
      </c>
      <c r="AK25" s="741">
        <v>-287440.51783999999</v>
      </c>
      <c r="AL25" s="741">
        <v>-287522.66463000001</v>
      </c>
      <c r="AM25" s="741">
        <v>-288624.40705000004</v>
      </c>
      <c r="AN25" s="741">
        <v>-289813.02782999998</v>
      </c>
      <c r="AO25" s="741">
        <v>-291205.09311000002</v>
      </c>
      <c r="AP25" s="41" t="str">
        <f t="shared" si="2"/>
        <v>GLR</v>
      </c>
      <c r="AQ25" s="41" t="str">
        <f t="shared" si="3"/>
        <v>GLRR30</v>
      </c>
      <c r="AR25" s="41" t="str">
        <f t="shared" si="4"/>
        <v>R30</v>
      </c>
    </row>
    <row r="26" spans="1:44" s="41" customFormat="1" ht="12.75" customHeight="1">
      <c r="A26" s="25" t="s">
        <v>17</v>
      </c>
      <c r="B26" s="25" t="str">
        <f t="shared" si="5"/>
        <v>GL108031</v>
      </c>
      <c r="C26" s="638">
        <v>108031</v>
      </c>
      <c r="D26" s="735"/>
      <c r="F26" s="1" t="s">
        <v>37</v>
      </c>
      <c r="H26" s="736">
        <v>0</v>
      </c>
      <c r="I26" s="25"/>
      <c r="J26" s="25"/>
      <c r="K26" s="442" t="str">
        <f t="shared" si="0"/>
        <v/>
      </c>
      <c r="L26" s="736" t="s">
        <v>2451</v>
      </c>
      <c r="M26" s="25" t="str">
        <f t="shared" si="6"/>
        <v>R</v>
      </c>
      <c r="N26" s="25" t="str">
        <f>IF(L26&lt;&gt;"",VLOOKUP(L26,Categories!$B$2:$D$41,2,FALSE),IF(F26&lt;&gt;"","No Cat",""))</f>
        <v>Rate Base</v>
      </c>
      <c r="O26" s="25" t="str">
        <f>IF($L26&lt;&gt;"",VLOOKUP($L26,Categories!$B$2:$D$41,3,FALSE),IF($F26&lt;&gt;"","No Cat",""))</f>
        <v>Depreciation Reserve</v>
      </c>
      <c r="P26" s="736" t="s">
        <v>2483</v>
      </c>
      <c r="Q26" s="25" t="str">
        <f>VLOOKUP($P26,Allocators!$B$7:$F$19,5,FALSE)</f>
        <v>Gas</v>
      </c>
      <c r="R26" s="737">
        <f>VLOOKUP($P26,Allocators!$B$7:$F$19,2,FALSE)</f>
        <v>0</v>
      </c>
      <c r="S26" s="737">
        <f>VLOOKUP($P26,Allocators!$B$7:$F$19,3,FALSE)</f>
        <v>1</v>
      </c>
      <c r="T26" s="737" t="str">
        <f t="shared" si="15"/>
        <v>0.0%</v>
      </c>
      <c r="U26" s="2" t="str">
        <f t="shared" si="7"/>
        <v/>
      </c>
      <c r="V26" s="2" t="str">
        <f t="shared" si="8"/>
        <v/>
      </c>
      <c r="W26" s="2" t="str">
        <f t="shared" si="9"/>
        <v/>
      </c>
      <c r="X26" s="2">
        <f t="shared" si="10"/>
        <v>0</v>
      </c>
      <c r="Y26" s="2" t="str">
        <f t="shared" si="11"/>
        <v/>
      </c>
      <c r="Z26" s="2" t="str">
        <f t="shared" si="12"/>
        <v/>
      </c>
      <c r="AA26" s="2" t="str">
        <f t="shared" si="13"/>
        <v/>
      </c>
      <c r="AB26" s="2">
        <f t="shared" si="14"/>
        <v>0</v>
      </c>
      <c r="AC26" s="759">
        <v>0</v>
      </c>
      <c r="AD26" s="741">
        <v>0</v>
      </c>
      <c r="AE26" s="741">
        <v>0</v>
      </c>
      <c r="AF26" s="741">
        <v>0</v>
      </c>
      <c r="AG26" s="741">
        <v>0</v>
      </c>
      <c r="AH26" s="741">
        <v>0</v>
      </c>
      <c r="AI26" s="741">
        <v>0</v>
      </c>
      <c r="AJ26" s="741">
        <v>0</v>
      </c>
      <c r="AK26" s="741">
        <v>0</v>
      </c>
      <c r="AL26" s="741">
        <v>0</v>
      </c>
      <c r="AM26" s="741">
        <v>0</v>
      </c>
      <c r="AN26" s="741">
        <v>0</v>
      </c>
      <c r="AO26" s="741">
        <v>0</v>
      </c>
      <c r="AP26" s="41" t="str">
        <f t="shared" si="2"/>
        <v>GLR</v>
      </c>
      <c r="AQ26" s="41" t="str">
        <f t="shared" si="3"/>
        <v>GLRR30</v>
      </c>
      <c r="AR26" s="41" t="str">
        <f t="shared" si="4"/>
        <v>R30</v>
      </c>
    </row>
    <row r="27" spans="1:44" s="41" customFormat="1" ht="12.75" customHeight="1">
      <c r="A27" s="25" t="s">
        <v>17</v>
      </c>
      <c r="B27" s="25" t="str">
        <f t="shared" si="5"/>
        <v>GL108035</v>
      </c>
      <c r="C27" s="638">
        <v>108035</v>
      </c>
      <c r="D27" s="735"/>
      <c r="F27" s="1" t="s">
        <v>38</v>
      </c>
      <c r="H27" s="736">
        <v>0</v>
      </c>
      <c r="I27" s="25"/>
      <c r="J27" s="25"/>
      <c r="K27" s="442" t="str">
        <f t="shared" si="0"/>
        <v/>
      </c>
      <c r="L27" s="736" t="s">
        <v>2451</v>
      </c>
      <c r="M27" s="25" t="str">
        <f t="shared" si="6"/>
        <v>R</v>
      </c>
      <c r="N27" s="25" t="str">
        <f>IF(L27&lt;&gt;"",VLOOKUP(L27,Categories!$B$2:$D$41,2,FALSE),IF(F27&lt;&gt;"","No Cat",""))</f>
        <v>Rate Base</v>
      </c>
      <c r="O27" s="25" t="str">
        <f>IF($L27&lt;&gt;"",VLOOKUP($L27,Categories!$B$2:$D$41,3,FALSE),IF($F27&lt;&gt;"","No Cat",""))</f>
        <v>Depreciation Reserve</v>
      </c>
      <c r="P27" s="736" t="s">
        <v>2483</v>
      </c>
      <c r="Q27" s="25" t="str">
        <f>VLOOKUP($P27,Allocators!$B$7:$F$19,5,FALSE)</f>
        <v>Gas</v>
      </c>
      <c r="R27" s="737">
        <f>VLOOKUP($P27,Allocators!$B$7:$F$19,2,FALSE)</f>
        <v>0</v>
      </c>
      <c r="S27" s="737">
        <f>VLOOKUP($P27,Allocators!$B$7:$F$19,3,FALSE)</f>
        <v>1</v>
      </c>
      <c r="T27" s="737" t="str">
        <f t="shared" si="15"/>
        <v>0.0%</v>
      </c>
      <c r="U27" s="2" t="str">
        <f t="shared" si="7"/>
        <v/>
      </c>
      <c r="V27" s="2" t="str">
        <f t="shared" si="8"/>
        <v/>
      </c>
      <c r="W27" s="2" t="str">
        <f t="shared" si="9"/>
        <v/>
      </c>
      <c r="X27" s="2">
        <f t="shared" si="10"/>
        <v>0</v>
      </c>
      <c r="Y27" s="2" t="str">
        <f t="shared" si="11"/>
        <v/>
      </c>
      <c r="Z27" s="2" t="str">
        <f t="shared" si="12"/>
        <v/>
      </c>
      <c r="AA27" s="2" t="str">
        <f t="shared" si="13"/>
        <v/>
      </c>
      <c r="AB27" s="2">
        <f t="shared" si="14"/>
        <v>0</v>
      </c>
      <c r="AC27" s="759">
        <v>0</v>
      </c>
      <c r="AD27" s="741">
        <v>0</v>
      </c>
      <c r="AE27" s="741">
        <v>0</v>
      </c>
      <c r="AF27" s="741">
        <v>0</v>
      </c>
      <c r="AG27" s="741">
        <v>0</v>
      </c>
      <c r="AH27" s="741">
        <v>0</v>
      </c>
      <c r="AI27" s="741">
        <v>0</v>
      </c>
      <c r="AJ27" s="741">
        <v>0</v>
      </c>
      <c r="AK27" s="741">
        <v>0</v>
      </c>
      <c r="AL27" s="741">
        <v>0</v>
      </c>
      <c r="AM27" s="741">
        <v>0</v>
      </c>
      <c r="AN27" s="741">
        <v>0</v>
      </c>
      <c r="AO27" s="741">
        <v>0</v>
      </c>
      <c r="AP27" s="41" t="str">
        <f t="shared" si="2"/>
        <v>GLR</v>
      </c>
      <c r="AQ27" s="41" t="str">
        <f t="shared" si="3"/>
        <v>GLRR30</v>
      </c>
      <c r="AR27" s="41" t="str">
        <f t="shared" si="4"/>
        <v>R30</v>
      </c>
    </row>
    <row r="28" spans="1:44" s="41" customFormat="1" ht="12.75" customHeight="1">
      <c r="A28" s="25" t="s">
        <v>17</v>
      </c>
      <c r="B28" s="25" t="str">
        <f t="shared" si="5"/>
        <v>GL108039</v>
      </c>
      <c r="C28" s="638">
        <v>108039</v>
      </c>
      <c r="D28" s="735"/>
      <c r="F28" s="1" t="s">
        <v>39</v>
      </c>
      <c r="H28" s="736">
        <v>0</v>
      </c>
      <c r="I28" s="25"/>
      <c r="J28" s="25"/>
      <c r="K28" s="442" t="str">
        <f t="shared" si="0"/>
        <v/>
      </c>
      <c r="L28" s="736" t="s">
        <v>2451</v>
      </c>
      <c r="M28" s="25" t="str">
        <f t="shared" si="6"/>
        <v>R</v>
      </c>
      <c r="N28" s="25" t="str">
        <f>IF(L28&lt;&gt;"",VLOOKUP(L28,Categories!$B$2:$D$41,2,FALSE),IF(F28&lt;&gt;"","No Cat",""))</f>
        <v>Rate Base</v>
      </c>
      <c r="O28" s="25" t="str">
        <f>IF($L28&lt;&gt;"",VLOOKUP($L28,Categories!$B$2:$D$41,3,FALSE),IF($F28&lt;&gt;"","No Cat",""))</f>
        <v>Depreciation Reserve</v>
      </c>
      <c r="P28" s="736" t="s">
        <v>2483</v>
      </c>
      <c r="Q28" s="25" t="str">
        <f>VLOOKUP($P28,Allocators!$B$7:$F$19,5,FALSE)</f>
        <v>Gas</v>
      </c>
      <c r="R28" s="737">
        <f>VLOOKUP($P28,Allocators!$B$7:$F$19,2,FALSE)</f>
        <v>0</v>
      </c>
      <c r="S28" s="737">
        <f>VLOOKUP($P28,Allocators!$B$7:$F$19,3,FALSE)</f>
        <v>1</v>
      </c>
      <c r="T28" s="737" t="str">
        <f t="shared" si="15"/>
        <v>0.0%</v>
      </c>
      <c r="U28" s="2" t="str">
        <f t="shared" si="7"/>
        <v/>
      </c>
      <c r="V28" s="2" t="str">
        <f t="shared" si="8"/>
        <v/>
      </c>
      <c r="W28" s="2" t="str">
        <f t="shared" si="9"/>
        <v/>
      </c>
      <c r="X28" s="2">
        <f t="shared" si="10"/>
        <v>0</v>
      </c>
      <c r="Y28" s="2" t="str">
        <f t="shared" si="11"/>
        <v/>
      </c>
      <c r="Z28" s="2" t="str">
        <f t="shared" si="12"/>
        <v/>
      </c>
      <c r="AA28" s="2" t="str">
        <f t="shared" si="13"/>
        <v/>
      </c>
      <c r="AB28" s="2">
        <f t="shared" si="14"/>
        <v>0</v>
      </c>
      <c r="AC28" s="759">
        <v>0</v>
      </c>
      <c r="AD28" s="741">
        <v>0</v>
      </c>
      <c r="AE28" s="741">
        <v>0</v>
      </c>
      <c r="AF28" s="741">
        <v>0</v>
      </c>
      <c r="AG28" s="741">
        <v>0</v>
      </c>
      <c r="AH28" s="741">
        <v>0</v>
      </c>
      <c r="AI28" s="741">
        <v>0</v>
      </c>
      <c r="AJ28" s="741">
        <v>0</v>
      </c>
      <c r="AK28" s="741">
        <v>0</v>
      </c>
      <c r="AL28" s="741">
        <v>0</v>
      </c>
      <c r="AM28" s="741">
        <v>0</v>
      </c>
      <c r="AN28" s="741">
        <v>0</v>
      </c>
      <c r="AO28" s="741">
        <v>0</v>
      </c>
      <c r="AP28" s="41" t="str">
        <f t="shared" si="2"/>
        <v>GLR</v>
      </c>
      <c r="AQ28" s="41" t="str">
        <f t="shared" si="3"/>
        <v>GLRR30</v>
      </c>
      <c r="AR28" s="41" t="str">
        <f t="shared" si="4"/>
        <v>R30</v>
      </c>
    </row>
    <row r="29" spans="1:44" s="41" customFormat="1" ht="12.75" customHeight="1">
      <c r="A29" s="25" t="s">
        <v>17</v>
      </c>
      <c r="B29" s="25" t="str">
        <f t="shared" si="5"/>
        <v>GL108070</v>
      </c>
      <c r="C29" s="638">
        <v>108070</v>
      </c>
      <c r="D29" s="735"/>
      <c r="F29" s="1" t="s">
        <v>40</v>
      </c>
      <c r="H29" s="736">
        <v>0</v>
      </c>
      <c r="I29" s="25"/>
      <c r="J29" s="25"/>
      <c r="K29" s="442" t="str">
        <f t="shared" si="0"/>
        <v/>
      </c>
      <c r="L29" s="736" t="s">
        <v>2451</v>
      </c>
      <c r="M29" s="25" t="str">
        <f t="shared" si="6"/>
        <v>R</v>
      </c>
      <c r="N29" s="25" t="str">
        <f>IF(L29&lt;&gt;"",VLOOKUP(L29,Categories!$B$2:$D$41,2,FALSE),IF(F29&lt;&gt;"","No Cat",""))</f>
        <v>Rate Base</v>
      </c>
      <c r="O29" s="25" t="str">
        <f>IF($L29&lt;&gt;"",VLOOKUP($L29,Categories!$B$2:$D$41,3,FALSE),IF($F29&lt;&gt;"","No Cat",""))</f>
        <v>Depreciation Reserve</v>
      </c>
      <c r="P29" s="736" t="s">
        <v>2484</v>
      </c>
      <c r="Q29" s="25" t="str">
        <f>VLOOKUP($P29,Allocators!$B$7:$F$19,5,FALSE)</f>
        <v>Common</v>
      </c>
      <c r="R29" s="737">
        <f>VLOOKUP($P29,Allocators!$B$7:$F$19,2,FALSE)</f>
        <v>0.68589999999999995</v>
      </c>
      <c r="S29" s="737">
        <f>VLOOKUP($P29,Allocators!$B$7:$F$19,3,FALSE)</f>
        <v>0.31409999999999999</v>
      </c>
      <c r="T29" s="737" t="str">
        <f t="shared" si="15"/>
        <v>0.0%</v>
      </c>
      <c r="U29" s="2">
        <f t="shared" si="7"/>
        <v>-41425.597748664302</v>
      </c>
      <c r="V29" s="2">
        <f t="shared" si="8"/>
        <v>-18970.375058835802</v>
      </c>
      <c r="W29" s="2">
        <f t="shared" si="9"/>
        <v>0</v>
      </c>
      <c r="X29" s="2">
        <f t="shared" si="10"/>
        <v>-60395.972807500002</v>
      </c>
      <c r="Y29" s="2">
        <f t="shared" si="11"/>
        <v>-40924.632906851002</v>
      </c>
      <c r="Z29" s="2">
        <f t="shared" si="12"/>
        <v>-18740.963983148999</v>
      </c>
      <c r="AA29" s="2">
        <f t="shared" si="13"/>
        <v>0</v>
      </c>
      <c r="AB29" s="2">
        <f t="shared" si="14"/>
        <v>-59665.596890000001</v>
      </c>
      <c r="AC29" s="759">
        <v>-61826.562829999995</v>
      </c>
      <c r="AD29" s="741">
        <v>-62409.343719999997</v>
      </c>
      <c r="AE29" s="741">
        <v>-63107.323340000003</v>
      </c>
      <c r="AF29" s="741">
        <v>-62120.20233</v>
      </c>
      <c r="AG29" s="741">
        <v>-61407.117250000003</v>
      </c>
      <c r="AH29" s="741">
        <v>-58398.026570000002</v>
      </c>
      <c r="AI29" s="741">
        <v>-58942.327729999997</v>
      </c>
      <c r="AJ29" s="741">
        <v>-58576.311439999998</v>
      </c>
      <c r="AK29" s="741">
        <v>-58807.632590000001</v>
      </c>
      <c r="AL29" s="741">
        <v>-59492.849190000001</v>
      </c>
      <c r="AM29" s="741">
        <v>-60181.777249999999</v>
      </c>
      <c r="AN29" s="741">
        <v>-60562.682420000005</v>
      </c>
      <c r="AO29" s="741">
        <v>-59665.596890000001</v>
      </c>
      <c r="AP29" s="41" t="str">
        <f t="shared" si="2"/>
        <v>GLR</v>
      </c>
      <c r="AQ29" s="41" t="str">
        <f t="shared" si="3"/>
        <v>GLRR30</v>
      </c>
      <c r="AR29" s="41" t="str">
        <f t="shared" si="4"/>
        <v>R30</v>
      </c>
    </row>
    <row r="30" spans="1:44" s="41" customFormat="1" ht="12.75" customHeight="1">
      <c r="A30" s="25" t="s">
        <v>17</v>
      </c>
      <c r="B30" s="25" t="str">
        <f t="shared" si="5"/>
        <v>GL108071</v>
      </c>
      <c r="C30" s="638">
        <v>108071</v>
      </c>
      <c r="D30" s="735"/>
      <c r="F30" s="1" t="s">
        <v>41</v>
      </c>
      <c r="H30" s="736">
        <v>0</v>
      </c>
      <c r="I30" s="25"/>
      <c r="J30" s="25"/>
      <c r="K30" s="442" t="str">
        <f t="shared" si="0"/>
        <v/>
      </c>
      <c r="L30" s="736" t="s">
        <v>2451</v>
      </c>
      <c r="M30" s="25" t="str">
        <f t="shared" si="6"/>
        <v>R</v>
      </c>
      <c r="N30" s="25" t="str">
        <f>IF(L30&lt;&gt;"",VLOOKUP(L30,Categories!$B$2:$D$41,2,FALSE),IF(F30&lt;&gt;"","No Cat",""))</f>
        <v>Rate Base</v>
      </c>
      <c r="O30" s="25" t="str">
        <f>IF($L30&lt;&gt;"",VLOOKUP($L30,Categories!$B$2:$D$41,3,FALSE),IF($F30&lt;&gt;"","No Cat",""))</f>
        <v>Depreciation Reserve</v>
      </c>
      <c r="P30" s="736" t="s">
        <v>2484</v>
      </c>
      <c r="Q30" s="25" t="str">
        <f>VLOOKUP($P30,Allocators!$B$7:$F$19,5,FALSE)</f>
        <v>Common</v>
      </c>
      <c r="R30" s="737">
        <f>VLOOKUP($P30,Allocators!$B$7:$F$19,2,FALSE)</f>
        <v>0.68589999999999995</v>
      </c>
      <c r="S30" s="737">
        <f>VLOOKUP($P30,Allocators!$B$7:$F$19,3,FALSE)</f>
        <v>0.31409999999999999</v>
      </c>
      <c r="T30" s="737" t="str">
        <f t="shared" si="15"/>
        <v>0.0%</v>
      </c>
      <c r="U30" s="2" t="str">
        <f t="shared" si="7"/>
        <v/>
      </c>
      <c r="V30" s="2" t="str">
        <f t="shared" si="8"/>
        <v/>
      </c>
      <c r="W30" s="2" t="str">
        <f t="shared" si="9"/>
        <v/>
      </c>
      <c r="X30" s="2">
        <f t="shared" si="10"/>
        <v>0</v>
      </c>
      <c r="Y30" s="2" t="str">
        <f t="shared" si="11"/>
        <v/>
      </c>
      <c r="Z30" s="2" t="str">
        <f t="shared" si="12"/>
        <v/>
      </c>
      <c r="AA30" s="2" t="str">
        <f t="shared" si="13"/>
        <v/>
      </c>
      <c r="AB30" s="2">
        <f t="shared" si="14"/>
        <v>0</v>
      </c>
      <c r="AC30" s="759">
        <v>0</v>
      </c>
      <c r="AD30" s="741">
        <v>0</v>
      </c>
      <c r="AE30" s="741">
        <v>0</v>
      </c>
      <c r="AF30" s="741">
        <v>0</v>
      </c>
      <c r="AG30" s="741">
        <v>0</v>
      </c>
      <c r="AH30" s="741">
        <v>0</v>
      </c>
      <c r="AI30" s="741">
        <v>0</v>
      </c>
      <c r="AJ30" s="741">
        <v>0</v>
      </c>
      <c r="AK30" s="741">
        <v>0</v>
      </c>
      <c r="AL30" s="741">
        <v>0</v>
      </c>
      <c r="AM30" s="741">
        <v>0</v>
      </c>
      <c r="AN30" s="741">
        <v>0</v>
      </c>
      <c r="AO30" s="741">
        <v>0</v>
      </c>
      <c r="AP30" s="41" t="str">
        <f t="shared" si="2"/>
        <v>GLR</v>
      </c>
      <c r="AQ30" s="41" t="str">
        <f t="shared" si="3"/>
        <v>GLRR30</v>
      </c>
      <c r="AR30" s="41" t="str">
        <f t="shared" si="4"/>
        <v>R30</v>
      </c>
    </row>
    <row r="31" spans="1:44" s="41" customFormat="1" ht="12.75" customHeight="1">
      <c r="A31" s="25" t="s">
        <v>17</v>
      </c>
      <c r="B31" s="25" t="str">
        <f t="shared" si="5"/>
        <v>GL108075</v>
      </c>
      <c r="C31" s="638">
        <v>108075</v>
      </c>
      <c r="D31" s="735"/>
      <c r="F31" s="1" t="s">
        <v>42</v>
      </c>
      <c r="H31" s="736">
        <v>0</v>
      </c>
      <c r="I31" s="25"/>
      <c r="J31" s="25"/>
      <c r="K31" s="442" t="str">
        <f t="shared" si="0"/>
        <v/>
      </c>
      <c r="L31" s="736" t="s">
        <v>2451</v>
      </c>
      <c r="M31" s="25" t="str">
        <f t="shared" si="6"/>
        <v>R</v>
      </c>
      <c r="N31" s="25" t="str">
        <f>IF(L31&lt;&gt;"",VLOOKUP(L31,Categories!$B$2:$D$41,2,FALSE),IF(F31&lt;&gt;"","No Cat",""))</f>
        <v>Rate Base</v>
      </c>
      <c r="O31" s="25" t="str">
        <f>IF($L31&lt;&gt;"",VLOOKUP($L31,Categories!$B$2:$D$41,3,FALSE),IF($F31&lt;&gt;"","No Cat",""))</f>
        <v>Depreciation Reserve</v>
      </c>
      <c r="P31" s="736" t="s">
        <v>2484</v>
      </c>
      <c r="Q31" s="25" t="str">
        <f>VLOOKUP($P31,Allocators!$B$7:$F$19,5,FALSE)</f>
        <v>Common</v>
      </c>
      <c r="R31" s="737">
        <f>VLOOKUP($P31,Allocators!$B$7:$F$19,2,FALSE)</f>
        <v>0.68589999999999995</v>
      </c>
      <c r="S31" s="737">
        <f>VLOOKUP($P31,Allocators!$B$7:$F$19,3,FALSE)</f>
        <v>0.31409999999999999</v>
      </c>
      <c r="T31" s="737" t="str">
        <f t="shared" si="15"/>
        <v>0.0%</v>
      </c>
      <c r="U31" s="2" t="str">
        <f t="shared" si="7"/>
        <v/>
      </c>
      <c r="V31" s="2" t="str">
        <f t="shared" si="8"/>
        <v/>
      </c>
      <c r="W31" s="2" t="str">
        <f t="shared" si="9"/>
        <v/>
      </c>
      <c r="X31" s="2">
        <f t="shared" si="10"/>
        <v>0</v>
      </c>
      <c r="Y31" s="2" t="str">
        <f t="shared" si="11"/>
        <v/>
      </c>
      <c r="Z31" s="2" t="str">
        <f t="shared" si="12"/>
        <v/>
      </c>
      <c r="AA31" s="2" t="str">
        <f t="shared" si="13"/>
        <v/>
      </c>
      <c r="AB31" s="2">
        <f t="shared" si="14"/>
        <v>0</v>
      </c>
      <c r="AC31" s="759">
        <v>0</v>
      </c>
      <c r="AD31" s="741">
        <v>0</v>
      </c>
      <c r="AE31" s="741">
        <v>0</v>
      </c>
      <c r="AF31" s="741">
        <v>0</v>
      </c>
      <c r="AG31" s="741">
        <v>0</v>
      </c>
      <c r="AH31" s="741">
        <v>0</v>
      </c>
      <c r="AI31" s="741">
        <v>0</v>
      </c>
      <c r="AJ31" s="741">
        <v>0</v>
      </c>
      <c r="AK31" s="741">
        <v>0</v>
      </c>
      <c r="AL31" s="741">
        <v>0</v>
      </c>
      <c r="AM31" s="741">
        <v>0</v>
      </c>
      <c r="AN31" s="741">
        <v>0</v>
      </c>
      <c r="AO31" s="741">
        <v>0</v>
      </c>
      <c r="AP31" s="41" t="str">
        <f t="shared" si="2"/>
        <v>GLR</v>
      </c>
      <c r="AQ31" s="41" t="str">
        <f t="shared" si="3"/>
        <v>GLRR30</v>
      </c>
      <c r="AR31" s="41" t="str">
        <f t="shared" si="4"/>
        <v>R30</v>
      </c>
    </row>
    <row r="32" spans="1:44" s="41" customFormat="1" ht="12.75" customHeight="1">
      <c r="A32" s="25" t="s">
        <v>17</v>
      </c>
      <c r="B32" s="25" t="str">
        <f t="shared" si="5"/>
        <v>GL108076</v>
      </c>
      <c r="C32" s="638">
        <v>108076</v>
      </c>
      <c r="D32" s="735"/>
      <c r="F32" s="1" t="s">
        <v>43</v>
      </c>
      <c r="H32" s="736">
        <v>0</v>
      </c>
      <c r="I32" s="25"/>
      <c r="J32" s="25"/>
      <c r="K32" s="442" t="str">
        <f t="shared" si="0"/>
        <v/>
      </c>
      <c r="L32" s="736" t="s">
        <v>2451</v>
      </c>
      <c r="M32" s="25" t="str">
        <f t="shared" si="6"/>
        <v>R</v>
      </c>
      <c r="N32" s="25" t="str">
        <f>IF(L32&lt;&gt;"",VLOOKUP(L32,Categories!$B$2:$D$41,2,FALSE),IF(F32&lt;&gt;"","No Cat",""))</f>
        <v>Rate Base</v>
      </c>
      <c r="O32" s="25" t="str">
        <f>IF($L32&lt;&gt;"",VLOOKUP($L32,Categories!$B$2:$D$41,3,FALSE),IF($F32&lt;&gt;"","No Cat",""))</f>
        <v>Depreciation Reserve</v>
      </c>
      <c r="P32" s="736" t="s">
        <v>2484</v>
      </c>
      <c r="Q32" s="25" t="str">
        <f>VLOOKUP($P32,Allocators!$B$7:$F$19,5,FALSE)</f>
        <v>Common</v>
      </c>
      <c r="R32" s="737">
        <f>VLOOKUP($P32,Allocators!$B$7:$F$19,2,FALSE)</f>
        <v>0.68589999999999995</v>
      </c>
      <c r="S32" s="737">
        <f>VLOOKUP($P32,Allocators!$B$7:$F$19,3,FALSE)</f>
        <v>0.31409999999999999</v>
      </c>
      <c r="T32" s="737" t="str">
        <f t="shared" si="15"/>
        <v>0.0%</v>
      </c>
      <c r="U32" s="2" t="str">
        <f t="shared" si="7"/>
        <v/>
      </c>
      <c r="V32" s="2" t="str">
        <f t="shared" si="8"/>
        <v/>
      </c>
      <c r="W32" s="2" t="str">
        <f t="shared" si="9"/>
        <v/>
      </c>
      <c r="X32" s="2">
        <f t="shared" si="10"/>
        <v>0</v>
      </c>
      <c r="Y32" s="2" t="str">
        <f t="shared" si="11"/>
        <v/>
      </c>
      <c r="Z32" s="2" t="str">
        <f t="shared" si="12"/>
        <v/>
      </c>
      <c r="AA32" s="2" t="str">
        <f t="shared" si="13"/>
        <v/>
      </c>
      <c r="AB32" s="2">
        <f t="shared" si="14"/>
        <v>0</v>
      </c>
      <c r="AC32" s="759">
        <v>0</v>
      </c>
      <c r="AD32" s="741">
        <v>0</v>
      </c>
      <c r="AE32" s="741">
        <v>0</v>
      </c>
      <c r="AF32" s="741">
        <v>0</v>
      </c>
      <c r="AG32" s="741">
        <v>0</v>
      </c>
      <c r="AH32" s="741">
        <v>0</v>
      </c>
      <c r="AI32" s="741">
        <v>0</v>
      </c>
      <c r="AJ32" s="741">
        <v>0</v>
      </c>
      <c r="AK32" s="741">
        <v>0</v>
      </c>
      <c r="AL32" s="741">
        <v>0</v>
      </c>
      <c r="AM32" s="741">
        <v>0</v>
      </c>
      <c r="AN32" s="741">
        <v>0</v>
      </c>
      <c r="AO32" s="741">
        <v>0</v>
      </c>
      <c r="AP32" s="41" t="str">
        <f t="shared" si="2"/>
        <v>GLR</v>
      </c>
      <c r="AQ32" s="41" t="str">
        <f t="shared" si="3"/>
        <v>GLRR30</v>
      </c>
      <c r="AR32" s="41" t="str">
        <f t="shared" si="4"/>
        <v>R30</v>
      </c>
    </row>
    <row r="33" spans="1:96" s="41" customFormat="1" ht="12.75" customHeight="1">
      <c r="A33" s="25" t="s">
        <v>17</v>
      </c>
      <c r="B33" s="25" t="str">
        <f t="shared" si="5"/>
        <v>GL108101</v>
      </c>
      <c r="C33" s="638">
        <v>108101</v>
      </c>
      <c r="D33" s="735"/>
      <c r="F33" s="1" t="s">
        <v>44</v>
      </c>
      <c r="H33" s="736">
        <v>0</v>
      </c>
      <c r="I33" s="25"/>
      <c r="J33" s="25"/>
      <c r="K33" s="442" t="str">
        <f t="shared" si="0"/>
        <v/>
      </c>
      <c r="L33" s="736" t="s">
        <v>2453</v>
      </c>
      <c r="M33" s="25" t="str">
        <f t="shared" si="6"/>
        <v>R</v>
      </c>
      <c r="N33" s="25" t="str">
        <f>IF(L33&lt;&gt;"",VLOOKUP(L33,Categories!$B$2:$D$41,2,FALSE),IF(F33&lt;&gt;"","No Cat",""))</f>
        <v>Rate Base</v>
      </c>
      <c r="O33" s="25" t="str">
        <f>IF($L33&lt;&gt;"",VLOOKUP($L33,Categories!$B$2:$D$41,3,FALSE),IF($F33&lt;&gt;"","No Cat",""))</f>
        <v>Retirement Work in Progress</v>
      </c>
      <c r="P33" s="736" t="s">
        <v>2482</v>
      </c>
      <c r="Q33" s="25" t="str">
        <f>VLOOKUP($P33,Allocators!$B$7:$F$19,5,FALSE)</f>
        <v>Electric</v>
      </c>
      <c r="R33" s="737">
        <f>VLOOKUP($P33,Allocators!$B$7:$F$19,2,FALSE)</f>
        <v>1</v>
      </c>
      <c r="S33" s="737">
        <f>VLOOKUP($P33,Allocators!$B$7:$F$19,3,FALSE)</f>
        <v>0</v>
      </c>
      <c r="T33" s="737" t="str">
        <f t="shared" si="15"/>
        <v>0.0%</v>
      </c>
      <c r="U33" s="2" t="str">
        <f t="shared" si="7"/>
        <v/>
      </c>
      <c r="V33" s="2" t="str">
        <f t="shared" si="8"/>
        <v/>
      </c>
      <c r="W33" s="2" t="str">
        <f t="shared" si="9"/>
        <v/>
      </c>
      <c r="X33" s="2">
        <f t="shared" si="10"/>
        <v>0</v>
      </c>
      <c r="Y33" s="2" t="str">
        <f t="shared" si="11"/>
        <v/>
      </c>
      <c r="Z33" s="2" t="str">
        <f t="shared" si="12"/>
        <v/>
      </c>
      <c r="AA33" s="2" t="str">
        <f t="shared" si="13"/>
        <v/>
      </c>
      <c r="AB33" s="2">
        <f t="shared" si="14"/>
        <v>0</v>
      </c>
      <c r="AC33" s="759">
        <v>0</v>
      </c>
      <c r="AD33" s="741">
        <v>0</v>
      </c>
      <c r="AE33" s="741">
        <v>0</v>
      </c>
      <c r="AF33" s="741">
        <v>0</v>
      </c>
      <c r="AG33" s="741">
        <v>0</v>
      </c>
      <c r="AH33" s="741">
        <v>0</v>
      </c>
      <c r="AI33" s="741">
        <v>0</v>
      </c>
      <c r="AJ33" s="741">
        <v>0</v>
      </c>
      <c r="AK33" s="741">
        <v>0</v>
      </c>
      <c r="AL33" s="741">
        <v>0</v>
      </c>
      <c r="AM33" s="741">
        <v>0</v>
      </c>
      <c r="AN33" s="741">
        <v>0</v>
      </c>
      <c r="AO33" s="741">
        <v>0</v>
      </c>
      <c r="AP33" s="41" t="str">
        <f t="shared" si="2"/>
        <v>GLR</v>
      </c>
      <c r="AQ33" s="41" t="str">
        <f t="shared" si="3"/>
        <v>GLRR40</v>
      </c>
      <c r="AR33" s="41" t="str">
        <f t="shared" si="4"/>
        <v>R40</v>
      </c>
    </row>
    <row r="34" spans="1:96" s="41" customFormat="1" ht="12.75" customHeight="1">
      <c r="A34" s="25" t="s">
        <v>17</v>
      </c>
      <c r="B34" s="25" t="str">
        <f t="shared" si="5"/>
        <v>GL108103</v>
      </c>
      <c r="C34" s="638">
        <v>108103</v>
      </c>
      <c r="D34" s="735"/>
      <c r="F34" s="1" t="s">
        <v>45</v>
      </c>
      <c r="H34" s="736">
        <v>0</v>
      </c>
      <c r="I34" s="25"/>
      <c r="J34" s="25"/>
      <c r="K34" s="442" t="str">
        <f t="shared" si="0"/>
        <v/>
      </c>
      <c r="L34" s="736" t="s">
        <v>2453</v>
      </c>
      <c r="M34" s="25" t="str">
        <f t="shared" si="6"/>
        <v>R</v>
      </c>
      <c r="N34" s="25" t="str">
        <f>IF(L34&lt;&gt;"",VLOOKUP(L34,Categories!$B$2:$D$41,2,FALSE),IF(F34&lt;&gt;"","No Cat",""))</f>
        <v>Rate Base</v>
      </c>
      <c r="O34" s="25" t="str">
        <f>IF($L34&lt;&gt;"",VLOOKUP($L34,Categories!$B$2:$D$41,3,FALSE),IF($F34&lt;&gt;"","No Cat",""))</f>
        <v>Retirement Work in Progress</v>
      </c>
      <c r="P34" s="736" t="s">
        <v>2483</v>
      </c>
      <c r="Q34" s="25" t="str">
        <f>VLOOKUP($P34,Allocators!$B$7:$F$19,5,FALSE)</f>
        <v>Gas</v>
      </c>
      <c r="R34" s="737">
        <f>VLOOKUP($P34,Allocators!$B$7:$F$19,2,FALSE)</f>
        <v>0</v>
      </c>
      <c r="S34" s="737">
        <f>VLOOKUP($P34,Allocators!$B$7:$F$19,3,FALSE)</f>
        <v>1</v>
      </c>
      <c r="T34" s="737" t="str">
        <f t="shared" si="15"/>
        <v>0.0%</v>
      </c>
      <c r="U34" s="2" t="str">
        <f t="shared" si="7"/>
        <v/>
      </c>
      <c r="V34" s="2" t="str">
        <f t="shared" si="8"/>
        <v/>
      </c>
      <c r="W34" s="2" t="str">
        <f t="shared" si="9"/>
        <v/>
      </c>
      <c r="X34" s="2">
        <f t="shared" si="10"/>
        <v>0</v>
      </c>
      <c r="Y34" s="2" t="str">
        <f t="shared" si="11"/>
        <v/>
      </c>
      <c r="Z34" s="2" t="str">
        <f t="shared" si="12"/>
        <v/>
      </c>
      <c r="AA34" s="2" t="str">
        <f t="shared" si="13"/>
        <v/>
      </c>
      <c r="AB34" s="2">
        <f t="shared" si="14"/>
        <v>0</v>
      </c>
      <c r="AC34" s="759">
        <v>0</v>
      </c>
      <c r="AD34" s="741">
        <v>0</v>
      </c>
      <c r="AE34" s="741">
        <v>0</v>
      </c>
      <c r="AF34" s="741">
        <v>0</v>
      </c>
      <c r="AG34" s="741">
        <v>0</v>
      </c>
      <c r="AH34" s="741">
        <v>0</v>
      </c>
      <c r="AI34" s="741">
        <v>0</v>
      </c>
      <c r="AJ34" s="741">
        <v>0</v>
      </c>
      <c r="AK34" s="741">
        <v>0</v>
      </c>
      <c r="AL34" s="741">
        <v>0</v>
      </c>
      <c r="AM34" s="741">
        <v>0</v>
      </c>
      <c r="AN34" s="741">
        <v>0</v>
      </c>
      <c r="AO34" s="741">
        <v>0</v>
      </c>
      <c r="AP34" s="41" t="str">
        <f t="shared" si="2"/>
        <v>GLR</v>
      </c>
      <c r="AQ34" s="41" t="str">
        <f t="shared" si="3"/>
        <v>GLRR40</v>
      </c>
      <c r="AR34" s="41" t="str">
        <f t="shared" si="4"/>
        <v>R40</v>
      </c>
    </row>
    <row r="35" spans="1:96" s="41" customFormat="1" ht="12.75" customHeight="1">
      <c r="A35" s="25" t="s">
        <v>17</v>
      </c>
      <c r="B35" s="25" t="str">
        <f t="shared" si="5"/>
        <v>GL108107</v>
      </c>
      <c r="C35" s="638">
        <v>108107</v>
      </c>
      <c r="D35" s="735"/>
      <c r="F35" s="1" t="s">
        <v>46</v>
      </c>
      <c r="H35" s="736">
        <v>0</v>
      </c>
      <c r="I35" s="25"/>
      <c r="J35" s="25"/>
      <c r="K35" s="442" t="str">
        <f t="shared" si="0"/>
        <v/>
      </c>
      <c r="L35" s="736" t="s">
        <v>2453</v>
      </c>
      <c r="M35" s="25" t="str">
        <f t="shared" si="6"/>
        <v>R</v>
      </c>
      <c r="N35" s="25" t="str">
        <f>IF(L35&lt;&gt;"",VLOOKUP(L35,Categories!$B$2:$D$41,2,FALSE),IF(F35&lt;&gt;"","No Cat",""))</f>
        <v>Rate Base</v>
      </c>
      <c r="O35" s="25" t="str">
        <f>IF($L35&lt;&gt;"",VLOOKUP($L35,Categories!$B$2:$D$41,3,FALSE),IF($F35&lt;&gt;"","No Cat",""))</f>
        <v>Retirement Work in Progress</v>
      </c>
      <c r="P35" s="736" t="s">
        <v>2484</v>
      </c>
      <c r="Q35" s="25" t="str">
        <f>VLOOKUP($P35,Allocators!$B$7:$F$19,5,FALSE)</f>
        <v>Common</v>
      </c>
      <c r="R35" s="737">
        <f>VLOOKUP($P35,Allocators!$B$7:$F$19,2,FALSE)</f>
        <v>0.68589999999999995</v>
      </c>
      <c r="S35" s="737">
        <f>VLOOKUP($P35,Allocators!$B$7:$F$19,3,FALSE)</f>
        <v>0.31409999999999999</v>
      </c>
      <c r="T35" s="737" t="str">
        <f t="shared" si="15"/>
        <v>0.0%</v>
      </c>
      <c r="U35" s="2" t="str">
        <f t="shared" si="7"/>
        <v/>
      </c>
      <c r="V35" s="2" t="str">
        <f t="shared" si="8"/>
        <v/>
      </c>
      <c r="W35" s="2" t="str">
        <f t="shared" si="9"/>
        <v/>
      </c>
      <c r="X35" s="2">
        <f t="shared" si="10"/>
        <v>0</v>
      </c>
      <c r="Y35" s="2" t="str">
        <f t="shared" si="11"/>
        <v/>
      </c>
      <c r="Z35" s="2" t="str">
        <f t="shared" si="12"/>
        <v/>
      </c>
      <c r="AA35" s="2" t="str">
        <f t="shared" si="13"/>
        <v/>
      </c>
      <c r="AB35" s="2">
        <f t="shared" si="14"/>
        <v>0</v>
      </c>
      <c r="AC35" s="759">
        <v>0</v>
      </c>
      <c r="AD35" s="741">
        <v>0</v>
      </c>
      <c r="AE35" s="741">
        <v>0</v>
      </c>
      <c r="AF35" s="741">
        <v>0</v>
      </c>
      <c r="AG35" s="741">
        <v>0</v>
      </c>
      <c r="AH35" s="741">
        <v>0</v>
      </c>
      <c r="AI35" s="741">
        <v>0</v>
      </c>
      <c r="AJ35" s="741">
        <v>0</v>
      </c>
      <c r="AK35" s="741">
        <v>0</v>
      </c>
      <c r="AL35" s="741">
        <v>0</v>
      </c>
      <c r="AM35" s="741">
        <v>0</v>
      </c>
      <c r="AN35" s="741">
        <v>0</v>
      </c>
      <c r="AO35" s="741">
        <v>0</v>
      </c>
      <c r="AP35" s="41" t="str">
        <f t="shared" si="2"/>
        <v>GLR</v>
      </c>
      <c r="AQ35" s="41" t="str">
        <f t="shared" si="3"/>
        <v>GLRR40</v>
      </c>
      <c r="AR35" s="41" t="str">
        <f t="shared" si="4"/>
        <v>R40</v>
      </c>
    </row>
    <row r="36" spans="1:96" s="41" customFormat="1" ht="12.75" customHeight="1">
      <c r="A36" s="25" t="s">
        <v>17</v>
      </c>
      <c r="B36" s="25" t="str">
        <f t="shared" si="5"/>
        <v>GL108111</v>
      </c>
      <c r="C36" s="638">
        <v>108111</v>
      </c>
      <c r="D36" s="735"/>
      <c r="F36" s="1" t="s">
        <v>47</v>
      </c>
      <c r="H36" s="736">
        <v>0</v>
      </c>
      <c r="I36" s="25"/>
      <c r="J36" s="25"/>
      <c r="K36" s="442" t="str">
        <f t="shared" si="0"/>
        <v/>
      </c>
      <c r="L36" s="736" t="s">
        <v>2453</v>
      </c>
      <c r="M36" s="25" t="str">
        <f t="shared" si="6"/>
        <v>R</v>
      </c>
      <c r="N36" s="25" t="str">
        <f>IF(L36&lt;&gt;"",VLOOKUP(L36,Categories!$B$2:$D$41,2,FALSE),IF(F36&lt;&gt;"","No Cat",""))</f>
        <v>Rate Base</v>
      </c>
      <c r="O36" s="25" t="str">
        <f>IF($L36&lt;&gt;"",VLOOKUP($L36,Categories!$B$2:$D$41,3,FALSE),IF($F36&lt;&gt;"","No Cat",""))</f>
        <v>Retirement Work in Progress</v>
      </c>
      <c r="P36" s="736" t="s">
        <v>2482</v>
      </c>
      <c r="Q36" s="25" t="str">
        <f>VLOOKUP($P36,Allocators!$B$7:$F$19,5,FALSE)</f>
        <v>Electric</v>
      </c>
      <c r="R36" s="737">
        <f>VLOOKUP($P36,Allocators!$B$7:$F$19,2,FALSE)</f>
        <v>1</v>
      </c>
      <c r="S36" s="737">
        <f>VLOOKUP($P36,Allocators!$B$7:$F$19,3,FALSE)</f>
        <v>0</v>
      </c>
      <c r="T36" s="737" t="str">
        <f t="shared" si="15"/>
        <v>0.0%</v>
      </c>
      <c r="U36" s="2" t="str">
        <f t="shared" si="7"/>
        <v/>
      </c>
      <c r="V36" s="2" t="str">
        <f t="shared" si="8"/>
        <v/>
      </c>
      <c r="W36" s="2" t="str">
        <f t="shared" si="9"/>
        <v/>
      </c>
      <c r="X36" s="2">
        <f t="shared" si="10"/>
        <v>0</v>
      </c>
      <c r="Y36" s="2" t="str">
        <f t="shared" si="11"/>
        <v/>
      </c>
      <c r="Z36" s="2" t="str">
        <f t="shared" si="12"/>
        <v/>
      </c>
      <c r="AA36" s="2" t="str">
        <f t="shared" si="13"/>
        <v/>
      </c>
      <c r="AB36" s="2">
        <f t="shared" si="14"/>
        <v>0</v>
      </c>
      <c r="AC36" s="759">
        <v>0</v>
      </c>
      <c r="AD36" s="741">
        <v>0</v>
      </c>
      <c r="AE36" s="741">
        <v>0</v>
      </c>
      <c r="AF36" s="741">
        <v>0</v>
      </c>
      <c r="AG36" s="741">
        <v>0</v>
      </c>
      <c r="AH36" s="741">
        <v>0</v>
      </c>
      <c r="AI36" s="741">
        <v>0</v>
      </c>
      <c r="AJ36" s="741">
        <v>0</v>
      </c>
      <c r="AK36" s="741">
        <v>0</v>
      </c>
      <c r="AL36" s="741">
        <v>0</v>
      </c>
      <c r="AM36" s="741">
        <v>0</v>
      </c>
      <c r="AN36" s="741">
        <v>0</v>
      </c>
      <c r="AO36" s="741">
        <v>0</v>
      </c>
      <c r="AP36" s="41" t="str">
        <f t="shared" si="2"/>
        <v>GLR</v>
      </c>
      <c r="AQ36" s="41" t="str">
        <f t="shared" si="3"/>
        <v>GLRR40</v>
      </c>
      <c r="AR36" s="41" t="str">
        <f t="shared" si="4"/>
        <v>R40</v>
      </c>
    </row>
    <row r="37" spans="1:96" s="41" customFormat="1" ht="12.75" customHeight="1">
      <c r="A37" s="25" t="s">
        <v>17</v>
      </c>
      <c r="B37" s="25" t="str">
        <f t="shared" si="5"/>
        <v>GL108113</v>
      </c>
      <c r="C37" s="638">
        <v>108113</v>
      </c>
      <c r="D37" s="735"/>
      <c r="F37" s="1" t="s">
        <v>48</v>
      </c>
      <c r="H37" s="736">
        <v>0</v>
      </c>
      <c r="I37" s="25"/>
      <c r="J37" s="25"/>
      <c r="K37" s="442" t="str">
        <f t="shared" si="0"/>
        <v/>
      </c>
      <c r="L37" s="736" t="s">
        <v>2453</v>
      </c>
      <c r="M37" s="25" t="str">
        <f t="shared" si="6"/>
        <v>R</v>
      </c>
      <c r="N37" s="25" t="str">
        <f>IF(L37&lt;&gt;"",VLOOKUP(L37,Categories!$B$2:$D$41,2,FALSE),IF(F37&lt;&gt;"","No Cat",""))</f>
        <v>Rate Base</v>
      </c>
      <c r="O37" s="25" t="str">
        <f>IF($L37&lt;&gt;"",VLOOKUP($L37,Categories!$B$2:$D$41,3,FALSE),IF($F37&lt;&gt;"","No Cat",""))</f>
        <v>Retirement Work in Progress</v>
      </c>
      <c r="P37" s="736" t="s">
        <v>2483</v>
      </c>
      <c r="Q37" s="25" t="str">
        <f>VLOOKUP($P37,Allocators!$B$7:$F$19,5,FALSE)</f>
        <v>Gas</v>
      </c>
      <c r="R37" s="737">
        <f>VLOOKUP($P37,Allocators!$B$7:$F$19,2,FALSE)</f>
        <v>0</v>
      </c>
      <c r="S37" s="737">
        <f>VLOOKUP($P37,Allocators!$B$7:$F$19,3,FALSE)</f>
        <v>1</v>
      </c>
      <c r="T37" s="737" t="str">
        <f t="shared" si="15"/>
        <v>0.0%</v>
      </c>
      <c r="U37" s="2" t="str">
        <f t="shared" si="7"/>
        <v/>
      </c>
      <c r="V37" s="2" t="str">
        <f t="shared" si="8"/>
        <v/>
      </c>
      <c r="W37" s="2" t="str">
        <f t="shared" si="9"/>
        <v/>
      </c>
      <c r="X37" s="2">
        <f t="shared" si="10"/>
        <v>0</v>
      </c>
      <c r="Y37" s="2" t="str">
        <f t="shared" si="11"/>
        <v/>
      </c>
      <c r="Z37" s="2" t="str">
        <f t="shared" si="12"/>
        <v/>
      </c>
      <c r="AA37" s="2" t="str">
        <f t="shared" si="13"/>
        <v/>
      </c>
      <c r="AB37" s="2">
        <f t="shared" si="14"/>
        <v>0</v>
      </c>
      <c r="AC37" s="759">
        <v>0</v>
      </c>
      <c r="AD37" s="741">
        <v>0</v>
      </c>
      <c r="AE37" s="741">
        <v>0</v>
      </c>
      <c r="AF37" s="741">
        <v>0</v>
      </c>
      <c r="AG37" s="741">
        <v>0</v>
      </c>
      <c r="AH37" s="741">
        <v>0</v>
      </c>
      <c r="AI37" s="741">
        <v>0</v>
      </c>
      <c r="AJ37" s="741">
        <v>0</v>
      </c>
      <c r="AK37" s="741">
        <v>0</v>
      </c>
      <c r="AL37" s="741">
        <v>0</v>
      </c>
      <c r="AM37" s="741">
        <v>0</v>
      </c>
      <c r="AN37" s="741">
        <v>0</v>
      </c>
      <c r="AO37" s="741">
        <v>0</v>
      </c>
      <c r="AP37" s="41" t="str">
        <f t="shared" si="2"/>
        <v>GLR</v>
      </c>
      <c r="AQ37" s="41" t="str">
        <f t="shared" si="3"/>
        <v>GLRR40</v>
      </c>
      <c r="AR37" s="41" t="str">
        <f t="shared" si="4"/>
        <v>R40</v>
      </c>
    </row>
    <row r="38" spans="1:96" s="41" customFormat="1" ht="12.75" customHeight="1">
      <c r="A38" s="25" t="s">
        <v>17</v>
      </c>
      <c r="B38" s="25" t="str">
        <f t="shared" si="5"/>
        <v>GL108117</v>
      </c>
      <c r="C38" s="638">
        <v>108117</v>
      </c>
      <c r="D38" s="735"/>
      <c r="F38" s="1" t="s">
        <v>49</v>
      </c>
      <c r="H38" s="736">
        <v>0</v>
      </c>
      <c r="I38" s="25"/>
      <c r="J38" s="25"/>
      <c r="K38" s="442" t="str">
        <f t="shared" si="0"/>
        <v/>
      </c>
      <c r="L38" s="736" t="s">
        <v>2453</v>
      </c>
      <c r="M38" s="25" t="str">
        <f t="shared" si="6"/>
        <v>R</v>
      </c>
      <c r="N38" s="25" t="str">
        <f>IF(L38&lt;&gt;"",VLOOKUP(L38,Categories!$B$2:$D$41,2,FALSE),IF(F38&lt;&gt;"","No Cat",""))</f>
        <v>Rate Base</v>
      </c>
      <c r="O38" s="25" t="str">
        <f>IF($L38&lt;&gt;"",VLOOKUP($L38,Categories!$B$2:$D$41,3,FALSE),IF($F38&lt;&gt;"","No Cat",""))</f>
        <v>Retirement Work in Progress</v>
      </c>
      <c r="P38" s="736" t="s">
        <v>2484</v>
      </c>
      <c r="Q38" s="25" t="str">
        <f>VLOOKUP($P38,Allocators!$B$7:$F$19,5,FALSE)</f>
        <v>Common</v>
      </c>
      <c r="R38" s="737">
        <f>VLOOKUP($P38,Allocators!$B$7:$F$19,2,FALSE)</f>
        <v>0.68589999999999995</v>
      </c>
      <c r="S38" s="737">
        <f>VLOOKUP($P38,Allocators!$B$7:$F$19,3,FALSE)</f>
        <v>0.31409999999999999</v>
      </c>
      <c r="T38" s="737" t="str">
        <f t="shared" si="15"/>
        <v>0.0%</v>
      </c>
      <c r="U38" s="2" t="str">
        <f t="shared" si="7"/>
        <v/>
      </c>
      <c r="V38" s="2" t="str">
        <f t="shared" si="8"/>
        <v/>
      </c>
      <c r="W38" s="2" t="str">
        <f t="shared" si="9"/>
        <v/>
      </c>
      <c r="X38" s="2">
        <f t="shared" si="10"/>
        <v>0</v>
      </c>
      <c r="Y38" s="2" t="str">
        <f t="shared" si="11"/>
        <v/>
      </c>
      <c r="Z38" s="2" t="str">
        <f t="shared" si="12"/>
        <v/>
      </c>
      <c r="AA38" s="2" t="str">
        <f t="shared" si="13"/>
        <v/>
      </c>
      <c r="AB38" s="2">
        <f t="shared" si="14"/>
        <v>0</v>
      </c>
      <c r="AC38" s="759">
        <v>0</v>
      </c>
      <c r="AD38" s="741">
        <v>0</v>
      </c>
      <c r="AE38" s="741">
        <v>0</v>
      </c>
      <c r="AF38" s="741">
        <v>0</v>
      </c>
      <c r="AG38" s="741">
        <v>0</v>
      </c>
      <c r="AH38" s="741">
        <v>0</v>
      </c>
      <c r="AI38" s="741">
        <v>0</v>
      </c>
      <c r="AJ38" s="741">
        <v>0</v>
      </c>
      <c r="AK38" s="741">
        <v>0</v>
      </c>
      <c r="AL38" s="741">
        <v>0</v>
      </c>
      <c r="AM38" s="741">
        <v>0</v>
      </c>
      <c r="AN38" s="741">
        <v>0</v>
      </c>
      <c r="AO38" s="741">
        <v>0</v>
      </c>
      <c r="AP38" s="41" t="str">
        <f t="shared" si="2"/>
        <v>GLR</v>
      </c>
      <c r="AQ38" s="41" t="str">
        <f t="shared" si="3"/>
        <v>GLRR40</v>
      </c>
      <c r="AR38" s="41" t="str">
        <f t="shared" si="4"/>
        <v>R40</v>
      </c>
    </row>
    <row r="39" spans="1:96" s="41" customFormat="1" ht="12.75" customHeight="1">
      <c r="A39" s="25" t="s">
        <v>17</v>
      </c>
      <c r="B39" s="25" t="str">
        <f t="shared" ref="B39:B41" si="16">CONCATENATE(A39,C39,D39,E39)</f>
        <v>GL108910</v>
      </c>
      <c r="C39" s="638">
        <v>108910</v>
      </c>
      <c r="D39" s="735"/>
      <c r="F39" s="1" t="s">
        <v>4043</v>
      </c>
      <c r="H39" s="736">
        <v>0</v>
      </c>
      <c r="I39" s="25"/>
      <c r="J39" s="25"/>
      <c r="K39" s="442" t="str">
        <f t="shared" si="0"/>
        <v/>
      </c>
      <c r="L39" s="736" t="s">
        <v>2453</v>
      </c>
      <c r="M39" s="25" t="str">
        <f t="shared" ref="M39:M41" si="17">LEFT(L39,1)</f>
        <v>R</v>
      </c>
      <c r="N39" s="25" t="str">
        <f>IF(L39&lt;&gt;"",VLOOKUP(L39,Categories!$B$2:$D$41,2,FALSE),IF(F39&lt;&gt;"","No Cat",""))</f>
        <v>Rate Base</v>
      </c>
      <c r="O39" s="25" t="str">
        <f>IF($L39&lt;&gt;"",VLOOKUP($L39,Categories!$B$2:$D$41,3,FALSE),IF($F39&lt;&gt;"","No Cat",""))</f>
        <v>Retirement Work in Progress</v>
      </c>
      <c r="P39" s="736" t="s">
        <v>2482</v>
      </c>
      <c r="Q39" s="25" t="str">
        <f>VLOOKUP($P39,Allocators!$B$7:$F$19,5,FALSE)</f>
        <v>Electric</v>
      </c>
      <c r="R39" s="737">
        <f>VLOOKUP($P39,Allocators!$B$7:$F$19,2,FALSE)</f>
        <v>1</v>
      </c>
      <c r="S39" s="737">
        <f>VLOOKUP($P39,Allocators!$B$7:$F$19,3,FALSE)</f>
        <v>0</v>
      </c>
      <c r="T39" s="737" t="str">
        <f t="shared" ref="T39:T41" si="18">IF(P39="N",1,"0.0%")</f>
        <v>0.0%</v>
      </c>
      <c r="U39" s="2" t="str">
        <f t="shared" si="7"/>
        <v/>
      </c>
      <c r="V39" s="2" t="str">
        <f t="shared" si="8"/>
        <v/>
      </c>
      <c r="W39" s="2" t="str">
        <f t="shared" si="9"/>
        <v/>
      </c>
      <c r="X39" s="2">
        <f t="shared" si="10"/>
        <v>0</v>
      </c>
      <c r="Y39" s="2" t="str">
        <f t="shared" si="11"/>
        <v/>
      </c>
      <c r="Z39" s="2" t="str">
        <f t="shared" si="12"/>
        <v/>
      </c>
      <c r="AA39" s="2" t="str">
        <f t="shared" si="13"/>
        <v/>
      </c>
      <c r="AB39" s="2">
        <f t="shared" si="14"/>
        <v>0</v>
      </c>
      <c r="AC39" s="759">
        <v>0</v>
      </c>
      <c r="AD39" s="741">
        <v>0</v>
      </c>
      <c r="AE39" s="741">
        <v>0</v>
      </c>
      <c r="AF39" s="741">
        <v>0</v>
      </c>
      <c r="AG39" s="741">
        <v>0</v>
      </c>
      <c r="AH39" s="741">
        <v>0</v>
      </c>
      <c r="AI39" s="741">
        <v>0</v>
      </c>
      <c r="AJ39" s="741">
        <v>0</v>
      </c>
      <c r="AK39" s="741">
        <v>0</v>
      </c>
      <c r="AL39" s="741">
        <v>0</v>
      </c>
      <c r="AM39" s="741">
        <v>0</v>
      </c>
      <c r="AN39" s="741">
        <v>0</v>
      </c>
      <c r="AO39" s="741">
        <v>0</v>
      </c>
      <c r="AP39" s="41" t="str">
        <f t="shared" si="2"/>
        <v>GLR</v>
      </c>
      <c r="AQ39" s="41" t="str">
        <f t="shared" si="3"/>
        <v>GLRR40</v>
      </c>
      <c r="AR39" s="41" t="str">
        <f t="shared" si="4"/>
        <v>R40</v>
      </c>
    </row>
    <row r="40" spans="1:96" s="41" customFormat="1" ht="12.75" customHeight="1">
      <c r="A40" s="25" t="s">
        <v>17</v>
      </c>
      <c r="B40" s="25" t="str">
        <f t="shared" si="16"/>
        <v>GL108930</v>
      </c>
      <c r="C40" s="638">
        <v>108930</v>
      </c>
      <c r="D40" s="735"/>
      <c r="F40" s="1" t="s">
        <v>4241</v>
      </c>
      <c r="H40" s="736">
        <v>0</v>
      </c>
      <c r="I40" s="25"/>
      <c r="J40" s="25"/>
      <c r="K40" s="442" t="str">
        <f t="shared" si="0"/>
        <v/>
      </c>
      <c r="L40" s="736" t="s">
        <v>2453</v>
      </c>
      <c r="M40" s="25" t="str">
        <f t="shared" ref="M40" si="19">LEFT(L40,1)</f>
        <v>R</v>
      </c>
      <c r="N40" s="25" t="str">
        <f>IF(L40&lt;&gt;"",VLOOKUP(L40,Categories!$B$2:$D$41,2,FALSE),IF(F40&lt;&gt;"","No Cat",""))</f>
        <v>Rate Base</v>
      </c>
      <c r="O40" s="25" t="str">
        <f>IF($L40&lt;&gt;"",VLOOKUP($L40,Categories!$B$2:$D$41,3,FALSE),IF($F40&lt;&gt;"","No Cat",""))</f>
        <v>Retirement Work in Progress</v>
      </c>
      <c r="P40" s="736" t="s">
        <v>2483</v>
      </c>
      <c r="Q40" s="25" t="str">
        <f>VLOOKUP($P40,Allocators!$B$7:$F$19,5,FALSE)</f>
        <v>Gas</v>
      </c>
      <c r="R40" s="737">
        <f>VLOOKUP($P40,Allocators!$B$7:$F$19,2,FALSE)</f>
        <v>0</v>
      </c>
      <c r="S40" s="737">
        <f>VLOOKUP($P40,Allocators!$B$7:$F$19,3,FALSE)</f>
        <v>1</v>
      </c>
      <c r="T40" s="737" t="str">
        <f t="shared" ref="T40" si="20">IF(P40="N",1,"0.0%")</f>
        <v>0.0%</v>
      </c>
      <c r="U40" s="2" t="str">
        <f t="shared" si="7"/>
        <v/>
      </c>
      <c r="V40" s="2" t="str">
        <f t="shared" si="8"/>
        <v/>
      </c>
      <c r="W40" s="2" t="str">
        <f t="shared" si="9"/>
        <v/>
      </c>
      <c r="X40" s="2">
        <f t="shared" si="10"/>
        <v>0</v>
      </c>
      <c r="Y40" s="2" t="str">
        <f t="shared" si="11"/>
        <v/>
      </c>
      <c r="Z40" s="2" t="str">
        <f t="shared" si="12"/>
        <v/>
      </c>
      <c r="AA40" s="2" t="str">
        <f t="shared" si="13"/>
        <v/>
      </c>
      <c r="AB40" s="2">
        <f t="shared" si="14"/>
        <v>0</v>
      </c>
      <c r="AC40" s="759">
        <v>0</v>
      </c>
      <c r="AD40" s="741">
        <v>0</v>
      </c>
      <c r="AE40" s="741">
        <v>0</v>
      </c>
      <c r="AF40" s="741">
        <v>0</v>
      </c>
      <c r="AG40" s="741">
        <v>0</v>
      </c>
      <c r="AH40" s="741">
        <v>0</v>
      </c>
      <c r="AI40" s="741">
        <v>0</v>
      </c>
      <c r="AJ40" s="741">
        <v>0</v>
      </c>
      <c r="AK40" s="741">
        <v>0</v>
      </c>
      <c r="AL40" s="741">
        <v>0</v>
      </c>
      <c r="AM40" s="741">
        <v>0</v>
      </c>
      <c r="AN40" s="741">
        <v>0</v>
      </c>
      <c r="AO40" s="741">
        <v>0</v>
      </c>
      <c r="AP40" s="41" t="str">
        <f t="shared" si="2"/>
        <v>GLR</v>
      </c>
      <c r="AQ40" s="41" t="str">
        <f t="shared" si="3"/>
        <v>GLRR40</v>
      </c>
      <c r="AR40" s="41" t="str">
        <f t="shared" si="4"/>
        <v>R40</v>
      </c>
    </row>
    <row r="41" spans="1:96" s="41" customFormat="1" ht="12.75" customHeight="1">
      <c r="A41" s="25" t="s">
        <v>17</v>
      </c>
      <c r="B41" s="25" t="str">
        <f t="shared" si="16"/>
        <v>GL108970</v>
      </c>
      <c r="C41" s="638">
        <v>108970</v>
      </c>
      <c r="D41" s="735"/>
      <c r="F41" s="1" t="s">
        <v>4044</v>
      </c>
      <c r="H41" s="736">
        <v>0</v>
      </c>
      <c r="I41" s="25"/>
      <c r="J41" s="25"/>
      <c r="K41" s="442" t="str">
        <f t="shared" si="0"/>
        <v/>
      </c>
      <c r="L41" s="736" t="s">
        <v>2453</v>
      </c>
      <c r="M41" s="25" t="str">
        <f t="shared" si="17"/>
        <v>R</v>
      </c>
      <c r="N41" s="25" t="str">
        <f>IF(L41&lt;&gt;"",VLOOKUP(L41,Categories!$B$2:$D$41,2,FALSE),IF(F41&lt;&gt;"","No Cat",""))</f>
        <v>Rate Base</v>
      </c>
      <c r="O41" s="25" t="str">
        <f>IF($L41&lt;&gt;"",VLOOKUP($L41,Categories!$B$2:$D$41,3,FALSE),IF($F41&lt;&gt;"","No Cat",""))</f>
        <v>Retirement Work in Progress</v>
      </c>
      <c r="P41" s="736" t="s">
        <v>2484</v>
      </c>
      <c r="Q41" s="25" t="str">
        <f>VLOOKUP($P41,Allocators!$B$7:$F$19,5,FALSE)</f>
        <v>Common</v>
      </c>
      <c r="R41" s="737">
        <f>VLOOKUP($P41,Allocators!$B$7:$F$19,2,FALSE)</f>
        <v>0.68589999999999995</v>
      </c>
      <c r="S41" s="737">
        <f>VLOOKUP($P41,Allocators!$B$7:$F$19,3,FALSE)</f>
        <v>0.31409999999999999</v>
      </c>
      <c r="T41" s="737" t="str">
        <f t="shared" si="18"/>
        <v>0.0%</v>
      </c>
      <c r="U41" s="2" t="str">
        <f t="shared" si="7"/>
        <v/>
      </c>
      <c r="V41" s="2" t="str">
        <f t="shared" si="8"/>
        <v/>
      </c>
      <c r="W41" s="2" t="str">
        <f t="shared" si="9"/>
        <v/>
      </c>
      <c r="X41" s="2">
        <f t="shared" si="10"/>
        <v>0</v>
      </c>
      <c r="Y41" s="2" t="str">
        <f t="shared" si="11"/>
        <v/>
      </c>
      <c r="Z41" s="2" t="str">
        <f t="shared" si="12"/>
        <v/>
      </c>
      <c r="AA41" s="2" t="str">
        <f t="shared" si="13"/>
        <v/>
      </c>
      <c r="AB41" s="2">
        <f t="shared" si="14"/>
        <v>0</v>
      </c>
      <c r="AC41" s="759">
        <v>0</v>
      </c>
      <c r="AD41" s="741">
        <v>0</v>
      </c>
      <c r="AE41" s="741">
        <v>0</v>
      </c>
      <c r="AF41" s="741">
        <v>0</v>
      </c>
      <c r="AG41" s="741">
        <v>0</v>
      </c>
      <c r="AH41" s="741">
        <v>0</v>
      </c>
      <c r="AI41" s="741">
        <v>0</v>
      </c>
      <c r="AJ41" s="741">
        <v>0</v>
      </c>
      <c r="AK41" s="741">
        <v>0</v>
      </c>
      <c r="AL41" s="741">
        <v>0</v>
      </c>
      <c r="AM41" s="741">
        <v>0</v>
      </c>
      <c r="AN41" s="741">
        <v>0</v>
      </c>
      <c r="AO41" s="741">
        <v>0</v>
      </c>
      <c r="AP41" s="41" t="str">
        <f t="shared" si="2"/>
        <v>GLR</v>
      </c>
      <c r="AQ41" s="41" t="str">
        <f t="shared" si="3"/>
        <v>GLRR40</v>
      </c>
      <c r="AR41" s="41" t="str">
        <f t="shared" si="4"/>
        <v>R40</v>
      </c>
    </row>
    <row r="42" spans="1:96" s="41" customFormat="1" ht="12.75" customHeight="1">
      <c r="A42" s="25" t="s">
        <v>17</v>
      </c>
      <c r="B42" s="25" t="str">
        <f t="shared" si="5"/>
        <v>GL111010</v>
      </c>
      <c r="C42" s="638">
        <v>111010</v>
      </c>
      <c r="D42" s="735"/>
      <c r="F42" s="1" t="s">
        <v>50</v>
      </c>
      <c r="H42" s="736">
        <v>0</v>
      </c>
      <c r="I42" s="25"/>
      <c r="J42" s="25"/>
      <c r="K42" s="442" t="str">
        <f t="shared" si="0"/>
        <v/>
      </c>
      <c r="L42" s="736" t="s">
        <v>2451</v>
      </c>
      <c r="M42" s="25" t="str">
        <f t="shared" si="6"/>
        <v>R</v>
      </c>
      <c r="N42" s="25" t="str">
        <f>IF(L42&lt;&gt;"",VLOOKUP(L42,Categories!$B$2:$D$41,2,FALSE),IF(F42&lt;&gt;"","No Cat",""))</f>
        <v>Rate Base</v>
      </c>
      <c r="O42" s="25" t="str">
        <f>IF($L42&lt;&gt;"",VLOOKUP($L42,Categories!$B$2:$D$41,3,FALSE),IF($F42&lt;&gt;"","No Cat",""))</f>
        <v>Depreciation Reserve</v>
      </c>
      <c r="P42" s="736" t="s">
        <v>2482</v>
      </c>
      <c r="Q42" s="25" t="str">
        <f>VLOOKUP($P42,Allocators!$B$7:$F$19,5,FALSE)</f>
        <v>Electric</v>
      </c>
      <c r="R42" s="737">
        <f>VLOOKUP($P42,Allocators!$B$7:$F$19,2,FALSE)</f>
        <v>1</v>
      </c>
      <c r="S42" s="737">
        <f>VLOOKUP($P42,Allocators!$B$7:$F$19,3,FALSE)</f>
        <v>0</v>
      </c>
      <c r="T42" s="737" t="str">
        <f t="shared" si="15"/>
        <v>0.0%</v>
      </c>
      <c r="U42" s="2">
        <f t="shared" si="7"/>
        <v>-5487.0112983333302</v>
      </c>
      <c r="V42" s="2">
        <f t="shared" si="8"/>
        <v>0</v>
      </c>
      <c r="W42" s="2">
        <f t="shared" si="9"/>
        <v>0</v>
      </c>
      <c r="X42" s="2">
        <f t="shared" si="10"/>
        <v>-5487.0112983333302</v>
      </c>
      <c r="Y42" s="2">
        <f t="shared" si="11"/>
        <v>-5485.3781399999998</v>
      </c>
      <c r="Z42" s="2">
        <f t="shared" si="12"/>
        <v>0</v>
      </c>
      <c r="AA42" s="2">
        <f t="shared" si="13"/>
        <v>0</v>
      </c>
      <c r="AB42" s="2">
        <f t="shared" si="14"/>
        <v>-5485.3781399999998</v>
      </c>
      <c r="AC42" s="759">
        <v>-5481.5272599999998</v>
      </c>
      <c r="AD42" s="741">
        <v>-5489.26818</v>
      </c>
      <c r="AE42" s="741">
        <v>-5489.1541799999995</v>
      </c>
      <c r="AF42" s="741">
        <v>-5489.0615599999992</v>
      </c>
      <c r="AG42" s="741">
        <v>-5488.9689400000007</v>
      </c>
      <c r="AH42" s="741">
        <v>-5488.8763200000003</v>
      </c>
      <c r="AI42" s="741">
        <v>-5488.7837</v>
      </c>
      <c r="AJ42" s="741">
        <v>-5485.27124</v>
      </c>
      <c r="AK42" s="741">
        <v>-5485.2926200000002</v>
      </c>
      <c r="AL42" s="741">
        <v>-5485.3140000000003</v>
      </c>
      <c r="AM42" s="741">
        <v>-5485.3353799999995</v>
      </c>
      <c r="AN42" s="741">
        <v>-5485.3567599999997</v>
      </c>
      <c r="AO42" s="741">
        <v>-5485.3781399999998</v>
      </c>
      <c r="AP42" s="41" t="str">
        <f t="shared" si="2"/>
        <v>GLR</v>
      </c>
      <c r="AQ42" s="41" t="str">
        <f t="shared" si="3"/>
        <v>GLRR30</v>
      </c>
      <c r="AR42" s="41" t="str">
        <f t="shared" si="4"/>
        <v>R30</v>
      </c>
    </row>
    <row r="43" spans="1:96" s="41" customFormat="1" ht="12.75" customHeight="1">
      <c r="A43" s="25" t="s">
        <v>17</v>
      </c>
      <c r="B43" s="25" t="str">
        <f t="shared" si="5"/>
        <v>GL111030</v>
      </c>
      <c r="C43" s="638">
        <v>111030</v>
      </c>
      <c r="D43" s="735"/>
      <c r="F43" s="1" t="s">
        <v>51</v>
      </c>
      <c r="H43" s="736">
        <v>0</v>
      </c>
      <c r="I43" s="25"/>
      <c r="J43" s="25"/>
      <c r="K43" s="442" t="str">
        <f t="shared" si="0"/>
        <v/>
      </c>
      <c r="L43" s="736" t="s">
        <v>2451</v>
      </c>
      <c r="M43" s="25" t="str">
        <f t="shared" si="6"/>
        <v>R</v>
      </c>
      <c r="N43" s="25" t="str">
        <f>IF(L43&lt;&gt;"",VLOOKUP(L43,Categories!$B$2:$D$41,2,FALSE),IF(F43&lt;&gt;"","No Cat",""))</f>
        <v>Rate Base</v>
      </c>
      <c r="O43" s="25" t="str">
        <f>IF($L43&lt;&gt;"",VLOOKUP($L43,Categories!$B$2:$D$41,3,FALSE),IF($F43&lt;&gt;"","No Cat",""))</f>
        <v>Depreciation Reserve</v>
      </c>
      <c r="P43" s="736" t="s">
        <v>2483</v>
      </c>
      <c r="Q43" s="25" t="str">
        <f>VLOOKUP($P43,Allocators!$B$7:$F$19,5,FALSE)</f>
        <v>Gas</v>
      </c>
      <c r="R43" s="737">
        <f>VLOOKUP($P43,Allocators!$B$7:$F$19,2,FALSE)</f>
        <v>0</v>
      </c>
      <c r="S43" s="737">
        <f>VLOOKUP($P43,Allocators!$B$7:$F$19,3,FALSE)</f>
        <v>1</v>
      </c>
      <c r="T43" s="737" t="str">
        <f t="shared" si="15"/>
        <v>0.0%</v>
      </c>
      <c r="U43" s="2">
        <f t="shared" si="7"/>
        <v>0</v>
      </c>
      <c r="V43" s="2">
        <f t="shared" si="8"/>
        <v>-911.98790791666704</v>
      </c>
      <c r="W43" s="2">
        <f t="shared" si="9"/>
        <v>0</v>
      </c>
      <c r="X43" s="2">
        <f t="shared" si="10"/>
        <v>-911.98790791666704</v>
      </c>
      <c r="Y43" s="2">
        <f t="shared" si="11"/>
        <v>0</v>
      </c>
      <c r="Z43" s="2">
        <f t="shared" si="12"/>
        <v>-908.69009000000005</v>
      </c>
      <c r="AA43" s="2">
        <f t="shared" si="13"/>
        <v>0</v>
      </c>
      <c r="AB43" s="2">
        <f t="shared" si="14"/>
        <v>-908.69008999999994</v>
      </c>
      <c r="AC43" s="759">
        <v>-915.88531999999998</v>
      </c>
      <c r="AD43" s="741">
        <v>-916.33282999999994</v>
      </c>
      <c r="AE43" s="741">
        <v>-916.78034000000002</v>
      </c>
      <c r="AF43" s="741">
        <v>-917.22784000000001</v>
      </c>
      <c r="AG43" s="741">
        <v>-917.67534999999998</v>
      </c>
      <c r="AH43" s="741">
        <v>-918.12284999999997</v>
      </c>
      <c r="AI43" s="741">
        <v>-906.45256999999992</v>
      </c>
      <c r="AJ43" s="741">
        <v>-906.90006999999991</v>
      </c>
      <c r="AK43" s="741">
        <v>-907.34757999999999</v>
      </c>
      <c r="AL43" s="741">
        <v>-907.79507999999998</v>
      </c>
      <c r="AM43" s="741">
        <v>-908.24258999999995</v>
      </c>
      <c r="AN43" s="741">
        <v>-908.69008999999994</v>
      </c>
      <c r="AO43" s="741">
        <v>-908.69008999999994</v>
      </c>
      <c r="AP43" s="41" t="str">
        <f t="shared" si="2"/>
        <v>GLR</v>
      </c>
      <c r="AQ43" s="41" t="str">
        <f t="shared" si="3"/>
        <v>GLRR30</v>
      </c>
      <c r="AR43" s="41" t="str">
        <f t="shared" si="4"/>
        <v>R30</v>
      </c>
    </row>
    <row r="44" spans="1:96" s="41" customFormat="1" ht="12.75" customHeight="1">
      <c r="A44" s="25" t="s">
        <v>17</v>
      </c>
      <c r="B44" s="25" t="str">
        <f t="shared" si="5"/>
        <v>GL111070</v>
      </c>
      <c r="C44" s="638">
        <v>111070</v>
      </c>
      <c r="D44" s="735"/>
      <c r="F44" s="1" t="s">
        <v>52</v>
      </c>
      <c r="H44" s="736">
        <v>0</v>
      </c>
      <c r="I44" s="25"/>
      <c r="J44" s="25"/>
      <c r="K44" s="442" t="str">
        <f t="shared" si="0"/>
        <v/>
      </c>
      <c r="L44" s="736" t="s">
        <v>2451</v>
      </c>
      <c r="M44" s="25" t="str">
        <f t="shared" si="6"/>
        <v>R</v>
      </c>
      <c r="N44" s="25" t="str">
        <f>IF(L44&lt;&gt;"",VLOOKUP(L44,Categories!$B$2:$D$41,2,FALSE),IF(F44&lt;&gt;"","No Cat",""))</f>
        <v>Rate Base</v>
      </c>
      <c r="O44" s="25" t="str">
        <f>IF($L44&lt;&gt;"",VLOOKUP($L44,Categories!$B$2:$D$41,3,FALSE),IF($F44&lt;&gt;"","No Cat",""))</f>
        <v>Depreciation Reserve</v>
      </c>
      <c r="P44" s="736" t="s">
        <v>2484</v>
      </c>
      <c r="Q44" s="25" t="str">
        <f>VLOOKUP($P44,Allocators!$B$7:$F$19,5,FALSE)</f>
        <v>Common</v>
      </c>
      <c r="R44" s="737">
        <f>VLOOKUP($P44,Allocators!$B$7:$F$19,2,FALSE)</f>
        <v>0.68589999999999995</v>
      </c>
      <c r="S44" s="737">
        <f>VLOOKUP($P44,Allocators!$B$7:$F$19,3,FALSE)</f>
        <v>0.31409999999999999</v>
      </c>
      <c r="T44" s="737" t="str">
        <f t="shared" si="15"/>
        <v>0.0%</v>
      </c>
      <c r="U44" s="2">
        <f t="shared" si="7"/>
        <v>-54093.767694104601</v>
      </c>
      <c r="V44" s="2">
        <f t="shared" si="8"/>
        <v>-24771.617484645401</v>
      </c>
      <c r="W44" s="2">
        <f t="shared" si="9"/>
        <v>0</v>
      </c>
      <c r="X44" s="2">
        <f t="shared" si="10"/>
        <v>-78865.385178750003</v>
      </c>
      <c r="Y44" s="2">
        <f t="shared" si="11"/>
        <v>-55408.335972615001</v>
      </c>
      <c r="Z44" s="2">
        <f t="shared" si="12"/>
        <v>-25373.608877384999</v>
      </c>
      <c r="AA44" s="2">
        <f t="shared" si="13"/>
        <v>0</v>
      </c>
      <c r="AB44" s="2">
        <f t="shared" si="14"/>
        <v>-80781.94485</v>
      </c>
      <c r="AC44" s="759">
        <v>-77035.75106000001</v>
      </c>
      <c r="AD44" s="741">
        <v>-77334.557520000002</v>
      </c>
      <c r="AE44" s="741">
        <v>-77626.49123</v>
      </c>
      <c r="AF44" s="741">
        <v>-77918.424959999989</v>
      </c>
      <c r="AG44" s="741">
        <v>-78210.358630000002</v>
      </c>
      <c r="AH44" s="741">
        <v>-78502.292329999997</v>
      </c>
      <c r="AI44" s="741">
        <v>-78794.21084</v>
      </c>
      <c r="AJ44" s="741">
        <v>-79173.265269999989</v>
      </c>
      <c r="AK44" s="741">
        <v>-79496.235700000005</v>
      </c>
      <c r="AL44" s="741">
        <v>-79819.206129999991</v>
      </c>
      <c r="AM44" s="741">
        <v>-80142.17654</v>
      </c>
      <c r="AN44" s="741">
        <v>-80458.555040000007</v>
      </c>
      <c r="AO44" s="741">
        <v>-80781.94485</v>
      </c>
      <c r="AP44" s="41" t="str">
        <f t="shared" si="2"/>
        <v>GLR</v>
      </c>
      <c r="AQ44" s="41" t="str">
        <f t="shared" si="3"/>
        <v>GLRR30</v>
      </c>
      <c r="AR44" s="41" t="str">
        <f t="shared" si="4"/>
        <v>R30</v>
      </c>
    </row>
    <row r="45" spans="1:96" s="41" customFormat="1" ht="12.75" customHeight="1">
      <c r="A45" s="25" t="s">
        <v>17</v>
      </c>
      <c r="B45" s="25" t="str">
        <f t="shared" si="5"/>
        <v>GL114010</v>
      </c>
      <c r="C45" s="638">
        <v>114010</v>
      </c>
      <c r="D45" s="735"/>
      <c r="F45" s="1" t="s">
        <v>53</v>
      </c>
      <c r="H45" s="736">
        <v>0</v>
      </c>
      <c r="I45" s="25"/>
      <c r="J45" s="25"/>
      <c r="K45" s="442" t="str">
        <f t="shared" si="0"/>
        <v/>
      </c>
      <c r="L45" s="736" t="s">
        <v>2390</v>
      </c>
      <c r="M45" s="25" t="str">
        <f t="shared" si="6"/>
        <v>A</v>
      </c>
      <c r="N45" s="25" t="str">
        <f>IF(L45&lt;&gt;"",VLOOKUP(L45,Categories!$B$2:$D$41,2,FALSE),IF(F45&lt;&gt;"","No Cat",""))</f>
        <v>All Other</v>
      </c>
      <c r="O45" s="25" t="str">
        <f>IF($L45&lt;&gt;"",VLOOKUP($L45,Categories!$B$2:$D$41,3,FALSE),IF($F45&lt;&gt;"","No Cat",""))</f>
        <v>Unused Accounts</v>
      </c>
      <c r="P45" s="736" t="s">
        <v>2490</v>
      </c>
      <c r="Q45" s="25" t="str">
        <f>VLOOKUP($P45,Allocators!$B$7:$F$19,5,FALSE)</f>
        <v>Rate Base</v>
      </c>
      <c r="R45" s="737">
        <f>VLOOKUP($P45,Allocators!$B$7:$F$19,2,FALSE)</f>
        <v>0.70940000000000003</v>
      </c>
      <c r="S45" s="737">
        <f>VLOOKUP($P45,Allocators!$B$7:$F$19,3,FALSE)</f>
        <v>0.29060000000000002</v>
      </c>
      <c r="T45" s="737" t="str">
        <f t="shared" si="15"/>
        <v>0.0%</v>
      </c>
      <c r="U45" s="2" t="str">
        <f t="shared" si="7"/>
        <v/>
      </c>
      <c r="V45" s="2" t="str">
        <f t="shared" si="8"/>
        <v/>
      </c>
      <c r="W45" s="2" t="str">
        <f t="shared" si="9"/>
        <v/>
      </c>
      <c r="X45" s="2">
        <f t="shared" si="10"/>
        <v>0</v>
      </c>
      <c r="Y45" s="2" t="str">
        <f t="shared" si="11"/>
        <v/>
      </c>
      <c r="Z45" s="2" t="str">
        <f t="shared" si="12"/>
        <v/>
      </c>
      <c r="AA45" s="2" t="str">
        <f t="shared" si="13"/>
        <v/>
      </c>
      <c r="AB45" s="2">
        <f t="shared" si="14"/>
        <v>0</v>
      </c>
      <c r="AC45" s="759">
        <v>0</v>
      </c>
      <c r="AD45" s="741">
        <v>0</v>
      </c>
      <c r="AE45" s="741">
        <v>0</v>
      </c>
      <c r="AF45" s="741">
        <v>0</v>
      </c>
      <c r="AG45" s="741">
        <v>0</v>
      </c>
      <c r="AH45" s="741">
        <v>0</v>
      </c>
      <c r="AI45" s="741">
        <v>0</v>
      </c>
      <c r="AJ45" s="741">
        <v>0</v>
      </c>
      <c r="AK45" s="741">
        <v>0</v>
      </c>
      <c r="AL45" s="741">
        <v>0</v>
      </c>
      <c r="AM45" s="741">
        <v>0</v>
      </c>
      <c r="AN45" s="741">
        <v>0</v>
      </c>
      <c r="AO45" s="741">
        <v>0</v>
      </c>
      <c r="AP45" s="41" t="str">
        <f t="shared" si="2"/>
        <v>GLA</v>
      </c>
      <c r="AQ45" s="41" t="str">
        <f t="shared" si="3"/>
        <v>GLAA10</v>
      </c>
      <c r="AR45" s="41" t="str">
        <f t="shared" si="4"/>
        <v>A10</v>
      </c>
      <c r="CR45" s="625"/>
    </row>
    <row r="46" spans="1:96" s="41" customFormat="1" ht="12.75" customHeight="1">
      <c r="A46" s="25" t="s">
        <v>17</v>
      </c>
      <c r="B46" s="25" t="str">
        <f t="shared" si="5"/>
        <v>GL114011</v>
      </c>
      <c r="C46" s="638">
        <v>114011</v>
      </c>
      <c r="D46" s="735"/>
      <c r="F46" s="1" t="s">
        <v>54</v>
      </c>
      <c r="H46" s="736">
        <v>0</v>
      </c>
      <c r="I46" s="25"/>
      <c r="J46" s="25"/>
      <c r="K46" s="442" t="str">
        <f t="shared" si="0"/>
        <v/>
      </c>
      <c r="L46" s="736" t="s">
        <v>2390</v>
      </c>
      <c r="M46" s="25" t="str">
        <f t="shared" si="6"/>
        <v>A</v>
      </c>
      <c r="N46" s="25" t="str">
        <f>IF(L46&lt;&gt;"",VLOOKUP(L46,Categories!$B$2:$D$41,2,FALSE),IF(F46&lt;&gt;"","No Cat",""))</f>
        <v>All Other</v>
      </c>
      <c r="O46" s="25" t="str">
        <f>IF($L46&lt;&gt;"",VLOOKUP($L46,Categories!$B$2:$D$41,3,FALSE),IF($F46&lt;&gt;"","No Cat",""))</f>
        <v>Unused Accounts</v>
      </c>
      <c r="P46" s="736" t="s">
        <v>2490</v>
      </c>
      <c r="Q46" s="25" t="str">
        <f>VLOOKUP($P46,Allocators!$B$7:$F$19,5,FALSE)</f>
        <v>Rate Base</v>
      </c>
      <c r="R46" s="737">
        <f>VLOOKUP($P46,Allocators!$B$7:$F$19,2,FALSE)</f>
        <v>0.70940000000000003</v>
      </c>
      <c r="S46" s="737">
        <f>VLOOKUP($P46,Allocators!$B$7:$F$19,3,FALSE)</f>
        <v>0.29060000000000002</v>
      </c>
      <c r="T46" s="737" t="str">
        <f t="shared" si="15"/>
        <v>0.0%</v>
      </c>
      <c r="U46" s="2" t="str">
        <f t="shared" si="7"/>
        <v/>
      </c>
      <c r="V46" s="2" t="str">
        <f t="shared" si="8"/>
        <v/>
      </c>
      <c r="W46" s="2" t="str">
        <f t="shared" si="9"/>
        <v/>
      </c>
      <c r="X46" s="2">
        <f t="shared" si="10"/>
        <v>0</v>
      </c>
      <c r="Y46" s="2" t="str">
        <f t="shared" si="11"/>
        <v/>
      </c>
      <c r="Z46" s="2" t="str">
        <f t="shared" si="12"/>
        <v/>
      </c>
      <c r="AA46" s="2" t="str">
        <f t="shared" si="13"/>
        <v/>
      </c>
      <c r="AB46" s="2">
        <f t="shared" si="14"/>
        <v>0</v>
      </c>
      <c r="AC46" s="759">
        <v>0</v>
      </c>
      <c r="AD46" s="741">
        <v>0</v>
      </c>
      <c r="AE46" s="741">
        <v>0</v>
      </c>
      <c r="AF46" s="741">
        <v>0</v>
      </c>
      <c r="AG46" s="741">
        <v>0</v>
      </c>
      <c r="AH46" s="741">
        <v>0</v>
      </c>
      <c r="AI46" s="741">
        <v>0</v>
      </c>
      <c r="AJ46" s="741">
        <v>0</v>
      </c>
      <c r="AK46" s="741">
        <v>0</v>
      </c>
      <c r="AL46" s="741">
        <v>0</v>
      </c>
      <c r="AM46" s="741">
        <v>0</v>
      </c>
      <c r="AN46" s="741">
        <v>0</v>
      </c>
      <c r="AO46" s="741">
        <v>0</v>
      </c>
      <c r="AP46" s="41" t="str">
        <f t="shared" si="2"/>
        <v>GLA</v>
      </c>
      <c r="AQ46" s="41" t="str">
        <f t="shared" si="3"/>
        <v>GLAA10</v>
      </c>
      <c r="AR46" s="41" t="str">
        <f t="shared" si="4"/>
        <v>A10</v>
      </c>
      <c r="CR46" s="625"/>
    </row>
    <row r="47" spans="1:96" s="41" customFormat="1" ht="12.75" customHeight="1">
      <c r="A47" s="25" t="s">
        <v>17</v>
      </c>
      <c r="B47" s="25" t="str">
        <f t="shared" si="5"/>
        <v>GL114020</v>
      </c>
      <c r="C47" s="638">
        <v>114020</v>
      </c>
      <c r="D47" s="735"/>
      <c r="F47" s="1" t="s">
        <v>55</v>
      </c>
      <c r="H47" s="736">
        <v>0</v>
      </c>
      <c r="I47" s="25"/>
      <c r="J47" s="25"/>
      <c r="K47" s="442" t="str">
        <f t="shared" si="0"/>
        <v/>
      </c>
      <c r="L47" s="736" t="s">
        <v>2390</v>
      </c>
      <c r="M47" s="25" t="str">
        <f t="shared" si="6"/>
        <v>A</v>
      </c>
      <c r="N47" s="25" t="str">
        <f>IF(L47&lt;&gt;"",VLOOKUP(L47,Categories!$B$2:$D$41,2,FALSE),IF(F47&lt;&gt;"","No Cat",""))</f>
        <v>All Other</v>
      </c>
      <c r="O47" s="25" t="str">
        <f>IF($L47&lt;&gt;"",VLOOKUP($L47,Categories!$B$2:$D$41,3,FALSE),IF($F47&lt;&gt;"","No Cat",""))</f>
        <v>Unused Accounts</v>
      </c>
      <c r="P47" s="736" t="s">
        <v>2490</v>
      </c>
      <c r="Q47" s="25" t="str">
        <f>VLOOKUP($P47,Allocators!$B$7:$F$19,5,FALSE)</f>
        <v>Rate Base</v>
      </c>
      <c r="R47" s="737">
        <f>VLOOKUP($P47,Allocators!$B$7:$F$19,2,FALSE)</f>
        <v>0.70940000000000003</v>
      </c>
      <c r="S47" s="737">
        <f>VLOOKUP($P47,Allocators!$B$7:$F$19,3,FALSE)</f>
        <v>0.29060000000000002</v>
      </c>
      <c r="T47" s="737" t="str">
        <f t="shared" si="15"/>
        <v>0.0%</v>
      </c>
      <c r="U47" s="2" t="str">
        <f t="shared" si="7"/>
        <v/>
      </c>
      <c r="V47" s="2" t="str">
        <f t="shared" si="8"/>
        <v/>
      </c>
      <c r="W47" s="2" t="str">
        <f t="shared" si="9"/>
        <v/>
      </c>
      <c r="X47" s="2">
        <f t="shared" si="10"/>
        <v>0</v>
      </c>
      <c r="Y47" s="2" t="str">
        <f t="shared" si="11"/>
        <v/>
      </c>
      <c r="Z47" s="2" t="str">
        <f t="shared" si="12"/>
        <v/>
      </c>
      <c r="AA47" s="2" t="str">
        <f t="shared" si="13"/>
        <v/>
      </c>
      <c r="AB47" s="2">
        <f t="shared" si="14"/>
        <v>0</v>
      </c>
      <c r="AC47" s="759">
        <v>0</v>
      </c>
      <c r="AD47" s="741">
        <v>0</v>
      </c>
      <c r="AE47" s="741">
        <v>0</v>
      </c>
      <c r="AF47" s="741">
        <v>0</v>
      </c>
      <c r="AG47" s="741">
        <v>0</v>
      </c>
      <c r="AH47" s="741">
        <v>0</v>
      </c>
      <c r="AI47" s="741">
        <v>0</v>
      </c>
      <c r="AJ47" s="741">
        <v>0</v>
      </c>
      <c r="AK47" s="741">
        <v>0</v>
      </c>
      <c r="AL47" s="741">
        <v>0</v>
      </c>
      <c r="AM47" s="741">
        <v>0</v>
      </c>
      <c r="AN47" s="741">
        <v>0</v>
      </c>
      <c r="AO47" s="741">
        <v>0</v>
      </c>
      <c r="AP47" s="41" t="str">
        <f t="shared" si="2"/>
        <v>GLA</v>
      </c>
      <c r="AQ47" s="41" t="str">
        <f t="shared" si="3"/>
        <v>GLAA10</v>
      </c>
      <c r="AR47" s="41" t="str">
        <f t="shared" si="4"/>
        <v>A10</v>
      </c>
      <c r="CR47" s="625"/>
    </row>
    <row r="48" spans="1:96" s="41" customFormat="1" ht="12.75" customHeight="1">
      <c r="A48" s="442" t="s">
        <v>17</v>
      </c>
      <c r="B48" s="442" t="str">
        <f t="shared" si="5"/>
        <v>GL118010</v>
      </c>
      <c r="C48" s="638">
        <v>118010</v>
      </c>
      <c r="D48" s="735"/>
      <c r="E48" s="626"/>
      <c r="F48" s="441" t="s">
        <v>56</v>
      </c>
      <c r="G48" s="626"/>
      <c r="H48" s="736" t="s">
        <v>1138</v>
      </c>
      <c r="I48" s="442"/>
      <c r="J48" s="442"/>
      <c r="K48" s="442" t="str">
        <f t="shared" si="0"/>
        <v/>
      </c>
      <c r="L48" s="736" t="s">
        <v>2421</v>
      </c>
      <c r="M48" s="442" t="str">
        <f t="shared" si="6"/>
        <v>N</v>
      </c>
      <c r="N48" s="442" t="str">
        <f>IF(L48&lt;&gt;"",VLOOKUP(L48,Categories!$B$2:$D$41,2,FALSE),IF(F48&lt;&gt;"","No Cat",""))</f>
        <v>NRBASE</v>
      </c>
      <c r="O48" s="442" t="str">
        <f>IF($L48&lt;&gt;"",VLOOKUP($L48,Categories!$B$2:$D$41,3,FALSE),IF($F48&lt;&gt;"","No Cat",""))</f>
        <v>Direct Assign Items Not in RB</v>
      </c>
      <c r="P48" s="736" t="s">
        <v>2468</v>
      </c>
      <c r="Q48" s="442" t="str">
        <f>VLOOKUP($P48,Allocators!$B$7:$F$19,5,FALSE)</f>
        <v>Not in Rate Base</v>
      </c>
      <c r="R48" s="737">
        <f>VLOOKUP($P48,Allocators!$B$7:$F$19,2,FALSE)</f>
        <v>0</v>
      </c>
      <c r="S48" s="737">
        <f>VLOOKUP($P48,Allocators!$B$7:$F$19,3,FALSE)</f>
        <v>0</v>
      </c>
      <c r="T48" s="737">
        <f t="shared" si="15"/>
        <v>1</v>
      </c>
      <c r="U48" s="2">
        <f t="shared" si="7"/>
        <v>0</v>
      </c>
      <c r="V48" s="2">
        <f t="shared" si="8"/>
        <v>0</v>
      </c>
      <c r="W48" s="2">
        <f t="shared" si="9"/>
        <v>8836.3191195833406</v>
      </c>
      <c r="X48" s="2">
        <f t="shared" si="10"/>
        <v>8836.3191195833406</v>
      </c>
      <c r="Y48" s="2">
        <f t="shared" si="11"/>
        <v>0</v>
      </c>
      <c r="Z48" s="2">
        <f t="shared" si="12"/>
        <v>0</v>
      </c>
      <c r="AA48" s="2">
        <f t="shared" si="13"/>
        <v>11477.560020000001</v>
      </c>
      <c r="AB48" s="2">
        <f t="shared" si="14"/>
        <v>11477.560019999999</v>
      </c>
      <c r="AC48" s="759">
        <v>6443.9517100000003</v>
      </c>
      <c r="AD48" s="741">
        <v>5641.9426900000008</v>
      </c>
      <c r="AE48" s="741">
        <v>5641.9426900000008</v>
      </c>
      <c r="AF48" s="741">
        <v>5641.9426900000008</v>
      </c>
      <c r="AG48" s="741">
        <v>5641.9426900000008</v>
      </c>
      <c r="AH48" s="741">
        <v>5641.9426900000008</v>
      </c>
      <c r="AI48" s="741">
        <v>11477.560019999999</v>
      </c>
      <c r="AJ48" s="741">
        <v>11477.560019999999</v>
      </c>
      <c r="AK48" s="741">
        <v>11477.560019999999</v>
      </c>
      <c r="AL48" s="741">
        <v>11477.560019999999</v>
      </c>
      <c r="AM48" s="741">
        <v>11477.560019999999</v>
      </c>
      <c r="AN48" s="741">
        <v>11477.560019999999</v>
      </c>
      <c r="AO48" s="741">
        <v>11477.560019999999</v>
      </c>
      <c r="AP48" s="41" t="str">
        <f t="shared" si="2"/>
        <v>GLN</v>
      </c>
      <c r="AQ48" s="41" t="str">
        <f t="shared" si="3"/>
        <v>GLNN2Asset Retirement Obligation</v>
      </c>
      <c r="AR48" s="41" t="str">
        <f t="shared" si="4"/>
        <v>N2Asset Retirement Obligation</v>
      </c>
    </row>
    <row r="49" spans="1:96" s="41" customFormat="1" ht="12.75" customHeight="1">
      <c r="A49" s="442" t="s">
        <v>17</v>
      </c>
      <c r="B49" s="442" t="str">
        <f t="shared" si="5"/>
        <v>GL118030</v>
      </c>
      <c r="C49" s="638">
        <v>118030</v>
      </c>
      <c r="D49" s="735"/>
      <c r="E49" s="626"/>
      <c r="F49" s="441" t="s">
        <v>57</v>
      </c>
      <c r="G49" s="626"/>
      <c r="H49" s="736" t="s">
        <v>1138</v>
      </c>
      <c r="I49" s="442"/>
      <c r="J49" s="442"/>
      <c r="K49" s="442" t="str">
        <f t="shared" si="0"/>
        <v/>
      </c>
      <c r="L49" s="736" t="s">
        <v>2421</v>
      </c>
      <c r="M49" s="442" t="str">
        <f t="shared" si="6"/>
        <v>N</v>
      </c>
      <c r="N49" s="442" t="str">
        <f>IF(L49&lt;&gt;"",VLOOKUP(L49,Categories!$B$2:$D$41,2,FALSE),IF(F49&lt;&gt;"","No Cat",""))</f>
        <v>NRBASE</v>
      </c>
      <c r="O49" s="442" t="str">
        <f>IF($L49&lt;&gt;"",VLOOKUP($L49,Categories!$B$2:$D$41,3,FALSE),IF($F49&lt;&gt;"","No Cat",""))</f>
        <v>Direct Assign Items Not in RB</v>
      </c>
      <c r="P49" s="736" t="s">
        <v>2468</v>
      </c>
      <c r="Q49" s="442" t="str">
        <f>VLOOKUP($P49,Allocators!$B$7:$F$19,5,FALSE)</f>
        <v>Not in Rate Base</v>
      </c>
      <c r="R49" s="737">
        <f>VLOOKUP($P49,Allocators!$B$7:$F$19,2,FALSE)</f>
        <v>0</v>
      </c>
      <c r="S49" s="737">
        <f>VLOOKUP($P49,Allocators!$B$7:$F$19,3,FALSE)</f>
        <v>0</v>
      </c>
      <c r="T49" s="737">
        <f t="shared" si="15"/>
        <v>1</v>
      </c>
      <c r="U49" s="2">
        <f t="shared" si="7"/>
        <v>0</v>
      </c>
      <c r="V49" s="2">
        <f t="shared" si="8"/>
        <v>0</v>
      </c>
      <c r="W49" s="2">
        <f t="shared" si="9"/>
        <v>165.59869</v>
      </c>
      <c r="X49" s="2">
        <f t="shared" si="10"/>
        <v>165.59869</v>
      </c>
      <c r="Y49" s="2">
        <f t="shared" si="11"/>
        <v>0</v>
      </c>
      <c r="Z49" s="2">
        <f t="shared" si="12"/>
        <v>0</v>
      </c>
      <c r="AA49" s="2">
        <f t="shared" si="13"/>
        <v>165.59869</v>
      </c>
      <c r="AB49" s="2">
        <f t="shared" si="14"/>
        <v>165.59869</v>
      </c>
      <c r="AC49" s="759">
        <v>165.59869</v>
      </c>
      <c r="AD49" s="741">
        <v>165.59869</v>
      </c>
      <c r="AE49" s="741">
        <v>165.59869</v>
      </c>
      <c r="AF49" s="741">
        <v>165.59869</v>
      </c>
      <c r="AG49" s="741">
        <v>165.59869</v>
      </c>
      <c r="AH49" s="741">
        <v>165.59869</v>
      </c>
      <c r="AI49" s="741">
        <v>165.59869</v>
      </c>
      <c r="AJ49" s="741">
        <v>165.59869</v>
      </c>
      <c r="AK49" s="741">
        <v>165.59869</v>
      </c>
      <c r="AL49" s="741">
        <v>165.59869</v>
      </c>
      <c r="AM49" s="741">
        <v>165.59869</v>
      </c>
      <c r="AN49" s="741">
        <v>165.59869</v>
      </c>
      <c r="AO49" s="741">
        <v>165.59869</v>
      </c>
      <c r="AP49" s="41" t="str">
        <f t="shared" si="2"/>
        <v>GLN</v>
      </c>
      <c r="AQ49" s="41" t="str">
        <f t="shared" si="3"/>
        <v>GLNN2Asset Retirement Obligation</v>
      </c>
      <c r="AR49" s="41" t="str">
        <f t="shared" si="4"/>
        <v>N2Asset Retirement Obligation</v>
      </c>
    </row>
    <row r="50" spans="1:96" s="41" customFormat="1" ht="12.75" customHeight="1">
      <c r="A50" s="442" t="s">
        <v>17</v>
      </c>
      <c r="B50" s="442" t="str">
        <f t="shared" si="5"/>
        <v>GL119010</v>
      </c>
      <c r="C50" s="638">
        <v>119010</v>
      </c>
      <c r="D50" s="735"/>
      <c r="E50" s="626"/>
      <c r="F50" s="441" t="s">
        <v>58</v>
      </c>
      <c r="G50" s="626"/>
      <c r="H50" s="736" t="s">
        <v>1138</v>
      </c>
      <c r="I50" s="442"/>
      <c r="J50" s="442"/>
      <c r="K50" s="442" t="str">
        <f t="shared" si="0"/>
        <v/>
      </c>
      <c r="L50" s="736" t="s">
        <v>2421</v>
      </c>
      <c r="M50" s="442" t="str">
        <f t="shared" si="6"/>
        <v>N</v>
      </c>
      <c r="N50" s="442" t="str">
        <f>IF(L50&lt;&gt;"",VLOOKUP(L50,Categories!$B$2:$D$41,2,FALSE),IF(F50&lt;&gt;"","No Cat",""))</f>
        <v>NRBASE</v>
      </c>
      <c r="O50" s="442" t="str">
        <f>IF($L50&lt;&gt;"",VLOOKUP($L50,Categories!$B$2:$D$41,3,FALSE),IF($F50&lt;&gt;"","No Cat",""))</f>
        <v>Direct Assign Items Not in RB</v>
      </c>
      <c r="P50" s="736" t="s">
        <v>2468</v>
      </c>
      <c r="Q50" s="442" t="str">
        <f>VLOOKUP($P50,Allocators!$B$7:$F$19,5,FALSE)</f>
        <v>Not in Rate Base</v>
      </c>
      <c r="R50" s="737">
        <f>VLOOKUP($P50,Allocators!$B$7:$F$19,2,FALSE)</f>
        <v>0</v>
      </c>
      <c r="S50" s="737">
        <f>VLOOKUP($P50,Allocators!$B$7:$F$19,3,FALSE)</f>
        <v>0</v>
      </c>
      <c r="T50" s="737">
        <f t="shared" si="15"/>
        <v>1</v>
      </c>
      <c r="U50" s="2">
        <f t="shared" si="7"/>
        <v>0</v>
      </c>
      <c r="V50" s="2">
        <f t="shared" si="8"/>
        <v>0</v>
      </c>
      <c r="W50" s="2">
        <f t="shared" si="9"/>
        <v>-5815.0444120833299</v>
      </c>
      <c r="X50" s="2">
        <f t="shared" si="10"/>
        <v>-5815.0444120833299</v>
      </c>
      <c r="Y50" s="2">
        <f t="shared" si="11"/>
        <v>0</v>
      </c>
      <c r="Z50" s="2">
        <f t="shared" si="12"/>
        <v>0</v>
      </c>
      <c r="AA50" s="2">
        <f t="shared" si="13"/>
        <v>-7389.3772099999996</v>
      </c>
      <c r="AB50" s="2">
        <f t="shared" si="14"/>
        <v>-7389.3772099999996</v>
      </c>
      <c r="AC50" s="759">
        <v>-5247.1803399999999</v>
      </c>
      <c r="AD50" s="741">
        <v>-5257.9519600000003</v>
      </c>
      <c r="AE50" s="741">
        <v>-5268.7235700000001</v>
      </c>
      <c r="AF50" s="741">
        <v>-5279.4951900000005</v>
      </c>
      <c r="AG50" s="741">
        <v>-5290.2668200000007</v>
      </c>
      <c r="AH50" s="741">
        <v>-5301.0384299999996</v>
      </c>
      <c r="AI50" s="741">
        <v>-5311.8100400000003</v>
      </c>
      <c r="AJ50" s="741">
        <v>-5658.0712400000002</v>
      </c>
      <c r="AK50" s="741">
        <v>-6004.3324299999995</v>
      </c>
      <c r="AL50" s="741">
        <v>-6350.5936400000001</v>
      </c>
      <c r="AM50" s="741">
        <v>-6696.8548200000005</v>
      </c>
      <c r="AN50" s="741">
        <v>-7043.1160300000001</v>
      </c>
      <c r="AO50" s="741">
        <v>-7389.3772099999996</v>
      </c>
      <c r="AP50" s="41" t="str">
        <f t="shared" si="2"/>
        <v>GLN</v>
      </c>
      <c r="AQ50" s="41" t="str">
        <f t="shared" si="3"/>
        <v>GLNN2Asset Retirement Obligation</v>
      </c>
      <c r="AR50" s="41" t="str">
        <f t="shared" si="4"/>
        <v>N2Asset Retirement Obligation</v>
      </c>
    </row>
    <row r="51" spans="1:96" s="41" customFormat="1" ht="12.75" customHeight="1">
      <c r="A51" s="442" t="s">
        <v>17</v>
      </c>
      <c r="B51" s="442" t="str">
        <f t="shared" si="5"/>
        <v>GL119030</v>
      </c>
      <c r="C51" s="638">
        <v>119030</v>
      </c>
      <c r="D51" s="735"/>
      <c r="E51" s="626"/>
      <c r="F51" s="441" t="s">
        <v>59</v>
      </c>
      <c r="G51" s="626"/>
      <c r="H51" s="736" t="s">
        <v>1138</v>
      </c>
      <c r="I51" s="442"/>
      <c r="J51" s="442"/>
      <c r="K51" s="442" t="str">
        <f t="shared" si="0"/>
        <v/>
      </c>
      <c r="L51" s="736" t="s">
        <v>2421</v>
      </c>
      <c r="M51" s="442" t="str">
        <f t="shared" si="6"/>
        <v>N</v>
      </c>
      <c r="N51" s="442" t="str">
        <f>IF(L51&lt;&gt;"",VLOOKUP(L51,Categories!$B$2:$D$41,2,FALSE),IF(F51&lt;&gt;"","No Cat",""))</f>
        <v>NRBASE</v>
      </c>
      <c r="O51" s="442" t="str">
        <f>IF($L51&lt;&gt;"",VLOOKUP($L51,Categories!$B$2:$D$41,3,FALSE),IF($F51&lt;&gt;"","No Cat",""))</f>
        <v>Direct Assign Items Not in RB</v>
      </c>
      <c r="P51" s="736" t="s">
        <v>2468</v>
      </c>
      <c r="Q51" s="442" t="str">
        <f>VLOOKUP($P51,Allocators!$B$7:$F$19,5,FALSE)</f>
        <v>Not in Rate Base</v>
      </c>
      <c r="R51" s="737">
        <f>VLOOKUP($P51,Allocators!$B$7:$F$19,2,FALSE)</f>
        <v>0</v>
      </c>
      <c r="S51" s="737">
        <f>VLOOKUP($P51,Allocators!$B$7:$F$19,3,FALSE)</f>
        <v>0</v>
      </c>
      <c r="T51" s="737">
        <f t="shared" si="15"/>
        <v>1</v>
      </c>
      <c r="U51" s="2">
        <f t="shared" si="7"/>
        <v>0</v>
      </c>
      <c r="V51" s="2">
        <f t="shared" si="8"/>
        <v>0</v>
      </c>
      <c r="W51" s="2">
        <f t="shared" si="9"/>
        <v>-96.115020000000001</v>
      </c>
      <c r="X51" s="2">
        <f t="shared" si="10"/>
        <v>-96.115020000000001</v>
      </c>
      <c r="Y51" s="2">
        <f t="shared" si="11"/>
        <v>0</v>
      </c>
      <c r="Z51" s="2">
        <f t="shared" si="12"/>
        <v>0</v>
      </c>
      <c r="AA51" s="2">
        <f t="shared" si="13"/>
        <v>-97.715699999999998</v>
      </c>
      <c r="AB51" s="2">
        <f t="shared" si="14"/>
        <v>-97.715699999999998</v>
      </c>
      <c r="AC51" s="759">
        <v>-94.51433999999999</v>
      </c>
      <c r="AD51" s="741">
        <v>-94.781120000000001</v>
      </c>
      <c r="AE51" s="741">
        <v>-95.047899999999998</v>
      </c>
      <c r="AF51" s="741">
        <v>-95.314679999999996</v>
      </c>
      <c r="AG51" s="741">
        <v>-95.581460000000007</v>
      </c>
      <c r="AH51" s="741">
        <v>-95.848240000000004</v>
      </c>
      <c r="AI51" s="741">
        <v>-96.115020000000001</v>
      </c>
      <c r="AJ51" s="741">
        <v>-96.381799999999998</v>
      </c>
      <c r="AK51" s="741">
        <v>-96.648579999999995</v>
      </c>
      <c r="AL51" s="741">
        <v>-96.915360000000007</v>
      </c>
      <c r="AM51" s="741">
        <v>-97.182140000000004</v>
      </c>
      <c r="AN51" s="741">
        <v>-97.448920000000001</v>
      </c>
      <c r="AO51" s="741">
        <v>-97.715699999999998</v>
      </c>
      <c r="AP51" s="41" t="str">
        <f t="shared" si="2"/>
        <v>GLN</v>
      </c>
      <c r="AQ51" s="41" t="str">
        <f t="shared" si="3"/>
        <v>GLNN2Asset Retirement Obligation</v>
      </c>
      <c r="AR51" s="41" t="str">
        <f t="shared" si="4"/>
        <v>N2Asset Retirement Obligation</v>
      </c>
    </row>
    <row r="52" spans="1:96" s="41" customFormat="1" ht="12.75" customHeight="1">
      <c r="A52" s="442" t="s">
        <v>17</v>
      </c>
      <c r="B52" s="442" t="str">
        <f t="shared" si="5"/>
        <v>GL121000</v>
      </c>
      <c r="C52" s="638">
        <v>121000</v>
      </c>
      <c r="D52" s="735"/>
      <c r="E52" s="626"/>
      <c r="F52" s="441" t="s">
        <v>60</v>
      </c>
      <c r="G52" s="626"/>
      <c r="H52" s="736" t="s">
        <v>2544</v>
      </c>
      <c r="I52" s="442"/>
      <c r="J52" s="442"/>
      <c r="K52" s="442" t="str">
        <f t="shared" si="0"/>
        <v/>
      </c>
      <c r="L52" s="736" t="s">
        <v>2421</v>
      </c>
      <c r="M52" s="442" t="str">
        <f t="shared" si="6"/>
        <v>N</v>
      </c>
      <c r="N52" s="442" t="str">
        <f>IF(L52&lt;&gt;"",VLOOKUP(L52,Categories!$B$2:$D$41,2,FALSE),IF(F52&lt;&gt;"","No Cat",""))</f>
        <v>NRBASE</v>
      </c>
      <c r="O52" s="442" t="str">
        <f>IF($L52&lt;&gt;"",VLOOKUP($L52,Categories!$B$2:$D$41,3,FALSE),IF($F52&lt;&gt;"","No Cat",""))</f>
        <v>Direct Assign Items Not in RB</v>
      </c>
      <c r="P52" s="736" t="s">
        <v>2468</v>
      </c>
      <c r="Q52" s="442" t="str">
        <f>VLOOKUP($P52,Allocators!$B$7:$F$19,5,FALSE)</f>
        <v>Not in Rate Base</v>
      </c>
      <c r="R52" s="737">
        <f>VLOOKUP($P52,Allocators!$B$7:$F$19,2,FALSE)</f>
        <v>0</v>
      </c>
      <c r="S52" s="737">
        <f>VLOOKUP($P52,Allocators!$B$7:$F$19,3,FALSE)</f>
        <v>0</v>
      </c>
      <c r="T52" s="737">
        <f t="shared" si="15"/>
        <v>1</v>
      </c>
      <c r="U52" s="2">
        <f t="shared" si="7"/>
        <v>0</v>
      </c>
      <c r="V52" s="2">
        <f t="shared" si="8"/>
        <v>0</v>
      </c>
      <c r="W52" s="2">
        <f t="shared" si="9"/>
        <v>3661.8812491666699</v>
      </c>
      <c r="X52" s="2">
        <f t="shared" si="10"/>
        <v>3661.8812491666699</v>
      </c>
      <c r="Y52" s="2">
        <f t="shared" si="11"/>
        <v>0</v>
      </c>
      <c r="Z52" s="2">
        <f t="shared" si="12"/>
        <v>0</v>
      </c>
      <c r="AA52" s="2">
        <f t="shared" si="13"/>
        <v>3679.0033800000001</v>
      </c>
      <c r="AB52" s="2">
        <f t="shared" si="14"/>
        <v>3679.0033800000001</v>
      </c>
      <c r="AC52" s="759">
        <v>3654.8309599999998</v>
      </c>
      <c r="AD52" s="741">
        <v>3654.8309599999998</v>
      </c>
      <c r="AE52" s="741">
        <v>3654.8309599999998</v>
      </c>
      <c r="AF52" s="741">
        <v>3654.8309599999998</v>
      </c>
      <c r="AG52" s="741">
        <v>3654.8309599999998</v>
      </c>
      <c r="AH52" s="741">
        <v>3654.8309599999998</v>
      </c>
      <c r="AI52" s="741">
        <v>3654.8309599999998</v>
      </c>
      <c r="AJ52" s="741">
        <v>3654.8309599999998</v>
      </c>
      <c r="AK52" s="741">
        <v>3654.8309599999998</v>
      </c>
      <c r="AL52" s="741">
        <v>3679.0033800000001</v>
      </c>
      <c r="AM52" s="741">
        <v>3679.0033800000001</v>
      </c>
      <c r="AN52" s="741">
        <v>3679.0033800000001</v>
      </c>
      <c r="AO52" s="741">
        <v>3679.0033800000001</v>
      </c>
      <c r="AP52" s="41" t="str">
        <f t="shared" si="2"/>
        <v>GLN</v>
      </c>
      <c r="AQ52" s="41" t="str">
        <f t="shared" si="3"/>
        <v>GLNN2Non-Utility Property</v>
      </c>
      <c r="AR52" s="41" t="str">
        <f t="shared" si="4"/>
        <v>N2Non-Utility Property</v>
      </c>
    </row>
    <row r="53" spans="1:96" s="41" customFormat="1" ht="12.75" customHeight="1">
      <c r="A53" s="442" t="s">
        <v>17</v>
      </c>
      <c r="B53" s="442" t="str">
        <f t="shared" si="5"/>
        <v>GL122000</v>
      </c>
      <c r="C53" s="638">
        <v>122000</v>
      </c>
      <c r="D53" s="735"/>
      <c r="E53" s="626"/>
      <c r="F53" s="441" t="s">
        <v>61</v>
      </c>
      <c r="G53" s="626"/>
      <c r="H53" s="736" t="s">
        <v>2544</v>
      </c>
      <c r="I53" s="442"/>
      <c r="J53" s="442"/>
      <c r="K53" s="442" t="str">
        <f t="shared" si="0"/>
        <v/>
      </c>
      <c r="L53" s="736" t="s">
        <v>2421</v>
      </c>
      <c r="M53" s="442" t="str">
        <f t="shared" si="6"/>
        <v>N</v>
      </c>
      <c r="N53" s="442" t="str">
        <f>IF(L53&lt;&gt;"",VLOOKUP(L53,Categories!$B$2:$D$41,2,FALSE),IF(F53&lt;&gt;"","No Cat",""))</f>
        <v>NRBASE</v>
      </c>
      <c r="O53" s="442" t="str">
        <f>IF($L53&lt;&gt;"",VLOOKUP($L53,Categories!$B$2:$D$41,3,FALSE),IF($F53&lt;&gt;"","No Cat",""))</f>
        <v>Direct Assign Items Not in RB</v>
      </c>
      <c r="P53" s="736" t="s">
        <v>2468</v>
      </c>
      <c r="Q53" s="442" t="str">
        <f>VLOOKUP($P53,Allocators!$B$7:$F$19,5,FALSE)</f>
        <v>Not in Rate Base</v>
      </c>
      <c r="R53" s="737">
        <f>VLOOKUP($P53,Allocators!$B$7:$F$19,2,FALSE)</f>
        <v>0</v>
      </c>
      <c r="S53" s="737">
        <f>VLOOKUP($P53,Allocators!$B$7:$F$19,3,FALSE)</f>
        <v>0</v>
      </c>
      <c r="T53" s="737">
        <f t="shared" si="15"/>
        <v>1</v>
      </c>
      <c r="U53" s="2">
        <f t="shared" si="7"/>
        <v>0</v>
      </c>
      <c r="V53" s="2">
        <f t="shared" si="8"/>
        <v>0</v>
      </c>
      <c r="W53" s="2">
        <f t="shared" si="9"/>
        <v>-983.73262124999997</v>
      </c>
      <c r="X53" s="2">
        <f t="shared" si="10"/>
        <v>-983.73262124999997</v>
      </c>
      <c r="Y53" s="2">
        <f t="shared" si="11"/>
        <v>0</v>
      </c>
      <c r="Z53" s="2">
        <f t="shared" si="12"/>
        <v>0</v>
      </c>
      <c r="AA53" s="2">
        <f t="shared" si="13"/>
        <v>-965.96128999999996</v>
      </c>
      <c r="AB53" s="2">
        <f t="shared" si="14"/>
        <v>-965.96129000000008</v>
      </c>
      <c r="AC53" s="759">
        <v>-970.03430000000003</v>
      </c>
      <c r="AD53" s="741">
        <v>-972.55575999999996</v>
      </c>
      <c r="AE53" s="741">
        <v>-975.07722000000001</v>
      </c>
      <c r="AF53" s="741">
        <v>-977.59868000000006</v>
      </c>
      <c r="AG53" s="741">
        <v>-980.12013999999999</v>
      </c>
      <c r="AH53" s="741">
        <v>-982.64159999999993</v>
      </c>
      <c r="AI53" s="741">
        <v>-985.16306000000009</v>
      </c>
      <c r="AJ53" s="741">
        <v>-987.68452000000002</v>
      </c>
      <c r="AK53" s="741">
        <v>-990.20597999999995</v>
      </c>
      <c r="AL53" s="741">
        <v>-992.72743999999989</v>
      </c>
      <c r="AM53" s="741">
        <v>-995.24890000000005</v>
      </c>
      <c r="AN53" s="741">
        <v>-997.77035999999998</v>
      </c>
      <c r="AO53" s="741">
        <v>-965.96129000000008</v>
      </c>
      <c r="AP53" s="41" t="str">
        <f t="shared" si="2"/>
        <v>GLN</v>
      </c>
      <c r="AQ53" s="41" t="str">
        <f t="shared" si="3"/>
        <v>GLNN2Non-Utility Property</v>
      </c>
      <c r="AR53" s="41" t="str">
        <f t="shared" si="4"/>
        <v>N2Non-Utility Property</v>
      </c>
    </row>
    <row r="54" spans="1:96" s="41" customFormat="1" ht="12.75" customHeight="1">
      <c r="A54" s="442" t="s">
        <v>17</v>
      </c>
      <c r="B54" s="442" t="str">
        <f t="shared" si="5"/>
        <v>GL124000</v>
      </c>
      <c r="C54" s="638">
        <v>124000</v>
      </c>
      <c r="D54" s="735"/>
      <c r="E54" s="626"/>
      <c r="F54" s="441" t="s">
        <v>62</v>
      </c>
      <c r="G54" s="626"/>
      <c r="H54" s="736" t="s">
        <v>2545</v>
      </c>
      <c r="I54" s="442"/>
      <c r="J54" s="442"/>
      <c r="K54" s="442" t="str">
        <f t="shared" si="0"/>
        <v/>
      </c>
      <c r="L54" s="736" t="s">
        <v>2421</v>
      </c>
      <c r="M54" s="442" t="str">
        <f t="shared" si="6"/>
        <v>N</v>
      </c>
      <c r="N54" s="442" t="str">
        <f>IF(L54&lt;&gt;"",VLOOKUP(L54,Categories!$B$2:$D$41,2,FALSE),IF(F54&lt;&gt;"","No Cat",""))</f>
        <v>NRBASE</v>
      </c>
      <c r="O54" s="442" t="str">
        <f>IF($L54&lt;&gt;"",VLOOKUP($L54,Categories!$B$2:$D$41,3,FALSE),IF($F54&lt;&gt;"","No Cat",""))</f>
        <v>Direct Assign Items Not in RB</v>
      </c>
      <c r="P54" s="736" t="s">
        <v>2468</v>
      </c>
      <c r="Q54" s="442" t="str">
        <f>VLOOKUP($P54,Allocators!$B$7:$F$19,5,FALSE)</f>
        <v>Not in Rate Base</v>
      </c>
      <c r="R54" s="737">
        <f>VLOOKUP($P54,Allocators!$B$7:$F$19,2,FALSE)</f>
        <v>0</v>
      </c>
      <c r="S54" s="737">
        <f>VLOOKUP($P54,Allocators!$B$7:$F$19,3,FALSE)</f>
        <v>0</v>
      </c>
      <c r="T54" s="737">
        <f t="shared" si="15"/>
        <v>1</v>
      </c>
      <c r="U54" s="2">
        <f t="shared" si="7"/>
        <v>0</v>
      </c>
      <c r="V54" s="2">
        <f t="shared" si="8"/>
        <v>0</v>
      </c>
      <c r="W54" s="2">
        <f t="shared" si="9"/>
        <v>100</v>
      </c>
      <c r="X54" s="2">
        <f t="shared" si="10"/>
        <v>100</v>
      </c>
      <c r="Y54" s="2">
        <f t="shared" si="11"/>
        <v>0</v>
      </c>
      <c r="Z54" s="2">
        <f t="shared" si="12"/>
        <v>0</v>
      </c>
      <c r="AA54" s="2">
        <f t="shared" si="13"/>
        <v>100</v>
      </c>
      <c r="AB54" s="2">
        <f t="shared" si="14"/>
        <v>100</v>
      </c>
      <c r="AC54" s="759">
        <v>100</v>
      </c>
      <c r="AD54" s="741">
        <v>100</v>
      </c>
      <c r="AE54" s="741">
        <v>100</v>
      </c>
      <c r="AF54" s="741">
        <v>100</v>
      </c>
      <c r="AG54" s="741">
        <v>100</v>
      </c>
      <c r="AH54" s="741">
        <v>100</v>
      </c>
      <c r="AI54" s="741">
        <v>100</v>
      </c>
      <c r="AJ54" s="741">
        <v>100</v>
      </c>
      <c r="AK54" s="741">
        <v>100</v>
      </c>
      <c r="AL54" s="741">
        <v>100</v>
      </c>
      <c r="AM54" s="741">
        <v>100</v>
      </c>
      <c r="AN54" s="741">
        <v>100</v>
      </c>
      <c r="AO54" s="741">
        <v>100</v>
      </c>
      <c r="AP54" s="41" t="str">
        <f t="shared" si="2"/>
        <v>GLN</v>
      </c>
      <c r="AQ54" s="41" t="str">
        <f t="shared" si="3"/>
        <v>GLNN2Other Investments</v>
      </c>
      <c r="AR54" s="41" t="str">
        <f t="shared" si="4"/>
        <v>N2Other Investments</v>
      </c>
    </row>
    <row r="55" spans="1:96" s="41" customFormat="1" ht="12.75" customHeight="1">
      <c r="A55" s="442" t="s">
        <v>17</v>
      </c>
      <c r="B55" s="442" t="str">
        <f t="shared" si="5"/>
        <v>GL124200</v>
      </c>
      <c r="C55" s="638">
        <v>124200</v>
      </c>
      <c r="D55" s="735"/>
      <c r="E55" s="626"/>
      <c r="F55" s="441" t="s">
        <v>63</v>
      </c>
      <c r="G55" s="626"/>
      <c r="H55" s="736" t="s">
        <v>2545</v>
      </c>
      <c r="I55" s="442"/>
      <c r="J55" s="442"/>
      <c r="K55" s="442" t="str">
        <f t="shared" si="0"/>
        <v/>
      </c>
      <c r="L55" s="736" t="s">
        <v>2421</v>
      </c>
      <c r="M55" s="442" t="str">
        <f t="shared" si="6"/>
        <v>N</v>
      </c>
      <c r="N55" s="442" t="str">
        <f>IF(L55&lt;&gt;"",VLOOKUP(L55,Categories!$B$2:$D$41,2,FALSE),IF(F55&lt;&gt;"","No Cat",""))</f>
        <v>NRBASE</v>
      </c>
      <c r="O55" s="442" t="str">
        <f>IF($L55&lt;&gt;"",VLOOKUP($L55,Categories!$B$2:$D$41,3,FALSE),IF($F55&lt;&gt;"","No Cat",""))</f>
        <v>Direct Assign Items Not in RB</v>
      </c>
      <c r="P55" s="736" t="s">
        <v>2468</v>
      </c>
      <c r="Q55" s="442" t="str">
        <f>VLOOKUP($P55,Allocators!$B$7:$F$19,5,FALSE)</f>
        <v>Not in Rate Base</v>
      </c>
      <c r="R55" s="737">
        <f>VLOOKUP($P55,Allocators!$B$7:$F$19,2,FALSE)</f>
        <v>0</v>
      </c>
      <c r="S55" s="737">
        <f>VLOOKUP($P55,Allocators!$B$7:$F$19,3,FALSE)</f>
        <v>0</v>
      </c>
      <c r="T55" s="737">
        <f t="shared" si="15"/>
        <v>1</v>
      </c>
      <c r="U55" s="2" t="str">
        <f t="shared" si="7"/>
        <v/>
      </c>
      <c r="V55" s="2" t="str">
        <f t="shared" si="8"/>
        <v/>
      </c>
      <c r="W55" s="2" t="str">
        <f t="shared" si="9"/>
        <v/>
      </c>
      <c r="X55" s="2">
        <f t="shared" si="10"/>
        <v>0</v>
      </c>
      <c r="Y55" s="2" t="str">
        <f t="shared" si="11"/>
        <v/>
      </c>
      <c r="Z55" s="2" t="str">
        <f t="shared" si="12"/>
        <v/>
      </c>
      <c r="AA55" s="2" t="str">
        <f t="shared" si="13"/>
        <v/>
      </c>
      <c r="AB55" s="2">
        <f t="shared" si="14"/>
        <v>0</v>
      </c>
      <c r="AC55" s="759">
        <v>0</v>
      </c>
      <c r="AD55" s="741">
        <v>0</v>
      </c>
      <c r="AE55" s="741">
        <v>0</v>
      </c>
      <c r="AF55" s="741">
        <v>0</v>
      </c>
      <c r="AG55" s="741">
        <v>0</v>
      </c>
      <c r="AH55" s="741">
        <v>0</v>
      </c>
      <c r="AI55" s="741">
        <v>0</v>
      </c>
      <c r="AJ55" s="741">
        <v>0</v>
      </c>
      <c r="AK55" s="741">
        <v>0</v>
      </c>
      <c r="AL55" s="741">
        <v>0</v>
      </c>
      <c r="AM55" s="741">
        <v>0</v>
      </c>
      <c r="AN55" s="741">
        <v>0</v>
      </c>
      <c r="AO55" s="741">
        <v>0</v>
      </c>
      <c r="AP55" s="41" t="str">
        <f t="shared" si="2"/>
        <v>GLN</v>
      </c>
      <c r="AQ55" s="41" t="str">
        <f t="shared" si="3"/>
        <v>GLNN2Other Investments</v>
      </c>
      <c r="AR55" s="41" t="str">
        <f t="shared" si="4"/>
        <v>N2Other Investments</v>
      </c>
    </row>
    <row r="56" spans="1:96" s="41" customFormat="1" ht="12.75" customHeight="1">
      <c r="A56" s="442" t="s">
        <v>17</v>
      </c>
      <c r="B56" s="442" t="str">
        <f t="shared" si="5"/>
        <v>GL124202</v>
      </c>
      <c r="C56" s="638">
        <v>124202</v>
      </c>
      <c r="D56" s="735"/>
      <c r="E56" s="626"/>
      <c r="F56" s="441" t="s">
        <v>63</v>
      </c>
      <c r="G56" s="626"/>
      <c r="H56" s="736" t="s">
        <v>2545</v>
      </c>
      <c r="I56" s="442"/>
      <c r="J56" s="442"/>
      <c r="K56" s="442" t="str">
        <f t="shared" si="0"/>
        <v/>
      </c>
      <c r="L56" s="736" t="s">
        <v>2421</v>
      </c>
      <c r="M56" s="442" t="str">
        <f t="shared" si="6"/>
        <v>N</v>
      </c>
      <c r="N56" s="442" t="str">
        <f>IF(L56&lt;&gt;"",VLOOKUP(L56,Categories!$B$2:$D$41,2,FALSE),IF(F56&lt;&gt;"","No Cat",""))</f>
        <v>NRBASE</v>
      </c>
      <c r="O56" s="442" t="str">
        <f>IF($L56&lt;&gt;"",VLOOKUP($L56,Categories!$B$2:$D$41,3,FALSE),IF($F56&lt;&gt;"","No Cat",""))</f>
        <v>Direct Assign Items Not in RB</v>
      </c>
      <c r="P56" s="736" t="s">
        <v>2468</v>
      </c>
      <c r="Q56" s="442" t="str">
        <f>VLOOKUP($P56,Allocators!$B$7:$F$19,5,FALSE)</f>
        <v>Not in Rate Base</v>
      </c>
      <c r="R56" s="737">
        <f>VLOOKUP($P56,Allocators!$B$7:$F$19,2,FALSE)</f>
        <v>0</v>
      </c>
      <c r="S56" s="737">
        <f>VLOOKUP($P56,Allocators!$B$7:$F$19,3,FALSE)</f>
        <v>0</v>
      </c>
      <c r="T56" s="737">
        <f t="shared" si="15"/>
        <v>1</v>
      </c>
      <c r="U56" s="2">
        <f t="shared" si="7"/>
        <v>0</v>
      </c>
      <c r="V56" s="2">
        <f t="shared" si="8"/>
        <v>0</v>
      </c>
      <c r="W56" s="2">
        <f t="shared" si="9"/>
        <v>85.024739999999994</v>
      </c>
      <c r="X56" s="2">
        <f t="shared" si="10"/>
        <v>85.024739999999994</v>
      </c>
      <c r="Y56" s="2">
        <f t="shared" si="11"/>
        <v>0</v>
      </c>
      <c r="Z56" s="2">
        <f t="shared" si="12"/>
        <v>0</v>
      </c>
      <c r="AA56" s="2">
        <f t="shared" si="13"/>
        <v>85.024739999999994</v>
      </c>
      <c r="AB56" s="2">
        <f t="shared" si="14"/>
        <v>85.024740000000008</v>
      </c>
      <c r="AC56" s="759">
        <v>85.024740000000008</v>
      </c>
      <c r="AD56" s="741">
        <v>85.024740000000008</v>
      </c>
      <c r="AE56" s="741">
        <v>85.024740000000008</v>
      </c>
      <c r="AF56" s="741">
        <v>85.024740000000008</v>
      </c>
      <c r="AG56" s="741">
        <v>85.024740000000008</v>
      </c>
      <c r="AH56" s="741">
        <v>85.024740000000008</v>
      </c>
      <c r="AI56" s="741">
        <v>85.024740000000008</v>
      </c>
      <c r="AJ56" s="741">
        <v>85.024740000000008</v>
      </c>
      <c r="AK56" s="741">
        <v>85.024740000000008</v>
      </c>
      <c r="AL56" s="741">
        <v>85.024740000000008</v>
      </c>
      <c r="AM56" s="741">
        <v>85.024740000000008</v>
      </c>
      <c r="AN56" s="741">
        <v>85.024740000000008</v>
      </c>
      <c r="AO56" s="741">
        <v>85.024740000000008</v>
      </c>
      <c r="AP56" s="41" t="str">
        <f t="shared" si="2"/>
        <v>GLN</v>
      </c>
      <c r="AQ56" s="41" t="str">
        <f t="shared" si="3"/>
        <v>GLNN2Other Investments</v>
      </c>
      <c r="AR56" s="41" t="str">
        <f t="shared" si="4"/>
        <v>N2Other Investments</v>
      </c>
    </row>
    <row r="57" spans="1:96" s="41" customFormat="1" ht="12.75" customHeight="1">
      <c r="A57" s="442" t="s">
        <v>17</v>
      </c>
      <c r="B57" s="442" t="str">
        <f t="shared" si="5"/>
        <v>GL124220</v>
      </c>
      <c r="C57" s="638">
        <v>124220</v>
      </c>
      <c r="D57" s="735"/>
      <c r="E57" s="626"/>
      <c r="F57" s="441" t="s">
        <v>64</v>
      </c>
      <c r="G57" s="626"/>
      <c r="H57" s="736" t="s">
        <v>2545</v>
      </c>
      <c r="I57" s="442"/>
      <c r="J57" s="442"/>
      <c r="K57" s="442" t="str">
        <f t="shared" si="0"/>
        <v/>
      </c>
      <c r="L57" s="736" t="s">
        <v>2421</v>
      </c>
      <c r="M57" s="442" t="str">
        <f t="shared" si="6"/>
        <v>N</v>
      </c>
      <c r="N57" s="442" t="str">
        <f>IF(L57&lt;&gt;"",VLOOKUP(L57,Categories!$B$2:$D$41,2,FALSE),IF(F57&lt;&gt;"","No Cat",""))</f>
        <v>NRBASE</v>
      </c>
      <c r="O57" s="442" t="str">
        <f>IF($L57&lt;&gt;"",VLOOKUP($L57,Categories!$B$2:$D$41,3,FALSE),IF($F57&lt;&gt;"","No Cat",""))</f>
        <v>Direct Assign Items Not in RB</v>
      </c>
      <c r="P57" s="736" t="s">
        <v>2468</v>
      </c>
      <c r="Q57" s="442" t="str">
        <f>VLOOKUP($P57,Allocators!$B$7:$F$19,5,FALSE)</f>
        <v>Not in Rate Base</v>
      </c>
      <c r="R57" s="737">
        <f>VLOOKUP($P57,Allocators!$B$7:$F$19,2,FALSE)</f>
        <v>0</v>
      </c>
      <c r="S57" s="737">
        <f>VLOOKUP($P57,Allocators!$B$7:$F$19,3,FALSE)</f>
        <v>0</v>
      </c>
      <c r="T57" s="737">
        <f t="shared" si="15"/>
        <v>1</v>
      </c>
      <c r="U57" s="2" t="str">
        <f t="shared" si="7"/>
        <v/>
      </c>
      <c r="V57" s="2" t="str">
        <f t="shared" si="8"/>
        <v/>
      </c>
      <c r="W57" s="2" t="str">
        <f t="shared" si="9"/>
        <v/>
      </c>
      <c r="X57" s="2">
        <f t="shared" si="10"/>
        <v>0</v>
      </c>
      <c r="Y57" s="2" t="str">
        <f t="shared" si="11"/>
        <v/>
      </c>
      <c r="Z57" s="2" t="str">
        <f t="shared" si="12"/>
        <v/>
      </c>
      <c r="AA57" s="2" t="str">
        <f t="shared" si="13"/>
        <v/>
      </c>
      <c r="AB57" s="2">
        <f t="shared" si="14"/>
        <v>0</v>
      </c>
      <c r="AC57" s="759">
        <v>0</v>
      </c>
      <c r="AD57" s="741">
        <v>0</v>
      </c>
      <c r="AE57" s="741">
        <v>0</v>
      </c>
      <c r="AF57" s="741">
        <v>0</v>
      </c>
      <c r="AG57" s="741">
        <v>0</v>
      </c>
      <c r="AH57" s="741">
        <v>0</v>
      </c>
      <c r="AI57" s="741">
        <v>0</v>
      </c>
      <c r="AJ57" s="741">
        <v>0</v>
      </c>
      <c r="AK57" s="741">
        <v>0</v>
      </c>
      <c r="AL57" s="741">
        <v>0</v>
      </c>
      <c r="AM57" s="741">
        <v>0</v>
      </c>
      <c r="AN57" s="741">
        <v>0</v>
      </c>
      <c r="AO57" s="741">
        <v>0</v>
      </c>
      <c r="AP57" s="41" t="str">
        <f t="shared" si="2"/>
        <v>GLN</v>
      </c>
      <c r="AQ57" s="41" t="str">
        <f t="shared" si="3"/>
        <v>GLNN2Other Investments</v>
      </c>
      <c r="AR57" s="41" t="str">
        <f t="shared" si="4"/>
        <v>N2Other Investments</v>
      </c>
    </row>
    <row r="58" spans="1:96" s="41" customFormat="1" ht="12.75" customHeight="1">
      <c r="A58" s="25" t="s">
        <v>17</v>
      </c>
      <c r="B58" s="25" t="str">
        <f t="shared" si="5"/>
        <v>GL128000</v>
      </c>
      <c r="C58" s="638">
        <v>128000</v>
      </c>
      <c r="D58" s="735"/>
      <c r="F58" s="1" t="s">
        <v>65</v>
      </c>
      <c r="H58" s="736" t="s">
        <v>1724</v>
      </c>
      <c r="I58" s="25"/>
      <c r="J58" s="25"/>
      <c r="K58" s="442" t="str">
        <f t="shared" si="0"/>
        <v/>
      </c>
      <c r="L58" s="736" t="s">
        <v>2441</v>
      </c>
      <c r="M58" s="25" t="str">
        <f t="shared" si="6"/>
        <v>R</v>
      </c>
      <c r="N58" s="25" t="str">
        <f>IF(L58&lt;&gt;"",VLOOKUP(L58,Categories!$B$2:$D$41,2,FALSE),IF(F58&lt;&gt;"","No Cat",""))</f>
        <v>Rate Base</v>
      </c>
      <c r="O58" s="25" t="str">
        <f>IF($L58&lt;&gt;"",VLOOKUP($L58,Categories!$B$2:$D$41,3,FALSE),IF($F58&lt;&gt;"","No Cat",""))</f>
        <v>Deferred Debits &amp; Credits</v>
      </c>
      <c r="P58" s="736" t="s">
        <v>2487</v>
      </c>
      <c r="Q58" s="25" t="str">
        <f>VLOOKUP($P58,Allocators!$B$7:$F$19,5,FALSE)</f>
        <v>Payroll</v>
      </c>
      <c r="R58" s="737">
        <f>VLOOKUP($P58,Allocators!$B$7:$F$19,2,FALSE)</f>
        <v>0.61780000000000002</v>
      </c>
      <c r="S58" s="737">
        <f>VLOOKUP($P58,Allocators!$B$7:$F$19,3,FALSE)</f>
        <v>0.38219999999999998</v>
      </c>
      <c r="T58" s="737" t="str">
        <f t="shared" si="15"/>
        <v>0.0%</v>
      </c>
      <c r="U58" s="2">
        <f t="shared" si="7"/>
        <v>88.049602508333095</v>
      </c>
      <c r="V58" s="2">
        <f t="shared" si="8"/>
        <v>54.471605824999898</v>
      </c>
      <c r="W58" s="2">
        <f t="shared" si="9"/>
        <v>0</v>
      </c>
      <c r="X58" s="2">
        <f t="shared" si="10"/>
        <v>142.52120833333299</v>
      </c>
      <c r="Y58" s="2">
        <f t="shared" si="11"/>
        <v>87.272899199999998</v>
      </c>
      <c r="Z58" s="2">
        <f t="shared" si="12"/>
        <v>53.991100799999998</v>
      </c>
      <c r="AA58" s="2">
        <f t="shared" si="13"/>
        <v>0</v>
      </c>
      <c r="AB58" s="2">
        <f t="shared" si="14"/>
        <v>141.26400000000001</v>
      </c>
      <c r="AC58" s="759">
        <v>143.58500000000001</v>
      </c>
      <c r="AD58" s="741">
        <v>143.58500000000001</v>
      </c>
      <c r="AE58" s="741">
        <v>143.58500000000001</v>
      </c>
      <c r="AF58" s="741">
        <v>143.58500000000001</v>
      </c>
      <c r="AG58" s="741">
        <v>143.58500000000001</v>
      </c>
      <c r="AH58" s="741">
        <v>143.58500000000001</v>
      </c>
      <c r="AI58" s="741">
        <v>143.58500000000001</v>
      </c>
      <c r="AJ58" s="741">
        <v>141.26400000000001</v>
      </c>
      <c r="AK58" s="741">
        <v>141.26400000000001</v>
      </c>
      <c r="AL58" s="741">
        <v>141.26400000000001</v>
      </c>
      <c r="AM58" s="741">
        <v>141.26400000000001</v>
      </c>
      <c r="AN58" s="741">
        <v>141.26400000000001</v>
      </c>
      <c r="AO58" s="741">
        <v>141.26400000000001</v>
      </c>
      <c r="AP58" s="41" t="str">
        <f t="shared" si="2"/>
        <v>GLR</v>
      </c>
      <c r="AQ58" s="41" t="str">
        <f t="shared" si="3"/>
        <v>GLRR10Workers Comp Reserve</v>
      </c>
      <c r="AR58" s="41" t="str">
        <f t="shared" si="4"/>
        <v>R10Workers Comp Reserve</v>
      </c>
    </row>
    <row r="59" spans="1:96" s="41" customFormat="1" ht="12.75" customHeight="1">
      <c r="A59" s="442" t="s">
        <v>17</v>
      </c>
      <c r="B59" s="442" t="str">
        <f t="shared" si="5"/>
        <v>GL128100</v>
      </c>
      <c r="C59" s="638">
        <v>128100</v>
      </c>
      <c r="D59" s="735"/>
      <c r="E59" s="626"/>
      <c r="F59" s="441" t="s">
        <v>66</v>
      </c>
      <c r="G59" s="626"/>
      <c r="H59" s="736">
        <v>0</v>
      </c>
      <c r="I59" s="442"/>
      <c r="J59" s="442"/>
      <c r="K59" s="442" t="str">
        <f t="shared" si="0"/>
        <v/>
      </c>
      <c r="L59" s="736" t="s">
        <v>2468</v>
      </c>
      <c r="M59" s="442" t="str">
        <f t="shared" si="6"/>
        <v>N</v>
      </c>
      <c r="N59" s="442" t="e">
        <f>IF(L59&lt;&gt;"",VLOOKUP(L59,Categories!$B$2:$D$41,2,FALSE),IF(F59&lt;&gt;"","No Cat",""))</f>
        <v>#N/A</v>
      </c>
      <c r="O59" s="442" t="e">
        <f>IF($L59&lt;&gt;"",VLOOKUP($L59,Categories!$B$2:$D$41,3,FALSE),IF($F59&lt;&gt;"","No Cat",""))</f>
        <v>#N/A</v>
      </c>
      <c r="P59" s="736" t="s">
        <v>2468</v>
      </c>
      <c r="Q59" s="442" t="str">
        <f>VLOOKUP($P59,Allocators!$B$7:$F$19,5,FALSE)</f>
        <v>Not in Rate Base</v>
      </c>
      <c r="R59" s="737">
        <f>VLOOKUP($P59,Allocators!$B$7:$F$19,2,FALSE)</f>
        <v>0</v>
      </c>
      <c r="S59" s="737">
        <f>VLOOKUP($P59,Allocators!$B$7:$F$19,3,FALSE)</f>
        <v>0</v>
      </c>
      <c r="T59" s="737">
        <f t="shared" si="15"/>
        <v>1</v>
      </c>
      <c r="U59" s="2" t="str">
        <f t="shared" si="7"/>
        <v/>
      </c>
      <c r="V59" s="2" t="str">
        <f t="shared" si="8"/>
        <v/>
      </c>
      <c r="W59" s="2" t="str">
        <f t="shared" si="9"/>
        <v/>
      </c>
      <c r="X59" s="2">
        <f t="shared" si="10"/>
        <v>0</v>
      </c>
      <c r="Y59" s="2" t="str">
        <f t="shared" si="11"/>
        <v/>
      </c>
      <c r="Z59" s="2" t="str">
        <f t="shared" si="12"/>
        <v/>
      </c>
      <c r="AA59" s="2" t="str">
        <f t="shared" si="13"/>
        <v/>
      </c>
      <c r="AB59" s="2">
        <f t="shared" si="14"/>
        <v>0</v>
      </c>
      <c r="AC59" s="759">
        <v>0</v>
      </c>
      <c r="AD59" s="741">
        <v>0</v>
      </c>
      <c r="AE59" s="741">
        <v>0</v>
      </c>
      <c r="AF59" s="741">
        <v>0</v>
      </c>
      <c r="AG59" s="741">
        <v>0</v>
      </c>
      <c r="AH59" s="741">
        <v>0</v>
      </c>
      <c r="AI59" s="741">
        <v>0</v>
      </c>
      <c r="AJ59" s="741">
        <v>0</v>
      </c>
      <c r="AK59" s="741">
        <v>0</v>
      </c>
      <c r="AL59" s="741">
        <v>0</v>
      </c>
      <c r="AM59" s="741">
        <v>0</v>
      </c>
      <c r="AN59" s="741">
        <v>0</v>
      </c>
      <c r="AO59" s="741">
        <v>0</v>
      </c>
      <c r="AP59" s="41" t="str">
        <f t="shared" si="2"/>
        <v>GLN</v>
      </c>
      <c r="AQ59" s="41" t="str">
        <f t="shared" si="3"/>
        <v>GLNN0</v>
      </c>
      <c r="AR59" s="41" t="str">
        <f t="shared" si="4"/>
        <v>N0</v>
      </c>
    </row>
    <row r="60" spans="1:96" s="41" customFormat="1" ht="12.75" customHeight="1">
      <c r="A60" s="442" t="s">
        <v>17</v>
      </c>
      <c r="B60" s="442" t="str">
        <f t="shared" si="5"/>
        <v>GL128110</v>
      </c>
      <c r="C60" s="638">
        <v>128110</v>
      </c>
      <c r="D60" s="735"/>
      <c r="E60" s="626"/>
      <c r="F60" s="441" t="s">
        <v>67</v>
      </c>
      <c r="G60" s="626"/>
      <c r="H60" s="736">
        <v>0</v>
      </c>
      <c r="I60" s="442"/>
      <c r="J60" s="442"/>
      <c r="K60" s="442" t="str">
        <f t="shared" si="0"/>
        <v/>
      </c>
      <c r="L60" s="736" t="s">
        <v>2468</v>
      </c>
      <c r="M60" s="442" t="str">
        <f t="shared" si="6"/>
        <v>N</v>
      </c>
      <c r="N60" s="442" t="e">
        <f>IF(L60&lt;&gt;"",VLOOKUP(L60,Categories!$B$2:$D$41,2,FALSE),IF(F60&lt;&gt;"","No Cat",""))</f>
        <v>#N/A</v>
      </c>
      <c r="O60" s="442" t="e">
        <f>IF($L60&lt;&gt;"",VLOOKUP($L60,Categories!$B$2:$D$41,3,FALSE),IF($F60&lt;&gt;"","No Cat",""))</f>
        <v>#N/A</v>
      </c>
      <c r="P60" s="736" t="s">
        <v>2468</v>
      </c>
      <c r="Q60" s="442" t="str">
        <f>VLOOKUP($P60,Allocators!$B$7:$F$19,5,FALSE)</f>
        <v>Not in Rate Base</v>
      </c>
      <c r="R60" s="737">
        <f>VLOOKUP($P60,Allocators!$B$7:$F$19,2,FALSE)</f>
        <v>0</v>
      </c>
      <c r="S60" s="737">
        <f>VLOOKUP($P60,Allocators!$B$7:$F$19,3,FALSE)</f>
        <v>0</v>
      </c>
      <c r="T60" s="737">
        <f t="shared" si="15"/>
        <v>1</v>
      </c>
      <c r="U60" s="2" t="str">
        <f t="shared" si="7"/>
        <v/>
      </c>
      <c r="V60" s="2" t="str">
        <f t="shared" si="8"/>
        <v/>
      </c>
      <c r="W60" s="2" t="str">
        <f t="shared" si="9"/>
        <v/>
      </c>
      <c r="X60" s="2">
        <f t="shared" si="10"/>
        <v>0</v>
      </c>
      <c r="Y60" s="2" t="str">
        <f t="shared" si="11"/>
        <v/>
      </c>
      <c r="Z60" s="2" t="str">
        <f t="shared" si="12"/>
        <v/>
      </c>
      <c r="AA60" s="2" t="str">
        <f t="shared" si="13"/>
        <v/>
      </c>
      <c r="AB60" s="2">
        <f t="shared" si="14"/>
        <v>0</v>
      </c>
      <c r="AC60" s="759">
        <v>0</v>
      </c>
      <c r="AD60" s="741">
        <v>0</v>
      </c>
      <c r="AE60" s="741">
        <v>0</v>
      </c>
      <c r="AF60" s="741">
        <v>0</v>
      </c>
      <c r="AG60" s="741">
        <v>0</v>
      </c>
      <c r="AH60" s="741">
        <v>0</v>
      </c>
      <c r="AI60" s="741">
        <v>0</v>
      </c>
      <c r="AJ60" s="741">
        <v>0</v>
      </c>
      <c r="AK60" s="741">
        <v>0</v>
      </c>
      <c r="AL60" s="741">
        <v>0</v>
      </c>
      <c r="AM60" s="741">
        <v>0</v>
      </c>
      <c r="AN60" s="741">
        <v>0</v>
      </c>
      <c r="AO60" s="741">
        <v>0</v>
      </c>
      <c r="AP60" s="41" t="str">
        <f t="shared" si="2"/>
        <v>GLN</v>
      </c>
      <c r="AQ60" s="41" t="str">
        <f t="shared" si="3"/>
        <v>GLNN0</v>
      </c>
      <c r="AR60" s="41" t="str">
        <f t="shared" si="4"/>
        <v>N0</v>
      </c>
    </row>
    <row r="61" spans="1:96" s="41" customFormat="1" ht="12.75" customHeight="1">
      <c r="A61" s="442" t="s">
        <v>17</v>
      </c>
      <c r="B61" s="442" t="str">
        <f t="shared" si="5"/>
        <v>GL128400</v>
      </c>
      <c r="C61" s="638">
        <v>128400</v>
      </c>
      <c r="D61" s="735"/>
      <c r="E61" s="626"/>
      <c r="F61" s="441" t="s">
        <v>68</v>
      </c>
      <c r="G61" s="626"/>
      <c r="H61" s="736" t="s">
        <v>810</v>
      </c>
      <c r="I61" s="442"/>
      <c r="J61" s="442"/>
      <c r="K61" s="442" t="str">
        <f t="shared" si="0"/>
        <v/>
      </c>
      <c r="L61" s="736" t="s">
        <v>2421</v>
      </c>
      <c r="M61" s="442" t="str">
        <f t="shared" si="6"/>
        <v>N</v>
      </c>
      <c r="N61" s="442" t="str">
        <f>IF(L61&lt;&gt;"",VLOOKUP(L61,Categories!$B$2:$D$41,2,FALSE),IF(F61&lt;&gt;"","No Cat",""))</f>
        <v>NRBASE</v>
      </c>
      <c r="O61" s="442" t="str">
        <f>IF($L61&lt;&gt;"",VLOOKUP($L61,Categories!$B$2:$D$41,3,FALSE),IF($F61&lt;&gt;"","No Cat",""))</f>
        <v>Direct Assign Items Not in RB</v>
      </c>
      <c r="P61" s="736" t="s">
        <v>2468</v>
      </c>
      <c r="Q61" s="442" t="str">
        <f>VLOOKUP($P61,Allocators!$B$7:$F$19,5,FALSE)</f>
        <v>Not in Rate Base</v>
      </c>
      <c r="R61" s="737">
        <f>VLOOKUP($P61,Allocators!$B$7:$F$19,2,FALSE)</f>
        <v>0</v>
      </c>
      <c r="S61" s="737">
        <f>VLOOKUP($P61,Allocators!$B$7:$F$19,3,FALSE)</f>
        <v>0</v>
      </c>
      <c r="T61" s="737">
        <f t="shared" si="15"/>
        <v>1</v>
      </c>
      <c r="U61" s="2">
        <f t="shared" si="7"/>
        <v>0</v>
      </c>
      <c r="V61" s="2">
        <f t="shared" si="8"/>
        <v>0</v>
      </c>
      <c r="W61" s="2">
        <f t="shared" si="9"/>
        <v>6294.9161075000002</v>
      </c>
      <c r="X61" s="2">
        <f t="shared" si="10"/>
        <v>6294.9161075000002</v>
      </c>
      <c r="Y61" s="2">
        <f t="shared" si="11"/>
        <v>0</v>
      </c>
      <c r="Z61" s="2">
        <f t="shared" si="12"/>
        <v>0</v>
      </c>
      <c r="AA61" s="2">
        <f t="shared" si="13"/>
        <v>5700.56531</v>
      </c>
      <c r="AB61" s="2">
        <f t="shared" si="14"/>
        <v>5700.56531</v>
      </c>
      <c r="AC61" s="759">
        <v>7011.5056500000001</v>
      </c>
      <c r="AD61" s="741">
        <v>6674.8599800000002</v>
      </c>
      <c r="AE61" s="741">
        <v>6698.9064699999999</v>
      </c>
      <c r="AF61" s="741">
        <v>6415.8165799999997</v>
      </c>
      <c r="AG61" s="741">
        <v>6439.8630700000003</v>
      </c>
      <c r="AH61" s="741">
        <v>6439.8630700000003</v>
      </c>
      <c r="AI61" s="741">
        <v>6186.5449200000003</v>
      </c>
      <c r="AJ61" s="741">
        <v>6234.6379000000006</v>
      </c>
      <c r="AK61" s="741">
        <v>6258.6843899999994</v>
      </c>
      <c r="AL61" s="741">
        <v>5920.5473200000006</v>
      </c>
      <c r="AM61" s="741">
        <v>5944.5938099999994</v>
      </c>
      <c r="AN61" s="741">
        <v>5968.6403</v>
      </c>
      <c r="AO61" s="741">
        <v>5700.56531</v>
      </c>
      <c r="AP61" s="41" t="str">
        <f t="shared" si="2"/>
        <v>GLN</v>
      </c>
      <c r="AQ61" s="41" t="str">
        <f t="shared" si="3"/>
        <v>GLNN2SERP</v>
      </c>
      <c r="AR61" s="41" t="str">
        <f t="shared" si="4"/>
        <v>N2SERP</v>
      </c>
    </row>
    <row r="62" spans="1:96" s="41" customFormat="1" ht="12.75" customHeight="1">
      <c r="A62" s="25" t="s">
        <v>17</v>
      </c>
      <c r="B62" s="25" t="str">
        <f t="shared" si="5"/>
        <v>GL129215</v>
      </c>
      <c r="C62" s="638">
        <v>129215</v>
      </c>
      <c r="D62" s="735"/>
      <c r="F62" s="1" t="s">
        <v>69</v>
      </c>
      <c r="H62" s="736" t="s">
        <v>2539</v>
      </c>
      <c r="I62" s="25"/>
      <c r="J62" s="25"/>
      <c r="K62" s="442" t="str">
        <f t="shared" si="0"/>
        <v/>
      </c>
      <c r="L62" s="736" t="s">
        <v>2441</v>
      </c>
      <c r="M62" s="25" t="str">
        <f t="shared" si="6"/>
        <v>R</v>
      </c>
      <c r="N62" s="25" t="str">
        <f>IF(L62&lt;&gt;"",VLOOKUP(L62,Categories!$B$2:$D$41,2,FALSE),IF(F62&lt;&gt;"","No Cat",""))</f>
        <v>Rate Base</v>
      </c>
      <c r="O62" s="25" t="str">
        <f>IF($L62&lt;&gt;"",VLOOKUP($L62,Categories!$B$2:$D$41,3,FALSE),IF($F62&lt;&gt;"","No Cat",""))</f>
        <v>Deferred Debits &amp; Credits</v>
      </c>
      <c r="P62" s="736" t="s">
        <v>2487</v>
      </c>
      <c r="Q62" s="25" t="str">
        <f>VLOOKUP($P62,Allocators!$B$7:$F$19,5,FALSE)</f>
        <v>Payroll</v>
      </c>
      <c r="R62" s="737">
        <f>VLOOKUP($P62,Allocators!$B$7:$F$19,2,FALSE)</f>
        <v>0.61780000000000002</v>
      </c>
      <c r="S62" s="737">
        <f>VLOOKUP($P62,Allocators!$B$7:$F$19,3,FALSE)</f>
        <v>0.38219999999999998</v>
      </c>
      <c r="T62" s="737" t="str">
        <f t="shared" si="15"/>
        <v>0.0%</v>
      </c>
      <c r="U62" s="2" t="str">
        <f t="shared" si="7"/>
        <v/>
      </c>
      <c r="V62" s="2" t="str">
        <f t="shared" si="8"/>
        <v/>
      </c>
      <c r="W62" s="2" t="str">
        <f t="shared" si="9"/>
        <v/>
      </c>
      <c r="X62" s="2">
        <f t="shared" si="10"/>
        <v>0</v>
      </c>
      <c r="Y62" s="2" t="str">
        <f t="shared" si="11"/>
        <v/>
      </c>
      <c r="Z62" s="2" t="str">
        <f t="shared" si="12"/>
        <v/>
      </c>
      <c r="AA62" s="2" t="str">
        <f t="shared" si="13"/>
        <v/>
      </c>
      <c r="AB62" s="2">
        <f t="shared" si="14"/>
        <v>0</v>
      </c>
      <c r="AC62" s="759">
        <v>0</v>
      </c>
      <c r="AD62" s="741">
        <v>0</v>
      </c>
      <c r="AE62" s="741">
        <v>0</v>
      </c>
      <c r="AF62" s="741">
        <v>0</v>
      </c>
      <c r="AG62" s="741">
        <v>0</v>
      </c>
      <c r="AH62" s="741">
        <v>0</v>
      </c>
      <c r="AI62" s="741">
        <v>0</v>
      </c>
      <c r="AJ62" s="741">
        <v>0</v>
      </c>
      <c r="AK62" s="741">
        <v>0</v>
      </c>
      <c r="AL62" s="741">
        <v>0</v>
      </c>
      <c r="AM62" s="741">
        <v>0</v>
      </c>
      <c r="AN62" s="741">
        <v>0</v>
      </c>
      <c r="AO62" s="741">
        <v>0</v>
      </c>
      <c r="AP62" s="41" t="str">
        <f t="shared" si="2"/>
        <v>GLR</v>
      </c>
      <c r="AQ62" s="41" t="str">
        <f t="shared" si="3"/>
        <v>GLRR10Accrued Pension</v>
      </c>
      <c r="AR62" s="41" t="str">
        <f t="shared" si="4"/>
        <v>R10Accrued Pension</v>
      </c>
    </row>
    <row r="63" spans="1:96" s="41" customFormat="1" ht="12.75" customHeight="1">
      <c r="A63" s="25" t="s">
        <v>17</v>
      </c>
      <c r="B63" s="25" t="str">
        <f t="shared" si="5"/>
        <v>GL131000</v>
      </c>
      <c r="C63" s="638">
        <v>131000</v>
      </c>
      <c r="D63" s="735"/>
      <c r="F63" s="1" t="s">
        <v>70</v>
      </c>
      <c r="H63" s="736" t="s">
        <v>2547</v>
      </c>
      <c r="I63" s="25"/>
      <c r="J63" s="25"/>
      <c r="K63" s="442" t="str">
        <f t="shared" si="0"/>
        <v/>
      </c>
      <c r="L63" s="736" t="s">
        <v>2393</v>
      </c>
      <c r="M63" s="25" t="str">
        <f t="shared" si="6"/>
        <v>A</v>
      </c>
      <c r="N63" s="25" t="str">
        <f>IF(L63&lt;&gt;"",VLOOKUP(L63,Categories!$B$2:$D$41,2,FALSE),IF(F63&lt;&gt;"","No Cat",""))</f>
        <v>All Other</v>
      </c>
      <c r="O63" s="25" t="str">
        <f>IF($L63&lt;&gt;"",VLOOKUP($L63,Categories!$B$2:$D$41,3,FALSE),IF($F63&lt;&gt;"","No Cat",""))</f>
        <v>EB-Cap</v>
      </c>
      <c r="P63" s="736" t="s">
        <v>2490</v>
      </c>
      <c r="Q63" s="25" t="str">
        <f>VLOOKUP($P63,Allocators!$B$7:$F$19,5,FALSE)</f>
        <v>Rate Base</v>
      </c>
      <c r="R63" s="737">
        <f>VLOOKUP($P63,Allocators!$B$7:$F$19,2,FALSE)</f>
        <v>0.70940000000000003</v>
      </c>
      <c r="S63" s="737">
        <f>VLOOKUP($P63,Allocators!$B$7:$F$19,3,FALSE)</f>
        <v>0.29060000000000002</v>
      </c>
      <c r="T63" s="737" t="str">
        <f t="shared" si="15"/>
        <v>0.0%</v>
      </c>
      <c r="U63" s="2" t="str">
        <f t="shared" si="7"/>
        <v/>
      </c>
      <c r="V63" s="2" t="str">
        <f t="shared" si="8"/>
        <v/>
      </c>
      <c r="W63" s="2" t="str">
        <f t="shared" si="9"/>
        <v/>
      </c>
      <c r="X63" s="2">
        <f t="shared" si="10"/>
        <v>0</v>
      </c>
      <c r="Y63" s="2" t="str">
        <f t="shared" si="11"/>
        <v/>
      </c>
      <c r="Z63" s="2" t="str">
        <f t="shared" si="12"/>
        <v/>
      </c>
      <c r="AA63" s="2" t="str">
        <f t="shared" si="13"/>
        <v/>
      </c>
      <c r="AB63" s="2">
        <f t="shared" si="14"/>
        <v>0</v>
      </c>
      <c r="AC63" s="759">
        <v>0</v>
      </c>
      <c r="AD63" s="741">
        <v>0</v>
      </c>
      <c r="AE63" s="741">
        <v>0</v>
      </c>
      <c r="AF63" s="741">
        <v>0</v>
      </c>
      <c r="AG63" s="741">
        <v>0</v>
      </c>
      <c r="AH63" s="741">
        <v>0</v>
      </c>
      <c r="AI63" s="741">
        <v>0</v>
      </c>
      <c r="AJ63" s="741">
        <v>0</v>
      </c>
      <c r="AK63" s="741">
        <v>0</v>
      </c>
      <c r="AL63" s="741">
        <v>0</v>
      </c>
      <c r="AM63" s="741">
        <v>0</v>
      </c>
      <c r="AN63" s="741">
        <v>0</v>
      </c>
      <c r="AO63" s="741">
        <v>0</v>
      </c>
      <c r="AP63" s="41" t="str">
        <f t="shared" si="2"/>
        <v>GLA</v>
      </c>
      <c r="AQ63" s="41" t="str">
        <f t="shared" si="3"/>
        <v>GLAA2Special Deposits</v>
      </c>
      <c r="AR63" s="41" t="str">
        <f t="shared" si="4"/>
        <v>A2Special Deposits</v>
      </c>
      <c r="CR63" s="625"/>
    </row>
    <row r="64" spans="1:96" s="41" customFormat="1" ht="12.75" customHeight="1">
      <c r="A64" s="25" t="s">
        <v>17</v>
      </c>
      <c r="B64" s="25" t="str">
        <f t="shared" si="5"/>
        <v>GL131002</v>
      </c>
      <c r="C64" s="638">
        <v>131002</v>
      </c>
      <c r="D64" s="735"/>
      <c r="F64" s="1" t="s">
        <v>71</v>
      </c>
      <c r="H64" s="736" t="s">
        <v>2547</v>
      </c>
      <c r="I64" s="25"/>
      <c r="J64" s="25"/>
      <c r="K64" s="442" t="str">
        <f t="shared" si="0"/>
        <v/>
      </c>
      <c r="L64" s="736" t="s">
        <v>2393</v>
      </c>
      <c r="M64" s="25" t="str">
        <f t="shared" si="6"/>
        <v>A</v>
      </c>
      <c r="N64" s="25" t="str">
        <f>IF(L64&lt;&gt;"",VLOOKUP(L64,Categories!$B$2:$D$41,2,FALSE),IF(F64&lt;&gt;"","No Cat",""))</f>
        <v>All Other</v>
      </c>
      <c r="O64" s="25" t="str">
        <f>IF($L64&lt;&gt;"",VLOOKUP($L64,Categories!$B$2:$D$41,3,FALSE),IF($F64&lt;&gt;"","No Cat",""))</f>
        <v>EB-Cap</v>
      </c>
      <c r="P64" s="736" t="s">
        <v>2490</v>
      </c>
      <c r="Q64" s="25" t="str">
        <f>VLOOKUP($P64,Allocators!$B$7:$F$19,5,FALSE)</f>
        <v>Rate Base</v>
      </c>
      <c r="R64" s="737">
        <f>VLOOKUP($P64,Allocators!$B$7:$F$19,2,FALSE)</f>
        <v>0.70940000000000003</v>
      </c>
      <c r="S64" s="737">
        <f>VLOOKUP($P64,Allocators!$B$7:$F$19,3,FALSE)</f>
        <v>0.29060000000000002</v>
      </c>
      <c r="T64" s="737" t="str">
        <f t="shared" si="15"/>
        <v>0.0%</v>
      </c>
      <c r="U64" s="2">
        <f t="shared" si="7"/>
        <v>-2906.19814024775</v>
      </c>
      <c r="V64" s="2">
        <f t="shared" si="8"/>
        <v>-1190.50067600225</v>
      </c>
      <c r="W64" s="2">
        <f t="shared" si="9"/>
        <v>0</v>
      </c>
      <c r="X64" s="2">
        <f t="shared" si="10"/>
        <v>-4096.6988162500002</v>
      </c>
      <c r="Y64" s="2">
        <f t="shared" si="11"/>
        <v>-771.73038818199996</v>
      </c>
      <c r="Z64" s="2">
        <f t="shared" si="12"/>
        <v>-316.13314181800001</v>
      </c>
      <c r="AA64" s="2">
        <f t="shared" si="13"/>
        <v>0</v>
      </c>
      <c r="AB64" s="2">
        <f t="shared" si="14"/>
        <v>-1087.8635300000001</v>
      </c>
      <c r="AC64" s="759">
        <v>-1754.3576799999998</v>
      </c>
      <c r="AD64" s="741">
        <v>-23971.065699999999</v>
      </c>
      <c r="AE64" s="741">
        <v>-1482.7004899999999</v>
      </c>
      <c r="AF64" s="741">
        <v>-568.51257999999996</v>
      </c>
      <c r="AG64" s="741">
        <v>-1372.2639199999999</v>
      </c>
      <c r="AH64" s="741">
        <v>-371.93290000000002</v>
      </c>
      <c r="AI64" s="741">
        <v>-4287.3328000000001</v>
      </c>
      <c r="AJ64" s="741">
        <v>-2225.8746099999998</v>
      </c>
      <c r="AK64" s="741">
        <v>-660.75995999999998</v>
      </c>
      <c r="AL64" s="741">
        <v>-11649.53737</v>
      </c>
      <c r="AM64" s="741">
        <v>-392.93002000000001</v>
      </c>
      <c r="AN64" s="741">
        <v>-756.36483999999996</v>
      </c>
      <c r="AO64" s="741">
        <v>-1087.8635300000001</v>
      </c>
      <c r="AP64" s="41" t="str">
        <f t="shared" si="2"/>
        <v>GLA</v>
      </c>
      <c r="AQ64" s="41" t="str">
        <f t="shared" si="3"/>
        <v>GLAA2Special Deposits</v>
      </c>
      <c r="AR64" s="41" t="str">
        <f t="shared" si="4"/>
        <v>A2Special Deposits</v>
      </c>
      <c r="CR64" s="625"/>
    </row>
    <row r="65" spans="1:96" s="41" customFormat="1" ht="12.75" customHeight="1">
      <c r="A65" s="25" t="s">
        <v>17</v>
      </c>
      <c r="B65" s="25" t="str">
        <f t="shared" si="5"/>
        <v>GL131010</v>
      </c>
      <c r="C65" s="638">
        <v>131010</v>
      </c>
      <c r="D65" s="735"/>
      <c r="F65" s="1" t="s">
        <v>72</v>
      </c>
      <c r="H65" s="736" t="s">
        <v>2547</v>
      </c>
      <c r="I65" s="25"/>
      <c r="J65" s="25"/>
      <c r="K65" s="442" t="str">
        <f t="shared" si="0"/>
        <v/>
      </c>
      <c r="L65" s="736" t="s">
        <v>2393</v>
      </c>
      <c r="M65" s="25" t="str">
        <f t="shared" si="6"/>
        <v>A</v>
      </c>
      <c r="N65" s="25" t="str">
        <f>IF(L65&lt;&gt;"",VLOOKUP(L65,Categories!$B$2:$D$41,2,FALSE),IF(F65&lt;&gt;"","No Cat",""))</f>
        <v>All Other</v>
      </c>
      <c r="O65" s="25" t="str">
        <f>IF($L65&lt;&gt;"",VLOOKUP($L65,Categories!$B$2:$D$41,3,FALSE),IF($F65&lt;&gt;"","No Cat",""))</f>
        <v>EB-Cap</v>
      </c>
      <c r="P65" s="736" t="s">
        <v>2490</v>
      </c>
      <c r="Q65" s="25" t="str">
        <f>VLOOKUP($P65,Allocators!$B$7:$F$19,5,FALSE)</f>
        <v>Rate Base</v>
      </c>
      <c r="R65" s="737">
        <f>VLOOKUP($P65,Allocators!$B$7:$F$19,2,FALSE)</f>
        <v>0.70940000000000003</v>
      </c>
      <c r="S65" s="737">
        <f>VLOOKUP($P65,Allocators!$B$7:$F$19,3,FALSE)</f>
        <v>0.29060000000000002</v>
      </c>
      <c r="T65" s="737" t="str">
        <f t="shared" si="15"/>
        <v>0.0%</v>
      </c>
      <c r="U65" s="2">
        <f t="shared" si="7"/>
        <v>642.636529245166</v>
      </c>
      <c r="V65" s="2">
        <f t="shared" si="8"/>
        <v>263.25088158816698</v>
      </c>
      <c r="W65" s="2">
        <f t="shared" si="9"/>
        <v>0</v>
      </c>
      <c r="X65" s="2">
        <f t="shared" si="10"/>
        <v>905.88741083333298</v>
      </c>
      <c r="Y65" s="2">
        <f t="shared" si="11"/>
        <v>537.65945990199998</v>
      </c>
      <c r="Z65" s="2">
        <f t="shared" si="12"/>
        <v>220.24787009799999</v>
      </c>
      <c r="AA65" s="2">
        <f t="shared" si="13"/>
        <v>0</v>
      </c>
      <c r="AB65" s="2">
        <f t="shared" si="14"/>
        <v>757.90733</v>
      </c>
      <c r="AC65" s="759">
        <v>924.07361000000003</v>
      </c>
      <c r="AD65" s="741">
        <v>776.11259999999993</v>
      </c>
      <c r="AE65" s="741">
        <v>585.42651999999998</v>
      </c>
      <c r="AF65" s="741">
        <v>813.76774</v>
      </c>
      <c r="AG65" s="741">
        <v>946.94710999999995</v>
      </c>
      <c r="AH65" s="741">
        <v>421.88640999999996</v>
      </c>
      <c r="AI65" s="741">
        <v>751.60331000000008</v>
      </c>
      <c r="AJ65" s="741">
        <v>263.94765000000001</v>
      </c>
      <c r="AK65" s="741">
        <v>469.76814000000002</v>
      </c>
      <c r="AL65" s="741">
        <v>214.33427</v>
      </c>
      <c r="AM65" s="741">
        <v>70.538080000000008</v>
      </c>
      <c r="AN65" s="741">
        <v>4715.3266299999996</v>
      </c>
      <c r="AO65" s="741">
        <v>757.90733</v>
      </c>
      <c r="AP65" s="41" t="str">
        <f t="shared" si="2"/>
        <v>GLA</v>
      </c>
      <c r="AQ65" s="41" t="str">
        <f t="shared" si="3"/>
        <v>GLAA2Special Deposits</v>
      </c>
      <c r="AR65" s="41" t="str">
        <f t="shared" si="4"/>
        <v>A2Special Deposits</v>
      </c>
      <c r="CR65" s="625"/>
    </row>
    <row r="66" spans="1:96" s="41" customFormat="1" ht="12.75" customHeight="1">
      <c r="A66" s="25" t="s">
        <v>17</v>
      </c>
      <c r="B66" s="25" t="str">
        <f t="shared" si="5"/>
        <v>GL131011</v>
      </c>
      <c r="C66" s="638">
        <v>131011</v>
      </c>
      <c r="D66" s="735"/>
      <c r="F66" s="1" t="s">
        <v>73</v>
      </c>
      <c r="H66" s="736" t="s">
        <v>2547</v>
      </c>
      <c r="I66" s="25"/>
      <c r="J66" s="25"/>
      <c r="K66" s="442" t="str">
        <f t="shared" si="0"/>
        <v/>
      </c>
      <c r="L66" s="736" t="s">
        <v>2393</v>
      </c>
      <c r="M66" s="25" t="str">
        <f t="shared" si="6"/>
        <v>A</v>
      </c>
      <c r="N66" s="25" t="str">
        <f>IF(L66&lt;&gt;"",VLOOKUP(L66,Categories!$B$2:$D$41,2,FALSE),IF(F66&lt;&gt;"","No Cat",""))</f>
        <v>All Other</v>
      </c>
      <c r="O66" s="25" t="str">
        <f>IF($L66&lt;&gt;"",VLOOKUP($L66,Categories!$B$2:$D$41,3,FALSE),IF($F66&lt;&gt;"","No Cat",""))</f>
        <v>EB-Cap</v>
      </c>
      <c r="P66" s="736" t="s">
        <v>2490</v>
      </c>
      <c r="Q66" s="25" t="str">
        <f>VLOOKUP($P66,Allocators!$B$7:$F$19,5,FALSE)</f>
        <v>Rate Base</v>
      </c>
      <c r="R66" s="737">
        <f>VLOOKUP($P66,Allocators!$B$7:$F$19,2,FALSE)</f>
        <v>0.70940000000000003</v>
      </c>
      <c r="S66" s="737">
        <f>VLOOKUP($P66,Allocators!$B$7:$F$19,3,FALSE)</f>
        <v>0.29060000000000002</v>
      </c>
      <c r="T66" s="737" t="str">
        <f t="shared" si="15"/>
        <v>0.0%</v>
      </c>
      <c r="U66" s="2">
        <f t="shared" si="7"/>
        <v>73.458026827750004</v>
      </c>
      <c r="V66" s="2">
        <f t="shared" si="8"/>
        <v>30.09148942225</v>
      </c>
      <c r="W66" s="2">
        <f t="shared" si="9"/>
        <v>0</v>
      </c>
      <c r="X66" s="2">
        <f t="shared" si="10"/>
        <v>103.54951625</v>
      </c>
      <c r="Y66" s="2">
        <f t="shared" si="11"/>
        <v>-722.06726631399999</v>
      </c>
      <c r="Z66" s="2">
        <f t="shared" si="12"/>
        <v>-295.78904368600001</v>
      </c>
      <c r="AA66" s="2">
        <f t="shared" si="13"/>
        <v>0</v>
      </c>
      <c r="AB66" s="2">
        <f t="shared" si="14"/>
        <v>-1017.85631</v>
      </c>
      <c r="AC66" s="759">
        <v>0</v>
      </c>
      <c r="AD66" s="741">
        <v>412.90084000000002</v>
      </c>
      <c r="AE66" s="741">
        <v>-1035.90436</v>
      </c>
      <c r="AF66" s="741">
        <v>-64.947890000000001</v>
      </c>
      <c r="AG66" s="741">
        <v>-863.51374999999996</v>
      </c>
      <c r="AH66" s="741">
        <v>-103.03557000000001</v>
      </c>
      <c r="AI66" s="741">
        <v>485.98951</v>
      </c>
      <c r="AJ66" s="741">
        <v>1752.5658500000002</v>
      </c>
      <c r="AK66" s="741">
        <v>380.82490999999999</v>
      </c>
      <c r="AL66" s="741">
        <v>160.4905</v>
      </c>
      <c r="AM66" s="741">
        <v>736.82364000000007</v>
      </c>
      <c r="AN66" s="741">
        <v>-110.67133</v>
      </c>
      <c r="AO66" s="741">
        <v>-1017.85631</v>
      </c>
      <c r="AP66" s="41" t="str">
        <f t="shared" si="2"/>
        <v>GLA</v>
      </c>
      <c r="AQ66" s="41" t="str">
        <f t="shared" si="3"/>
        <v>GLAA2Special Deposits</v>
      </c>
      <c r="AR66" s="41" t="str">
        <f t="shared" si="4"/>
        <v>A2Special Deposits</v>
      </c>
      <c r="CR66" s="625"/>
    </row>
    <row r="67" spans="1:96" s="41" customFormat="1" ht="12.75" customHeight="1">
      <c r="A67" s="25" t="s">
        <v>17</v>
      </c>
      <c r="B67" s="25" t="str">
        <f t="shared" si="5"/>
        <v>GL131013</v>
      </c>
      <c r="C67" s="638">
        <v>131013</v>
      </c>
      <c r="D67" s="735"/>
      <c r="F67" s="1" t="s">
        <v>74</v>
      </c>
      <c r="H67" s="736" t="s">
        <v>2547</v>
      </c>
      <c r="I67" s="25"/>
      <c r="J67" s="25"/>
      <c r="K67" s="442" t="str">
        <f t="shared" si="0"/>
        <v/>
      </c>
      <c r="L67" s="736" t="s">
        <v>2393</v>
      </c>
      <c r="M67" s="25" t="str">
        <f t="shared" si="6"/>
        <v>A</v>
      </c>
      <c r="N67" s="25" t="str">
        <f>IF(L67&lt;&gt;"",VLOOKUP(L67,Categories!$B$2:$D$41,2,FALSE),IF(F67&lt;&gt;"","No Cat",""))</f>
        <v>All Other</v>
      </c>
      <c r="O67" s="25" t="str">
        <f>IF($L67&lt;&gt;"",VLOOKUP($L67,Categories!$B$2:$D$41,3,FALSE),IF($F67&lt;&gt;"","No Cat",""))</f>
        <v>EB-Cap</v>
      </c>
      <c r="P67" s="736" t="s">
        <v>2490</v>
      </c>
      <c r="Q67" s="25" t="str">
        <f>VLOOKUP($P67,Allocators!$B$7:$F$19,5,FALSE)</f>
        <v>Rate Base</v>
      </c>
      <c r="R67" s="737">
        <f>VLOOKUP($P67,Allocators!$B$7:$F$19,2,FALSE)</f>
        <v>0.70940000000000003</v>
      </c>
      <c r="S67" s="737">
        <f>VLOOKUP($P67,Allocators!$B$7:$F$19,3,FALSE)</f>
        <v>0.29060000000000002</v>
      </c>
      <c r="T67" s="737" t="str">
        <f t="shared" si="15"/>
        <v>0.0%</v>
      </c>
      <c r="U67" s="2">
        <f t="shared" si="7"/>
        <v>-5.1453775160000097</v>
      </c>
      <c r="V67" s="2">
        <f t="shared" si="8"/>
        <v>-2.1077624840000002</v>
      </c>
      <c r="W67" s="2">
        <f t="shared" si="9"/>
        <v>0</v>
      </c>
      <c r="X67" s="2">
        <f t="shared" si="10"/>
        <v>-7.2531400000000099</v>
      </c>
      <c r="Y67" s="2">
        <f t="shared" si="11"/>
        <v>2.8218016619999999</v>
      </c>
      <c r="Z67" s="2">
        <f t="shared" si="12"/>
        <v>1.1559283380000001</v>
      </c>
      <c r="AA67" s="2">
        <f t="shared" si="13"/>
        <v>0</v>
      </c>
      <c r="AB67" s="2">
        <f t="shared" si="14"/>
        <v>3.9777300000000002</v>
      </c>
      <c r="AC67" s="759">
        <v>3.5369899999999999</v>
      </c>
      <c r="AD67" s="741">
        <v>-113.28521000000001</v>
      </c>
      <c r="AE67" s="741">
        <v>1.5018900000000002</v>
      </c>
      <c r="AF67" s="741">
        <v>197.52831</v>
      </c>
      <c r="AG67" s="741">
        <v>2.6010599999999999</v>
      </c>
      <c r="AH67" s="741">
        <v>0.38439999999999996</v>
      </c>
      <c r="AI67" s="741">
        <v>1.0269300000000001</v>
      </c>
      <c r="AJ67" s="741">
        <v>-1095.2008500000002</v>
      </c>
      <c r="AK67" s="741">
        <v>2.9251199999999997</v>
      </c>
      <c r="AL67" s="741">
        <v>437.45188000000002</v>
      </c>
      <c r="AM67" s="741">
        <v>469.32992999999999</v>
      </c>
      <c r="AN67" s="741">
        <v>4.9414999999999996</v>
      </c>
      <c r="AO67" s="741">
        <v>3.9777300000000002</v>
      </c>
      <c r="AP67" s="41" t="str">
        <f t="shared" si="2"/>
        <v>GLA</v>
      </c>
      <c r="AQ67" s="41" t="str">
        <f t="shared" si="3"/>
        <v>GLAA2Special Deposits</v>
      </c>
      <c r="AR67" s="41" t="str">
        <f t="shared" si="4"/>
        <v>A2Special Deposits</v>
      </c>
      <c r="CR67" s="625"/>
    </row>
    <row r="68" spans="1:96" s="41" customFormat="1" ht="12.75" customHeight="1">
      <c r="A68" s="25" t="s">
        <v>17</v>
      </c>
      <c r="B68" s="25" t="str">
        <f t="shared" si="5"/>
        <v>GL131030</v>
      </c>
      <c r="C68" s="638">
        <v>131030</v>
      </c>
      <c r="D68" s="735"/>
      <c r="F68" s="1" t="s">
        <v>75</v>
      </c>
      <c r="H68" s="736" t="s">
        <v>2547</v>
      </c>
      <c r="I68" s="25"/>
      <c r="J68" s="25"/>
      <c r="K68" s="442" t="str">
        <f t="shared" si="0"/>
        <v/>
      </c>
      <c r="L68" s="736" t="s">
        <v>2393</v>
      </c>
      <c r="M68" s="25" t="str">
        <f t="shared" si="6"/>
        <v>A</v>
      </c>
      <c r="N68" s="25" t="str">
        <f>IF(L68&lt;&gt;"",VLOOKUP(L68,Categories!$B$2:$D$41,2,FALSE),IF(F68&lt;&gt;"","No Cat",""))</f>
        <v>All Other</v>
      </c>
      <c r="O68" s="25" t="str">
        <f>IF($L68&lt;&gt;"",VLOOKUP($L68,Categories!$B$2:$D$41,3,FALSE),IF($F68&lt;&gt;"","No Cat",""))</f>
        <v>EB-Cap</v>
      </c>
      <c r="P68" s="736" t="s">
        <v>2490</v>
      </c>
      <c r="Q68" s="25" t="str">
        <f>VLOOKUP($P68,Allocators!$B$7:$F$19,5,FALSE)</f>
        <v>Rate Base</v>
      </c>
      <c r="R68" s="737">
        <f>VLOOKUP($P68,Allocators!$B$7:$F$19,2,FALSE)</f>
        <v>0.70940000000000003</v>
      </c>
      <c r="S68" s="737">
        <f>VLOOKUP($P68,Allocators!$B$7:$F$19,3,FALSE)</f>
        <v>0.29060000000000002</v>
      </c>
      <c r="T68" s="737" t="str">
        <f t="shared" si="15"/>
        <v>0.0%</v>
      </c>
      <c r="U68" s="2">
        <f t="shared" si="7"/>
        <v>1.9094683333334E-2</v>
      </c>
      <c r="V68" s="2">
        <f t="shared" si="8"/>
        <v>7.8219833333329995E-3</v>
      </c>
      <c r="W68" s="2">
        <f t="shared" si="9"/>
        <v>0</v>
      </c>
      <c r="X68" s="2">
        <f t="shared" si="10"/>
        <v>2.6916666666667002E-2</v>
      </c>
      <c r="Y68" s="2" t="str">
        <f t="shared" si="11"/>
        <v/>
      </c>
      <c r="Z68" s="2" t="str">
        <f t="shared" si="12"/>
        <v/>
      </c>
      <c r="AA68" s="2" t="str">
        <f t="shared" si="13"/>
        <v/>
      </c>
      <c r="AB68" s="2">
        <f t="shared" si="14"/>
        <v>0</v>
      </c>
      <c r="AC68" s="759">
        <v>0</v>
      </c>
      <c r="AD68" s="741">
        <v>0.32300000000000001</v>
      </c>
      <c r="AE68" s="741">
        <v>0</v>
      </c>
      <c r="AF68" s="741">
        <v>0</v>
      </c>
      <c r="AG68" s="741">
        <v>0</v>
      </c>
      <c r="AH68" s="741">
        <v>0</v>
      </c>
      <c r="AI68" s="741">
        <v>0</v>
      </c>
      <c r="AJ68" s="741">
        <v>0</v>
      </c>
      <c r="AK68" s="741">
        <v>0</v>
      </c>
      <c r="AL68" s="741">
        <v>0</v>
      </c>
      <c r="AM68" s="741">
        <v>0</v>
      </c>
      <c r="AN68" s="741">
        <v>0</v>
      </c>
      <c r="AO68" s="741">
        <v>0</v>
      </c>
      <c r="AP68" s="41" t="str">
        <f t="shared" si="2"/>
        <v>GLA</v>
      </c>
      <c r="AQ68" s="41" t="str">
        <f t="shared" si="3"/>
        <v>GLAA2Special Deposits</v>
      </c>
      <c r="AR68" s="41" t="str">
        <f t="shared" si="4"/>
        <v>A2Special Deposits</v>
      </c>
      <c r="CR68" s="625"/>
    </row>
    <row r="69" spans="1:96" s="41" customFormat="1" ht="12.75" customHeight="1">
      <c r="A69" s="25" t="s">
        <v>17</v>
      </c>
      <c r="B69" s="25" t="str">
        <f t="shared" si="5"/>
        <v>GL131070</v>
      </c>
      <c r="C69" s="638">
        <v>131070</v>
      </c>
      <c r="D69" s="735"/>
      <c r="F69" s="1" t="s">
        <v>76</v>
      </c>
      <c r="H69" s="736" t="s">
        <v>2547</v>
      </c>
      <c r="I69" s="25"/>
      <c r="J69" s="25"/>
      <c r="K69" s="442" t="str">
        <f t="shared" si="0"/>
        <v/>
      </c>
      <c r="L69" s="736" t="s">
        <v>2393</v>
      </c>
      <c r="M69" s="25" t="str">
        <f t="shared" si="6"/>
        <v>A</v>
      </c>
      <c r="N69" s="25" t="str">
        <f>IF(L69&lt;&gt;"",VLOOKUP(L69,Categories!$B$2:$D$41,2,FALSE),IF(F69&lt;&gt;"","No Cat",""))</f>
        <v>All Other</v>
      </c>
      <c r="O69" s="25" t="str">
        <f>IF($L69&lt;&gt;"",VLOOKUP($L69,Categories!$B$2:$D$41,3,FALSE),IF($F69&lt;&gt;"","No Cat",""))</f>
        <v>EB-Cap</v>
      </c>
      <c r="P69" s="736" t="s">
        <v>2490</v>
      </c>
      <c r="Q69" s="25" t="str">
        <f>VLOOKUP($P69,Allocators!$B$7:$F$19,5,FALSE)</f>
        <v>Rate Base</v>
      </c>
      <c r="R69" s="737">
        <f>VLOOKUP($P69,Allocators!$B$7:$F$19,2,FALSE)</f>
        <v>0.70940000000000003</v>
      </c>
      <c r="S69" s="737">
        <f>VLOOKUP($P69,Allocators!$B$7:$F$19,3,FALSE)</f>
        <v>0.29060000000000002</v>
      </c>
      <c r="T69" s="737" t="str">
        <f t="shared" si="15"/>
        <v>0.0%</v>
      </c>
      <c r="U69" s="2" t="str">
        <f t="shared" si="7"/>
        <v/>
      </c>
      <c r="V69" s="2" t="str">
        <f t="shared" si="8"/>
        <v/>
      </c>
      <c r="W69" s="2" t="str">
        <f t="shared" si="9"/>
        <v/>
      </c>
      <c r="X69" s="2">
        <f t="shared" si="10"/>
        <v>0</v>
      </c>
      <c r="Y69" s="2" t="str">
        <f t="shared" si="11"/>
        <v/>
      </c>
      <c r="Z69" s="2" t="str">
        <f t="shared" si="12"/>
        <v/>
      </c>
      <c r="AA69" s="2" t="str">
        <f t="shared" si="13"/>
        <v/>
      </c>
      <c r="AB69" s="2">
        <f t="shared" si="14"/>
        <v>0</v>
      </c>
      <c r="AC69" s="759">
        <v>0</v>
      </c>
      <c r="AD69" s="741">
        <v>0</v>
      </c>
      <c r="AE69" s="741">
        <v>0</v>
      </c>
      <c r="AF69" s="741">
        <v>0</v>
      </c>
      <c r="AG69" s="741">
        <v>0</v>
      </c>
      <c r="AH69" s="741">
        <v>0</v>
      </c>
      <c r="AI69" s="741">
        <v>0</v>
      </c>
      <c r="AJ69" s="741">
        <v>0</v>
      </c>
      <c r="AK69" s="741">
        <v>0</v>
      </c>
      <c r="AL69" s="741">
        <v>0</v>
      </c>
      <c r="AM69" s="741">
        <v>0</v>
      </c>
      <c r="AN69" s="741">
        <v>0</v>
      </c>
      <c r="AO69" s="741">
        <v>0</v>
      </c>
      <c r="AP69" s="41" t="str">
        <f t="shared" si="2"/>
        <v>GLA</v>
      </c>
      <c r="AQ69" s="41" t="str">
        <f t="shared" si="3"/>
        <v>GLAA2Special Deposits</v>
      </c>
      <c r="AR69" s="41" t="str">
        <f t="shared" si="4"/>
        <v>A2Special Deposits</v>
      </c>
      <c r="CR69" s="625"/>
    </row>
    <row r="70" spans="1:96" s="41" customFormat="1" ht="12.75" customHeight="1">
      <c r="A70" s="25" t="s">
        <v>17</v>
      </c>
      <c r="B70" s="25" t="str">
        <f t="shared" si="5"/>
        <v>GL131081</v>
      </c>
      <c r="C70" s="638">
        <v>131081</v>
      </c>
      <c r="D70" s="735"/>
      <c r="F70" s="1" t="s">
        <v>77</v>
      </c>
      <c r="H70" s="736" t="s">
        <v>2547</v>
      </c>
      <c r="I70" s="25"/>
      <c r="J70" s="25"/>
      <c r="K70" s="442" t="str">
        <f t="shared" si="0"/>
        <v/>
      </c>
      <c r="L70" s="736" t="s">
        <v>2393</v>
      </c>
      <c r="M70" s="25" t="str">
        <f t="shared" si="6"/>
        <v>A</v>
      </c>
      <c r="N70" s="25" t="str">
        <f>IF(L70&lt;&gt;"",VLOOKUP(L70,Categories!$B$2:$D$41,2,FALSE),IF(F70&lt;&gt;"","No Cat",""))</f>
        <v>All Other</v>
      </c>
      <c r="O70" s="25" t="str">
        <f>IF($L70&lt;&gt;"",VLOOKUP($L70,Categories!$B$2:$D$41,3,FALSE),IF($F70&lt;&gt;"","No Cat",""))</f>
        <v>EB-Cap</v>
      </c>
      <c r="P70" s="736" t="s">
        <v>2490</v>
      </c>
      <c r="Q70" s="25" t="str">
        <f>VLOOKUP($P70,Allocators!$B$7:$F$19,5,FALSE)</f>
        <v>Rate Base</v>
      </c>
      <c r="R70" s="737">
        <f>VLOOKUP($P70,Allocators!$B$7:$F$19,2,FALSE)</f>
        <v>0.70940000000000003</v>
      </c>
      <c r="S70" s="737">
        <f>VLOOKUP($P70,Allocators!$B$7:$F$19,3,FALSE)</f>
        <v>0.29060000000000002</v>
      </c>
      <c r="T70" s="737" t="str">
        <f t="shared" si="15"/>
        <v>0.0%</v>
      </c>
      <c r="U70" s="2">
        <f t="shared" si="7"/>
        <v>-512.95624716299994</v>
      </c>
      <c r="V70" s="2">
        <f t="shared" si="8"/>
        <v>-210.12839783699999</v>
      </c>
      <c r="W70" s="2">
        <f t="shared" si="9"/>
        <v>0</v>
      </c>
      <c r="X70" s="2">
        <f t="shared" si="10"/>
        <v>-723.08464500000002</v>
      </c>
      <c r="Y70" s="2">
        <f t="shared" si="11"/>
        <v>-283.688471198</v>
      </c>
      <c r="Z70" s="2">
        <f t="shared" si="12"/>
        <v>-116.210698802</v>
      </c>
      <c r="AA70" s="2">
        <f t="shared" si="13"/>
        <v>0</v>
      </c>
      <c r="AB70" s="2">
        <f t="shared" si="14"/>
        <v>-399.89916999999997</v>
      </c>
      <c r="AC70" s="759">
        <v>-540.23255000000006</v>
      </c>
      <c r="AD70" s="741">
        <v>-623.41601000000003</v>
      </c>
      <c r="AE70" s="741">
        <v>-857.04465000000005</v>
      </c>
      <c r="AF70" s="741">
        <v>-731.45451000000003</v>
      </c>
      <c r="AG70" s="741">
        <v>-692.47950000000003</v>
      </c>
      <c r="AH70" s="741">
        <v>-694.95270999999991</v>
      </c>
      <c r="AI70" s="741">
        <v>-773.2278</v>
      </c>
      <c r="AJ70" s="741">
        <v>-754.83841000000007</v>
      </c>
      <c r="AK70" s="741">
        <v>-767.12204000000008</v>
      </c>
      <c r="AL70" s="741">
        <v>-778.74949000000004</v>
      </c>
      <c r="AM70" s="741">
        <v>-788.21993999999995</v>
      </c>
      <c r="AN70" s="741">
        <v>-745.44481999999994</v>
      </c>
      <c r="AO70" s="741">
        <v>-399.89916999999997</v>
      </c>
      <c r="AP70" s="41" t="str">
        <f t="shared" si="2"/>
        <v>GLA</v>
      </c>
      <c r="AQ70" s="41" t="str">
        <f t="shared" si="3"/>
        <v>GLAA2Special Deposits</v>
      </c>
      <c r="AR70" s="41" t="str">
        <f t="shared" si="4"/>
        <v>A2Special Deposits</v>
      </c>
      <c r="CR70" s="625"/>
    </row>
    <row r="71" spans="1:96" s="41" customFormat="1" ht="12.75" customHeight="1">
      <c r="A71" s="25" t="s">
        <v>17</v>
      </c>
      <c r="B71" s="25" t="str">
        <f t="shared" si="5"/>
        <v>GL131083</v>
      </c>
      <c r="C71" s="638">
        <v>131083</v>
      </c>
      <c r="D71" s="735"/>
      <c r="F71" s="1" t="s">
        <v>78</v>
      </c>
      <c r="H71" s="736" t="s">
        <v>2547</v>
      </c>
      <c r="I71" s="25"/>
      <c r="J71" s="25"/>
      <c r="K71" s="442" t="str">
        <f t="shared" ref="K71:K137" si="21">IF(L71="N3","Y","")</f>
        <v/>
      </c>
      <c r="L71" s="736" t="s">
        <v>2393</v>
      </c>
      <c r="M71" s="25" t="str">
        <f t="shared" si="6"/>
        <v>A</v>
      </c>
      <c r="N71" s="25" t="str">
        <f>IF(L71&lt;&gt;"",VLOOKUP(L71,Categories!$B$2:$D$41,2,FALSE),IF(F71&lt;&gt;"","No Cat",""))</f>
        <v>All Other</v>
      </c>
      <c r="O71" s="25" t="str">
        <f>IF($L71&lt;&gt;"",VLOOKUP($L71,Categories!$B$2:$D$41,3,FALSE),IF($F71&lt;&gt;"","No Cat",""))</f>
        <v>EB-Cap</v>
      </c>
      <c r="P71" s="736" t="s">
        <v>2490</v>
      </c>
      <c r="Q71" s="25" t="str">
        <f>VLOOKUP($P71,Allocators!$B$7:$F$19,5,FALSE)</f>
        <v>Rate Base</v>
      </c>
      <c r="R71" s="737">
        <f>VLOOKUP($P71,Allocators!$B$7:$F$19,2,FALSE)</f>
        <v>0.70940000000000003</v>
      </c>
      <c r="S71" s="737">
        <f>VLOOKUP($P71,Allocators!$B$7:$F$19,3,FALSE)</f>
        <v>0.29060000000000002</v>
      </c>
      <c r="T71" s="737" t="str">
        <f t="shared" si="15"/>
        <v>0.0%</v>
      </c>
      <c r="U71" s="2" t="str">
        <f t="shared" si="7"/>
        <v/>
      </c>
      <c r="V71" s="2" t="str">
        <f t="shared" si="8"/>
        <v/>
      </c>
      <c r="W71" s="2" t="str">
        <f t="shared" si="9"/>
        <v/>
      </c>
      <c r="X71" s="2">
        <f t="shared" si="10"/>
        <v>0</v>
      </c>
      <c r="Y71" s="2" t="str">
        <f t="shared" si="11"/>
        <v/>
      </c>
      <c r="Z71" s="2" t="str">
        <f t="shared" si="12"/>
        <v/>
      </c>
      <c r="AA71" s="2" t="str">
        <f t="shared" si="13"/>
        <v/>
      </c>
      <c r="AB71" s="2">
        <f t="shared" si="14"/>
        <v>0</v>
      </c>
      <c r="AC71" s="759">
        <v>0</v>
      </c>
      <c r="AD71" s="741">
        <v>0</v>
      </c>
      <c r="AE71" s="741">
        <v>0</v>
      </c>
      <c r="AF71" s="741">
        <v>0</v>
      </c>
      <c r="AG71" s="741">
        <v>0</v>
      </c>
      <c r="AH71" s="741">
        <v>0</v>
      </c>
      <c r="AI71" s="741">
        <v>0</v>
      </c>
      <c r="AJ71" s="741">
        <v>0</v>
      </c>
      <c r="AK71" s="741">
        <v>0</v>
      </c>
      <c r="AL71" s="741">
        <v>0</v>
      </c>
      <c r="AM71" s="741">
        <v>0</v>
      </c>
      <c r="AN71" s="741">
        <v>0</v>
      </c>
      <c r="AO71" s="741">
        <v>0</v>
      </c>
      <c r="AP71" s="41" t="str">
        <f t="shared" ref="AP71:AP134" si="22">CONCATENATE(A71,M71)</f>
        <v>GLA</v>
      </c>
      <c r="AQ71" s="41" t="str">
        <f t="shared" ref="AQ71:AQ134" si="23">CONCATENATE(AP71,L71,H71)</f>
        <v>GLAA2Special Deposits</v>
      </c>
      <c r="AR71" s="41" t="str">
        <f t="shared" ref="AR71:AR134" si="24">CONCATENATE(L71,H71,J71)</f>
        <v>A2Special Deposits</v>
      </c>
      <c r="CR71" s="625"/>
    </row>
    <row r="72" spans="1:96" s="41" customFormat="1" ht="12.75" customHeight="1">
      <c r="A72" s="25" t="s">
        <v>17</v>
      </c>
      <c r="B72" s="25" t="str">
        <f t="shared" si="5"/>
        <v>GL131086</v>
      </c>
      <c r="C72" s="638">
        <v>131086</v>
      </c>
      <c r="D72" s="735"/>
      <c r="F72" s="1" t="s">
        <v>79</v>
      </c>
      <c r="H72" s="736" t="s">
        <v>2547</v>
      </c>
      <c r="I72" s="25"/>
      <c r="J72" s="25"/>
      <c r="K72" s="442" t="str">
        <f t="shared" si="21"/>
        <v/>
      </c>
      <c r="L72" s="736" t="s">
        <v>2393</v>
      </c>
      <c r="M72" s="25" t="str">
        <f t="shared" si="6"/>
        <v>A</v>
      </c>
      <c r="N72" s="25" t="str">
        <f>IF(L72&lt;&gt;"",VLOOKUP(L72,Categories!$B$2:$D$41,2,FALSE),IF(F72&lt;&gt;"","No Cat",""))</f>
        <v>All Other</v>
      </c>
      <c r="O72" s="25" t="str">
        <f>IF($L72&lt;&gt;"",VLOOKUP($L72,Categories!$B$2:$D$41,3,FALSE),IF($F72&lt;&gt;"","No Cat",""))</f>
        <v>EB-Cap</v>
      </c>
      <c r="P72" s="736" t="s">
        <v>2490</v>
      </c>
      <c r="Q72" s="25" t="str">
        <f>VLOOKUP($P72,Allocators!$B$7:$F$19,5,FALSE)</f>
        <v>Rate Base</v>
      </c>
      <c r="R72" s="737">
        <f>VLOOKUP($P72,Allocators!$B$7:$F$19,2,FALSE)</f>
        <v>0.70940000000000003</v>
      </c>
      <c r="S72" s="737">
        <f>VLOOKUP($P72,Allocators!$B$7:$F$19,3,FALSE)</f>
        <v>0.29060000000000002</v>
      </c>
      <c r="T72" s="737" t="str">
        <f t="shared" si="15"/>
        <v>0.0%</v>
      </c>
      <c r="U72" s="2" t="str">
        <f t="shared" ref="U72:U136" si="25">IF(ABS(X72)=0,"",IF($R72="NO ALLOC","NO ALLOC",ROUND($R72*X72,15)))</f>
        <v/>
      </c>
      <c r="V72" s="2" t="str">
        <f t="shared" ref="V72:V136" si="26">IF(ABS(X72)=0,"",IF($S72="NO ALLOC","NO ALLOC",ROUND($S72*X72,15)))</f>
        <v/>
      </c>
      <c r="W72" s="2" t="str">
        <f t="shared" ref="W72:W136" si="27">IF(ABS(X72)=0,"",IF($T72="NO ALLOC","NO ALLOC",ROUND($T72*X72,15)))</f>
        <v/>
      </c>
      <c r="X72" s="2">
        <f t="shared" ref="X72:X135" si="28">IF(ISERROR(ROUND((SUM(AC72:AO72)-((AC72+AO72))/2)/12,15)),"",ROUND((SUM(AC72:AO72)-((AC72+AO72))/2)/12,15))</f>
        <v>0</v>
      </c>
      <c r="Y72" s="2" t="str">
        <f t="shared" ref="Y72:Y136" si="29">IF(ABS(AB72)=0,"",IF($R72="NO ALLOC","NO ALLOC",ROUND($R72*AB72,15)))</f>
        <v/>
      </c>
      <c r="Z72" s="2" t="str">
        <f t="shared" ref="Z72:Z136" si="30">IF(ABS(AB72)=0,"",IF($S72="NO ALLOC","NO ALLOC",ROUND($S72*AB72,15)))</f>
        <v/>
      </c>
      <c r="AA72" s="2" t="str">
        <f t="shared" ref="AA72:AA136" si="31">IF(ABS(AB72)=0,"",IF($T72="NO ALLOC","NO ALLOC",ROUND($T72*AB72,15)))</f>
        <v/>
      </c>
      <c r="AB72" s="2">
        <f t="shared" ref="AB72:AB135" si="32">IF(AO72="",0,+AO72)</f>
        <v>0</v>
      </c>
      <c r="AC72" s="759">
        <v>0</v>
      </c>
      <c r="AD72" s="741">
        <v>0</v>
      </c>
      <c r="AE72" s="741">
        <v>0</v>
      </c>
      <c r="AF72" s="741">
        <v>0</v>
      </c>
      <c r="AG72" s="741">
        <v>0</v>
      </c>
      <c r="AH72" s="741">
        <v>0</v>
      </c>
      <c r="AI72" s="741">
        <v>0</v>
      </c>
      <c r="AJ72" s="741">
        <v>0</v>
      </c>
      <c r="AK72" s="741">
        <v>0</v>
      </c>
      <c r="AL72" s="741">
        <v>0</v>
      </c>
      <c r="AM72" s="741">
        <v>0</v>
      </c>
      <c r="AN72" s="741">
        <v>0</v>
      </c>
      <c r="AO72" s="741">
        <v>0</v>
      </c>
      <c r="AP72" s="41" t="str">
        <f t="shared" si="22"/>
        <v>GLA</v>
      </c>
      <c r="AQ72" s="41" t="str">
        <f t="shared" si="23"/>
        <v>GLAA2Special Deposits</v>
      </c>
      <c r="AR72" s="41" t="str">
        <f t="shared" si="24"/>
        <v>A2Special Deposits</v>
      </c>
      <c r="CR72" s="625"/>
    </row>
    <row r="73" spans="1:96" s="41" customFormat="1" ht="12.75" customHeight="1">
      <c r="A73" s="25" t="s">
        <v>17</v>
      </c>
      <c r="B73" s="25" t="str">
        <f t="shared" si="5"/>
        <v>GL131087</v>
      </c>
      <c r="C73" s="638">
        <v>131087</v>
      </c>
      <c r="D73" s="735"/>
      <c r="F73" s="1" t="s">
        <v>80</v>
      </c>
      <c r="H73" s="736" t="s">
        <v>2547</v>
      </c>
      <c r="I73" s="25"/>
      <c r="J73" s="25"/>
      <c r="K73" s="442" t="str">
        <f t="shared" si="21"/>
        <v/>
      </c>
      <c r="L73" s="736" t="s">
        <v>2393</v>
      </c>
      <c r="M73" s="25" t="str">
        <f t="shared" si="6"/>
        <v>A</v>
      </c>
      <c r="N73" s="25" t="str">
        <f>IF(L73&lt;&gt;"",VLOOKUP(L73,Categories!$B$2:$D$41,2,FALSE),IF(F73&lt;&gt;"","No Cat",""))</f>
        <v>All Other</v>
      </c>
      <c r="O73" s="25" t="str">
        <f>IF($L73&lt;&gt;"",VLOOKUP($L73,Categories!$B$2:$D$41,3,FALSE),IF($F73&lt;&gt;"","No Cat",""))</f>
        <v>EB-Cap</v>
      </c>
      <c r="P73" s="736" t="s">
        <v>2490</v>
      </c>
      <c r="Q73" s="25" t="str">
        <f>VLOOKUP($P73,Allocators!$B$7:$F$19,5,FALSE)</f>
        <v>Rate Base</v>
      </c>
      <c r="R73" s="737">
        <f>VLOOKUP($P73,Allocators!$B$7:$F$19,2,FALSE)</f>
        <v>0.70940000000000003</v>
      </c>
      <c r="S73" s="737">
        <f>VLOOKUP($P73,Allocators!$B$7:$F$19,3,FALSE)</f>
        <v>0.29060000000000002</v>
      </c>
      <c r="T73" s="737" t="str">
        <f t="shared" si="15"/>
        <v>0.0%</v>
      </c>
      <c r="U73" s="2" t="str">
        <f t="shared" si="25"/>
        <v/>
      </c>
      <c r="V73" s="2" t="str">
        <f t="shared" si="26"/>
        <v/>
      </c>
      <c r="W73" s="2" t="str">
        <f t="shared" si="27"/>
        <v/>
      </c>
      <c r="X73" s="2">
        <f t="shared" si="28"/>
        <v>0</v>
      </c>
      <c r="Y73" s="2" t="str">
        <f t="shared" si="29"/>
        <v/>
      </c>
      <c r="Z73" s="2" t="str">
        <f t="shared" si="30"/>
        <v/>
      </c>
      <c r="AA73" s="2" t="str">
        <f t="shared" si="31"/>
        <v/>
      </c>
      <c r="AB73" s="2">
        <f t="shared" si="32"/>
        <v>0</v>
      </c>
      <c r="AC73" s="759">
        <v>0</v>
      </c>
      <c r="AD73" s="741">
        <v>0</v>
      </c>
      <c r="AE73" s="741">
        <v>0</v>
      </c>
      <c r="AF73" s="741">
        <v>0</v>
      </c>
      <c r="AG73" s="741">
        <v>0</v>
      </c>
      <c r="AH73" s="741">
        <v>0</v>
      </c>
      <c r="AI73" s="741">
        <v>0</v>
      </c>
      <c r="AJ73" s="741">
        <v>0</v>
      </c>
      <c r="AK73" s="741">
        <v>0</v>
      </c>
      <c r="AL73" s="741">
        <v>0</v>
      </c>
      <c r="AM73" s="741">
        <v>0</v>
      </c>
      <c r="AN73" s="741">
        <v>0</v>
      </c>
      <c r="AO73" s="741">
        <v>0</v>
      </c>
      <c r="AP73" s="41" t="str">
        <f t="shared" si="22"/>
        <v>GLA</v>
      </c>
      <c r="AQ73" s="41" t="str">
        <f t="shared" si="23"/>
        <v>GLAA2Special Deposits</v>
      </c>
      <c r="AR73" s="41" t="str">
        <f t="shared" si="24"/>
        <v>A2Special Deposits</v>
      </c>
      <c r="CR73" s="625"/>
    </row>
    <row r="74" spans="1:96" s="41" customFormat="1" ht="12.75" customHeight="1">
      <c r="A74" s="25" t="s">
        <v>17</v>
      </c>
      <c r="B74" s="25" t="str">
        <f t="shared" si="5"/>
        <v>GL131090</v>
      </c>
      <c r="C74" s="638">
        <v>131090</v>
      </c>
      <c r="D74" s="735"/>
      <c r="F74" s="1" t="s">
        <v>81</v>
      </c>
      <c r="H74" s="736" t="s">
        <v>2547</v>
      </c>
      <c r="I74" s="25"/>
      <c r="J74" s="25"/>
      <c r="K74" s="442" t="str">
        <f t="shared" si="21"/>
        <v/>
      </c>
      <c r="L74" s="736" t="s">
        <v>2393</v>
      </c>
      <c r="M74" s="25" t="str">
        <f t="shared" si="6"/>
        <v>A</v>
      </c>
      <c r="N74" s="25" t="str">
        <f>IF(L74&lt;&gt;"",VLOOKUP(L74,Categories!$B$2:$D$41,2,FALSE),IF(F74&lt;&gt;"","No Cat",""))</f>
        <v>All Other</v>
      </c>
      <c r="O74" s="25" t="str">
        <f>IF($L74&lt;&gt;"",VLOOKUP($L74,Categories!$B$2:$D$41,3,FALSE),IF($F74&lt;&gt;"","No Cat",""))</f>
        <v>EB-Cap</v>
      </c>
      <c r="P74" s="736" t="s">
        <v>2490</v>
      </c>
      <c r="Q74" s="25" t="str">
        <f>VLOOKUP($P74,Allocators!$B$7:$F$19,5,FALSE)</f>
        <v>Rate Base</v>
      </c>
      <c r="R74" s="737">
        <f>VLOOKUP($P74,Allocators!$B$7:$F$19,2,FALSE)</f>
        <v>0.70940000000000003</v>
      </c>
      <c r="S74" s="737">
        <f>VLOOKUP($P74,Allocators!$B$7:$F$19,3,FALSE)</f>
        <v>0.29060000000000002</v>
      </c>
      <c r="T74" s="737" t="str">
        <f t="shared" si="15"/>
        <v>0.0%</v>
      </c>
      <c r="U74" s="2">
        <f t="shared" si="25"/>
        <v>61.743303521166602</v>
      </c>
      <c r="V74" s="2">
        <f t="shared" si="26"/>
        <v>25.2926473121667</v>
      </c>
      <c r="W74" s="2">
        <f t="shared" si="27"/>
        <v>0</v>
      </c>
      <c r="X74" s="2">
        <f t="shared" si="28"/>
        <v>87.035950833333303</v>
      </c>
      <c r="Y74" s="2">
        <f t="shared" si="29"/>
        <v>1.1347846159999999</v>
      </c>
      <c r="Z74" s="2">
        <f t="shared" si="30"/>
        <v>0.46485538399999998</v>
      </c>
      <c r="AA74" s="2">
        <f t="shared" si="31"/>
        <v>0</v>
      </c>
      <c r="AB74" s="2">
        <f t="shared" si="32"/>
        <v>1.5996400000000002</v>
      </c>
      <c r="AC74" s="759">
        <v>0</v>
      </c>
      <c r="AD74" s="741">
        <v>48.465849999999996</v>
      </c>
      <c r="AE74" s="741">
        <v>67.473169999999996</v>
      </c>
      <c r="AF74" s="741">
        <v>554.88625999999999</v>
      </c>
      <c r="AG74" s="741">
        <v>33.454410000000003</v>
      </c>
      <c r="AH74" s="741">
        <v>45.754429999999999</v>
      </c>
      <c r="AI74" s="741">
        <v>378.51134000000002</v>
      </c>
      <c r="AJ74" s="741">
        <v>26.580169999999999</v>
      </c>
      <c r="AK74" s="741">
        <v>43.887180000000001</v>
      </c>
      <c r="AL74" s="741">
        <v>29.059900000000003</v>
      </c>
      <c r="AM74" s="741">
        <v>30.291370000000001</v>
      </c>
      <c r="AN74" s="741">
        <v>-214.73248999999998</v>
      </c>
      <c r="AO74" s="741">
        <v>1.5996400000000002</v>
      </c>
      <c r="AP74" s="41" t="str">
        <f t="shared" si="22"/>
        <v>GLA</v>
      </c>
      <c r="AQ74" s="41" t="str">
        <f t="shared" si="23"/>
        <v>GLAA2Special Deposits</v>
      </c>
      <c r="AR74" s="41" t="str">
        <f t="shared" si="24"/>
        <v>A2Special Deposits</v>
      </c>
      <c r="CR74" s="625"/>
    </row>
    <row r="75" spans="1:96" s="41" customFormat="1" ht="12.75" customHeight="1">
      <c r="A75" s="25" t="s">
        <v>17</v>
      </c>
      <c r="B75" s="25" t="str">
        <f t="shared" ref="B75:B141" si="33">CONCATENATE(A75,C75,D75,E75)</f>
        <v>GL131091</v>
      </c>
      <c r="C75" s="638">
        <v>131091</v>
      </c>
      <c r="D75" s="735"/>
      <c r="F75" s="1" t="s">
        <v>82</v>
      </c>
      <c r="H75" s="736" t="s">
        <v>2547</v>
      </c>
      <c r="I75" s="25"/>
      <c r="J75" s="25"/>
      <c r="K75" s="442" t="str">
        <f t="shared" si="21"/>
        <v/>
      </c>
      <c r="L75" s="736" t="s">
        <v>2393</v>
      </c>
      <c r="M75" s="25" t="str">
        <f t="shared" ref="M75:M141" si="34">LEFT(L75,1)</f>
        <v>A</v>
      </c>
      <c r="N75" s="25" t="str">
        <f>IF(L75&lt;&gt;"",VLOOKUP(L75,Categories!$B$2:$D$41,2,FALSE),IF(F75&lt;&gt;"","No Cat",""))</f>
        <v>All Other</v>
      </c>
      <c r="O75" s="25" t="str">
        <f>IF($L75&lt;&gt;"",VLOOKUP($L75,Categories!$B$2:$D$41,3,FALSE),IF($F75&lt;&gt;"","No Cat",""))</f>
        <v>EB-Cap</v>
      </c>
      <c r="P75" s="736" t="s">
        <v>2490</v>
      </c>
      <c r="Q75" s="25" t="str">
        <f>VLOOKUP($P75,Allocators!$B$7:$F$19,5,FALSE)</f>
        <v>Rate Base</v>
      </c>
      <c r="R75" s="737">
        <f>VLOOKUP($P75,Allocators!$B$7:$F$19,2,FALSE)</f>
        <v>0.70940000000000003</v>
      </c>
      <c r="S75" s="737">
        <f>VLOOKUP($P75,Allocators!$B$7:$F$19,3,FALSE)</f>
        <v>0.29060000000000002</v>
      </c>
      <c r="T75" s="737" t="str">
        <f t="shared" si="15"/>
        <v>0.0%</v>
      </c>
      <c r="U75" s="2" t="str">
        <f t="shared" si="25"/>
        <v/>
      </c>
      <c r="V75" s="2" t="str">
        <f t="shared" si="26"/>
        <v/>
      </c>
      <c r="W75" s="2" t="str">
        <f t="shared" si="27"/>
        <v/>
      </c>
      <c r="X75" s="2">
        <f t="shared" si="28"/>
        <v>0</v>
      </c>
      <c r="Y75" s="2" t="str">
        <f t="shared" si="29"/>
        <v/>
      </c>
      <c r="Z75" s="2" t="str">
        <f t="shared" si="30"/>
        <v/>
      </c>
      <c r="AA75" s="2" t="str">
        <f t="shared" si="31"/>
        <v/>
      </c>
      <c r="AB75" s="2">
        <f t="shared" si="32"/>
        <v>0</v>
      </c>
      <c r="AC75" s="759">
        <v>0</v>
      </c>
      <c r="AD75" s="741">
        <v>0</v>
      </c>
      <c r="AE75" s="741">
        <v>0</v>
      </c>
      <c r="AF75" s="741">
        <v>0</v>
      </c>
      <c r="AG75" s="741">
        <v>0</v>
      </c>
      <c r="AH75" s="741">
        <v>0</v>
      </c>
      <c r="AI75" s="741">
        <v>0</v>
      </c>
      <c r="AJ75" s="741">
        <v>0</v>
      </c>
      <c r="AK75" s="741">
        <v>0</v>
      </c>
      <c r="AL75" s="741">
        <v>0</v>
      </c>
      <c r="AM75" s="741">
        <v>0</v>
      </c>
      <c r="AN75" s="741">
        <v>0</v>
      </c>
      <c r="AO75" s="741">
        <v>0</v>
      </c>
      <c r="AP75" s="41" t="str">
        <f t="shared" si="22"/>
        <v>GLA</v>
      </c>
      <c r="AQ75" s="41" t="str">
        <f t="shared" si="23"/>
        <v>GLAA2Special Deposits</v>
      </c>
      <c r="AR75" s="41" t="str">
        <f t="shared" si="24"/>
        <v>A2Special Deposits</v>
      </c>
      <c r="CR75" s="625"/>
    </row>
    <row r="76" spans="1:96" s="41" customFormat="1" ht="12.75" customHeight="1">
      <c r="A76" s="25" t="s">
        <v>17</v>
      </c>
      <c r="B76" s="25" t="str">
        <f t="shared" si="33"/>
        <v>GL131131</v>
      </c>
      <c r="C76" s="638">
        <v>131131</v>
      </c>
      <c r="D76" s="735"/>
      <c r="F76" s="1" t="s">
        <v>83</v>
      </c>
      <c r="H76" s="736" t="s">
        <v>2547</v>
      </c>
      <c r="I76" s="25"/>
      <c r="J76" s="25"/>
      <c r="K76" s="442" t="str">
        <f t="shared" si="21"/>
        <v/>
      </c>
      <c r="L76" s="736" t="s">
        <v>2393</v>
      </c>
      <c r="M76" s="25" t="str">
        <f t="shared" si="34"/>
        <v>A</v>
      </c>
      <c r="N76" s="25" t="str">
        <f>IF(L76&lt;&gt;"",VLOOKUP(L76,Categories!$B$2:$D$41,2,FALSE),IF(F76&lt;&gt;"","No Cat",""))</f>
        <v>All Other</v>
      </c>
      <c r="O76" s="25" t="str">
        <f>IF($L76&lt;&gt;"",VLOOKUP($L76,Categories!$B$2:$D$41,3,FALSE),IF($F76&lt;&gt;"","No Cat",""))</f>
        <v>EB-Cap</v>
      </c>
      <c r="P76" s="736" t="s">
        <v>2490</v>
      </c>
      <c r="Q76" s="25" t="str">
        <f>VLOOKUP($P76,Allocators!$B$7:$F$19,5,FALSE)</f>
        <v>Rate Base</v>
      </c>
      <c r="R76" s="737">
        <f>VLOOKUP($P76,Allocators!$B$7:$F$19,2,FALSE)</f>
        <v>0.70940000000000003</v>
      </c>
      <c r="S76" s="737">
        <f>VLOOKUP($P76,Allocators!$B$7:$F$19,3,FALSE)</f>
        <v>0.29060000000000002</v>
      </c>
      <c r="T76" s="737" t="str">
        <f t="shared" si="15"/>
        <v>0.0%</v>
      </c>
      <c r="U76" s="2">
        <f t="shared" si="25"/>
        <v>232.58099910666601</v>
      </c>
      <c r="V76" s="2">
        <f t="shared" si="26"/>
        <v>95.274934226666602</v>
      </c>
      <c r="W76" s="2">
        <f t="shared" si="27"/>
        <v>0</v>
      </c>
      <c r="X76" s="2">
        <f t="shared" si="28"/>
        <v>327.85593333333298</v>
      </c>
      <c r="Y76" s="2" t="str">
        <f t="shared" si="29"/>
        <v/>
      </c>
      <c r="Z76" s="2" t="str">
        <f t="shared" si="30"/>
        <v/>
      </c>
      <c r="AA76" s="2" t="str">
        <f t="shared" si="31"/>
        <v/>
      </c>
      <c r="AB76" s="2">
        <f t="shared" si="32"/>
        <v>0</v>
      </c>
      <c r="AC76" s="759">
        <v>2881.11852</v>
      </c>
      <c r="AD76" s="741">
        <v>2246.6207200000003</v>
      </c>
      <c r="AE76" s="741">
        <v>63.727809999999998</v>
      </c>
      <c r="AF76" s="741">
        <v>69.058720000000008</v>
      </c>
      <c r="AG76" s="741">
        <v>13.568280000000001</v>
      </c>
      <c r="AH76" s="741">
        <v>95.619410000000002</v>
      </c>
      <c r="AI76" s="741">
        <v>4.5004099999999996</v>
      </c>
      <c r="AJ76" s="741">
        <v>0.61659000000000008</v>
      </c>
      <c r="AK76" s="741">
        <v>0</v>
      </c>
      <c r="AL76" s="741">
        <v>0</v>
      </c>
      <c r="AM76" s="741">
        <v>0</v>
      </c>
      <c r="AN76" s="741">
        <v>0</v>
      </c>
      <c r="AO76" s="741">
        <v>0</v>
      </c>
      <c r="AP76" s="41" t="str">
        <f t="shared" si="22"/>
        <v>GLA</v>
      </c>
      <c r="AQ76" s="41" t="str">
        <f t="shared" si="23"/>
        <v>GLAA2Special Deposits</v>
      </c>
      <c r="AR76" s="41" t="str">
        <f t="shared" si="24"/>
        <v>A2Special Deposits</v>
      </c>
      <c r="CR76" s="625"/>
    </row>
    <row r="77" spans="1:96" s="41" customFormat="1" ht="12.75" customHeight="1">
      <c r="A77" s="25" t="s">
        <v>17</v>
      </c>
      <c r="B77" s="25" t="str">
        <f t="shared" si="33"/>
        <v>GL131132</v>
      </c>
      <c r="C77" s="638">
        <v>131132</v>
      </c>
      <c r="D77" s="735"/>
      <c r="F77" s="1" t="s">
        <v>84</v>
      </c>
      <c r="H77" s="736" t="s">
        <v>2547</v>
      </c>
      <c r="I77" s="25"/>
      <c r="J77" s="25"/>
      <c r="K77" s="442" t="str">
        <f t="shared" si="21"/>
        <v/>
      </c>
      <c r="L77" s="736" t="s">
        <v>2393</v>
      </c>
      <c r="M77" s="25" t="str">
        <f t="shared" si="34"/>
        <v>A</v>
      </c>
      <c r="N77" s="25" t="str">
        <f>IF(L77&lt;&gt;"",VLOOKUP(L77,Categories!$B$2:$D$41,2,FALSE),IF(F77&lt;&gt;"","No Cat",""))</f>
        <v>All Other</v>
      </c>
      <c r="O77" s="25" t="str">
        <f>IF($L77&lt;&gt;"",VLOOKUP($L77,Categories!$B$2:$D$41,3,FALSE),IF($F77&lt;&gt;"","No Cat",""))</f>
        <v>EB-Cap</v>
      </c>
      <c r="P77" s="736" t="s">
        <v>2490</v>
      </c>
      <c r="Q77" s="25" t="str">
        <f>VLOOKUP($P77,Allocators!$B$7:$F$19,5,FALSE)</f>
        <v>Rate Base</v>
      </c>
      <c r="R77" s="737">
        <f>VLOOKUP($P77,Allocators!$B$7:$F$19,2,FALSE)</f>
        <v>0.70940000000000003</v>
      </c>
      <c r="S77" s="737">
        <f>VLOOKUP($P77,Allocators!$B$7:$F$19,3,FALSE)</f>
        <v>0.29060000000000002</v>
      </c>
      <c r="T77" s="737" t="str">
        <f t="shared" si="15"/>
        <v>0.0%</v>
      </c>
      <c r="U77" s="2" t="str">
        <f t="shared" si="25"/>
        <v/>
      </c>
      <c r="V77" s="2" t="str">
        <f t="shared" si="26"/>
        <v/>
      </c>
      <c r="W77" s="2" t="str">
        <f t="shared" si="27"/>
        <v/>
      </c>
      <c r="X77" s="2">
        <f t="shared" si="28"/>
        <v>0</v>
      </c>
      <c r="Y77" s="2" t="str">
        <f t="shared" si="29"/>
        <v/>
      </c>
      <c r="Z77" s="2" t="str">
        <f t="shared" si="30"/>
        <v/>
      </c>
      <c r="AA77" s="2" t="str">
        <f t="shared" si="31"/>
        <v/>
      </c>
      <c r="AB77" s="2">
        <f t="shared" si="32"/>
        <v>0</v>
      </c>
      <c r="AC77" s="759">
        <v>0</v>
      </c>
      <c r="AD77" s="741">
        <v>0</v>
      </c>
      <c r="AE77" s="741">
        <v>0</v>
      </c>
      <c r="AF77" s="741">
        <v>0</v>
      </c>
      <c r="AG77" s="741">
        <v>0</v>
      </c>
      <c r="AH77" s="741">
        <v>0</v>
      </c>
      <c r="AI77" s="741">
        <v>0</v>
      </c>
      <c r="AJ77" s="741">
        <v>0</v>
      </c>
      <c r="AK77" s="741">
        <v>0</v>
      </c>
      <c r="AL77" s="741">
        <v>0</v>
      </c>
      <c r="AM77" s="741">
        <v>0</v>
      </c>
      <c r="AN77" s="741">
        <v>0</v>
      </c>
      <c r="AO77" s="741">
        <v>0</v>
      </c>
      <c r="AP77" s="41" t="str">
        <f t="shared" si="22"/>
        <v>GLA</v>
      </c>
      <c r="AQ77" s="41" t="str">
        <f t="shared" si="23"/>
        <v>GLAA2Special Deposits</v>
      </c>
      <c r="AR77" s="41" t="str">
        <f t="shared" si="24"/>
        <v>A2Special Deposits</v>
      </c>
      <c r="CR77" s="625"/>
    </row>
    <row r="78" spans="1:96" s="41" customFormat="1" ht="12.75" customHeight="1">
      <c r="A78" s="25" t="s">
        <v>17</v>
      </c>
      <c r="B78" s="25" t="str">
        <f t="shared" si="33"/>
        <v>GL131162</v>
      </c>
      <c r="C78" s="638">
        <v>131162</v>
      </c>
      <c r="D78" s="735"/>
      <c r="F78" s="1" t="s">
        <v>85</v>
      </c>
      <c r="H78" s="736" t="s">
        <v>2547</v>
      </c>
      <c r="I78" s="25"/>
      <c r="J78" s="25"/>
      <c r="K78" s="442" t="str">
        <f t="shared" si="21"/>
        <v/>
      </c>
      <c r="L78" s="736" t="s">
        <v>2393</v>
      </c>
      <c r="M78" s="25" t="str">
        <f t="shared" si="34"/>
        <v>A</v>
      </c>
      <c r="N78" s="25" t="str">
        <f>IF(L78&lt;&gt;"",VLOOKUP(L78,Categories!$B$2:$D$41,2,FALSE),IF(F78&lt;&gt;"","No Cat",""))</f>
        <v>All Other</v>
      </c>
      <c r="O78" s="25" t="str">
        <f>IF($L78&lt;&gt;"",VLOOKUP($L78,Categories!$B$2:$D$41,3,FALSE),IF($F78&lt;&gt;"","No Cat",""))</f>
        <v>EB-Cap</v>
      </c>
      <c r="P78" s="736" t="s">
        <v>2490</v>
      </c>
      <c r="Q78" s="25" t="str">
        <f>VLOOKUP($P78,Allocators!$B$7:$F$19,5,FALSE)</f>
        <v>Rate Base</v>
      </c>
      <c r="R78" s="737">
        <f>VLOOKUP($P78,Allocators!$B$7:$F$19,2,FALSE)</f>
        <v>0.70940000000000003</v>
      </c>
      <c r="S78" s="737">
        <f>VLOOKUP($P78,Allocators!$B$7:$F$19,3,FALSE)</f>
        <v>0.29060000000000002</v>
      </c>
      <c r="T78" s="737" t="str">
        <f t="shared" si="15"/>
        <v>0.0%</v>
      </c>
      <c r="U78" s="2" t="str">
        <f t="shared" si="25"/>
        <v/>
      </c>
      <c r="V78" s="2" t="str">
        <f t="shared" si="26"/>
        <v/>
      </c>
      <c r="W78" s="2" t="str">
        <f t="shared" si="27"/>
        <v/>
      </c>
      <c r="X78" s="2">
        <f t="shared" si="28"/>
        <v>0</v>
      </c>
      <c r="Y78" s="2" t="str">
        <f t="shared" si="29"/>
        <v/>
      </c>
      <c r="Z78" s="2" t="str">
        <f t="shared" si="30"/>
        <v/>
      </c>
      <c r="AA78" s="2" t="str">
        <f t="shared" si="31"/>
        <v/>
      </c>
      <c r="AB78" s="2">
        <f t="shared" si="32"/>
        <v>0</v>
      </c>
      <c r="AC78" s="759">
        <v>0</v>
      </c>
      <c r="AD78" s="741">
        <v>0</v>
      </c>
      <c r="AE78" s="741">
        <v>0</v>
      </c>
      <c r="AF78" s="741">
        <v>0</v>
      </c>
      <c r="AG78" s="741">
        <v>0</v>
      </c>
      <c r="AH78" s="741">
        <v>0</v>
      </c>
      <c r="AI78" s="741">
        <v>0</v>
      </c>
      <c r="AJ78" s="741">
        <v>0</v>
      </c>
      <c r="AK78" s="741">
        <v>0</v>
      </c>
      <c r="AL78" s="741">
        <v>0</v>
      </c>
      <c r="AM78" s="741">
        <v>0</v>
      </c>
      <c r="AN78" s="741">
        <v>0</v>
      </c>
      <c r="AO78" s="741">
        <v>0</v>
      </c>
      <c r="AP78" s="41" t="str">
        <f t="shared" si="22"/>
        <v>GLA</v>
      </c>
      <c r="AQ78" s="41" t="str">
        <f t="shared" si="23"/>
        <v>GLAA2Special Deposits</v>
      </c>
      <c r="AR78" s="41" t="str">
        <f t="shared" si="24"/>
        <v>A2Special Deposits</v>
      </c>
      <c r="CR78" s="625"/>
    </row>
    <row r="79" spans="1:96" s="41" customFormat="1" ht="12.75" customHeight="1">
      <c r="A79" s="25" t="s">
        <v>17</v>
      </c>
      <c r="B79" s="25" t="str">
        <f t="shared" si="33"/>
        <v>GL131400</v>
      </c>
      <c r="C79" s="638">
        <v>131400</v>
      </c>
      <c r="D79" s="735"/>
      <c r="F79" s="1" t="s">
        <v>86</v>
      </c>
      <c r="H79" s="736" t="s">
        <v>2547</v>
      </c>
      <c r="I79" s="25"/>
      <c r="J79" s="25"/>
      <c r="K79" s="442" t="str">
        <f t="shared" si="21"/>
        <v/>
      </c>
      <c r="L79" s="736" t="s">
        <v>2393</v>
      </c>
      <c r="M79" s="25" t="str">
        <f t="shared" si="34"/>
        <v>A</v>
      </c>
      <c r="N79" s="25" t="str">
        <f>IF(L79&lt;&gt;"",VLOOKUP(L79,Categories!$B$2:$D$41,2,FALSE),IF(F79&lt;&gt;"","No Cat",""))</f>
        <v>All Other</v>
      </c>
      <c r="O79" s="25" t="str">
        <f>IF($L79&lt;&gt;"",VLOOKUP($L79,Categories!$B$2:$D$41,3,FALSE),IF($F79&lt;&gt;"","No Cat",""))</f>
        <v>EB-Cap</v>
      </c>
      <c r="P79" s="736" t="s">
        <v>2490</v>
      </c>
      <c r="Q79" s="25" t="str">
        <f>VLOOKUP($P79,Allocators!$B$7:$F$19,5,FALSE)</f>
        <v>Rate Base</v>
      </c>
      <c r="R79" s="737">
        <f>VLOOKUP($P79,Allocators!$B$7:$F$19,2,FALSE)</f>
        <v>0.70940000000000003</v>
      </c>
      <c r="S79" s="737">
        <f>VLOOKUP($P79,Allocators!$B$7:$F$19,3,FALSE)</f>
        <v>0.29060000000000002</v>
      </c>
      <c r="T79" s="737" t="str">
        <f t="shared" si="15"/>
        <v>0.0%</v>
      </c>
      <c r="U79" s="2" t="str">
        <f t="shared" si="25"/>
        <v/>
      </c>
      <c r="V79" s="2" t="str">
        <f t="shared" si="26"/>
        <v/>
      </c>
      <c r="W79" s="2" t="str">
        <f t="shared" si="27"/>
        <v/>
      </c>
      <c r="X79" s="2">
        <f t="shared" si="28"/>
        <v>0</v>
      </c>
      <c r="Y79" s="2" t="str">
        <f t="shared" si="29"/>
        <v/>
      </c>
      <c r="Z79" s="2" t="str">
        <f t="shared" si="30"/>
        <v/>
      </c>
      <c r="AA79" s="2" t="str">
        <f t="shared" si="31"/>
        <v/>
      </c>
      <c r="AB79" s="2">
        <f t="shared" si="32"/>
        <v>0</v>
      </c>
      <c r="AC79" s="759">
        <v>0</v>
      </c>
      <c r="AD79" s="741">
        <v>0</v>
      </c>
      <c r="AE79" s="741">
        <v>0</v>
      </c>
      <c r="AF79" s="741">
        <v>0</v>
      </c>
      <c r="AG79" s="741">
        <v>0</v>
      </c>
      <c r="AH79" s="741">
        <v>0</v>
      </c>
      <c r="AI79" s="741">
        <v>0</v>
      </c>
      <c r="AJ79" s="741">
        <v>0</v>
      </c>
      <c r="AK79" s="741">
        <v>0</v>
      </c>
      <c r="AL79" s="741">
        <v>0</v>
      </c>
      <c r="AM79" s="741">
        <v>0</v>
      </c>
      <c r="AN79" s="741">
        <v>0</v>
      </c>
      <c r="AO79" s="741">
        <v>0</v>
      </c>
      <c r="AP79" s="41" t="str">
        <f t="shared" si="22"/>
        <v>GLA</v>
      </c>
      <c r="AQ79" s="41" t="str">
        <f t="shared" si="23"/>
        <v>GLAA2Special Deposits</v>
      </c>
      <c r="AR79" s="41" t="str">
        <f t="shared" si="24"/>
        <v>A2Special Deposits</v>
      </c>
      <c r="CR79" s="625"/>
    </row>
    <row r="80" spans="1:96" s="41" customFormat="1" ht="12.75" customHeight="1">
      <c r="A80" s="25" t="s">
        <v>17</v>
      </c>
      <c r="B80" s="25" t="str">
        <f t="shared" si="33"/>
        <v>GL131405</v>
      </c>
      <c r="C80" s="638">
        <v>131405</v>
      </c>
      <c r="D80" s="735"/>
      <c r="F80" s="1" t="s">
        <v>87</v>
      </c>
      <c r="H80" s="736" t="s">
        <v>2547</v>
      </c>
      <c r="I80" s="25"/>
      <c r="J80" s="25"/>
      <c r="K80" s="442" t="str">
        <f t="shared" si="21"/>
        <v/>
      </c>
      <c r="L80" s="736" t="s">
        <v>2393</v>
      </c>
      <c r="M80" s="25" t="str">
        <f t="shared" si="34"/>
        <v>A</v>
      </c>
      <c r="N80" s="25" t="str">
        <f>IF(L80&lt;&gt;"",VLOOKUP(L80,Categories!$B$2:$D$41,2,FALSE),IF(F80&lt;&gt;"","No Cat",""))</f>
        <v>All Other</v>
      </c>
      <c r="O80" s="25" t="str">
        <f>IF($L80&lt;&gt;"",VLOOKUP($L80,Categories!$B$2:$D$41,3,FALSE),IF($F80&lt;&gt;"","No Cat",""))</f>
        <v>EB-Cap</v>
      </c>
      <c r="P80" s="736" t="s">
        <v>2490</v>
      </c>
      <c r="Q80" s="25" t="str">
        <f>VLOOKUP($P80,Allocators!$B$7:$F$19,5,FALSE)</f>
        <v>Rate Base</v>
      </c>
      <c r="R80" s="737">
        <f>VLOOKUP($P80,Allocators!$B$7:$F$19,2,FALSE)</f>
        <v>0.70940000000000003</v>
      </c>
      <c r="S80" s="737">
        <f>VLOOKUP($P80,Allocators!$B$7:$F$19,3,FALSE)</f>
        <v>0.29060000000000002</v>
      </c>
      <c r="T80" s="737" t="str">
        <f t="shared" si="15"/>
        <v>0.0%</v>
      </c>
      <c r="U80" s="2" t="str">
        <f t="shared" si="25"/>
        <v/>
      </c>
      <c r="V80" s="2" t="str">
        <f t="shared" si="26"/>
        <v/>
      </c>
      <c r="W80" s="2" t="str">
        <f t="shared" si="27"/>
        <v/>
      </c>
      <c r="X80" s="2">
        <f t="shared" si="28"/>
        <v>0</v>
      </c>
      <c r="Y80" s="2" t="str">
        <f t="shared" si="29"/>
        <v/>
      </c>
      <c r="Z80" s="2" t="str">
        <f t="shared" si="30"/>
        <v/>
      </c>
      <c r="AA80" s="2" t="str">
        <f t="shared" si="31"/>
        <v/>
      </c>
      <c r="AB80" s="2">
        <f t="shared" si="32"/>
        <v>0</v>
      </c>
      <c r="AC80" s="759">
        <v>0</v>
      </c>
      <c r="AD80" s="741">
        <v>0</v>
      </c>
      <c r="AE80" s="741">
        <v>0</v>
      </c>
      <c r="AF80" s="741">
        <v>0</v>
      </c>
      <c r="AG80" s="741">
        <v>0</v>
      </c>
      <c r="AH80" s="741">
        <v>0</v>
      </c>
      <c r="AI80" s="741">
        <v>0</v>
      </c>
      <c r="AJ80" s="741">
        <v>0</v>
      </c>
      <c r="AK80" s="741">
        <v>0</v>
      </c>
      <c r="AL80" s="741">
        <v>0</v>
      </c>
      <c r="AM80" s="741">
        <v>0</v>
      </c>
      <c r="AN80" s="741">
        <v>0</v>
      </c>
      <c r="AO80" s="741">
        <v>0</v>
      </c>
      <c r="AP80" s="41" t="str">
        <f t="shared" si="22"/>
        <v>GLA</v>
      </c>
      <c r="AQ80" s="41" t="str">
        <f t="shared" si="23"/>
        <v>GLAA2Special Deposits</v>
      </c>
      <c r="AR80" s="41" t="str">
        <f t="shared" si="24"/>
        <v>A2Special Deposits</v>
      </c>
      <c r="CR80" s="625"/>
    </row>
    <row r="81" spans="1:96" s="41" customFormat="1" ht="12.75" customHeight="1">
      <c r="A81" s="25" t="s">
        <v>17</v>
      </c>
      <c r="B81" s="25" t="str">
        <f t="shared" ref="B81" si="35">CONCATENATE(A81,C81,D81,E81)</f>
        <v>GL131410</v>
      </c>
      <c r="C81" s="638">
        <v>131410</v>
      </c>
      <c r="D81" s="735"/>
      <c r="F81" s="1" t="s">
        <v>4414</v>
      </c>
      <c r="H81" s="736" t="s">
        <v>2547</v>
      </c>
      <c r="I81" s="25"/>
      <c r="J81" s="25"/>
      <c r="K81" s="442"/>
      <c r="L81" s="736" t="s">
        <v>2393</v>
      </c>
      <c r="M81" s="25" t="str">
        <f t="shared" si="34"/>
        <v>A</v>
      </c>
      <c r="N81" s="25" t="str">
        <f>IF(L81&lt;&gt;"",VLOOKUP(L81,Categories!$B$2:$D$41,2,FALSE),IF(F81&lt;&gt;"","No Cat",""))</f>
        <v>All Other</v>
      </c>
      <c r="O81" s="25" t="str">
        <f>IF($L81&lt;&gt;"",VLOOKUP($L81,Categories!$B$2:$D$41,3,FALSE),IF($F81&lt;&gt;"","No Cat",""))</f>
        <v>EB-Cap</v>
      </c>
      <c r="P81" s="736" t="s">
        <v>2490</v>
      </c>
      <c r="Q81" s="25" t="str">
        <f>VLOOKUP($P81,Allocators!$B$7:$F$19,5,FALSE)</f>
        <v>Rate Base</v>
      </c>
      <c r="R81" s="737">
        <f>VLOOKUP($P81,Allocators!$B$7:$F$19,2,FALSE)</f>
        <v>0.70940000000000003</v>
      </c>
      <c r="S81" s="737">
        <f>VLOOKUP($P81,Allocators!$B$7:$F$19,3,FALSE)</f>
        <v>0.29060000000000002</v>
      </c>
      <c r="T81" s="737" t="str">
        <f t="shared" ref="T81" si="36">IF(P81="N",1,"0.0%")</f>
        <v>0.0%</v>
      </c>
      <c r="U81" s="2">
        <f t="shared" si="25"/>
        <v>1039.1954749113399</v>
      </c>
      <c r="V81" s="2">
        <f t="shared" si="26"/>
        <v>425.69806175533398</v>
      </c>
      <c r="W81" s="2">
        <f t="shared" si="27"/>
        <v>0</v>
      </c>
      <c r="X81" s="2">
        <f t="shared" si="28"/>
        <v>1464.8935366666699</v>
      </c>
      <c r="Y81" s="2">
        <f t="shared" si="29"/>
        <v>510.135669216</v>
      </c>
      <c r="Z81" s="2">
        <f t="shared" si="30"/>
        <v>208.97297078400001</v>
      </c>
      <c r="AA81" s="2">
        <f t="shared" si="31"/>
        <v>0</v>
      </c>
      <c r="AB81" s="2">
        <f t="shared" si="32"/>
        <v>719.10864000000004</v>
      </c>
      <c r="AC81" s="759"/>
      <c r="AD81" s="741"/>
      <c r="AE81" s="741">
        <v>1200.11706</v>
      </c>
      <c r="AF81" s="741">
        <v>4004.3407499999998</v>
      </c>
      <c r="AG81" s="741">
        <v>689.54825000000005</v>
      </c>
      <c r="AH81" s="741">
        <v>2213.3678999999997</v>
      </c>
      <c r="AI81" s="741">
        <v>2350.6815099999999</v>
      </c>
      <c r="AJ81" s="741">
        <v>996.08398999999997</v>
      </c>
      <c r="AK81" s="741">
        <v>2020.16328</v>
      </c>
      <c r="AL81" s="741">
        <v>1286.6937700000001</v>
      </c>
      <c r="AM81" s="741">
        <v>475.66033000000004</v>
      </c>
      <c r="AN81" s="741">
        <v>1982.5112799999999</v>
      </c>
      <c r="AO81" s="741">
        <v>719.10864000000004</v>
      </c>
      <c r="AP81" s="41" t="str">
        <f t="shared" si="22"/>
        <v>GLA</v>
      </c>
      <c r="AQ81" s="41" t="str">
        <f t="shared" si="23"/>
        <v>GLAA2Special Deposits</v>
      </c>
      <c r="AR81" s="41" t="str">
        <f t="shared" si="24"/>
        <v>A2Special Deposits</v>
      </c>
      <c r="CR81" s="625"/>
    </row>
    <row r="82" spans="1:96" s="41" customFormat="1" ht="12.75" customHeight="1">
      <c r="A82" s="25" t="s">
        <v>17</v>
      </c>
      <c r="B82" s="25" t="str">
        <f t="shared" si="33"/>
        <v>GL131500</v>
      </c>
      <c r="C82" s="638">
        <v>131500</v>
      </c>
      <c r="D82" s="735"/>
      <c r="F82" s="1" t="s">
        <v>88</v>
      </c>
      <c r="H82" s="736" t="s">
        <v>2547</v>
      </c>
      <c r="I82" s="25"/>
      <c r="J82" s="25"/>
      <c r="K82" s="442" t="str">
        <f t="shared" si="21"/>
        <v/>
      </c>
      <c r="L82" s="736" t="s">
        <v>2393</v>
      </c>
      <c r="M82" s="25" t="str">
        <f t="shared" si="34"/>
        <v>A</v>
      </c>
      <c r="N82" s="25" t="str">
        <f>IF(L82&lt;&gt;"",VLOOKUP(L82,Categories!$B$2:$D$41,2,FALSE),IF(F82&lt;&gt;"","No Cat",""))</f>
        <v>All Other</v>
      </c>
      <c r="O82" s="25" t="str">
        <f>IF($L82&lt;&gt;"",VLOOKUP($L82,Categories!$B$2:$D$41,3,FALSE),IF($F82&lt;&gt;"","No Cat",""))</f>
        <v>EB-Cap</v>
      </c>
      <c r="P82" s="736" t="s">
        <v>2490</v>
      </c>
      <c r="Q82" s="25" t="str">
        <f>VLOOKUP($P82,Allocators!$B$7:$F$19,5,FALSE)</f>
        <v>Rate Base</v>
      </c>
      <c r="R82" s="737">
        <f>VLOOKUP($P82,Allocators!$B$7:$F$19,2,FALSE)</f>
        <v>0.70940000000000003</v>
      </c>
      <c r="S82" s="737">
        <f>VLOOKUP($P82,Allocators!$B$7:$F$19,3,FALSE)</f>
        <v>0.29060000000000002</v>
      </c>
      <c r="T82" s="737" t="str">
        <f t="shared" si="15"/>
        <v>0.0%</v>
      </c>
      <c r="U82" s="2" t="str">
        <f t="shared" si="25"/>
        <v/>
      </c>
      <c r="V82" s="2" t="str">
        <f t="shared" si="26"/>
        <v/>
      </c>
      <c r="W82" s="2" t="str">
        <f t="shared" si="27"/>
        <v/>
      </c>
      <c r="X82" s="2">
        <f t="shared" si="28"/>
        <v>0</v>
      </c>
      <c r="Y82" s="2" t="str">
        <f t="shared" si="29"/>
        <v/>
      </c>
      <c r="Z82" s="2" t="str">
        <f t="shared" si="30"/>
        <v/>
      </c>
      <c r="AA82" s="2" t="str">
        <f t="shared" si="31"/>
        <v/>
      </c>
      <c r="AB82" s="2">
        <f t="shared" si="32"/>
        <v>0</v>
      </c>
      <c r="AC82" s="759">
        <v>0</v>
      </c>
      <c r="AD82" s="741">
        <v>0</v>
      </c>
      <c r="AE82" s="741">
        <v>0</v>
      </c>
      <c r="AF82" s="741">
        <v>0</v>
      </c>
      <c r="AG82" s="741">
        <v>0</v>
      </c>
      <c r="AH82" s="741">
        <v>0</v>
      </c>
      <c r="AI82" s="741">
        <v>0</v>
      </c>
      <c r="AJ82" s="741">
        <v>0</v>
      </c>
      <c r="AK82" s="741">
        <v>0</v>
      </c>
      <c r="AL82" s="741">
        <v>0</v>
      </c>
      <c r="AM82" s="741">
        <v>0</v>
      </c>
      <c r="AN82" s="741">
        <v>0</v>
      </c>
      <c r="AO82" s="741">
        <v>0</v>
      </c>
      <c r="AP82" s="41" t="str">
        <f t="shared" si="22"/>
        <v>GLA</v>
      </c>
      <c r="AQ82" s="41" t="str">
        <f t="shared" si="23"/>
        <v>GLAA2Special Deposits</v>
      </c>
      <c r="AR82" s="41" t="str">
        <f t="shared" si="24"/>
        <v>A2Special Deposits</v>
      </c>
      <c r="CR82" s="625"/>
    </row>
    <row r="83" spans="1:96" s="41" customFormat="1" ht="12.75" customHeight="1">
      <c r="A83" s="25" t="s">
        <v>17</v>
      </c>
      <c r="B83" s="25" t="str">
        <f t="shared" si="33"/>
        <v>GL131510</v>
      </c>
      <c r="C83" s="638">
        <v>131510</v>
      </c>
      <c r="D83" s="735"/>
      <c r="F83" s="1" t="s">
        <v>89</v>
      </c>
      <c r="H83" s="736" t="s">
        <v>2547</v>
      </c>
      <c r="I83" s="25"/>
      <c r="J83" s="25"/>
      <c r="K83" s="442" t="str">
        <f t="shared" si="21"/>
        <v/>
      </c>
      <c r="L83" s="736" t="s">
        <v>2393</v>
      </c>
      <c r="M83" s="25" t="str">
        <f t="shared" si="34"/>
        <v>A</v>
      </c>
      <c r="N83" s="25" t="str">
        <f>IF(L83&lt;&gt;"",VLOOKUP(L83,Categories!$B$2:$D$41,2,FALSE),IF(F83&lt;&gt;"","No Cat",""))</f>
        <v>All Other</v>
      </c>
      <c r="O83" s="25" t="str">
        <f>IF($L83&lt;&gt;"",VLOOKUP($L83,Categories!$B$2:$D$41,3,FALSE),IF($F83&lt;&gt;"","No Cat",""))</f>
        <v>EB-Cap</v>
      </c>
      <c r="P83" s="736" t="s">
        <v>2490</v>
      </c>
      <c r="Q83" s="25" t="str">
        <f>VLOOKUP($P83,Allocators!$B$7:$F$19,5,FALSE)</f>
        <v>Rate Base</v>
      </c>
      <c r="R83" s="737">
        <f>VLOOKUP($P83,Allocators!$B$7:$F$19,2,FALSE)</f>
        <v>0.70940000000000003</v>
      </c>
      <c r="S83" s="737">
        <f>VLOOKUP($P83,Allocators!$B$7:$F$19,3,FALSE)</f>
        <v>0.29060000000000002</v>
      </c>
      <c r="T83" s="737" t="str">
        <f t="shared" si="15"/>
        <v>0.0%</v>
      </c>
      <c r="U83" s="2" t="str">
        <f t="shared" si="25"/>
        <v/>
      </c>
      <c r="V83" s="2" t="str">
        <f t="shared" si="26"/>
        <v/>
      </c>
      <c r="W83" s="2" t="str">
        <f t="shared" si="27"/>
        <v/>
      </c>
      <c r="X83" s="2">
        <f t="shared" si="28"/>
        <v>0</v>
      </c>
      <c r="Y83" s="2" t="str">
        <f t="shared" si="29"/>
        <v/>
      </c>
      <c r="Z83" s="2" t="str">
        <f t="shared" si="30"/>
        <v/>
      </c>
      <c r="AA83" s="2" t="str">
        <f t="shared" si="31"/>
        <v/>
      </c>
      <c r="AB83" s="2">
        <f t="shared" si="32"/>
        <v>0</v>
      </c>
      <c r="AC83" s="759">
        <v>0</v>
      </c>
      <c r="AD83" s="741">
        <v>0</v>
      </c>
      <c r="AE83" s="741">
        <v>0</v>
      </c>
      <c r="AF83" s="741">
        <v>0</v>
      </c>
      <c r="AG83" s="741">
        <v>0</v>
      </c>
      <c r="AH83" s="741">
        <v>0</v>
      </c>
      <c r="AI83" s="741">
        <v>0</v>
      </c>
      <c r="AJ83" s="741">
        <v>0</v>
      </c>
      <c r="AK83" s="741">
        <v>0</v>
      </c>
      <c r="AL83" s="741">
        <v>0</v>
      </c>
      <c r="AM83" s="741">
        <v>0</v>
      </c>
      <c r="AN83" s="741">
        <v>0</v>
      </c>
      <c r="AO83" s="741">
        <v>0</v>
      </c>
      <c r="AP83" s="41" t="str">
        <f t="shared" si="22"/>
        <v>GLA</v>
      </c>
      <c r="AQ83" s="41" t="str">
        <f t="shared" si="23"/>
        <v>GLAA2Special Deposits</v>
      </c>
      <c r="AR83" s="41" t="str">
        <f t="shared" si="24"/>
        <v>A2Special Deposits</v>
      </c>
      <c r="CR83" s="625"/>
    </row>
    <row r="84" spans="1:96" s="41" customFormat="1" ht="12.75" customHeight="1">
      <c r="A84" s="25" t="s">
        <v>17</v>
      </c>
      <c r="B84" s="25" t="str">
        <f t="shared" ref="B84" si="37">CONCATENATE(A84,C84,D84,E84)</f>
        <v>GL131515</v>
      </c>
      <c r="C84" s="638">
        <v>131515</v>
      </c>
      <c r="D84" s="735"/>
      <c r="F84" s="1" t="s">
        <v>4441</v>
      </c>
      <c r="G84" s="41" t="s">
        <v>4441</v>
      </c>
      <c r="H84" s="736" t="s">
        <v>2547</v>
      </c>
      <c r="I84" s="25"/>
      <c r="J84" s="25"/>
      <c r="K84" s="442"/>
      <c r="L84" s="736" t="s">
        <v>2393</v>
      </c>
      <c r="M84" s="25" t="str">
        <f t="shared" si="34"/>
        <v>A</v>
      </c>
      <c r="N84" s="25" t="str">
        <f>IF(L84&lt;&gt;"",VLOOKUP(L84,Categories!$B$2:$D$41,2,FALSE),IF(F84&lt;&gt;"","No Cat",""))</f>
        <v>All Other</v>
      </c>
      <c r="O84" s="25" t="str">
        <f>IF($L84&lt;&gt;"",VLOOKUP($L84,Categories!$B$2:$D$41,3,FALSE),IF($F84&lt;&gt;"","No Cat",""))</f>
        <v>EB-Cap</v>
      </c>
      <c r="P84" s="736" t="s">
        <v>2490</v>
      </c>
      <c r="Q84" s="25" t="str">
        <f>VLOOKUP($P84,Allocators!$B$7:$F$19,5,FALSE)</f>
        <v>Rate Base</v>
      </c>
      <c r="R84" s="737">
        <f>VLOOKUP($P84,Allocators!$B$7:$F$19,2,FALSE)</f>
        <v>0.70940000000000003</v>
      </c>
      <c r="S84" s="737">
        <f>VLOOKUP($P84,Allocators!$B$7:$F$19,3,FALSE)</f>
        <v>0.29060000000000002</v>
      </c>
      <c r="T84" s="737" t="str">
        <f t="shared" si="15"/>
        <v>0.0%</v>
      </c>
      <c r="U84" s="2">
        <f t="shared" si="25"/>
        <v>54.029817902083401</v>
      </c>
      <c r="V84" s="2">
        <f t="shared" si="26"/>
        <v>22.1328800145833</v>
      </c>
      <c r="W84" s="2">
        <f t="shared" si="27"/>
        <v>0</v>
      </c>
      <c r="X84" s="2">
        <f t="shared" si="28"/>
        <v>76.162697916666701</v>
      </c>
      <c r="Y84" s="2">
        <f t="shared" si="29"/>
        <v>5.1946169700000002</v>
      </c>
      <c r="Z84" s="2">
        <f t="shared" si="30"/>
        <v>2.1279330299999999</v>
      </c>
      <c r="AA84" s="2">
        <f t="shared" si="31"/>
        <v>0</v>
      </c>
      <c r="AB84" s="2">
        <f t="shared" si="32"/>
        <v>7.3225500000000006</v>
      </c>
      <c r="AC84" s="759"/>
      <c r="AD84" s="741"/>
      <c r="AE84" s="741"/>
      <c r="AF84" s="741"/>
      <c r="AG84" s="741"/>
      <c r="AH84" s="741"/>
      <c r="AI84" s="741">
        <v>73.193460000000002</v>
      </c>
      <c r="AJ84" s="741">
        <v>390.33871999999997</v>
      </c>
      <c r="AK84" s="741">
        <v>378.19908000000004</v>
      </c>
      <c r="AL84" s="741">
        <v>9.3184400000000007</v>
      </c>
      <c r="AM84" s="741">
        <v>57.646230000000003</v>
      </c>
      <c r="AN84" s="741">
        <v>1.59517</v>
      </c>
      <c r="AO84" s="741">
        <v>7.3225500000000006</v>
      </c>
      <c r="AP84" s="41" t="str">
        <f t="shared" si="22"/>
        <v>GLA</v>
      </c>
      <c r="AQ84" s="41" t="str">
        <f t="shared" si="23"/>
        <v>GLAA2Special Deposits</v>
      </c>
      <c r="AR84" s="41" t="str">
        <f t="shared" si="24"/>
        <v>A2Special Deposits</v>
      </c>
      <c r="CR84" s="625"/>
    </row>
    <row r="85" spans="1:96" s="41" customFormat="1" ht="12.75" customHeight="1">
      <c r="A85" s="25" t="s">
        <v>17</v>
      </c>
      <c r="B85" s="25" t="str">
        <f t="shared" si="33"/>
        <v>GL131562</v>
      </c>
      <c r="C85" s="638">
        <v>131562</v>
      </c>
      <c r="D85" s="735"/>
      <c r="F85" s="1" t="s">
        <v>90</v>
      </c>
      <c r="H85" s="736" t="s">
        <v>2547</v>
      </c>
      <c r="I85" s="25"/>
      <c r="J85" s="25"/>
      <c r="K85" s="442" t="str">
        <f t="shared" si="21"/>
        <v/>
      </c>
      <c r="L85" s="736" t="s">
        <v>2393</v>
      </c>
      <c r="M85" s="25" t="str">
        <f t="shared" si="34"/>
        <v>A</v>
      </c>
      <c r="N85" s="25" t="str">
        <f>IF(L85&lt;&gt;"",VLOOKUP(L85,Categories!$B$2:$D$41,2,FALSE),IF(F85&lt;&gt;"","No Cat",""))</f>
        <v>All Other</v>
      </c>
      <c r="O85" s="25" t="str">
        <f>IF($L85&lt;&gt;"",VLOOKUP($L85,Categories!$B$2:$D$41,3,FALSE),IF($F85&lt;&gt;"","No Cat",""))</f>
        <v>EB-Cap</v>
      </c>
      <c r="P85" s="736" t="s">
        <v>2490</v>
      </c>
      <c r="Q85" s="25" t="str">
        <f>VLOOKUP($P85,Allocators!$B$7:$F$19,5,FALSE)</f>
        <v>Rate Base</v>
      </c>
      <c r="R85" s="737">
        <f>VLOOKUP($P85,Allocators!$B$7:$F$19,2,FALSE)</f>
        <v>0.70940000000000003</v>
      </c>
      <c r="S85" s="737">
        <f>VLOOKUP($P85,Allocators!$B$7:$F$19,3,FALSE)</f>
        <v>0.29060000000000002</v>
      </c>
      <c r="T85" s="737" t="str">
        <f t="shared" ref="T85:T149" si="38">IF(P85="N",1,"0.0%")</f>
        <v>0.0%</v>
      </c>
      <c r="U85" s="2" t="str">
        <f t="shared" si="25"/>
        <v/>
      </c>
      <c r="V85" s="2" t="str">
        <f t="shared" si="26"/>
        <v/>
      </c>
      <c r="W85" s="2" t="str">
        <f t="shared" si="27"/>
        <v/>
      </c>
      <c r="X85" s="2">
        <f t="shared" si="28"/>
        <v>0</v>
      </c>
      <c r="Y85" s="2" t="str">
        <f t="shared" si="29"/>
        <v/>
      </c>
      <c r="Z85" s="2" t="str">
        <f t="shared" si="30"/>
        <v/>
      </c>
      <c r="AA85" s="2" t="str">
        <f t="shared" si="31"/>
        <v/>
      </c>
      <c r="AB85" s="2">
        <f t="shared" si="32"/>
        <v>0</v>
      </c>
      <c r="AC85" s="759">
        <v>0</v>
      </c>
      <c r="AD85" s="741">
        <v>0</v>
      </c>
      <c r="AE85" s="741">
        <v>0</v>
      </c>
      <c r="AF85" s="741">
        <v>0</v>
      </c>
      <c r="AG85" s="741">
        <v>0</v>
      </c>
      <c r="AH85" s="741">
        <v>0</v>
      </c>
      <c r="AI85" s="741">
        <v>0</v>
      </c>
      <c r="AJ85" s="741">
        <v>0</v>
      </c>
      <c r="AK85" s="741">
        <v>0</v>
      </c>
      <c r="AL85" s="741">
        <v>0</v>
      </c>
      <c r="AM85" s="741">
        <v>0</v>
      </c>
      <c r="AN85" s="741">
        <v>0</v>
      </c>
      <c r="AO85" s="741">
        <v>0</v>
      </c>
      <c r="AP85" s="41" t="str">
        <f t="shared" si="22"/>
        <v>GLA</v>
      </c>
      <c r="AQ85" s="41" t="str">
        <f t="shared" si="23"/>
        <v>GLAA2Special Deposits</v>
      </c>
      <c r="AR85" s="41" t="str">
        <f t="shared" si="24"/>
        <v>A2Special Deposits</v>
      </c>
      <c r="CR85" s="625"/>
    </row>
    <row r="86" spans="1:96" s="41" customFormat="1" ht="12.75" customHeight="1">
      <c r="A86" s="25" t="s">
        <v>17</v>
      </c>
      <c r="B86" s="25" t="str">
        <f t="shared" si="33"/>
        <v>GL131605</v>
      </c>
      <c r="C86" s="638">
        <v>131605</v>
      </c>
      <c r="D86" s="735"/>
      <c r="F86" s="1" t="s">
        <v>91</v>
      </c>
      <c r="H86" s="736" t="s">
        <v>2547</v>
      </c>
      <c r="I86" s="25"/>
      <c r="J86" s="25"/>
      <c r="K86" s="442" t="str">
        <f t="shared" si="21"/>
        <v/>
      </c>
      <c r="L86" s="736" t="s">
        <v>2393</v>
      </c>
      <c r="M86" s="25" t="str">
        <f t="shared" si="34"/>
        <v>A</v>
      </c>
      <c r="N86" s="25" t="str">
        <f>IF(L86&lt;&gt;"",VLOOKUP(L86,Categories!$B$2:$D$41,2,FALSE),IF(F86&lt;&gt;"","No Cat",""))</f>
        <v>All Other</v>
      </c>
      <c r="O86" s="25" t="str">
        <f>IF($L86&lt;&gt;"",VLOOKUP($L86,Categories!$B$2:$D$41,3,FALSE),IF($F86&lt;&gt;"","No Cat",""))</f>
        <v>EB-Cap</v>
      </c>
      <c r="P86" s="736" t="s">
        <v>2490</v>
      </c>
      <c r="Q86" s="25" t="str">
        <f>VLOOKUP($P86,Allocators!$B$7:$F$19,5,FALSE)</f>
        <v>Rate Base</v>
      </c>
      <c r="R86" s="737">
        <f>VLOOKUP($P86,Allocators!$B$7:$F$19,2,FALSE)</f>
        <v>0.70940000000000003</v>
      </c>
      <c r="S86" s="737">
        <f>VLOOKUP($P86,Allocators!$B$7:$F$19,3,FALSE)</f>
        <v>0.29060000000000002</v>
      </c>
      <c r="T86" s="737" t="str">
        <f t="shared" si="38"/>
        <v>0.0%</v>
      </c>
      <c r="U86" s="2" t="str">
        <f t="shared" si="25"/>
        <v/>
      </c>
      <c r="V86" s="2" t="str">
        <f t="shared" si="26"/>
        <v/>
      </c>
      <c r="W86" s="2" t="str">
        <f t="shared" si="27"/>
        <v/>
      </c>
      <c r="X86" s="2">
        <f t="shared" si="28"/>
        <v>0</v>
      </c>
      <c r="Y86" s="2" t="str">
        <f t="shared" si="29"/>
        <v/>
      </c>
      <c r="Z86" s="2" t="str">
        <f t="shared" si="30"/>
        <v/>
      </c>
      <c r="AA86" s="2" t="str">
        <f t="shared" si="31"/>
        <v/>
      </c>
      <c r="AB86" s="2">
        <f t="shared" si="32"/>
        <v>0</v>
      </c>
      <c r="AC86" s="759">
        <v>0</v>
      </c>
      <c r="AD86" s="741">
        <v>0</v>
      </c>
      <c r="AE86" s="741">
        <v>0</v>
      </c>
      <c r="AF86" s="741">
        <v>0</v>
      </c>
      <c r="AG86" s="741">
        <v>0</v>
      </c>
      <c r="AH86" s="741">
        <v>0</v>
      </c>
      <c r="AI86" s="741">
        <v>0</v>
      </c>
      <c r="AJ86" s="741">
        <v>0</v>
      </c>
      <c r="AK86" s="741">
        <v>0</v>
      </c>
      <c r="AL86" s="741">
        <v>0</v>
      </c>
      <c r="AM86" s="741">
        <v>0</v>
      </c>
      <c r="AN86" s="741">
        <v>0</v>
      </c>
      <c r="AO86" s="741">
        <v>0</v>
      </c>
      <c r="AP86" s="41" t="str">
        <f t="shared" si="22"/>
        <v>GLA</v>
      </c>
      <c r="AQ86" s="41" t="str">
        <f t="shared" si="23"/>
        <v>GLAA2Special Deposits</v>
      </c>
      <c r="AR86" s="41" t="str">
        <f t="shared" si="24"/>
        <v>A2Special Deposits</v>
      </c>
      <c r="CR86" s="625"/>
    </row>
    <row r="87" spans="1:96" s="41" customFormat="1" ht="12.75" customHeight="1">
      <c r="A87" s="25" t="s">
        <v>17</v>
      </c>
      <c r="B87" s="25" t="str">
        <f t="shared" si="33"/>
        <v>GL131620</v>
      </c>
      <c r="C87" s="638">
        <v>131620</v>
      </c>
      <c r="D87" s="735"/>
      <c r="F87" s="1" t="s">
        <v>92</v>
      </c>
      <c r="H87" s="736" t="s">
        <v>2547</v>
      </c>
      <c r="I87" s="25"/>
      <c r="J87" s="25"/>
      <c r="K87" s="442" t="str">
        <f t="shared" si="21"/>
        <v/>
      </c>
      <c r="L87" s="736" t="s">
        <v>2393</v>
      </c>
      <c r="M87" s="25" t="str">
        <f t="shared" si="34"/>
        <v>A</v>
      </c>
      <c r="N87" s="25" t="str">
        <f>IF(L87&lt;&gt;"",VLOOKUP(L87,Categories!$B$2:$D$41,2,FALSE),IF(F87&lt;&gt;"","No Cat",""))</f>
        <v>All Other</v>
      </c>
      <c r="O87" s="25" t="str">
        <f>IF($L87&lt;&gt;"",VLOOKUP($L87,Categories!$B$2:$D$41,3,FALSE),IF($F87&lt;&gt;"","No Cat",""))</f>
        <v>EB-Cap</v>
      </c>
      <c r="P87" s="736" t="s">
        <v>2490</v>
      </c>
      <c r="Q87" s="25" t="str">
        <f>VLOOKUP($P87,Allocators!$B$7:$F$19,5,FALSE)</f>
        <v>Rate Base</v>
      </c>
      <c r="R87" s="737">
        <f>VLOOKUP($P87,Allocators!$B$7:$F$19,2,FALSE)</f>
        <v>0.70940000000000003</v>
      </c>
      <c r="S87" s="737">
        <f>VLOOKUP($P87,Allocators!$B$7:$F$19,3,FALSE)</f>
        <v>0.29060000000000002</v>
      </c>
      <c r="T87" s="737" t="str">
        <f t="shared" si="38"/>
        <v>0.0%</v>
      </c>
      <c r="U87" s="2">
        <f t="shared" si="25"/>
        <v>83.203816345999996</v>
      </c>
      <c r="V87" s="2">
        <f t="shared" si="26"/>
        <v>34.083773653999998</v>
      </c>
      <c r="W87" s="2">
        <f t="shared" si="27"/>
        <v>0</v>
      </c>
      <c r="X87" s="2">
        <f t="shared" si="28"/>
        <v>117.28758999999999</v>
      </c>
      <c r="Y87" s="2">
        <f t="shared" si="29"/>
        <v>23.888598078000001</v>
      </c>
      <c r="Z87" s="2">
        <f t="shared" si="30"/>
        <v>9.7857719220000003</v>
      </c>
      <c r="AA87" s="2">
        <f t="shared" si="31"/>
        <v>0</v>
      </c>
      <c r="AB87" s="2">
        <f t="shared" si="32"/>
        <v>33.674370000000003</v>
      </c>
      <c r="AC87" s="759">
        <v>32.10201</v>
      </c>
      <c r="AD87" s="741">
        <v>69.763940000000005</v>
      </c>
      <c r="AE87" s="741">
        <v>95.509789999999995</v>
      </c>
      <c r="AF87" s="741">
        <v>455.58951999999999</v>
      </c>
      <c r="AG87" s="741">
        <v>56.692809999999994</v>
      </c>
      <c r="AH87" s="741">
        <v>70.49766000000001</v>
      </c>
      <c r="AI87" s="741">
        <v>58.832129999999999</v>
      </c>
      <c r="AJ87" s="741">
        <v>41.078629999999997</v>
      </c>
      <c r="AK87" s="741">
        <v>52.755369999999999</v>
      </c>
      <c r="AL87" s="741">
        <v>317.92964000000001</v>
      </c>
      <c r="AM87" s="741">
        <v>67.995279999999994</v>
      </c>
      <c r="AN87" s="741">
        <v>87.918120000000002</v>
      </c>
      <c r="AO87" s="741">
        <v>33.674370000000003</v>
      </c>
      <c r="AP87" s="41" t="str">
        <f t="shared" si="22"/>
        <v>GLA</v>
      </c>
      <c r="AQ87" s="41" t="str">
        <f t="shared" si="23"/>
        <v>GLAA2Special Deposits</v>
      </c>
      <c r="AR87" s="41" t="str">
        <f t="shared" si="24"/>
        <v>A2Special Deposits</v>
      </c>
      <c r="CR87" s="625"/>
    </row>
    <row r="88" spans="1:96" s="41" customFormat="1" ht="12.75" customHeight="1">
      <c r="A88" s="25" t="s">
        <v>17</v>
      </c>
      <c r="B88" s="25" t="str">
        <f t="shared" si="33"/>
        <v>GL131625</v>
      </c>
      <c r="C88" s="638">
        <v>131625</v>
      </c>
      <c r="D88" s="735"/>
      <c r="F88" s="1" t="s">
        <v>93</v>
      </c>
      <c r="H88" s="736" t="s">
        <v>2547</v>
      </c>
      <c r="I88" s="25"/>
      <c r="J88" s="25"/>
      <c r="K88" s="442" t="str">
        <f t="shared" si="21"/>
        <v/>
      </c>
      <c r="L88" s="736" t="s">
        <v>2393</v>
      </c>
      <c r="M88" s="25" t="str">
        <f t="shared" si="34"/>
        <v>A</v>
      </c>
      <c r="N88" s="25" t="str">
        <f>IF(L88&lt;&gt;"",VLOOKUP(L88,Categories!$B$2:$D$41,2,FALSE),IF(F88&lt;&gt;"","No Cat",""))</f>
        <v>All Other</v>
      </c>
      <c r="O88" s="25" t="str">
        <f>IF($L88&lt;&gt;"",VLOOKUP($L88,Categories!$B$2:$D$41,3,FALSE),IF($F88&lt;&gt;"","No Cat",""))</f>
        <v>EB-Cap</v>
      </c>
      <c r="P88" s="736" t="s">
        <v>2490</v>
      </c>
      <c r="Q88" s="25" t="str">
        <f>VLOOKUP($P88,Allocators!$B$7:$F$19,5,FALSE)</f>
        <v>Rate Base</v>
      </c>
      <c r="R88" s="737">
        <f>VLOOKUP($P88,Allocators!$B$7:$F$19,2,FALSE)</f>
        <v>0.70940000000000003</v>
      </c>
      <c r="S88" s="737">
        <f>VLOOKUP($P88,Allocators!$B$7:$F$19,3,FALSE)</f>
        <v>0.29060000000000002</v>
      </c>
      <c r="T88" s="737" t="str">
        <f t="shared" si="38"/>
        <v>0.0%</v>
      </c>
      <c r="U88" s="2">
        <f t="shared" si="25"/>
        <v>230.78908071800001</v>
      </c>
      <c r="V88" s="2">
        <f t="shared" si="26"/>
        <v>94.540889281999995</v>
      </c>
      <c r="W88" s="2">
        <f t="shared" si="27"/>
        <v>0</v>
      </c>
      <c r="X88" s="2">
        <f t="shared" si="28"/>
        <v>325.32997</v>
      </c>
      <c r="Y88" s="2">
        <f t="shared" si="29"/>
        <v>-40.028497989999998</v>
      </c>
      <c r="Z88" s="2">
        <f t="shared" si="30"/>
        <v>-16.397352009999999</v>
      </c>
      <c r="AA88" s="2">
        <f t="shared" si="31"/>
        <v>0</v>
      </c>
      <c r="AB88" s="2">
        <f t="shared" si="32"/>
        <v>-56.425849999999997</v>
      </c>
      <c r="AC88" s="759">
        <v>4.6999999999999999E-4</v>
      </c>
      <c r="AD88" s="741">
        <v>229.30891</v>
      </c>
      <c r="AE88" s="741">
        <v>328.76078999999999</v>
      </c>
      <c r="AF88" s="741">
        <v>505.67941999999999</v>
      </c>
      <c r="AG88" s="741">
        <v>695.70968999999991</v>
      </c>
      <c r="AH88" s="741">
        <v>384.99824000000001</v>
      </c>
      <c r="AI88" s="741">
        <v>150.07445000000001</v>
      </c>
      <c r="AJ88" s="741">
        <v>178.83747</v>
      </c>
      <c r="AK88" s="741">
        <v>975.69710999999995</v>
      </c>
      <c r="AL88" s="741">
        <v>447.59929999999997</v>
      </c>
      <c r="AM88" s="741">
        <v>35.506949999999996</v>
      </c>
      <c r="AN88" s="741">
        <v>0</v>
      </c>
      <c r="AO88" s="741">
        <v>-56.425849999999997</v>
      </c>
      <c r="AP88" s="41" t="str">
        <f t="shared" si="22"/>
        <v>GLA</v>
      </c>
      <c r="AQ88" s="41" t="str">
        <f t="shared" si="23"/>
        <v>GLAA2Special Deposits</v>
      </c>
      <c r="AR88" s="41" t="str">
        <f t="shared" si="24"/>
        <v>A2Special Deposits</v>
      </c>
      <c r="CR88" s="625"/>
    </row>
    <row r="89" spans="1:96" s="41" customFormat="1" ht="12.75" customHeight="1">
      <c r="A89" s="25" t="s">
        <v>17</v>
      </c>
      <c r="B89" s="25" t="str">
        <f t="shared" si="33"/>
        <v>GL131641</v>
      </c>
      <c r="C89" s="638">
        <v>131641</v>
      </c>
      <c r="D89" s="735"/>
      <c r="F89" s="1" t="s">
        <v>94</v>
      </c>
      <c r="H89" s="736" t="s">
        <v>2547</v>
      </c>
      <c r="I89" s="25"/>
      <c r="J89" s="25"/>
      <c r="K89" s="442" t="str">
        <f t="shared" si="21"/>
        <v/>
      </c>
      <c r="L89" s="736" t="s">
        <v>2393</v>
      </c>
      <c r="M89" s="25" t="str">
        <f t="shared" si="34"/>
        <v>A</v>
      </c>
      <c r="N89" s="25" t="str">
        <f>IF(L89&lt;&gt;"",VLOOKUP(L89,Categories!$B$2:$D$41,2,FALSE),IF(F89&lt;&gt;"","No Cat",""))</f>
        <v>All Other</v>
      </c>
      <c r="O89" s="25" t="str">
        <f>IF($L89&lt;&gt;"",VLOOKUP($L89,Categories!$B$2:$D$41,3,FALSE),IF($F89&lt;&gt;"","No Cat",""))</f>
        <v>EB-Cap</v>
      </c>
      <c r="P89" s="736" t="s">
        <v>2490</v>
      </c>
      <c r="Q89" s="25" t="str">
        <f>VLOOKUP($P89,Allocators!$B$7:$F$19,5,FALSE)</f>
        <v>Rate Base</v>
      </c>
      <c r="R89" s="737">
        <f>VLOOKUP($P89,Allocators!$B$7:$F$19,2,FALSE)</f>
        <v>0.70940000000000003</v>
      </c>
      <c r="S89" s="737">
        <f>VLOOKUP($P89,Allocators!$B$7:$F$19,3,FALSE)</f>
        <v>0.29060000000000002</v>
      </c>
      <c r="T89" s="737" t="str">
        <f t="shared" si="38"/>
        <v>0.0%</v>
      </c>
      <c r="U89" s="2" t="str">
        <f t="shared" si="25"/>
        <v/>
      </c>
      <c r="V89" s="2" t="str">
        <f t="shared" si="26"/>
        <v/>
      </c>
      <c r="W89" s="2" t="str">
        <f t="shared" si="27"/>
        <v/>
      </c>
      <c r="X89" s="2">
        <f t="shared" si="28"/>
        <v>0</v>
      </c>
      <c r="Y89" s="2" t="str">
        <f t="shared" si="29"/>
        <v/>
      </c>
      <c r="Z89" s="2" t="str">
        <f t="shared" si="30"/>
        <v/>
      </c>
      <c r="AA89" s="2" t="str">
        <f t="shared" si="31"/>
        <v/>
      </c>
      <c r="AB89" s="2">
        <f t="shared" si="32"/>
        <v>0</v>
      </c>
      <c r="AC89" s="759">
        <v>0</v>
      </c>
      <c r="AD89" s="741">
        <v>0</v>
      </c>
      <c r="AE89" s="741">
        <v>0</v>
      </c>
      <c r="AF89" s="741">
        <v>0</v>
      </c>
      <c r="AG89" s="741">
        <v>0</v>
      </c>
      <c r="AH89" s="741">
        <v>0</v>
      </c>
      <c r="AI89" s="741">
        <v>0</v>
      </c>
      <c r="AJ89" s="741">
        <v>0</v>
      </c>
      <c r="AK89" s="741">
        <v>0</v>
      </c>
      <c r="AL89" s="741">
        <v>0</v>
      </c>
      <c r="AM89" s="741">
        <v>0</v>
      </c>
      <c r="AN89" s="741">
        <v>0</v>
      </c>
      <c r="AO89" s="741">
        <v>0</v>
      </c>
      <c r="AP89" s="41" t="str">
        <f t="shared" si="22"/>
        <v>GLA</v>
      </c>
      <c r="AQ89" s="41" t="str">
        <f t="shared" si="23"/>
        <v>GLAA2Special Deposits</v>
      </c>
      <c r="AR89" s="41" t="str">
        <f t="shared" si="24"/>
        <v>A2Special Deposits</v>
      </c>
      <c r="CR89" s="625"/>
    </row>
    <row r="90" spans="1:96" s="41" customFormat="1" ht="12.75" customHeight="1">
      <c r="A90" s="25" t="s">
        <v>17</v>
      </c>
      <c r="B90" s="25" t="str">
        <f t="shared" si="33"/>
        <v>GL131782</v>
      </c>
      <c r="C90" s="638">
        <v>131782</v>
      </c>
      <c r="D90" s="735"/>
      <c r="F90" s="1" t="s">
        <v>95</v>
      </c>
      <c r="H90" s="736" t="s">
        <v>2547</v>
      </c>
      <c r="I90" s="25"/>
      <c r="J90" s="25"/>
      <c r="K90" s="442" t="str">
        <f t="shared" si="21"/>
        <v/>
      </c>
      <c r="L90" s="736" t="s">
        <v>2393</v>
      </c>
      <c r="M90" s="25" t="str">
        <f t="shared" si="34"/>
        <v>A</v>
      </c>
      <c r="N90" s="25" t="str">
        <f>IF(L90&lt;&gt;"",VLOOKUP(L90,Categories!$B$2:$D$41,2,FALSE),IF(F90&lt;&gt;"","No Cat",""))</f>
        <v>All Other</v>
      </c>
      <c r="O90" s="25" t="str">
        <f>IF($L90&lt;&gt;"",VLOOKUP($L90,Categories!$B$2:$D$41,3,FALSE),IF($F90&lt;&gt;"","No Cat",""))</f>
        <v>EB-Cap</v>
      </c>
      <c r="P90" s="736" t="s">
        <v>2490</v>
      </c>
      <c r="Q90" s="25" t="str">
        <f>VLOOKUP($P90,Allocators!$B$7:$F$19,5,FALSE)</f>
        <v>Rate Base</v>
      </c>
      <c r="R90" s="737">
        <f>VLOOKUP($P90,Allocators!$B$7:$F$19,2,FALSE)</f>
        <v>0.70940000000000003</v>
      </c>
      <c r="S90" s="737">
        <f>VLOOKUP($P90,Allocators!$B$7:$F$19,3,FALSE)</f>
        <v>0.29060000000000002</v>
      </c>
      <c r="T90" s="737" t="str">
        <f t="shared" si="38"/>
        <v>0.0%</v>
      </c>
      <c r="U90" s="2">
        <f t="shared" si="25"/>
        <v>87.712820680333607</v>
      </c>
      <c r="V90" s="2">
        <f t="shared" si="26"/>
        <v>35.930850986333397</v>
      </c>
      <c r="W90" s="2">
        <f t="shared" si="27"/>
        <v>0</v>
      </c>
      <c r="X90" s="2">
        <f t="shared" si="28"/>
        <v>123.643671666667</v>
      </c>
      <c r="Y90" s="2">
        <f t="shared" si="29"/>
        <v>128.75160240400001</v>
      </c>
      <c r="Z90" s="2">
        <f t="shared" si="30"/>
        <v>52.742057596000002</v>
      </c>
      <c r="AA90" s="2">
        <f t="shared" si="31"/>
        <v>0</v>
      </c>
      <c r="AB90" s="2">
        <f t="shared" si="32"/>
        <v>181.49366000000001</v>
      </c>
      <c r="AC90" s="759">
        <v>-67.277720000000002</v>
      </c>
      <c r="AD90" s="741">
        <v>-65.492769999999993</v>
      </c>
      <c r="AE90" s="741">
        <v>101.40797000000001</v>
      </c>
      <c r="AF90" s="741">
        <v>144.80163000000002</v>
      </c>
      <c r="AG90" s="741">
        <v>141.95064000000002</v>
      </c>
      <c r="AH90" s="741">
        <v>145.12072000000001</v>
      </c>
      <c r="AI90" s="741">
        <v>158.50179</v>
      </c>
      <c r="AJ90" s="741">
        <v>148.39189999999999</v>
      </c>
      <c r="AK90" s="741">
        <v>149.76697000000001</v>
      </c>
      <c r="AL90" s="741">
        <v>155.35378</v>
      </c>
      <c r="AM90" s="741">
        <v>168.48982000000001</v>
      </c>
      <c r="AN90" s="741">
        <v>178.32364000000001</v>
      </c>
      <c r="AO90" s="741">
        <v>181.49366000000001</v>
      </c>
      <c r="AP90" s="41" t="str">
        <f t="shared" si="22"/>
        <v>GLA</v>
      </c>
      <c r="AQ90" s="41" t="str">
        <f t="shared" si="23"/>
        <v>GLAA2Special Deposits</v>
      </c>
      <c r="AR90" s="41" t="str">
        <f t="shared" si="24"/>
        <v>A2Special Deposits</v>
      </c>
      <c r="CR90" s="625"/>
    </row>
    <row r="91" spans="1:96" s="41" customFormat="1" ht="12.75" customHeight="1">
      <c r="A91" s="25" t="s">
        <v>17</v>
      </c>
      <c r="B91" s="25" t="str">
        <f t="shared" ref="B91" si="39">CONCATENATE(A91,C91,D91,E91)</f>
        <v>GL131909</v>
      </c>
      <c r="C91" s="638">
        <v>131909</v>
      </c>
      <c r="D91" s="735"/>
      <c r="F91" s="1" t="s">
        <v>4559</v>
      </c>
      <c r="H91" s="736" t="s">
        <v>2547</v>
      </c>
      <c r="I91" s="25"/>
      <c r="J91" s="25"/>
      <c r="K91" s="442"/>
      <c r="L91" s="736" t="s">
        <v>2393</v>
      </c>
      <c r="M91" s="25" t="str">
        <f t="shared" ref="M91" si="40">LEFT(L91,1)</f>
        <v>A</v>
      </c>
      <c r="N91" s="25" t="str">
        <f>IF(L91&lt;&gt;"",VLOOKUP(L91,Categories!$B$2:$D$41,2,FALSE),IF(F91&lt;&gt;"","No Cat",""))</f>
        <v>All Other</v>
      </c>
      <c r="O91" s="25" t="str">
        <f>IF($L91&lt;&gt;"",VLOOKUP($L91,Categories!$B$2:$D$41,3,FALSE),IF($F91&lt;&gt;"","No Cat",""))</f>
        <v>EB-Cap</v>
      </c>
      <c r="P91" s="736" t="s">
        <v>2490</v>
      </c>
      <c r="Q91" s="25" t="str">
        <f>VLOOKUP($P91,Allocators!$B$7:$F$19,5,FALSE)</f>
        <v>Rate Base</v>
      </c>
      <c r="R91" s="737">
        <f>VLOOKUP($P91,Allocators!$B$7:$F$19,2,FALSE)</f>
        <v>0.70940000000000003</v>
      </c>
      <c r="S91" s="737">
        <f>VLOOKUP($P91,Allocators!$B$7:$F$19,3,FALSE)</f>
        <v>0.29060000000000002</v>
      </c>
      <c r="T91" s="737" t="str">
        <f t="shared" ref="T91" si="41">IF(P91="N",1,"0.0%")</f>
        <v>0.0%</v>
      </c>
      <c r="U91" s="2"/>
      <c r="V91" s="2"/>
      <c r="W91" s="2"/>
      <c r="X91" s="2">
        <f t="shared" si="28"/>
        <v>12.0594908333333</v>
      </c>
      <c r="Y91" s="2"/>
      <c r="Z91" s="2"/>
      <c r="AA91" s="2"/>
      <c r="AB91" s="2">
        <f t="shared" si="32"/>
        <v>289.42778000000004</v>
      </c>
      <c r="AC91" s="759"/>
      <c r="AD91" s="741"/>
      <c r="AE91" s="741"/>
      <c r="AF91" s="741"/>
      <c r="AG91" s="741"/>
      <c r="AH91" s="741"/>
      <c r="AI91" s="741"/>
      <c r="AJ91" s="741"/>
      <c r="AK91" s="741"/>
      <c r="AL91" s="741"/>
      <c r="AM91" s="741"/>
      <c r="AN91" s="741"/>
      <c r="AO91" s="741">
        <v>289.42778000000004</v>
      </c>
      <c r="AP91" s="41" t="str">
        <f t="shared" si="22"/>
        <v>GLA</v>
      </c>
      <c r="AQ91" s="41" t="str">
        <f t="shared" si="23"/>
        <v>GLAA2Special Deposits</v>
      </c>
      <c r="AR91" s="41" t="str">
        <f t="shared" si="24"/>
        <v>A2Special Deposits</v>
      </c>
      <c r="CR91" s="625"/>
    </row>
    <row r="92" spans="1:96" s="41" customFormat="1" ht="12.75" customHeight="1">
      <c r="A92" s="25" t="s">
        <v>17</v>
      </c>
      <c r="B92" s="25" t="str">
        <f t="shared" si="33"/>
        <v>GL131990</v>
      </c>
      <c r="C92" s="638">
        <v>131990</v>
      </c>
      <c r="D92" s="735"/>
      <c r="F92" s="1" t="s">
        <v>96</v>
      </c>
      <c r="H92" s="736">
        <v>0</v>
      </c>
      <c r="I92" s="25"/>
      <c r="J92" s="25"/>
      <c r="K92" s="442" t="str">
        <f t="shared" si="21"/>
        <v/>
      </c>
      <c r="L92" s="736" t="s">
        <v>2393</v>
      </c>
      <c r="M92" s="25" t="str">
        <f t="shared" si="34"/>
        <v>A</v>
      </c>
      <c r="N92" s="25" t="str">
        <f>IF(L92&lt;&gt;"",VLOOKUP(L92,Categories!$B$2:$D$41,2,FALSE),IF(F92&lt;&gt;"","No Cat",""))</f>
        <v>All Other</v>
      </c>
      <c r="O92" s="25" t="str">
        <f>IF($L92&lt;&gt;"",VLOOKUP($L92,Categories!$B$2:$D$41,3,FALSE),IF($F92&lt;&gt;"","No Cat",""))</f>
        <v>EB-Cap</v>
      </c>
      <c r="P92" s="736" t="s">
        <v>2490</v>
      </c>
      <c r="Q92" s="25" t="str">
        <f>VLOOKUP($P92,Allocators!$B$7:$F$19,5,FALSE)</f>
        <v>Rate Base</v>
      </c>
      <c r="R92" s="737">
        <f>VLOOKUP($P92,Allocators!$B$7:$F$19,2,FALSE)</f>
        <v>0.70940000000000003</v>
      </c>
      <c r="S92" s="737">
        <f>VLOOKUP($P92,Allocators!$B$7:$F$19,3,FALSE)</f>
        <v>0.29060000000000002</v>
      </c>
      <c r="T92" s="737" t="str">
        <f t="shared" si="38"/>
        <v>0.0%</v>
      </c>
      <c r="U92" s="2">
        <f t="shared" si="25"/>
        <v>3402.0987747658401</v>
      </c>
      <c r="V92" s="2">
        <f t="shared" si="26"/>
        <v>1393.6423794008299</v>
      </c>
      <c r="W92" s="2">
        <f t="shared" si="27"/>
        <v>0</v>
      </c>
      <c r="X92" s="2">
        <f t="shared" si="28"/>
        <v>4795.7411541666697</v>
      </c>
      <c r="Y92" s="2">
        <f t="shared" si="29"/>
        <v>977.87294786200005</v>
      </c>
      <c r="Z92" s="2">
        <f t="shared" si="30"/>
        <v>400.57778213799998</v>
      </c>
      <c r="AA92" s="2">
        <f t="shared" si="31"/>
        <v>0</v>
      </c>
      <c r="AB92" s="2">
        <f t="shared" si="32"/>
        <v>1378.45073</v>
      </c>
      <c r="AC92" s="759">
        <v>3517.16633</v>
      </c>
      <c r="AD92" s="741">
        <v>24659.974480000001</v>
      </c>
      <c r="AE92" s="741">
        <v>2459.9602999999997</v>
      </c>
      <c r="AF92" s="741">
        <v>1155.1654599999999</v>
      </c>
      <c r="AG92" s="741">
        <v>1922.79278</v>
      </c>
      <c r="AH92" s="741">
        <v>1066.88561</v>
      </c>
      <c r="AI92" s="741">
        <v>4902.0588099999995</v>
      </c>
      <c r="AJ92" s="741">
        <v>2832.3211200000001</v>
      </c>
      <c r="AK92" s="741">
        <v>1278.1150299999999</v>
      </c>
      <c r="AL92" s="741">
        <v>12272.933080000001</v>
      </c>
      <c r="AM92" s="741">
        <v>1012.6601400000001</v>
      </c>
      <c r="AN92" s="741">
        <v>1538.2185099999999</v>
      </c>
      <c r="AO92" s="741">
        <v>1378.45073</v>
      </c>
      <c r="AP92" s="41" t="str">
        <f t="shared" si="22"/>
        <v>GLA</v>
      </c>
      <c r="AQ92" s="41" t="str">
        <f t="shared" si="23"/>
        <v>GLAA20</v>
      </c>
      <c r="AR92" s="41" t="str">
        <f t="shared" si="24"/>
        <v>A20</v>
      </c>
      <c r="CR92" s="625"/>
    </row>
    <row r="93" spans="1:96" s="41" customFormat="1" ht="12.75" customHeight="1">
      <c r="A93" s="25" t="s">
        <v>17</v>
      </c>
      <c r="B93" s="25" t="str">
        <f t="shared" si="33"/>
        <v>GL131991</v>
      </c>
      <c r="C93" s="638">
        <v>131991</v>
      </c>
      <c r="D93" s="735"/>
      <c r="F93" s="1" t="s">
        <v>97</v>
      </c>
      <c r="H93" s="736">
        <v>0</v>
      </c>
      <c r="I93" s="25"/>
      <c r="J93" s="25"/>
      <c r="K93" s="442" t="str">
        <f t="shared" si="21"/>
        <v/>
      </c>
      <c r="L93" s="736" t="s">
        <v>2393</v>
      </c>
      <c r="M93" s="25" t="str">
        <f t="shared" si="34"/>
        <v>A</v>
      </c>
      <c r="N93" s="25" t="str">
        <f>IF(L93&lt;&gt;"",VLOOKUP(L93,Categories!$B$2:$D$41,2,FALSE),IF(F93&lt;&gt;"","No Cat",""))</f>
        <v>All Other</v>
      </c>
      <c r="O93" s="25" t="str">
        <f>IF($L93&lt;&gt;"",VLOOKUP($L93,Categories!$B$2:$D$41,3,FALSE),IF($F93&lt;&gt;"","No Cat",""))</f>
        <v>EB-Cap</v>
      </c>
      <c r="P93" s="736" t="s">
        <v>2490</v>
      </c>
      <c r="Q93" s="25" t="str">
        <f>VLOOKUP($P93,Allocators!$B$7:$F$19,5,FALSE)</f>
        <v>Rate Base</v>
      </c>
      <c r="R93" s="737">
        <f>VLOOKUP($P93,Allocators!$B$7:$F$19,2,FALSE)</f>
        <v>0.70940000000000003</v>
      </c>
      <c r="S93" s="737">
        <f>VLOOKUP($P93,Allocators!$B$7:$F$19,3,FALSE)</f>
        <v>0.29060000000000002</v>
      </c>
      <c r="T93" s="737" t="str">
        <f t="shared" si="38"/>
        <v>0.0%</v>
      </c>
      <c r="U93" s="2">
        <f t="shared" si="25"/>
        <v>-3402.0987747658401</v>
      </c>
      <c r="V93" s="2">
        <f t="shared" si="26"/>
        <v>-1393.6423794008299</v>
      </c>
      <c r="W93" s="2">
        <f t="shared" si="27"/>
        <v>0</v>
      </c>
      <c r="X93" s="2">
        <f t="shared" si="28"/>
        <v>-4795.7411541666697</v>
      </c>
      <c r="Y93" s="2">
        <f t="shared" si="29"/>
        <v>-977.87294786200005</v>
      </c>
      <c r="Z93" s="2">
        <f t="shared" si="30"/>
        <v>-400.57778213799998</v>
      </c>
      <c r="AA93" s="2">
        <f t="shared" si="31"/>
        <v>0</v>
      </c>
      <c r="AB93" s="2">
        <f t="shared" si="32"/>
        <v>-1378.45073</v>
      </c>
      <c r="AC93" s="759">
        <v>-3517.16633</v>
      </c>
      <c r="AD93" s="741">
        <v>-24659.974480000001</v>
      </c>
      <c r="AE93" s="741">
        <v>-2459.9602999999997</v>
      </c>
      <c r="AF93" s="741">
        <v>-1155.1654599999999</v>
      </c>
      <c r="AG93" s="741">
        <v>-1922.79278</v>
      </c>
      <c r="AH93" s="741">
        <v>-1066.88561</v>
      </c>
      <c r="AI93" s="741">
        <v>-4902.0588099999995</v>
      </c>
      <c r="AJ93" s="741">
        <v>-2832.3211200000001</v>
      </c>
      <c r="AK93" s="741">
        <v>-1278.1150299999999</v>
      </c>
      <c r="AL93" s="741">
        <v>-12272.933080000001</v>
      </c>
      <c r="AM93" s="741">
        <v>-1012.6601400000001</v>
      </c>
      <c r="AN93" s="741">
        <v>-1538.2185099999999</v>
      </c>
      <c r="AO93" s="741">
        <v>-1378.45073</v>
      </c>
      <c r="AP93" s="41" t="str">
        <f t="shared" si="22"/>
        <v>GLA</v>
      </c>
      <c r="AQ93" s="41" t="str">
        <f t="shared" si="23"/>
        <v>GLAA20</v>
      </c>
      <c r="AR93" s="41" t="str">
        <f t="shared" si="24"/>
        <v>A20</v>
      </c>
      <c r="CR93" s="625"/>
    </row>
    <row r="94" spans="1:96" s="41" customFormat="1" ht="12.75" customHeight="1">
      <c r="A94" s="25" t="s">
        <v>17</v>
      </c>
      <c r="B94" s="25" t="str">
        <f t="shared" si="33"/>
        <v>GL134300</v>
      </c>
      <c r="C94" s="638">
        <v>134300</v>
      </c>
      <c r="D94" s="735"/>
      <c r="F94" s="1" t="s">
        <v>98</v>
      </c>
      <c r="H94" s="736" t="s">
        <v>2547</v>
      </c>
      <c r="I94" s="25"/>
      <c r="J94" s="25"/>
      <c r="K94" s="442" t="str">
        <f t="shared" si="21"/>
        <v/>
      </c>
      <c r="L94" s="736" t="s">
        <v>2393</v>
      </c>
      <c r="M94" s="25" t="str">
        <f t="shared" si="34"/>
        <v>A</v>
      </c>
      <c r="N94" s="25" t="str">
        <f>IF(L94&lt;&gt;"",VLOOKUP(L94,Categories!$B$2:$D$41,2,FALSE),IF(F94&lt;&gt;"","No Cat",""))</f>
        <v>All Other</v>
      </c>
      <c r="O94" s="25" t="str">
        <f>IF($L94&lt;&gt;"",VLOOKUP($L94,Categories!$B$2:$D$41,3,FALSE),IF($F94&lt;&gt;"","No Cat",""))</f>
        <v>EB-Cap</v>
      </c>
      <c r="P94" s="736" t="s">
        <v>2490</v>
      </c>
      <c r="Q94" s="25" t="str">
        <f>VLOOKUP($P94,Allocators!$B$7:$F$19,5,FALSE)</f>
        <v>Rate Base</v>
      </c>
      <c r="R94" s="737">
        <f>VLOOKUP($P94,Allocators!$B$7:$F$19,2,FALSE)</f>
        <v>0.70940000000000003</v>
      </c>
      <c r="S94" s="737">
        <f>VLOOKUP($P94,Allocators!$B$7:$F$19,3,FALSE)</f>
        <v>0.29060000000000002</v>
      </c>
      <c r="T94" s="737" t="str">
        <f t="shared" si="38"/>
        <v>0.0%</v>
      </c>
      <c r="U94" s="2" t="str">
        <f t="shared" si="25"/>
        <v/>
      </c>
      <c r="V94" s="2" t="str">
        <f t="shared" si="26"/>
        <v/>
      </c>
      <c r="W94" s="2" t="str">
        <f t="shared" si="27"/>
        <v/>
      </c>
      <c r="X94" s="2">
        <f t="shared" si="28"/>
        <v>0</v>
      </c>
      <c r="Y94" s="2" t="str">
        <f t="shared" si="29"/>
        <v/>
      </c>
      <c r="Z94" s="2" t="str">
        <f t="shared" si="30"/>
        <v/>
      </c>
      <c r="AA94" s="2" t="str">
        <f t="shared" si="31"/>
        <v/>
      </c>
      <c r="AB94" s="2">
        <f t="shared" si="32"/>
        <v>0</v>
      </c>
      <c r="AC94" s="759">
        <v>0</v>
      </c>
      <c r="AD94" s="741">
        <v>0</v>
      </c>
      <c r="AE94" s="741">
        <v>0</v>
      </c>
      <c r="AF94" s="741">
        <v>0</v>
      </c>
      <c r="AG94" s="741">
        <v>0</v>
      </c>
      <c r="AH94" s="741">
        <v>0</v>
      </c>
      <c r="AI94" s="741">
        <v>0</v>
      </c>
      <c r="AJ94" s="741">
        <v>0</v>
      </c>
      <c r="AK94" s="741">
        <v>0</v>
      </c>
      <c r="AL94" s="741">
        <v>0</v>
      </c>
      <c r="AM94" s="741">
        <v>0</v>
      </c>
      <c r="AN94" s="741">
        <v>0</v>
      </c>
      <c r="AO94" s="741">
        <v>0</v>
      </c>
      <c r="AP94" s="41" t="str">
        <f t="shared" si="22"/>
        <v>GLA</v>
      </c>
      <c r="AQ94" s="41" t="str">
        <f t="shared" si="23"/>
        <v>GLAA2Special Deposits</v>
      </c>
      <c r="AR94" s="41" t="str">
        <f t="shared" si="24"/>
        <v>A2Special Deposits</v>
      </c>
      <c r="CR94" s="625"/>
    </row>
    <row r="95" spans="1:96" s="41" customFormat="1" ht="12.75" customHeight="1">
      <c r="A95" s="25" t="s">
        <v>17</v>
      </c>
      <c r="B95" s="25" t="str">
        <f t="shared" si="33"/>
        <v>GL134481</v>
      </c>
      <c r="C95" s="638">
        <v>134481</v>
      </c>
      <c r="D95" s="735"/>
      <c r="F95" s="1" t="s">
        <v>99</v>
      </c>
      <c r="H95" s="736" t="s">
        <v>2547</v>
      </c>
      <c r="I95" s="25"/>
      <c r="J95" s="25"/>
      <c r="K95" s="442" t="str">
        <f t="shared" si="21"/>
        <v/>
      </c>
      <c r="L95" s="736" t="s">
        <v>2393</v>
      </c>
      <c r="M95" s="25" t="str">
        <f t="shared" si="34"/>
        <v>A</v>
      </c>
      <c r="N95" s="25" t="str">
        <f>IF(L95&lt;&gt;"",VLOOKUP(L95,Categories!$B$2:$D$41,2,FALSE),IF(F95&lt;&gt;"","No Cat",""))</f>
        <v>All Other</v>
      </c>
      <c r="O95" s="25" t="str">
        <f>IF($L95&lt;&gt;"",VLOOKUP($L95,Categories!$B$2:$D$41,3,FALSE),IF($F95&lt;&gt;"","No Cat",""))</f>
        <v>EB-Cap</v>
      </c>
      <c r="P95" s="736" t="s">
        <v>2490</v>
      </c>
      <c r="Q95" s="25" t="str">
        <f>VLOOKUP($P95,Allocators!$B$7:$F$19,5,FALSE)</f>
        <v>Rate Base</v>
      </c>
      <c r="R95" s="737">
        <f>VLOOKUP($P95,Allocators!$B$7:$F$19,2,FALSE)</f>
        <v>0.70940000000000003</v>
      </c>
      <c r="S95" s="737">
        <f>VLOOKUP($P95,Allocators!$B$7:$F$19,3,FALSE)</f>
        <v>0.29060000000000002</v>
      </c>
      <c r="T95" s="737" t="str">
        <f t="shared" si="38"/>
        <v>0.0%</v>
      </c>
      <c r="U95" s="2" t="str">
        <f t="shared" si="25"/>
        <v/>
      </c>
      <c r="V95" s="2" t="str">
        <f t="shared" si="26"/>
        <v/>
      </c>
      <c r="W95" s="2" t="str">
        <f t="shared" si="27"/>
        <v/>
      </c>
      <c r="X95" s="2">
        <f t="shared" si="28"/>
        <v>0</v>
      </c>
      <c r="Y95" s="2" t="str">
        <f t="shared" si="29"/>
        <v/>
      </c>
      <c r="Z95" s="2" t="str">
        <f t="shared" si="30"/>
        <v/>
      </c>
      <c r="AA95" s="2" t="str">
        <f t="shared" si="31"/>
        <v/>
      </c>
      <c r="AB95" s="2">
        <f t="shared" si="32"/>
        <v>0</v>
      </c>
      <c r="AC95" s="759">
        <v>0</v>
      </c>
      <c r="AD95" s="741">
        <v>0</v>
      </c>
      <c r="AE95" s="741">
        <v>0</v>
      </c>
      <c r="AF95" s="741">
        <v>0</v>
      </c>
      <c r="AG95" s="741">
        <v>0</v>
      </c>
      <c r="AH95" s="741">
        <v>0</v>
      </c>
      <c r="AI95" s="741">
        <v>0</v>
      </c>
      <c r="AJ95" s="741">
        <v>0</v>
      </c>
      <c r="AK95" s="741">
        <v>0</v>
      </c>
      <c r="AL95" s="741">
        <v>0</v>
      </c>
      <c r="AM95" s="741">
        <v>0</v>
      </c>
      <c r="AN95" s="741">
        <v>0</v>
      </c>
      <c r="AO95" s="741">
        <v>0</v>
      </c>
      <c r="AP95" s="41" t="str">
        <f t="shared" si="22"/>
        <v>GLA</v>
      </c>
      <c r="AQ95" s="41" t="str">
        <f t="shared" si="23"/>
        <v>GLAA2Special Deposits</v>
      </c>
      <c r="AR95" s="41" t="str">
        <f t="shared" si="24"/>
        <v>A2Special Deposits</v>
      </c>
      <c r="CR95" s="625"/>
    </row>
    <row r="96" spans="1:96" s="41" customFormat="1" ht="12.75" customHeight="1">
      <c r="A96" s="25" t="s">
        <v>17</v>
      </c>
      <c r="B96" s="25" t="str">
        <f t="shared" si="33"/>
        <v>GL135000</v>
      </c>
      <c r="C96" s="638">
        <v>135000</v>
      </c>
      <c r="D96" s="735"/>
      <c r="F96" s="1" t="s">
        <v>100</v>
      </c>
      <c r="H96" s="736" t="s">
        <v>2560</v>
      </c>
      <c r="I96" s="25"/>
      <c r="J96" s="25"/>
      <c r="K96" s="442" t="str">
        <f t="shared" si="21"/>
        <v/>
      </c>
      <c r="L96" s="736" t="s">
        <v>2393</v>
      </c>
      <c r="M96" s="25" t="str">
        <f t="shared" si="34"/>
        <v>A</v>
      </c>
      <c r="N96" s="25" t="str">
        <f>IF(L96&lt;&gt;"",VLOOKUP(L96,Categories!$B$2:$D$41,2,FALSE),IF(F96&lt;&gt;"","No Cat",""))</f>
        <v>All Other</v>
      </c>
      <c r="O96" s="25" t="str">
        <f>IF($L96&lt;&gt;"",VLOOKUP($L96,Categories!$B$2:$D$41,3,FALSE),IF($F96&lt;&gt;"","No Cat",""))</f>
        <v>EB-Cap</v>
      </c>
      <c r="P96" s="736" t="s">
        <v>2490</v>
      </c>
      <c r="Q96" s="25" t="str">
        <f>VLOOKUP($P96,Allocators!$B$7:$F$19,5,FALSE)</f>
        <v>Rate Base</v>
      </c>
      <c r="R96" s="737">
        <f>VLOOKUP($P96,Allocators!$B$7:$F$19,2,FALSE)</f>
        <v>0.70940000000000003</v>
      </c>
      <c r="S96" s="737">
        <f>VLOOKUP($P96,Allocators!$B$7:$F$19,3,FALSE)</f>
        <v>0.29060000000000002</v>
      </c>
      <c r="T96" s="737" t="str">
        <f t="shared" si="38"/>
        <v>0.0%</v>
      </c>
      <c r="U96" s="2">
        <f t="shared" si="25"/>
        <v>5.2273912500000002</v>
      </c>
      <c r="V96" s="2">
        <f t="shared" si="26"/>
        <v>2.1413587500000002</v>
      </c>
      <c r="W96" s="2">
        <f t="shared" si="27"/>
        <v>0</v>
      </c>
      <c r="X96" s="2">
        <f t="shared" si="28"/>
        <v>7.3687500000000004</v>
      </c>
      <c r="Y96" s="2" t="str">
        <f t="shared" si="29"/>
        <v/>
      </c>
      <c r="Z96" s="2" t="str">
        <f t="shared" si="30"/>
        <v/>
      </c>
      <c r="AA96" s="2" t="str">
        <f t="shared" si="31"/>
        <v/>
      </c>
      <c r="AB96" s="2">
        <f t="shared" si="32"/>
        <v>0</v>
      </c>
      <c r="AC96" s="759">
        <v>16.149999999999999</v>
      </c>
      <c r="AD96" s="741">
        <v>16.149999999999999</v>
      </c>
      <c r="AE96" s="741">
        <v>16.149999999999999</v>
      </c>
      <c r="AF96" s="741">
        <v>16.149999999999999</v>
      </c>
      <c r="AG96" s="741">
        <v>16.149999999999999</v>
      </c>
      <c r="AH96" s="741">
        <v>16.149999999999999</v>
      </c>
      <c r="AI96" s="741">
        <v>0</v>
      </c>
      <c r="AJ96" s="741">
        <v>0</v>
      </c>
      <c r="AK96" s="741">
        <v>0</v>
      </c>
      <c r="AL96" s="741">
        <v>-0.4</v>
      </c>
      <c r="AM96" s="741">
        <v>0</v>
      </c>
      <c r="AN96" s="741">
        <v>0</v>
      </c>
      <c r="AO96" s="741">
        <v>0</v>
      </c>
      <c r="AP96" s="41" t="str">
        <f t="shared" si="22"/>
        <v>GLA</v>
      </c>
      <c r="AQ96" s="41" t="str">
        <f t="shared" si="23"/>
        <v>GLAA2Working Funds</v>
      </c>
      <c r="AR96" s="41" t="str">
        <f t="shared" si="24"/>
        <v>A2Working Funds</v>
      </c>
      <c r="CR96" s="625"/>
    </row>
    <row r="97" spans="1:96" s="41" customFormat="1" ht="12.75" customHeight="1">
      <c r="A97" s="25" t="s">
        <v>17</v>
      </c>
      <c r="B97" s="25" t="str">
        <f t="shared" si="33"/>
        <v>GL135011</v>
      </c>
      <c r="C97" s="638">
        <v>135011</v>
      </c>
      <c r="D97" s="735"/>
      <c r="F97" s="1" t="s">
        <v>101</v>
      </c>
      <c r="H97" s="736" t="s">
        <v>2560</v>
      </c>
      <c r="I97" s="25"/>
      <c r="J97" s="25"/>
      <c r="K97" s="442" t="str">
        <f t="shared" si="21"/>
        <v/>
      </c>
      <c r="L97" s="736" t="s">
        <v>2393</v>
      </c>
      <c r="M97" s="25" t="str">
        <f t="shared" si="34"/>
        <v>A</v>
      </c>
      <c r="N97" s="25" t="str">
        <f>IF(L97&lt;&gt;"",VLOOKUP(L97,Categories!$B$2:$D$41,2,FALSE),IF(F97&lt;&gt;"","No Cat",""))</f>
        <v>All Other</v>
      </c>
      <c r="O97" s="25" t="str">
        <f>IF($L97&lt;&gt;"",VLOOKUP($L97,Categories!$B$2:$D$41,3,FALSE),IF($F97&lt;&gt;"","No Cat",""))</f>
        <v>EB-Cap</v>
      </c>
      <c r="P97" s="736" t="s">
        <v>2490</v>
      </c>
      <c r="Q97" s="25" t="str">
        <f>VLOOKUP($P97,Allocators!$B$7:$F$19,5,FALSE)</f>
        <v>Rate Base</v>
      </c>
      <c r="R97" s="737">
        <f>VLOOKUP($P97,Allocators!$B$7:$F$19,2,FALSE)</f>
        <v>0.70940000000000003</v>
      </c>
      <c r="S97" s="737">
        <f>VLOOKUP($P97,Allocators!$B$7:$F$19,3,FALSE)</f>
        <v>0.29060000000000002</v>
      </c>
      <c r="T97" s="737" t="str">
        <f t="shared" si="38"/>
        <v>0.0%</v>
      </c>
      <c r="U97" s="2" t="str">
        <f t="shared" si="25"/>
        <v/>
      </c>
      <c r="V97" s="2" t="str">
        <f t="shared" si="26"/>
        <v/>
      </c>
      <c r="W97" s="2" t="str">
        <f t="shared" si="27"/>
        <v/>
      </c>
      <c r="X97" s="2">
        <f t="shared" si="28"/>
        <v>0</v>
      </c>
      <c r="Y97" s="2" t="str">
        <f t="shared" si="29"/>
        <v/>
      </c>
      <c r="Z97" s="2" t="str">
        <f t="shared" si="30"/>
        <v/>
      </c>
      <c r="AA97" s="2" t="str">
        <f t="shared" si="31"/>
        <v/>
      </c>
      <c r="AB97" s="2">
        <f t="shared" si="32"/>
        <v>0</v>
      </c>
      <c r="AC97" s="759">
        <v>0</v>
      </c>
      <c r="AD97" s="741">
        <v>0</v>
      </c>
      <c r="AE97" s="741">
        <v>0</v>
      </c>
      <c r="AF97" s="741">
        <v>0</v>
      </c>
      <c r="AG97" s="741">
        <v>0</v>
      </c>
      <c r="AH97" s="741">
        <v>0</v>
      </c>
      <c r="AI97" s="741">
        <v>0</v>
      </c>
      <c r="AJ97" s="741">
        <v>0</v>
      </c>
      <c r="AK97" s="741">
        <v>0</v>
      </c>
      <c r="AL97" s="741">
        <v>0</v>
      </c>
      <c r="AM97" s="741">
        <v>0</v>
      </c>
      <c r="AN97" s="741">
        <v>0</v>
      </c>
      <c r="AO97" s="741">
        <v>0</v>
      </c>
      <c r="AP97" s="41" t="str">
        <f t="shared" si="22"/>
        <v>GLA</v>
      </c>
      <c r="AQ97" s="41" t="str">
        <f t="shared" si="23"/>
        <v>GLAA2Working Funds</v>
      </c>
      <c r="AR97" s="41" t="str">
        <f t="shared" si="24"/>
        <v>A2Working Funds</v>
      </c>
      <c r="CR97" s="625"/>
    </row>
    <row r="98" spans="1:96" s="41" customFormat="1" ht="12.75" customHeight="1">
      <c r="A98" s="25" t="s">
        <v>17</v>
      </c>
      <c r="B98" s="25" t="str">
        <f t="shared" si="33"/>
        <v>GL135200</v>
      </c>
      <c r="C98" s="638">
        <v>135200</v>
      </c>
      <c r="D98" s="735"/>
      <c r="F98" s="1" t="s">
        <v>102</v>
      </c>
      <c r="H98" s="736" t="s">
        <v>2560</v>
      </c>
      <c r="I98" s="25"/>
      <c r="J98" s="25"/>
      <c r="K98" s="442" t="str">
        <f t="shared" si="21"/>
        <v/>
      </c>
      <c r="L98" s="736" t="s">
        <v>2393</v>
      </c>
      <c r="M98" s="25" t="str">
        <f t="shared" si="34"/>
        <v>A</v>
      </c>
      <c r="N98" s="25" t="str">
        <f>IF(L98&lt;&gt;"",VLOOKUP(L98,Categories!$B$2:$D$41,2,FALSE),IF(F98&lt;&gt;"","No Cat",""))</f>
        <v>All Other</v>
      </c>
      <c r="O98" s="25" t="str">
        <f>IF($L98&lt;&gt;"",VLOOKUP($L98,Categories!$B$2:$D$41,3,FALSE),IF($F98&lt;&gt;"","No Cat",""))</f>
        <v>EB-Cap</v>
      </c>
      <c r="P98" s="736" t="s">
        <v>2490</v>
      </c>
      <c r="Q98" s="25" t="str">
        <f>VLOOKUP($P98,Allocators!$B$7:$F$19,5,FALSE)</f>
        <v>Rate Base</v>
      </c>
      <c r="R98" s="737">
        <f>VLOOKUP($P98,Allocators!$B$7:$F$19,2,FALSE)</f>
        <v>0.70940000000000003</v>
      </c>
      <c r="S98" s="737">
        <f>VLOOKUP($P98,Allocators!$B$7:$F$19,3,FALSE)</f>
        <v>0.29060000000000002</v>
      </c>
      <c r="T98" s="737" t="str">
        <f t="shared" si="38"/>
        <v>0.0%</v>
      </c>
      <c r="U98" s="2" t="str">
        <f t="shared" si="25"/>
        <v/>
      </c>
      <c r="V98" s="2" t="str">
        <f t="shared" si="26"/>
        <v/>
      </c>
      <c r="W98" s="2" t="str">
        <f t="shared" si="27"/>
        <v/>
      </c>
      <c r="X98" s="2">
        <f t="shared" si="28"/>
        <v>0</v>
      </c>
      <c r="Y98" s="2" t="str">
        <f t="shared" si="29"/>
        <v/>
      </c>
      <c r="Z98" s="2" t="str">
        <f t="shared" si="30"/>
        <v/>
      </c>
      <c r="AA98" s="2" t="str">
        <f t="shared" si="31"/>
        <v/>
      </c>
      <c r="AB98" s="2">
        <f t="shared" si="32"/>
        <v>0</v>
      </c>
      <c r="AC98" s="759">
        <v>0</v>
      </c>
      <c r="AD98" s="741">
        <v>0</v>
      </c>
      <c r="AE98" s="741">
        <v>0</v>
      </c>
      <c r="AF98" s="741">
        <v>0</v>
      </c>
      <c r="AG98" s="741">
        <v>0</v>
      </c>
      <c r="AH98" s="741">
        <v>0</v>
      </c>
      <c r="AI98" s="741">
        <v>0</v>
      </c>
      <c r="AJ98" s="741">
        <v>0</v>
      </c>
      <c r="AK98" s="741">
        <v>0</v>
      </c>
      <c r="AL98" s="741">
        <v>0</v>
      </c>
      <c r="AM98" s="741">
        <v>0</v>
      </c>
      <c r="AN98" s="741">
        <v>0</v>
      </c>
      <c r="AO98" s="741">
        <v>0</v>
      </c>
      <c r="AP98" s="41" t="str">
        <f t="shared" si="22"/>
        <v>GLA</v>
      </c>
      <c r="AQ98" s="41" t="str">
        <f t="shared" si="23"/>
        <v>GLAA2Working Funds</v>
      </c>
      <c r="AR98" s="41" t="str">
        <f t="shared" si="24"/>
        <v>A2Working Funds</v>
      </c>
      <c r="CR98" s="625"/>
    </row>
    <row r="99" spans="1:96" s="41" customFormat="1" ht="12.75" customHeight="1">
      <c r="A99" s="25" t="s">
        <v>17</v>
      </c>
      <c r="B99" s="25" t="str">
        <f t="shared" si="33"/>
        <v>GL135500</v>
      </c>
      <c r="C99" s="638">
        <v>135500</v>
      </c>
      <c r="D99" s="735"/>
      <c r="F99" s="1" t="s">
        <v>103</v>
      </c>
      <c r="H99" s="736" t="s">
        <v>2560</v>
      </c>
      <c r="I99" s="25"/>
      <c r="J99" s="25"/>
      <c r="K99" s="442" t="str">
        <f t="shared" si="21"/>
        <v/>
      </c>
      <c r="L99" s="736" t="s">
        <v>2393</v>
      </c>
      <c r="M99" s="25" t="str">
        <f t="shared" si="34"/>
        <v>A</v>
      </c>
      <c r="N99" s="25" t="str">
        <f>IF(L99&lt;&gt;"",VLOOKUP(L99,Categories!$B$2:$D$41,2,FALSE),IF(F99&lt;&gt;"","No Cat",""))</f>
        <v>All Other</v>
      </c>
      <c r="O99" s="25" t="str">
        <f>IF($L99&lt;&gt;"",VLOOKUP($L99,Categories!$B$2:$D$41,3,FALSE),IF($F99&lt;&gt;"","No Cat",""))</f>
        <v>EB-Cap</v>
      </c>
      <c r="P99" s="736" t="s">
        <v>2490</v>
      </c>
      <c r="Q99" s="25" t="str">
        <f>VLOOKUP($P99,Allocators!$B$7:$F$19,5,FALSE)</f>
        <v>Rate Base</v>
      </c>
      <c r="R99" s="737">
        <f>VLOOKUP($P99,Allocators!$B$7:$F$19,2,FALSE)</f>
        <v>0.70940000000000003</v>
      </c>
      <c r="S99" s="737">
        <f>VLOOKUP($P99,Allocators!$B$7:$F$19,3,FALSE)</f>
        <v>0.29060000000000002</v>
      </c>
      <c r="T99" s="737" t="str">
        <f t="shared" si="38"/>
        <v>0.0%</v>
      </c>
      <c r="U99" s="2">
        <f t="shared" si="25"/>
        <v>96.342656901166393</v>
      </c>
      <c r="V99" s="2">
        <f t="shared" si="26"/>
        <v>39.465993932166597</v>
      </c>
      <c r="W99" s="2">
        <f t="shared" si="27"/>
        <v>0</v>
      </c>
      <c r="X99" s="2">
        <f t="shared" si="28"/>
        <v>135.80865083333299</v>
      </c>
      <c r="Y99" s="2">
        <f t="shared" si="29"/>
        <v>96.011813431999997</v>
      </c>
      <c r="Z99" s="2">
        <f t="shared" si="30"/>
        <v>39.330466567999999</v>
      </c>
      <c r="AA99" s="2">
        <f t="shared" si="31"/>
        <v>0</v>
      </c>
      <c r="AB99" s="2">
        <f t="shared" si="32"/>
        <v>135.34227999999999</v>
      </c>
      <c r="AC99" s="759">
        <v>146.91744</v>
      </c>
      <c r="AD99" s="741">
        <v>135.30517</v>
      </c>
      <c r="AE99" s="741">
        <v>135.31134</v>
      </c>
      <c r="AF99" s="741">
        <v>135.31670000000003</v>
      </c>
      <c r="AG99" s="741">
        <v>135.31951000000001</v>
      </c>
      <c r="AH99" s="741">
        <v>135.32262</v>
      </c>
      <c r="AI99" s="741">
        <v>135.32576999999998</v>
      </c>
      <c r="AJ99" s="741">
        <v>135.32886999999999</v>
      </c>
      <c r="AK99" s="741">
        <v>135.33190999999999</v>
      </c>
      <c r="AL99" s="741">
        <v>135.33473000000001</v>
      </c>
      <c r="AM99" s="741">
        <v>135.33751999999998</v>
      </c>
      <c r="AN99" s="741">
        <v>135.33981</v>
      </c>
      <c r="AO99" s="741">
        <v>135.34227999999999</v>
      </c>
      <c r="AP99" s="41" t="str">
        <f t="shared" si="22"/>
        <v>GLA</v>
      </c>
      <c r="AQ99" s="41" t="str">
        <f t="shared" si="23"/>
        <v>GLAA2Working Funds</v>
      </c>
      <c r="AR99" s="41" t="str">
        <f t="shared" si="24"/>
        <v>A2Working Funds</v>
      </c>
      <c r="CR99" s="625"/>
    </row>
    <row r="100" spans="1:96" s="41" customFormat="1" ht="12.75" customHeight="1">
      <c r="A100" s="442" t="s">
        <v>17</v>
      </c>
      <c r="B100" s="442" t="str">
        <f t="shared" si="33"/>
        <v>GL136000</v>
      </c>
      <c r="C100" s="638">
        <v>136000</v>
      </c>
      <c r="D100" s="735"/>
      <c r="E100" s="626"/>
      <c r="F100" s="441" t="s">
        <v>104</v>
      </c>
      <c r="G100" s="626"/>
      <c r="H100" s="736" t="s">
        <v>2548</v>
      </c>
      <c r="I100" s="442"/>
      <c r="J100" s="442"/>
      <c r="K100" s="442" t="str">
        <f t="shared" si="21"/>
        <v/>
      </c>
      <c r="L100" s="736" t="s">
        <v>2421</v>
      </c>
      <c r="M100" s="442" t="str">
        <f t="shared" si="34"/>
        <v>N</v>
      </c>
      <c r="N100" s="442" t="str">
        <f>IF(L100&lt;&gt;"",VLOOKUP(L100,Categories!$B$2:$D$41,2,FALSE),IF(F100&lt;&gt;"","No Cat",""))</f>
        <v>NRBASE</v>
      </c>
      <c r="O100" s="442" t="str">
        <f>IF($L100&lt;&gt;"",VLOOKUP($L100,Categories!$B$2:$D$41,3,FALSE),IF($F100&lt;&gt;"","No Cat",""))</f>
        <v>Direct Assign Items Not in RB</v>
      </c>
      <c r="P100" s="736" t="s">
        <v>2468</v>
      </c>
      <c r="Q100" s="442" t="str">
        <f>VLOOKUP($P100,Allocators!$B$7:$F$19,5,FALSE)</f>
        <v>Not in Rate Base</v>
      </c>
      <c r="R100" s="737">
        <f>VLOOKUP($P100,Allocators!$B$7:$F$19,2,FALSE)</f>
        <v>0</v>
      </c>
      <c r="S100" s="737">
        <f>VLOOKUP($P100,Allocators!$B$7:$F$19,3,FALSE)</f>
        <v>0</v>
      </c>
      <c r="T100" s="737">
        <f t="shared" si="38"/>
        <v>1</v>
      </c>
      <c r="U100" s="2">
        <f t="shared" si="25"/>
        <v>0</v>
      </c>
      <c r="V100" s="2">
        <f t="shared" si="26"/>
        <v>0</v>
      </c>
      <c r="W100" s="2">
        <f t="shared" si="27"/>
        <v>50731.255416666703</v>
      </c>
      <c r="X100" s="2">
        <f t="shared" si="28"/>
        <v>50731.255416666703</v>
      </c>
      <c r="Y100" s="2">
        <f t="shared" si="29"/>
        <v>0</v>
      </c>
      <c r="Z100" s="2">
        <f t="shared" si="30"/>
        <v>0</v>
      </c>
      <c r="AA100" s="2">
        <f t="shared" si="31"/>
        <v>55850</v>
      </c>
      <c r="AB100" s="2">
        <f t="shared" si="32"/>
        <v>55850</v>
      </c>
      <c r="AC100" s="759">
        <v>50000</v>
      </c>
      <c r="AD100" s="741">
        <v>50000</v>
      </c>
      <c r="AE100" s="741">
        <v>50000</v>
      </c>
      <c r="AF100" s="741">
        <v>50000</v>
      </c>
      <c r="AG100" s="741">
        <v>50000</v>
      </c>
      <c r="AH100" s="741">
        <v>50000</v>
      </c>
      <c r="AI100" s="741">
        <v>50000.065000000002</v>
      </c>
      <c r="AJ100" s="741">
        <v>50000</v>
      </c>
      <c r="AK100" s="741">
        <v>50000</v>
      </c>
      <c r="AL100" s="741">
        <v>50000</v>
      </c>
      <c r="AM100" s="741">
        <v>50000</v>
      </c>
      <c r="AN100" s="741">
        <v>55850</v>
      </c>
      <c r="AO100" s="741">
        <v>55850</v>
      </c>
      <c r="AP100" s="41" t="str">
        <f t="shared" si="22"/>
        <v>GLN</v>
      </c>
      <c r="AQ100" s="41" t="str">
        <f t="shared" si="23"/>
        <v>GLNN2Temporary Cash Investments</v>
      </c>
      <c r="AR100" s="41" t="str">
        <f t="shared" si="24"/>
        <v>N2Temporary Cash Investments</v>
      </c>
    </row>
    <row r="101" spans="1:96" s="41" customFormat="1" ht="12.75" customHeight="1">
      <c r="A101" s="442" t="s">
        <v>17</v>
      </c>
      <c r="B101" s="442" t="str">
        <f t="shared" si="33"/>
        <v>GL136990</v>
      </c>
      <c r="C101" s="638">
        <v>136990</v>
      </c>
      <c r="D101" s="735"/>
      <c r="E101" s="626"/>
      <c r="F101" s="441" t="s">
        <v>105</v>
      </c>
      <c r="G101" s="626"/>
      <c r="H101" s="736" t="s">
        <v>2548</v>
      </c>
      <c r="I101" s="442"/>
      <c r="J101" s="442"/>
      <c r="K101" s="442" t="str">
        <f t="shared" si="21"/>
        <v/>
      </c>
      <c r="L101" s="736" t="s">
        <v>2421</v>
      </c>
      <c r="M101" s="442" t="str">
        <f t="shared" si="34"/>
        <v>N</v>
      </c>
      <c r="N101" s="442" t="str">
        <f>IF(L101&lt;&gt;"",VLOOKUP(L101,Categories!$B$2:$D$41,2,FALSE),IF(F101&lt;&gt;"","No Cat",""))</f>
        <v>NRBASE</v>
      </c>
      <c r="O101" s="442" t="str">
        <f>IF($L101&lt;&gt;"",VLOOKUP($L101,Categories!$B$2:$D$41,3,FALSE),IF($F101&lt;&gt;"","No Cat",""))</f>
        <v>Direct Assign Items Not in RB</v>
      </c>
      <c r="P101" s="736" t="s">
        <v>2468</v>
      </c>
      <c r="Q101" s="442" t="str">
        <f>VLOOKUP($P101,Allocators!$B$7:$F$19,5,FALSE)</f>
        <v>Not in Rate Base</v>
      </c>
      <c r="R101" s="737">
        <f>VLOOKUP($P101,Allocators!$B$7:$F$19,2,FALSE)</f>
        <v>0</v>
      </c>
      <c r="S101" s="737">
        <f>VLOOKUP($P101,Allocators!$B$7:$F$19,3,FALSE)</f>
        <v>0</v>
      </c>
      <c r="T101" s="737">
        <f t="shared" si="38"/>
        <v>1</v>
      </c>
      <c r="U101" s="2">
        <f t="shared" si="25"/>
        <v>0</v>
      </c>
      <c r="V101" s="2">
        <f t="shared" si="26"/>
        <v>0</v>
      </c>
      <c r="W101" s="2">
        <f t="shared" si="27"/>
        <v>-50731.25</v>
      </c>
      <c r="X101" s="2">
        <f t="shared" si="28"/>
        <v>-50731.25</v>
      </c>
      <c r="Y101" s="2">
        <f t="shared" si="29"/>
        <v>0</v>
      </c>
      <c r="Z101" s="2">
        <f t="shared" si="30"/>
        <v>0</v>
      </c>
      <c r="AA101" s="2">
        <f t="shared" si="31"/>
        <v>-55850</v>
      </c>
      <c r="AB101" s="2">
        <f t="shared" si="32"/>
        <v>-55850</v>
      </c>
      <c r="AC101" s="759">
        <v>-50000</v>
      </c>
      <c r="AD101" s="741">
        <v>-50000</v>
      </c>
      <c r="AE101" s="741">
        <v>-50000</v>
      </c>
      <c r="AF101" s="741">
        <v>-50000</v>
      </c>
      <c r="AG101" s="741">
        <v>-50000</v>
      </c>
      <c r="AH101" s="741">
        <v>-50000</v>
      </c>
      <c r="AI101" s="741">
        <v>-50000</v>
      </c>
      <c r="AJ101" s="741">
        <v>-50000</v>
      </c>
      <c r="AK101" s="741">
        <v>-50000</v>
      </c>
      <c r="AL101" s="741">
        <v>-50000</v>
      </c>
      <c r="AM101" s="741">
        <v>-50000</v>
      </c>
      <c r="AN101" s="741">
        <v>-55850</v>
      </c>
      <c r="AO101" s="741">
        <v>-55850</v>
      </c>
      <c r="AP101" s="41" t="str">
        <f t="shared" si="22"/>
        <v>GLN</v>
      </c>
      <c r="AQ101" s="41" t="str">
        <f t="shared" si="23"/>
        <v>GLNN2Temporary Cash Investments</v>
      </c>
      <c r="AR101" s="41" t="str">
        <f t="shared" si="24"/>
        <v>N2Temporary Cash Investments</v>
      </c>
    </row>
    <row r="102" spans="1:96" s="41" customFormat="1" ht="12.75" customHeight="1">
      <c r="A102" s="442" t="s">
        <v>17</v>
      </c>
      <c r="B102" s="442" t="str">
        <f t="shared" si="33"/>
        <v>GL136991</v>
      </c>
      <c r="C102" s="638">
        <v>136991</v>
      </c>
      <c r="D102" s="735"/>
      <c r="E102" s="626"/>
      <c r="F102" s="441" t="s">
        <v>106</v>
      </c>
      <c r="G102" s="626"/>
      <c r="H102" s="736" t="s">
        <v>2548</v>
      </c>
      <c r="I102" s="442"/>
      <c r="J102" s="442"/>
      <c r="K102" s="442" t="str">
        <f t="shared" si="21"/>
        <v/>
      </c>
      <c r="L102" s="736" t="s">
        <v>2421</v>
      </c>
      <c r="M102" s="442" t="str">
        <f t="shared" si="34"/>
        <v>N</v>
      </c>
      <c r="N102" s="442" t="str">
        <f>IF(L102&lt;&gt;"",VLOOKUP(L102,Categories!$B$2:$D$41,2,FALSE),IF(F102&lt;&gt;"","No Cat",""))</f>
        <v>NRBASE</v>
      </c>
      <c r="O102" s="442" t="str">
        <f>IF($L102&lt;&gt;"",VLOOKUP($L102,Categories!$B$2:$D$41,3,FALSE),IF($F102&lt;&gt;"","No Cat",""))</f>
        <v>Direct Assign Items Not in RB</v>
      </c>
      <c r="P102" s="736" t="s">
        <v>2468</v>
      </c>
      <c r="Q102" s="442" t="str">
        <f>VLOOKUP($P102,Allocators!$B$7:$F$19,5,FALSE)</f>
        <v>Not in Rate Base</v>
      </c>
      <c r="R102" s="737">
        <f>VLOOKUP($P102,Allocators!$B$7:$F$19,2,FALSE)</f>
        <v>0</v>
      </c>
      <c r="S102" s="737">
        <f>VLOOKUP($P102,Allocators!$B$7:$F$19,3,FALSE)</f>
        <v>0</v>
      </c>
      <c r="T102" s="737">
        <f t="shared" si="38"/>
        <v>1</v>
      </c>
      <c r="U102" s="2">
        <f t="shared" si="25"/>
        <v>0</v>
      </c>
      <c r="V102" s="2">
        <f t="shared" si="26"/>
        <v>0</v>
      </c>
      <c r="W102" s="2">
        <f t="shared" si="27"/>
        <v>50731.25</v>
      </c>
      <c r="X102" s="2">
        <f t="shared" si="28"/>
        <v>50731.25</v>
      </c>
      <c r="Y102" s="2">
        <f t="shared" si="29"/>
        <v>0</v>
      </c>
      <c r="Z102" s="2">
        <f t="shared" si="30"/>
        <v>0</v>
      </c>
      <c r="AA102" s="2">
        <f t="shared" si="31"/>
        <v>55850</v>
      </c>
      <c r="AB102" s="2">
        <f t="shared" si="32"/>
        <v>55850</v>
      </c>
      <c r="AC102" s="759">
        <v>50000</v>
      </c>
      <c r="AD102" s="741">
        <v>50000</v>
      </c>
      <c r="AE102" s="741">
        <v>50000</v>
      </c>
      <c r="AF102" s="741">
        <v>50000</v>
      </c>
      <c r="AG102" s="741">
        <v>50000</v>
      </c>
      <c r="AH102" s="741">
        <v>50000</v>
      </c>
      <c r="AI102" s="741">
        <v>50000</v>
      </c>
      <c r="AJ102" s="741">
        <v>50000</v>
      </c>
      <c r="AK102" s="741">
        <v>50000</v>
      </c>
      <c r="AL102" s="741">
        <v>50000</v>
      </c>
      <c r="AM102" s="741">
        <v>50000</v>
      </c>
      <c r="AN102" s="741">
        <v>55850</v>
      </c>
      <c r="AO102" s="741">
        <v>55850</v>
      </c>
      <c r="AP102" s="41" t="str">
        <f t="shared" si="22"/>
        <v>GLN</v>
      </c>
      <c r="AQ102" s="41" t="str">
        <f t="shared" si="23"/>
        <v>GLNN2Temporary Cash Investments</v>
      </c>
      <c r="AR102" s="41" t="str">
        <f t="shared" si="24"/>
        <v>N2Temporary Cash Investments</v>
      </c>
    </row>
    <row r="103" spans="1:96" s="41" customFormat="1" ht="12.75" customHeight="1">
      <c r="A103" s="442" t="s">
        <v>17</v>
      </c>
      <c r="B103" s="442" t="str">
        <f t="shared" si="33"/>
        <v>GL136992</v>
      </c>
      <c r="C103" s="638">
        <v>136992</v>
      </c>
      <c r="D103" s="735"/>
      <c r="E103" s="626"/>
      <c r="F103" s="441" t="s">
        <v>107</v>
      </c>
      <c r="G103" s="626"/>
      <c r="H103" s="736" t="s">
        <v>2548</v>
      </c>
      <c r="I103" s="442"/>
      <c r="J103" s="442"/>
      <c r="K103" s="442" t="str">
        <f t="shared" si="21"/>
        <v/>
      </c>
      <c r="L103" s="736" t="s">
        <v>2421</v>
      </c>
      <c r="M103" s="442" t="str">
        <f t="shared" si="34"/>
        <v>N</v>
      </c>
      <c r="N103" s="442" t="str">
        <f>IF(L103&lt;&gt;"",VLOOKUP(L103,Categories!$B$2:$D$41,2,FALSE),IF(F103&lt;&gt;"","No Cat",""))</f>
        <v>NRBASE</v>
      </c>
      <c r="O103" s="442" t="str">
        <f>IF($L103&lt;&gt;"",VLOOKUP($L103,Categories!$B$2:$D$41,3,FALSE),IF($F103&lt;&gt;"","No Cat",""))</f>
        <v>Direct Assign Items Not in RB</v>
      </c>
      <c r="P103" s="736" t="s">
        <v>2468</v>
      </c>
      <c r="Q103" s="442" t="str">
        <f>VLOOKUP($P103,Allocators!$B$7:$F$19,5,FALSE)</f>
        <v>Not in Rate Base</v>
      </c>
      <c r="R103" s="737">
        <f>VLOOKUP($P103,Allocators!$B$7:$F$19,2,FALSE)</f>
        <v>0</v>
      </c>
      <c r="S103" s="737">
        <f>VLOOKUP($P103,Allocators!$B$7:$F$19,3,FALSE)</f>
        <v>0</v>
      </c>
      <c r="T103" s="737">
        <f t="shared" si="38"/>
        <v>1</v>
      </c>
      <c r="U103" s="2">
        <f t="shared" si="25"/>
        <v>0</v>
      </c>
      <c r="V103" s="2">
        <f t="shared" si="26"/>
        <v>0</v>
      </c>
      <c r="W103" s="2">
        <f t="shared" si="27"/>
        <v>-50731.25</v>
      </c>
      <c r="X103" s="2">
        <f t="shared" si="28"/>
        <v>-50731.25</v>
      </c>
      <c r="Y103" s="2">
        <f t="shared" si="29"/>
        <v>0</v>
      </c>
      <c r="Z103" s="2">
        <f t="shared" si="30"/>
        <v>0</v>
      </c>
      <c r="AA103" s="2">
        <f t="shared" si="31"/>
        <v>-55850</v>
      </c>
      <c r="AB103" s="2">
        <f t="shared" si="32"/>
        <v>-55850</v>
      </c>
      <c r="AC103" s="759">
        <v>-50000</v>
      </c>
      <c r="AD103" s="741">
        <v>-50000</v>
      </c>
      <c r="AE103" s="741">
        <v>-50000</v>
      </c>
      <c r="AF103" s="741">
        <v>-50000</v>
      </c>
      <c r="AG103" s="741">
        <v>-50000</v>
      </c>
      <c r="AH103" s="741">
        <v>-50000</v>
      </c>
      <c r="AI103" s="741">
        <v>-50000</v>
      </c>
      <c r="AJ103" s="741">
        <v>-50000</v>
      </c>
      <c r="AK103" s="741">
        <v>-50000</v>
      </c>
      <c r="AL103" s="741">
        <v>-50000</v>
      </c>
      <c r="AM103" s="741">
        <v>-50000</v>
      </c>
      <c r="AN103" s="741">
        <v>-55850</v>
      </c>
      <c r="AO103" s="741">
        <v>-55850</v>
      </c>
      <c r="AP103" s="41" t="str">
        <f t="shared" si="22"/>
        <v>GLN</v>
      </c>
      <c r="AQ103" s="41" t="str">
        <f t="shared" si="23"/>
        <v>GLNN2Temporary Cash Investments</v>
      </c>
      <c r="AR103" s="41" t="str">
        <f t="shared" si="24"/>
        <v>N2Temporary Cash Investments</v>
      </c>
    </row>
    <row r="104" spans="1:96" s="41" customFormat="1" ht="12.75" customHeight="1">
      <c r="A104" s="25" t="s">
        <v>17</v>
      </c>
      <c r="B104" s="25" t="str">
        <f t="shared" si="33"/>
        <v>GL142010</v>
      </c>
      <c r="C104" s="638">
        <v>142010</v>
      </c>
      <c r="D104" s="735"/>
      <c r="F104" s="1" t="s">
        <v>108</v>
      </c>
      <c r="H104" s="736" t="s">
        <v>2546</v>
      </c>
      <c r="I104" s="25"/>
      <c r="J104" s="25"/>
      <c r="K104" s="442" t="str">
        <f t="shared" si="21"/>
        <v/>
      </c>
      <c r="L104" s="736" t="s">
        <v>2393</v>
      </c>
      <c r="M104" s="25" t="str">
        <f t="shared" si="34"/>
        <v>A</v>
      </c>
      <c r="N104" s="25" t="str">
        <f>IF(L104&lt;&gt;"",VLOOKUP(L104,Categories!$B$2:$D$41,2,FALSE),IF(F104&lt;&gt;"","No Cat",""))</f>
        <v>All Other</v>
      </c>
      <c r="O104" s="25" t="str">
        <f>IF($L104&lt;&gt;"",VLOOKUP($L104,Categories!$B$2:$D$41,3,FALSE),IF($F104&lt;&gt;"","No Cat",""))</f>
        <v>EB-Cap</v>
      </c>
      <c r="P104" s="736" t="s">
        <v>2490</v>
      </c>
      <c r="Q104" s="25" t="str">
        <f>VLOOKUP($P104,Allocators!$B$7:$F$19,5,FALSE)</f>
        <v>Rate Base</v>
      </c>
      <c r="R104" s="737">
        <f>VLOOKUP($P104,Allocators!$B$7:$F$19,2,FALSE)</f>
        <v>0.70940000000000003</v>
      </c>
      <c r="S104" s="737">
        <f>VLOOKUP($P104,Allocators!$B$7:$F$19,3,FALSE)</f>
        <v>0.29060000000000002</v>
      </c>
      <c r="T104" s="737" t="str">
        <f t="shared" si="38"/>
        <v>0.0%</v>
      </c>
      <c r="U104" s="2">
        <f t="shared" si="25"/>
        <v>97763.855327587895</v>
      </c>
      <c r="V104" s="2">
        <f t="shared" si="26"/>
        <v>40048.176428245097</v>
      </c>
      <c r="W104" s="2">
        <f t="shared" si="27"/>
        <v>0</v>
      </c>
      <c r="X104" s="2">
        <f t="shared" si="28"/>
        <v>137812.03175583301</v>
      </c>
      <c r="Y104" s="2">
        <f t="shared" si="29"/>
        <v>77664.409459898001</v>
      </c>
      <c r="Z104" s="2">
        <f t="shared" si="30"/>
        <v>31814.600210101999</v>
      </c>
      <c r="AA104" s="2">
        <f t="shared" si="31"/>
        <v>0</v>
      </c>
      <c r="AB104" s="2">
        <f t="shared" si="32"/>
        <v>109479.00967</v>
      </c>
      <c r="AC104" s="759">
        <v>134262.10879</v>
      </c>
      <c r="AD104" s="741">
        <v>150826.408</v>
      </c>
      <c r="AE104" s="741">
        <v>175642.24302000002</v>
      </c>
      <c r="AF104" s="741">
        <v>166625.62289</v>
      </c>
      <c r="AG104" s="741">
        <v>148668.7401</v>
      </c>
      <c r="AH104" s="741">
        <v>139925.53725999998</v>
      </c>
      <c r="AI104" s="741">
        <v>135681.72516999999</v>
      </c>
      <c r="AJ104" s="741">
        <v>133057.11376000001</v>
      </c>
      <c r="AK104" s="741">
        <v>130535.33717</v>
      </c>
      <c r="AL104" s="741">
        <v>122728.57673</v>
      </c>
      <c r="AM104" s="741">
        <v>110444.39826</v>
      </c>
      <c r="AN104" s="741">
        <v>117738.11948000001</v>
      </c>
      <c r="AO104" s="741">
        <v>109479.00967</v>
      </c>
      <c r="AP104" s="41" t="str">
        <f t="shared" si="22"/>
        <v>GLA</v>
      </c>
      <c r="AQ104" s="41" t="str">
        <f t="shared" si="23"/>
        <v>GLAA2Accounts Receivable</v>
      </c>
      <c r="AR104" s="41" t="str">
        <f t="shared" si="24"/>
        <v>A2Accounts Receivable</v>
      </c>
      <c r="CR104" s="625"/>
    </row>
    <row r="105" spans="1:96" s="41" customFormat="1" ht="12.75" customHeight="1">
      <c r="A105" s="25" t="s">
        <v>17</v>
      </c>
      <c r="B105" s="25" t="str">
        <f t="shared" si="33"/>
        <v>GL142100</v>
      </c>
      <c r="C105" s="638">
        <v>142100</v>
      </c>
      <c r="D105" s="735"/>
      <c r="F105" s="1" t="s">
        <v>109</v>
      </c>
      <c r="H105" s="736" t="s">
        <v>2546</v>
      </c>
      <c r="I105" s="25"/>
      <c r="J105" s="25"/>
      <c r="K105" s="442" t="str">
        <f t="shared" si="21"/>
        <v/>
      </c>
      <c r="L105" s="736" t="s">
        <v>2393</v>
      </c>
      <c r="M105" s="25" t="str">
        <f t="shared" si="34"/>
        <v>A</v>
      </c>
      <c r="N105" s="25" t="str">
        <f>IF(L105&lt;&gt;"",VLOOKUP(L105,Categories!$B$2:$D$41,2,FALSE),IF(F105&lt;&gt;"","No Cat",""))</f>
        <v>All Other</v>
      </c>
      <c r="O105" s="25" t="str">
        <f>IF($L105&lt;&gt;"",VLOOKUP($L105,Categories!$B$2:$D$41,3,FALSE),IF($F105&lt;&gt;"","No Cat",""))</f>
        <v>EB-Cap</v>
      </c>
      <c r="P105" s="736" t="s">
        <v>2490</v>
      </c>
      <c r="Q105" s="25" t="str">
        <f>VLOOKUP($P105,Allocators!$B$7:$F$19,5,FALSE)</f>
        <v>Rate Base</v>
      </c>
      <c r="R105" s="737">
        <f>VLOOKUP($P105,Allocators!$B$7:$F$19,2,FALSE)</f>
        <v>0.70940000000000003</v>
      </c>
      <c r="S105" s="737">
        <f>VLOOKUP($P105,Allocators!$B$7:$F$19,3,FALSE)</f>
        <v>0.29060000000000002</v>
      </c>
      <c r="T105" s="737" t="str">
        <f t="shared" si="38"/>
        <v>0.0%</v>
      </c>
      <c r="U105" s="2" t="str">
        <f t="shared" si="25"/>
        <v/>
      </c>
      <c r="V105" s="2" t="str">
        <f t="shared" si="26"/>
        <v/>
      </c>
      <c r="W105" s="2" t="str">
        <f t="shared" si="27"/>
        <v/>
      </c>
      <c r="X105" s="2">
        <f t="shared" si="28"/>
        <v>0</v>
      </c>
      <c r="Y105" s="2" t="str">
        <f t="shared" si="29"/>
        <v/>
      </c>
      <c r="Z105" s="2" t="str">
        <f t="shared" si="30"/>
        <v/>
      </c>
      <c r="AA105" s="2" t="str">
        <f t="shared" si="31"/>
        <v/>
      </c>
      <c r="AB105" s="2">
        <f t="shared" si="32"/>
        <v>0</v>
      </c>
      <c r="AC105" s="759">
        <v>0</v>
      </c>
      <c r="AD105" s="741">
        <v>0</v>
      </c>
      <c r="AE105" s="741">
        <v>0</v>
      </c>
      <c r="AF105" s="741">
        <v>0</v>
      </c>
      <c r="AG105" s="741">
        <v>0</v>
      </c>
      <c r="AH105" s="741">
        <v>0</v>
      </c>
      <c r="AI105" s="741">
        <v>0</v>
      </c>
      <c r="AJ105" s="741">
        <v>0</v>
      </c>
      <c r="AK105" s="741">
        <v>0</v>
      </c>
      <c r="AL105" s="741">
        <v>0</v>
      </c>
      <c r="AM105" s="741">
        <v>0</v>
      </c>
      <c r="AN105" s="741">
        <v>0</v>
      </c>
      <c r="AO105" s="741">
        <v>0</v>
      </c>
      <c r="AP105" s="41" t="str">
        <f t="shared" si="22"/>
        <v>GLA</v>
      </c>
      <c r="AQ105" s="41" t="str">
        <f t="shared" si="23"/>
        <v>GLAA2Accounts Receivable</v>
      </c>
      <c r="AR105" s="41" t="str">
        <f t="shared" si="24"/>
        <v>A2Accounts Receivable</v>
      </c>
      <c r="CR105" s="625"/>
    </row>
    <row r="106" spans="1:96" s="41" customFormat="1" ht="12.75" customHeight="1">
      <c r="A106" s="25" t="s">
        <v>17</v>
      </c>
      <c r="B106" s="25" t="str">
        <f t="shared" si="33"/>
        <v>GL142110</v>
      </c>
      <c r="C106" s="638">
        <v>142110</v>
      </c>
      <c r="D106" s="735"/>
      <c r="F106" s="1" t="s">
        <v>110</v>
      </c>
      <c r="H106" s="736" t="s">
        <v>2546</v>
      </c>
      <c r="I106" s="25"/>
      <c r="J106" s="25"/>
      <c r="K106" s="442" t="str">
        <f t="shared" si="21"/>
        <v/>
      </c>
      <c r="L106" s="736" t="s">
        <v>2393</v>
      </c>
      <c r="M106" s="25" t="str">
        <f t="shared" si="34"/>
        <v>A</v>
      </c>
      <c r="N106" s="25" t="str">
        <f>IF(L106&lt;&gt;"",VLOOKUP(L106,Categories!$B$2:$D$41,2,FALSE),IF(F106&lt;&gt;"","No Cat",""))</f>
        <v>All Other</v>
      </c>
      <c r="O106" s="25" t="str">
        <f>IF($L106&lt;&gt;"",VLOOKUP($L106,Categories!$B$2:$D$41,3,FALSE),IF($F106&lt;&gt;"","No Cat",""))</f>
        <v>EB-Cap</v>
      </c>
      <c r="P106" s="736" t="s">
        <v>2490</v>
      </c>
      <c r="Q106" s="25" t="str">
        <f>VLOOKUP($P106,Allocators!$B$7:$F$19,5,FALSE)</f>
        <v>Rate Base</v>
      </c>
      <c r="R106" s="737">
        <f>VLOOKUP($P106,Allocators!$B$7:$F$19,2,FALSE)</f>
        <v>0.70940000000000003</v>
      </c>
      <c r="S106" s="737">
        <f>VLOOKUP($P106,Allocators!$B$7:$F$19,3,FALSE)</f>
        <v>0.29060000000000002</v>
      </c>
      <c r="T106" s="737" t="str">
        <f t="shared" si="38"/>
        <v>0.0%</v>
      </c>
      <c r="U106" s="2" t="str">
        <f t="shared" si="25"/>
        <v/>
      </c>
      <c r="V106" s="2" t="str">
        <f t="shared" si="26"/>
        <v/>
      </c>
      <c r="W106" s="2" t="str">
        <f t="shared" si="27"/>
        <v/>
      </c>
      <c r="X106" s="2">
        <f t="shared" si="28"/>
        <v>0</v>
      </c>
      <c r="Y106" s="2" t="str">
        <f t="shared" si="29"/>
        <v/>
      </c>
      <c r="Z106" s="2" t="str">
        <f t="shared" si="30"/>
        <v/>
      </c>
      <c r="AA106" s="2" t="str">
        <f t="shared" si="31"/>
        <v/>
      </c>
      <c r="AB106" s="2">
        <f t="shared" si="32"/>
        <v>0</v>
      </c>
      <c r="AC106" s="759">
        <v>0</v>
      </c>
      <c r="AD106" s="741">
        <v>0</v>
      </c>
      <c r="AE106" s="741">
        <v>0</v>
      </c>
      <c r="AF106" s="741">
        <v>0</v>
      </c>
      <c r="AG106" s="741">
        <v>0</v>
      </c>
      <c r="AH106" s="741">
        <v>0</v>
      </c>
      <c r="AI106" s="741">
        <v>0</v>
      </c>
      <c r="AJ106" s="741">
        <v>0</v>
      </c>
      <c r="AK106" s="741">
        <v>0</v>
      </c>
      <c r="AL106" s="741">
        <v>0</v>
      </c>
      <c r="AM106" s="741">
        <v>0</v>
      </c>
      <c r="AN106" s="741">
        <v>0</v>
      </c>
      <c r="AO106" s="741">
        <v>0</v>
      </c>
      <c r="AP106" s="41" t="str">
        <f t="shared" si="22"/>
        <v>GLA</v>
      </c>
      <c r="AQ106" s="41" t="str">
        <f t="shared" si="23"/>
        <v>GLAA2Accounts Receivable</v>
      </c>
      <c r="AR106" s="41" t="str">
        <f t="shared" si="24"/>
        <v>A2Accounts Receivable</v>
      </c>
      <c r="CR106" s="625"/>
    </row>
    <row r="107" spans="1:96" s="41" customFormat="1" ht="12.75" customHeight="1">
      <c r="A107" s="25" t="s">
        <v>17</v>
      </c>
      <c r="B107" s="25" t="str">
        <f t="shared" si="33"/>
        <v>GL142120</v>
      </c>
      <c r="C107" s="638">
        <v>142120</v>
      </c>
      <c r="D107" s="735"/>
      <c r="F107" s="1" t="s">
        <v>111</v>
      </c>
      <c r="H107" s="736" t="s">
        <v>2546</v>
      </c>
      <c r="I107" s="25"/>
      <c r="J107" s="25"/>
      <c r="K107" s="442" t="str">
        <f t="shared" si="21"/>
        <v/>
      </c>
      <c r="L107" s="736" t="s">
        <v>2393</v>
      </c>
      <c r="M107" s="25" t="str">
        <f t="shared" si="34"/>
        <v>A</v>
      </c>
      <c r="N107" s="25" t="str">
        <f>IF(L107&lt;&gt;"",VLOOKUP(L107,Categories!$B$2:$D$41,2,FALSE),IF(F107&lt;&gt;"","No Cat",""))</f>
        <v>All Other</v>
      </c>
      <c r="O107" s="25" t="str">
        <f>IF($L107&lt;&gt;"",VLOOKUP($L107,Categories!$B$2:$D$41,3,FALSE),IF($F107&lt;&gt;"","No Cat",""))</f>
        <v>EB-Cap</v>
      </c>
      <c r="P107" s="736" t="s">
        <v>2490</v>
      </c>
      <c r="Q107" s="25" t="str">
        <f>VLOOKUP($P107,Allocators!$B$7:$F$19,5,FALSE)</f>
        <v>Rate Base</v>
      </c>
      <c r="R107" s="737">
        <f>VLOOKUP($P107,Allocators!$B$7:$F$19,2,FALSE)</f>
        <v>0.70940000000000003</v>
      </c>
      <c r="S107" s="737">
        <f>VLOOKUP($P107,Allocators!$B$7:$F$19,3,FALSE)</f>
        <v>0.29060000000000002</v>
      </c>
      <c r="T107" s="737" t="str">
        <f t="shared" si="38"/>
        <v>0.0%</v>
      </c>
      <c r="U107" s="2" t="str">
        <f t="shared" si="25"/>
        <v/>
      </c>
      <c r="V107" s="2" t="str">
        <f t="shared" si="26"/>
        <v/>
      </c>
      <c r="W107" s="2" t="str">
        <f t="shared" si="27"/>
        <v/>
      </c>
      <c r="X107" s="2">
        <f t="shared" si="28"/>
        <v>0</v>
      </c>
      <c r="Y107" s="2" t="str">
        <f t="shared" si="29"/>
        <v/>
      </c>
      <c r="Z107" s="2" t="str">
        <f t="shared" si="30"/>
        <v/>
      </c>
      <c r="AA107" s="2" t="str">
        <f t="shared" si="31"/>
        <v/>
      </c>
      <c r="AB107" s="2">
        <f t="shared" si="32"/>
        <v>0</v>
      </c>
      <c r="AC107" s="759">
        <v>0</v>
      </c>
      <c r="AD107" s="741">
        <v>0</v>
      </c>
      <c r="AE107" s="741">
        <v>0</v>
      </c>
      <c r="AF107" s="741">
        <v>0</v>
      </c>
      <c r="AG107" s="741">
        <v>0</v>
      </c>
      <c r="AH107" s="741">
        <v>0</v>
      </c>
      <c r="AI107" s="741">
        <v>0</v>
      </c>
      <c r="AJ107" s="741">
        <v>0</v>
      </c>
      <c r="AK107" s="741">
        <v>0</v>
      </c>
      <c r="AL107" s="741">
        <v>0</v>
      </c>
      <c r="AM107" s="741">
        <v>0</v>
      </c>
      <c r="AN107" s="741">
        <v>0</v>
      </c>
      <c r="AO107" s="741">
        <v>0</v>
      </c>
      <c r="AP107" s="41" t="str">
        <f t="shared" si="22"/>
        <v>GLA</v>
      </c>
      <c r="AQ107" s="41" t="str">
        <f t="shared" si="23"/>
        <v>GLAA2Accounts Receivable</v>
      </c>
      <c r="AR107" s="41" t="str">
        <f t="shared" si="24"/>
        <v>A2Accounts Receivable</v>
      </c>
      <c r="CR107" s="625"/>
    </row>
    <row r="108" spans="1:96" s="41" customFormat="1" ht="12.75" customHeight="1">
      <c r="A108" s="25" t="s">
        <v>17</v>
      </c>
      <c r="B108" s="25" t="str">
        <f t="shared" si="33"/>
        <v>GL142190</v>
      </c>
      <c r="C108" s="638">
        <v>142190</v>
      </c>
      <c r="D108" s="735"/>
      <c r="F108" s="1" t="s">
        <v>112</v>
      </c>
      <c r="H108" s="736" t="s">
        <v>2546</v>
      </c>
      <c r="I108" s="25"/>
      <c r="J108" s="25"/>
      <c r="K108" s="442" t="str">
        <f t="shared" si="21"/>
        <v/>
      </c>
      <c r="L108" s="736" t="s">
        <v>2393</v>
      </c>
      <c r="M108" s="25" t="str">
        <f t="shared" si="34"/>
        <v>A</v>
      </c>
      <c r="N108" s="25" t="str">
        <f>IF(L108&lt;&gt;"",VLOOKUP(L108,Categories!$B$2:$D$41,2,FALSE),IF(F108&lt;&gt;"","No Cat",""))</f>
        <v>All Other</v>
      </c>
      <c r="O108" s="25" t="str">
        <f>IF($L108&lt;&gt;"",VLOOKUP($L108,Categories!$B$2:$D$41,3,FALSE),IF($F108&lt;&gt;"","No Cat",""))</f>
        <v>EB-Cap</v>
      </c>
      <c r="P108" s="736" t="s">
        <v>2490</v>
      </c>
      <c r="Q108" s="25" t="str">
        <f>VLOOKUP($P108,Allocators!$B$7:$F$19,5,FALSE)</f>
        <v>Rate Base</v>
      </c>
      <c r="R108" s="737">
        <f>VLOOKUP($P108,Allocators!$B$7:$F$19,2,FALSE)</f>
        <v>0.70940000000000003</v>
      </c>
      <c r="S108" s="737">
        <f>VLOOKUP($P108,Allocators!$B$7:$F$19,3,FALSE)</f>
        <v>0.29060000000000002</v>
      </c>
      <c r="T108" s="737" t="str">
        <f t="shared" si="38"/>
        <v>0.0%</v>
      </c>
      <c r="U108" s="2">
        <f t="shared" si="25"/>
        <v>-51.003288425000001</v>
      </c>
      <c r="V108" s="2">
        <f t="shared" si="26"/>
        <v>-20.893086575000002</v>
      </c>
      <c r="W108" s="2">
        <f t="shared" si="27"/>
        <v>0</v>
      </c>
      <c r="X108" s="2">
        <f t="shared" si="28"/>
        <v>-71.896375000000006</v>
      </c>
      <c r="Y108" s="2">
        <f t="shared" si="29"/>
        <v>-437.67902167400001</v>
      </c>
      <c r="Z108" s="2">
        <f t="shared" si="30"/>
        <v>-179.29168832600001</v>
      </c>
      <c r="AA108" s="2">
        <f t="shared" si="31"/>
        <v>0</v>
      </c>
      <c r="AB108" s="2">
        <f t="shared" si="32"/>
        <v>-616.97070999999994</v>
      </c>
      <c r="AC108" s="759">
        <v>-556.84460999999999</v>
      </c>
      <c r="AD108" s="741">
        <v>-400.52661000000001</v>
      </c>
      <c r="AE108" s="741">
        <v>-96.527559999999994</v>
      </c>
      <c r="AF108" s="741">
        <v>49.940750000000001</v>
      </c>
      <c r="AG108" s="741">
        <v>28.1569</v>
      </c>
      <c r="AH108" s="741">
        <v>-6.3000400000000001</v>
      </c>
      <c r="AI108" s="741">
        <v>27.968730000000001</v>
      </c>
      <c r="AJ108" s="741">
        <v>27.02646</v>
      </c>
      <c r="AK108" s="741">
        <v>8.7598899999999986</v>
      </c>
      <c r="AL108" s="741">
        <v>29.359839999999998</v>
      </c>
      <c r="AM108" s="741">
        <v>29.559740000000001</v>
      </c>
      <c r="AN108" s="741">
        <v>26.733060000000002</v>
      </c>
      <c r="AO108" s="741">
        <v>-616.97070999999994</v>
      </c>
      <c r="AP108" s="41" t="str">
        <f t="shared" si="22"/>
        <v>GLA</v>
      </c>
      <c r="AQ108" s="41" t="str">
        <f t="shared" si="23"/>
        <v>GLAA2Accounts Receivable</v>
      </c>
      <c r="AR108" s="41" t="str">
        <f t="shared" si="24"/>
        <v>A2Accounts Receivable</v>
      </c>
      <c r="CR108" s="625"/>
    </row>
    <row r="109" spans="1:96" s="41" customFormat="1" ht="12.75" customHeight="1">
      <c r="A109" s="25" t="s">
        <v>17</v>
      </c>
      <c r="B109" s="25" t="str">
        <f t="shared" si="33"/>
        <v>GL142200</v>
      </c>
      <c r="C109" s="638">
        <v>142200</v>
      </c>
      <c r="D109" s="735"/>
      <c r="F109" s="1" t="s">
        <v>113</v>
      </c>
      <c r="H109" s="736" t="s">
        <v>2546</v>
      </c>
      <c r="I109" s="25"/>
      <c r="J109" s="25"/>
      <c r="K109" s="442" t="str">
        <f t="shared" si="21"/>
        <v/>
      </c>
      <c r="L109" s="736" t="s">
        <v>2393</v>
      </c>
      <c r="M109" s="25" t="str">
        <f t="shared" si="34"/>
        <v>A</v>
      </c>
      <c r="N109" s="25" t="str">
        <f>IF(L109&lt;&gt;"",VLOOKUP(L109,Categories!$B$2:$D$41,2,FALSE),IF(F109&lt;&gt;"","No Cat",""))</f>
        <v>All Other</v>
      </c>
      <c r="O109" s="25" t="str">
        <f>IF($L109&lt;&gt;"",VLOOKUP($L109,Categories!$B$2:$D$41,3,FALSE),IF($F109&lt;&gt;"","No Cat",""))</f>
        <v>EB-Cap</v>
      </c>
      <c r="P109" s="736" t="s">
        <v>2490</v>
      </c>
      <c r="Q109" s="25" t="str">
        <f>VLOOKUP($P109,Allocators!$B$7:$F$19,5,FALSE)</f>
        <v>Rate Base</v>
      </c>
      <c r="R109" s="737">
        <f>VLOOKUP($P109,Allocators!$B$7:$F$19,2,FALSE)</f>
        <v>0.70940000000000003</v>
      </c>
      <c r="S109" s="737">
        <f>VLOOKUP($P109,Allocators!$B$7:$F$19,3,FALSE)</f>
        <v>0.29060000000000002</v>
      </c>
      <c r="T109" s="737" t="str">
        <f t="shared" si="38"/>
        <v>0.0%</v>
      </c>
      <c r="U109" s="2" t="str">
        <f t="shared" si="25"/>
        <v/>
      </c>
      <c r="V109" s="2" t="str">
        <f t="shared" si="26"/>
        <v/>
      </c>
      <c r="W109" s="2" t="str">
        <f t="shared" si="27"/>
        <v/>
      </c>
      <c r="X109" s="2">
        <f t="shared" si="28"/>
        <v>0</v>
      </c>
      <c r="Y109" s="2" t="str">
        <f t="shared" si="29"/>
        <v/>
      </c>
      <c r="Z109" s="2" t="str">
        <f t="shared" si="30"/>
        <v/>
      </c>
      <c r="AA109" s="2" t="str">
        <f t="shared" si="31"/>
        <v/>
      </c>
      <c r="AB109" s="2">
        <f t="shared" si="32"/>
        <v>0</v>
      </c>
      <c r="AC109" s="759">
        <v>0</v>
      </c>
      <c r="AD109" s="741">
        <v>0</v>
      </c>
      <c r="AE109" s="741">
        <v>0</v>
      </c>
      <c r="AF109" s="741">
        <v>0</v>
      </c>
      <c r="AG109" s="741">
        <v>0</v>
      </c>
      <c r="AH109" s="741">
        <v>0</v>
      </c>
      <c r="AI109" s="741">
        <v>0</v>
      </c>
      <c r="AJ109" s="741">
        <v>0</v>
      </c>
      <c r="AK109" s="741">
        <v>0</v>
      </c>
      <c r="AL109" s="741">
        <v>0</v>
      </c>
      <c r="AM109" s="741">
        <v>0</v>
      </c>
      <c r="AN109" s="741">
        <v>0</v>
      </c>
      <c r="AO109" s="741">
        <v>0</v>
      </c>
      <c r="AP109" s="41" t="str">
        <f t="shared" si="22"/>
        <v>GLA</v>
      </c>
      <c r="AQ109" s="41" t="str">
        <f t="shared" si="23"/>
        <v>GLAA2Accounts Receivable</v>
      </c>
      <c r="AR109" s="41" t="str">
        <f t="shared" si="24"/>
        <v>A2Accounts Receivable</v>
      </c>
      <c r="CR109" s="625"/>
    </row>
    <row r="110" spans="1:96" s="41" customFormat="1" ht="12.75" customHeight="1">
      <c r="A110" s="25" t="s">
        <v>17</v>
      </c>
      <c r="B110" s="25" t="str">
        <f t="shared" si="33"/>
        <v>GL142220</v>
      </c>
      <c r="C110" s="638">
        <v>142220</v>
      </c>
      <c r="D110" s="735"/>
      <c r="F110" s="1" t="s">
        <v>114</v>
      </c>
      <c r="H110" s="736" t="s">
        <v>2546</v>
      </c>
      <c r="I110" s="25"/>
      <c r="J110" s="25"/>
      <c r="K110" s="442" t="str">
        <f t="shared" si="21"/>
        <v/>
      </c>
      <c r="L110" s="736" t="s">
        <v>2393</v>
      </c>
      <c r="M110" s="25" t="str">
        <f t="shared" si="34"/>
        <v>A</v>
      </c>
      <c r="N110" s="25" t="str">
        <f>IF(L110&lt;&gt;"",VLOOKUP(L110,Categories!$B$2:$D$41,2,FALSE),IF(F110&lt;&gt;"","No Cat",""))</f>
        <v>All Other</v>
      </c>
      <c r="O110" s="25" t="str">
        <f>IF($L110&lt;&gt;"",VLOOKUP($L110,Categories!$B$2:$D$41,3,FALSE),IF($F110&lt;&gt;"","No Cat",""))</f>
        <v>EB-Cap</v>
      </c>
      <c r="P110" s="736" t="s">
        <v>2490</v>
      </c>
      <c r="Q110" s="25" t="str">
        <f>VLOOKUP($P110,Allocators!$B$7:$F$19,5,FALSE)</f>
        <v>Rate Base</v>
      </c>
      <c r="R110" s="737">
        <f>VLOOKUP($P110,Allocators!$B$7:$F$19,2,FALSE)</f>
        <v>0.70940000000000003</v>
      </c>
      <c r="S110" s="737">
        <f>VLOOKUP($P110,Allocators!$B$7:$F$19,3,FALSE)</f>
        <v>0.29060000000000002</v>
      </c>
      <c r="T110" s="737" t="str">
        <f t="shared" si="38"/>
        <v>0.0%</v>
      </c>
      <c r="U110" s="2" t="str">
        <f t="shared" si="25"/>
        <v/>
      </c>
      <c r="V110" s="2" t="str">
        <f t="shared" si="26"/>
        <v/>
      </c>
      <c r="W110" s="2" t="str">
        <f t="shared" si="27"/>
        <v/>
      </c>
      <c r="X110" s="2">
        <f t="shared" si="28"/>
        <v>0</v>
      </c>
      <c r="Y110" s="2" t="str">
        <f t="shared" si="29"/>
        <v/>
      </c>
      <c r="Z110" s="2" t="str">
        <f t="shared" si="30"/>
        <v/>
      </c>
      <c r="AA110" s="2" t="str">
        <f t="shared" si="31"/>
        <v/>
      </c>
      <c r="AB110" s="2">
        <f t="shared" si="32"/>
        <v>0</v>
      </c>
      <c r="AC110" s="759">
        <v>0</v>
      </c>
      <c r="AD110" s="741">
        <v>0</v>
      </c>
      <c r="AE110" s="741">
        <v>0</v>
      </c>
      <c r="AF110" s="741">
        <v>0</v>
      </c>
      <c r="AG110" s="741">
        <v>0</v>
      </c>
      <c r="AH110" s="741">
        <v>0</v>
      </c>
      <c r="AI110" s="741">
        <v>0</v>
      </c>
      <c r="AJ110" s="741">
        <v>0</v>
      </c>
      <c r="AK110" s="741">
        <v>0</v>
      </c>
      <c r="AL110" s="741">
        <v>0</v>
      </c>
      <c r="AM110" s="741">
        <v>0</v>
      </c>
      <c r="AN110" s="741">
        <v>0</v>
      </c>
      <c r="AO110" s="741">
        <v>0</v>
      </c>
      <c r="AP110" s="41" t="str">
        <f t="shared" si="22"/>
        <v>GLA</v>
      </c>
      <c r="AQ110" s="41" t="str">
        <f t="shared" si="23"/>
        <v>GLAA2Accounts Receivable</v>
      </c>
      <c r="AR110" s="41" t="str">
        <f t="shared" si="24"/>
        <v>A2Accounts Receivable</v>
      </c>
      <c r="CR110" s="625"/>
    </row>
    <row r="111" spans="1:96" s="41" customFormat="1" ht="12.75" customHeight="1">
      <c r="A111" s="25" t="s">
        <v>17</v>
      </c>
      <c r="B111" s="25" t="str">
        <f t="shared" si="33"/>
        <v>GL142240</v>
      </c>
      <c r="C111" s="638">
        <v>142240</v>
      </c>
      <c r="D111" s="735"/>
      <c r="F111" s="1" t="s">
        <v>115</v>
      </c>
      <c r="H111" s="736" t="s">
        <v>2546</v>
      </c>
      <c r="I111" s="25"/>
      <c r="J111" s="25"/>
      <c r="K111" s="442" t="str">
        <f t="shared" si="21"/>
        <v/>
      </c>
      <c r="L111" s="736" t="s">
        <v>2393</v>
      </c>
      <c r="M111" s="25" t="str">
        <f t="shared" si="34"/>
        <v>A</v>
      </c>
      <c r="N111" s="25" t="str">
        <f>IF(L111&lt;&gt;"",VLOOKUP(L111,Categories!$B$2:$D$41,2,FALSE),IF(F111&lt;&gt;"","No Cat",""))</f>
        <v>All Other</v>
      </c>
      <c r="O111" s="25" t="str">
        <f>IF($L111&lt;&gt;"",VLOOKUP($L111,Categories!$B$2:$D$41,3,FALSE),IF($F111&lt;&gt;"","No Cat",""))</f>
        <v>EB-Cap</v>
      </c>
      <c r="P111" s="736" t="s">
        <v>2490</v>
      </c>
      <c r="Q111" s="25" t="str">
        <f>VLOOKUP($P111,Allocators!$B$7:$F$19,5,FALSE)</f>
        <v>Rate Base</v>
      </c>
      <c r="R111" s="737">
        <f>VLOOKUP($P111,Allocators!$B$7:$F$19,2,FALSE)</f>
        <v>0.70940000000000003</v>
      </c>
      <c r="S111" s="737">
        <f>VLOOKUP($P111,Allocators!$B$7:$F$19,3,FALSE)</f>
        <v>0.29060000000000002</v>
      </c>
      <c r="T111" s="737" t="str">
        <f t="shared" si="38"/>
        <v>0.0%</v>
      </c>
      <c r="U111" s="2" t="str">
        <f t="shared" si="25"/>
        <v/>
      </c>
      <c r="V111" s="2" t="str">
        <f t="shared" si="26"/>
        <v/>
      </c>
      <c r="W111" s="2" t="str">
        <f t="shared" si="27"/>
        <v/>
      </c>
      <c r="X111" s="2">
        <f t="shared" si="28"/>
        <v>0</v>
      </c>
      <c r="Y111" s="2" t="str">
        <f t="shared" si="29"/>
        <v/>
      </c>
      <c r="Z111" s="2" t="str">
        <f t="shared" si="30"/>
        <v/>
      </c>
      <c r="AA111" s="2" t="str">
        <f t="shared" si="31"/>
        <v/>
      </c>
      <c r="AB111" s="2">
        <f t="shared" si="32"/>
        <v>0</v>
      </c>
      <c r="AC111" s="759">
        <v>0</v>
      </c>
      <c r="AD111" s="741">
        <v>0</v>
      </c>
      <c r="AE111" s="741">
        <v>0</v>
      </c>
      <c r="AF111" s="741">
        <v>0</v>
      </c>
      <c r="AG111" s="741">
        <v>0</v>
      </c>
      <c r="AH111" s="741">
        <v>0</v>
      </c>
      <c r="AI111" s="741">
        <v>0</v>
      </c>
      <c r="AJ111" s="741">
        <v>0</v>
      </c>
      <c r="AK111" s="741">
        <v>0</v>
      </c>
      <c r="AL111" s="741">
        <v>0</v>
      </c>
      <c r="AM111" s="741">
        <v>0</v>
      </c>
      <c r="AN111" s="741">
        <v>0</v>
      </c>
      <c r="AO111" s="741">
        <v>0</v>
      </c>
      <c r="AP111" s="41" t="str">
        <f t="shared" si="22"/>
        <v>GLA</v>
      </c>
      <c r="AQ111" s="41" t="str">
        <f t="shared" si="23"/>
        <v>GLAA2Accounts Receivable</v>
      </c>
      <c r="AR111" s="41" t="str">
        <f t="shared" si="24"/>
        <v>A2Accounts Receivable</v>
      </c>
      <c r="CR111" s="625"/>
    </row>
    <row r="112" spans="1:96" s="41" customFormat="1" ht="12.75" customHeight="1">
      <c r="A112" s="25" t="s">
        <v>17</v>
      </c>
      <c r="B112" s="25" t="str">
        <f t="shared" si="33"/>
        <v>GL142250</v>
      </c>
      <c r="C112" s="638">
        <v>142250</v>
      </c>
      <c r="D112" s="735"/>
      <c r="F112" s="1" t="s">
        <v>116</v>
      </c>
      <c r="H112" s="736" t="s">
        <v>2546</v>
      </c>
      <c r="I112" s="25"/>
      <c r="J112" s="25"/>
      <c r="K112" s="442" t="str">
        <f t="shared" si="21"/>
        <v/>
      </c>
      <c r="L112" s="736" t="s">
        <v>2393</v>
      </c>
      <c r="M112" s="25" t="str">
        <f t="shared" si="34"/>
        <v>A</v>
      </c>
      <c r="N112" s="25" t="str">
        <f>IF(L112&lt;&gt;"",VLOOKUP(L112,Categories!$B$2:$D$41,2,FALSE),IF(F112&lt;&gt;"","No Cat",""))</f>
        <v>All Other</v>
      </c>
      <c r="O112" s="25" t="str">
        <f>IF($L112&lt;&gt;"",VLOOKUP($L112,Categories!$B$2:$D$41,3,FALSE),IF($F112&lt;&gt;"","No Cat",""))</f>
        <v>EB-Cap</v>
      </c>
      <c r="P112" s="736" t="s">
        <v>2490</v>
      </c>
      <c r="Q112" s="25" t="str">
        <f>VLOOKUP($P112,Allocators!$B$7:$F$19,5,FALSE)</f>
        <v>Rate Base</v>
      </c>
      <c r="R112" s="737">
        <f>VLOOKUP($P112,Allocators!$B$7:$F$19,2,FALSE)</f>
        <v>0.70940000000000003</v>
      </c>
      <c r="S112" s="737">
        <f>VLOOKUP($P112,Allocators!$B$7:$F$19,3,FALSE)</f>
        <v>0.29060000000000002</v>
      </c>
      <c r="T112" s="737" t="str">
        <f t="shared" si="38"/>
        <v>0.0%</v>
      </c>
      <c r="U112" s="2" t="str">
        <f t="shared" si="25"/>
        <v/>
      </c>
      <c r="V112" s="2" t="str">
        <f t="shared" si="26"/>
        <v/>
      </c>
      <c r="W112" s="2" t="str">
        <f t="shared" si="27"/>
        <v/>
      </c>
      <c r="X112" s="2">
        <f t="shared" si="28"/>
        <v>0</v>
      </c>
      <c r="Y112" s="2" t="str">
        <f t="shared" si="29"/>
        <v/>
      </c>
      <c r="Z112" s="2" t="str">
        <f t="shared" si="30"/>
        <v/>
      </c>
      <c r="AA112" s="2" t="str">
        <f t="shared" si="31"/>
        <v/>
      </c>
      <c r="AB112" s="2">
        <f t="shared" si="32"/>
        <v>0</v>
      </c>
      <c r="AC112" s="759">
        <v>0</v>
      </c>
      <c r="AD112" s="741">
        <v>0</v>
      </c>
      <c r="AE112" s="741">
        <v>0</v>
      </c>
      <c r="AF112" s="741">
        <v>0</v>
      </c>
      <c r="AG112" s="741">
        <v>0</v>
      </c>
      <c r="AH112" s="741">
        <v>0</v>
      </c>
      <c r="AI112" s="741">
        <v>0</v>
      </c>
      <c r="AJ112" s="741">
        <v>0</v>
      </c>
      <c r="AK112" s="741">
        <v>0</v>
      </c>
      <c r="AL112" s="741">
        <v>0</v>
      </c>
      <c r="AM112" s="741">
        <v>0</v>
      </c>
      <c r="AN112" s="741">
        <v>0</v>
      </c>
      <c r="AO112" s="741">
        <v>0</v>
      </c>
      <c r="AP112" s="41" t="str">
        <f t="shared" si="22"/>
        <v>GLA</v>
      </c>
      <c r="AQ112" s="41" t="str">
        <f t="shared" si="23"/>
        <v>GLAA2Accounts Receivable</v>
      </c>
      <c r="AR112" s="41" t="str">
        <f t="shared" si="24"/>
        <v>A2Accounts Receivable</v>
      </c>
      <c r="CR112" s="625"/>
    </row>
    <row r="113" spans="1:96" s="41" customFormat="1" ht="12.75" customHeight="1">
      <c r="A113" s="25" t="s">
        <v>17</v>
      </c>
      <c r="B113" s="25" t="str">
        <f t="shared" si="33"/>
        <v>GL142300</v>
      </c>
      <c r="C113" s="638">
        <v>142300</v>
      </c>
      <c r="D113" s="735"/>
      <c r="F113" s="1" t="s">
        <v>117</v>
      </c>
      <c r="H113" s="736" t="s">
        <v>2546</v>
      </c>
      <c r="I113" s="25"/>
      <c r="J113" s="25"/>
      <c r="K113" s="442" t="str">
        <f t="shared" si="21"/>
        <v/>
      </c>
      <c r="L113" s="736" t="s">
        <v>2393</v>
      </c>
      <c r="M113" s="25" t="str">
        <f t="shared" si="34"/>
        <v>A</v>
      </c>
      <c r="N113" s="25" t="str">
        <f>IF(L113&lt;&gt;"",VLOOKUP(L113,Categories!$B$2:$D$41,2,FALSE),IF(F113&lt;&gt;"","No Cat",""))</f>
        <v>All Other</v>
      </c>
      <c r="O113" s="25" t="str">
        <f>IF($L113&lt;&gt;"",VLOOKUP($L113,Categories!$B$2:$D$41,3,FALSE),IF($F113&lt;&gt;"","No Cat",""))</f>
        <v>EB-Cap</v>
      </c>
      <c r="P113" s="736" t="s">
        <v>2490</v>
      </c>
      <c r="Q113" s="25" t="str">
        <f>VLOOKUP($P113,Allocators!$B$7:$F$19,5,FALSE)</f>
        <v>Rate Base</v>
      </c>
      <c r="R113" s="737">
        <f>VLOOKUP($P113,Allocators!$B$7:$F$19,2,FALSE)</f>
        <v>0.70940000000000003</v>
      </c>
      <c r="S113" s="737">
        <f>VLOOKUP($P113,Allocators!$B$7:$F$19,3,FALSE)</f>
        <v>0.29060000000000002</v>
      </c>
      <c r="T113" s="737" t="str">
        <f t="shared" si="38"/>
        <v>0.0%</v>
      </c>
      <c r="U113" s="2">
        <f t="shared" si="25"/>
        <v>1525.0149318482499</v>
      </c>
      <c r="V113" s="2">
        <f t="shared" si="26"/>
        <v>624.71009190175005</v>
      </c>
      <c r="W113" s="2">
        <f t="shared" si="27"/>
        <v>0</v>
      </c>
      <c r="X113" s="2">
        <f t="shared" si="28"/>
        <v>2149.7250237500002</v>
      </c>
      <c r="Y113" s="2">
        <f t="shared" si="29"/>
        <v>62.113467849999999</v>
      </c>
      <c r="Z113" s="2">
        <f t="shared" si="30"/>
        <v>25.444282149999999</v>
      </c>
      <c r="AA113" s="2">
        <f t="shared" si="31"/>
        <v>0</v>
      </c>
      <c r="AB113" s="2">
        <f t="shared" si="32"/>
        <v>87.557749999999999</v>
      </c>
      <c r="AC113" s="759">
        <v>3379.9395</v>
      </c>
      <c r="AD113" s="741">
        <v>6366.3712800000003</v>
      </c>
      <c r="AE113" s="741">
        <v>4188.8327300000001</v>
      </c>
      <c r="AF113" s="741">
        <v>4163.5197900000003</v>
      </c>
      <c r="AG113" s="741">
        <v>1566.8062299999999</v>
      </c>
      <c r="AH113" s="741">
        <v>2056.6686500000001</v>
      </c>
      <c r="AI113" s="741">
        <v>3295.1158399999999</v>
      </c>
      <c r="AJ113" s="741">
        <v>1210.6636599999999</v>
      </c>
      <c r="AK113" s="741">
        <v>139.90485999999999</v>
      </c>
      <c r="AL113" s="741">
        <v>202.50432000000001</v>
      </c>
      <c r="AM113" s="741">
        <v>457.37923999999998</v>
      </c>
      <c r="AN113" s="741">
        <v>415.18506000000002</v>
      </c>
      <c r="AO113" s="741">
        <v>87.557749999999999</v>
      </c>
      <c r="AP113" s="41" t="str">
        <f t="shared" si="22"/>
        <v>GLA</v>
      </c>
      <c r="AQ113" s="41" t="str">
        <f t="shared" si="23"/>
        <v>GLAA2Accounts Receivable</v>
      </c>
      <c r="AR113" s="41" t="str">
        <f t="shared" si="24"/>
        <v>A2Accounts Receivable</v>
      </c>
      <c r="CR113" s="625"/>
    </row>
    <row r="114" spans="1:96" s="41" customFormat="1" ht="12.75" customHeight="1">
      <c r="A114" s="25" t="s">
        <v>17</v>
      </c>
      <c r="B114" s="25" t="str">
        <f t="shared" si="33"/>
        <v>GL142400</v>
      </c>
      <c r="C114" s="638">
        <v>142400</v>
      </c>
      <c r="D114" s="735"/>
      <c r="F114" s="1" t="s">
        <v>118</v>
      </c>
      <c r="H114" s="736" t="s">
        <v>2546</v>
      </c>
      <c r="I114" s="25"/>
      <c r="J114" s="25"/>
      <c r="K114" s="442" t="str">
        <f t="shared" si="21"/>
        <v/>
      </c>
      <c r="L114" s="736" t="s">
        <v>2393</v>
      </c>
      <c r="M114" s="25" t="str">
        <f t="shared" si="34"/>
        <v>A</v>
      </c>
      <c r="N114" s="25" t="str">
        <f>IF(L114&lt;&gt;"",VLOOKUP(L114,Categories!$B$2:$D$41,2,FALSE),IF(F114&lt;&gt;"","No Cat",""))</f>
        <v>All Other</v>
      </c>
      <c r="O114" s="25" t="str">
        <f>IF($L114&lt;&gt;"",VLOOKUP($L114,Categories!$B$2:$D$41,3,FALSE),IF($F114&lt;&gt;"","No Cat",""))</f>
        <v>EB-Cap</v>
      </c>
      <c r="P114" s="736" t="s">
        <v>2490</v>
      </c>
      <c r="Q114" s="25" t="str">
        <f>VLOOKUP($P114,Allocators!$B$7:$F$19,5,FALSE)</f>
        <v>Rate Base</v>
      </c>
      <c r="R114" s="737">
        <f>VLOOKUP($P114,Allocators!$B$7:$F$19,2,FALSE)</f>
        <v>0.70940000000000003</v>
      </c>
      <c r="S114" s="737">
        <f>VLOOKUP($P114,Allocators!$B$7:$F$19,3,FALSE)</f>
        <v>0.29060000000000002</v>
      </c>
      <c r="T114" s="737" t="str">
        <f t="shared" si="38"/>
        <v>0.0%</v>
      </c>
      <c r="U114" s="2" t="str">
        <f t="shared" si="25"/>
        <v/>
      </c>
      <c r="V114" s="2" t="str">
        <f t="shared" si="26"/>
        <v/>
      </c>
      <c r="W114" s="2" t="str">
        <f t="shared" si="27"/>
        <v/>
      </c>
      <c r="X114" s="2">
        <f t="shared" si="28"/>
        <v>0</v>
      </c>
      <c r="Y114" s="2" t="str">
        <f t="shared" si="29"/>
        <v/>
      </c>
      <c r="Z114" s="2" t="str">
        <f t="shared" si="30"/>
        <v/>
      </c>
      <c r="AA114" s="2" t="str">
        <f t="shared" si="31"/>
        <v/>
      </c>
      <c r="AB114" s="2">
        <f t="shared" si="32"/>
        <v>0</v>
      </c>
      <c r="AC114" s="759">
        <v>0</v>
      </c>
      <c r="AD114" s="741">
        <v>0</v>
      </c>
      <c r="AE114" s="741">
        <v>0</v>
      </c>
      <c r="AF114" s="741">
        <v>0</v>
      </c>
      <c r="AG114" s="741">
        <v>0</v>
      </c>
      <c r="AH114" s="741">
        <v>0</v>
      </c>
      <c r="AI114" s="741">
        <v>0</v>
      </c>
      <c r="AJ114" s="741">
        <v>0</v>
      </c>
      <c r="AK114" s="741">
        <v>0</v>
      </c>
      <c r="AL114" s="741">
        <v>0</v>
      </c>
      <c r="AM114" s="741">
        <v>0</v>
      </c>
      <c r="AN114" s="741">
        <v>0</v>
      </c>
      <c r="AO114" s="741">
        <v>0</v>
      </c>
      <c r="AP114" s="41" t="str">
        <f t="shared" si="22"/>
        <v>GLA</v>
      </c>
      <c r="AQ114" s="41" t="str">
        <f t="shared" si="23"/>
        <v>GLAA2Accounts Receivable</v>
      </c>
      <c r="AR114" s="41" t="str">
        <f t="shared" si="24"/>
        <v>A2Accounts Receivable</v>
      </c>
      <c r="CR114" s="625"/>
    </row>
    <row r="115" spans="1:96" s="41" customFormat="1" ht="12.75" customHeight="1">
      <c r="A115" s="25" t="s">
        <v>17</v>
      </c>
      <c r="B115" s="25" t="str">
        <f t="shared" si="33"/>
        <v>GL142500</v>
      </c>
      <c r="C115" s="638">
        <v>142500</v>
      </c>
      <c r="D115" s="735"/>
      <c r="F115" s="1" t="s">
        <v>119</v>
      </c>
      <c r="H115" s="736" t="s">
        <v>2546</v>
      </c>
      <c r="I115" s="25"/>
      <c r="J115" s="25"/>
      <c r="K115" s="442" t="str">
        <f t="shared" si="21"/>
        <v/>
      </c>
      <c r="L115" s="736" t="s">
        <v>2393</v>
      </c>
      <c r="M115" s="25" t="str">
        <f t="shared" si="34"/>
        <v>A</v>
      </c>
      <c r="N115" s="25" t="str">
        <f>IF(L115&lt;&gt;"",VLOOKUP(L115,Categories!$B$2:$D$41,2,FALSE),IF(F115&lt;&gt;"","No Cat",""))</f>
        <v>All Other</v>
      </c>
      <c r="O115" s="25" t="str">
        <f>IF($L115&lt;&gt;"",VLOOKUP($L115,Categories!$B$2:$D$41,3,FALSE),IF($F115&lt;&gt;"","No Cat",""))</f>
        <v>EB-Cap</v>
      </c>
      <c r="P115" s="736" t="s">
        <v>2490</v>
      </c>
      <c r="Q115" s="25" t="str">
        <f>VLOOKUP($P115,Allocators!$B$7:$F$19,5,FALSE)</f>
        <v>Rate Base</v>
      </c>
      <c r="R115" s="737">
        <f>VLOOKUP($P115,Allocators!$B$7:$F$19,2,FALSE)</f>
        <v>0.70940000000000003</v>
      </c>
      <c r="S115" s="737">
        <f>VLOOKUP($P115,Allocators!$B$7:$F$19,3,FALSE)</f>
        <v>0.29060000000000002</v>
      </c>
      <c r="T115" s="737" t="str">
        <f t="shared" si="38"/>
        <v>0.0%</v>
      </c>
      <c r="U115" s="2">
        <f t="shared" si="25"/>
        <v>-55.7547251844166</v>
      </c>
      <c r="V115" s="2">
        <f t="shared" si="26"/>
        <v>-22.8394743989167</v>
      </c>
      <c r="W115" s="2">
        <f t="shared" si="27"/>
        <v>0</v>
      </c>
      <c r="X115" s="2">
        <f t="shared" si="28"/>
        <v>-78.594199583333307</v>
      </c>
      <c r="Y115" s="2" t="str">
        <f t="shared" si="29"/>
        <v/>
      </c>
      <c r="Z115" s="2" t="str">
        <f t="shared" si="30"/>
        <v/>
      </c>
      <c r="AA115" s="2" t="str">
        <f t="shared" si="31"/>
        <v/>
      </c>
      <c r="AB115" s="2">
        <f t="shared" si="32"/>
        <v>0</v>
      </c>
      <c r="AC115" s="759">
        <v>-1886.26079</v>
      </c>
      <c r="AD115" s="741">
        <v>0</v>
      </c>
      <c r="AE115" s="741">
        <v>0</v>
      </c>
      <c r="AF115" s="741">
        <v>0</v>
      </c>
      <c r="AG115" s="741">
        <v>0</v>
      </c>
      <c r="AH115" s="741">
        <v>0</v>
      </c>
      <c r="AI115" s="741">
        <v>0</v>
      </c>
      <c r="AJ115" s="741">
        <v>0</v>
      </c>
      <c r="AK115" s="741">
        <v>0</v>
      </c>
      <c r="AL115" s="741">
        <v>0</v>
      </c>
      <c r="AM115" s="741">
        <v>0</v>
      </c>
      <c r="AN115" s="741">
        <v>0</v>
      </c>
      <c r="AO115" s="741">
        <v>0</v>
      </c>
      <c r="AP115" s="41" t="str">
        <f t="shared" si="22"/>
        <v>GLA</v>
      </c>
      <c r="AQ115" s="41" t="str">
        <f t="shared" si="23"/>
        <v>GLAA2Accounts Receivable</v>
      </c>
      <c r="AR115" s="41" t="str">
        <f t="shared" si="24"/>
        <v>A2Accounts Receivable</v>
      </c>
      <c r="CR115" s="625"/>
    </row>
    <row r="116" spans="1:96" s="41" customFormat="1" ht="12.75" customHeight="1">
      <c r="A116" s="25" t="s">
        <v>17</v>
      </c>
      <c r="B116" s="25" t="str">
        <f t="shared" si="33"/>
        <v>GL142505</v>
      </c>
      <c r="C116" s="638">
        <v>142505</v>
      </c>
      <c r="D116" s="735"/>
      <c r="F116" s="1" t="s">
        <v>120</v>
      </c>
      <c r="H116" s="736">
        <v>0</v>
      </c>
      <c r="I116" s="25"/>
      <c r="J116" s="25"/>
      <c r="K116" s="442" t="str">
        <f t="shared" si="21"/>
        <v/>
      </c>
      <c r="L116" s="736" t="s">
        <v>2393</v>
      </c>
      <c r="M116" s="25" t="str">
        <f t="shared" si="34"/>
        <v>A</v>
      </c>
      <c r="N116" s="25" t="str">
        <f>IF(L116&lt;&gt;"",VLOOKUP(L116,Categories!$B$2:$D$41,2,FALSE),IF(F116&lt;&gt;"","No Cat",""))</f>
        <v>All Other</v>
      </c>
      <c r="O116" s="25" t="str">
        <f>IF($L116&lt;&gt;"",VLOOKUP($L116,Categories!$B$2:$D$41,3,FALSE),IF($F116&lt;&gt;"","No Cat",""))</f>
        <v>EB-Cap</v>
      </c>
      <c r="P116" s="736" t="s">
        <v>2490</v>
      </c>
      <c r="Q116" s="25" t="str">
        <f>VLOOKUP($P116,Allocators!$B$7:$F$19,5,FALSE)</f>
        <v>Rate Base</v>
      </c>
      <c r="R116" s="737">
        <f>VLOOKUP($P116,Allocators!$B$7:$F$19,2,FALSE)</f>
        <v>0.70940000000000003</v>
      </c>
      <c r="S116" s="737">
        <f>VLOOKUP($P116,Allocators!$B$7:$F$19,3,FALSE)</f>
        <v>0.29060000000000002</v>
      </c>
      <c r="T116" s="737" t="str">
        <f t="shared" si="38"/>
        <v>0.0%</v>
      </c>
      <c r="U116" s="2">
        <f t="shared" si="25"/>
        <v>-0.49126127349999998</v>
      </c>
      <c r="V116" s="2">
        <f t="shared" si="26"/>
        <v>-0.20124122650000001</v>
      </c>
      <c r="W116" s="2">
        <f t="shared" si="27"/>
        <v>0</v>
      </c>
      <c r="X116" s="2">
        <f t="shared" si="28"/>
        <v>-0.69250250000000002</v>
      </c>
      <c r="Y116" s="2" t="str">
        <f t="shared" si="29"/>
        <v/>
      </c>
      <c r="Z116" s="2" t="str">
        <f t="shared" si="30"/>
        <v/>
      </c>
      <c r="AA116" s="2" t="str">
        <f t="shared" si="31"/>
        <v/>
      </c>
      <c r="AB116" s="2">
        <f t="shared" si="32"/>
        <v>0</v>
      </c>
      <c r="AC116" s="759">
        <v>4.9680000000000002E-2</v>
      </c>
      <c r="AD116" s="741">
        <v>-2.7139600000000002</v>
      </c>
      <c r="AE116" s="741">
        <v>-2.7436400000000001</v>
      </c>
      <c r="AF116" s="741">
        <v>-0.84605999999999992</v>
      </c>
      <c r="AG116" s="741">
        <v>-0.58105999999999991</v>
      </c>
      <c r="AH116" s="741">
        <v>0.22358</v>
      </c>
      <c r="AI116" s="741">
        <v>0.30499999999999999</v>
      </c>
      <c r="AJ116" s="741">
        <v>0</v>
      </c>
      <c r="AK116" s="741">
        <v>0</v>
      </c>
      <c r="AL116" s="741">
        <v>0</v>
      </c>
      <c r="AM116" s="741">
        <v>-1.0407500000000001</v>
      </c>
      <c r="AN116" s="741">
        <v>-0.93798000000000004</v>
      </c>
      <c r="AO116" s="741">
        <v>0</v>
      </c>
      <c r="AP116" s="41" t="str">
        <f t="shared" si="22"/>
        <v>GLA</v>
      </c>
      <c r="AQ116" s="41" t="str">
        <f t="shared" si="23"/>
        <v>GLAA20</v>
      </c>
      <c r="AR116" s="41" t="str">
        <f t="shared" si="24"/>
        <v>A20</v>
      </c>
      <c r="CR116" s="625"/>
    </row>
    <row r="117" spans="1:96" s="41" customFormat="1" ht="12.75" customHeight="1">
      <c r="A117" s="25" t="s">
        <v>17</v>
      </c>
      <c r="B117" s="25" t="str">
        <f t="shared" si="33"/>
        <v>GL142515</v>
      </c>
      <c r="C117" s="638">
        <v>142515</v>
      </c>
      <c r="D117" s="735"/>
      <c r="F117" s="1" t="s">
        <v>121</v>
      </c>
      <c r="H117" s="736">
        <v>0</v>
      </c>
      <c r="I117" s="25"/>
      <c r="J117" s="25"/>
      <c r="K117" s="442" t="str">
        <f t="shared" si="21"/>
        <v/>
      </c>
      <c r="L117" s="736" t="s">
        <v>2393</v>
      </c>
      <c r="M117" s="25" t="str">
        <f t="shared" si="34"/>
        <v>A</v>
      </c>
      <c r="N117" s="25" t="str">
        <f>IF(L117&lt;&gt;"",VLOOKUP(L117,Categories!$B$2:$D$41,2,FALSE),IF(F117&lt;&gt;"","No Cat",""))</f>
        <v>All Other</v>
      </c>
      <c r="O117" s="25" t="str">
        <f>IF($L117&lt;&gt;"",VLOOKUP($L117,Categories!$B$2:$D$41,3,FALSE),IF($F117&lt;&gt;"","No Cat",""))</f>
        <v>EB-Cap</v>
      </c>
      <c r="P117" s="736" t="s">
        <v>2490</v>
      </c>
      <c r="Q117" s="25" t="str">
        <f>VLOOKUP($P117,Allocators!$B$7:$F$19,5,FALSE)</f>
        <v>Rate Base</v>
      </c>
      <c r="R117" s="737">
        <f>VLOOKUP($P117,Allocators!$B$7:$F$19,2,FALSE)</f>
        <v>0.70940000000000003</v>
      </c>
      <c r="S117" s="737">
        <f>VLOOKUP($P117,Allocators!$B$7:$F$19,3,FALSE)</f>
        <v>0.29060000000000002</v>
      </c>
      <c r="T117" s="737" t="str">
        <f t="shared" si="38"/>
        <v>0.0%</v>
      </c>
      <c r="U117" s="2">
        <f t="shared" si="25"/>
        <v>1306.3230545408401</v>
      </c>
      <c r="V117" s="2">
        <f t="shared" si="26"/>
        <v>535.12472462583401</v>
      </c>
      <c r="W117" s="2">
        <f t="shared" si="27"/>
        <v>0</v>
      </c>
      <c r="X117" s="2">
        <f t="shared" si="28"/>
        <v>1841.44777916667</v>
      </c>
      <c r="Y117" s="2">
        <f t="shared" si="29"/>
        <v>844.58558373799997</v>
      </c>
      <c r="Z117" s="2">
        <f t="shared" si="30"/>
        <v>345.97768626200002</v>
      </c>
      <c r="AA117" s="2">
        <f t="shared" si="31"/>
        <v>0</v>
      </c>
      <c r="AB117" s="2">
        <f t="shared" si="32"/>
        <v>1190.5632700000001</v>
      </c>
      <c r="AC117" s="759">
        <v>1322.86349</v>
      </c>
      <c r="AD117" s="741">
        <v>1897.80198</v>
      </c>
      <c r="AE117" s="741">
        <v>2502.4190600000002</v>
      </c>
      <c r="AF117" s="741">
        <v>2567.86582</v>
      </c>
      <c r="AG117" s="741">
        <v>2377.4801600000001</v>
      </c>
      <c r="AH117" s="741">
        <v>2106.2647099999999</v>
      </c>
      <c r="AI117" s="741">
        <v>2831.82089</v>
      </c>
      <c r="AJ117" s="741">
        <v>1918.2558899999999</v>
      </c>
      <c r="AK117" s="741">
        <v>1163.87607</v>
      </c>
      <c r="AL117" s="741">
        <v>1368.6137699999999</v>
      </c>
      <c r="AM117" s="741">
        <v>880.70018000000005</v>
      </c>
      <c r="AN117" s="741">
        <v>1225.5614399999999</v>
      </c>
      <c r="AO117" s="741">
        <v>1190.5632700000001</v>
      </c>
      <c r="AP117" s="41" t="str">
        <f t="shared" si="22"/>
        <v>GLA</v>
      </c>
      <c r="AQ117" s="41" t="str">
        <f t="shared" si="23"/>
        <v>GLAA20</v>
      </c>
      <c r="AR117" s="41" t="str">
        <f t="shared" si="24"/>
        <v>A20</v>
      </c>
      <c r="CR117" s="625"/>
    </row>
    <row r="118" spans="1:96" s="41" customFormat="1" ht="12.75" customHeight="1">
      <c r="A118" s="25" t="s">
        <v>17</v>
      </c>
      <c r="B118" s="25" t="str">
        <f t="shared" si="33"/>
        <v>GL142520</v>
      </c>
      <c r="C118" s="638">
        <v>142520</v>
      </c>
      <c r="D118" s="735"/>
      <c r="F118" s="1" t="s">
        <v>122</v>
      </c>
      <c r="H118" s="736">
        <v>0</v>
      </c>
      <c r="I118" s="25"/>
      <c r="J118" s="25"/>
      <c r="K118" s="442" t="str">
        <f t="shared" si="21"/>
        <v/>
      </c>
      <c r="L118" s="736" t="s">
        <v>2393</v>
      </c>
      <c r="M118" s="25" t="str">
        <f t="shared" si="34"/>
        <v>A</v>
      </c>
      <c r="N118" s="25" t="str">
        <f>IF(L118&lt;&gt;"",VLOOKUP(L118,Categories!$B$2:$D$41,2,FALSE),IF(F118&lt;&gt;"","No Cat",""))</f>
        <v>All Other</v>
      </c>
      <c r="O118" s="25" t="str">
        <f>IF($L118&lt;&gt;"",VLOOKUP($L118,Categories!$B$2:$D$41,3,FALSE),IF($F118&lt;&gt;"","No Cat",""))</f>
        <v>EB-Cap</v>
      </c>
      <c r="P118" s="736" t="s">
        <v>2490</v>
      </c>
      <c r="Q118" s="25" t="str">
        <f>VLOOKUP($P118,Allocators!$B$7:$F$19,5,FALSE)</f>
        <v>Rate Base</v>
      </c>
      <c r="R118" s="737">
        <f>VLOOKUP($P118,Allocators!$B$7:$F$19,2,FALSE)</f>
        <v>0.70940000000000003</v>
      </c>
      <c r="S118" s="737">
        <f>VLOOKUP($P118,Allocators!$B$7:$F$19,3,FALSE)</f>
        <v>0.29060000000000002</v>
      </c>
      <c r="T118" s="737" t="str">
        <f t="shared" si="38"/>
        <v>0.0%</v>
      </c>
      <c r="U118" s="2">
        <f t="shared" si="25"/>
        <v>5.0912053673333402</v>
      </c>
      <c r="V118" s="2">
        <f t="shared" si="26"/>
        <v>2.08557129933333</v>
      </c>
      <c r="W118" s="2">
        <f t="shared" si="27"/>
        <v>0</v>
      </c>
      <c r="X118" s="2">
        <f t="shared" si="28"/>
        <v>7.1767766666666697</v>
      </c>
      <c r="Y118" s="2">
        <f t="shared" si="29"/>
        <v>6.050869864</v>
      </c>
      <c r="Z118" s="2">
        <f t="shared" si="30"/>
        <v>2.478690136</v>
      </c>
      <c r="AA118" s="2">
        <f t="shared" si="31"/>
        <v>0</v>
      </c>
      <c r="AB118" s="2">
        <f t="shared" si="32"/>
        <v>8.52956</v>
      </c>
      <c r="AC118" s="759">
        <v>5.6</v>
      </c>
      <c r="AD118" s="741">
        <v>5.6</v>
      </c>
      <c r="AE118" s="741">
        <v>5.6</v>
      </c>
      <c r="AF118" s="741">
        <v>5.6</v>
      </c>
      <c r="AG118" s="741">
        <v>5.6</v>
      </c>
      <c r="AH118" s="741">
        <v>5.6</v>
      </c>
      <c r="AI118" s="741">
        <v>8.5116499999999995</v>
      </c>
      <c r="AJ118" s="741">
        <v>8.5116499999999995</v>
      </c>
      <c r="AK118" s="741">
        <v>8.5045599999999997</v>
      </c>
      <c r="AL118" s="741">
        <v>8.5095599999999987</v>
      </c>
      <c r="AM118" s="741">
        <v>8.5095599999999987</v>
      </c>
      <c r="AN118" s="741">
        <v>8.5095599999999987</v>
      </c>
      <c r="AO118" s="741">
        <v>8.52956</v>
      </c>
      <c r="AP118" s="41" t="str">
        <f t="shared" si="22"/>
        <v>GLA</v>
      </c>
      <c r="AQ118" s="41" t="str">
        <f t="shared" si="23"/>
        <v>GLAA20</v>
      </c>
      <c r="AR118" s="41" t="str">
        <f t="shared" si="24"/>
        <v>A20</v>
      </c>
      <c r="CR118" s="625"/>
    </row>
    <row r="119" spans="1:96" s="41" customFormat="1" ht="12.75" customHeight="1">
      <c r="A119" s="25" t="s">
        <v>17</v>
      </c>
      <c r="B119" s="25" t="str">
        <f t="shared" si="33"/>
        <v>GL143000</v>
      </c>
      <c r="C119" s="638">
        <v>143000</v>
      </c>
      <c r="D119" s="735"/>
      <c r="F119" s="1" t="s">
        <v>123</v>
      </c>
      <c r="H119" s="736">
        <v>0</v>
      </c>
      <c r="I119" s="25"/>
      <c r="J119" s="25"/>
      <c r="K119" s="442" t="str">
        <f t="shared" si="21"/>
        <v/>
      </c>
      <c r="L119" s="736" t="s">
        <v>2393</v>
      </c>
      <c r="M119" s="25" t="str">
        <f t="shared" si="34"/>
        <v>A</v>
      </c>
      <c r="N119" s="25" t="str">
        <f>IF(L119&lt;&gt;"",VLOOKUP(L119,Categories!$B$2:$D$41,2,FALSE),IF(F119&lt;&gt;"","No Cat",""))</f>
        <v>All Other</v>
      </c>
      <c r="O119" s="25" t="str">
        <f>IF($L119&lt;&gt;"",VLOOKUP($L119,Categories!$B$2:$D$41,3,FALSE),IF($F119&lt;&gt;"","No Cat",""))</f>
        <v>EB-Cap</v>
      </c>
      <c r="P119" s="736" t="s">
        <v>2490</v>
      </c>
      <c r="Q119" s="25" t="str">
        <f>VLOOKUP($P119,Allocators!$B$7:$F$19,5,FALSE)</f>
        <v>Rate Base</v>
      </c>
      <c r="R119" s="737">
        <f>VLOOKUP($P119,Allocators!$B$7:$F$19,2,FALSE)</f>
        <v>0.70940000000000003</v>
      </c>
      <c r="S119" s="737">
        <f>VLOOKUP($P119,Allocators!$B$7:$F$19,3,FALSE)</f>
        <v>0.29060000000000002</v>
      </c>
      <c r="T119" s="737" t="str">
        <f t="shared" si="38"/>
        <v>0.0%</v>
      </c>
      <c r="U119" s="2">
        <f t="shared" si="25"/>
        <v>447.95277150125003</v>
      </c>
      <c r="V119" s="2">
        <f t="shared" si="26"/>
        <v>183.50024724874999</v>
      </c>
      <c r="W119" s="2">
        <f t="shared" si="27"/>
        <v>0</v>
      </c>
      <c r="X119" s="2">
        <f t="shared" si="28"/>
        <v>631.45301874999996</v>
      </c>
      <c r="Y119" s="2">
        <f t="shared" si="29"/>
        <v>238.30708909800001</v>
      </c>
      <c r="Z119" s="2">
        <f t="shared" si="30"/>
        <v>97.620580902</v>
      </c>
      <c r="AA119" s="2">
        <f t="shared" si="31"/>
        <v>0</v>
      </c>
      <c r="AB119" s="2">
        <f t="shared" si="32"/>
        <v>335.92766999999998</v>
      </c>
      <c r="AC119" s="759">
        <v>302.07693999999998</v>
      </c>
      <c r="AD119" s="741">
        <v>330.6979</v>
      </c>
      <c r="AE119" s="741">
        <v>149.88376</v>
      </c>
      <c r="AF119" s="741">
        <v>149.88376</v>
      </c>
      <c r="AG119" s="741">
        <v>340.46262000000002</v>
      </c>
      <c r="AH119" s="741">
        <v>665.83003000000008</v>
      </c>
      <c r="AI119" s="741">
        <v>972.31299999999999</v>
      </c>
      <c r="AJ119" s="741">
        <v>1294.2827299999999</v>
      </c>
      <c r="AK119" s="741">
        <v>992.87547999999992</v>
      </c>
      <c r="AL119" s="741">
        <v>936.78385000000003</v>
      </c>
      <c r="AM119" s="741">
        <v>843.87224000000003</v>
      </c>
      <c r="AN119" s="741">
        <v>581.54855000000009</v>
      </c>
      <c r="AO119" s="741">
        <v>335.92766999999998</v>
      </c>
      <c r="AP119" s="41" t="str">
        <f t="shared" si="22"/>
        <v>GLA</v>
      </c>
      <c r="AQ119" s="41" t="str">
        <f t="shared" si="23"/>
        <v>GLAA20</v>
      </c>
      <c r="AR119" s="41" t="str">
        <f t="shared" si="24"/>
        <v>A20</v>
      </c>
      <c r="CR119" s="625"/>
    </row>
    <row r="120" spans="1:96" s="41" customFormat="1" ht="12.75" customHeight="1">
      <c r="A120" s="25" t="s">
        <v>17</v>
      </c>
      <c r="B120" s="25" t="str">
        <f t="shared" si="33"/>
        <v>GL143005</v>
      </c>
      <c r="C120" s="638">
        <v>143005</v>
      </c>
      <c r="D120" s="735"/>
      <c r="F120" s="1" t="s">
        <v>124</v>
      </c>
      <c r="H120" s="736" t="s">
        <v>2546</v>
      </c>
      <c r="I120" s="25"/>
      <c r="J120" s="25"/>
      <c r="K120" s="442" t="str">
        <f t="shared" si="21"/>
        <v/>
      </c>
      <c r="L120" s="736" t="s">
        <v>2393</v>
      </c>
      <c r="M120" s="25" t="str">
        <f t="shared" si="34"/>
        <v>A</v>
      </c>
      <c r="N120" s="25" t="str">
        <f>IF(L120&lt;&gt;"",VLOOKUP(L120,Categories!$B$2:$D$41,2,FALSE),IF(F120&lt;&gt;"","No Cat",""))</f>
        <v>All Other</v>
      </c>
      <c r="O120" s="25" t="str">
        <f>IF($L120&lt;&gt;"",VLOOKUP($L120,Categories!$B$2:$D$41,3,FALSE),IF($F120&lt;&gt;"","No Cat",""))</f>
        <v>EB-Cap</v>
      </c>
      <c r="P120" s="736" t="s">
        <v>2490</v>
      </c>
      <c r="Q120" s="25" t="str">
        <f>VLOOKUP($P120,Allocators!$B$7:$F$19,5,FALSE)</f>
        <v>Rate Base</v>
      </c>
      <c r="R120" s="737">
        <f>VLOOKUP($P120,Allocators!$B$7:$F$19,2,FALSE)</f>
        <v>0.70940000000000003</v>
      </c>
      <c r="S120" s="737">
        <f>VLOOKUP($P120,Allocators!$B$7:$F$19,3,FALSE)</f>
        <v>0.29060000000000002</v>
      </c>
      <c r="T120" s="737" t="str">
        <f t="shared" si="38"/>
        <v>0.0%</v>
      </c>
      <c r="U120" s="2">
        <f t="shared" si="25"/>
        <v>6598.1630137366701</v>
      </c>
      <c r="V120" s="2">
        <f t="shared" si="26"/>
        <v>2702.8843695966698</v>
      </c>
      <c r="W120" s="2">
        <f t="shared" si="27"/>
        <v>0</v>
      </c>
      <c r="X120" s="2">
        <f t="shared" si="28"/>
        <v>9301.0473833333308</v>
      </c>
      <c r="Y120" s="2">
        <f t="shared" si="29"/>
        <v>2849.2639264240001</v>
      </c>
      <c r="Z120" s="2">
        <f t="shared" si="30"/>
        <v>1167.178033576</v>
      </c>
      <c r="AA120" s="2">
        <f t="shared" si="31"/>
        <v>0</v>
      </c>
      <c r="AB120" s="2">
        <f t="shared" si="32"/>
        <v>4016.4419600000001</v>
      </c>
      <c r="AC120" s="759">
        <v>13675.415999999999</v>
      </c>
      <c r="AD120" s="741">
        <v>11098.984380000002</v>
      </c>
      <c r="AE120" s="741">
        <v>9621.8521099999998</v>
      </c>
      <c r="AF120" s="741">
        <v>10766.93317</v>
      </c>
      <c r="AG120" s="741">
        <v>10446.2392</v>
      </c>
      <c r="AH120" s="741">
        <v>11198.432140000001</v>
      </c>
      <c r="AI120" s="741">
        <v>10313.12652</v>
      </c>
      <c r="AJ120" s="741">
        <v>10148.809660000001</v>
      </c>
      <c r="AK120" s="741">
        <v>10221.06453</v>
      </c>
      <c r="AL120" s="741">
        <v>11310.337939999999</v>
      </c>
      <c r="AM120" s="741">
        <v>3831.7439599999998</v>
      </c>
      <c r="AN120" s="741">
        <v>3809.1160099999997</v>
      </c>
      <c r="AO120" s="741">
        <v>4016.4419600000001</v>
      </c>
      <c r="AP120" s="41" t="str">
        <f t="shared" si="22"/>
        <v>GLA</v>
      </c>
      <c r="AQ120" s="41" t="str">
        <f t="shared" si="23"/>
        <v>GLAA2Accounts Receivable</v>
      </c>
      <c r="AR120" s="41" t="str">
        <f t="shared" si="24"/>
        <v>A2Accounts Receivable</v>
      </c>
      <c r="CR120" s="625"/>
    </row>
    <row r="121" spans="1:96" s="41" customFormat="1" ht="12.75" customHeight="1">
      <c r="A121" s="25" t="s">
        <v>17</v>
      </c>
      <c r="B121" s="25" t="str">
        <f t="shared" si="33"/>
        <v>GL143006</v>
      </c>
      <c r="C121" s="638">
        <v>143006</v>
      </c>
      <c r="D121" s="735"/>
      <c r="F121" s="1" t="s">
        <v>125</v>
      </c>
      <c r="H121" s="736" t="s">
        <v>2546</v>
      </c>
      <c r="I121" s="25"/>
      <c r="J121" s="25"/>
      <c r="K121" s="442" t="str">
        <f t="shared" si="21"/>
        <v/>
      </c>
      <c r="L121" s="736" t="s">
        <v>2393</v>
      </c>
      <c r="M121" s="25" t="str">
        <f t="shared" si="34"/>
        <v>A</v>
      </c>
      <c r="N121" s="25" t="str">
        <f>IF(L121&lt;&gt;"",VLOOKUP(L121,Categories!$B$2:$D$41,2,FALSE),IF(F121&lt;&gt;"","No Cat",""))</f>
        <v>All Other</v>
      </c>
      <c r="O121" s="25" t="str">
        <f>IF($L121&lt;&gt;"",VLOOKUP($L121,Categories!$B$2:$D$41,3,FALSE),IF($F121&lt;&gt;"","No Cat",""))</f>
        <v>EB-Cap</v>
      </c>
      <c r="P121" s="736" t="s">
        <v>2490</v>
      </c>
      <c r="Q121" s="25" t="str">
        <f>VLOOKUP($P121,Allocators!$B$7:$F$19,5,FALSE)</f>
        <v>Rate Base</v>
      </c>
      <c r="R121" s="737">
        <f>VLOOKUP($P121,Allocators!$B$7:$F$19,2,FALSE)</f>
        <v>0.70940000000000003</v>
      </c>
      <c r="S121" s="737">
        <f>VLOOKUP($P121,Allocators!$B$7:$F$19,3,FALSE)</f>
        <v>0.29060000000000002</v>
      </c>
      <c r="T121" s="737" t="str">
        <f t="shared" si="38"/>
        <v>0.0%</v>
      </c>
      <c r="U121" s="2">
        <f t="shared" si="25"/>
        <v>915.87227106499995</v>
      </c>
      <c r="V121" s="2">
        <f t="shared" si="26"/>
        <v>375.17970393500002</v>
      </c>
      <c r="W121" s="2">
        <f t="shared" si="27"/>
        <v>0</v>
      </c>
      <c r="X121" s="2">
        <f t="shared" si="28"/>
        <v>1291.0519750000001</v>
      </c>
      <c r="Y121" s="2">
        <f t="shared" si="29"/>
        <v>123.891134116</v>
      </c>
      <c r="Z121" s="2">
        <f t="shared" si="30"/>
        <v>50.751005884000001</v>
      </c>
      <c r="AA121" s="2">
        <f t="shared" si="31"/>
        <v>0</v>
      </c>
      <c r="AB121" s="2">
        <f t="shared" si="32"/>
        <v>174.64214000000001</v>
      </c>
      <c r="AC121" s="759">
        <v>473.26314000000002</v>
      </c>
      <c r="AD121" s="741">
        <v>581.08244999999999</v>
      </c>
      <c r="AE121" s="741">
        <v>3028.57213</v>
      </c>
      <c r="AF121" s="741">
        <v>2086.3864600000002</v>
      </c>
      <c r="AG121" s="741">
        <v>1311.61706</v>
      </c>
      <c r="AH121" s="741">
        <v>902.21169999999995</v>
      </c>
      <c r="AI121" s="741">
        <v>192.77851000000001</v>
      </c>
      <c r="AJ121" s="741">
        <v>6795.5496900000007</v>
      </c>
      <c r="AK121" s="741">
        <v>84.986940000000004</v>
      </c>
      <c r="AL121" s="741">
        <v>26.710830000000001</v>
      </c>
      <c r="AM121" s="741">
        <v>13.711589999999999</v>
      </c>
      <c r="AN121" s="741">
        <v>145.06370000000001</v>
      </c>
      <c r="AO121" s="741">
        <v>174.64214000000001</v>
      </c>
      <c r="AP121" s="41" t="str">
        <f t="shared" si="22"/>
        <v>GLA</v>
      </c>
      <c r="AQ121" s="41" t="str">
        <f t="shared" si="23"/>
        <v>GLAA2Accounts Receivable</v>
      </c>
      <c r="AR121" s="41" t="str">
        <f t="shared" si="24"/>
        <v>A2Accounts Receivable</v>
      </c>
      <c r="CR121" s="625"/>
    </row>
    <row r="122" spans="1:96" s="41" customFormat="1" ht="12.75" customHeight="1">
      <c r="A122" s="25" t="s">
        <v>17</v>
      </c>
      <c r="B122" s="25" t="str">
        <f t="shared" si="33"/>
        <v>GL143020</v>
      </c>
      <c r="C122" s="639">
        <v>143020</v>
      </c>
      <c r="D122" s="735"/>
      <c r="F122" s="1" t="s">
        <v>126</v>
      </c>
      <c r="H122" s="736" t="s">
        <v>2546</v>
      </c>
      <c r="I122" s="25"/>
      <c r="J122" s="25"/>
      <c r="K122" s="442" t="str">
        <f t="shared" si="21"/>
        <v/>
      </c>
      <c r="L122" s="736" t="s">
        <v>2393</v>
      </c>
      <c r="M122" s="25" t="str">
        <f t="shared" si="34"/>
        <v>A</v>
      </c>
      <c r="N122" s="25" t="str">
        <f>IF(L122&lt;&gt;"",VLOOKUP(L122,Categories!$B$2:$D$41,2,FALSE),IF(F122&lt;&gt;"","No Cat",""))</f>
        <v>All Other</v>
      </c>
      <c r="O122" s="25" t="str">
        <f>IF($L122&lt;&gt;"",VLOOKUP($L122,Categories!$B$2:$D$41,3,FALSE),IF($F122&lt;&gt;"","No Cat",""))</f>
        <v>EB-Cap</v>
      </c>
      <c r="P122" s="736" t="s">
        <v>2490</v>
      </c>
      <c r="Q122" s="25" t="str">
        <f>VLOOKUP($P122,Allocators!$B$7:$F$19,5,FALSE)</f>
        <v>Rate Base</v>
      </c>
      <c r="R122" s="737">
        <f>VLOOKUP($P122,Allocators!$B$7:$F$19,2,FALSE)</f>
        <v>0.70940000000000003</v>
      </c>
      <c r="S122" s="737">
        <f>VLOOKUP($P122,Allocators!$B$7:$F$19,3,FALSE)</f>
        <v>0.29060000000000002</v>
      </c>
      <c r="T122" s="737" t="str">
        <f t="shared" si="38"/>
        <v>0.0%</v>
      </c>
      <c r="U122" s="2">
        <f t="shared" si="25"/>
        <v>1.4725908461666599</v>
      </c>
      <c r="V122" s="2">
        <f t="shared" si="26"/>
        <v>0.60323498716666601</v>
      </c>
      <c r="W122" s="2">
        <f t="shared" si="27"/>
        <v>0</v>
      </c>
      <c r="X122" s="2">
        <f t="shared" si="28"/>
        <v>2.0758258333333299</v>
      </c>
      <c r="Y122" s="2">
        <f t="shared" si="29"/>
        <v>6.6548813999999998E-2</v>
      </c>
      <c r="Z122" s="2">
        <f t="shared" si="30"/>
        <v>2.7261186E-2</v>
      </c>
      <c r="AA122" s="2">
        <f t="shared" si="31"/>
        <v>0</v>
      </c>
      <c r="AB122" s="2">
        <f t="shared" si="32"/>
        <v>9.3810000000000004E-2</v>
      </c>
      <c r="AC122" s="759">
        <v>2.0290699999999999</v>
      </c>
      <c r="AD122" s="741">
        <v>2.0290699999999999</v>
      </c>
      <c r="AE122" s="741">
        <v>2.18194</v>
      </c>
      <c r="AF122" s="741">
        <v>2.18194</v>
      </c>
      <c r="AG122" s="741">
        <v>2.18194</v>
      </c>
      <c r="AH122" s="741">
        <v>2.18194</v>
      </c>
      <c r="AI122" s="741">
        <v>2.18194</v>
      </c>
      <c r="AJ122" s="741">
        <v>2.18194</v>
      </c>
      <c r="AK122" s="741">
        <v>2.18194</v>
      </c>
      <c r="AL122" s="741">
        <v>2.18194</v>
      </c>
      <c r="AM122" s="741">
        <v>2.18194</v>
      </c>
      <c r="AN122" s="741">
        <v>2.18194</v>
      </c>
      <c r="AO122" s="741">
        <v>9.3810000000000004E-2</v>
      </c>
      <c r="AP122" s="41" t="str">
        <f t="shared" si="22"/>
        <v>GLA</v>
      </c>
      <c r="AQ122" s="41" t="str">
        <f t="shared" si="23"/>
        <v>GLAA2Accounts Receivable</v>
      </c>
      <c r="AR122" s="41" t="str">
        <f t="shared" si="24"/>
        <v>A2Accounts Receivable</v>
      </c>
      <c r="CR122" s="625"/>
    </row>
    <row r="123" spans="1:96" s="41" customFormat="1" ht="12.75" customHeight="1">
      <c r="A123" s="25" t="s">
        <v>17</v>
      </c>
      <c r="B123" s="25" t="str">
        <f t="shared" si="33"/>
        <v>GL143030</v>
      </c>
      <c r="C123" s="638">
        <v>143030</v>
      </c>
      <c r="D123" s="735"/>
      <c r="F123" s="1" t="s">
        <v>127</v>
      </c>
      <c r="H123" s="736" t="s">
        <v>2546</v>
      </c>
      <c r="I123" s="25"/>
      <c r="J123" s="25"/>
      <c r="K123" s="442" t="str">
        <f t="shared" si="21"/>
        <v/>
      </c>
      <c r="L123" s="736" t="s">
        <v>2393</v>
      </c>
      <c r="M123" s="25" t="str">
        <f t="shared" si="34"/>
        <v>A</v>
      </c>
      <c r="N123" s="25" t="str">
        <f>IF(L123&lt;&gt;"",VLOOKUP(L123,Categories!$B$2:$D$41,2,FALSE),IF(F123&lt;&gt;"","No Cat",""))</f>
        <v>All Other</v>
      </c>
      <c r="O123" s="25" t="str">
        <f>IF($L123&lt;&gt;"",VLOOKUP($L123,Categories!$B$2:$D$41,3,FALSE),IF($F123&lt;&gt;"","No Cat",""))</f>
        <v>EB-Cap</v>
      </c>
      <c r="P123" s="736" t="s">
        <v>2490</v>
      </c>
      <c r="Q123" s="25" t="str">
        <f>VLOOKUP($P123,Allocators!$B$7:$F$19,5,FALSE)</f>
        <v>Rate Base</v>
      </c>
      <c r="R123" s="737">
        <f>VLOOKUP($P123,Allocators!$B$7:$F$19,2,FALSE)</f>
        <v>0.70940000000000003</v>
      </c>
      <c r="S123" s="737">
        <f>VLOOKUP($P123,Allocators!$B$7:$F$19,3,FALSE)</f>
        <v>0.29060000000000002</v>
      </c>
      <c r="T123" s="737" t="str">
        <f t="shared" si="38"/>
        <v>0.0%</v>
      </c>
      <c r="U123" s="2">
        <f t="shared" si="25"/>
        <v>-2.5324663691666598</v>
      </c>
      <c r="V123" s="2">
        <f t="shared" si="26"/>
        <v>-1.03740446416667</v>
      </c>
      <c r="W123" s="2">
        <f t="shared" si="27"/>
        <v>0</v>
      </c>
      <c r="X123" s="2">
        <f t="shared" si="28"/>
        <v>-3.5698708333333302</v>
      </c>
      <c r="Y123" s="2">
        <f t="shared" si="29"/>
        <v>-1.5464352480000001</v>
      </c>
      <c r="Z123" s="2">
        <f t="shared" si="30"/>
        <v>-0.63348475199999998</v>
      </c>
      <c r="AA123" s="2">
        <f t="shared" si="31"/>
        <v>0</v>
      </c>
      <c r="AB123" s="2">
        <f t="shared" si="32"/>
        <v>-2.1799200000000001</v>
      </c>
      <c r="AC123" s="759">
        <v>3.60846</v>
      </c>
      <c r="AD123" s="741">
        <v>-1.7846</v>
      </c>
      <c r="AE123" s="741">
        <v>-1.71526</v>
      </c>
      <c r="AF123" s="741">
        <v>-1.7439899999999999</v>
      </c>
      <c r="AG123" s="741">
        <v>-7.2284300000000004</v>
      </c>
      <c r="AH123" s="741">
        <v>-1.8345100000000001</v>
      </c>
      <c r="AI123" s="741">
        <v>-7.59267</v>
      </c>
      <c r="AJ123" s="741">
        <v>-7.6281400000000001</v>
      </c>
      <c r="AK123" s="741">
        <v>-2.3414000000000001</v>
      </c>
      <c r="AL123" s="741">
        <v>-2.1092</v>
      </c>
      <c r="AM123" s="741">
        <v>-2.1651500000000001</v>
      </c>
      <c r="AN123" s="741">
        <v>-7.40937</v>
      </c>
      <c r="AO123" s="741">
        <v>-2.1799200000000001</v>
      </c>
      <c r="AP123" s="41" t="str">
        <f t="shared" si="22"/>
        <v>GLA</v>
      </c>
      <c r="AQ123" s="41" t="str">
        <f t="shared" si="23"/>
        <v>GLAA2Accounts Receivable</v>
      </c>
      <c r="AR123" s="41" t="str">
        <f t="shared" si="24"/>
        <v>A2Accounts Receivable</v>
      </c>
      <c r="CR123" s="625"/>
    </row>
    <row r="124" spans="1:96" s="41" customFormat="1" ht="12.75" customHeight="1">
      <c r="A124" s="25" t="s">
        <v>17</v>
      </c>
      <c r="B124" s="25" t="str">
        <f t="shared" si="33"/>
        <v>GL143100</v>
      </c>
      <c r="C124" s="638">
        <v>143100</v>
      </c>
      <c r="D124" s="735"/>
      <c r="F124" s="1" t="s">
        <v>128</v>
      </c>
      <c r="H124" s="736" t="s">
        <v>2546</v>
      </c>
      <c r="I124" s="25"/>
      <c r="J124" s="25"/>
      <c r="K124" s="442" t="str">
        <f t="shared" si="21"/>
        <v/>
      </c>
      <c r="L124" s="736" t="s">
        <v>2393</v>
      </c>
      <c r="M124" s="25" t="str">
        <f t="shared" si="34"/>
        <v>A</v>
      </c>
      <c r="N124" s="25" t="str">
        <f>IF(L124&lt;&gt;"",VLOOKUP(L124,Categories!$B$2:$D$41,2,FALSE),IF(F124&lt;&gt;"","No Cat",""))</f>
        <v>All Other</v>
      </c>
      <c r="O124" s="25" t="str">
        <f>IF($L124&lt;&gt;"",VLOOKUP($L124,Categories!$B$2:$D$41,3,FALSE),IF($F124&lt;&gt;"","No Cat",""))</f>
        <v>EB-Cap</v>
      </c>
      <c r="P124" s="736" t="s">
        <v>2490</v>
      </c>
      <c r="Q124" s="25" t="str">
        <f>VLOOKUP($P124,Allocators!$B$7:$F$19,5,FALSE)</f>
        <v>Rate Base</v>
      </c>
      <c r="R124" s="737">
        <f>VLOOKUP($P124,Allocators!$B$7:$F$19,2,FALSE)</f>
        <v>0.70940000000000003</v>
      </c>
      <c r="S124" s="737">
        <f>VLOOKUP($P124,Allocators!$B$7:$F$19,3,FALSE)</f>
        <v>0.29060000000000002</v>
      </c>
      <c r="T124" s="737" t="str">
        <f t="shared" si="38"/>
        <v>0.0%</v>
      </c>
      <c r="U124" s="2">
        <f t="shared" si="25"/>
        <v>2.6550477333333999E-2</v>
      </c>
      <c r="V124" s="2">
        <f t="shared" si="26"/>
        <v>1.0876189333333E-2</v>
      </c>
      <c r="W124" s="2">
        <f t="shared" si="27"/>
        <v>0</v>
      </c>
      <c r="X124" s="2">
        <f t="shared" si="28"/>
        <v>3.7426666666666997E-2</v>
      </c>
      <c r="Y124" s="2" t="str">
        <f t="shared" si="29"/>
        <v/>
      </c>
      <c r="Z124" s="2" t="str">
        <f t="shared" si="30"/>
        <v/>
      </c>
      <c r="AA124" s="2" t="str">
        <f t="shared" si="31"/>
        <v/>
      </c>
      <c r="AB124" s="2">
        <f t="shared" si="32"/>
        <v>0</v>
      </c>
      <c r="AC124" s="759">
        <v>0.89824000000000004</v>
      </c>
      <c r="AD124" s="741">
        <v>0</v>
      </c>
      <c r="AE124" s="741">
        <v>0</v>
      </c>
      <c r="AF124" s="741">
        <v>0</v>
      </c>
      <c r="AG124" s="741">
        <v>0</v>
      </c>
      <c r="AH124" s="741">
        <v>0</v>
      </c>
      <c r="AI124" s="741">
        <v>0</v>
      </c>
      <c r="AJ124" s="741">
        <v>0</v>
      </c>
      <c r="AK124" s="741">
        <v>0</v>
      </c>
      <c r="AL124" s="741">
        <v>0</v>
      </c>
      <c r="AM124" s="741">
        <v>0</v>
      </c>
      <c r="AN124" s="741">
        <v>0</v>
      </c>
      <c r="AO124" s="741">
        <v>0</v>
      </c>
      <c r="AP124" s="41" t="str">
        <f t="shared" si="22"/>
        <v>GLA</v>
      </c>
      <c r="AQ124" s="41" t="str">
        <f t="shared" si="23"/>
        <v>GLAA2Accounts Receivable</v>
      </c>
      <c r="AR124" s="41" t="str">
        <f t="shared" si="24"/>
        <v>A2Accounts Receivable</v>
      </c>
      <c r="CR124" s="625"/>
    </row>
    <row r="125" spans="1:96" s="41" customFormat="1" ht="12.75" customHeight="1">
      <c r="A125" s="25" t="s">
        <v>17</v>
      </c>
      <c r="B125" s="25" t="str">
        <f t="shared" si="33"/>
        <v>GL143101</v>
      </c>
      <c r="C125" s="638">
        <v>143101</v>
      </c>
      <c r="D125" s="735"/>
      <c r="F125" s="1" t="s">
        <v>129</v>
      </c>
      <c r="H125" s="736" t="s">
        <v>2546</v>
      </c>
      <c r="I125" s="25"/>
      <c r="J125" s="25"/>
      <c r="K125" s="442" t="str">
        <f t="shared" si="21"/>
        <v/>
      </c>
      <c r="L125" s="736" t="s">
        <v>2393</v>
      </c>
      <c r="M125" s="25" t="str">
        <f t="shared" si="34"/>
        <v>A</v>
      </c>
      <c r="N125" s="25" t="str">
        <f>IF(L125&lt;&gt;"",VLOOKUP(L125,Categories!$B$2:$D$41,2,FALSE),IF(F125&lt;&gt;"","No Cat",""))</f>
        <v>All Other</v>
      </c>
      <c r="O125" s="25" t="str">
        <f>IF($L125&lt;&gt;"",VLOOKUP($L125,Categories!$B$2:$D$41,3,FALSE),IF($F125&lt;&gt;"","No Cat",""))</f>
        <v>EB-Cap</v>
      </c>
      <c r="P125" s="736" t="s">
        <v>2490</v>
      </c>
      <c r="Q125" s="25" t="str">
        <f>VLOOKUP($P125,Allocators!$B$7:$F$19,5,FALSE)</f>
        <v>Rate Base</v>
      </c>
      <c r="R125" s="737">
        <f>VLOOKUP($P125,Allocators!$B$7:$F$19,2,FALSE)</f>
        <v>0.70940000000000003</v>
      </c>
      <c r="S125" s="737">
        <f>VLOOKUP($P125,Allocators!$B$7:$F$19,3,FALSE)</f>
        <v>0.29060000000000002</v>
      </c>
      <c r="T125" s="737" t="str">
        <f t="shared" si="38"/>
        <v>0.0%</v>
      </c>
      <c r="U125" s="2">
        <f t="shared" si="25"/>
        <v>13.6780436718334</v>
      </c>
      <c r="V125" s="2">
        <f t="shared" si="26"/>
        <v>5.6031004948333401</v>
      </c>
      <c r="W125" s="2">
        <f t="shared" si="27"/>
        <v>0</v>
      </c>
      <c r="X125" s="2">
        <f t="shared" si="28"/>
        <v>19.281144166666699</v>
      </c>
      <c r="Y125" s="2">
        <f t="shared" si="29"/>
        <v>15.638488898</v>
      </c>
      <c r="Z125" s="2">
        <f t="shared" si="30"/>
        <v>6.4061811019999997</v>
      </c>
      <c r="AA125" s="2">
        <f t="shared" si="31"/>
        <v>0</v>
      </c>
      <c r="AB125" s="2">
        <f t="shared" si="32"/>
        <v>22.04467</v>
      </c>
      <c r="AC125" s="759">
        <v>17.236450000000001</v>
      </c>
      <c r="AD125" s="741">
        <v>18.56081</v>
      </c>
      <c r="AE125" s="741">
        <v>17.50122</v>
      </c>
      <c r="AF125" s="741">
        <v>18.937480000000001</v>
      </c>
      <c r="AG125" s="741">
        <v>16.89481</v>
      </c>
      <c r="AH125" s="741">
        <v>16.455880000000001</v>
      </c>
      <c r="AI125" s="741">
        <v>16.28603</v>
      </c>
      <c r="AJ125" s="741">
        <v>16.759160000000001</v>
      </c>
      <c r="AK125" s="741">
        <v>21.504939999999998</v>
      </c>
      <c r="AL125" s="741">
        <v>22.188860000000002</v>
      </c>
      <c r="AM125" s="741">
        <v>20.755400000000002</v>
      </c>
      <c r="AN125" s="741">
        <v>25.888580000000001</v>
      </c>
      <c r="AO125" s="741">
        <v>22.04467</v>
      </c>
      <c r="AP125" s="41" t="str">
        <f t="shared" si="22"/>
        <v>GLA</v>
      </c>
      <c r="AQ125" s="41" t="str">
        <f t="shared" si="23"/>
        <v>GLAA2Accounts Receivable</v>
      </c>
      <c r="AR125" s="41" t="str">
        <f t="shared" si="24"/>
        <v>A2Accounts Receivable</v>
      </c>
      <c r="CR125" s="625"/>
    </row>
    <row r="126" spans="1:96" s="41" customFormat="1" ht="12.75" customHeight="1">
      <c r="A126" s="25" t="s">
        <v>17</v>
      </c>
      <c r="B126" s="25" t="str">
        <f t="shared" si="33"/>
        <v>GL143125</v>
      </c>
      <c r="C126" s="638">
        <v>143125</v>
      </c>
      <c r="D126" s="735"/>
      <c r="F126" s="1" t="s">
        <v>130</v>
      </c>
      <c r="H126" s="736" t="s">
        <v>2546</v>
      </c>
      <c r="I126" s="25"/>
      <c r="J126" s="25"/>
      <c r="K126" s="442" t="str">
        <f t="shared" si="21"/>
        <v/>
      </c>
      <c r="L126" s="736" t="s">
        <v>2393</v>
      </c>
      <c r="M126" s="25" t="str">
        <f t="shared" si="34"/>
        <v>A</v>
      </c>
      <c r="N126" s="25" t="str">
        <f>IF(L126&lt;&gt;"",VLOOKUP(L126,Categories!$B$2:$D$41,2,FALSE),IF(F126&lt;&gt;"","No Cat",""))</f>
        <v>All Other</v>
      </c>
      <c r="O126" s="25" t="str">
        <f>IF($L126&lt;&gt;"",VLOOKUP($L126,Categories!$B$2:$D$41,3,FALSE),IF($F126&lt;&gt;"","No Cat",""))</f>
        <v>EB-Cap</v>
      </c>
      <c r="P126" s="736" t="s">
        <v>2490</v>
      </c>
      <c r="Q126" s="25" t="str">
        <f>VLOOKUP($P126,Allocators!$B$7:$F$19,5,FALSE)</f>
        <v>Rate Base</v>
      </c>
      <c r="R126" s="737">
        <f>VLOOKUP($P126,Allocators!$B$7:$F$19,2,FALSE)</f>
        <v>0.70940000000000003</v>
      </c>
      <c r="S126" s="737">
        <f>VLOOKUP($P126,Allocators!$B$7:$F$19,3,FALSE)</f>
        <v>0.29060000000000002</v>
      </c>
      <c r="T126" s="737" t="str">
        <f t="shared" si="38"/>
        <v>0.0%</v>
      </c>
      <c r="U126" s="2" t="str">
        <f t="shared" si="25"/>
        <v/>
      </c>
      <c r="V126" s="2" t="str">
        <f t="shared" si="26"/>
        <v/>
      </c>
      <c r="W126" s="2" t="str">
        <f t="shared" si="27"/>
        <v/>
      </c>
      <c r="X126" s="2">
        <f t="shared" si="28"/>
        <v>0</v>
      </c>
      <c r="Y126" s="2" t="str">
        <f t="shared" si="29"/>
        <v/>
      </c>
      <c r="Z126" s="2" t="str">
        <f t="shared" si="30"/>
        <v/>
      </c>
      <c r="AA126" s="2" t="str">
        <f t="shared" si="31"/>
        <v/>
      </c>
      <c r="AB126" s="2">
        <f t="shared" si="32"/>
        <v>0</v>
      </c>
      <c r="AC126" s="759">
        <v>0</v>
      </c>
      <c r="AD126" s="741">
        <v>0</v>
      </c>
      <c r="AE126" s="741">
        <v>0</v>
      </c>
      <c r="AF126" s="741">
        <v>0</v>
      </c>
      <c r="AG126" s="741">
        <v>0</v>
      </c>
      <c r="AH126" s="741">
        <v>0</v>
      </c>
      <c r="AI126" s="741">
        <v>0</v>
      </c>
      <c r="AJ126" s="741">
        <v>0</v>
      </c>
      <c r="AK126" s="741">
        <v>0</v>
      </c>
      <c r="AL126" s="741">
        <v>0</v>
      </c>
      <c r="AM126" s="741">
        <v>0</v>
      </c>
      <c r="AN126" s="741">
        <v>0</v>
      </c>
      <c r="AO126" s="741">
        <v>0</v>
      </c>
      <c r="AP126" s="41" t="str">
        <f t="shared" si="22"/>
        <v>GLA</v>
      </c>
      <c r="AQ126" s="41" t="str">
        <f t="shared" si="23"/>
        <v>GLAA2Accounts Receivable</v>
      </c>
      <c r="AR126" s="41" t="str">
        <f t="shared" si="24"/>
        <v>A2Accounts Receivable</v>
      </c>
      <c r="CR126" s="625"/>
    </row>
    <row r="127" spans="1:96" s="41" customFormat="1" ht="12.75" customHeight="1">
      <c r="A127" s="25" t="s">
        <v>17</v>
      </c>
      <c r="B127" s="25" t="str">
        <f t="shared" si="33"/>
        <v>GL143180</v>
      </c>
      <c r="C127" s="638">
        <v>143180</v>
      </c>
      <c r="D127" s="735"/>
      <c r="F127" s="1" t="s">
        <v>131</v>
      </c>
      <c r="H127" s="736" t="s">
        <v>2546</v>
      </c>
      <c r="I127" s="25"/>
      <c r="J127" s="25"/>
      <c r="K127" s="442" t="str">
        <f t="shared" si="21"/>
        <v/>
      </c>
      <c r="L127" s="736" t="s">
        <v>2393</v>
      </c>
      <c r="M127" s="25" t="str">
        <f t="shared" si="34"/>
        <v>A</v>
      </c>
      <c r="N127" s="25" t="str">
        <f>IF(L127&lt;&gt;"",VLOOKUP(L127,Categories!$B$2:$D$41,2,FALSE),IF(F127&lt;&gt;"","No Cat",""))</f>
        <v>All Other</v>
      </c>
      <c r="O127" s="25" t="str">
        <f>IF($L127&lt;&gt;"",VLOOKUP($L127,Categories!$B$2:$D$41,3,FALSE),IF($F127&lt;&gt;"","No Cat",""))</f>
        <v>EB-Cap</v>
      </c>
      <c r="P127" s="736" t="s">
        <v>2490</v>
      </c>
      <c r="Q127" s="25" t="str">
        <f>VLOOKUP($P127,Allocators!$B$7:$F$19,5,FALSE)</f>
        <v>Rate Base</v>
      </c>
      <c r="R127" s="737">
        <f>VLOOKUP($P127,Allocators!$B$7:$F$19,2,FALSE)</f>
        <v>0.70940000000000003</v>
      </c>
      <c r="S127" s="737">
        <f>VLOOKUP($P127,Allocators!$B$7:$F$19,3,FALSE)</f>
        <v>0.29060000000000002</v>
      </c>
      <c r="T127" s="737" t="str">
        <f t="shared" si="38"/>
        <v>0.0%</v>
      </c>
      <c r="U127" s="2" t="str">
        <f t="shared" si="25"/>
        <v/>
      </c>
      <c r="V127" s="2" t="str">
        <f t="shared" si="26"/>
        <v/>
      </c>
      <c r="W127" s="2" t="str">
        <f t="shared" si="27"/>
        <v/>
      </c>
      <c r="X127" s="2">
        <f t="shared" si="28"/>
        <v>0</v>
      </c>
      <c r="Y127" s="2" t="str">
        <f t="shared" si="29"/>
        <v/>
      </c>
      <c r="Z127" s="2" t="str">
        <f t="shared" si="30"/>
        <v/>
      </c>
      <c r="AA127" s="2" t="str">
        <f t="shared" si="31"/>
        <v/>
      </c>
      <c r="AB127" s="2">
        <f t="shared" si="32"/>
        <v>0</v>
      </c>
      <c r="AC127" s="759">
        <v>0</v>
      </c>
      <c r="AD127" s="741">
        <v>0</v>
      </c>
      <c r="AE127" s="741">
        <v>0</v>
      </c>
      <c r="AF127" s="741">
        <v>0</v>
      </c>
      <c r="AG127" s="741">
        <v>0</v>
      </c>
      <c r="AH127" s="741">
        <v>0</v>
      </c>
      <c r="AI127" s="741">
        <v>0</v>
      </c>
      <c r="AJ127" s="741">
        <v>0</v>
      </c>
      <c r="AK127" s="741">
        <v>0</v>
      </c>
      <c r="AL127" s="741">
        <v>0</v>
      </c>
      <c r="AM127" s="741">
        <v>0</v>
      </c>
      <c r="AN127" s="741">
        <v>0</v>
      </c>
      <c r="AO127" s="741">
        <v>0</v>
      </c>
      <c r="AP127" s="41" t="str">
        <f t="shared" si="22"/>
        <v>GLA</v>
      </c>
      <c r="AQ127" s="41" t="str">
        <f t="shared" si="23"/>
        <v>GLAA2Accounts Receivable</v>
      </c>
      <c r="AR127" s="41" t="str">
        <f t="shared" si="24"/>
        <v>A2Accounts Receivable</v>
      </c>
      <c r="CR127" s="625"/>
    </row>
    <row r="128" spans="1:96" s="41" customFormat="1" ht="12.75" customHeight="1">
      <c r="A128" s="25" t="s">
        <v>17</v>
      </c>
      <c r="B128" s="25" t="str">
        <f t="shared" si="33"/>
        <v>GL143220</v>
      </c>
      <c r="C128" s="638">
        <v>143220</v>
      </c>
      <c r="D128" s="735"/>
      <c r="F128" s="1" t="s">
        <v>132</v>
      </c>
      <c r="H128" s="736" t="s">
        <v>2546</v>
      </c>
      <c r="I128" s="25"/>
      <c r="J128" s="25"/>
      <c r="K128" s="442" t="str">
        <f t="shared" si="21"/>
        <v/>
      </c>
      <c r="L128" s="736" t="s">
        <v>2393</v>
      </c>
      <c r="M128" s="25" t="str">
        <f t="shared" si="34"/>
        <v>A</v>
      </c>
      <c r="N128" s="25" t="str">
        <f>IF(L128&lt;&gt;"",VLOOKUP(L128,Categories!$B$2:$D$41,2,FALSE),IF(F128&lt;&gt;"","No Cat",""))</f>
        <v>All Other</v>
      </c>
      <c r="O128" s="25" t="str">
        <f>IF($L128&lt;&gt;"",VLOOKUP($L128,Categories!$B$2:$D$41,3,FALSE),IF($F128&lt;&gt;"","No Cat",""))</f>
        <v>EB-Cap</v>
      </c>
      <c r="P128" s="736" t="s">
        <v>2490</v>
      </c>
      <c r="Q128" s="25" t="str">
        <f>VLOOKUP($P128,Allocators!$B$7:$F$19,5,FALSE)</f>
        <v>Rate Base</v>
      </c>
      <c r="R128" s="737">
        <f>VLOOKUP($P128,Allocators!$B$7:$F$19,2,FALSE)</f>
        <v>0.70940000000000003</v>
      </c>
      <c r="S128" s="737">
        <f>VLOOKUP($P128,Allocators!$B$7:$F$19,3,FALSE)</f>
        <v>0.29060000000000002</v>
      </c>
      <c r="T128" s="737" t="str">
        <f t="shared" si="38"/>
        <v>0.0%</v>
      </c>
      <c r="U128" s="2" t="str">
        <f t="shared" si="25"/>
        <v/>
      </c>
      <c r="V128" s="2" t="str">
        <f t="shared" si="26"/>
        <v/>
      </c>
      <c r="W128" s="2" t="str">
        <f t="shared" si="27"/>
        <v/>
      </c>
      <c r="X128" s="2">
        <f t="shared" si="28"/>
        <v>0</v>
      </c>
      <c r="Y128" s="2" t="str">
        <f t="shared" si="29"/>
        <v/>
      </c>
      <c r="Z128" s="2" t="str">
        <f t="shared" si="30"/>
        <v/>
      </c>
      <c r="AA128" s="2" t="str">
        <f t="shared" si="31"/>
        <v/>
      </c>
      <c r="AB128" s="2">
        <f t="shared" si="32"/>
        <v>0</v>
      </c>
      <c r="AC128" s="759">
        <v>0</v>
      </c>
      <c r="AD128" s="741">
        <v>0</v>
      </c>
      <c r="AE128" s="741">
        <v>0</v>
      </c>
      <c r="AF128" s="741">
        <v>0</v>
      </c>
      <c r="AG128" s="741">
        <v>0</v>
      </c>
      <c r="AH128" s="741">
        <v>0</v>
      </c>
      <c r="AI128" s="741">
        <v>0</v>
      </c>
      <c r="AJ128" s="741">
        <v>0</v>
      </c>
      <c r="AK128" s="741">
        <v>0</v>
      </c>
      <c r="AL128" s="741">
        <v>0</v>
      </c>
      <c r="AM128" s="741">
        <v>0</v>
      </c>
      <c r="AN128" s="741">
        <v>0</v>
      </c>
      <c r="AO128" s="741">
        <v>0</v>
      </c>
      <c r="AP128" s="41" t="str">
        <f t="shared" si="22"/>
        <v>GLA</v>
      </c>
      <c r="AQ128" s="41" t="str">
        <f t="shared" si="23"/>
        <v>GLAA2Accounts Receivable</v>
      </c>
      <c r="AR128" s="41" t="str">
        <f t="shared" si="24"/>
        <v>A2Accounts Receivable</v>
      </c>
      <c r="CR128" s="625"/>
    </row>
    <row r="129" spans="1:96" s="41" customFormat="1" ht="12.75" customHeight="1">
      <c r="A129" s="25" t="s">
        <v>17</v>
      </c>
      <c r="B129" s="25" t="str">
        <f t="shared" si="33"/>
        <v>GL143230</v>
      </c>
      <c r="C129" s="638">
        <v>143230</v>
      </c>
      <c r="D129" s="735"/>
      <c r="F129" s="1" t="s">
        <v>133</v>
      </c>
      <c r="H129" s="736" t="s">
        <v>2546</v>
      </c>
      <c r="I129" s="25"/>
      <c r="J129" s="25"/>
      <c r="K129" s="442" t="str">
        <f t="shared" si="21"/>
        <v/>
      </c>
      <c r="L129" s="736" t="s">
        <v>2393</v>
      </c>
      <c r="M129" s="25" t="str">
        <f t="shared" si="34"/>
        <v>A</v>
      </c>
      <c r="N129" s="25" t="str">
        <f>IF(L129&lt;&gt;"",VLOOKUP(L129,Categories!$B$2:$D$41,2,FALSE),IF(F129&lt;&gt;"","No Cat",""))</f>
        <v>All Other</v>
      </c>
      <c r="O129" s="25" t="str">
        <f>IF($L129&lt;&gt;"",VLOOKUP($L129,Categories!$B$2:$D$41,3,FALSE),IF($F129&lt;&gt;"","No Cat",""))</f>
        <v>EB-Cap</v>
      </c>
      <c r="P129" s="736" t="s">
        <v>2490</v>
      </c>
      <c r="Q129" s="25" t="str">
        <f>VLOOKUP($P129,Allocators!$B$7:$F$19,5,FALSE)</f>
        <v>Rate Base</v>
      </c>
      <c r="R129" s="737">
        <f>VLOOKUP($P129,Allocators!$B$7:$F$19,2,FALSE)</f>
        <v>0.70940000000000003</v>
      </c>
      <c r="S129" s="737">
        <f>VLOOKUP($P129,Allocators!$B$7:$F$19,3,FALSE)</f>
        <v>0.29060000000000002</v>
      </c>
      <c r="T129" s="737" t="str">
        <f t="shared" si="38"/>
        <v>0.0%</v>
      </c>
      <c r="U129" s="2" t="str">
        <f t="shared" si="25"/>
        <v/>
      </c>
      <c r="V129" s="2" t="str">
        <f t="shared" si="26"/>
        <v/>
      </c>
      <c r="W129" s="2" t="str">
        <f t="shared" si="27"/>
        <v/>
      </c>
      <c r="X129" s="2">
        <f t="shared" si="28"/>
        <v>0</v>
      </c>
      <c r="Y129" s="2" t="str">
        <f t="shared" si="29"/>
        <v/>
      </c>
      <c r="Z129" s="2" t="str">
        <f t="shared" si="30"/>
        <v/>
      </c>
      <c r="AA129" s="2" t="str">
        <f t="shared" si="31"/>
        <v/>
      </c>
      <c r="AB129" s="2">
        <f t="shared" si="32"/>
        <v>0</v>
      </c>
      <c r="AC129" s="759">
        <v>0</v>
      </c>
      <c r="AD129" s="741">
        <v>0</v>
      </c>
      <c r="AE129" s="741">
        <v>0</v>
      </c>
      <c r="AF129" s="741">
        <v>0</v>
      </c>
      <c r="AG129" s="741">
        <v>0</v>
      </c>
      <c r="AH129" s="741">
        <v>0</v>
      </c>
      <c r="AI129" s="741">
        <v>0</v>
      </c>
      <c r="AJ129" s="741">
        <v>0</v>
      </c>
      <c r="AK129" s="741">
        <v>0</v>
      </c>
      <c r="AL129" s="741">
        <v>0</v>
      </c>
      <c r="AM129" s="741">
        <v>0</v>
      </c>
      <c r="AN129" s="741">
        <v>0</v>
      </c>
      <c r="AO129" s="741">
        <v>0</v>
      </c>
      <c r="AP129" s="41" t="str">
        <f t="shared" si="22"/>
        <v>GLA</v>
      </c>
      <c r="AQ129" s="41" t="str">
        <f t="shared" si="23"/>
        <v>GLAA2Accounts Receivable</v>
      </c>
      <c r="AR129" s="41" t="str">
        <f t="shared" si="24"/>
        <v>A2Accounts Receivable</v>
      </c>
      <c r="CR129" s="625"/>
    </row>
    <row r="130" spans="1:96" s="41" customFormat="1" ht="12.75" customHeight="1">
      <c r="A130" s="25" t="s">
        <v>17</v>
      </c>
      <c r="B130" s="25" t="str">
        <f t="shared" si="33"/>
        <v>GL143240</v>
      </c>
      <c r="C130" s="638">
        <v>143240</v>
      </c>
      <c r="D130" s="735"/>
      <c r="F130" s="1" t="s">
        <v>134</v>
      </c>
      <c r="H130" s="736" t="s">
        <v>2546</v>
      </c>
      <c r="I130" s="25"/>
      <c r="J130" s="25"/>
      <c r="K130" s="442" t="str">
        <f t="shared" si="21"/>
        <v/>
      </c>
      <c r="L130" s="736" t="s">
        <v>2393</v>
      </c>
      <c r="M130" s="25" t="str">
        <f t="shared" si="34"/>
        <v>A</v>
      </c>
      <c r="N130" s="25" t="str">
        <f>IF(L130&lt;&gt;"",VLOOKUP(L130,Categories!$B$2:$D$41,2,FALSE),IF(F130&lt;&gt;"","No Cat",""))</f>
        <v>All Other</v>
      </c>
      <c r="O130" s="25" t="str">
        <f>IF($L130&lt;&gt;"",VLOOKUP($L130,Categories!$B$2:$D$41,3,FALSE),IF($F130&lt;&gt;"","No Cat",""))</f>
        <v>EB-Cap</v>
      </c>
      <c r="P130" s="736" t="s">
        <v>2490</v>
      </c>
      <c r="Q130" s="25" t="str">
        <f>VLOOKUP($P130,Allocators!$B$7:$F$19,5,FALSE)</f>
        <v>Rate Base</v>
      </c>
      <c r="R130" s="737">
        <f>VLOOKUP($P130,Allocators!$B$7:$F$19,2,FALSE)</f>
        <v>0.70940000000000003</v>
      </c>
      <c r="S130" s="737">
        <f>VLOOKUP($P130,Allocators!$B$7:$F$19,3,FALSE)</f>
        <v>0.29060000000000002</v>
      </c>
      <c r="T130" s="737" t="str">
        <f t="shared" si="38"/>
        <v>0.0%</v>
      </c>
      <c r="U130" s="2" t="str">
        <f t="shared" si="25"/>
        <v/>
      </c>
      <c r="V130" s="2" t="str">
        <f t="shared" si="26"/>
        <v/>
      </c>
      <c r="W130" s="2" t="str">
        <f t="shared" si="27"/>
        <v/>
      </c>
      <c r="X130" s="2">
        <f t="shared" si="28"/>
        <v>0</v>
      </c>
      <c r="Y130" s="2" t="str">
        <f t="shared" si="29"/>
        <v/>
      </c>
      <c r="Z130" s="2" t="str">
        <f t="shared" si="30"/>
        <v/>
      </c>
      <c r="AA130" s="2" t="str">
        <f t="shared" si="31"/>
        <v/>
      </c>
      <c r="AB130" s="2">
        <f t="shared" si="32"/>
        <v>0</v>
      </c>
      <c r="AC130" s="759">
        <v>0</v>
      </c>
      <c r="AD130" s="741">
        <v>0</v>
      </c>
      <c r="AE130" s="741">
        <v>0</v>
      </c>
      <c r="AF130" s="741">
        <v>0</v>
      </c>
      <c r="AG130" s="741">
        <v>0</v>
      </c>
      <c r="AH130" s="741">
        <v>0</v>
      </c>
      <c r="AI130" s="741">
        <v>0</v>
      </c>
      <c r="AJ130" s="741">
        <v>0</v>
      </c>
      <c r="AK130" s="741">
        <v>0</v>
      </c>
      <c r="AL130" s="741">
        <v>0</v>
      </c>
      <c r="AM130" s="741">
        <v>0</v>
      </c>
      <c r="AN130" s="741">
        <v>0</v>
      </c>
      <c r="AO130" s="741">
        <v>0</v>
      </c>
      <c r="AP130" s="41" t="str">
        <f t="shared" si="22"/>
        <v>GLA</v>
      </c>
      <c r="AQ130" s="41" t="str">
        <f t="shared" si="23"/>
        <v>GLAA2Accounts Receivable</v>
      </c>
      <c r="AR130" s="41" t="str">
        <f t="shared" si="24"/>
        <v>A2Accounts Receivable</v>
      </c>
      <c r="CR130" s="625"/>
    </row>
    <row r="131" spans="1:96" s="41" customFormat="1" ht="12.75" customHeight="1">
      <c r="A131" s="25" t="s">
        <v>17</v>
      </c>
      <c r="B131" s="25" t="str">
        <f t="shared" si="33"/>
        <v>GL143270</v>
      </c>
      <c r="C131" s="638">
        <v>143270</v>
      </c>
      <c r="D131" s="735"/>
      <c r="F131" s="1" t="s">
        <v>135</v>
      </c>
      <c r="H131" s="736" t="s">
        <v>2546</v>
      </c>
      <c r="I131" s="25"/>
      <c r="J131" s="25"/>
      <c r="K131" s="442" t="str">
        <f t="shared" si="21"/>
        <v/>
      </c>
      <c r="L131" s="736" t="s">
        <v>2393</v>
      </c>
      <c r="M131" s="25" t="str">
        <f t="shared" si="34"/>
        <v>A</v>
      </c>
      <c r="N131" s="25" t="str">
        <f>IF(L131&lt;&gt;"",VLOOKUP(L131,Categories!$B$2:$D$41,2,FALSE),IF(F131&lt;&gt;"","No Cat",""))</f>
        <v>All Other</v>
      </c>
      <c r="O131" s="25" t="str">
        <f>IF($L131&lt;&gt;"",VLOOKUP($L131,Categories!$B$2:$D$41,3,FALSE),IF($F131&lt;&gt;"","No Cat",""))</f>
        <v>EB-Cap</v>
      </c>
      <c r="P131" s="736" t="s">
        <v>2490</v>
      </c>
      <c r="Q131" s="25" t="str">
        <f>VLOOKUP($P131,Allocators!$B$7:$F$19,5,FALSE)</f>
        <v>Rate Base</v>
      </c>
      <c r="R131" s="737">
        <f>VLOOKUP($P131,Allocators!$B$7:$F$19,2,FALSE)</f>
        <v>0.70940000000000003</v>
      </c>
      <c r="S131" s="737">
        <f>VLOOKUP($P131,Allocators!$B$7:$F$19,3,FALSE)</f>
        <v>0.29060000000000002</v>
      </c>
      <c r="T131" s="737" t="str">
        <f t="shared" si="38"/>
        <v>0.0%</v>
      </c>
      <c r="U131" s="2" t="str">
        <f t="shared" si="25"/>
        <v/>
      </c>
      <c r="V131" s="2" t="str">
        <f t="shared" si="26"/>
        <v/>
      </c>
      <c r="W131" s="2" t="str">
        <f t="shared" si="27"/>
        <v/>
      </c>
      <c r="X131" s="2">
        <f t="shared" si="28"/>
        <v>0</v>
      </c>
      <c r="Y131" s="2" t="str">
        <f t="shared" si="29"/>
        <v/>
      </c>
      <c r="Z131" s="2" t="str">
        <f t="shared" si="30"/>
        <v/>
      </c>
      <c r="AA131" s="2" t="str">
        <f t="shared" si="31"/>
        <v/>
      </c>
      <c r="AB131" s="2">
        <f t="shared" si="32"/>
        <v>0</v>
      </c>
      <c r="AC131" s="759">
        <v>0</v>
      </c>
      <c r="AD131" s="741">
        <v>0</v>
      </c>
      <c r="AE131" s="741">
        <v>0</v>
      </c>
      <c r="AF131" s="741">
        <v>0</v>
      </c>
      <c r="AG131" s="741">
        <v>0</v>
      </c>
      <c r="AH131" s="741">
        <v>0</v>
      </c>
      <c r="AI131" s="741">
        <v>0</v>
      </c>
      <c r="AJ131" s="741">
        <v>0</v>
      </c>
      <c r="AK131" s="741">
        <v>0</v>
      </c>
      <c r="AL131" s="741">
        <v>0</v>
      </c>
      <c r="AM131" s="741">
        <v>0</v>
      </c>
      <c r="AN131" s="741">
        <v>0</v>
      </c>
      <c r="AO131" s="741">
        <v>0</v>
      </c>
      <c r="AP131" s="41" t="str">
        <f t="shared" si="22"/>
        <v>GLA</v>
      </c>
      <c r="AQ131" s="41" t="str">
        <f t="shared" si="23"/>
        <v>GLAA2Accounts Receivable</v>
      </c>
      <c r="AR131" s="41" t="str">
        <f t="shared" si="24"/>
        <v>A2Accounts Receivable</v>
      </c>
      <c r="CR131" s="625"/>
    </row>
    <row r="132" spans="1:96" s="41" customFormat="1" ht="12.75" customHeight="1">
      <c r="A132" s="25" t="s">
        <v>17</v>
      </c>
      <c r="B132" s="25" t="str">
        <f t="shared" si="33"/>
        <v>GL143333</v>
      </c>
      <c r="C132" s="638">
        <v>143333</v>
      </c>
      <c r="D132" s="735"/>
      <c r="F132" s="1" t="s">
        <v>136</v>
      </c>
      <c r="H132" s="736" t="s">
        <v>2546</v>
      </c>
      <c r="I132" s="25"/>
      <c r="J132" s="25"/>
      <c r="K132" s="442" t="str">
        <f t="shared" si="21"/>
        <v/>
      </c>
      <c r="L132" s="736" t="s">
        <v>2393</v>
      </c>
      <c r="M132" s="25" t="str">
        <f t="shared" si="34"/>
        <v>A</v>
      </c>
      <c r="N132" s="25" t="str">
        <f>IF(L132&lt;&gt;"",VLOOKUP(L132,Categories!$B$2:$D$41,2,FALSE),IF(F132&lt;&gt;"","No Cat",""))</f>
        <v>All Other</v>
      </c>
      <c r="O132" s="25" t="str">
        <f>IF($L132&lt;&gt;"",VLOOKUP($L132,Categories!$B$2:$D$41,3,FALSE),IF($F132&lt;&gt;"","No Cat",""))</f>
        <v>EB-Cap</v>
      </c>
      <c r="P132" s="736" t="s">
        <v>2490</v>
      </c>
      <c r="Q132" s="25" t="str">
        <f>VLOOKUP($P132,Allocators!$B$7:$F$19,5,FALSE)</f>
        <v>Rate Base</v>
      </c>
      <c r="R132" s="737">
        <f>VLOOKUP($P132,Allocators!$B$7:$F$19,2,FALSE)</f>
        <v>0.70940000000000003</v>
      </c>
      <c r="S132" s="737">
        <f>VLOOKUP($P132,Allocators!$B$7:$F$19,3,FALSE)</f>
        <v>0.29060000000000002</v>
      </c>
      <c r="T132" s="737" t="str">
        <f t="shared" si="38"/>
        <v>0.0%</v>
      </c>
      <c r="U132" s="2">
        <f t="shared" si="25"/>
        <v>3031.6544451613399</v>
      </c>
      <c r="V132" s="2">
        <f t="shared" si="26"/>
        <v>1241.8928415053299</v>
      </c>
      <c r="W132" s="2">
        <f t="shared" si="27"/>
        <v>0</v>
      </c>
      <c r="X132" s="2">
        <f t="shared" si="28"/>
        <v>4273.5472866666696</v>
      </c>
      <c r="Y132" s="2">
        <f t="shared" si="29"/>
        <v>4381.7795759139999</v>
      </c>
      <c r="Z132" s="2">
        <f t="shared" si="30"/>
        <v>1794.960734086</v>
      </c>
      <c r="AA132" s="2">
        <f t="shared" si="31"/>
        <v>0</v>
      </c>
      <c r="AB132" s="2">
        <f t="shared" si="32"/>
        <v>6176.7403099999992</v>
      </c>
      <c r="AC132" s="759">
        <v>3410.2359700000002</v>
      </c>
      <c r="AD132" s="741">
        <v>3474.0958999999998</v>
      </c>
      <c r="AE132" s="741">
        <v>3924.01019</v>
      </c>
      <c r="AF132" s="741">
        <v>4569.9574899999998</v>
      </c>
      <c r="AG132" s="741">
        <v>5500.7211699999998</v>
      </c>
      <c r="AH132" s="741">
        <v>5329.7939400000005</v>
      </c>
      <c r="AI132" s="741">
        <v>4295.8869599999998</v>
      </c>
      <c r="AJ132" s="741">
        <v>2665.0392099999999</v>
      </c>
      <c r="AK132" s="741">
        <v>2604.70604</v>
      </c>
      <c r="AL132" s="741">
        <v>5341.4541600000002</v>
      </c>
      <c r="AM132" s="741">
        <v>4263.5865000000003</v>
      </c>
      <c r="AN132" s="741">
        <v>4519.8277400000006</v>
      </c>
      <c r="AO132" s="741">
        <v>6176.7403099999992</v>
      </c>
      <c r="AP132" s="41" t="str">
        <f t="shared" si="22"/>
        <v>GLA</v>
      </c>
      <c r="AQ132" s="41" t="str">
        <f t="shared" si="23"/>
        <v>GLAA2Accounts Receivable</v>
      </c>
      <c r="AR132" s="41" t="str">
        <f t="shared" si="24"/>
        <v>A2Accounts Receivable</v>
      </c>
      <c r="CR132" s="625"/>
    </row>
    <row r="133" spans="1:96" s="41" customFormat="1" ht="12.75" customHeight="1">
      <c r="A133" s="25" t="s">
        <v>17</v>
      </c>
      <c r="B133" s="25" t="str">
        <f t="shared" si="33"/>
        <v>GL143334</v>
      </c>
      <c r="C133" s="638">
        <v>143334</v>
      </c>
      <c r="D133" s="735"/>
      <c r="F133" s="1" t="s">
        <v>137</v>
      </c>
      <c r="H133" s="736" t="s">
        <v>2546</v>
      </c>
      <c r="I133" s="25"/>
      <c r="J133" s="25"/>
      <c r="K133" s="442" t="str">
        <f t="shared" si="21"/>
        <v/>
      </c>
      <c r="L133" s="736" t="s">
        <v>2393</v>
      </c>
      <c r="M133" s="25" t="str">
        <f t="shared" si="34"/>
        <v>A</v>
      </c>
      <c r="N133" s="25" t="str">
        <f>IF(L133&lt;&gt;"",VLOOKUP(L133,Categories!$B$2:$D$41,2,FALSE),IF(F133&lt;&gt;"","No Cat",""))</f>
        <v>All Other</v>
      </c>
      <c r="O133" s="25" t="str">
        <f>IF($L133&lt;&gt;"",VLOOKUP($L133,Categories!$B$2:$D$41,3,FALSE),IF($F133&lt;&gt;"","No Cat",""))</f>
        <v>EB-Cap</v>
      </c>
      <c r="P133" s="736" t="s">
        <v>2490</v>
      </c>
      <c r="Q133" s="25" t="str">
        <f>VLOOKUP($P133,Allocators!$B$7:$F$19,5,FALSE)</f>
        <v>Rate Base</v>
      </c>
      <c r="R133" s="737">
        <f>VLOOKUP($P133,Allocators!$B$7:$F$19,2,FALSE)</f>
        <v>0.70940000000000003</v>
      </c>
      <c r="S133" s="737">
        <f>VLOOKUP($P133,Allocators!$B$7:$F$19,3,FALSE)</f>
        <v>0.29060000000000002</v>
      </c>
      <c r="T133" s="737" t="str">
        <f t="shared" si="38"/>
        <v>0.0%</v>
      </c>
      <c r="U133" s="2">
        <f t="shared" si="25"/>
        <v>35.5060363376666</v>
      </c>
      <c r="V133" s="2">
        <f t="shared" si="26"/>
        <v>14.5447619956667</v>
      </c>
      <c r="W133" s="2">
        <f t="shared" si="27"/>
        <v>0</v>
      </c>
      <c r="X133" s="2">
        <f t="shared" si="28"/>
        <v>50.050798333333297</v>
      </c>
      <c r="Y133" s="2">
        <f t="shared" si="29"/>
        <v>34.428082938000003</v>
      </c>
      <c r="Z133" s="2">
        <f t="shared" si="30"/>
        <v>14.103187062</v>
      </c>
      <c r="AA133" s="2">
        <f t="shared" si="31"/>
        <v>0</v>
      </c>
      <c r="AB133" s="2">
        <f t="shared" si="32"/>
        <v>48.531269999999999</v>
      </c>
      <c r="AC133" s="759">
        <v>49.094449999999995</v>
      </c>
      <c r="AD133" s="741">
        <v>48.759949999999996</v>
      </c>
      <c r="AE133" s="741">
        <v>52.008389999999999</v>
      </c>
      <c r="AF133" s="741">
        <v>49.760160000000006</v>
      </c>
      <c r="AG133" s="741">
        <v>51.056449999999998</v>
      </c>
      <c r="AH133" s="741">
        <v>50.872309999999999</v>
      </c>
      <c r="AI133" s="741">
        <v>50.038779999999996</v>
      </c>
      <c r="AJ133" s="741">
        <v>50.37397</v>
      </c>
      <c r="AK133" s="741">
        <v>50.25394</v>
      </c>
      <c r="AL133" s="741">
        <v>49.625970000000002</v>
      </c>
      <c r="AM133" s="741">
        <v>48.288710000000002</v>
      </c>
      <c r="AN133" s="741">
        <v>50.758089999999996</v>
      </c>
      <c r="AO133" s="741">
        <v>48.531269999999999</v>
      </c>
      <c r="AP133" s="41" t="str">
        <f t="shared" si="22"/>
        <v>GLA</v>
      </c>
      <c r="AQ133" s="41" t="str">
        <f t="shared" si="23"/>
        <v>GLAA2Accounts Receivable</v>
      </c>
      <c r="AR133" s="41" t="str">
        <f t="shared" si="24"/>
        <v>A2Accounts Receivable</v>
      </c>
      <c r="CR133" s="625"/>
    </row>
    <row r="134" spans="1:96" s="41" customFormat="1" ht="12.75" customHeight="1">
      <c r="A134" s="25" t="s">
        <v>17</v>
      </c>
      <c r="B134" s="25" t="str">
        <f t="shared" si="33"/>
        <v>GL143365</v>
      </c>
      <c r="C134" s="638">
        <v>143365</v>
      </c>
      <c r="D134" s="735"/>
      <c r="F134" s="1" t="s">
        <v>138</v>
      </c>
      <c r="H134" s="736" t="s">
        <v>2546</v>
      </c>
      <c r="I134" s="25"/>
      <c r="J134" s="25"/>
      <c r="K134" s="442" t="str">
        <f t="shared" si="21"/>
        <v/>
      </c>
      <c r="L134" s="736" t="s">
        <v>2393</v>
      </c>
      <c r="M134" s="25" t="str">
        <f t="shared" si="34"/>
        <v>A</v>
      </c>
      <c r="N134" s="25" t="str">
        <f>IF(L134&lt;&gt;"",VLOOKUP(L134,Categories!$B$2:$D$41,2,FALSE),IF(F134&lt;&gt;"","No Cat",""))</f>
        <v>All Other</v>
      </c>
      <c r="O134" s="25" t="str">
        <f>IF($L134&lt;&gt;"",VLOOKUP($L134,Categories!$B$2:$D$41,3,FALSE),IF($F134&lt;&gt;"","No Cat",""))</f>
        <v>EB-Cap</v>
      </c>
      <c r="P134" s="736" t="s">
        <v>2490</v>
      </c>
      <c r="Q134" s="25" t="str">
        <f>VLOOKUP($P134,Allocators!$B$7:$F$19,5,FALSE)</f>
        <v>Rate Base</v>
      </c>
      <c r="R134" s="737">
        <f>VLOOKUP($P134,Allocators!$B$7:$F$19,2,FALSE)</f>
        <v>0.70940000000000003</v>
      </c>
      <c r="S134" s="737">
        <f>VLOOKUP($P134,Allocators!$B$7:$F$19,3,FALSE)</f>
        <v>0.29060000000000002</v>
      </c>
      <c r="T134" s="737" t="str">
        <f t="shared" si="38"/>
        <v>0.0%</v>
      </c>
      <c r="U134" s="2" t="str">
        <f t="shared" si="25"/>
        <v/>
      </c>
      <c r="V134" s="2" t="str">
        <f t="shared" si="26"/>
        <v/>
      </c>
      <c r="W134" s="2" t="str">
        <f t="shared" si="27"/>
        <v/>
      </c>
      <c r="X134" s="2">
        <f t="shared" si="28"/>
        <v>0</v>
      </c>
      <c r="Y134" s="2" t="str">
        <f t="shared" si="29"/>
        <v/>
      </c>
      <c r="Z134" s="2" t="str">
        <f t="shared" si="30"/>
        <v/>
      </c>
      <c r="AA134" s="2" t="str">
        <f t="shared" si="31"/>
        <v/>
      </c>
      <c r="AB134" s="2">
        <f t="shared" si="32"/>
        <v>0</v>
      </c>
      <c r="AC134" s="759">
        <v>0</v>
      </c>
      <c r="AD134" s="741">
        <v>0</v>
      </c>
      <c r="AE134" s="741">
        <v>0</v>
      </c>
      <c r="AF134" s="741">
        <v>0</v>
      </c>
      <c r="AG134" s="741">
        <v>0</v>
      </c>
      <c r="AH134" s="741">
        <v>0</v>
      </c>
      <c r="AI134" s="741">
        <v>0</v>
      </c>
      <c r="AJ134" s="741">
        <v>0</v>
      </c>
      <c r="AK134" s="741">
        <v>0</v>
      </c>
      <c r="AL134" s="741">
        <v>0</v>
      </c>
      <c r="AM134" s="741">
        <v>0</v>
      </c>
      <c r="AN134" s="741">
        <v>0</v>
      </c>
      <c r="AO134" s="741">
        <v>0</v>
      </c>
      <c r="AP134" s="41" t="str">
        <f t="shared" si="22"/>
        <v>GLA</v>
      </c>
      <c r="AQ134" s="41" t="str">
        <f t="shared" si="23"/>
        <v>GLAA2Accounts Receivable</v>
      </c>
      <c r="AR134" s="41" t="str">
        <f t="shared" si="24"/>
        <v>A2Accounts Receivable</v>
      </c>
      <c r="CR134" s="625"/>
    </row>
    <row r="135" spans="1:96" s="41" customFormat="1" ht="12.75" customHeight="1">
      <c r="A135" s="25" t="s">
        <v>17</v>
      </c>
      <c r="B135" s="25" t="str">
        <f t="shared" si="33"/>
        <v>GL143370</v>
      </c>
      <c r="C135" s="638">
        <v>143370</v>
      </c>
      <c r="D135" s="735"/>
      <c r="F135" s="1" t="s">
        <v>139</v>
      </c>
      <c r="H135" s="736" t="s">
        <v>2546</v>
      </c>
      <c r="I135" s="25"/>
      <c r="J135" s="25"/>
      <c r="K135" s="442" t="str">
        <f t="shared" si="21"/>
        <v/>
      </c>
      <c r="L135" s="736" t="s">
        <v>2393</v>
      </c>
      <c r="M135" s="25" t="str">
        <f t="shared" si="34"/>
        <v>A</v>
      </c>
      <c r="N135" s="25" t="str">
        <f>IF(L135&lt;&gt;"",VLOOKUP(L135,Categories!$B$2:$D$41,2,FALSE),IF(F135&lt;&gt;"","No Cat",""))</f>
        <v>All Other</v>
      </c>
      <c r="O135" s="25" t="str">
        <f>IF($L135&lt;&gt;"",VLOOKUP($L135,Categories!$B$2:$D$41,3,FALSE),IF($F135&lt;&gt;"","No Cat",""))</f>
        <v>EB-Cap</v>
      </c>
      <c r="P135" s="736" t="s">
        <v>2490</v>
      </c>
      <c r="Q135" s="25" t="str">
        <f>VLOOKUP($P135,Allocators!$B$7:$F$19,5,FALSE)</f>
        <v>Rate Base</v>
      </c>
      <c r="R135" s="737">
        <f>VLOOKUP($P135,Allocators!$B$7:$F$19,2,FALSE)</f>
        <v>0.70940000000000003</v>
      </c>
      <c r="S135" s="737">
        <f>VLOOKUP($P135,Allocators!$B$7:$F$19,3,FALSE)</f>
        <v>0.29060000000000002</v>
      </c>
      <c r="T135" s="737" t="str">
        <f t="shared" si="38"/>
        <v>0.0%</v>
      </c>
      <c r="U135" s="2" t="str">
        <f t="shared" si="25"/>
        <v/>
      </c>
      <c r="V135" s="2" t="str">
        <f t="shared" si="26"/>
        <v/>
      </c>
      <c r="W135" s="2" t="str">
        <f t="shared" si="27"/>
        <v/>
      </c>
      <c r="X135" s="2">
        <f t="shared" si="28"/>
        <v>0</v>
      </c>
      <c r="Y135" s="2" t="str">
        <f t="shared" si="29"/>
        <v/>
      </c>
      <c r="Z135" s="2" t="str">
        <f t="shared" si="30"/>
        <v/>
      </c>
      <c r="AA135" s="2" t="str">
        <f t="shared" si="31"/>
        <v/>
      </c>
      <c r="AB135" s="2">
        <f t="shared" si="32"/>
        <v>0</v>
      </c>
      <c r="AC135" s="759">
        <v>0</v>
      </c>
      <c r="AD135" s="741">
        <v>0</v>
      </c>
      <c r="AE135" s="741">
        <v>0</v>
      </c>
      <c r="AF135" s="741">
        <v>0</v>
      </c>
      <c r="AG135" s="741">
        <v>0</v>
      </c>
      <c r="AH135" s="741">
        <v>0</v>
      </c>
      <c r="AI135" s="741">
        <v>0</v>
      </c>
      <c r="AJ135" s="741">
        <v>0</v>
      </c>
      <c r="AK135" s="741">
        <v>0</v>
      </c>
      <c r="AL135" s="741">
        <v>0</v>
      </c>
      <c r="AM135" s="741">
        <v>0</v>
      </c>
      <c r="AN135" s="741">
        <v>0</v>
      </c>
      <c r="AO135" s="741">
        <v>0</v>
      </c>
      <c r="AP135" s="41" t="str">
        <f t="shared" ref="AP135:AP198" si="42">CONCATENATE(A135,M135)</f>
        <v>GLA</v>
      </c>
      <c r="AQ135" s="41" t="str">
        <f t="shared" ref="AQ135:AQ198" si="43">CONCATENATE(AP135,L135,H135)</f>
        <v>GLAA2Accounts Receivable</v>
      </c>
      <c r="AR135" s="41" t="str">
        <f t="shared" ref="AR135:AR198" si="44">CONCATENATE(L135,H135,J135)</f>
        <v>A2Accounts Receivable</v>
      </c>
      <c r="CR135" s="625"/>
    </row>
    <row r="136" spans="1:96" s="41" customFormat="1" ht="12.75" customHeight="1">
      <c r="A136" s="25" t="s">
        <v>17</v>
      </c>
      <c r="B136" s="25" t="str">
        <f t="shared" si="33"/>
        <v>GL143375</v>
      </c>
      <c r="C136" s="638">
        <v>143375</v>
      </c>
      <c r="D136" s="735"/>
      <c r="F136" s="1" t="s">
        <v>2550</v>
      </c>
      <c r="H136" s="736" t="s">
        <v>2546</v>
      </c>
      <c r="I136" s="25"/>
      <c r="J136" s="25"/>
      <c r="K136" s="442" t="str">
        <f t="shared" si="21"/>
        <v/>
      </c>
      <c r="L136" s="736" t="s">
        <v>2393</v>
      </c>
      <c r="M136" s="25" t="str">
        <f t="shared" si="34"/>
        <v>A</v>
      </c>
      <c r="N136" s="25" t="str">
        <f>IF(L136&lt;&gt;"",VLOOKUP(L136,Categories!$B$2:$D$41,2,FALSE),IF(F136&lt;&gt;"","No Cat",""))</f>
        <v>All Other</v>
      </c>
      <c r="O136" s="25" t="str">
        <f>IF($L136&lt;&gt;"",VLOOKUP($L136,Categories!$B$2:$D$41,3,FALSE),IF($F136&lt;&gt;"","No Cat",""))</f>
        <v>EB-Cap</v>
      </c>
      <c r="P136" s="736" t="s">
        <v>2490</v>
      </c>
      <c r="Q136" s="25" t="str">
        <f>VLOOKUP($P136,Allocators!$B$7:$F$19,5,FALSE)</f>
        <v>Rate Base</v>
      </c>
      <c r="R136" s="737">
        <f>VLOOKUP($P136,Allocators!$B$7:$F$19,2,FALSE)</f>
        <v>0.70940000000000003</v>
      </c>
      <c r="S136" s="737">
        <f>VLOOKUP($P136,Allocators!$B$7:$F$19,3,FALSE)</f>
        <v>0.29060000000000002</v>
      </c>
      <c r="T136" s="737" t="str">
        <f t="shared" si="38"/>
        <v>0.0%</v>
      </c>
      <c r="U136" s="2">
        <f t="shared" si="25"/>
        <v>26.845468317666601</v>
      </c>
      <c r="V136" s="2">
        <f t="shared" si="26"/>
        <v>10.9970300156667</v>
      </c>
      <c r="W136" s="2">
        <f t="shared" si="27"/>
        <v>0</v>
      </c>
      <c r="X136" s="2">
        <f t="shared" ref="X136:X199" si="45">IF(ISERROR(ROUND((SUM(AC136:AO136)-((AC136+AO136))/2)/12,15)),"",ROUND((SUM(AC136:AO136)-((AC136+AO136))/2)/12,15))</f>
        <v>37.842498333333303</v>
      </c>
      <c r="Y136" s="2">
        <f t="shared" si="29"/>
        <v>135.968335698</v>
      </c>
      <c r="Z136" s="2">
        <f t="shared" si="30"/>
        <v>55.698334301999999</v>
      </c>
      <c r="AA136" s="2">
        <f t="shared" si="31"/>
        <v>0</v>
      </c>
      <c r="AB136" s="2">
        <f t="shared" ref="AB136:AB199" si="46">IF(AO136="",0,+AO136)</f>
        <v>191.66667000000001</v>
      </c>
      <c r="AC136" s="759">
        <v>21.568330000000003</v>
      </c>
      <c r="AD136" s="741">
        <v>20.618099999999998</v>
      </c>
      <c r="AE136" s="741">
        <v>65.464500000000001</v>
      </c>
      <c r="AF136" s="741">
        <v>58.184059999999995</v>
      </c>
      <c r="AG136" s="741">
        <v>5.9447200000000002</v>
      </c>
      <c r="AH136" s="741">
        <v>1.45549</v>
      </c>
      <c r="AI136" s="741">
        <v>0.85758000000000001</v>
      </c>
      <c r="AJ136" s="741">
        <v>0.45982000000000001</v>
      </c>
      <c r="AK136" s="741">
        <v>1.4325399999999999</v>
      </c>
      <c r="AL136" s="741">
        <v>1.4090100000000001</v>
      </c>
      <c r="AM136" s="741">
        <v>0</v>
      </c>
      <c r="AN136" s="741">
        <v>191.66666000000001</v>
      </c>
      <c r="AO136" s="741">
        <v>191.66667000000001</v>
      </c>
      <c r="AP136" s="41" t="str">
        <f t="shared" si="42"/>
        <v>GLA</v>
      </c>
      <c r="AQ136" s="41" t="str">
        <f t="shared" si="43"/>
        <v>GLAA2Accounts Receivable</v>
      </c>
      <c r="AR136" s="41" t="str">
        <f t="shared" si="44"/>
        <v>A2Accounts Receivable</v>
      </c>
      <c r="CR136" s="625"/>
    </row>
    <row r="137" spans="1:96" s="41" customFormat="1" ht="12.75" customHeight="1">
      <c r="A137" s="25" t="s">
        <v>17</v>
      </c>
      <c r="B137" s="25" t="str">
        <f t="shared" si="33"/>
        <v>GL144110</v>
      </c>
      <c r="C137" s="638">
        <v>144110</v>
      </c>
      <c r="D137" s="735"/>
      <c r="F137" s="1" t="s">
        <v>140</v>
      </c>
      <c r="H137" s="736" t="s">
        <v>1829</v>
      </c>
      <c r="I137" s="25"/>
      <c r="J137" s="25"/>
      <c r="K137" s="442" t="str">
        <f t="shared" si="21"/>
        <v/>
      </c>
      <c r="L137" s="736" t="s">
        <v>2393</v>
      </c>
      <c r="M137" s="25" t="str">
        <f t="shared" si="34"/>
        <v>A</v>
      </c>
      <c r="N137" s="25" t="str">
        <f>IF(L137&lt;&gt;"",VLOOKUP(L137,Categories!$B$2:$D$41,2,FALSE),IF(F137&lt;&gt;"","No Cat",""))</f>
        <v>All Other</v>
      </c>
      <c r="O137" s="25" t="str">
        <f>IF($L137&lt;&gt;"",VLOOKUP($L137,Categories!$B$2:$D$41,3,FALSE),IF($F137&lt;&gt;"","No Cat",""))</f>
        <v>EB-Cap</v>
      </c>
      <c r="P137" s="736" t="s">
        <v>2490</v>
      </c>
      <c r="Q137" s="25" t="str">
        <f>VLOOKUP($P137,Allocators!$B$7:$F$19,5,FALSE)</f>
        <v>Rate Base</v>
      </c>
      <c r="R137" s="737">
        <f>VLOOKUP($P137,Allocators!$B$7:$F$19,2,FALSE)</f>
        <v>0.70940000000000003</v>
      </c>
      <c r="S137" s="737">
        <f>VLOOKUP($P137,Allocators!$B$7:$F$19,3,FALSE)</f>
        <v>0.29060000000000002</v>
      </c>
      <c r="T137" s="737" t="str">
        <f t="shared" si="38"/>
        <v>0.0%</v>
      </c>
      <c r="U137" s="2" t="str">
        <f t="shared" ref="U137:U200" si="47">IF(ABS(X137)=0,"",IF($R137="NO ALLOC","NO ALLOC",ROUND($R137*X137,15)))</f>
        <v/>
      </c>
      <c r="V137" s="2" t="str">
        <f t="shared" ref="V137:V200" si="48">IF(ABS(X137)=0,"",IF($S137="NO ALLOC","NO ALLOC",ROUND($S137*X137,15)))</f>
        <v/>
      </c>
      <c r="W137" s="2" t="str">
        <f t="shared" ref="W137:W200" si="49">IF(ABS(X137)=0,"",IF($T137="NO ALLOC","NO ALLOC",ROUND($T137*X137,15)))</f>
        <v/>
      </c>
      <c r="X137" s="2">
        <f t="shared" si="45"/>
        <v>0</v>
      </c>
      <c r="Y137" s="2" t="str">
        <f t="shared" ref="Y137:Y200" si="50">IF(ABS(AB137)=0,"",IF($R137="NO ALLOC","NO ALLOC",ROUND($R137*AB137,15)))</f>
        <v/>
      </c>
      <c r="Z137" s="2" t="str">
        <f t="shared" ref="Z137:Z200" si="51">IF(ABS(AB137)=0,"",IF($S137="NO ALLOC","NO ALLOC",ROUND($S137*AB137,15)))</f>
        <v/>
      </c>
      <c r="AA137" s="2" t="str">
        <f t="shared" ref="AA137:AA200" si="52">IF(ABS(AB137)=0,"",IF($T137="NO ALLOC","NO ALLOC",ROUND($T137*AB137,15)))</f>
        <v/>
      </c>
      <c r="AB137" s="2">
        <f t="shared" si="46"/>
        <v>0</v>
      </c>
      <c r="AC137" s="759">
        <v>0</v>
      </c>
      <c r="AD137" s="741">
        <v>0</v>
      </c>
      <c r="AE137" s="741">
        <v>0</v>
      </c>
      <c r="AF137" s="741">
        <v>0</v>
      </c>
      <c r="AG137" s="741">
        <v>0</v>
      </c>
      <c r="AH137" s="741">
        <v>0</v>
      </c>
      <c r="AI137" s="741">
        <v>0</v>
      </c>
      <c r="AJ137" s="741">
        <v>0</v>
      </c>
      <c r="AK137" s="741">
        <v>0</v>
      </c>
      <c r="AL137" s="741">
        <v>0</v>
      </c>
      <c r="AM137" s="741">
        <v>0</v>
      </c>
      <c r="AN137" s="741">
        <v>0</v>
      </c>
      <c r="AO137" s="741">
        <v>0</v>
      </c>
      <c r="AP137" s="41" t="str">
        <f t="shared" si="42"/>
        <v>GLA</v>
      </c>
      <c r="AQ137" s="41" t="str">
        <f t="shared" si="43"/>
        <v>GLAA2Bad Debts</v>
      </c>
      <c r="AR137" s="41" t="str">
        <f t="shared" si="44"/>
        <v>A2Bad Debts</v>
      </c>
      <c r="CR137" s="625"/>
    </row>
    <row r="138" spans="1:96" s="41" customFormat="1" ht="12.75" customHeight="1">
      <c r="A138" s="25" t="s">
        <v>17</v>
      </c>
      <c r="B138" s="25" t="str">
        <f t="shared" si="33"/>
        <v>GL144120</v>
      </c>
      <c r="C138" s="638">
        <v>144120</v>
      </c>
      <c r="D138" s="735"/>
      <c r="F138" s="1" t="s">
        <v>141</v>
      </c>
      <c r="H138" s="736" t="s">
        <v>1829</v>
      </c>
      <c r="I138" s="25"/>
      <c r="J138" s="25"/>
      <c r="K138" s="442" t="str">
        <f t="shared" ref="K138:K201" si="53">IF(L138="N3","Y","")</f>
        <v/>
      </c>
      <c r="L138" s="736" t="s">
        <v>2393</v>
      </c>
      <c r="M138" s="25" t="str">
        <f t="shared" si="34"/>
        <v>A</v>
      </c>
      <c r="N138" s="25" t="str">
        <f>IF(L138&lt;&gt;"",VLOOKUP(L138,Categories!$B$2:$D$41,2,FALSE),IF(F138&lt;&gt;"","No Cat",""))</f>
        <v>All Other</v>
      </c>
      <c r="O138" s="25" t="str">
        <f>IF($L138&lt;&gt;"",VLOOKUP($L138,Categories!$B$2:$D$41,3,FALSE),IF($F138&lt;&gt;"","No Cat",""))</f>
        <v>EB-Cap</v>
      </c>
      <c r="P138" s="736" t="s">
        <v>2490</v>
      </c>
      <c r="Q138" s="25" t="str">
        <f>VLOOKUP($P138,Allocators!$B$7:$F$19,5,FALSE)</f>
        <v>Rate Base</v>
      </c>
      <c r="R138" s="737">
        <f>VLOOKUP($P138,Allocators!$B$7:$F$19,2,FALSE)</f>
        <v>0.70940000000000003</v>
      </c>
      <c r="S138" s="737">
        <f>VLOOKUP($P138,Allocators!$B$7:$F$19,3,FALSE)</f>
        <v>0.29060000000000002</v>
      </c>
      <c r="T138" s="737" t="str">
        <f t="shared" si="38"/>
        <v>0.0%</v>
      </c>
      <c r="U138" s="2" t="str">
        <f t="shared" si="47"/>
        <v/>
      </c>
      <c r="V138" s="2" t="str">
        <f t="shared" si="48"/>
        <v/>
      </c>
      <c r="W138" s="2" t="str">
        <f t="shared" si="49"/>
        <v/>
      </c>
      <c r="X138" s="2">
        <f t="shared" si="45"/>
        <v>0</v>
      </c>
      <c r="Y138" s="2" t="str">
        <f t="shared" si="50"/>
        <v/>
      </c>
      <c r="Z138" s="2" t="str">
        <f t="shared" si="51"/>
        <v/>
      </c>
      <c r="AA138" s="2" t="str">
        <f t="shared" si="52"/>
        <v/>
      </c>
      <c r="AB138" s="2">
        <f t="shared" si="46"/>
        <v>0</v>
      </c>
      <c r="AC138" s="759">
        <v>0</v>
      </c>
      <c r="AD138" s="741">
        <v>0</v>
      </c>
      <c r="AE138" s="741">
        <v>0</v>
      </c>
      <c r="AF138" s="741">
        <v>0</v>
      </c>
      <c r="AG138" s="741">
        <v>0</v>
      </c>
      <c r="AH138" s="741">
        <v>0</v>
      </c>
      <c r="AI138" s="741">
        <v>0</v>
      </c>
      <c r="AJ138" s="741">
        <v>0</v>
      </c>
      <c r="AK138" s="741">
        <v>0</v>
      </c>
      <c r="AL138" s="741">
        <v>0</v>
      </c>
      <c r="AM138" s="741">
        <v>0</v>
      </c>
      <c r="AN138" s="741">
        <v>0</v>
      </c>
      <c r="AO138" s="741">
        <v>0</v>
      </c>
      <c r="AP138" s="41" t="str">
        <f t="shared" si="42"/>
        <v>GLA</v>
      </c>
      <c r="AQ138" s="41" t="str">
        <f t="shared" si="43"/>
        <v>GLAA2Bad Debts</v>
      </c>
      <c r="AR138" s="41" t="str">
        <f t="shared" si="44"/>
        <v>A2Bad Debts</v>
      </c>
      <c r="CR138" s="625"/>
    </row>
    <row r="139" spans="1:96" s="41" customFormat="1" ht="12.75" customHeight="1">
      <c r="A139" s="25" t="s">
        <v>17</v>
      </c>
      <c r="B139" s="25" t="str">
        <f t="shared" si="33"/>
        <v>GL144125</v>
      </c>
      <c r="C139" s="638">
        <v>144125</v>
      </c>
      <c r="D139" s="735"/>
      <c r="F139" s="1" t="s">
        <v>142</v>
      </c>
      <c r="H139" s="736" t="s">
        <v>1829</v>
      </c>
      <c r="I139" s="25"/>
      <c r="J139" s="25"/>
      <c r="K139" s="442" t="str">
        <f t="shared" si="53"/>
        <v/>
      </c>
      <c r="L139" s="736" t="s">
        <v>2393</v>
      </c>
      <c r="M139" s="25" t="str">
        <f t="shared" si="34"/>
        <v>A</v>
      </c>
      <c r="N139" s="25" t="str">
        <f>IF(L139&lt;&gt;"",VLOOKUP(L139,Categories!$B$2:$D$41,2,FALSE),IF(F139&lt;&gt;"","No Cat",""))</f>
        <v>All Other</v>
      </c>
      <c r="O139" s="25" t="str">
        <f>IF($L139&lt;&gt;"",VLOOKUP($L139,Categories!$B$2:$D$41,3,FALSE),IF($F139&lt;&gt;"","No Cat",""))</f>
        <v>EB-Cap</v>
      </c>
      <c r="P139" s="736" t="s">
        <v>2490</v>
      </c>
      <c r="Q139" s="25" t="str">
        <f>VLOOKUP($P139,Allocators!$B$7:$F$19,5,FALSE)</f>
        <v>Rate Base</v>
      </c>
      <c r="R139" s="737">
        <f>VLOOKUP($P139,Allocators!$B$7:$F$19,2,FALSE)</f>
        <v>0.70940000000000003</v>
      </c>
      <c r="S139" s="737">
        <f>VLOOKUP($P139,Allocators!$B$7:$F$19,3,FALSE)</f>
        <v>0.29060000000000002</v>
      </c>
      <c r="T139" s="737" t="str">
        <f t="shared" si="38"/>
        <v>0.0%</v>
      </c>
      <c r="U139" s="2">
        <f t="shared" si="47"/>
        <v>-76.295969999999997</v>
      </c>
      <c r="V139" s="2">
        <f t="shared" si="48"/>
        <v>-31.25403</v>
      </c>
      <c r="W139" s="2">
        <f t="shared" si="49"/>
        <v>0</v>
      </c>
      <c r="X139" s="2">
        <f t="shared" si="45"/>
        <v>-107.55</v>
      </c>
      <c r="Y139" s="2">
        <f t="shared" si="50"/>
        <v>-69.358037999999993</v>
      </c>
      <c r="Z139" s="2">
        <f t="shared" si="51"/>
        <v>-28.411961999999999</v>
      </c>
      <c r="AA139" s="2">
        <f t="shared" si="52"/>
        <v>0</v>
      </c>
      <c r="AB139" s="2">
        <f t="shared" si="46"/>
        <v>-97.77</v>
      </c>
      <c r="AC139" s="759">
        <v>-179.13</v>
      </c>
      <c r="AD139" s="741">
        <v>-176.61</v>
      </c>
      <c r="AE139" s="741">
        <v>-184.17</v>
      </c>
      <c r="AF139" s="741">
        <v>-190.65</v>
      </c>
      <c r="AG139" s="741">
        <v>-206.85</v>
      </c>
      <c r="AH139" s="741">
        <v>-31.53</v>
      </c>
      <c r="AI139" s="741">
        <v>-34.049999999999997</v>
      </c>
      <c r="AJ139" s="741">
        <v>-34.409999999999997</v>
      </c>
      <c r="AK139" s="741">
        <v>-52.77</v>
      </c>
      <c r="AL139" s="741">
        <v>-83.73</v>
      </c>
      <c r="AM139" s="741">
        <v>-66.81</v>
      </c>
      <c r="AN139" s="741">
        <v>-90.57</v>
      </c>
      <c r="AO139" s="741">
        <v>-97.77</v>
      </c>
      <c r="AP139" s="41" t="str">
        <f t="shared" si="42"/>
        <v>GLA</v>
      </c>
      <c r="AQ139" s="41" t="str">
        <f t="shared" si="43"/>
        <v>GLAA2Bad Debts</v>
      </c>
      <c r="AR139" s="41" t="str">
        <f t="shared" si="44"/>
        <v>A2Bad Debts</v>
      </c>
      <c r="CR139" s="625"/>
    </row>
    <row r="140" spans="1:96" s="41" customFormat="1" ht="12.75" customHeight="1">
      <c r="A140" s="25" t="s">
        <v>17</v>
      </c>
      <c r="B140" s="25" t="str">
        <f t="shared" si="33"/>
        <v>GL144130</v>
      </c>
      <c r="C140" s="638">
        <v>144130</v>
      </c>
      <c r="D140" s="735"/>
      <c r="F140" s="1" t="s">
        <v>143</v>
      </c>
      <c r="H140" s="736" t="s">
        <v>1829</v>
      </c>
      <c r="I140" s="25"/>
      <c r="J140" s="25"/>
      <c r="K140" s="442" t="str">
        <f t="shared" si="53"/>
        <v/>
      </c>
      <c r="L140" s="736" t="s">
        <v>2393</v>
      </c>
      <c r="M140" s="25" t="str">
        <f t="shared" si="34"/>
        <v>A</v>
      </c>
      <c r="N140" s="25" t="str">
        <f>IF(L140&lt;&gt;"",VLOOKUP(L140,Categories!$B$2:$D$41,2,FALSE),IF(F140&lt;&gt;"","No Cat",""))</f>
        <v>All Other</v>
      </c>
      <c r="O140" s="25" t="str">
        <f>IF($L140&lt;&gt;"",VLOOKUP($L140,Categories!$B$2:$D$41,3,FALSE),IF($F140&lt;&gt;"","No Cat",""))</f>
        <v>EB-Cap</v>
      </c>
      <c r="P140" s="736" t="s">
        <v>2490</v>
      </c>
      <c r="Q140" s="25" t="str">
        <f>VLOOKUP($P140,Allocators!$B$7:$F$19,5,FALSE)</f>
        <v>Rate Base</v>
      </c>
      <c r="R140" s="737">
        <f>VLOOKUP($P140,Allocators!$B$7:$F$19,2,FALSE)</f>
        <v>0.70940000000000003</v>
      </c>
      <c r="S140" s="737">
        <f>VLOOKUP($P140,Allocators!$B$7:$F$19,3,FALSE)</f>
        <v>0.29060000000000002</v>
      </c>
      <c r="T140" s="737" t="str">
        <f t="shared" si="38"/>
        <v>0.0%</v>
      </c>
      <c r="U140" s="2">
        <f t="shared" si="47"/>
        <v>-6878.9482275999999</v>
      </c>
      <c r="V140" s="2">
        <f t="shared" si="48"/>
        <v>-2817.9057723999999</v>
      </c>
      <c r="W140" s="2">
        <f t="shared" si="49"/>
        <v>0</v>
      </c>
      <c r="X140" s="2">
        <f t="shared" si="45"/>
        <v>-9696.8539999999994</v>
      </c>
      <c r="Y140" s="2">
        <f t="shared" si="50"/>
        <v>-5341.3237276</v>
      </c>
      <c r="Z140" s="2">
        <f t="shared" si="51"/>
        <v>-2188.0302723999998</v>
      </c>
      <c r="AA140" s="2">
        <f t="shared" si="52"/>
        <v>0</v>
      </c>
      <c r="AB140" s="2">
        <f t="shared" si="46"/>
        <v>-7529.3540000000003</v>
      </c>
      <c r="AC140" s="759">
        <v>-8213.3539999999994</v>
      </c>
      <c r="AD140" s="741">
        <v>-8717.3539999999994</v>
      </c>
      <c r="AE140" s="741">
        <v>-9293.3539999999994</v>
      </c>
      <c r="AF140" s="741">
        <v>-9617.3539999999994</v>
      </c>
      <c r="AG140" s="741">
        <v>-10301.353999999999</v>
      </c>
      <c r="AH140" s="741">
        <v>-10517.353999999999</v>
      </c>
      <c r="AI140" s="741">
        <v>-10445.353999999999</v>
      </c>
      <c r="AJ140" s="741">
        <v>-10265.353999999999</v>
      </c>
      <c r="AK140" s="741">
        <v>-10049.353999999999</v>
      </c>
      <c r="AL140" s="741">
        <v>-9761.3539999999994</v>
      </c>
      <c r="AM140" s="741">
        <v>-9761.3539999999994</v>
      </c>
      <c r="AN140" s="741">
        <v>-9761.3539999999994</v>
      </c>
      <c r="AO140" s="741">
        <v>-7529.3540000000003</v>
      </c>
      <c r="AP140" s="41" t="str">
        <f t="shared" si="42"/>
        <v>GLA</v>
      </c>
      <c r="AQ140" s="41" t="str">
        <f t="shared" si="43"/>
        <v>GLAA2Bad Debts</v>
      </c>
      <c r="AR140" s="41" t="str">
        <f t="shared" si="44"/>
        <v>A2Bad Debts</v>
      </c>
      <c r="CR140" s="625"/>
    </row>
    <row r="141" spans="1:96" s="41" customFormat="1" ht="12.75" customHeight="1">
      <c r="A141" s="25" t="s">
        <v>17</v>
      </c>
      <c r="B141" s="25" t="str">
        <f t="shared" si="33"/>
        <v>GL144135</v>
      </c>
      <c r="C141" s="638">
        <v>144135</v>
      </c>
      <c r="D141" s="735"/>
      <c r="F141" s="1" t="s">
        <v>144</v>
      </c>
      <c r="H141" s="736" t="s">
        <v>1829</v>
      </c>
      <c r="I141" s="25"/>
      <c r="J141" s="25"/>
      <c r="K141" s="442" t="str">
        <f t="shared" si="53"/>
        <v/>
      </c>
      <c r="L141" s="736" t="s">
        <v>2393</v>
      </c>
      <c r="M141" s="25" t="str">
        <f t="shared" si="34"/>
        <v>A</v>
      </c>
      <c r="N141" s="25" t="str">
        <f>IF(L141&lt;&gt;"",VLOOKUP(L141,Categories!$B$2:$D$41,2,FALSE),IF(F141&lt;&gt;"","No Cat",""))</f>
        <v>All Other</v>
      </c>
      <c r="O141" s="25" t="str">
        <f>IF($L141&lt;&gt;"",VLOOKUP($L141,Categories!$B$2:$D$41,3,FALSE),IF($F141&lt;&gt;"","No Cat",""))</f>
        <v>EB-Cap</v>
      </c>
      <c r="P141" s="736" t="s">
        <v>2490</v>
      </c>
      <c r="Q141" s="25" t="str">
        <f>VLOOKUP($P141,Allocators!$B$7:$F$19,5,FALSE)</f>
        <v>Rate Base</v>
      </c>
      <c r="R141" s="737">
        <f>VLOOKUP($P141,Allocators!$B$7:$F$19,2,FALSE)</f>
        <v>0.70940000000000003</v>
      </c>
      <c r="S141" s="737">
        <f>VLOOKUP($P141,Allocators!$B$7:$F$19,3,FALSE)</f>
        <v>0.29060000000000002</v>
      </c>
      <c r="T141" s="737" t="str">
        <f t="shared" si="38"/>
        <v>0.0%</v>
      </c>
      <c r="U141" s="2">
        <f t="shared" si="47"/>
        <v>-438.84666333333399</v>
      </c>
      <c r="V141" s="2">
        <f t="shared" si="48"/>
        <v>-179.77000333333299</v>
      </c>
      <c r="W141" s="2">
        <f t="shared" si="49"/>
        <v>0</v>
      </c>
      <c r="X141" s="2">
        <f t="shared" si="45"/>
        <v>-618.61666666666702</v>
      </c>
      <c r="Y141" s="2">
        <f t="shared" si="50"/>
        <v>-426.512562</v>
      </c>
      <c r="Z141" s="2">
        <f t="shared" si="51"/>
        <v>-174.71743799999999</v>
      </c>
      <c r="AA141" s="2">
        <f t="shared" si="52"/>
        <v>0</v>
      </c>
      <c r="AB141" s="2">
        <f t="shared" si="46"/>
        <v>-601.23</v>
      </c>
      <c r="AC141" s="759">
        <v>-745.87</v>
      </c>
      <c r="AD141" s="741">
        <v>-741.39</v>
      </c>
      <c r="AE141" s="741">
        <v>-754.83</v>
      </c>
      <c r="AF141" s="741">
        <v>-766.35</v>
      </c>
      <c r="AG141" s="741">
        <v>-795.15</v>
      </c>
      <c r="AH141" s="741">
        <v>-483.47</v>
      </c>
      <c r="AI141" s="741">
        <v>-487.95</v>
      </c>
      <c r="AJ141" s="741">
        <v>-488.59</v>
      </c>
      <c r="AK141" s="741">
        <v>-521.23</v>
      </c>
      <c r="AL141" s="741">
        <v>-576.27</v>
      </c>
      <c r="AM141" s="741">
        <v>-546.19000000000005</v>
      </c>
      <c r="AN141" s="741">
        <v>-588.42999999999995</v>
      </c>
      <c r="AO141" s="741">
        <v>-601.23</v>
      </c>
      <c r="AP141" s="41" t="str">
        <f t="shared" si="42"/>
        <v>GLA</v>
      </c>
      <c r="AQ141" s="41" t="str">
        <f t="shared" si="43"/>
        <v>GLAA2Bad Debts</v>
      </c>
      <c r="AR141" s="41" t="str">
        <f t="shared" si="44"/>
        <v>A2Bad Debts</v>
      </c>
      <c r="CR141" s="625"/>
    </row>
    <row r="142" spans="1:96" s="41" customFormat="1" ht="12.75" customHeight="1">
      <c r="A142" s="25" t="s">
        <v>17</v>
      </c>
      <c r="B142" s="25" t="str">
        <f t="shared" ref="B142:B205" si="54">CONCATENATE(A142,C142,D142,E142)</f>
        <v>GL144140</v>
      </c>
      <c r="C142" s="638">
        <v>144140</v>
      </c>
      <c r="D142" s="735"/>
      <c r="F142" s="1" t="s">
        <v>145</v>
      </c>
      <c r="H142" s="736" t="s">
        <v>1829</v>
      </c>
      <c r="I142" s="25"/>
      <c r="J142" s="25"/>
      <c r="K142" s="442" t="str">
        <f t="shared" si="53"/>
        <v/>
      </c>
      <c r="L142" s="736" t="s">
        <v>2393</v>
      </c>
      <c r="M142" s="25" t="str">
        <f t="shared" ref="M142:M205" si="55">LEFT(L142,1)</f>
        <v>A</v>
      </c>
      <c r="N142" s="25" t="str">
        <f>IF(L142&lt;&gt;"",VLOOKUP(L142,Categories!$B$2:$D$41,2,FALSE),IF(F142&lt;&gt;"","No Cat",""))</f>
        <v>All Other</v>
      </c>
      <c r="O142" s="25" t="str">
        <f>IF($L142&lt;&gt;"",VLOOKUP($L142,Categories!$B$2:$D$41,3,FALSE),IF($F142&lt;&gt;"","No Cat",""))</f>
        <v>EB-Cap</v>
      </c>
      <c r="P142" s="736" t="s">
        <v>2490</v>
      </c>
      <c r="Q142" s="25" t="str">
        <f>VLOOKUP($P142,Allocators!$B$7:$F$19,5,FALSE)</f>
        <v>Rate Base</v>
      </c>
      <c r="R142" s="737">
        <f>VLOOKUP($P142,Allocators!$B$7:$F$19,2,FALSE)</f>
        <v>0.70940000000000003</v>
      </c>
      <c r="S142" s="737">
        <f>VLOOKUP($P142,Allocators!$B$7:$F$19,3,FALSE)</f>
        <v>0.29060000000000002</v>
      </c>
      <c r="T142" s="737" t="str">
        <f t="shared" si="38"/>
        <v>0.0%</v>
      </c>
      <c r="U142" s="2" t="str">
        <f t="shared" si="47"/>
        <v/>
      </c>
      <c r="V142" s="2" t="str">
        <f t="shared" si="48"/>
        <v/>
      </c>
      <c r="W142" s="2" t="str">
        <f t="shared" si="49"/>
        <v/>
      </c>
      <c r="X142" s="2">
        <f t="shared" si="45"/>
        <v>0</v>
      </c>
      <c r="Y142" s="2" t="str">
        <f t="shared" si="50"/>
        <v/>
      </c>
      <c r="Z142" s="2" t="str">
        <f t="shared" si="51"/>
        <v/>
      </c>
      <c r="AA142" s="2" t="str">
        <f t="shared" si="52"/>
        <v/>
      </c>
      <c r="AB142" s="2">
        <f t="shared" si="46"/>
        <v>0</v>
      </c>
      <c r="AC142" s="759">
        <v>0</v>
      </c>
      <c r="AD142" s="741">
        <v>0</v>
      </c>
      <c r="AE142" s="741">
        <v>0</v>
      </c>
      <c r="AF142" s="741">
        <v>0</v>
      </c>
      <c r="AG142" s="741">
        <v>0</v>
      </c>
      <c r="AH142" s="741">
        <v>0</v>
      </c>
      <c r="AI142" s="741">
        <v>0</v>
      </c>
      <c r="AJ142" s="741">
        <v>0</v>
      </c>
      <c r="AK142" s="741">
        <v>0</v>
      </c>
      <c r="AL142" s="741">
        <v>0</v>
      </c>
      <c r="AM142" s="741">
        <v>0</v>
      </c>
      <c r="AN142" s="741">
        <v>0</v>
      </c>
      <c r="AO142" s="741">
        <v>0</v>
      </c>
      <c r="AP142" s="41" t="str">
        <f t="shared" si="42"/>
        <v>GLA</v>
      </c>
      <c r="AQ142" s="41" t="str">
        <f t="shared" si="43"/>
        <v>GLAA2Bad Debts</v>
      </c>
      <c r="AR142" s="41" t="str">
        <f t="shared" si="44"/>
        <v>A2Bad Debts</v>
      </c>
      <c r="CR142" s="625"/>
    </row>
    <row r="143" spans="1:96" s="41" customFormat="1" ht="12.75" customHeight="1">
      <c r="A143" s="25" t="s">
        <v>17</v>
      </c>
      <c r="B143" s="25" t="str">
        <f t="shared" si="54"/>
        <v>GL144170</v>
      </c>
      <c r="C143" s="638">
        <v>144170</v>
      </c>
      <c r="D143" s="735"/>
      <c r="F143" s="1" t="s">
        <v>146</v>
      </c>
      <c r="H143" s="736" t="s">
        <v>1829</v>
      </c>
      <c r="I143" s="25"/>
      <c r="J143" s="25"/>
      <c r="K143" s="442" t="str">
        <f t="shared" si="53"/>
        <v/>
      </c>
      <c r="L143" s="736" t="s">
        <v>2393</v>
      </c>
      <c r="M143" s="25" t="str">
        <f t="shared" si="55"/>
        <v>A</v>
      </c>
      <c r="N143" s="25" t="str">
        <f>IF(L143&lt;&gt;"",VLOOKUP(L143,Categories!$B$2:$D$41,2,FALSE),IF(F143&lt;&gt;"","No Cat",""))</f>
        <v>All Other</v>
      </c>
      <c r="O143" s="25" t="str">
        <f>IF($L143&lt;&gt;"",VLOOKUP($L143,Categories!$B$2:$D$41,3,FALSE),IF($F143&lt;&gt;"","No Cat",""))</f>
        <v>EB-Cap</v>
      </c>
      <c r="P143" s="736" t="s">
        <v>2490</v>
      </c>
      <c r="Q143" s="25" t="str">
        <f>VLOOKUP($P143,Allocators!$B$7:$F$19,5,FALSE)</f>
        <v>Rate Base</v>
      </c>
      <c r="R143" s="737">
        <f>VLOOKUP($P143,Allocators!$B$7:$F$19,2,FALSE)</f>
        <v>0.70940000000000003</v>
      </c>
      <c r="S143" s="737">
        <f>VLOOKUP($P143,Allocators!$B$7:$F$19,3,FALSE)</f>
        <v>0.29060000000000002</v>
      </c>
      <c r="T143" s="737" t="str">
        <f t="shared" si="38"/>
        <v>0.0%</v>
      </c>
      <c r="U143" s="2">
        <f t="shared" si="47"/>
        <v>-12857.1509390666</v>
      </c>
      <c r="V143" s="2">
        <f t="shared" si="48"/>
        <v>-5266.8283942666603</v>
      </c>
      <c r="W143" s="2">
        <f t="shared" si="49"/>
        <v>0</v>
      </c>
      <c r="X143" s="2">
        <f t="shared" si="45"/>
        <v>-18123.9793333333</v>
      </c>
      <c r="Y143" s="2">
        <f t="shared" si="50"/>
        <v>-10123.5962724</v>
      </c>
      <c r="Z143" s="2">
        <f t="shared" si="51"/>
        <v>-4147.0497275999996</v>
      </c>
      <c r="AA143" s="2">
        <f t="shared" si="52"/>
        <v>0</v>
      </c>
      <c r="AB143" s="2">
        <f t="shared" si="46"/>
        <v>-14270.646000000001</v>
      </c>
      <c r="AC143" s="759">
        <v>-15486.646000000001</v>
      </c>
      <c r="AD143" s="741">
        <v>-16382.646000000001</v>
      </c>
      <c r="AE143" s="741">
        <v>-17406.646000000001</v>
      </c>
      <c r="AF143" s="741">
        <v>-17982.646000000001</v>
      </c>
      <c r="AG143" s="741">
        <v>-19198.646000000001</v>
      </c>
      <c r="AH143" s="741">
        <v>-19582.646000000001</v>
      </c>
      <c r="AI143" s="741">
        <v>-19454.646000000001</v>
      </c>
      <c r="AJ143" s="741">
        <v>-19134.646000000001</v>
      </c>
      <c r="AK143" s="741">
        <v>-18750.646000000001</v>
      </c>
      <c r="AL143" s="741">
        <v>-18238.646000000001</v>
      </c>
      <c r="AM143" s="741">
        <v>-18238.646000000001</v>
      </c>
      <c r="AN143" s="741">
        <v>-18238.646000000001</v>
      </c>
      <c r="AO143" s="741">
        <v>-14270.646000000001</v>
      </c>
      <c r="AP143" s="41" t="str">
        <f t="shared" si="42"/>
        <v>GLA</v>
      </c>
      <c r="AQ143" s="41" t="str">
        <f t="shared" si="43"/>
        <v>GLAA2Bad Debts</v>
      </c>
      <c r="AR143" s="41" t="str">
        <f t="shared" si="44"/>
        <v>A2Bad Debts</v>
      </c>
      <c r="CR143" s="625"/>
    </row>
    <row r="144" spans="1:96" s="41" customFormat="1" ht="12.75" customHeight="1">
      <c r="A144" s="25" t="s">
        <v>17</v>
      </c>
      <c r="B144" s="25" t="str">
        <f t="shared" si="54"/>
        <v>GL144171</v>
      </c>
      <c r="C144" s="638">
        <v>144171</v>
      </c>
      <c r="D144" s="735"/>
      <c r="F144" s="1" t="s">
        <v>147</v>
      </c>
      <c r="H144" s="736" t="s">
        <v>1829</v>
      </c>
      <c r="I144" s="25"/>
      <c r="J144" s="25"/>
      <c r="K144" s="442" t="str">
        <f t="shared" si="53"/>
        <v/>
      </c>
      <c r="L144" s="736" t="s">
        <v>2393</v>
      </c>
      <c r="M144" s="25" t="str">
        <f t="shared" si="55"/>
        <v>A</v>
      </c>
      <c r="N144" s="25" t="str">
        <f>IF(L144&lt;&gt;"",VLOOKUP(L144,Categories!$B$2:$D$41,2,FALSE),IF(F144&lt;&gt;"","No Cat",""))</f>
        <v>All Other</v>
      </c>
      <c r="O144" s="25" t="str">
        <f>IF($L144&lt;&gt;"",VLOOKUP($L144,Categories!$B$2:$D$41,3,FALSE),IF($F144&lt;&gt;"","No Cat",""))</f>
        <v>EB-Cap</v>
      </c>
      <c r="P144" s="736" t="s">
        <v>2490</v>
      </c>
      <c r="Q144" s="25" t="str">
        <f>VLOOKUP($P144,Allocators!$B$7:$F$19,5,FALSE)</f>
        <v>Rate Base</v>
      </c>
      <c r="R144" s="737">
        <f>VLOOKUP($P144,Allocators!$B$7:$F$19,2,FALSE)</f>
        <v>0.70940000000000003</v>
      </c>
      <c r="S144" s="737">
        <f>VLOOKUP($P144,Allocators!$B$7:$F$19,3,FALSE)</f>
        <v>0.29060000000000002</v>
      </c>
      <c r="T144" s="737" t="str">
        <f t="shared" si="38"/>
        <v>0.0%</v>
      </c>
      <c r="U144" s="2">
        <f t="shared" si="47"/>
        <v>0.161497274666666</v>
      </c>
      <c r="V144" s="2">
        <f t="shared" si="48"/>
        <v>6.6156058666667003E-2</v>
      </c>
      <c r="W144" s="2">
        <f t="shared" si="49"/>
        <v>0</v>
      </c>
      <c r="X144" s="2">
        <f t="shared" si="45"/>
        <v>0.22765333333333301</v>
      </c>
      <c r="Y144" s="2" t="str">
        <f t="shared" si="50"/>
        <v/>
      </c>
      <c r="Z144" s="2" t="str">
        <f t="shared" si="51"/>
        <v/>
      </c>
      <c r="AA144" s="2" t="str">
        <f t="shared" si="52"/>
        <v/>
      </c>
      <c r="AB144" s="2">
        <f t="shared" si="46"/>
        <v>0</v>
      </c>
      <c r="AC144" s="759">
        <v>0</v>
      </c>
      <c r="AD144" s="741">
        <v>0</v>
      </c>
      <c r="AE144" s="741">
        <v>0</v>
      </c>
      <c r="AF144" s="741">
        <v>0</v>
      </c>
      <c r="AG144" s="741">
        <v>2.73184</v>
      </c>
      <c r="AH144" s="741">
        <v>0</v>
      </c>
      <c r="AI144" s="741">
        <v>0</v>
      </c>
      <c r="AJ144" s="741">
        <v>0</v>
      </c>
      <c r="AK144" s="741">
        <v>0</v>
      </c>
      <c r="AL144" s="741">
        <v>0</v>
      </c>
      <c r="AM144" s="741">
        <v>0</v>
      </c>
      <c r="AN144" s="741">
        <v>0</v>
      </c>
      <c r="AO144" s="741">
        <v>0</v>
      </c>
      <c r="AP144" s="41" t="str">
        <f t="shared" si="42"/>
        <v>GLA</v>
      </c>
      <c r="AQ144" s="41" t="str">
        <f t="shared" si="43"/>
        <v>GLAA2Bad Debts</v>
      </c>
      <c r="AR144" s="41" t="str">
        <f t="shared" si="44"/>
        <v>A2Bad Debts</v>
      </c>
      <c r="CR144" s="625"/>
    </row>
    <row r="145" spans="1:96" s="41" customFormat="1" ht="12.75" customHeight="1">
      <c r="A145" s="25" t="s">
        <v>17</v>
      </c>
      <c r="B145" s="25" t="str">
        <f t="shared" si="54"/>
        <v>GL144510</v>
      </c>
      <c r="C145" s="638">
        <v>144510</v>
      </c>
      <c r="D145" s="735"/>
      <c r="F145" s="1" t="s">
        <v>148</v>
      </c>
      <c r="H145" s="736" t="s">
        <v>1829</v>
      </c>
      <c r="I145" s="25"/>
      <c r="J145" s="25"/>
      <c r="K145" s="442" t="str">
        <f t="shared" si="53"/>
        <v/>
      </c>
      <c r="L145" s="736" t="s">
        <v>2393</v>
      </c>
      <c r="M145" s="25" t="str">
        <f t="shared" si="55"/>
        <v>A</v>
      </c>
      <c r="N145" s="25" t="str">
        <f>IF(L145&lt;&gt;"",VLOOKUP(L145,Categories!$B$2:$D$41,2,FALSE),IF(F145&lt;&gt;"","No Cat",""))</f>
        <v>All Other</v>
      </c>
      <c r="O145" s="25" t="str">
        <f>IF($L145&lt;&gt;"",VLOOKUP($L145,Categories!$B$2:$D$41,3,FALSE),IF($F145&lt;&gt;"","No Cat",""))</f>
        <v>EB-Cap</v>
      </c>
      <c r="P145" s="736" t="s">
        <v>2490</v>
      </c>
      <c r="Q145" s="25" t="str">
        <f>VLOOKUP($P145,Allocators!$B$7:$F$19,5,FALSE)</f>
        <v>Rate Base</v>
      </c>
      <c r="R145" s="737">
        <f>VLOOKUP($P145,Allocators!$B$7:$F$19,2,FALSE)</f>
        <v>0.70940000000000003</v>
      </c>
      <c r="S145" s="737">
        <f>VLOOKUP($P145,Allocators!$B$7:$F$19,3,FALSE)</f>
        <v>0.29060000000000002</v>
      </c>
      <c r="T145" s="737" t="str">
        <f t="shared" si="38"/>
        <v>0.0%</v>
      </c>
      <c r="U145" s="2" t="str">
        <f t="shared" si="47"/>
        <v/>
      </c>
      <c r="V145" s="2" t="str">
        <f t="shared" si="48"/>
        <v/>
      </c>
      <c r="W145" s="2" t="str">
        <f t="shared" si="49"/>
        <v/>
      </c>
      <c r="X145" s="2">
        <f t="shared" si="45"/>
        <v>0</v>
      </c>
      <c r="Y145" s="2" t="str">
        <f t="shared" si="50"/>
        <v/>
      </c>
      <c r="Z145" s="2" t="str">
        <f t="shared" si="51"/>
        <v/>
      </c>
      <c r="AA145" s="2" t="str">
        <f t="shared" si="52"/>
        <v/>
      </c>
      <c r="AB145" s="2">
        <f t="shared" si="46"/>
        <v>0</v>
      </c>
      <c r="AC145" s="759">
        <v>0</v>
      </c>
      <c r="AD145" s="741">
        <v>0</v>
      </c>
      <c r="AE145" s="741">
        <v>0</v>
      </c>
      <c r="AF145" s="741">
        <v>0</v>
      </c>
      <c r="AG145" s="741">
        <v>0</v>
      </c>
      <c r="AH145" s="741">
        <v>0</v>
      </c>
      <c r="AI145" s="741">
        <v>0</v>
      </c>
      <c r="AJ145" s="741">
        <v>0</v>
      </c>
      <c r="AK145" s="741">
        <v>0</v>
      </c>
      <c r="AL145" s="741">
        <v>0</v>
      </c>
      <c r="AM145" s="741">
        <v>0</v>
      </c>
      <c r="AN145" s="741">
        <v>0</v>
      </c>
      <c r="AO145" s="741">
        <v>0</v>
      </c>
      <c r="AP145" s="41" t="str">
        <f t="shared" si="42"/>
        <v>GLA</v>
      </c>
      <c r="AQ145" s="41" t="str">
        <f t="shared" si="43"/>
        <v>GLAA2Bad Debts</v>
      </c>
      <c r="AR145" s="41" t="str">
        <f t="shared" si="44"/>
        <v>A2Bad Debts</v>
      </c>
      <c r="CR145" s="625"/>
    </row>
    <row r="146" spans="1:96" s="41" customFormat="1" ht="12.75" customHeight="1">
      <c r="A146" s="25" t="s">
        <v>17</v>
      </c>
      <c r="B146" s="25" t="str">
        <f t="shared" si="54"/>
        <v>GL144520</v>
      </c>
      <c r="C146" s="638">
        <v>144520</v>
      </c>
      <c r="D146" s="735"/>
      <c r="F146" s="1" t="s">
        <v>149</v>
      </c>
      <c r="H146" s="736" t="s">
        <v>1829</v>
      </c>
      <c r="I146" s="25"/>
      <c r="J146" s="25"/>
      <c r="K146" s="442" t="str">
        <f t="shared" si="53"/>
        <v/>
      </c>
      <c r="L146" s="736" t="s">
        <v>2393</v>
      </c>
      <c r="M146" s="25" t="str">
        <f t="shared" si="55"/>
        <v>A</v>
      </c>
      <c r="N146" s="25" t="str">
        <f>IF(L146&lt;&gt;"",VLOOKUP(L146,Categories!$B$2:$D$41,2,FALSE),IF(F146&lt;&gt;"","No Cat",""))</f>
        <v>All Other</v>
      </c>
      <c r="O146" s="25" t="str">
        <f>IF($L146&lt;&gt;"",VLOOKUP($L146,Categories!$B$2:$D$41,3,FALSE),IF($F146&lt;&gt;"","No Cat",""))</f>
        <v>EB-Cap</v>
      </c>
      <c r="P146" s="736" t="s">
        <v>2490</v>
      </c>
      <c r="Q146" s="25" t="str">
        <f>VLOOKUP($P146,Allocators!$B$7:$F$19,5,FALSE)</f>
        <v>Rate Base</v>
      </c>
      <c r="R146" s="737">
        <f>VLOOKUP($P146,Allocators!$B$7:$F$19,2,FALSE)</f>
        <v>0.70940000000000003</v>
      </c>
      <c r="S146" s="737">
        <f>VLOOKUP($P146,Allocators!$B$7:$F$19,3,FALSE)</f>
        <v>0.29060000000000002</v>
      </c>
      <c r="T146" s="737" t="str">
        <f t="shared" si="38"/>
        <v>0.0%</v>
      </c>
      <c r="U146" s="2" t="str">
        <f t="shared" si="47"/>
        <v/>
      </c>
      <c r="V146" s="2" t="str">
        <f t="shared" si="48"/>
        <v/>
      </c>
      <c r="W146" s="2" t="str">
        <f t="shared" si="49"/>
        <v/>
      </c>
      <c r="X146" s="2">
        <f t="shared" si="45"/>
        <v>0</v>
      </c>
      <c r="Y146" s="2" t="str">
        <f t="shared" si="50"/>
        <v/>
      </c>
      <c r="Z146" s="2" t="str">
        <f t="shared" si="51"/>
        <v/>
      </c>
      <c r="AA146" s="2" t="str">
        <f t="shared" si="52"/>
        <v/>
      </c>
      <c r="AB146" s="2">
        <f t="shared" si="46"/>
        <v>0</v>
      </c>
      <c r="AC146" s="759">
        <v>0</v>
      </c>
      <c r="AD146" s="741">
        <v>0</v>
      </c>
      <c r="AE146" s="741">
        <v>0</v>
      </c>
      <c r="AF146" s="741">
        <v>0</v>
      </c>
      <c r="AG146" s="741">
        <v>0</v>
      </c>
      <c r="AH146" s="741">
        <v>0</v>
      </c>
      <c r="AI146" s="741">
        <v>0</v>
      </c>
      <c r="AJ146" s="741">
        <v>0</v>
      </c>
      <c r="AK146" s="741">
        <v>0</v>
      </c>
      <c r="AL146" s="741">
        <v>0</v>
      </c>
      <c r="AM146" s="741">
        <v>0</v>
      </c>
      <c r="AN146" s="741">
        <v>0</v>
      </c>
      <c r="AO146" s="741">
        <v>0</v>
      </c>
      <c r="AP146" s="41" t="str">
        <f t="shared" si="42"/>
        <v>GLA</v>
      </c>
      <c r="AQ146" s="41" t="str">
        <f t="shared" si="43"/>
        <v>GLAA2Bad Debts</v>
      </c>
      <c r="AR146" s="41" t="str">
        <f t="shared" si="44"/>
        <v>A2Bad Debts</v>
      </c>
      <c r="CR146" s="625"/>
    </row>
    <row r="147" spans="1:96" s="41" customFormat="1" ht="12.75" customHeight="1">
      <c r="A147" s="442" t="s">
        <v>17</v>
      </c>
      <c r="B147" s="442" t="str">
        <f t="shared" si="54"/>
        <v>GL145026</v>
      </c>
      <c r="C147" s="638">
        <v>145026</v>
      </c>
      <c r="D147" s="735"/>
      <c r="E147" s="626"/>
      <c r="F147" s="441" t="s">
        <v>150</v>
      </c>
      <c r="G147" s="626"/>
      <c r="H147" s="736">
        <v>0</v>
      </c>
      <c r="I147" s="442"/>
      <c r="J147" s="442"/>
      <c r="K147" s="442" t="str">
        <f t="shared" si="53"/>
        <v/>
      </c>
      <c r="L147" s="736" t="s">
        <v>2421</v>
      </c>
      <c r="M147" s="442" t="str">
        <f t="shared" si="55"/>
        <v>N</v>
      </c>
      <c r="N147" s="442" t="str">
        <f>IF(L147&lt;&gt;"",VLOOKUP(L147,Categories!$B$2:$D$41,2,FALSE),IF(F147&lt;&gt;"","No Cat",""))</f>
        <v>NRBASE</v>
      </c>
      <c r="O147" s="442" t="str">
        <f>IF($L147&lt;&gt;"",VLOOKUP($L147,Categories!$B$2:$D$41,3,FALSE),IF($F147&lt;&gt;"","No Cat",""))</f>
        <v>Direct Assign Items Not in RB</v>
      </c>
      <c r="P147" s="736" t="s">
        <v>2468</v>
      </c>
      <c r="Q147" s="442" t="str">
        <f>VLOOKUP($P147,Allocators!$B$7:$F$19,5,FALSE)</f>
        <v>Not in Rate Base</v>
      </c>
      <c r="R147" s="737">
        <f>VLOOKUP($P147,Allocators!$B$7:$F$19,2,FALSE)</f>
        <v>0</v>
      </c>
      <c r="S147" s="737">
        <f>VLOOKUP($P147,Allocators!$B$7:$F$19,3,FALSE)</f>
        <v>0</v>
      </c>
      <c r="T147" s="737">
        <f t="shared" si="38"/>
        <v>1</v>
      </c>
      <c r="U147" s="2" t="str">
        <f t="shared" si="47"/>
        <v/>
      </c>
      <c r="V147" s="2" t="str">
        <f t="shared" si="48"/>
        <v/>
      </c>
      <c r="W147" s="2" t="str">
        <f t="shared" si="49"/>
        <v/>
      </c>
      <c r="X147" s="2">
        <f t="shared" si="45"/>
        <v>0</v>
      </c>
      <c r="Y147" s="2" t="str">
        <f t="shared" si="50"/>
        <v/>
      </c>
      <c r="Z147" s="2" t="str">
        <f t="shared" si="51"/>
        <v/>
      </c>
      <c r="AA147" s="2" t="str">
        <f t="shared" si="52"/>
        <v/>
      </c>
      <c r="AB147" s="2">
        <f t="shared" si="46"/>
        <v>0</v>
      </c>
      <c r="AC147" s="759">
        <v>0</v>
      </c>
      <c r="AD147" s="741">
        <v>0</v>
      </c>
      <c r="AE147" s="741">
        <v>0</v>
      </c>
      <c r="AF147" s="741">
        <v>0</v>
      </c>
      <c r="AG147" s="741">
        <v>0</v>
      </c>
      <c r="AH147" s="741">
        <v>0</v>
      </c>
      <c r="AI147" s="741">
        <v>0</v>
      </c>
      <c r="AJ147" s="741">
        <v>0</v>
      </c>
      <c r="AK147" s="741">
        <v>0</v>
      </c>
      <c r="AL147" s="741">
        <v>0</v>
      </c>
      <c r="AM147" s="741">
        <v>0</v>
      </c>
      <c r="AN147" s="741">
        <v>0</v>
      </c>
      <c r="AO147" s="741">
        <v>0</v>
      </c>
      <c r="AP147" s="41" t="str">
        <f t="shared" si="42"/>
        <v>GLN</v>
      </c>
      <c r="AQ147" s="41" t="str">
        <f t="shared" si="43"/>
        <v>GLNN20</v>
      </c>
      <c r="AR147" s="41" t="str">
        <f t="shared" si="44"/>
        <v>N20</v>
      </c>
    </row>
    <row r="148" spans="1:96" s="41" customFormat="1" ht="12.75" customHeight="1">
      <c r="A148" s="442" t="s">
        <v>17</v>
      </c>
      <c r="B148" s="442" t="str">
        <f t="shared" si="54"/>
        <v>GL146030</v>
      </c>
      <c r="C148" s="638">
        <v>146030</v>
      </c>
      <c r="D148" s="735"/>
      <c r="E148" s="626"/>
      <c r="F148" s="441" t="s">
        <v>151</v>
      </c>
      <c r="G148" s="626"/>
      <c r="H148" s="736">
        <v>0</v>
      </c>
      <c r="I148" s="442"/>
      <c r="J148" s="442"/>
      <c r="K148" s="442" t="str">
        <f t="shared" si="53"/>
        <v/>
      </c>
      <c r="L148" s="736" t="s">
        <v>2421</v>
      </c>
      <c r="M148" s="442" t="str">
        <f t="shared" si="55"/>
        <v>N</v>
      </c>
      <c r="N148" s="442" t="str">
        <f>IF(L148&lt;&gt;"",VLOOKUP(L148,Categories!$B$2:$D$41,2,FALSE),IF(F148&lt;&gt;"","No Cat",""))</f>
        <v>NRBASE</v>
      </c>
      <c r="O148" s="442" t="str">
        <f>IF($L148&lt;&gt;"",VLOOKUP($L148,Categories!$B$2:$D$41,3,FALSE),IF($F148&lt;&gt;"","No Cat",""))</f>
        <v>Direct Assign Items Not in RB</v>
      </c>
      <c r="P148" s="736" t="s">
        <v>2468</v>
      </c>
      <c r="Q148" s="442" t="str">
        <f>VLOOKUP($P148,Allocators!$B$7:$F$19,5,FALSE)</f>
        <v>Not in Rate Base</v>
      </c>
      <c r="R148" s="737">
        <f>VLOOKUP($P148,Allocators!$B$7:$F$19,2,FALSE)</f>
        <v>0</v>
      </c>
      <c r="S148" s="737">
        <f>VLOOKUP($P148,Allocators!$B$7:$F$19,3,FALSE)</f>
        <v>0</v>
      </c>
      <c r="T148" s="737">
        <f t="shared" si="38"/>
        <v>1</v>
      </c>
      <c r="U148" s="2" t="str">
        <f t="shared" si="47"/>
        <v/>
      </c>
      <c r="V148" s="2" t="str">
        <f t="shared" si="48"/>
        <v/>
      </c>
      <c r="W148" s="2" t="str">
        <f t="shared" si="49"/>
        <v/>
      </c>
      <c r="X148" s="2">
        <f t="shared" si="45"/>
        <v>0</v>
      </c>
      <c r="Y148" s="2" t="str">
        <f t="shared" si="50"/>
        <v/>
      </c>
      <c r="Z148" s="2" t="str">
        <f t="shared" si="51"/>
        <v/>
      </c>
      <c r="AA148" s="2" t="str">
        <f t="shared" si="52"/>
        <v/>
      </c>
      <c r="AB148" s="2">
        <f t="shared" si="46"/>
        <v>0</v>
      </c>
      <c r="AC148" s="759">
        <v>0</v>
      </c>
      <c r="AD148" s="741">
        <v>0</v>
      </c>
      <c r="AE148" s="741">
        <v>0</v>
      </c>
      <c r="AF148" s="741">
        <v>0</v>
      </c>
      <c r="AG148" s="741">
        <v>0</v>
      </c>
      <c r="AH148" s="741">
        <v>0</v>
      </c>
      <c r="AI148" s="741">
        <v>0</v>
      </c>
      <c r="AJ148" s="741">
        <v>0</v>
      </c>
      <c r="AK148" s="741">
        <v>0</v>
      </c>
      <c r="AL148" s="741">
        <v>0</v>
      </c>
      <c r="AM148" s="741">
        <v>0</v>
      </c>
      <c r="AN148" s="741">
        <v>0</v>
      </c>
      <c r="AO148" s="741">
        <v>0</v>
      </c>
      <c r="AP148" s="41" t="str">
        <f t="shared" si="42"/>
        <v>GLN</v>
      </c>
      <c r="AQ148" s="41" t="str">
        <f t="shared" si="43"/>
        <v>GLNN20</v>
      </c>
      <c r="AR148" s="41" t="str">
        <f t="shared" si="44"/>
        <v>N20</v>
      </c>
    </row>
    <row r="149" spans="1:96" s="41" customFormat="1" ht="12.75" customHeight="1">
      <c r="A149" s="442" t="s">
        <v>17</v>
      </c>
      <c r="B149" s="442" t="str">
        <f t="shared" si="54"/>
        <v>GL146040</v>
      </c>
      <c r="C149" s="638">
        <v>146040</v>
      </c>
      <c r="D149" s="735"/>
      <c r="E149" s="626"/>
      <c r="F149" s="441" t="s">
        <v>152</v>
      </c>
      <c r="G149" s="626"/>
      <c r="H149" s="736">
        <v>0</v>
      </c>
      <c r="I149" s="442"/>
      <c r="J149" s="442"/>
      <c r="K149" s="442" t="str">
        <f t="shared" si="53"/>
        <v/>
      </c>
      <c r="L149" s="736" t="s">
        <v>2421</v>
      </c>
      <c r="M149" s="442" t="str">
        <f t="shared" si="55"/>
        <v>N</v>
      </c>
      <c r="N149" s="442" t="str">
        <f>IF(L149&lt;&gt;"",VLOOKUP(L149,Categories!$B$2:$D$41,2,FALSE),IF(F149&lt;&gt;"","No Cat",""))</f>
        <v>NRBASE</v>
      </c>
      <c r="O149" s="442" t="str">
        <f>IF($L149&lt;&gt;"",VLOOKUP($L149,Categories!$B$2:$D$41,3,FALSE),IF($F149&lt;&gt;"","No Cat",""))</f>
        <v>Direct Assign Items Not in RB</v>
      </c>
      <c r="P149" s="736" t="s">
        <v>2468</v>
      </c>
      <c r="Q149" s="442" t="str">
        <f>VLOOKUP($P149,Allocators!$B$7:$F$19,5,FALSE)</f>
        <v>Not in Rate Base</v>
      </c>
      <c r="R149" s="737">
        <f>VLOOKUP($P149,Allocators!$B$7:$F$19,2,FALSE)</f>
        <v>0</v>
      </c>
      <c r="S149" s="737">
        <f>VLOOKUP($P149,Allocators!$B$7:$F$19,3,FALSE)</f>
        <v>0</v>
      </c>
      <c r="T149" s="737">
        <f t="shared" si="38"/>
        <v>1</v>
      </c>
      <c r="U149" s="2" t="str">
        <f t="shared" si="47"/>
        <v/>
      </c>
      <c r="V149" s="2" t="str">
        <f t="shared" si="48"/>
        <v/>
      </c>
      <c r="W149" s="2" t="str">
        <f t="shared" si="49"/>
        <v/>
      </c>
      <c r="X149" s="2">
        <f t="shared" si="45"/>
        <v>0</v>
      </c>
      <c r="Y149" s="2" t="str">
        <f t="shared" si="50"/>
        <v/>
      </c>
      <c r="Z149" s="2" t="str">
        <f t="shared" si="51"/>
        <v/>
      </c>
      <c r="AA149" s="2" t="str">
        <f t="shared" si="52"/>
        <v/>
      </c>
      <c r="AB149" s="2">
        <f t="shared" si="46"/>
        <v>0</v>
      </c>
      <c r="AC149" s="759">
        <v>0</v>
      </c>
      <c r="AD149" s="741">
        <v>0</v>
      </c>
      <c r="AE149" s="741">
        <v>0</v>
      </c>
      <c r="AF149" s="741">
        <v>0</v>
      </c>
      <c r="AG149" s="741">
        <v>0</v>
      </c>
      <c r="AH149" s="741">
        <v>0</v>
      </c>
      <c r="AI149" s="741">
        <v>0</v>
      </c>
      <c r="AJ149" s="741">
        <v>0</v>
      </c>
      <c r="AK149" s="741">
        <v>0</v>
      </c>
      <c r="AL149" s="741">
        <v>0</v>
      </c>
      <c r="AM149" s="741">
        <v>0</v>
      </c>
      <c r="AN149" s="741">
        <v>0</v>
      </c>
      <c r="AO149" s="741">
        <v>0</v>
      </c>
      <c r="AP149" s="41" t="str">
        <f t="shared" si="42"/>
        <v>GLN</v>
      </c>
      <c r="AQ149" s="41" t="str">
        <f t="shared" si="43"/>
        <v>GLNN20</v>
      </c>
      <c r="AR149" s="41" t="str">
        <f t="shared" si="44"/>
        <v>N20</v>
      </c>
    </row>
    <row r="150" spans="1:96" s="41" customFormat="1" ht="12.75" customHeight="1">
      <c r="A150" s="442" t="s">
        <v>17</v>
      </c>
      <c r="B150" s="442" t="str">
        <f t="shared" si="54"/>
        <v>GL146041</v>
      </c>
      <c r="C150" s="638">
        <v>146041</v>
      </c>
      <c r="D150" s="735"/>
      <c r="E150" s="626"/>
      <c r="F150" s="441" t="s">
        <v>153</v>
      </c>
      <c r="G150" s="626"/>
      <c r="H150" s="736">
        <v>0</v>
      </c>
      <c r="I150" s="442"/>
      <c r="J150" s="442"/>
      <c r="K150" s="442" t="str">
        <f t="shared" si="53"/>
        <v/>
      </c>
      <c r="L150" s="736" t="s">
        <v>2421</v>
      </c>
      <c r="M150" s="442" t="str">
        <f t="shared" si="55"/>
        <v>N</v>
      </c>
      <c r="N150" s="442" t="str">
        <f>IF(L150&lt;&gt;"",VLOOKUP(L150,Categories!$B$2:$D$41,2,FALSE),IF(F150&lt;&gt;"","No Cat",""))</f>
        <v>NRBASE</v>
      </c>
      <c r="O150" s="442" t="str">
        <f>IF($L150&lt;&gt;"",VLOOKUP($L150,Categories!$B$2:$D$41,3,FALSE),IF($F150&lt;&gt;"","No Cat",""))</f>
        <v>Direct Assign Items Not in RB</v>
      </c>
      <c r="P150" s="736" t="s">
        <v>2468</v>
      </c>
      <c r="Q150" s="442" t="str">
        <f>VLOOKUP($P150,Allocators!$B$7:$F$19,5,FALSE)</f>
        <v>Not in Rate Base</v>
      </c>
      <c r="R150" s="737">
        <f>VLOOKUP($P150,Allocators!$B$7:$F$19,2,FALSE)</f>
        <v>0</v>
      </c>
      <c r="S150" s="737">
        <f>VLOOKUP($P150,Allocators!$B$7:$F$19,3,FALSE)</f>
        <v>0</v>
      </c>
      <c r="T150" s="737">
        <f t="shared" ref="T150:T215" si="56">IF(P150="N",1,"0.0%")</f>
        <v>1</v>
      </c>
      <c r="U150" s="2" t="str">
        <f t="shared" si="47"/>
        <v/>
      </c>
      <c r="V150" s="2" t="str">
        <f t="shared" si="48"/>
        <v/>
      </c>
      <c r="W150" s="2" t="str">
        <f t="shared" si="49"/>
        <v/>
      </c>
      <c r="X150" s="2">
        <f t="shared" si="45"/>
        <v>0</v>
      </c>
      <c r="Y150" s="2" t="str">
        <f t="shared" si="50"/>
        <v/>
      </c>
      <c r="Z150" s="2" t="str">
        <f t="shared" si="51"/>
        <v/>
      </c>
      <c r="AA150" s="2" t="str">
        <f t="shared" si="52"/>
        <v/>
      </c>
      <c r="AB150" s="2">
        <f t="shared" si="46"/>
        <v>0</v>
      </c>
      <c r="AC150" s="759">
        <v>0</v>
      </c>
      <c r="AD150" s="741">
        <v>0</v>
      </c>
      <c r="AE150" s="741">
        <v>0</v>
      </c>
      <c r="AF150" s="741">
        <v>0</v>
      </c>
      <c r="AG150" s="741">
        <v>0</v>
      </c>
      <c r="AH150" s="741">
        <v>0</v>
      </c>
      <c r="AI150" s="741">
        <v>0</v>
      </c>
      <c r="AJ150" s="741">
        <v>0</v>
      </c>
      <c r="AK150" s="741">
        <v>0</v>
      </c>
      <c r="AL150" s="741">
        <v>0</v>
      </c>
      <c r="AM150" s="741">
        <v>0</v>
      </c>
      <c r="AN150" s="741">
        <v>0</v>
      </c>
      <c r="AO150" s="741">
        <v>0</v>
      </c>
      <c r="AP150" s="41" t="str">
        <f t="shared" si="42"/>
        <v>GLN</v>
      </c>
      <c r="AQ150" s="41" t="str">
        <f t="shared" si="43"/>
        <v>GLNN20</v>
      </c>
      <c r="AR150" s="41" t="str">
        <f t="shared" si="44"/>
        <v>N20</v>
      </c>
    </row>
    <row r="151" spans="1:96" s="41" customFormat="1" ht="12.75" customHeight="1">
      <c r="A151" s="442" t="s">
        <v>17</v>
      </c>
      <c r="B151" s="442" t="str">
        <f t="shared" si="54"/>
        <v>GL146042</v>
      </c>
      <c r="C151" s="638">
        <v>146042</v>
      </c>
      <c r="D151" s="735"/>
      <c r="E151" s="626"/>
      <c r="F151" s="441" t="s">
        <v>154</v>
      </c>
      <c r="G151" s="626"/>
      <c r="H151" s="736">
        <v>0</v>
      </c>
      <c r="I151" s="442"/>
      <c r="J151" s="442"/>
      <c r="K151" s="442" t="str">
        <f t="shared" si="53"/>
        <v/>
      </c>
      <c r="L151" s="736" t="s">
        <v>2421</v>
      </c>
      <c r="M151" s="442" t="str">
        <f t="shared" si="55"/>
        <v>N</v>
      </c>
      <c r="N151" s="442" t="str">
        <f>IF(L151&lt;&gt;"",VLOOKUP(L151,Categories!$B$2:$D$41,2,FALSE),IF(F151&lt;&gt;"","No Cat",""))</f>
        <v>NRBASE</v>
      </c>
      <c r="O151" s="442" t="str">
        <f>IF($L151&lt;&gt;"",VLOOKUP($L151,Categories!$B$2:$D$41,3,FALSE),IF($F151&lt;&gt;"","No Cat",""))</f>
        <v>Direct Assign Items Not in RB</v>
      </c>
      <c r="P151" s="736" t="s">
        <v>2468</v>
      </c>
      <c r="Q151" s="442" t="str">
        <f>VLOOKUP($P151,Allocators!$B$7:$F$19,5,FALSE)</f>
        <v>Not in Rate Base</v>
      </c>
      <c r="R151" s="737">
        <f>VLOOKUP($P151,Allocators!$B$7:$F$19,2,FALSE)</f>
        <v>0</v>
      </c>
      <c r="S151" s="737">
        <f>VLOOKUP($P151,Allocators!$B$7:$F$19,3,FALSE)</f>
        <v>0</v>
      </c>
      <c r="T151" s="737">
        <f t="shared" si="56"/>
        <v>1</v>
      </c>
      <c r="U151" s="2" t="str">
        <f t="shared" si="47"/>
        <v/>
      </c>
      <c r="V151" s="2" t="str">
        <f t="shared" si="48"/>
        <v/>
      </c>
      <c r="W151" s="2" t="str">
        <f t="shared" si="49"/>
        <v/>
      </c>
      <c r="X151" s="2">
        <f t="shared" si="45"/>
        <v>0</v>
      </c>
      <c r="Y151" s="2" t="str">
        <f t="shared" si="50"/>
        <v/>
      </c>
      <c r="Z151" s="2" t="str">
        <f t="shared" si="51"/>
        <v/>
      </c>
      <c r="AA151" s="2" t="str">
        <f t="shared" si="52"/>
        <v/>
      </c>
      <c r="AB151" s="2">
        <f t="shared" si="46"/>
        <v>0</v>
      </c>
      <c r="AC151" s="759">
        <v>0</v>
      </c>
      <c r="AD151" s="741">
        <v>0</v>
      </c>
      <c r="AE151" s="741">
        <v>0</v>
      </c>
      <c r="AF151" s="741">
        <v>0</v>
      </c>
      <c r="AG151" s="741">
        <v>0</v>
      </c>
      <c r="AH151" s="741">
        <v>0</v>
      </c>
      <c r="AI151" s="741">
        <v>0</v>
      </c>
      <c r="AJ151" s="741">
        <v>0</v>
      </c>
      <c r="AK151" s="741">
        <v>0</v>
      </c>
      <c r="AL151" s="741">
        <v>0</v>
      </c>
      <c r="AM151" s="741">
        <v>0</v>
      </c>
      <c r="AN151" s="741">
        <v>0</v>
      </c>
      <c r="AO151" s="741">
        <v>0</v>
      </c>
      <c r="AP151" s="41" t="str">
        <f t="shared" si="42"/>
        <v>GLN</v>
      </c>
      <c r="AQ151" s="41" t="str">
        <f t="shared" si="43"/>
        <v>GLNN20</v>
      </c>
      <c r="AR151" s="41" t="str">
        <f t="shared" si="44"/>
        <v>N20</v>
      </c>
    </row>
    <row r="152" spans="1:96" s="41" customFormat="1" ht="12.75" customHeight="1">
      <c r="A152" s="442" t="s">
        <v>17</v>
      </c>
      <c r="B152" s="442" t="str">
        <f t="shared" si="54"/>
        <v>GL146060</v>
      </c>
      <c r="C152" s="638">
        <v>146060</v>
      </c>
      <c r="D152" s="735"/>
      <c r="E152" s="626"/>
      <c r="F152" s="441" t="s">
        <v>155</v>
      </c>
      <c r="G152" s="626"/>
      <c r="H152" s="736" t="s">
        <v>2546</v>
      </c>
      <c r="I152" s="442"/>
      <c r="J152" s="442"/>
      <c r="K152" s="442" t="str">
        <f t="shared" si="53"/>
        <v/>
      </c>
      <c r="L152" s="736" t="s">
        <v>2393</v>
      </c>
      <c r="M152" s="442" t="str">
        <f t="shared" si="55"/>
        <v>A</v>
      </c>
      <c r="N152" s="442" t="str">
        <f>IF(L152&lt;&gt;"",VLOOKUP(L152,Categories!$B$2:$D$41,2,FALSE),IF(F152&lt;&gt;"","No Cat",""))</f>
        <v>All Other</v>
      </c>
      <c r="O152" s="442" t="str">
        <f>IF($L152&lt;&gt;"",VLOOKUP($L152,Categories!$B$2:$D$41,3,FALSE),IF($F152&lt;&gt;"","No Cat",""))</f>
        <v>EB-Cap</v>
      </c>
      <c r="P152" s="736" t="s">
        <v>2490</v>
      </c>
      <c r="Q152" s="442" t="str">
        <f>VLOOKUP($P152,Allocators!$B$7:$F$19,5,FALSE)</f>
        <v>Rate Base</v>
      </c>
      <c r="R152" s="737">
        <f>VLOOKUP($P152,Allocators!$B$7:$F$19,2,FALSE)</f>
        <v>0.70940000000000003</v>
      </c>
      <c r="S152" s="737">
        <f>VLOOKUP($P152,Allocators!$B$7:$F$19,3,FALSE)</f>
        <v>0.29060000000000002</v>
      </c>
      <c r="T152" s="737" t="str">
        <f t="shared" si="56"/>
        <v>0.0%</v>
      </c>
      <c r="U152" s="2">
        <f t="shared" si="47"/>
        <v>2300.7760587079101</v>
      </c>
      <c r="V152" s="2">
        <f t="shared" si="48"/>
        <v>942.49439337541605</v>
      </c>
      <c r="W152" s="2">
        <f t="shared" si="49"/>
        <v>0</v>
      </c>
      <c r="X152" s="2">
        <f t="shared" si="45"/>
        <v>3243.2704520833299</v>
      </c>
      <c r="Y152" s="2">
        <f t="shared" si="50"/>
        <v>2966.4129371280001</v>
      </c>
      <c r="Z152" s="2">
        <f t="shared" si="51"/>
        <v>1215.167182872</v>
      </c>
      <c r="AA152" s="2">
        <f t="shared" si="52"/>
        <v>0</v>
      </c>
      <c r="AB152" s="2">
        <f t="shared" si="46"/>
        <v>4181.5801200000005</v>
      </c>
      <c r="AC152" s="759">
        <v>5837.1132300000008</v>
      </c>
      <c r="AD152" s="741">
        <v>4467.1912000000002</v>
      </c>
      <c r="AE152" s="741">
        <v>4080.4373799999998</v>
      </c>
      <c r="AF152" s="741">
        <v>2976.2678599999999</v>
      </c>
      <c r="AG152" s="741">
        <v>3629.3768799999998</v>
      </c>
      <c r="AH152" s="741">
        <v>3140.14671</v>
      </c>
      <c r="AI152" s="741">
        <v>4217.7082300000002</v>
      </c>
      <c r="AJ152" s="741">
        <v>2611.4858300000001</v>
      </c>
      <c r="AK152" s="741">
        <v>3412.5153</v>
      </c>
      <c r="AL152" s="741">
        <v>-833.98388</v>
      </c>
      <c r="AM152" s="741">
        <v>2235.4349900000002</v>
      </c>
      <c r="AN152" s="741">
        <v>3973.3182499999998</v>
      </c>
      <c r="AO152" s="741">
        <v>4181.5801200000005</v>
      </c>
      <c r="AP152" s="41" t="str">
        <f t="shared" si="42"/>
        <v>GLA</v>
      </c>
      <c r="AQ152" s="41" t="str">
        <f t="shared" si="43"/>
        <v>GLAA2Accounts Receivable</v>
      </c>
      <c r="AR152" s="41" t="str">
        <f t="shared" si="44"/>
        <v>A2Accounts Receivable</v>
      </c>
    </row>
    <row r="153" spans="1:96" s="41" customFormat="1" ht="12.75" customHeight="1">
      <c r="A153" s="442" t="s">
        <v>17</v>
      </c>
      <c r="B153" s="442" t="str">
        <f t="shared" si="54"/>
        <v>GL146290</v>
      </c>
      <c r="C153" s="638">
        <v>146290</v>
      </c>
      <c r="D153" s="735"/>
      <c r="E153" s="626"/>
      <c r="F153" s="441" t="s">
        <v>156</v>
      </c>
      <c r="G153" s="626"/>
      <c r="H153" s="736">
        <v>0</v>
      </c>
      <c r="I153" s="442"/>
      <c r="J153" s="442"/>
      <c r="K153" s="442" t="str">
        <f t="shared" si="53"/>
        <v/>
      </c>
      <c r="L153" s="736" t="s">
        <v>2421</v>
      </c>
      <c r="M153" s="442" t="str">
        <f t="shared" si="55"/>
        <v>N</v>
      </c>
      <c r="N153" s="442" t="str">
        <f>IF(L153&lt;&gt;"",VLOOKUP(L153,Categories!$B$2:$D$41,2,FALSE),IF(F153&lt;&gt;"","No Cat",""))</f>
        <v>NRBASE</v>
      </c>
      <c r="O153" s="442" t="str">
        <f>IF($L153&lt;&gt;"",VLOOKUP($L153,Categories!$B$2:$D$41,3,FALSE),IF($F153&lt;&gt;"","No Cat",""))</f>
        <v>Direct Assign Items Not in RB</v>
      </c>
      <c r="P153" s="736" t="s">
        <v>2468</v>
      </c>
      <c r="Q153" s="442" t="str">
        <f>VLOOKUP($P153,Allocators!$B$7:$F$19,5,FALSE)</f>
        <v>Not in Rate Base</v>
      </c>
      <c r="R153" s="737">
        <f>VLOOKUP($P153,Allocators!$B$7:$F$19,2,FALSE)</f>
        <v>0</v>
      </c>
      <c r="S153" s="737">
        <f>VLOOKUP($P153,Allocators!$B$7:$F$19,3,FALSE)</f>
        <v>0</v>
      </c>
      <c r="T153" s="737">
        <f t="shared" si="56"/>
        <v>1</v>
      </c>
      <c r="U153" s="2" t="str">
        <f t="shared" si="47"/>
        <v/>
      </c>
      <c r="V153" s="2" t="str">
        <f t="shared" si="48"/>
        <v/>
      </c>
      <c r="W153" s="2" t="str">
        <f t="shared" si="49"/>
        <v/>
      </c>
      <c r="X153" s="2">
        <f t="shared" si="45"/>
        <v>0</v>
      </c>
      <c r="Y153" s="2" t="str">
        <f t="shared" si="50"/>
        <v/>
      </c>
      <c r="Z153" s="2" t="str">
        <f t="shared" si="51"/>
        <v/>
      </c>
      <c r="AA153" s="2" t="str">
        <f t="shared" si="52"/>
        <v/>
      </c>
      <c r="AB153" s="2">
        <f t="shared" si="46"/>
        <v>0</v>
      </c>
      <c r="AC153" s="759">
        <v>0</v>
      </c>
      <c r="AD153" s="741">
        <v>0</v>
      </c>
      <c r="AE153" s="741">
        <v>0</v>
      </c>
      <c r="AF153" s="741">
        <v>0</v>
      </c>
      <c r="AG153" s="741">
        <v>0</v>
      </c>
      <c r="AH153" s="741">
        <v>0</v>
      </c>
      <c r="AI153" s="741">
        <v>0</v>
      </c>
      <c r="AJ153" s="741">
        <v>0</v>
      </c>
      <c r="AK153" s="741">
        <v>0</v>
      </c>
      <c r="AL153" s="741">
        <v>0</v>
      </c>
      <c r="AM153" s="741">
        <v>0</v>
      </c>
      <c r="AN153" s="741">
        <v>0</v>
      </c>
      <c r="AO153" s="741">
        <v>0</v>
      </c>
      <c r="AP153" s="41" t="str">
        <f t="shared" si="42"/>
        <v>GLN</v>
      </c>
      <c r="AQ153" s="41" t="str">
        <f t="shared" si="43"/>
        <v>GLNN20</v>
      </c>
      <c r="AR153" s="41" t="str">
        <f t="shared" si="44"/>
        <v>N20</v>
      </c>
    </row>
    <row r="154" spans="1:96" s="41" customFormat="1" ht="12.75" customHeight="1">
      <c r="A154" s="442" t="s">
        <v>17</v>
      </c>
      <c r="B154" s="442" t="str">
        <f t="shared" si="54"/>
        <v>GL146890</v>
      </c>
      <c r="C154" s="638">
        <v>146890</v>
      </c>
      <c r="D154" s="735"/>
      <c r="E154" s="626"/>
      <c r="F154" s="441" t="s">
        <v>157</v>
      </c>
      <c r="G154" s="626"/>
      <c r="H154" s="736">
        <v>0</v>
      </c>
      <c r="I154" s="442"/>
      <c r="J154" s="442"/>
      <c r="K154" s="442" t="str">
        <f t="shared" si="53"/>
        <v/>
      </c>
      <c r="L154" s="736" t="s">
        <v>2421</v>
      </c>
      <c r="M154" s="442" t="str">
        <f t="shared" si="55"/>
        <v>N</v>
      </c>
      <c r="N154" s="442" t="str">
        <f>IF(L154&lt;&gt;"",VLOOKUP(L154,Categories!$B$2:$D$41,2,FALSE),IF(F154&lt;&gt;"","No Cat",""))</f>
        <v>NRBASE</v>
      </c>
      <c r="O154" s="442" t="str">
        <f>IF($L154&lt;&gt;"",VLOOKUP($L154,Categories!$B$2:$D$41,3,FALSE),IF($F154&lt;&gt;"","No Cat",""))</f>
        <v>Direct Assign Items Not in RB</v>
      </c>
      <c r="P154" s="736" t="s">
        <v>2468</v>
      </c>
      <c r="Q154" s="442" t="str">
        <f>VLOOKUP($P154,Allocators!$B$7:$F$19,5,FALSE)</f>
        <v>Not in Rate Base</v>
      </c>
      <c r="R154" s="737">
        <f>VLOOKUP($P154,Allocators!$B$7:$F$19,2,FALSE)</f>
        <v>0</v>
      </c>
      <c r="S154" s="737">
        <f>VLOOKUP($P154,Allocators!$B$7:$F$19,3,FALSE)</f>
        <v>0</v>
      </c>
      <c r="T154" s="737">
        <f t="shared" si="56"/>
        <v>1</v>
      </c>
      <c r="U154" s="2" t="str">
        <f t="shared" si="47"/>
        <v/>
      </c>
      <c r="V154" s="2" t="str">
        <f t="shared" si="48"/>
        <v/>
      </c>
      <c r="W154" s="2" t="str">
        <f t="shared" si="49"/>
        <v/>
      </c>
      <c r="X154" s="2">
        <f t="shared" si="45"/>
        <v>0</v>
      </c>
      <c r="Y154" s="2" t="str">
        <f t="shared" si="50"/>
        <v/>
      </c>
      <c r="Z154" s="2" t="str">
        <f t="shared" si="51"/>
        <v/>
      </c>
      <c r="AA154" s="2" t="str">
        <f t="shared" si="52"/>
        <v/>
      </c>
      <c r="AB154" s="2">
        <f t="shared" si="46"/>
        <v>0</v>
      </c>
      <c r="AC154" s="759">
        <v>0</v>
      </c>
      <c r="AD154" s="741">
        <v>0</v>
      </c>
      <c r="AE154" s="741">
        <v>0</v>
      </c>
      <c r="AF154" s="741">
        <v>0</v>
      </c>
      <c r="AG154" s="741">
        <v>0</v>
      </c>
      <c r="AH154" s="741">
        <v>0</v>
      </c>
      <c r="AI154" s="741">
        <v>0</v>
      </c>
      <c r="AJ154" s="741">
        <v>0</v>
      </c>
      <c r="AK154" s="741">
        <v>0</v>
      </c>
      <c r="AL154" s="741">
        <v>0</v>
      </c>
      <c r="AM154" s="741">
        <v>0</v>
      </c>
      <c r="AN154" s="741">
        <v>0</v>
      </c>
      <c r="AO154" s="741">
        <v>0</v>
      </c>
      <c r="AP154" s="41" t="str">
        <f t="shared" si="42"/>
        <v>GLN</v>
      </c>
      <c r="AQ154" s="41" t="str">
        <f t="shared" si="43"/>
        <v>GLNN20</v>
      </c>
      <c r="AR154" s="41" t="str">
        <f t="shared" si="44"/>
        <v>N20</v>
      </c>
    </row>
    <row r="155" spans="1:96" s="41" customFormat="1" ht="12.75" customHeight="1">
      <c r="A155" s="442" t="s">
        <v>17</v>
      </c>
      <c r="B155" s="442" t="str">
        <f t="shared" si="54"/>
        <v>GL146900</v>
      </c>
      <c r="C155" s="638">
        <v>146900</v>
      </c>
      <c r="D155" s="735"/>
      <c r="E155" s="626"/>
      <c r="F155" s="441" t="s">
        <v>158</v>
      </c>
      <c r="G155" s="626"/>
      <c r="H155" s="736">
        <v>0</v>
      </c>
      <c r="I155" s="442"/>
      <c r="J155" s="442"/>
      <c r="K155" s="442" t="str">
        <f t="shared" si="53"/>
        <v/>
      </c>
      <c r="L155" s="736" t="s">
        <v>2421</v>
      </c>
      <c r="M155" s="442" t="str">
        <f t="shared" si="55"/>
        <v>N</v>
      </c>
      <c r="N155" s="442" t="str">
        <f>IF(L155&lt;&gt;"",VLOOKUP(L155,Categories!$B$2:$D$41,2,FALSE),IF(F155&lt;&gt;"","No Cat",""))</f>
        <v>NRBASE</v>
      </c>
      <c r="O155" s="442" t="str">
        <f>IF($L155&lt;&gt;"",VLOOKUP($L155,Categories!$B$2:$D$41,3,FALSE),IF($F155&lt;&gt;"","No Cat",""))</f>
        <v>Direct Assign Items Not in RB</v>
      </c>
      <c r="P155" s="736" t="s">
        <v>2468</v>
      </c>
      <c r="Q155" s="442" t="str">
        <f>VLOOKUP($P155,Allocators!$B$7:$F$19,5,FALSE)</f>
        <v>Not in Rate Base</v>
      </c>
      <c r="R155" s="737">
        <f>VLOOKUP($P155,Allocators!$B$7:$F$19,2,FALSE)</f>
        <v>0</v>
      </c>
      <c r="S155" s="737">
        <f>VLOOKUP($P155,Allocators!$B$7:$F$19,3,FALSE)</f>
        <v>0</v>
      </c>
      <c r="T155" s="737">
        <f t="shared" si="56"/>
        <v>1</v>
      </c>
      <c r="U155" s="2" t="str">
        <f t="shared" si="47"/>
        <v/>
      </c>
      <c r="V155" s="2" t="str">
        <f t="shared" si="48"/>
        <v/>
      </c>
      <c r="W155" s="2" t="str">
        <f t="shared" si="49"/>
        <v/>
      </c>
      <c r="X155" s="2">
        <f t="shared" si="45"/>
        <v>0</v>
      </c>
      <c r="Y155" s="2" t="str">
        <f t="shared" si="50"/>
        <v/>
      </c>
      <c r="Z155" s="2" t="str">
        <f t="shared" si="51"/>
        <v/>
      </c>
      <c r="AA155" s="2" t="str">
        <f t="shared" si="52"/>
        <v/>
      </c>
      <c r="AB155" s="2">
        <f t="shared" si="46"/>
        <v>0</v>
      </c>
      <c r="AC155" s="759">
        <v>0</v>
      </c>
      <c r="AD155" s="741">
        <v>0</v>
      </c>
      <c r="AE155" s="741">
        <v>0</v>
      </c>
      <c r="AF155" s="741">
        <v>0</v>
      </c>
      <c r="AG155" s="741">
        <v>0</v>
      </c>
      <c r="AH155" s="741">
        <v>0</v>
      </c>
      <c r="AI155" s="741">
        <v>0</v>
      </c>
      <c r="AJ155" s="741">
        <v>0</v>
      </c>
      <c r="AK155" s="741">
        <v>0</v>
      </c>
      <c r="AL155" s="741">
        <v>0</v>
      </c>
      <c r="AM155" s="741">
        <v>0</v>
      </c>
      <c r="AN155" s="741">
        <v>0</v>
      </c>
      <c r="AO155" s="741">
        <v>0</v>
      </c>
      <c r="AP155" s="41" t="str">
        <f t="shared" si="42"/>
        <v>GLN</v>
      </c>
      <c r="AQ155" s="41" t="str">
        <f t="shared" si="43"/>
        <v>GLNN20</v>
      </c>
      <c r="AR155" s="41" t="str">
        <f t="shared" si="44"/>
        <v>N20</v>
      </c>
    </row>
    <row r="156" spans="1:96" s="41" customFormat="1" ht="12.75" customHeight="1">
      <c r="A156" s="442" t="s">
        <v>17</v>
      </c>
      <c r="B156" s="442" t="str">
        <f t="shared" si="54"/>
        <v>GL146901</v>
      </c>
      <c r="C156" s="638">
        <v>146901</v>
      </c>
      <c r="D156" s="735"/>
      <c r="E156" s="626"/>
      <c r="F156" s="441" t="s">
        <v>159</v>
      </c>
      <c r="G156" s="626"/>
      <c r="H156" s="736">
        <v>0</v>
      </c>
      <c r="I156" s="442"/>
      <c r="J156" s="442"/>
      <c r="K156" s="442" t="str">
        <f t="shared" si="53"/>
        <v/>
      </c>
      <c r="L156" s="736" t="s">
        <v>2421</v>
      </c>
      <c r="M156" s="442" t="str">
        <f t="shared" si="55"/>
        <v>N</v>
      </c>
      <c r="N156" s="442" t="str">
        <f>IF(L156&lt;&gt;"",VLOOKUP(L156,Categories!$B$2:$D$41,2,FALSE),IF(F156&lt;&gt;"","No Cat",""))</f>
        <v>NRBASE</v>
      </c>
      <c r="O156" s="442" t="str">
        <f>IF($L156&lt;&gt;"",VLOOKUP($L156,Categories!$B$2:$D$41,3,FALSE),IF($F156&lt;&gt;"","No Cat",""))</f>
        <v>Direct Assign Items Not in RB</v>
      </c>
      <c r="P156" s="736" t="s">
        <v>2468</v>
      </c>
      <c r="Q156" s="442" t="str">
        <f>VLOOKUP($P156,Allocators!$B$7:$F$19,5,FALSE)</f>
        <v>Not in Rate Base</v>
      </c>
      <c r="R156" s="737">
        <f>VLOOKUP($P156,Allocators!$B$7:$F$19,2,FALSE)</f>
        <v>0</v>
      </c>
      <c r="S156" s="737">
        <f>VLOOKUP($P156,Allocators!$B$7:$F$19,3,FALSE)</f>
        <v>0</v>
      </c>
      <c r="T156" s="737">
        <f t="shared" si="56"/>
        <v>1</v>
      </c>
      <c r="U156" s="2" t="str">
        <f t="shared" si="47"/>
        <v/>
      </c>
      <c r="V156" s="2" t="str">
        <f t="shared" si="48"/>
        <v/>
      </c>
      <c r="W156" s="2" t="str">
        <f t="shared" si="49"/>
        <v/>
      </c>
      <c r="X156" s="2">
        <f t="shared" si="45"/>
        <v>0</v>
      </c>
      <c r="Y156" s="2" t="str">
        <f t="shared" si="50"/>
        <v/>
      </c>
      <c r="Z156" s="2" t="str">
        <f t="shared" si="51"/>
        <v/>
      </c>
      <c r="AA156" s="2" t="str">
        <f t="shared" si="52"/>
        <v/>
      </c>
      <c r="AB156" s="2">
        <f t="shared" si="46"/>
        <v>0</v>
      </c>
      <c r="AC156" s="759">
        <v>0</v>
      </c>
      <c r="AD156" s="741">
        <v>0</v>
      </c>
      <c r="AE156" s="741">
        <v>0</v>
      </c>
      <c r="AF156" s="741">
        <v>0</v>
      </c>
      <c r="AG156" s="741">
        <v>0</v>
      </c>
      <c r="AH156" s="741">
        <v>0</v>
      </c>
      <c r="AI156" s="741">
        <v>0</v>
      </c>
      <c r="AJ156" s="741">
        <v>0</v>
      </c>
      <c r="AK156" s="741">
        <v>0</v>
      </c>
      <c r="AL156" s="741">
        <v>0</v>
      </c>
      <c r="AM156" s="741">
        <v>0</v>
      </c>
      <c r="AN156" s="741">
        <v>0</v>
      </c>
      <c r="AO156" s="741">
        <v>0</v>
      </c>
      <c r="AP156" s="41" t="str">
        <f t="shared" si="42"/>
        <v>GLN</v>
      </c>
      <c r="AQ156" s="41" t="str">
        <f t="shared" si="43"/>
        <v>GLNN20</v>
      </c>
      <c r="AR156" s="41" t="str">
        <f t="shared" si="44"/>
        <v>N20</v>
      </c>
    </row>
    <row r="157" spans="1:96" s="41" customFormat="1" ht="12.75" customHeight="1">
      <c r="A157" s="442" t="s">
        <v>17</v>
      </c>
      <c r="B157" s="442" t="str">
        <f t="shared" si="54"/>
        <v>GL146910</v>
      </c>
      <c r="C157" s="638">
        <v>146910</v>
      </c>
      <c r="D157" s="735"/>
      <c r="E157" s="626"/>
      <c r="F157" s="441" t="s">
        <v>160</v>
      </c>
      <c r="G157" s="626"/>
      <c r="H157" s="736">
        <v>0</v>
      </c>
      <c r="I157" s="442"/>
      <c r="J157" s="442"/>
      <c r="K157" s="442" t="str">
        <f t="shared" si="53"/>
        <v/>
      </c>
      <c r="L157" s="736" t="s">
        <v>2421</v>
      </c>
      <c r="M157" s="442" t="str">
        <f t="shared" si="55"/>
        <v>N</v>
      </c>
      <c r="N157" s="442" t="str">
        <f>IF(L157&lt;&gt;"",VLOOKUP(L157,Categories!$B$2:$D$41,2,FALSE),IF(F157&lt;&gt;"","No Cat",""))</f>
        <v>NRBASE</v>
      </c>
      <c r="O157" s="442" t="str">
        <f>IF($L157&lt;&gt;"",VLOOKUP($L157,Categories!$B$2:$D$41,3,FALSE),IF($F157&lt;&gt;"","No Cat",""))</f>
        <v>Direct Assign Items Not in RB</v>
      </c>
      <c r="P157" s="736" t="s">
        <v>2468</v>
      </c>
      <c r="Q157" s="442" t="str">
        <f>VLOOKUP($P157,Allocators!$B$7:$F$19,5,FALSE)</f>
        <v>Not in Rate Base</v>
      </c>
      <c r="R157" s="737">
        <f>VLOOKUP($P157,Allocators!$B$7:$F$19,2,FALSE)</f>
        <v>0</v>
      </c>
      <c r="S157" s="737">
        <f>VLOOKUP($P157,Allocators!$B$7:$F$19,3,FALSE)</f>
        <v>0</v>
      </c>
      <c r="T157" s="737">
        <f t="shared" si="56"/>
        <v>1</v>
      </c>
      <c r="U157" s="2" t="str">
        <f t="shared" si="47"/>
        <v/>
      </c>
      <c r="V157" s="2" t="str">
        <f t="shared" si="48"/>
        <v/>
      </c>
      <c r="W157" s="2" t="str">
        <f t="shared" si="49"/>
        <v/>
      </c>
      <c r="X157" s="2">
        <f t="shared" si="45"/>
        <v>0</v>
      </c>
      <c r="Y157" s="2" t="str">
        <f t="shared" si="50"/>
        <v/>
      </c>
      <c r="Z157" s="2" t="str">
        <f t="shared" si="51"/>
        <v/>
      </c>
      <c r="AA157" s="2" t="str">
        <f t="shared" si="52"/>
        <v/>
      </c>
      <c r="AB157" s="2">
        <f t="shared" si="46"/>
        <v>0</v>
      </c>
      <c r="AC157" s="759">
        <v>0</v>
      </c>
      <c r="AD157" s="741">
        <v>0</v>
      </c>
      <c r="AE157" s="741">
        <v>0</v>
      </c>
      <c r="AF157" s="741">
        <v>0</v>
      </c>
      <c r="AG157" s="741">
        <v>0</v>
      </c>
      <c r="AH157" s="741">
        <v>0</v>
      </c>
      <c r="AI157" s="741">
        <v>0</v>
      </c>
      <c r="AJ157" s="741">
        <v>0</v>
      </c>
      <c r="AK157" s="741">
        <v>0</v>
      </c>
      <c r="AL157" s="741">
        <v>0</v>
      </c>
      <c r="AM157" s="741">
        <v>0</v>
      </c>
      <c r="AN157" s="741">
        <v>0</v>
      </c>
      <c r="AO157" s="741">
        <v>0</v>
      </c>
      <c r="AP157" s="41" t="str">
        <f t="shared" si="42"/>
        <v>GLN</v>
      </c>
      <c r="AQ157" s="41" t="str">
        <f t="shared" si="43"/>
        <v>GLNN20</v>
      </c>
      <c r="AR157" s="41" t="str">
        <f t="shared" si="44"/>
        <v>N20</v>
      </c>
    </row>
    <row r="158" spans="1:96" s="41" customFormat="1" ht="12.75" customHeight="1">
      <c r="A158" s="442" t="s">
        <v>17</v>
      </c>
      <c r="B158" s="442" t="str">
        <f t="shared" si="54"/>
        <v>GL146911</v>
      </c>
      <c r="C158" s="638">
        <v>146911</v>
      </c>
      <c r="D158" s="735"/>
      <c r="E158" s="626"/>
      <c r="F158" s="441" t="s">
        <v>161</v>
      </c>
      <c r="G158" s="626"/>
      <c r="H158" s="736">
        <v>0</v>
      </c>
      <c r="I158" s="442"/>
      <c r="J158" s="442"/>
      <c r="K158" s="442" t="str">
        <f t="shared" si="53"/>
        <v/>
      </c>
      <c r="L158" s="736" t="s">
        <v>2421</v>
      </c>
      <c r="M158" s="442" t="str">
        <f t="shared" si="55"/>
        <v>N</v>
      </c>
      <c r="N158" s="442" t="str">
        <f>IF(L158&lt;&gt;"",VLOOKUP(L158,Categories!$B$2:$D$41,2,FALSE),IF(F158&lt;&gt;"","No Cat",""))</f>
        <v>NRBASE</v>
      </c>
      <c r="O158" s="442" t="str">
        <f>IF($L158&lt;&gt;"",VLOOKUP($L158,Categories!$B$2:$D$41,3,FALSE),IF($F158&lt;&gt;"","No Cat",""))</f>
        <v>Direct Assign Items Not in RB</v>
      </c>
      <c r="P158" s="736" t="s">
        <v>2468</v>
      </c>
      <c r="Q158" s="442" t="str">
        <f>VLOOKUP($P158,Allocators!$B$7:$F$19,5,FALSE)</f>
        <v>Not in Rate Base</v>
      </c>
      <c r="R158" s="737">
        <f>VLOOKUP($P158,Allocators!$B$7:$F$19,2,FALSE)</f>
        <v>0</v>
      </c>
      <c r="S158" s="737">
        <f>VLOOKUP($P158,Allocators!$B$7:$F$19,3,FALSE)</f>
        <v>0</v>
      </c>
      <c r="T158" s="737">
        <f t="shared" si="56"/>
        <v>1</v>
      </c>
      <c r="U158" s="2" t="str">
        <f t="shared" si="47"/>
        <v/>
      </c>
      <c r="V158" s="2" t="str">
        <f t="shared" si="48"/>
        <v/>
      </c>
      <c r="W158" s="2" t="str">
        <f t="shared" si="49"/>
        <v/>
      </c>
      <c r="X158" s="2">
        <f t="shared" si="45"/>
        <v>0</v>
      </c>
      <c r="Y158" s="2" t="str">
        <f t="shared" si="50"/>
        <v/>
      </c>
      <c r="Z158" s="2" t="str">
        <f t="shared" si="51"/>
        <v/>
      </c>
      <c r="AA158" s="2" t="str">
        <f t="shared" si="52"/>
        <v/>
      </c>
      <c r="AB158" s="2">
        <f t="shared" si="46"/>
        <v>0</v>
      </c>
      <c r="AC158" s="759">
        <v>0</v>
      </c>
      <c r="AD158" s="741">
        <v>0</v>
      </c>
      <c r="AE158" s="741">
        <v>0</v>
      </c>
      <c r="AF158" s="741">
        <v>0</v>
      </c>
      <c r="AG158" s="741">
        <v>0</v>
      </c>
      <c r="AH158" s="741">
        <v>0</v>
      </c>
      <c r="AI158" s="741">
        <v>0</v>
      </c>
      <c r="AJ158" s="741">
        <v>0</v>
      </c>
      <c r="AK158" s="741">
        <v>0</v>
      </c>
      <c r="AL158" s="741">
        <v>0</v>
      </c>
      <c r="AM158" s="741">
        <v>0</v>
      </c>
      <c r="AN158" s="741">
        <v>0</v>
      </c>
      <c r="AO158" s="741">
        <v>0</v>
      </c>
      <c r="AP158" s="41" t="str">
        <f t="shared" si="42"/>
        <v>GLN</v>
      </c>
      <c r="AQ158" s="41" t="str">
        <f t="shared" si="43"/>
        <v>GLNN20</v>
      </c>
      <c r="AR158" s="41" t="str">
        <f t="shared" si="44"/>
        <v>N20</v>
      </c>
    </row>
    <row r="159" spans="1:96" s="41" customFormat="1" ht="12.75" customHeight="1">
      <c r="A159" s="442" t="s">
        <v>17</v>
      </c>
      <c r="B159" s="442" t="str">
        <f t="shared" si="54"/>
        <v>GL146913</v>
      </c>
      <c r="C159" s="638">
        <v>146913</v>
      </c>
      <c r="D159" s="735"/>
      <c r="E159" s="626"/>
      <c r="F159" s="441" t="s">
        <v>162</v>
      </c>
      <c r="G159" s="626"/>
      <c r="H159" s="736">
        <v>0</v>
      </c>
      <c r="I159" s="442"/>
      <c r="J159" s="442"/>
      <c r="K159" s="442" t="str">
        <f t="shared" si="53"/>
        <v/>
      </c>
      <c r="L159" s="736" t="s">
        <v>2421</v>
      </c>
      <c r="M159" s="442" t="str">
        <f t="shared" si="55"/>
        <v>N</v>
      </c>
      <c r="N159" s="442" t="str">
        <f>IF(L159&lt;&gt;"",VLOOKUP(L159,Categories!$B$2:$D$41,2,FALSE),IF(F159&lt;&gt;"","No Cat",""))</f>
        <v>NRBASE</v>
      </c>
      <c r="O159" s="442" t="str">
        <f>IF($L159&lt;&gt;"",VLOOKUP($L159,Categories!$B$2:$D$41,3,FALSE),IF($F159&lt;&gt;"","No Cat",""))</f>
        <v>Direct Assign Items Not in RB</v>
      </c>
      <c r="P159" s="736" t="s">
        <v>2468</v>
      </c>
      <c r="Q159" s="442" t="str">
        <f>VLOOKUP($P159,Allocators!$B$7:$F$19,5,FALSE)</f>
        <v>Not in Rate Base</v>
      </c>
      <c r="R159" s="737">
        <f>VLOOKUP($P159,Allocators!$B$7:$F$19,2,FALSE)</f>
        <v>0</v>
      </c>
      <c r="S159" s="737">
        <f>VLOOKUP($P159,Allocators!$B$7:$F$19,3,FALSE)</f>
        <v>0</v>
      </c>
      <c r="T159" s="737">
        <f t="shared" si="56"/>
        <v>1</v>
      </c>
      <c r="U159" s="2" t="str">
        <f t="shared" si="47"/>
        <v/>
      </c>
      <c r="V159" s="2" t="str">
        <f t="shared" si="48"/>
        <v/>
      </c>
      <c r="W159" s="2" t="str">
        <f t="shared" si="49"/>
        <v/>
      </c>
      <c r="X159" s="2">
        <f t="shared" si="45"/>
        <v>0</v>
      </c>
      <c r="Y159" s="2" t="str">
        <f t="shared" si="50"/>
        <v/>
      </c>
      <c r="Z159" s="2" t="str">
        <f t="shared" si="51"/>
        <v/>
      </c>
      <c r="AA159" s="2" t="str">
        <f t="shared" si="52"/>
        <v/>
      </c>
      <c r="AB159" s="2">
        <f t="shared" si="46"/>
        <v>0</v>
      </c>
      <c r="AC159" s="759">
        <v>0</v>
      </c>
      <c r="AD159" s="741">
        <v>0</v>
      </c>
      <c r="AE159" s="741">
        <v>0</v>
      </c>
      <c r="AF159" s="741">
        <v>0</v>
      </c>
      <c r="AG159" s="741">
        <v>0</v>
      </c>
      <c r="AH159" s="741">
        <v>0</v>
      </c>
      <c r="AI159" s="741">
        <v>0</v>
      </c>
      <c r="AJ159" s="741">
        <v>0</v>
      </c>
      <c r="AK159" s="741">
        <v>0</v>
      </c>
      <c r="AL159" s="741">
        <v>0</v>
      </c>
      <c r="AM159" s="741">
        <v>0</v>
      </c>
      <c r="AN159" s="741">
        <v>0</v>
      </c>
      <c r="AO159" s="741">
        <v>0</v>
      </c>
      <c r="AP159" s="41" t="str">
        <f t="shared" si="42"/>
        <v>GLN</v>
      </c>
      <c r="AQ159" s="41" t="str">
        <f t="shared" si="43"/>
        <v>GLNN20</v>
      </c>
      <c r="AR159" s="41" t="str">
        <f t="shared" si="44"/>
        <v>N20</v>
      </c>
    </row>
    <row r="160" spans="1:96" s="41" customFormat="1" ht="12.75" customHeight="1">
      <c r="A160" s="442" t="s">
        <v>17</v>
      </c>
      <c r="B160" s="442" t="str">
        <f t="shared" si="54"/>
        <v>GL146920</v>
      </c>
      <c r="C160" s="638">
        <v>146920</v>
      </c>
      <c r="D160" s="735"/>
      <c r="E160" s="626"/>
      <c r="F160" s="441" t="s">
        <v>163</v>
      </c>
      <c r="G160" s="626"/>
      <c r="H160" s="736">
        <v>0</v>
      </c>
      <c r="I160" s="442"/>
      <c r="J160" s="442"/>
      <c r="K160" s="442" t="str">
        <f t="shared" si="53"/>
        <v/>
      </c>
      <c r="L160" s="736" t="s">
        <v>2421</v>
      </c>
      <c r="M160" s="442" t="str">
        <f t="shared" si="55"/>
        <v>N</v>
      </c>
      <c r="N160" s="442" t="str">
        <f>IF(L160&lt;&gt;"",VLOOKUP(L160,Categories!$B$2:$D$41,2,FALSE),IF(F160&lt;&gt;"","No Cat",""))</f>
        <v>NRBASE</v>
      </c>
      <c r="O160" s="442" t="str">
        <f>IF($L160&lt;&gt;"",VLOOKUP($L160,Categories!$B$2:$D$41,3,FALSE),IF($F160&lt;&gt;"","No Cat",""))</f>
        <v>Direct Assign Items Not in RB</v>
      </c>
      <c r="P160" s="736" t="s">
        <v>2468</v>
      </c>
      <c r="Q160" s="442" t="str">
        <f>VLOOKUP($P160,Allocators!$B$7:$F$19,5,FALSE)</f>
        <v>Not in Rate Base</v>
      </c>
      <c r="R160" s="737">
        <f>VLOOKUP($P160,Allocators!$B$7:$F$19,2,FALSE)</f>
        <v>0</v>
      </c>
      <c r="S160" s="737">
        <f>VLOOKUP($P160,Allocators!$B$7:$F$19,3,FALSE)</f>
        <v>0</v>
      </c>
      <c r="T160" s="737">
        <f t="shared" si="56"/>
        <v>1</v>
      </c>
      <c r="U160" s="2" t="str">
        <f t="shared" si="47"/>
        <v/>
      </c>
      <c r="V160" s="2" t="str">
        <f t="shared" si="48"/>
        <v/>
      </c>
      <c r="W160" s="2" t="str">
        <f t="shared" si="49"/>
        <v/>
      </c>
      <c r="X160" s="2">
        <f t="shared" si="45"/>
        <v>0</v>
      </c>
      <c r="Y160" s="2" t="str">
        <f t="shared" si="50"/>
        <v/>
      </c>
      <c r="Z160" s="2" t="str">
        <f t="shared" si="51"/>
        <v/>
      </c>
      <c r="AA160" s="2" t="str">
        <f t="shared" si="52"/>
        <v/>
      </c>
      <c r="AB160" s="2">
        <f t="shared" si="46"/>
        <v>0</v>
      </c>
      <c r="AC160" s="759">
        <v>0</v>
      </c>
      <c r="AD160" s="741">
        <v>0</v>
      </c>
      <c r="AE160" s="741">
        <v>0</v>
      </c>
      <c r="AF160" s="741">
        <v>0</v>
      </c>
      <c r="AG160" s="741">
        <v>0</v>
      </c>
      <c r="AH160" s="741">
        <v>0</v>
      </c>
      <c r="AI160" s="741">
        <v>0</v>
      </c>
      <c r="AJ160" s="741">
        <v>0</v>
      </c>
      <c r="AK160" s="741">
        <v>0</v>
      </c>
      <c r="AL160" s="741">
        <v>0</v>
      </c>
      <c r="AM160" s="741">
        <v>0</v>
      </c>
      <c r="AN160" s="741">
        <v>0</v>
      </c>
      <c r="AO160" s="741">
        <v>0</v>
      </c>
      <c r="AP160" s="41" t="str">
        <f t="shared" si="42"/>
        <v>GLN</v>
      </c>
      <c r="AQ160" s="41" t="str">
        <f t="shared" si="43"/>
        <v>GLNN20</v>
      </c>
      <c r="AR160" s="41" t="str">
        <f t="shared" si="44"/>
        <v>N20</v>
      </c>
    </row>
    <row r="161" spans="1:96" s="41" customFormat="1" ht="12.75" customHeight="1">
      <c r="A161" s="442" t="s">
        <v>17</v>
      </c>
      <c r="B161" s="442" t="str">
        <f t="shared" si="54"/>
        <v>GL146930</v>
      </c>
      <c r="C161" s="638">
        <v>146930</v>
      </c>
      <c r="D161" s="735"/>
      <c r="E161" s="626"/>
      <c r="F161" s="441" t="s">
        <v>164</v>
      </c>
      <c r="G161" s="626"/>
      <c r="H161" s="736">
        <v>0</v>
      </c>
      <c r="I161" s="442"/>
      <c r="J161" s="442"/>
      <c r="K161" s="442" t="str">
        <f t="shared" si="53"/>
        <v/>
      </c>
      <c r="L161" s="736" t="s">
        <v>2421</v>
      </c>
      <c r="M161" s="442" t="str">
        <f t="shared" si="55"/>
        <v>N</v>
      </c>
      <c r="N161" s="442" t="str">
        <f>IF(L161&lt;&gt;"",VLOOKUP(L161,Categories!$B$2:$D$41,2,FALSE),IF(F161&lt;&gt;"","No Cat",""))</f>
        <v>NRBASE</v>
      </c>
      <c r="O161" s="442" t="str">
        <f>IF($L161&lt;&gt;"",VLOOKUP($L161,Categories!$B$2:$D$41,3,FALSE),IF($F161&lt;&gt;"","No Cat",""))</f>
        <v>Direct Assign Items Not in RB</v>
      </c>
      <c r="P161" s="736" t="s">
        <v>2468</v>
      </c>
      <c r="Q161" s="442" t="str">
        <f>VLOOKUP($P161,Allocators!$B$7:$F$19,5,FALSE)</f>
        <v>Not in Rate Base</v>
      </c>
      <c r="R161" s="737">
        <f>VLOOKUP($P161,Allocators!$B$7:$F$19,2,FALSE)</f>
        <v>0</v>
      </c>
      <c r="S161" s="737">
        <f>VLOOKUP($P161,Allocators!$B$7:$F$19,3,FALSE)</f>
        <v>0</v>
      </c>
      <c r="T161" s="737">
        <f t="shared" si="56"/>
        <v>1</v>
      </c>
      <c r="U161" s="2" t="str">
        <f t="shared" si="47"/>
        <v/>
      </c>
      <c r="V161" s="2" t="str">
        <f t="shared" si="48"/>
        <v/>
      </c>
      <c r="W161" s="2" t="str">
        <f t="shared" si="49"/>
        <v/>
      </c>
      <c r="X161" s="2">
        <f t="shared" si="45"/>
        <v>0</v>
      </c>
      <c r="Y161" s="2" t="str">
        <f t="shared" si="50"/>
        <v/>
      </c>
      <c r="Z161" s="2" t="str">
        <f t="shared" si="51"/>
        <v/>
      </c>
      <c r="AA161" s="2" t="str">
        <f t="shared" si="52"/>
        <v/>
      </c>
      <c r="AB161" s="2">
        <f t="shared" si="46"/>
        <v>0</v>
      </c>
      <c r="AC161" s="759">
        <v>0</v>
      </c>
      <c r="AD161" s="741">
        <v>0</v>
      </c>
      <c r="AE161" s="741">
        <v>0</v>
      </c>
      <c r="AF161" s="741">
        <v>0</v>
      </c>
      <c r="AG161" s="741">
        <v>0</v>
      </c>
      <c r="AH161" s="741">
        <v>0</v>
      </c>
      <c r="AI161" s="741">
        <v>0</v>
      </c>
      <c r="AJ161" s="741">
        <v>0</v>
      </c>
      <c r="AK161" s="741">
        <v>0</v>
      </c>
      <c r="AL161" s="741">
        <v>0</v>
      </c>
      <c r="AM161" s="741">
        <v>0</v>
      </c>
      <c r="AN161" s="741">
        <v>0</v>
      </c>
      <c r="AO161" s="741">
        <v>0</v>
      </c>
      <c r="AP161" s="41" t="str">
        <f t="shared" si="42"/>
        <v>GLN</v>
      </c>
      <c r="AQ161" s="41" t="str">
        <f t="shared" si="43"/>
        <v>GLNN20</v>
      </c>
      <c r="AR161" s="41" t="str">
        <f t="shared" si="44"/>
        <v>N20</v>
      </c>
    </row>
    <row r="162" spans="1:96" s="41" customFormat="1" ht="12.75" customHeight="1">
      <c r="A162" s="25" t="s">
        <v>17</v>
      </c>
      <c r="B162" s="25" t="str">
        <f t="shared" si="54"/>
        <v>GL151540</v>
      </c>
      <c r="C162" s="638">
        <v>151540</v>
      </c>
      <c r="D162" s="735"/>
      <c r="F162" s="1" t="s">
        <v>165</v>
      </c>
      <c r="H162" s="736">
        <v>0</v>
      </c>
      <c r="I162" s="25"/>
      <c r="J162" s="25"/>
      <c r="K162" s="442" t="str">
        <f t="shared" si="53"/>
        <v/>
      </c>
      <c r="L162" s="736" t="s">
        <v>2456</v>
      </c>
      <c r="M162" s="25" t="str">
        <f t="shared" si="55"/>
        <v>R</v>
      </c>
      <c r="N162" s="25" t="str">
        <f>IF(L162&lt;&gt;"",VLOOKUP(L162,Categories!$B$2:$D$41,2,FALSE),IF(F162&lt;&gt;"","No Cat",""))</f>
        <v>Rate Base</v>
      </c>
      <c r="O162" s="25" t="str">
        <f>IF($L162&lt;&gt;"",VLOOKUP($L162,Categories!$B$2:$D$41,3,FALSE),IF($F162&lt;&gt;"","No Cat",""))</f>
        <v>Working Capital - M &amp; S</v>
      </c>
      <c r="P162" s="736" t="s">
        <v>2482</v>
      </c>
      <c r="Q162" s="25" t="str">
        <f>VLOOKUP($P162,Allocators!$B$7:$F$19,5,FALSE)</f>
        <v>Electric</v>
      </c>
      <c r="R162" s="737">
        <f>VLOOKUP($P162,Allocators!$B$7:$F$19,2,FALSE)</f>
        <v>1</v>
      </c>
      <c r="S162" s="737">
        <f>VLOOKUP($P162,Allocators!$B$7:$F$19,3,FALSE)</f>
        <v>0</v>
      </c>
      <c r="T162" s="737" t="str">
        <f t="shared" si="56"/>
        <v>0.0%</v>
      </c>
      <c r="U162" s="2" t="str">
        <f t="shared" si="47"/>
        <v/>
      </c>
      <c r="V162" s="2" t="str">
        <f t="shared" si="48"/>
        <v/>
      </c>
      <c r="W162" s="2" t="str">
        <f t="shared" si="49"/>
        <v/>
      </c>
      <c r="X162" s="2">
        <f t="shared" si="45"/>
        <v>0</v>
      </c>
      <c r="Y162" s="2" t="str">
        <f t="shared" si="50"/>
        <v/>
      </c>
      <c r="Z162" s="2" t="str">
        <f t="shared" si="51"/>
        <v/>
      </c>
      <c r="AA162" s="2" t="str">
        <f t="shared" si="52"/>
        <v/>
      </c>
      <c r="AB162" s="2">
        <f t="shared" si="46"/>
        <v>0</v>
      </c>
      <c r="AC162" s="759">
        <v>0</v>
      </c>
      <c r="AD162" s="741">
        <v>0</v>
      </c>
      <c r="AE162" s="741">
        <v>0</v>
      </c>
      <c r="AF162" s="741">
        <v>0</v>
      </c>
      <c r="AG162" s="741">
        <v>0</v>
      </c>
      <c r="AH162" s="741">
        <v>0</v>
      </c>
      <c r="AI162" s="741">
        <v>0</v>
      </c>
      <c r="AJ162" s="741">
        <v>0</v>
      </c>
      <c r="AK162" s="741">
        <v>0</v>
      </c>
      <c r="AL162" s="741">
        <v>0</v>
      </c>
      <c r="AM162" s="741">
        <v>0</v>
      </c>
      <c r="AN162" s="741">
        <v>0</v>
      </c>
      <c r="AO162" s="741">
        <v>0</v>
      </c>
      <c r="AP162" s="41" t="str">
        <f t="shared" si="42"/>
        <v>GLR</v>
      </c>
      <c r="AQ162" s="41" t="str">
        <f t="shared" si="43"/>
        <v>GLRR60</v>
      </c>
      <c r="AR162" s="41" t="str">
        <f t="shared" si="44"/>
        <v>R60</v>
      </c>
    </row>
    <row r="163" spans="1:96" s="41" customFormat="1" ht="12.75" customHeight="1">
      <c r="A163" s="25" t="s">
        <v>17</v>
      </c>
      <c r="B163" s="25" t="str">
        <f t="shared" si="54"/>
        <v>GL151610</v>
      </c>
      <c r="C163" s="638">
        <v>151610</v>
      </c>
      <c r="D163" s="735"/>
      <c r="F163" s="1" t="s">
        <v>166</v>
      </c>
      <c r="H163" s="736">
        <v>0</v>
      </c>
      <c r="I163" s="25"/>
      <c r="J163" s="25"/>
      <c r="K163" s="442" t="str">
        <f t="shared" si="53"/>
        <v/>
      </c>
      <c r="L163" s="736" t="s">
        <v>2456</v>
      </c>
      <c r="M163" s="25" t="str">
        <f t="shared" si="55"/>
        <v>R</v>
      </c>
      <c r="N163" s="25" t="str">
        <f>IF(L163&lt;&gt;"",VLOOKUP(L163,Categories!$B$2:$D$41,2,FALSE),IF(F163&lt;&gt;"","No Cat",""))</f>
        <v>Rate Base</v>
      </c>
      <c r="O163" s="25" t="str">
        <f>IF($L163&lt;&gt;"",VLOOKUP($L163,Categories!$B$2:$D$41,3,FALSE),IF($F163&lt;&gt;"","No Cat",""))</f>
        <v>Working Capital - M &amp; S</v>
      </c>
      <c r="P163" s="736" t="s">
        <v>2482</v>
      </c>
      <c r="Q163" s="25" t="str">
        <f>VLOOKUP($P163,Allocators!$B$7:$F$19,5,FALSE)</f>
        <v>Electric</v>
      </c>
      <c r="R163" s="737">
        <f>VLOOKUP($P163,Allocators!$B$7:$F$19,2,FALSE)</f>
        <v>1</v>
      </c>
      <c r="S163" s="737">
        <f>VLOOKUP($P163,Allocators!$B$7:$F$19,3,FALSE)</f>
        <v>0</v>
      </c>
      <c r="T163" s="737" t="str">
        <f t="shared" si="56"/>
        <v>0.0%</v>
      </c>
      <c r="U163" s="2" t="str">
        <f t="shared" si="47"/>
        <v/>
      </c>
      <c r="V163" s="2" t="str">
        <f t="shared" si="48"/>
        <v/>
      </c>
      <c r="W163" s="2" t="str">
        <f t="shared" si="49"/>
        <v/>
      </c>
      <c r="X163" s="2">
        <f t="shared" si="45"/>
        <v>0</v>
      </c>
      <c r="Y163" s="2" t="str">
        <f t="shared" si="50"/>
        <v/>
      </c>
      <c r="Z163" s="2" t="str">
        <f t="shared" si="51"/>
        <v/>
      </c>
      <c r="AA163" s="2" t="str">
        <f t="shared" si="52"/>
        <v/>
      </c>
      <c r="AB163" s="2">
        <f t="shared" si="46"/>
        <v>0</v>
      </c>
      <c r="AC163" s="759">
        <v>0</v>
      </c>
      <c r="AD163" s="741">
        <v>0</v>
      </c>
      <c r="AE163" s="741">
        <v>0</v>
      </c>
      <c r="AF163" s="741">
        <v>0</v>
      </c>
      <c r="AG163" s="741">
        <v>0</v>
      </c>
      <c r="AH163" s="741">
        <v>0</v>
      </c>
      <c r="AI163" s="741">
        <v>0</v>
      </c>
      <c r="AJ163" s="741">
        <v>0</v>
      </c>
      <c r="AK163" s="741">
        <v>0</v>
      </c>
      <c r="AL163" s="741">
        <v>0</v>
      </c>
      <c r="AM163" s="741">
        <v>0</v>
      </c>
      <c r="AN163" s="741">
        <v>0</v>
      </c>
      <c r="AO163" s="741">
        <v>0</v>
      </c>
      <c r="AP163" s="41" t="str">
        <f t="shared" si="42"/>
        <v>GLR</v>
      </c>
      <c r="AQ163" s="41" t="str">
        <f t="shared" si="43"/>
        <v>GLRR60</v>
      </c>
      <c r="AR163" s="41" t="str">
        <f t="shared" si="44"/>
        <v>R60</v>
      </c>
    </row>
    <row r="164" spans="1:96" s="41" customFormat="1" ht="12.75" customHeight="1">
      <c r="A164" s="25" t="s">
        <v>17</v>
      </c>
      <c r="B164" s="25" t="str">
        <f t="shared" si="54"/>
        <v>GL151640</v>
      </c>
      <c r="C164" s="638">
        <v>151640</v>
      </c>
      <c r="D164" s="735"/>
      <c r="F164" s="1" t="s">
        <v>167</v>
      </c>
      <c r="H164" s="736">
        <v>0</v>
      </c>
      <c r="I164" s="25"/>
      <c r="J164" s="25"/>
      <c r="K164" s="442" t="str">
        <f t="shared" si="53"/>
        <v/>
      </c>
      <c r="L164" s="736" t="s">
        <v>2456</v>
      </c>
      <c r="M164" s="25" t="str">
        <f t="shared" si="55"/>
        <v>R</v>
      </c>
      <c r="N164" s="25" t="str">
        <f>IF(L164&lt;&gt;"",VLOOKUP(L164,Categories!$B$2:$D$41,2,FALSE),IF(F164&lt;&gt;"","No Cat",""))</f>
        <v>Rate Base</v>
      </c>
      <c r="O164" s="25" t="str">
        <f>IF($L164&lt;&gt;"",VLOOKUP($L164,Categories!$B$2:$D$41,3,FALSE),IF($F164&lt;&gt;"","No Cat",""))</f>
        <v>Working Capital - M &amp; S</v>
      </c>
      <c r="P164" s="736" t="s">
        <v>2482</v>
      </c>
      <c r="Q164" s="25" t="str">
        <f>VLOOKUP($P164,Allocators!$B$7:$F$19,5,FALSE)</f>
        <v>Electric</v>
      </c>
      <c r="R164" s="737">
        <f>VLOOKUP($P164,Allocators!$B$7:$F$19,2,FALSE)</f>
        <v>1</v>
      </c>
      <c r="S164" s="737">
        <f>VLOOKUP($P164,Allocators!$B$7:$F$19,3,FALSE)</f>
        <v>0</v>
      </c>
      <c r="T164" s="737" t="str">
        <f t="shared" si="56"/>
        <v>0.0%</v>
      </c>
      <c r="U164" s="2" t="str">
        <f t="shared" si="47"/>
        <v/>
      </c>
      <c r="V164" s="2" t="str">
        <f t="shared" si="48"/>
        <v/>
      </c>
      <c r="W164" s="2" t="str">
        <f t="shared" si="49"/>
        <v/>
      </c>
      <c r="X164" s="2">
        <f t="shared" si="45"/>
        <v>0</v>
      </c>
      <c r="Y164" s="2" t="str">
        <f t="shared" si="50"/>
        <v/>
      </c>
      <c r="Z164" s="2" t="str">
        <f t="shared" si="51"/>
        <v/>
      </c>
      <c r="AA164" s="2" t="str">
        <f t="shared" si="52"/>
        <v/>
      </c>
      <c r="AB164" s="2">
        <f t="shared" si="46"/>
        <v>0</v>
      </c>
      <c r="AC164" s="759">
        <v>0</v>
      </c>
      <c r="AD164" s="741">
        <v>0</v>
      </c>
      <c r="AE164" s="741">
        <v>0</v>
      </c>
      <c r="AF164" s="741">
        <v>0</v>
      </c>
      <c r="AG164" s="741">
        <v>0</v>
      </c>
      <c r="AH164" s="741">
        <v>0</v>
      </c>
      <c r="AI164" s="741">
        <v>0</v>
      </c>
      <c r="AJ164" s="741">
        <v>0</v>
      </c>
      <c r="AK164" s="741">
        <v>0</v>
      </c>
      <c r="AL164" s="741">
        <v>0</v>
      </c>
      <c r="AM164" s="741">
        <v>0</v>
      </c>
      <c r="AN164" s="741">
        <v>0</v>
      </c>
      <c r="AO164" s="741">
        <v>0</v>
      </c>
      <c r="AP164" s="41" t="str">
        <f t="shared" si="42"/>
        <v>GLR</v>
      </c>
      <c r="AQ164" s="41" t="str">
        <f t="shared" si="43"/>
        <v>GLRR60</v>
      </c>
      <c r="AR164" s="41" t="str">
        <f t="shared" si="44"/>
        <v>R60</v>
      </c>
    </row>
    <row r="165" spans="1:96" s="41" customFormat="1" ht="12.75" customHeight="1">
      <c r="A165" s="25" t="s">
        <v>17</v>
      </c>
      <c r="B165" s="25" t="str">
        <f t="shared" si="54"/>
        <v>GL151650</v>
      </c>
      <c r="C165" s="638">
        <v>151650</v>
      </c>
      <c r="D165" s="735"/>
      <c r="F165" s="1" t="s">
        <v>168</v>
      </c>
      <c r="H165" s="736">
        <v>0</v>
      </c>
      <c r="I165" s="25"/>
      <c r="J165" s="25"/>
      <c r="K165" s="442" t="str">
        <f t="shared" si="53"/>
        <v/>
      </c>
      <c r="L165" s="736" t="s">
        <v>2456</v>
      </c>
      <c r="M165" s="25" t="str">
        <f t="shared" si="55"/>
        <v>R</v>
      </c>
      <c r="N165" s="25" t="str">
        <f>IF(L165&lt;&gt;"",VLOOKUP(L165,Categories!$B$2:$D$41,2,FALSE),IF(F165&lt;&gt;"","No Cat",""))</f>
        <v>Rate Base</v>
      </c>
      <c r="O165" s="25" t="str">
        <f>IF($L165&lt;&gt;"",VLOOKUP($L165,Categories!$B$2:$D$41,3,FALSE),IF($F165&lt;&gt;"","No Cat",""))</f>
        <v>Working Capital - M &amp; S</v>
      </c>
      <c r="P165" s="736" t="s">
        <v>2482</v>
      </c>
      <c r="Q165" s="25" t="str">
        <f>VLOOKUP($P165,Allocators!$B$7:$F$19,5,FALSE)</f>
        <v>Electric</v>
      </c>
      <c r="R165" s="737">
        <f>VLOOKUP($P165,Allocators!$B$7:$F$19,2,FALSE)</f>
        <v>1</v>
      </c>
      <c r="S165" s="737">
        <f>VLOOKUP($P165,Allocators!$B$7:$F$19,3,FALSE)</f>
        <v>0</v>
      </c>
      <c r="T165" s="737" t="str">
        <f t="shared" si="56"/>
        <v>0.0%</v>
      </c>
      <c r="U165" s="2" t="str">
        <f t="shared" si="47"/>
        <v/>
      </c>
      <c r="V165" s="2" t="str">
        <f t="shared" si="48"/>
        <v/>
      </c>
      <c r="W165" s="2" t="str">
        <f t="shared" si="49"/>
        <v/>
      </c>
      <c r="X165" s="2">
        <f t="shared" si="45"/>
        <v>0</v>
      </c>
      <c r="Y165" s="2" t="str">
        <f t="shared" si="50"/>
        <v/>
      </c>
      <c r="Z165" s="2" t="str">
        <f t="shared" si="51"/>
        <v/>
      </c>
      <c r="AA165" s="2" t="str">
        <f t="shared" si="52"/>
        <v/>
      </c>
      <c r="AB165" s="2">
        <f t="shared" si="46"/>
        <v>0</v>
      </c>
      <c r="AC165" s="759">
        <v>0</v>
      </c>
      <c r="AD165" s="741">
        <v>0</v>
      </c>
      <c r="AE165" s="741">
        <v>0</v>
      </c>
      <c r="AF165" s="741">
        <v>0</v>
      </c>
      <c r="AG165" s="741">
        <v>0</v>
      </c>
      <c r="AH165" s="741">
        <v>0</v>
      </c>
      <c r="AI165" s="741">
        <v>0</v>
      </c>
      <c r="AJ165" s="741">
        <v>0</v>
      </c>
      <c r="AK165" s="741">
        <v>0</v>
      </c>
      <c r="AL165" s="741">
        <v>0</v>
      </c>
      <c r="AM165" s="741">
        <v>0</v>
      </c>
      <c r="AN165" s="741">
        <v>0</v>
      </c>
      <c r="AO165" s="741">
        <v>0</v>
      </c>
      <c r="AP165" s="41" t="str">
        <f t="shared" si="42"/>
        <v>GLR</v>
      </c>
      <c r="AQ165" s="41" t="str">
        <f t="shared" si="43"/>
        <v>GLRR60</v>
      </c>
      <c r="AR165" s="41" t="str">
        <f t="shared" si="44"/>
        <v>R60</v>
      </c>
    </row>
    <row r="166" spans="1:96" s="41" customFormat="1" ht="12.75" customHeight="1">
      <c r="A166" s="25" t="s">
        <v>17</v>
      </c>
      <c r="B166" s="25" t="str">
        <f t="shared" si="54"/>
        <v>GL151900</v>
      </c>
      <c r="C166" s="638">
        <v>151900</v>
      </c>
      <c r="D166" s="735"/>
      <c r="F166" s="1" t="s">
        <v>169</v>
      </c>
      <c r="H166" s="736">
        <v>0</v>
      </c>
      <c r="I166" s="25"/>
      <c r="J166" s="25"/>
      <c r="K166" s="442" t="str">
        <f t="shared" si="53"/>
        <v/>
      </c>
      <c r="L166" s="736" t="s">
        <v>2456</v>
      </c>
      <c r="M166" s="25" t="str">
        <f t="shared" si="55"/>
        <v>R</v>
      </c>
      <c r="N166" s="25" t="str">
        <f>IF(L166&lt;&gt;"",VLOOKUP(L166,Categories!$B$2:$D$41,2,FALSE),IF(F166&lt;&gt;"","No Cat",""))</f>
        <v>Rate Base</v>
      </c>
      <c r="O166" s="25" t="str">
        <f>IF($L166&lt;&gt;"",VLOOKUP($L166,Categories!$B$2:$D$41,3,FALSE),IF($F166&lt;&gt;"","No Cat",""))</f>
        <v>Working Capital - M &amp; S</v>
      </c>
      <c r="P166" s="736" t="s">
        <v>2482</v>
      </c>
      <c r="Q166" s="25" t="str">
        <f>VLOOKUP($P166,Allocators!$B$7:$F$19,5,FALSE)</f>
        <v>Electric</v>
      </c>
      <c r="R166" s="737">
        <f>VLOOKUP($P166,Allocators!$B$7:$F$19,2,FALSE)</f>
        <v>1</v>
      </c>
      <c r="S166" s="737">
        <f>VLOOKUP($P166,Allocators!$B$7:$F$19,3,FALSE)</f>
        <v>0</v>
      </c>
      <c r="T166" s="737" t="str">
        <f t="shared" si="56"/>
        <v>0.0%</v>
      </c>
      <c r="U166" s="2" t="str">
        <f t="shared" si="47"/>
        <v/>
      </c>
      <c r="V166" s="2" t="str">
        <f t="shared" si="48"/>
        <v/>
      </c>
      <c r="W166" s="2" t="str">
        <f t="shared" si="49"/>
        <v/>
      </c>
      <c r="X166" s="2">
        <f t="shared" si="45"/>
        <v>0</v>
      </c>
      <c r="Y166" s="2" t="str">
        <f t="shared" si="50"/>
        <v/>
      </c>
      <c r="Z166" s="2" t="str">
        <f t="shared" si="51"/>
        <v/>
      </c>
      <c r="AA166" s="2" t="str">
        <f t="shared" si="52"/>
        <v/>
      </c>
      <c r="AB166" s="2">
        <f t="shared" si="46"/>
        <v>0</v>
      </c>
      <c r="AC166" s="759">
        <v>0</v>
      </c>
      <c r="AD166" s="741">
        <v>0</v>
      </c>
      <c r="AE166" s="741">
        <v>0</v>
      </c>
      <c r="AF166" s="741">
        <v>0</v>
      </c>
      <c r="AG166" s="741">
        <v>0</v>
      </c>
      <c r="AH166" s="741">
        <v>0</v>
      </c>
      <c r="AI166" s="741">
        <v>0</v>
      </c>
      <c r="AJ166" s="741">
        <v>0</v>
      </c>
      <c r="AK166" s="741">
        <v>0</v>
      </c>
      <c r="AL166" s="741">
        <v>0</v>
      </c>
      <c r="AM166" s="741">
        <v>0</v>
      </c>
      <c r="AN166" s="741">
        <v>0</v>
      </c>
      <c r="AO166" s="741">
        <v>0</v>
      </c>
      <c r="AP166" s="41" t="str">
        <f t="shared" si="42"/>
        <v>GLR</v>
      </c>
      <c r="AQ166" s="41" t="str">
        <f t="shared" si="43"/>
        <v>GLRR60</v>
      </c>
      <c r="AR166" s="41" t="str">
        <f t="shared" si="44"/>
        <v>R60</v>
      </c>
    </row>
    <row r="167" spans="1:96" s="41" customFormat="1" ht="12.75" customHeight="1">
      <c r="A167" s="25" t="s">
        <v>17</v>
      </c>
      <c r="B167" s="25" t="str">
        <f t="shared" si="54"/>
        <v>GL154210</v>
      </c>
      <c r="C167" s="638">
        <v>154210</v>
      </c>
      <c r="D167" s="735"/>
      <c r="F167" s="1" t="s">
        <v>170</v>
      </c>
      <c r="H167" s="736">
        <v>0</v>
      </c>
      <c r="I167" s="25"/>
      <c r="J167" s="25"/>
      <c r="K167" s="442" t="str">
        <f t="shared" si="53"/>
        <v/>
      </c>
      <c r="L167" s="736" t="s">
        <v>2456</v>
      </c>
      <c r="M167" s="25" t="str">
        <f t="shared" si="55"/>
        <v>R</v>
      </c>
      <c r="N167" s="25" t="str">
        <f>IF(L167&lt;&gt;"",VLOOKUP(L167,Categories!$B$2:$D$41,2,FALSE),IF(F167&lt;&gt;"","No Cat",""))</f>
        <v>Rate Base</v>
      </c>
      <c r="O167" s="25" t="str">
        <f>IF($L167&lt;&gt;"",VLOOKUP($L167,Categories!$B$2:$D$41,3,FALSE),IF($F167&lt;&gt;"","No Cat",""))</f>
        <v>Working Capital - M &amp; S</v>
      </c>
      <c r="P167" s="736" t="s">
        <v>2486</v>
      </c>
      <c r="Q167" s="25" t="str">
        <f>VLOOKUP($P167,Allocators!$B$7:$F$19,5,FALSE)</f>
        <v>Net Plant</v>
      </c>
      <c r="R167" s="737">
        <f>VLOOKUP($P167,Allocators!$B$7:$F$19,2,FALSE)</f>
        <v>0.74150000000000005</v>
      </c>
      <c r="S167" s="737">
        <f>VLOOKUP($P167,Allocators!$B$7:$F$19,3,FALSE)</f>
        <v>0.25850000000000001</v>
      </c>
      <c r="T167" s="737" t="str">
        <f t="shared" si="56"/>
        <v>0.0%</v>
      </c>
      <c r="U167" s="2">
        <f t="shared" si="47"/>
        <v>7747.5847058150002</v>
      </c>
      <c r="V167" s="2">
        <f t="shared" si="48"/>
        <v>2700.9449041849998</v>
      </c>
      <c r="W167" s="2">
        <f t="shared" si="49"/>
        <v>0</v>
      </c>
      <c r="X167" s="2">
        <f t="shared" si="45"/>
        <v>10448.52961</v>
      </c>
      <c r="Y167" s="2">
        <f t="shared" si="50"/>
        <v>7744.9170705850001</v>
      </c>
      <c r="Z167" s="2">
        <f t="shared" si="51"/>
        <v>2700.0149194149999</v>
      </c>
      <c r="AA167" s="2">
        <f t="shared" si="52"/>
        <v>0</v>
      </c>
      <c r="AB167" s="2">
        <f t="shared" si="46"/>
        <v>10444.931990000001</v>
      </c>
      <c r="AC167" s="759">
        <v>10222.03103</v>
      </c>
      <c r="AD167" s="741">
        <v>10281.983039999999</v>
      </c>
      <c r="AE167" s="741">
        <v>10019.926710000002</v>
      </c>
      <c r="AF167" s="741">
        <v>10066.08562</v>
      </c>
      <c r="AG167" s="741">
        <v>10580.065289999999</v>
      </c>
      <c r="AH167" s="741">
        <v>10874.11537</v>
      </c>
      <c r="AI167" s="741">
        <v>10941.699409999999</v>
      </c>
      <c r="AJ167" s="741">
        <v>11051.66201</v>
      </c>
      <c r="AK167" s="741">
        <v>10438.76051</v>
      </c>
      <c r="AL167" s="741">
        <v>10465.98698</v>
      </c>
      <c r="AM167" s="741">
        <v>10200.275750000001</v>
      </c>
      <c r="AN167" s="741">
        <v>10128.313119999999</v>
      </c>
      <c r="AO167" s="741">
        <v>10444.931990000001</v>
      </c>
      <c r="AP167" s="41" t="str">
        <f t="shared" si="42"/>
        <v>GLR</v>
      </c>
      <c r="AQ167" s="41" t="str">
        <f t="shared" si="43"/>
        <v>GLRR60</v>
      </c>
      <c r="AR167" s="41" t="str">
        <f t="shared" si="44"/>
        <v>R60</v>
      </c>
    </row>
    <row r="168" spans="1:96" s="41" customFormat="1" ht="12.75" customHeight="1">
      <c r="A168" s="25" t="s">
        <v>17</v>
      </c>
      <c r="B168" s="25" t="str">
        <f t="shared" si="54"/>
        <v>GL154212</v>
      </c>
      <c r="C168" s="638">
        <v>154212</v>
      </c>
      <c r="D168" s="735"/>
      <c r="F168" s="1" t="s">
        <v>171</v>
      </c>
      <c r="H168" s="736">
        <v>0</v>
      </c>
      <c r="I168" s="25"/>
      <c r="J168" s="25"/>
      <c r="K168" s="442" t="str">
        <f t="shared" si="53"/>
        <v/>
      </c>
      <c r="L168" s="736" t="s">
        <v>2456</v>
      </c>
      <c r="M168" s="25" t="str">
        <f t="shared" si="55"/>
        <v>R</v>
      </c>
      <c r="N168" s="25" t="str">
        <f>IF(L168&lt;&gt;"",VLOOKUP(L168,Categories!$B$2:$D$41,2,FALSE),IF(F168&lt;&gt;"","No Cat",""))</f>
        <v>Rate Base</v>
      </c>
      <c r="O168" s="25" t="str">
        <f>IF($L168&lt;&gt;"",VLOOKUP($L168,Categories!$B$2:$D$41,3,FALSE),IF($F168&lt;&gt;"","No Cat",""))</f>
        <v>Working Capital - M &amp; S</v>
      </c>
      <c r="P168" s="736" t="s">
        <v>2486</v>
      </c>
      <c r="Q168" s="25" t="str">
        <f>VLOOKUP($P168,Allocators!$B$7:$F$19,5,FALSE)</f>
        <v>Net Plant</v>
      </c>
      <c r="R168" s="737">
        <f>VLOOKUP($P168,Allocators!$B$7:$F$19,2,FALSE)</f>
        <v>0.74150000000000005</v>
      </c>
      <c r="S168" s="737">
        <f>VLOOKUP($P168,Allocators!$B$7:$F$19,3,FALSE)</f>
        <v>0.25850000000000001</v>
      </c>
      <c r="T168" s="737" t="str">
        <f t="shared" si="56"/>
        <v>0.0%</v>
      </c>
      <c r="U168" s="2">
        <f t="shared" si="47"/>
        <v>6.25022708334E-4</v>
      </c>
      <c r="V168" s="2">
        <f t="shared" si="48"/>
        <v>2.1789395833299999E-4</v>
      </c>
      <c r="W168" s="2">
        <f t="shared" si="49"/>
        <v>0</v>
      </c>
      <c r="X168" s="2">
        <f t="shared" si="45"/>
        <v>8.4291666666700001E-4</v>
      </c>
      <c r="Y168" s="2" t="str">
        <f t="shared" si="50"/>
        <v/>
      </c>
      <c r="Z168" s="2" t="str">
        <f t="shared" si="51"/>
        <v/>
      </c>
      <c r="AA168" s="2" t="str">
        <f t="shared" si="52"/>
        <v/>
      </c>
      <c r="AB168" s="2">
        <f t="shared" si="46"/>
        <v>0</v>
      </c>
      <c r="AC168" s="759">
        <v>2.8900000000000002E-3</v>
      </c>
      <c r="AD168" s="741">
        <v>2.8900000000000002E-3</v>
      </c>
      <c r="AE168" s="741">
        <v>2.8900000000000002E-3</v>
      </c>
      <c r="AF168" s="741">
        <v>2.8900000000000002E-3</v>
      </c>
      <c r="AG168" s="741">
        <v>0</v>
      </c>
      <c r="AH168" s="741">
        <v>0</v>
      </c>
      <c r="AI168" s="741">
        <v>0</v>
      </c>
      <c r="AJ168" s="741">
        <v>0</v>
      </c>
      <c r="AK168" s="741">
        <v>0</v>
      </c>
      <c r="AL168" s="741">
        <v>0</v>
      </c>
      <c r="AM168" s="741">
        <v>0</v>
      </c>
      <c r="AN168" s="741">
        <v>0</v>
      </c>
      <c r="AO168" s="741">
        <v>0</v>
      </c>
      <c r="AP168" s="41" t="str">
        <f t="shared" si="42"/>
        <v>GLR</v>
      </c>
      <c r="AQ168" s="41" t="str">
        <f t="shared" si="43"/>
        <v>GLRR60</v>
      </c>
      <c r="AR168" s="41" t="str">
        <f t="shared" si="44"/>
        <v>R60</v>
      </c>
    </row>
    <row r="169" spans="1:96" s="41" customFormat="1" ht="12.75" customHeight="1">
      <c r="A169" s="25" t="s">
        <v>17</v>
      </c>
      <c r="B169" s="25" t="str">
        <f t="shared" si="54"/>
        <v>GL154530</v>
      </c>
      <c r="C169" s="638">
        <v>154530</v>
      </c>
      <c r="D169" s="735"/>
      <c r="F169" s="1" t="s">
        <v>172</v>
      </c>
      <c r="H169" s="736">
        <v>0</v>
      </c>
      <c r="I169" s="25"/>
      <c r="J169" s="25"/>
      <c r="K169" s="442" t="str">
        <f t="shared" si="53"/>
        <v/>
      </c>
      <c r="L169" s="736" t="s">
        <v>2456</v>
      </c>
      <c r="M169" s="25" t="str">
        <f t="shared" si="55"/>
        <v>R</v>
      </c>
      <c r="N169" s="25" t="str">
        <f>IF(L169&lt;&gt;"",VLOOKUP(L169,Categories!$B$2:$D$41,2,FALSE),IF(F169&lt;&gt;"","No Cat",""))</f>
        <v>Rate Base</v>
      </c>
      <c r="O169" s="25" t="str">
        <f>IF($L169&lt;&gt;"",VLOOKUP($L169,Categories!$B$2:$D$41,3,FALSE),IF($F169&lt;&gt;"","No Cat",""))</f>
        <v>Working Capital - M &amp; S</v>
      </c>
      <c r="P169" s="736" t="s">
        <v>2486</v>
      </c>
      <c r="Q169" s="25" t="str">
        <f>VLOOKUP($P169,Allocators!$B$7:$F$19,5,FALSE)</f>
        <v>Net Plant</v>
      </c>
      <c r="R169" s="737">
        <f>VLOOKUP($P169,Allocators!$B$7:$F$19,2,FALSE)</f>
        <v>0.74150000000000005</v>
      </c>
      <c r="S169" s="737">
        <f>VLOOKUP($P169,Allocators!$B$7:$F$19,3,FALSE)</f>
        <v>0.25850000000000001</v>
      </c>
      <c r="T169" s="737" t="str">
        <f t="shared" si="56"/>
        <v>0.0%</v>
      </c>
      <c r="U169" s="2" t="str">
        <f t="shared" si="47"/>
        <v/>
      </c>
      <c r="V169" s="2" t="str">
        <f t="shared" si="48"/>
        <v/>
      </c>
      <c r="W169" s="2" t="str">
        <f t="shared" si="49"/>
        <v/>
      </c>
      <c r="X169" s="2">
        <f t="shared" si="45"/>
        <v>0</v>
      </c>
      <c r="Y169" s="2" t="str">
        <f t="shared" si="50"/>
        <v/>
      </c>
      <c r="Z169" s="2" t="str">
        <f t="shared" si="51"/>
        <v/>
      </c>
      <c r="AA169" s="2" t="str">
        <f t="shared" si="52"/>
        <v/>
      </c>
      <c r="AB169" s="2">
        <f t="shared" si="46"/>
        <v>0</v>
      </c>
      <c r="AC169" s="759">
        <v>0</v>
      </c>
      <c r="AD169" s="741">
        <v>0</v>
      </c>
      <c r="AE169" s="741">
        <v>0</v>
      </c>
      <c r="AF169" s="741">
        <v>0</v>
      </c>
      <c r="AG169" s="741">
        <v>0</v>
      </c>
      <c r="AH169" s="741">
        <v>0</v>
      </c>
      <c r="AI169" s="741">
        <v>0</v>
      </c>
      <c r="AJ169" s="741">
        <v>0</v>
      </c>
      <c r="AK169" s="741">
        <v>0</v>
      </c>
      <c r="AL169" s="741">
        <v>0</v>
      </c>
      <c r="AM169" s="741">
        <v>0</v>
      </c>
      <c r="AN169" s="741">
        <v>0</v>
      </c>
      <c r="AO169" s="741">
        <v>0</v>
      </c>
      <c r="AP169" s="41" t="str">
        <f t="shared" si="42"/>
        <v>GLR</v>
      </c>
      <c r="AQ169" s="41" t="str">
        <f t="shared" si="43"/>
        <v>GLRR60</v>
      </c>
      <c r="AR169" s="41" t="str">
        <f t="shared" si="44"/>
        <v>R60</v>
      </c>
    </row>
    <row r="170" spans="1:96" s="41" customFormat="1" ht="12.75" customHeight="1">
      <c r="A170" s="25" t="s">
        <v>17</v>
      </c>
      <c r="B170" s="25" t="str">
        <f t="shared" si="54"/>
        <v>GL154820</v>
      </c>
      <c r="C170" s="638">
        <v>154820</v>
      </c>
      <c r="D170" s="735"/>
      <c r="F170" s="1" t="s">
        <v>173</v>
      </c>
      <c r="H170" s="736">
        <v>0</v>
      </c>
      <c r="I170" s="25"/>
      <c r="J170" s="25"/>
      <c r="K170" s="442" t="str">
        <f t="shared" si="53"/>
        <v/>
      </c>
      <c r="L170" s="736" t="s">
        <v>2456</v>
      </c>
      <c r="M170" s="25" t="str">
        <f t="shared" si="55"/>
        <v>R</v>
      </c>
      <c r="N170" s="25" t="str">
        <f>IF(L170&lt;&gt;"",VLOOKUP(L170,Categories!$B$2:$D$41,2,FALSE),IF(F170&lt;&gt;"","No Cat",""))</f>
        <v>Rate Base</v>
      </c>
      <c r="O170" s="25" t="str">
        <f>IF($L170&lt;&gt;"",VLOOKUP($L170,Categories!$B$2:$D$41,3,FALSE),IF($F170&lt;&gt;"","No Cat",""))</f>
        <v>Working Capital - M &amp; S</v>
      </c>
      <c r="P170" s="736" t="s">
        <v>2486</v>
      </c>
      <c r="Q170" s="25" t="str">
        <f>VLOOKUP($P170,Allocators!$B$7:$F$19,5,FALSE)</f>
        <v>Net Plant</v>
      </c>
      <c r="R170" s="737">
        <f>VLOOKUP($P170,Allocators!$B$7:$F$19,2,FALSE)</f>
        <v>0.74150000000000005</v>
      </c>
      <c r="S170" s="737">
        <f>VLOOKUP($P170,Allocators!$B$7:$F$19,3,FALSE)</f>
        <v>0.25850000000000001</v>
      </c>
      <c r="T170" s="737" t="str">
        <f t="shared" si="56"/>
        <v>0.0%</v>
      </c>
      <c r="U170" s="2" t="str">
        <f t="shared" si="47"/>
        <v/>
      </c>
      <c r="V170" s="2" t="str">
        <f t="shared" si="48"/>
        <v/>
      </c>
      <c r="W170" s="2" t="str">
        <f t="shared" si="49"/>
        <v/>
      </c>
      <c r="X170" s="2">
        <f t="shared" si="45"/>
        <v>0</v>
      </c>
      <c r="Y170" s="2" t="str">
        <f t="shared" si="50"/>
        <v/>
      </c>
      <c r="Z170" s="2" t="str">
        <f t="shared" si="51"/>
        <v/>
      </c>
      <c r="AA170" s="2" t="str">
        <f t="shared" si="52"/>
        <v/>
      </c>
      <c r="AB170" s="2">
        <f t="shared" si="46"/>
        <v>0</v>
      </c>
      <c r="AC170" s="759">
        <v>0</v>
      </c>
      <c r="AD170" s="741">
        <v>0</v>
      </c>
      <c r="AE170" s="741">
        <v>0</v>
      </c>
      <c r="AF170" s="741">
        <v>0</v>
      </c>
      <c r="AG170" s="741">
        <v>0</v>
      </c>
      <c r="AH170" s="741">
        <v>0</v>
      </c>
      <c r="AI170" s="741">
        <v>0</v>
      </c>
      <c r="AJ170" s="741">
        <v>0</v>
      </c>
      <c r="AK170" s="741">
        <v>0</v>
      </c>
      <c r="AL170" s="741">
        <v>0</v>
      </c>
      <c r="AM170" s="741">
        <v>0</v>
      </c>
      <c r="AN170" s="741">
        <v>0</v>
      </c>
      <c r="AO170" s="741">
        <v>0</v>
      </c>
      <c r="AP170" s="41" t="str">
        <f t="shared" si="42"/>
        <v>GLR</v>
      </c>
      <c r="AQ170" s="41" t="str">
        <f t="shared" si="43"/>
        <v>GLRR60</v>
      </c>
      <c r="AR170" s="41" t="str">
        <f t="shared" si="44"/>
        <v>R60</v>
      </c>
    </row>
    <row r="171" spans="1:96" s="41" customFormat="1" ht="12.75" customHeight="1">
      <c r="A171" s="25" t="s">
        <v>17</v>
      </c>
      <c r="B171" s="25" t="str">
        <f t="shared" si="54"/>
        <v>GL154950</v>
      </c>
      <c r="C171" s="638">
        <v>154950</v>
      </c>
      <c r="D171" s="735"/>
      <c r="F171" s="1" t="s">
        <v>174</v>
      </c>
      <c r="H171" s="736">
        <v>0</v>
      </c>
      <c r="I171" s="25"/>
      <c r="J171" s="25"/>
      <c r="K171" s="442" t="str">
        <f t="shared" si="53"/>
        <v/>
      </c>
      <c r="L171" s="736" t="s">
        <v>2456</v>
      </c>
      <c r="M171" s="25" t="str">
        <f t="shared" si="55"/>
        <v>R</v>
      </c>
      <c r="N171" s="25" t="str">
        <f>IF(L171&lt;&gt;"",VLOOKUP(L171,Categories!$B$2:$D$41,2,FALSE),IF(F171&lt;&gt;"","No Cat",""))</f>
        <v>Rate Base</v>
      </c>
      <c r="O171" s="25" t="str">
        <f>IF($L171&lt;&gt;"",VLOOKUP($L171,Categories!$B$2:$D$41,3,FALSE),IF($F171&lt;&gt;"","No Cat",""))</f>
        <v>Working Capital - M &amp; S</v>
      </c>
      <c r="P171" s="736" t="s">
        <v>2486</v>
      </c>
      <c r="Q171" s="25" t="str">
        <f>VLOOKUP($P171,Allocators!$B$7:$F$19,5,FALSE)</f>
        <v>Net Plant</v>
      </c>
      <c r="R171" s="737">
        <f>VLOOKUP($P171,Allocators!$B$7:$F$19,2,FALSE)</f>
        <v>0.74150000000000005</v>
      </c>
      <c r="S171" s="737">
        <f>VLOOKUP($P171,Allocators!$B$7:$F$19,3,FALSE)</f>
        <v>0.25850000000000001</v>
      </c>
      <c r="T171" s="737" t="str">
        <f t="shared" si="56"/>
        <v>0.0%</v>
      </c>
      <c r="U171" s="2" t="str">
        <f t="shared" si="47"/>
        <v/>
      </c>
      <c r="V171" s="2" t="str">
        <f t="shared" si="48"/>
        <v/>
      </c>
      <c r="W171" s="2" t="str">
        <f t="shared" si="49"/>
        <v/>
      </c>
      <c r="X171" s="2">
        <f t="shared" si="45"/>
        <v>0</v>
      </c>
      <c r="Y171" s="2" t="str">
        <f t="shared" si="50"/>
        <v/>
      </c>
      <c r="Z171" s="2" t="str">
        <f t="shared" si="51"/>
        <v/>
      </c>
      <c r="AA171" s="2" t="str">
        <f t="shared" si="52"/>
        <v/>
      </c>
      <c r="AB171" s="2">
        <f t="shared" si="46"/>
        <v>0</v>
      </c>
      <c r="AC171" s="759">
        <v>0</v>
      </c>
      <c r="AD171" s="741">
        <v>0</v>
      </c>
      <c r="AE171" s="741">
        <v>0</v>
      </c>
      <c r="AF171" s="741">
        <v>0</v>
      </c>
      <c r="AG171" s="741">
        <v>0</v>
      </c>
      <c r="AH171" s="741">
        <v>0</v>
      </c>
      <c r="AI171" s="741">
        <v>0</v>
      </c>
      <c r="AJ171" s="741">
        <v>0</v>
      </c>
      <c r="AK171" s="741">
        <v>0</v>
      </c>
      <c r="AL171" s="741">
        <v>0</v>
      </c>
      <c r="AM171" s="741">
        <v>0</v>
      </c>
      <c r="AN171" s="741">
        <v>0</v>
      </c>
      <c r="AO171" s="741">
        <v>0</v>
      </c>
      <c r="AP171" s="41" t="str">
        <f t="shared" si="42"/>
        <v>GLR</v>
      </c>
      <c r="AQ171" s="41" t="str">
        <f t="shared" si="43"/>
        <v>GLRR60</v>
      </c>
      <c r="AR171" s="41" t="str">
        <f t="shared" si="44"/>
        <v>R60</v>
      </c>
    </row>
    <row r="172" spans="1:96" s="41" customFormat="1" ht="12.75" customHeight="1">
      <c r="A172" s="25" t="s">
        <v>17</v>
      </c>
      <c r="B172" s="25" t="str">
        <f t="shared" si="54"/>
        <v>GL154970</v>
      </c>
      <c r="C172" s="638">
        <v>154970</v>
      </c>
      <c r="D172" s="735"/>
      <c r="F172" s="1" t="s">
        <v>175</v>
      </c>
      <c r="H172" s="736" t="s">
        <v>2556</v>
      </c>
      <c r="I172" s="25"/>
      <c r="J172" s="25"/>
      <c r="K172" s="442" t="str">
        <f t="shared" si="53"/>
        <v/>
      </c>
      <c r="L172" s="736" t="s">
        <v>2393</v>
      </c>
      <c r="M172" s="25" t="str">
        <f t="shared" si="55"/>
        <v>A</v>
      </c>
      <c r="N172" s="25" t="str">
        <f>IF(L172&lt;&gt;"",VLOOKUP(L172,Categories!$B$2:$D$41,2,FALSE),IF(F172&lt;&gt;"","No Cat",""))</f>
        <v>All Other</v>
      </c>
      <c r="O172" s="25" t="str">
        <f>IF($L172&lt;&gt;"",VLOOKUP($L172,Categories!$B$2:$D$41,3,FALSE),IF($F172&lt;&gt;"","No Cat",""))</f>
        <v>EB-Cap</v>
      </c>
      <c r="P172" s="736" t="s">
        <v>2490</v>
      </c>
      <c r="Q172" s="25" t="str">
        <f>VLOOKUP($P172,Allocators!$B$7:$F$19,5,FALSE)</f>
        <v>Rate Base</v>
      </c>
      <c r="R172" s="737">
        <f>VLOOKUP($P172,Allocators!$B$7:$F$19,2,FALSE)</f>
        <v>0.70940000000000003</v>
      </c>
      <c r="S172" s="737">
        <f>VLOOKUP($P172,Allocators!$B$7:$F$19,3,FALSE)</f>
        <v>0.29060000000000002</v>
      </c>
      <c r="T172" s="737" t="str">
        <f t="shared" si="56"/>
        <v>0.0%</v>
      </c>
      <c r="U172" s="2">
        <f t="shared" si="47"/>
        <v>-2689.48257507984</v>
      </c>
      <c r="V172" s="2">
        <f t="shared" si="48"/>
        <v>-1101.72488908683</v>
      </c>
      <c r="W172" s="2">
        <f t="shared" si="49"/>
        <v>0</v>
      </c>
      <c r="X172" s="2">
        <f t="shared" si="45"/>
        <v>-3791.20746416667</v>
      </c>
      <c r="Y172" s="2" t="str">
        <f t="shared" si="50"/>
        <v/>
      </c>
      <c r="Z172" s="2" t="str">
        <f t="shared" si="51"/>
        <v/>
      </c>
      <c r="AA172" s="2" t="str">
        <f t="shared" si="52"/>
        <v/>
      </c>
      <c r="AB172" s="2">
        <f t="shared" si="46"/>
        <v>0</v>
      </c>
      <c r="AC172" s="759">
        <v>-12977.77082</v>
      </c>
      <c r="AD172" s="741">
        <v>-12977.77082</v>
      </c>
      <c r="AE172" s="741">
        <v>-12977.77082</v>
      </c>
      <c r="AF172" s="741">
        <v>-12977.77082</v>
      </c>
      <c r="AG172" s="741">
        <v>-72.291699999999992</v>
      </c>
      <c r="AH172" s="741">
        <v>0</v>
      </c>
      <c r="AI172" s="741">
        <v>0</v>
      </c>
      <c r="AJ172" s="741">
        <v>0</v>
      </c>
      <c r="AK172" s="741">
        <v>0</v>
      </c>
      <c r="AL172" s="741">
        <v>0</v>
      </c>
      <c r="AM172" s="741">
        <v>0</v>
      </c>
      <c r="AN172" s="741">
        <v>0</v>
      </c>
      <c r="AO172" s="741">
        <v>0</v>
      </c>
      <c r="AP172" s="41" t="str">
        <f t="shared" si="42"/>
        <v>GLA</v>
      </c>
      <c r="AQ172" s="41" t="str">
        <f t="shared" si="43"/>
        <v>GLAA2Accounts Payable</v>
      </c>
      <c r="AR172" s="41" t="str">
        <f t="shared" si="44"/>
        <v>A2Accounts Payable</v>
      </c>
      <c r="CR172" s="625"/>
    </row>
    <row r="173" spans="1:96" s="41" customFormat="1" ht="12.75" customHeight="1">
      <c r="A173" s="442" t="s">
        <v>17</v>
      </c>
      <c r="B173" s="442" t="str">
        <f t="shared" si="54"/>
        <v>GL154975</v>
      </c>
      <c r="C173" s="638">
        <v>154975</v>
      </c>
      <c r="D173" s="735"/>
      <c r="E173" s="626"/>
      <c r="F173" s="441" t="s">
        <v>176</v>
      </c>
      <c r="G173" s="626"/>
      <c r="H173" s="736" t="s">
        <v>2549</v>
      </c>
      <c r="I173" s="442"/>
      <c r="J173" s="442"/>
      <c r="K173" s="442" t="str">
        <f t="shared" si="53"/>
        <v/>
      </c>
      <c r="L173" s="736" t="s">
        <v>2421</v>
      </c>
      <c r="M173" s="442" t="str">
        <f t="shared" si="55"/>
        <v>N</v>
      </c>
      <c r="N173" s="442" t="str">
        <f>IF(L173&lt;&gt;"",VLOOKUP(L173,Categories!$B$2:$D$41,2,FALSE),IF(F173&lt;&gt;"","No Cat",""))</f>
        <v>NRBASE</v>
      </c>
      <c r="O173" s="442" t="str">
        <f>IF($L173&lt;&gt;"",VLOOKUP($L173,Categories!$B$2:$D$41,3,FALSE),IF($F173&lt;&gt;"","No Cat",""))</f>
        <v>Direct Assign Items Not in RB</v>
      </c>
      <c r="P173" s="736" t="s">
        <v>2468</v>
      </c>
      <c r="Q173" s="442" t="str">
        <f>VLOOKUP($P173,Allocators!$B$7:$F$19,5,FALSE)</f>
        <v>Not in Rate Base</v>
      </c>
      <c r="R173" s="737">
        <f>VLOOKUP($P173,Allocators!$B$7:$F$19,2,FALSE)</f>
        <v>0</v>
      </c>
      <c r="S173" s="737">
        <f>VLOOKUP($P173,Allocators!$B$7:$F$19,3,FALSE)</f>
        <v>0</v>
      </c>
      <c r="T173" s="737">
        <f t="shared" si="56"/>
        <v>1</v>
      </c>
      <c r="U173" s="2">
        <f t="shared" si="47"/>
        <v>0</v>
      </c>
      <c r="V173" s="2">
        <f t="shared" si="48"/>
        <v>0</v>
      </c>
      <c r="W173" s="2">
        <f t="shared" si="49"/>
        <v>1622.2213525</v>
      </c>
      <c r="X173" s="2">
        <f t="shared" si="45"/>
        <v>1622.2213525</v>
      </c>
      <c r="Y173" s="2" t="str">
        <f t="shared" si="50"/>
        <v/>
      </c>
      <c r="Z173" s="2" t="str">
        <f t="shared" si="51"/>
        <v/>
      </c>
      <c r="AA173" s="2" t="str">
        <f t="shared" si="52"/>
        <v/>
      </c>
      <c r="AB173" s="2">
        <f t="shared" si="46"/>
        <v>0</v>
      </c>
      <c r="AC173" s="759">
        <v>12977.77082</v>
      </c>
      <c r="AD173" s="741">
        <v>0</v>
      </c>
      <c r="AE173" s="741">
        <v>0</v>
      </c>
      <c r="AF173" s="741">
        <v>12977.77082</v>
      </c>
      <c r="AG173" s="741">
        <v>0</v>
      </c>
      <c r="AH173" s="741">
        <v>0</v>
      </c>
      <c r="AI173" s="741">
        <v>0</v>
      </c>
      <c r="AJ173" s="741">
        <v>0</v>
      </c>
      <c r="AK173" s="741">
        <v>0</v>
      </c>
      <c r="AL173" s="741">
        <v>0</v>
      </c>
      <c r="AM173" s="741">
        <v>0</v>
      </c>
      <c r="AN173" s="741">
        <v>0</v>
      </c>
      <c r="AO173" s="741">
        <v>0</v>
      </c>
      <c r="AP173" s="41" t="str">
        <f t="shared" si="42"/>
        <v>GLN</v>
      </c>
      <c r="AQ173" s="41" t="str">
        <f t="shared" si="43"/>
        <v>GLNN2Transfer Goods Receipt</v>
      </c>
      <c r="AR173" s="41" t="str">
        <f t="shared" si="44"/>
        <v>N2Transfer Goods Receipt</v>
      </c>
    </row>
    <row r="174" spans="1:96" s="41" customFormat="1" ht="12.75" customHeight="1">
      <c r="A174" s="25" t="s">
        <v>17</v>
      </c>
      <c r="B174" s="25" t="str">
        <f t="shared" si="54"/>
        <v>GL154980</v>
      </c>
      <c r="C174" s="638">
        <v>154980</v>
      </c>
      <c r="D174" s="735"/>
      <c r="F174" s="1" t="s">
        <v>177</v>
      </c>
      <c r="H174" s="736">
        <v>0</v>
      </c>
      <c r="I174" s="25"/>
      <c r="J174" s="25"/>
      <c r="K174" s="442" t="str">
        <f t="shared" si="53"/>
        <v/>
      </c>
      <c r="L174" s="736" t="s">
        <v>2456</v>
      </c>
      <c r="M174" s="25" t="str">
        <f t="shared" si="55"/>
        <v>R</v>
      </c>
      <c r="N174" s="25" t="str">
        <f>IF(L174&lt;&gt;"",VLOOKUP(L174,Categories!$B$2:$D$41,2,FALSE),IF(F174&lt;&gt;"","No Cat",""))</f>
        <v>Rate Base</v>
      </c>
      <c r="O174" s="25" t="str">
        <f>IF($L174&lt;&gt;"",VLOOKUP($L174,Categories!$B$2:$D$41,3,FALSE),IF($F174&lt;&gt;"","No Cat",""))</f>
        <v>Working Capital - M &amp; S</v>
      </c>
      <c r="P174" s="736" t="s">
        <v>2486</v>
      </c>
      <c r="Q174" s="25" t="str">
        <f>VLOOKUP($P174,Allocators!$B$7:$F$19,5,FALSE)</f>
        <v>Net Plant</v>
      </c>
      <c r="R174" s="737">
        <f>VLOOKUP($P174,Allocators!$B$7:$F$19,2,FALSE)</f>
        <v>0.74150000000000005</v>
      </c>
      <c r="S174" s="737">
        <f>VLOOKUP($P174,Allocators!$B$7:$F$19,3,FALSE)</f>
        <v>0.25850000000000001</v>
      </c>
      <c r="T174" s="737" t="str">
        <f t="shared" si="56"/>
        <v>0.0%</v>
      </c>
      <c r="U174" s="2" t="str">
        <f t="shared" si="47"/>
        <v/>
      </c>
      <c r="V174" s="2" t="str">
        <f t="shared" si="48"/>
        <v/>
      </c>
      <c r="W174" s="2" t="str">
        <f t="shared" si="49"/>
        <v/>
      </c>
      <c r="X174" s="2">
        <f t="shared" si="45"/>
        <v>0</v>
      </c>
      <c r="Y174" s="2" t="str">
        <f t="shared" si="50"/>
        <v/>
      </c>
      <c r="Z174" s="2" t="str">
        <f t="shared" si="51"/>
        <v/>
      </c>
      <c r="AA174" s="2" t="str">
        <f t="shared" si="52"/>
        <v/>
      </c>
      <c r="AB174" s="2">
        <f t="shared" si="46"/>
        <v>0</v>
      </c>
      <c r="AC174" s="759">
        <v>0</v>
      </c>
      <c r="AD174" s="741">
        <v>0</v>
      </c>
      <c r="AE174" s="741">
        <v>0</v>
      </c>
      <c r="AF174" s="741">
        <v>0</v>
      </c>
      <c r="AG174" s="741">
        <v>0</v>
      </c>
      <c r="AH174" s="741">
        <v>0</v>
      </c>
      <c r="AI174" s="741">
        <v>0</v>
      </c>
      <c r="AJ174" s="741">
        <v>0</v>
      </c>
      <c r="AK174" s="741">
        <v>0</v>
      </c>
      <c r="AL174" s="741">
        <v>0</v>
      </c>
      <c r="AM174" s="741">
        <v>0</v>
      </c>
      <c r="AN174" s="741">
        <v>0</v>
      </c>
      <c r="AO174" s="741">
        <v>0</v>
      </c>
      <c r="AP174" s="41" t="str">
        <f t="shared" si="42"/>
        <v>GLR</v>
      </c>
      <c r="AQ174" s="41" t="str">
        <f t="shared" si="43"/>
        <v>GLRR60</v>
      </c>
      <c r="AR174" s="41" t="str">
        <f t="shared" si="44"/>
        <v>R60</v>
      </c>
    </row>
    <row r="175" spans="1:96" s="41" customFormat="1" ht="12.75" customHeight="1">
      <c r="A175" s="25" t="s">
        <v>17</v>
      </c>
      <c r="B175" s="25" t="str">
        <f t="shared" si="54"/>
        <v>GL158100</v>
      </c>
      <c r="C175" s="638">
        <v>158100</v>
      </c>
      <c r="D175" s="735"/>
      <c r="F175" s="1" t="s">
        <v>178</v>
      </c>
      <c r="H175" s="736">
        <v>0</v>
      </c>
      <c r="I175" s="25"/>
      <c r="J175" s="25"/>
      <c r="K175" s="442" t="str">
        <f t="shared" si="53"/>
        <v/>
      </c>
      <c r="L175" s="736" t="s">
        <v>2456</v>
      </c>
      <c r="M175" s="25" t="str">
        <f t="shared" si="55"/>
        <v>R</v>
      </c>
      <c r="N175" s="25" t="str">
        <f>IF(L175&lt;&gt;"",VLOOKUP(L175,Categories!$B$2:$D$41,2,FALSE),IF(F175&lt;&gt;"","No Cat",""))</f>
        <v>Rate Base</v>
      </c>
      <c r="O175" s="25" t="str">
        <f>IF($L175&lt;&gt;"",VLOOKUP($L175,Categories!$B$2:$D$41,3,FALSE),IF($F175&lt;&gt;"","No Cat",""))</f>
        <v>Working Capital - M &amp; S</v>
      </c>
      <c r="P175" s="736" t="s">
        <v>2482</v>
      </c>
      <c r="Q175" s="25" t="str">
        <f>VLOOKUP($P175,Allocators!$B$7:$F$19,5,FALSE)</f>
        <v>Electric</v>
      </c>
      <c r="R175" s="737">
        <f>VLOOKUP($P175,Allocators!$B$7:$F$19,2,FALSE)</f>
        <v>1</v>
      </c>
      <c r="S175" s="737">
        <f>VLOOKUP($P175,Allocators!$B$7:$F$19,3,FALSE)</f>
        <v>0</v>
      </c>
      <c r="T175" s="737" t="str">
        <f t="shared" si="56"/>
        <v>0.0%</v>
      </c>
      <c r="U175" s="2" t="str">
        <f t="shared" si="47"/>
        <v/>
      </c>
      <c r="V175" s="2" t="str">
        <f t="shared" si="48"/>
        <v/>
      </c>
      <c r="W175" s="2" t="str">
        <f t="shared" si="49"/>
        <v/>
      </c>
      <c r="X175" s="2">
        <f t="shared" si="45"/>
        <v>0</v>
      </c>
      <c r="Y175" s="2" t="str">
        <f t="shared" si="50"/>
        <v/>
      </c>
      <c r="Z175" s="2" t="str">
        <f t="shared" si="51"/>
        <v/>
      </c>
      <c r="AA175" s="2" t="str">
        <f t="shared" si="52"/>
        <v/>
      </c>
      <c r="AB175" s="2">
        <f t="shared" si="46"/>
        <v>0</v>
      </c>
      <c r="AC175" s="759">
        <v>0</v>
      </c>
      <c r="AD175" s="741">
        <v>0</v>
      </c>
      <c r="AE175" s="741">
        <v>0</v>
      </c>
      <c r="AF175" s="741">
        <v>0</v>
      </c>
      <c r="AG175" s="741">
        <v>0</v>
      </c>
      <c r="AH175" s="741">
        <v>0</v>
      </c>
      <c r="AI175" s="741">
        <v>0</v>
      </c>
      <c r="AJ175" s="741">
        <v>0</v>
      </c>
      <c r="AK175" s="741">
        <v>0</v>
      </c>
      <c r="AL175" s="741">
        <v>0</v>
      </c>
      <c r="AM175" s="741">
        <v>0</v>
      </c>
      <c r="AN175" s="741">
        <v>0</v>
      </c>
      <c r="AO175" s="741">
        <v>0</v>
      </c>
      <c r="AP175" s="41" t="str">
        <f t="shared" si="42"/>
        <v>GLR</v>
      </c>
      <c r="AQ175" s="41" t="str">
        <f t="shared" si="43"/>
        <v>GLRR60</v>
      </c>
      <c r="AR175" s="41" t="str">
        <f t="shared" si="44"/>
        <v>R60</v>
      </c>
    </row>
    <row r="176" spans="1:96" s="41" customFormat="1" ht="12.75" customHeight="1">
      <c r="A176" s="25" t="s">
        <v>17</v>
      </c>
      <c r="B176" s="25" t="str">
        <f t="shared" si="54"/>
        <v>GL158102</v>
      </c>
      <c r="C176" s="638">
        <v>158102</v>
      </c>
      <c r="D176" s="735"/>
      <c r="F176" s="1" t="s">
        <v>179</v>
      </c>
      <c r="H176" s="736">
        <v>0</v>
      </c>
      <c r="I176" s="25"/>
      <c r="J176" s="25"/>
      <c r="K176" s="442" t="str">
        <f t="shared" si="53"/>
        <v/>
      </c>
      <c r="L176" s="736" t="s">
        <v>2456</v>
      </c>
      <c r="M176" s="25" t="str">
        <f t="shared" si="55"/>
        <v>R</v>
      </c>
      <c r="N176" s="25" t="str">
        <f>IF(L176&lt;&gt;"",VLOOKUP(L176,Categories!$B$2:$D$41,2,FALSE),IF(F176&lt;&gt;"","No Cat",""))</f>
        <v>Rate Base</v>
      </c>
      <c r="O176" s="25" t="str">
        <f>IF($L176&lt;&gt;"",VLOOKUP($L176,Categories!$B$2:$D$41,3,FALSE),IF($F176&lt;&gt;"","No Cat",""))</f>
        <v>Working Capital - M &amp; S</v>
      </c>
      <c r="P176" s="736" t="s">
        <v>2482</v>
      </c>
      <c r="Q176" s="25" t="str">
        <f>VLOOKUP($P176,Allocators!$B$7:$F$19,5,FALSE)</f>
        <v>Electric</v>
      </c>
      <c r="R176" s="737">
        <f>VLOOKUP($P176,Allocators!$B$7:$F$19,2,FALSE)</f>
        <v>1</v>
      </c>
      <c r="S176" s="737">
        <f>VLOOKUP($P176,Allocators!$B$7:$F$19,3,FALSE)</f>
        <v>0</v>
      </c>
      <c r="T176" s="737" t="str">
        <f t="shared" si="56"/>
        <v>0.0%</v>
      </c>
      <c r="U176" s="2" t="str">
        <f t="shared" si="47"/>
        <v/>
      </c>
      <c r="V176" s="2" t="str">
        <f t="shared" si="48"/>
        <v/>
      </c>
      <c r="W176" s="2" t="str">
        <f t="shared" si="49"/>
        <v/>
      </c>
      <c r="X176" s="2">
        <f t="shared" si="45"/>
        <v>0</v>
      </c>
      <c r="Y176" s="2" t="str">
        <f t="shared" si="50"/>
        <v/>
      </c>
      <c r="Z176" s="2" t="str">
        <f t="shared" si="51"/>
        <v/>
      </c>
      <c r="AA176" s="2" t="str">
        <f t="shared" si="52"/>
        <v/>
      </c>
      <c r="AB176" s="2">
        <f t="shared" si="46"/>
        <v>0</v>
      </c>
      <c r="AC176" s="759">
        <v>0</v>
      </c>
      <c r="AD176" s="741">
        <v>0</v>
      </c>
      <c r="AE176" s="741">
        <v>0</v>
      </c>
      <c r="AF176" s="741">
        <v>0</v>
      </c>
      <c r="AG176" s="741">
        <v>0</v>
      </c>
      <c r="AH176" s="741">
        <v>0</v>
      </c>
      <c r="AI176" s="741">
        <v>0</v>
      </c>
      <c r="AJ176" s="741">
        <v>0</v>
      </c>
      <c r="AK176" s="741">
        <v>0</v>
      </c>
      <c r="AL176" s="741">
        <v>0</v>
      </c>
      <c r="AM176" s="741">
        <v>0</v>
      </c>
      <c r="AN176" s="741">
        <v>0</v>
      </c>
      <c r="AO176" s="741">
        <v>0</v>
      </c>
      <c r="AP176" s="41" t="str">
        <f t="shared" si="42"/>
        <v>GLR</v>
      </c>
      <c r="AQ176" s="41" t="str">
        <f t="shared" si="43"/>
        <v>GLRR60</v>
      </c>
      <c r="AR176" s="41" t="str">
        <f t="shared" si="44"/>
        <v>R60</v>
      </c>
    </row>
    <row r="177" spans="1:44" s="41" customFormat="1" ht="12.75" customHeight="1">
      <c r="A177" s="25" t="s">
        <v>17</v>
      </c>
      <c r="B177" s="25" t="str">
        <f t="shared" si="54"/>
        <v>GL158110</v>
      </c>
      <c r="C177" s="638">
        <v>158110</v>
      </c>
      <c r="D177" s="735"/>
      <c r="F177" s="1" t="s">
        <v>180</v>
      </c>
      <c r="H177" s="736">
        <v>0</v>
      </c>
      <c r="I177" s="25"/>
      <c r="J177" s="25"/>
      <c r="K177" s="442" t="str">
        <f t="shared" si="53"/>
        <v/>
      </c>
      <c r="L177" s="736" t="s">
        <v>2456</v>
      </c>
      <c r="M177" s="25" t="str">
        <f t="shared" si="55"/>
        <v>R</v>
      </c>
      <c r="N177" s="25" t="str">
        <f>IF(L177&lt;&gt;"",VLOOKUP(L177,Categories!$B$2:$D$41,2,FALSE),IF(F177&lt;&gt;"","No Cat",""))</f>
        <v>Rate Base</v>
      </c>
      <c r="O177" s="25" t="str">
        <f>IF($L177&lt;&gt;"",VLOOKUP($L177,Categories!$B$2:$D$41,3,FALSE),IF($F177&lt;&gt;"","No Cat",""))</f>
        <v>Working Capital - M &amp; S</v>
      </c>
      <c r="P177" s="736" t="s">
        <v>2482</v>
      </c>
      <c r="Q177" s="25" t="str">
        <f>VLOOKUP($P177,Allocators!$B$7:$F$19,5,FALSE)</f>
        <v>Electric</v>
      </c>
      <c r="R177" s="737">
        <f>VLOOKUP($P177,Allocators!$B$7:$F$19,2,FALSE)</f>
        <v>1</v>
      </c>
      <c r="S177" s="737">
        <f>VLOOKUP($P177,Allocators!$B$7:$F$19,3,FALSE)</f>
        <v>0</v>
      </c>
      <c r="T177" s="737" t="str">
        <f t="shared" si="56"/>
        <v>0.0%</v>
      </c>
      <c r="U177" s="2">
        <f t="shared" si="47"/>
        <v>-3.7509000000000001</v>
      </c>
      <c r="V177" s="2">
        <f t="shared" si="48"/>
        <v>0</v>
      </c>
      <c r="W177" s="2">
        <f t="shared" si="49"/>
        <v>0</v>
      </c>
      <c r="X177" s="2">
        <f t="shared" si="45"/>
        <v>-3.7509000000000001</v>
      </c>
      <c r="Y177" s="2">
        <f t="shared" si="50"/>
        <v>-3.7509000000000001</v>
      </c>
      <c r="Z177" s="2">
        <f t="shared" si="51"/>
        <v>0</v>
      </c>
      <c r="AA177" s="2">
        <f t="shared" si="52"/>
        <v>0</v>
      </c>
      <c r="AB177" s="2">
        <f t="shared" si="46"/>
        <v>-3.7509000000000001</v>
      </c>
      <c r="AC177" s="759">
        <v>-3.7509000000000001</v>
      </c>
      <c r="AD177" s="741">
        <v>-3.7509000000000001</v>
      </c>
      <c r="AE177" s="741">
        <v>-3.7509000000000001</v>
      </c>
      <c r="AF177" s="741">
        <v>-3.7509000000000001</v>
      </c>
      <c r="AG177" s="741">
        <v>-3.7509000000000001</v>
      </c>
      <c r="AH177" s="741">
        <v>-3.7509000000000001</v>
      </c>
      <c r="AI177" s="741">
        <v>-3.7509000000000001</v>
      </c>
      <c r="AJ177" s="741">
        <v>-3.7509000000000001</v>
      </c>
      <c r="AK177" s="741">
        <v>-3.7509000000000001</v>
      </c>
      <c r="AL177" s="741">
        <v>-3.7509000000000001</v>
      </c>
      <c r="AM177" s="741">
        <v>-3.7509000000000001</v>
      </c>
      <c r="AN177" s="741">
        <v>-3.7509000000000001</v>
      </c>
      <c r="AO177" s="741">
        <v>-3.7509000000000001</v>
      </c>
      <c r="AP177" s="41" t="str">
        <f t="shared" si="42"/>
        <v>GLR</v>
      </c>
      <c r="AQ177" s="41" t="str">
        <f t="shared" si="43"/>
        <v>GLRR60</v>
      </c>
      <c r="AR177" s="41" t="str">
        <f t="shared" si="44"/>
        <v>R60</v>
      </c>
    </row>
    <row r="178" spans="1:44" s="41" customFormat="1" ht="12.75" customHeight="1">
      <c r="A178" s="25" t="s">
        <v>17</v>
      </c>
      <c r="B178" s="25" t="str">
        <f t="shared" si="54"/>
        <v>GL158112</v>
      </c>
      <c r="C178" s="638">
        <v>158112</v>
      </c>
      <c r="D178" s="735"/>
      <c r="F178" s="1" t="s">
        <v>181</v>
      </c>
      <c r="H178" s="736">
        <v>0</v>
      </c>
      <c r="I178" s="25"/>
      <c r="J178" s="25"/>
      <c r="K178" s="442" t="str">
        <f t="shared" si="53"/>
        <v/>
      </c>
      <c r="L178" s="736" t="s">
        <v>2456</v>
      </c>
      <c r="M178" s="25" t="str">
        <f t="shared" si="55"/>
        <v>R</v>
      </c>
      <c r="N178" s="25" t="str">
        <f>IF(L178&lt;&gt;"",VLOOKUP(L178,Categories!$B$2:$D$41,2,FALSE),IF(F178&lt;&gt;"","No Cat",""))</f>
        <v>Rate Base</v>
      </c>
      <c r="O178" s="25" t="str">
        <f>IF($L178&lt;&gt;"",VLOOKUP($L178,Categories!$B$2:$D$41,3,FALSE),IF($F178&lt;&gt;"","No Cat",""))</f>
        <v>Working Capital - M &amp; S</v>
      </c>
      <c r="P178" s="736" t="s">
        <v>2482</v>
      </c>
      <c r="Q178" s="25" t="str">
        <f>VLOOKUP($P178,Allocators!$B$7:$F$19,5,FALSE)</f>
        <v>Electric</v>
      </c>
      <c r="R178" s="737">
        <f>VLOOKUP($P178,Allocators!$B$7:$F$19,2,FALSE)</f>
        <v>1</v>
      </c>
      <c r="S178" s="737">
        <f>VLOOKUP($P178,Allocators!$B$7:$F$19,3,FALSE)</f>
        <v>0</v>
      </c>
      <c r="T178" s="737" t="str">
        <f t="shared" si="56"/>
        <v>0.0%</v>
      </c>
      <c r="U178" s="2" t="str">
        <f t="shared" si="47"/>
        <v/>
      </c>
      <c r="V178" s="2" t="str">
        <f t="shared" si="48"/>
        <v/>
      </c>
      <c r="W178" s="2" t="str">
        <f t="shared" si="49"/>
        <v/>
      </c>
      <c r="X178" s="2">
        <f t="shared" si="45"/>
        <v>0</v>
      </c>
      <c r="Y178" s="2" t="str">
        <f t="shared" si="50"/>
        <v/>
      </c>
      <c r="Z178" s="2" t="str">
        <f t="shared" si="51"/>
        <v/>
      </c>
      <c r="AA178" s="2" t="str">
        <f t="shared" si="52"/>
        <v/>
      </c>
      <c r="AB178" s="2">
        <f t="shared" si="46"/>
        <v>0</v>
      </c>
      <c r="AC178" s="759">
        <v>0</v>
      </c>
      <c r="AD178" s="741">
        <v>0</v>
      </c>
      <c r="AE178" s="741">
        <v>0</v>
      </c>
      <c r="AF178" s="741">
        <v>0</v>
      </c>
      <c r="AG178" s="741">
        <v>0</v>
      </c>
      <c r="AH178" s="741">
        <v>0</v>
      </c>
      <c r="AI178" s="741">
        <v>0</v>
      </c>
      <c r="AJ178" s="741">
        <v>0</v>
      </c>
      <c r="AK178" s="741">
        <v>0</v>
      </c>
      <c r="AL178" s="741">
        <v>0</v>
      </c>
      <c r="AM178" s="741">
        <v>0</v>
      </c>
      <c r="AN178" s="741">
        <v>0</v>
      </c>
      <c r="AO178" s="741">
        <v>0</v>
      </c>
      <c r="AP178" s="41" t="str">
        <f t="shared" si="42"/>
        <v>GLR</v>
      </c>
      <c r="AQ178" s="41" t="str">
        <f t="shared" si="43"/>
        <v>GLRR60</v>
      </c>
      <c r="AR178" s="41" t="str">
        <f t="shared" si="44"/>
        <v>R60</v>
      </c>
    </row>
    <row r="179" spans="1:44" s="41" customFormat="1" ht="12.75" customHeight="1">
      <c r="A179" s="25" t="s">
        <v>17</v>
      </c>
      <c r="B179" s="25" t="str">
        <f t="shared" si="54"/>
        <v>GL158115</v>
      </c>
      <c r="C179" s="638">
        <v>158115</v>
      </c>
      <c r="D179" s="735"/>
      <c r="F179" s="1" t="s">
        <v>182</v>
      </c>
      <c r="H179" s="736">
        <v>0</v>
      </c>
      <c r="I179" s="25"/>
      <c r="J179" s="25"/>
      <c r="K179" s="442" t="str">
        <f t="shared" si="53"/>
        <v/>
      </c>
      <c r="L179" s="736" t="s">
        <v>2456</v>
      </c>
      <c r="M179" s="25" t="str">
        <f t="shared" si="55"/>
        <v>R</v>
      </c>
      <c r="N179" s="25" t="str">
        <f>IF(L179&lt;&gt;"",VLOOKUP(L179,Categories!$B$2:$D$41,2,FALSE),IF(F179&lt;&gt;"","No Cat",""))</f>
        <v>Rate Base</v>
      </c>
      <c r="O179" s="25" t="str">
        <f>IF($L179&lt;&gt;"",VLOOKUP($L179,Categories!$B$2:$D$41,3,FALSE),IF($F179&lt;&gt;"","No Cat",""))</f>
        <v>Working Capital - M &amp; S</v>
      </c>
      <c r="P179" s="736" t="s">
        <v>2483</v>
      </c>
      <c r="Q179" s="25" t="str">
        <f>VLOOKUP($P179,Allocators!$B$7:$F$19,5,FALSE)</f>
        <v>Gas</v>
      </c>
      <c r="R179" s="737">
        <f>VLOOKUP($P179,Allocators!$B$7:$F$19,2,FALSE)</f>
        <v>0</v>
      </c>
      <c r="S179" s="737">
        <f>VLOOKUP($P179,Allocators!$B$7:$F$19,3,FALSE)</f>
        <v>1</v>
      </c>
      <c r="T179" s="737" t="str">
        <f t="shared" si="56"/>
        <v>0.0%</v>
      </c>
      <c r="U179" s="2" t="str">
        <f t="shared" si="47"/>
        <v/>
      </c>
      <c r="V179" s="2" t="str">
        <f t="shared" si="48"/>
        <v/>
      </c>
      <c r="W179" s="2" t="str">
        <f t="shared" si="49"/>
        <v/>
      </c>
      <c r="X179" s="2">
        <f t="shared" si="45"/>
        <v>0</v>
      </c>
      <c r="Y179" s="2" t="str">
        <f t="shared" si="50"/>
        <v/>
      </c>
      <c r="Z179" s="2" t="str">
        <f t="shared" si="51"/>
        <v/>
      </c>
      <c r="AA179" s="2" t="str">
        <f t="shared" si="52"/>
        <v/>
      </c>
      <c r="AB179" s="2">
        <f t="shared" si="46"/>
        <v>0</v>
      </c>
      <c r="AC179" s="759">
        <v>0</v>
      </c>
      <c r="AD179" s="741">
        <v>0</v>
      </c>
      <c r="AE179" s="741">
        <v>0</v>
      </c>
      <c r="AF179" s="741">
        <v>0</v>
      </c>
      <c r="AG179" s="741">
        <v>0</v>
      </c>
      <c r="AH179" s="741">
        <v>0</v>
      </c>
      <c r="AI179" s="741">
        <v>0</v>
      </c>
      <c r="AJ179" s="741">
        <v>0</v>
      </c>
      <c r="AK179" s="741">
        <v>0</v>
      </c>
      <c r="AL179" s="741">
        <v>0</v>
      </c>
      <c r="AM179" s="741">
        <v>0</v>
      </c>
      <c r="AN179" s="741">
        <v>0</v>
      </c>
      <c r="AO179" s="741">
        <v>0</v>
      </c>
      <c r="AP179" s="41" t="str">
        <f t="shared" si="42"/>
        <v>GLR</v>
      </c>
      <c r="AQ179" s="41" t="str">
        <f t="shared" si="43"/>
        <v>GLRR60</v>
      </c>
      <c r="AR179" s="41" t="str">
        <f t="shared" si="44"/>
        <v>R60</v>
      </c>
    </row>
    <row r="180" spans="1:44" s="41" customFormat="1" ht="12.75" customHeight="1">
      <c r="A180" s="25" t="s">
        <v>17</v>
      </c>
      <c r="B180" s="25" t="str">
        <f t="shared" si="54"/>
        <v>GL164100</v>
      </c>
      <c r="C180" s="638">
        <v>164100</v>
      </c>
      <c r="D180" s="735"/>
      <c r="F180" s="1" t="s">
        <v>183</v>
      </c>
      <c r="H180" s="736" t="s">
        <v>2532</v>
      </c>
      <c r="I180" s="25"/>
      <c r="J180" s="25"/>
      <c r="K180" s="442" t="str">
        <f t="shared" si="53"/>
        <v/>
      </c>
      <c r="L180" s="736" t="s">
        <v>2455</v>
      </c>
      <c r="M180" s="25" t="str">
        <f t="shared" si="55"/>
        <v>R</v>
      </c>
      <c r="N180" s="25" t="str">
        <f>IF(L180&lt;&gt;"",VLOOKUP(L180,Categories!$B$2:$D$41,2,FALSE),IF(F180&lt;&gt;"","No Cat",""))</f>
        <v>Rate Base</v>
      </c>
      <c r="O180" s="25" t="str">
        <f>IF($L180&lt;&gt;"",VLOOKUP($L180,Categories!$B$2:$D$41,3,FALSE),IF($F180&lt;&gt;"","No Cat",""))</f>
        <v>Underground Storage Gas</v>
      </c>
      <c r="P180" s="736" t="s">
        <v>2483</v>
      </c>
      <c r="Q180" s="25" t="str">
        <f>VLOOKUP($P180,Allocators!$B$7:$F$19,5,FALSE)</f>
        <v>Gas</v>
      </c>
      <c r="R180" s="737">
        <f>VLOOKUP($P180,Allocators!$B$7:$F$19,2,FALSE)</f>
        <v>0</v>
      </c>
      <c r="S180" s="737">
        <f>VLOOKUP($P180,Allocators!$B$7:$F$19,3,FALSE)</f>
        <v>1</v>
      </c>
      <c r="T180" s="737" t="str">
        <f t="shared" si="56"/>
        <v>0.0%</v>
      </c>
      <c r="U180" s="2">
        <f t="shared" si="47"/>
        <v>0</v>
      </c>
      <c r="V180" s="2">
        <f t="shared" si="48"/>
        <v>7884.9516149999999</v>
      </c>
      <c r="W180" s="2">
        <f t="shared" si="49"/>
        <v>0</v>
      </c>
      <c r="X180" s="2">
        <f t="shared" si="45"/>
        <v>7884.9516149999999</v>
      </c>
      <c r="Y180" s="2">
        <f t="shared" si="50"/>
        <v>0</v>
      </c>
      <c r="Z180" s="2">
        <f t="shared" si="51"/>
        <v>10227.347959999999</v>
      </c>
      <c r="AA180" s="2">
        <f t="shared" si="52"/>
        <v>0</v>
      </c>
      <c r="AB180" s="2">
        <f t="shared" si="46"/>
        <v>10227.347960000001</v>
      </c>
      <c r="AC180" s="759">
        <v>9855.2551800000001</v>
      </c>
      <c r="AD180" s="741">
        <v>5685.9870300000002</v>
      </c>
      <c r="AE180" s="741">
        <v>2532.5875499999997</v>
      </c>
      <c r="AF180" s="741">
        <v>688.81133</v>
      </c>
      <c r="AG180" s="741">
        <v>2155.3048900000003</v>
      </c>
      <c r="AH180" s="741">
        <v>4658.6334500000003</v>
      </c>
      <c r="AI180" s="741">
        <v>7010.9598900000001</v>
      </c>
      <c r="AJ180" s="741">
        <v>9336.4248900000002</v>
      </c>
      <c r="AK180" s="741">
        <v>11354.30789</v>
      </c>
      <c r="AL180" s="741">
        <v>13243.707890000001</v>
      </c>
      <c r="AM180" s="741">
        <v>14674.67409</v>
      </c>
      <c r="AN180" s="741">
        <v>13236.71891</v>
      </c>
      <c r="AO180" s="741">
        <v>10227.347960000001</v>
      </c>
      <c r="AP180" s="41" t="str">
        <f t="shared" si="42"/>
        <v>GLR</v>
      </c>
      <c r="AQ180" s="41" t="str">
        <f t="shared" si="43"/>
        <v>GLRR5Storage Gas</v>
      </c>
      <c r="AR180" s="41" t="str">
        <f t="shared" si="44"/>
        <v>R5Storage Gas</v>
      </c>
    </row>
    <row r="181" spans="1:44" s="41" customFormat="1" ht="12.75" customHeight="1">
      <c r="A181" s="25" t="s">
        <v>17</v>
      </c>
      <c r="B181" s="25" t="str">
        <f t="shared" si="54"/>
        <v>GL164102</v>
      </c>
      <c r="C181" s="638">
        <v>164102</v>
      </c>
      <c r="D181" s="735"/>
      <c r="F181" s="1" t="s">
        <v>184</v>
      </c>
      <c r="H181" s="736" t="s">
        <v>2532</v>
      </c>
      <c r="I181" s="25"/>
      <c r="J181" s="25"/>
      <c r="K181" s="442" t="str">
        <f t="shared" si="53"/>
        <v/>
      </c>
      <c r="L181" s="736" t="s">
        <v>2455</v>
      </c>
      <c r="M181" s="25" t="str">
        <f t="shared" si="55"/>
        <v>R</v>
      </c>
      <c r="N181" s="25" t="str">
        <f>IF(L181&lt;&gt;"",VLOOKUP(L181,Categories!$B$2:$D$41,2,FALSE),IF(F181&lt;&gt;"","No Cat",""))</f>
        <v>Rate Base</v>
      </c>
      <c r="O181" s="25" t="str">
        <f>IF($L181&lt;&gt;"",VLOOKUP($L181,Categories!$B$2:$D$41,3,FALSE),IF($F181&lt;&gt;"","No Cat",""))</f>
        <v>Underground Storage Gas</v>
      </c>
      <c r="P181" s="736" t="s">
        <v>2483</v>
      </c>
      <c r="Q181" s="25" t="str">
        <f>VLOOKUP($P181,Allocators!$B$7:$F$19,5,FALSE)</f>
        <v>Gas</v>
      </c>
      <c r="R181" s="737">
        <f>VLOOKUP($P181,Allocators!$B$7:$F$19,2,FALSE)</f>
        <v>0</v>
      </c>
      <c r="S181" s="737">
        <f>VLOOKUP($P181,Allocators!$B$7:$F$19,3,FALSE)</f>
        <v>1</v>
      </c>
      <c r="T181" s="737" t="str">
        <f t="shared" si="56"/>
        <v>0.0%</v>
      </c>
      <c r="U181" s="2" t="str">
        <f t="shared" si="47"/>
        <v/>
      </c>
      <c r="V181" s="2" t="str">
        <f t="shared" si="48"/>
        <v/>
      </c>
      <c r="W181" s="2" t="str">
        <f t="shared" si="49"/>
        <v/>
      </c>
      <c r="X181" s="2">
        <f t="shared" si="45"/>
        <v>0</v>
      </c>
      <c r="Y181" s="2" t="str">
        <f t="shared" si="50"/>
        <v/>
      </c>
      <c r="Z181" s="2" t="str">
        <f t="shared" si="51"/>
        <v/>
      </c>
      <c r="AA181" s="2" t="str">
        <f t="shared" si="52"/>
        <v/>
      </c>
      <c r="AB181" s="2">
        <f t="shared" si="46"/>
        <v>0</v>
      </c>
      <c r="AC181" s="759">
        <v>0</v>
      </c>
      <c r="AD181" s="741">
        <v>0</v>
      </c>
      <c r="AE181" s="741">
        <v>0</v>
      </c>
      <c r="AF181" s="741">
        <v>0</v>
      </c>
      <c r="AG181" s="741">
        <v>0</v>
      </c>
      <c r="AH181" s="741">
        <v>0</v>
      </c>
      <c r="AI181" s="741">
        <v>0</v>
      </c>
      <c r="AJ181" s="741">
        <v>0</v>
      </c>
      <c r="AK181" s="741">
        <v>0</v>
      </c>
      <c r="AL181" s="741">
        <v>0</v>
      </c>
      <c r="AM181" s="741">
        <v>0</v>
      </c>
      <c r="AN181" s="741">
        <v>0</v>
      </c>
      <c r="AO181" s="741">
        <v>0</v>
      </c>
      <c r="AP181" s="41" t="str">
        <f t="shared" si="42"/>
        <v>GLR</v>
      </c>
      <c r="AQ181" s="41" t="str">
        <f t="shared" si="43"/>
        <v>GLRR5Storage Gas</v>
      </c>
      <c r="AR181" s="41" t="str">
        <f t="shared" si="44"/>
        <v>R5Storage Gas</v>
      </c>
    </row>
    <row r="182" spans="1:44" s="41" customFormat="1" ht="12.75" customHeight="1">
      <c r="A182" s="25" t="s">
        <v>17</v>
      </c>
      <c r="B182" s="25" t="str">
        <f t="shared" si="54"/>
        <v>GL164105</v>
      </c>
      <c r="C182" s="638">
        <v>164105</v>
      </c>
      <c r="D182" s="735"/>
      <c r="F182" s="1" t="s">
        <v>185</v>
      </c>
      <c r="H182" s="736" t="s">
        <v>2532</v>
      </c>
      <c r="I182" s="25"/>
      <c r="J182" s="25"/>
      <c r="K182" s="442" t="str">
        <f t="shared" si="53"/>
        <v/>
      </c>
      <c r="L182" s="736" t="s">
        <v>2455</v>
      </c>
      <c r="M182" s="25" t="str">
        <f t="shared" si="55"/>
        <v>R</v>
      </c>
      <c r="N182" s="25" t="str">
        <f>IF(L182&lt;&gt;"",VLOOKUP(L182,Categories!$B$2:$D$41,2,FALSE),IF(F182&lt;&gt;"","No Cat",""))</f>
        <v>Rate Base</v>
      </c>
      <c r="O182" s="25" t="str">
        <f>IF($L182&lt;&gt;"",VLOOKUP($L182,Categories!$B$2:$D$41,3,FALSE),IF($F182&lt;&gt;"","No Cat",""))</f>
        <v>Underground Storage Gas</v>
      </c>
      <c r="P182" s="736" t="s">
        <v>2483</v>
      </c>
      <c r="Q182" s="25" t="str">
        <f>VLOOKUP($P182,Allocators!$B$7:$F$19,5,FALSE)</f>
        <v>Gas</v>
      </c>
      <c r="R182" s="737">
        <f>VLOOKUP($P182,Allocators!$B$7:$F$19,2,FALSE)</f>
        <v>0</v>
      </c>
      <c r="S182" s="737">
        <f>VLOOKUP($P182,Allocators!$B$7:$F$19,3,FALSE)</f>
        <v>1</v>
      </c>
      <c r="T182" s="737" t="str">
        <f t="shared" si="56"/>
        <v>0.0%</v>
      </c>
      <c r="U182" s="2" t="str">
        <f t="shared" si="47"/>
        <v/>
      </c>
      <c r="V182" s="2" t="str">
        <f t="shared" si="48"/>
        <v/>
      </c>
      <c r="W182" s="2" t="str">
        <f t="shared" si="49"/>
        <v/>
      </c>
      <c r="X182" s="2">
        <f t="shared" si="45"/>
        <v>0</v>
      </c>
      <c r="Y182" s="2" t="str">
        <f t="shared" si="50"/>
        <v/>
      </c>
      <c r="Z182" s="2" t="str">
        <f t="shared" si="51"/>
        <v/>
      </c>
      <c r="AA182" s="2" t="str">
        <f t="shared" si="52"/>
        <v/>
      </c>
      <c r="AB182" s="2">
        <f t="shared" si="46"/>
        <v>0</v>
      </c>
      <c r="AC182" s="759">
        <v>0</v>
      </c>
      <c r="AD182" s="741">
        <v>0</v>
      </c>
      <c r="AE182" s="741">
        <v>0</v>
      </c>
      <c r="AF182" s="741">
        <v>0</v>
      </c>
      <c r="AG182" s="741">
        <v>0</v>
      </c>
      <c r="AH182" s="741">
        <v>0</v>
      </c>
      <c r="AI182" s="741">
        <v>0</v>
      </c>
      <c r="AJ182" s="741">
        <v>0</v>
      </c>
      <c r="AK182" s="741">
        <v>0</v>
      </c>
      <c r="AL182" s="741">
        <v>0</v>
      </c>
      <c r="AM182" s="741">
        <v>0</v>
      </c>
      <c r="AN182" s="741">
        <v>0</v>
      </c>
      <c r="AO182" s="741">
        <v>0</v>
      </c>
      <c r="AP182" s="41" t="str">
        <f t="shared" si="42"/>
        <v>GLR</v>
      </c>
      <c r="AQ182" s="41" t="str">
        <f t="shared" si="43"/>
        <v>GLRR5Storage Gas</v>
      </c>
      <c r="AR182" s="41" t="str">
        <f t="shared" si="44"/>
        <v>R5Storage Gas</v>
      </c>
    </row>
    <row r="183" spans="1:44" s="41" customFormat="1" ht="12.75" customHeight="1">
      <c r="A183" s="25" t="s">
        <v>17</v>
      </c>
      <c r="B183" s="25" t="str">
        <f t="shared" si="54"/>
        <v>GL164107</v>
      </c>
      <c r="C183" s="638">
        <v>164107</v>
      </c>
      <c r="D183" s="735"/>
      <c r="F183" s="1" t="s">
        <v>186</v>
      </c>
      <c r="H183" s="736" t="s">
        <v>2532</v>
      </c>
      <c r="I183" s="25"/>
      <c r="J183" s="25"/>
      <c r="K183" s="442" t="str">
        <f t="shared" si="53"/>
        <v/>
      </c>
      <c r="L183" s="736" t="s">
        <v>2455</v>
      </c>
      <c r="M183" s="25" t="str">
        <f t="shared" si="55"/>
        <v>R</v>
      </c>
      <c r="N183" s="25" t="str">
        <f>IF(L183&lt;&gt;"",VLOOKUP(L183,Categories!$B$2:$D$41,2,FALSE),IF(F183&lt;&gt;"","No Cat",""))</f>
        <v>Rate Base</v>
      </c>
      <c r="O183" s="25" t="str">
        <f>IF($L183&lt;&gt;"",VLOOKUP($L183,Categories!$B$2:$D$41,3,FALSE),IF($F183&lt;&gt;"","No Cat",""))</f>
        <v>Underground Storage Gas</v>
      </c>
      <c r="P183" s="736" t="s">
        <v>2483</v>
      </c>
      <c r="Q183" s="25" t="str">
        <f>VLOOKUP($P183,Allocators!$B$7:$F$19,5,FALSE)</f>
        <v>Gas</v>
      </c>
      <c r="R183" s="737">
        <f>VLOOKUP($P183,Allocators!$B$7:$F$19,2,FALSE)</f>
        <v>0</v>
      </c>
      <c r="S183" s="737">
        <f>VLOOKUP($P183,Allocators!$B$7:$F$19,3,FALSE)</f>
        <v>1</v>
      </c>
      <c r="T183" s="737" t="str">
        <f t="shared" si="56"/>
        <v>0.0%</v>
      </c>
      <c r="U183" s="2" t="str">
        <f t="shared" si="47"/>
        <v/>
      </c>
      <c r="V183" s="2" t="str">
        <f t="shared" si="48"/>
        <v/>
      </c>
      <c r="W183" s="2" t="str">
        <f t="shared" si="49"/>
        <v/>
      </c>
      <c r="X183" s="2">
        <f t="shared" si="45"/>
        <v>0</v>
      </c>
      <c r="Y183" s="2" t="str">
        <f t="shared" si="50"/>
        <v/>
      </c>
      <c r="Z183" s="2" t="str">
        <f t="shared" si="51"/>
        <v/>
      </c>
      <c r="AA183" s="2" t="str">
        <f t="shared" si="52"/>
        <v/>
      </c>
      <c r="AB183" s="2">
        <f t="shared" si="46"/>
        <v>0</v>
      </c>
      <c r="AC183" s="759">
        <v>0</v>
      </c>
      <c r="AD183" s="741">
        <v>0</v>
      </c>
      <c r="AE183" s="741">
        <v>0</v>
      </c>
      <c r="AF183" s="741">
        <v>0</v>
      </c>
      <c r="AG183" s="741">
        <v>0</v>
      </c>
      <c r="AH183" s="741">
        <v>0</v>
      </c>
      <c r="AI183" s="741">
        <v>0</v>
      </c>
      <c r="AJ183" s="741">
        <v>0</v>
      </c>
      <c r="AK183" s="741">
        <v>0</v>
      </c>
      <c r="AL183" s="741">
        <v>0</v>
      </c>
      <c r="AM183" s="741">
        <v>0</v>
      </c>
      <c r="AN183" s="741">
        <v>0</v>
      </c>
      <c r="AO183" s="741">
        <v>0</v>
      </c>
      <c r="AP183" s="41" t="str">
        <f t="shared" si="42"/>
        <v>GLR</v>
      </c>
      <c r="AQ183" s="41" t="str">
        <f t="shared" si="43"/>
        <v>GLRR5Storage Gas</v>
      </c>
      <c r="AR183" s="41" t="str">
        <f t="shared" si="44"/>
        <v>R5Storage Gas</v>
      </c>
    </row>
    <row r="184" spans="1:44" s="41" customFormat="1" ht="12.75" customHeight="1">
      <c r="A184" s="25" t="s">
        <v>17</v>
      </c>
      <c r="B184" s="25" t="str">
        <f t="shared" si="54"/>
        <v>GL164108</v>
      </c>
      <c r="C184" s="638">
        <v>164108</v>
      </c>
      <c r="D184" s="735"/>
      <c r="F184" s="1" t="s">
        <v>187</v>
      </c>
      <c r="H184" s="736" t="s">
        <v>2532</v>
      </c>
      <c r="I184" s="25"/>
      <c r="J184" s="25"/>
      <c r="K184" s="442" t="str">
        <f t="shared" si="53"/>
        <v/>
      </c>
      <c r="L184" s="736" t="s">
        <v>2455</v>
      </c>
      <c r="M184" s="25" t="str">
        <f t="shared" si="55"/>
        <v>R</v>
      </c>
      <c r="N184" s="25" t="str">
        <f>IF(L184&lt;&gt;"",VLOOKUP(L184,Categories!$B$2:$D$41,2,FALSE),IF(F184&lt;&gt;"","No Cat",""))</f>
        <v>Rate Base</v>
      </c>
      <c r="O184" s="25" t="str">
        <f>IF($L184&lt;&gt;"",VLOOKUP($L184,Categories!$B$2:$D$41,3,FALSE),IF($F184&lt;&gt;"","No Cat",""))</f>
        <v>Underground Storage Gas</v>
      </c>
      <c r="P184" s="736" t="s">
        <v>2483</v>
      </c>
      <c r="Q184" s="25" t="str">
        <f>VLOOKUP($P184,Allocators!$B$7:$F$19,5,FALSE)</f>
        <v>Gas</v>
      </c>
      <c r="R184" s="737">
        <f>VLOOKUP($P184,Allocators!$B$7:$F$19,2,FALSE)</f>
        <v>0</v>
      </c>
      <c r="S184" s="737">
        <f>VLOOKUP($P184,Allocators!$B$7:$F$19,3,FALSE)</f>
        <v>1</v>
      </c>
      <c r="T184" s="737" t="str">
        <f t="shared" si="56"/>
        <v>0.0%</v>
      </c>
      <c r="U184" s="2" t="str">
        <f t="shared" si="47"/>
        <v/>
      </c>
      <c r="V184" s="2" t="str">
        <f t="shared" si="48"/>
        <v/>
      </c>
      <c r="W184" s="2" t="str">
        <f t="shared" si="49"/>
        <v/>
      </c>
      <c r="X184" s="2">
        <f t="shared" si="45"/>
        <v>0</v>
      </c>
      <c r="Y184" s="2" t="str">
        <f t="shared" si="50"/>
        <v/>
      </c>
      <c r="Z184" s="2" t="str">
        <f t="shared" si="51"/>
        <v/>
      </c>
      <c r="AA184" s="2" t="str">
        <f t="shared" si="52"/>
        <v/>
      </c>
      <c r="AB184" s="2">
        <f t="shared" si="46"/>
        <v>0</v>
      </c>
      <c r="AC184" s="759">
        <v>0</v>
      </c>
      <c r="AD184" s="741">
        <v>0</v>
      </c>
      <c r="AE184" s="741">
        <v>0</v>
      </c>
      <c r="AF184" s="741">
        <v>0</v>
      </c>
      <c r="AG184" s="741">
        <v>0</v>
      </c>
      <c r="AH184" s="741">
        <v>0</v>
      </c>
      <c r="AI184" s="741">
        <v>0</v>
      </c>
      <c r="AJ184" s="741">
        <v>0</v>
      </c>
      <c r="AK184" s="741">
        <v>0</v>
      </c>
      <c r="AL184" s="741">
        <v>0</v>
      </c>
      <c r="AM184" s="741">
        <v>0</v>
      </c>
      <c r="AN184" s="741">
        <v>0</v>
      </c>
      <c r="AO184" s="741">
        <v>0</v>
      </c>
      <c r="AP184" s="41" t="str">
        <f t="shared" si="42"/>
        <v>GLR</v>
      </c>
      <c r="AQ184" s="41" t="str">
        <f t="shared" si="43"/>
        <v>GLRR5Storage Gas</v>
      </c>
      <c r="AR184" s="41" t="str">
        <f t="shared" si="44"/>
        <v>R5Storage Gas</v>
      </c>
    </row>
    <row r="185" spans="1:44" s="41" customFormat="1" ht="12.75" customHeight="1">
      <c r="A185" s="25" t="s">
        <v>17</v>
      </c>
      <c r="B185" s="25" t="str">
        <f t="shared" si="54"/>
        <v>GL164110</v>
      </c>
      <c r="C185" s="638">
        <v>164110</v>
      </c>
      <c r="D185" s="735"/>
      <c r="F185" s="1" t="s">
        <v>188</v>
      </c>
      <c r="H185" s="736" t="s">
        <v>2532</v>
      </c>
      <c r="I185" s="25"/>
      <c r="J185" s="25"/>
      <c r="K185" s="442" t="str">
        <f t="shared" si="53"/>
        <v/>
      </c>
      <c r="L185" s="736" t="s">
        <v>2455</v>
      </c>
      <c r="M185" s="25" t="str">
        <f t="shared" si="55"/>
        <v>R</v>
      </c>
      <c r="N185" s="25" t="str">
        <f>IF(L185&lt;&gt;"",VLOOKUP(L185,Categories!$B$2:$D$41,2,FALSE),IF(F185&lt;&gt;"","No Cat",""))</f>
        <v>Rate Base</v>
      </c>
      <c r="O185" s="25" t="str">
        <f>IF($L185&lt;&gt;"",VLOOKUP($L185,Categories!$B$2:$D$41,3,FALSE),IF($F185&lt;&gt;"","No Cat",""))</f>
        <v>Underground Storage Gas</v>
      </c>
      <c r="P185" s="736" t="s">
        <v>2483</v>
      </c>
      <c r="Q185" s="25" t="str">
        <f>VLOOKUP($P185,Allocators!$B$7:$F$19,5,FALSE)</f>
        <v>Gas</v>
      </c>
      <c r="R185" s="737">
        <f>VLOOKUP($P185,Allocators!$B$7:$F$19,2,FALSE)</f>
        <v>0</v>
      </c>
      <c r="S185" s="737">
        <f>VLOOKUP($P185,Allocators!$B$7:$F$19,3,FALSE)</f>
        <v>1</v>
      </c>
      <c r="T185" s="737" t="str">
        <f t="shared" si="56"/>
        <v>0.0%</v>
      </c>
      <c r="U185" s="2" t="str">
        <f t="shared" si="47"/>
        <v/>
      </c>
      <c r="V185" s="2" t="str">
        <f t="shared" si="48"/>
        <v/>
      </c>
      <c r="W185" s="2" t="str">
        <f t="shared" si="49"/>
        <v/>
      </c>
      <c r="X185" s="2">
        <f t="shared" si="45"/>
        <v>0</v>
      </c>
      <c r="Y185" s="2" t="str">
        <f t="shared" si="50"/>
        <v/>
      </c>
      <c r="Z185" s="2" t="str">
        <f t="shared" si="51"/>
        <v/>
      </c>
      <c r="AA185" s="2" t="str">
        <f t="shared" si="52"/>
        <v/>
      </c>
      <c r="AB185" s="2">
        <f t="shared" si="46"/>
        <v>0</v>
      </c>
      <c r="AC185" s="759">
        <v>0</v>
      </c>
      <c r="AD185" s="741">
        <v>0</v>
      </c>
      <c r="AE185" s="741">
        <v>0</v>
      </c>
      <c r="AF185" s="741">
        <v>0</v>
      </c>
      <c r="AG185" s="741">
        <v>0</v>
      </c>
      <c r="AH185" s="741">
        <v>0</v>
      </c>
      <c r="AI185" s="741">
        <v>0</v>
      </c>
      <c r="AJ185" s="741">
        <v>0</v>
      </c>
      <c r="AK185" s="741">
        <v>0</v>
      </c>
      <c r="AL185" s="741">
        <v>0</v>
      </c>
      <c r="AM185" s="741">
        <v>0</v>
      </c>
      <c r="AN185" s="741">
        <v>0</v>
      </c>
      <c r="AO185" s="741">
        <v>0</v>
      </c>
      <c r="AP185" s="41" t="str">
        <f t="shared" si="42"/>
        <v>GLR</v>
      </c>
      <c r="AQ185" s="41" t="str">
        <f t="shared" si="43"/>
        <v>GLRR5Storage Gas</v>
      </c>
      <c r="AR185" s="41" t="str">
        <f t="shared" si="44"/>
        <v>R5Storage Gas</v>
      </c>
    </row>
    <row r="186" spans="1:44" s="41" customFormat="1" ht="12.75" customHeight="1">
      <c r="A186" s="25" t="s">
        <v>17</v>
      </c>
      <c r="B186" s="25" t="str">
        <f t="shared" si="54"/>
        <v>GL164160</v>
      </c>
      <c r="C186" s="638">
        <v>164160</v>
      </c>
      <c r="D186" s="735"/>
      <c r="F186" s="1" t="s">
        <v>189</v>
      </c>
      <c r="H186" s="736" t="s">
        <v>2532</v>
      </c>
      <c r="I186" s="25"/>
      <c r="J186" s="25"/>
      <c r="K186" s="442" t="str">
        <f t="shared" si="53"/>
        <v/>
      </c>
      <c r="L186" s="736" t="s">
        <v>2455</v>
      </c>
      <c r="M186" s="25" t="str">
        <f t="shared" si="55"/>
        <v>R</v>
      </c>
      <c r="N186" s="25" t="str">
        <f>IF(L186&lt;&gt;"",VLOOKUP(L186,Categories!$B$2:$D$41,2,FALSE),IF(F186&lt;&gt;"","No Cat",""))</f>
        <v>Rate Base</v>
      </c>
      <c r="O186" s="25" t="str">
        <f>IF($L186&lt;&gt;"",VLOOKUP($L186,Categories!$B$2:$D$41,3,FALSE),IF($F186&lt;&gt;"","No Cat",""))</f>
        <v>Underground Storage Gas</v>
      </c>
      <c r="P186" s="736" t="s">
        <v>2483</v>
      </c>
      <c r="Q186" s="25" t="str">
        <f>VLOOKUP($P186,Allocators!$B$7:$F$19,5,FALSE)</f>
        <v>Gas</v>
      </c>
      <c r="R186" s="737">
        <f>VLOOKUP($P186,Allocators!$B$7:$F$19,2,FALSE)</f>
        <v>0</v>
      </c>
      <c r="S186" s="737">
        <f>VLOOKUP($P186,Allocators!$B$7:$F$19,3,FALSE)</f>
        <v>1</v>
      </c>
      <c r="T186" s="737" t="str">
        <f t="shared" si="56"/>
        <v>0.0%</v>
      </c>
      <c r="U186" s="2">
        <f t="shared" si="47"/>
        <v>0</v>
      </c>
      <c r="V186" s="2">
        <f t="shared" si="48"/>
        <v>6521.6267912499998</v>
      </c>
      <c r="W186" s="2">
        <f t="shared" si="49"/>
        <v>0</v>
      </c>
      <c r="X186" s="2">
        <f t="shared" si="45"/>
        <v>6521.6267912499998</v>
      </c>
      <c r="Y186" s="2">
        <f t="shared" si="50"/>
        <v>0</v>
      </c>
      <c r="Z186" s="2">
        <f t="shared" si="51"/>
        <v>9518.6714499999998</v>
      </c>
      <c r="AA186" s="2">
        <f t="shared" si="52"/>
        <v>0</v>
      </c>
      <c r="AB186" s="2">
        <f t="shared" si="46"/>
        <v>9518.6714499999998</v>
      </c>
      <c r="AC186" s="759">
        <v>8642.5361999999986</v>
      </c>
      <c r="AD186" s="741">
        <v>4899.9285899999995</v>
      </c>
      <c r="AE186" s="741">
        <v>2250.9919500000001</v>
      </c>
      <c r="AF186" s="741">
        <v>695.71574999999996</v>
      </c>
      <c r="AG186" s="741">
        <v>2144.8293399999998</v>
      </c>
      <c r="AH186" s="741">
        <v>4681.3025599999992</v>
      </c>
      <c r="AI186" s="741">
        <v>6729.8624800000007</v>
      </c>
      <c r="AJ186" s="741">
        <v>8170.74154</v>
      </c>
      <c r="AK186" s="741">
        <v>9371.5490500000014</v>
      </c>
      <c r="AL186" s="741">
        <v>10195.378480000001</v>
      </c>
      <c r="AM186" s="741">
        <v>10558.1823</v>
      </c>
      <c r="AN186" s="741">
        <v>9480.4356299999999</v>
      </c>
      <c r="AO186" s="741">
        <v>9518.6714499999998</v>
      </c>
      <c r="AP186" s="41" t="str">
        <f t="shared" si="42"/>
        <v>GLR</v>
      </c>
      <c r="AQ186" s="41" t="str">
        <f t="shared" si="43"/>
        <v>GLRR5Storage Gas</v>
      </c>
      <c r="AR186" s="41" t="str">
        <f t="shared" si="44"/>
        <v>R5Storage Gas</v>
      </c>
    </row>
    <row r="187" spans="1:44" s="41" customFormat="1" ht="12" customHeight="1">
      <c r="A187" s="25" t="s">
        <v>17</v>
      </c>
      <c r="B187" s="25" t="str">
        <f t="shared" si="54"/>
        <v>GL165020</v>
      </c>
      <c r="C187" s="638">
        <v>165020</v>
      </c>
      <c r="D187" s="735"/>
      <c r="F187" s="1" t="s">
        <v>190</v>
      </c>
      <c r="H187" s="736" t="s">
        <v>2221</v>
      </c>
      <c r="I187" s="25"/>
      <c r="J187" s="25"/>
      <c r="K187" s="442" t="str">
        <f t="shared" si="53"/>
        <v/>
      </c>
      <c r="L187" s="736" t="s">
        <v>2458</v>
      </c>
      <c r="M187" s="25" t="str">
        <f t="shared" si="55"/>
        <v>R</v>
      </c>
      <c r="N187" s="25" t="str">
        <f>IF(L187&lt;&gt;"",VLOOKUP(L187,Categories!$B$2:$D$41,2,FALSE),IF(F187&lt;&gt;"","No Cat",""))</f>
        <v>Rate Base</v>
      </c>
      <c r="O187" s="25" t="str">
        <f>IF($L187&lt;&gt;"",VLOOKUP($L187,Categories!$B$2:$D$41,3,FALSE),IF($F187&lt;&gt;"","No Cat",""))</f>
        <v>Working Capital - Prepayment</v>
      </c>
      <c r="P187" s="736" t="s">
        <v>2486</v>
      </c>
      <c r="Q187" s="25" t="str">
        <f>VLOOKUP($P187,Allocators!$B$7:$F$19,5,FALSE)</f>
        <v>Net Plant</v>
      </c>
      <c r="R187" s="737">
        <f>VLOOKUP($P187,Allocators!$B$7:$F$19,2,FALSE)</f>
        <v>0.74150000000000005</v>
      </c>
      <c r="S187" s="737">
        <f>VLOOKUP($P187,Allocators!$B$7:$F$19,3,FALSE)</f>
        <v>0.25850000000000001</v>
      </c>
      <c r="T187" s="737" t="str">
        <f t="shared" si="56"/>
        <v>0.0%</v>
      </c>
      <c r="U187" s="2">
        <f t="shared" si="47"/>
        <v>522.93543435645904</v>
      </c>
      <c r="V187" s="2">
        <f t="shared" si="48"/>
        <v>182.30453106020801</v>
      </c>
      <c r="W187" s="2">
        <f t="shared" si="49"/>
        <v>0</v>
      </c>
      <c r="X187" s="2">
        <f t="shared" si="45"/>
        <v>705.23996541666702</v>
      </c>
      <c r="Y187" s="2">
        <f t="shared" si="50"/>
        <v>760.11647716499999</v>
      </c>
      <c r="Z187" s="2">
        <f t="shared" si="51"/>
        <v>264.99003283500002</v>
      </c>
      <c r="AA187" s="2">
        <f t="shared" si="52"/>
        <v>0</v>
      </c>
      <c r="AB187" s="2">
        <f t="shared" si="46"/>
        <v>1025.1065100000001</v>
      </c>
      <c r="AC187" s="759">
        <v>591.99585999999999</v>
      </c>
      <c r="AD187" s="741">
        <v>403.46032000000002</v>
      </c>
      <c r="AE187" s="741">
        <v>365.03040000000004</v>
      </c>
      <c r="AF187" s="741">
        <v>196.79879</v>
      </c>
      <c r="AG187" s="741">
        <v>255.38773</v>
      </c>
      <c r="AH187" s="741">
        <v>60.355080000000001</v>
      </c>
      <c r="AI187" s="741">
        <v>-42.026849999999996</v>
      </c>
      <c r="AJ187" s="741">
        <v>832.01492000000007</v>
      </c>
      <c r="AK187" s="741">
        <v>1675.51929</v>
      </c>
      <c r="AL187" s="741">
        <v>1485.9082800000001</v>
      </c>
      <c r="AM187" s="741">
        <v>1265.53404</v>
      </c>
      <c r="AN187" s="741">
        <v>1156.3463999999999</v>
      </c>
      <c r="AO187" s="741">
        <v>1025.1065100000001</v>
      </c>
      <c r="AP187" s="41" t="str">
        <f t="shared" si="42"/>
        <v>GLR</v>
      </c>
      <c r="AQ187" s="41" t="str">
        <f t="shared" si="43"/>
        <v>GLRR7Prepaid Insurance</v>
      </c>
      <c r="AR187" s="41" t="str">
        <f t="shared" si="44"/>
        <v>R7Prepaid Insurance</v>
      </c>
    </row>
    <row r="188" spans="1:44" s="41" customFormat="1" ht="12.75" customHeight="1">
      <c r="A188" s="25" t="s">
        <v>17</v>
      </c>
      <c r="B188" s="25" t="str">
        <f t="shared" si="54"/>
        <v>GL165030</v>
      </c>
      <c r="C188" s="638">
        <v>165030</v>
      </c>
      <c r="D188" s="735"/>
      <c r="F188" s="1" t="s">
        <v>191</v>
      </c>
      <c r="H188" s="736">
        <v>0</v>
      </c>
      <c r="I188" s="25"/>
      <c r="J188" s="25"/>
      <c r="K188" s="442" t="str">
        <f t="shared" si="53"/>
        <v/>
      </c>
      <c r="L188" s="736" t="s">
        <v>2458</v>
      </c>
      <c r="M188" s="25" t="str">
        <f t="shared" si="55"/>
        <v>R</v>
      </c>
      <c r="N188" s="25" t="str">
        <f>IF(L188&lt;&gt;"",VLOOKUP(L188,Categories!$B$2:$D$41,2,FALSE),IF(F188&lt;&gt;"","No Cat",""))</f>
        <v>Rate Base</v>
      </c>
      <c r="O188" s="25" t="str">
        <f>IF($L188&lt;&gt;"",VLOOKUP($L188,Categories!$B$2:$D$41,3,FALSE),IF($F188&lt;&gt;"","No Cat",""))</f>
        <v>Working Capital - Prepayment</v>
      </c>
      <c r="P188" s="736" t="s">
        <v>2485</v>
      </c>
      <c r="Q188" s="25" t="str">
        <f>VLOOKUP($P188,Allocators!$B$7:$F$19,5,FALSE)</f>
        <v>Customers</v>
      </c>
      <c r="R188" s="737">
        <f>VLOOKUP($P188,Allocators!$B$7:$F$19,2,FALSE)</f>
        <v>0.58986531372414497</v>
      </c>
      <c r="S188" s="737">
        <f>VLOOKUP($P188,Allocators!$B$7:$F$19,3,FALSE)</f>
        <v>0.41013468627585503</v>
      </c>
      <c r="T188" s="737" t="str">
        <f t="shared" si="56"/>
        <v>0.0%</v>
      </c>
      <c r="U188" s="2">
        <f t="shared" si="47"/>
        <v>217.20174979196301</v>
      </c>
      <c r="V188" s="2">
        <f t="shared" si="48"/>
        <v>151.020867708037</v>
      </c>
      <c r="W188" s="2">
        <f t="shared" si="49"/>
        <v>0</v>
      </c>
      <c r="X188" s="2">
        <f t="shared" si="45"/>
        <v>368.22261750000001</v>
      </c>
      <c r="Y188" s="2">
        <f t="shared" si="50"/>
        <v>168.08898717794699</v>
      </c>
      <c r="Z188" s="2">
        <f t="shared" si="51"/>
        <v>116.872652822053</v>
      </c>
      <c r="AA188" s="2">
        <f t="shared" si="52"/>
        <v>0</v>
      </c>
      <c r="AB188" s="2">
        <f t="shared" si="46"/>
        <v>284.96163999999999</v>
      </c>
      <c r="AC188" s="759">
        <v>509.01902000000001</v>
      </c>
      <c r="AD188" s="741">
        <v>558.84527000000003</v>
      </c>
      <c r="AE188" s="741">
        <v>379.11243999999999</v>
      </c>
      <c r="AF188" s="741">
        <v>364.23273</v>
      </c>
      <c r="AG188" s="741">
        <v>365.29322999999999</v>
      </c>
      <c r="AH188" s="741">
        <v>360.05234000000002</v>
      </c>
      <c r="AI188" s="741">
        <v>379.66924</v>
      </c>
      <c r="AJ188" s="741">
        <v>417.15303999999998</v>
      </c>
      <c r="AK188" s="741">
        <v>425.89954</v>
      </c>
      <c r="AL188" s="741">
        <v>245.62231</v>
      </c>
      <c r="AM188" s="741">
        <v>249.74177</v>
      </c>
      <c r="AN188" s="741">
        <v>276.05916999999999</v>
      </c>
      <c r="AO188" s="741">
        <v>284.96163999999999</v>
      </c>
      <c r="AP188" s="41" t="str">
        <f t="shared" si="42"/>
        <v>GLR</v>
      </c>
      <c r="AQ188" s="41" t="str">
        <f t="shared" si="43"/>
        <v>GLRR70</v>
      </c>
      <c r="AR188" s="41" t="str">
        <f t="shared" si="44"/>
        <v>R70</v>
      </c>
    </row>
    <row r="189" spans="1:44" s="41" customFormat="1" ht="12.75" customHeight="1">
      <c r="A189" s="25" t="s">
        <v>17</v>
      </c>
      <c r="B189" s="25" t="str">
        <f t="shared" si="54"/>
        <v>GL165040</v>
      </c>
      <c r="C189" s="638">
        <v>165040</v>
      </c>
      <c r="D189" s="735"/>
      <c r="F189" s="1" t="s">
        <v>192</v>
      </c>
      <c r="H189" s="736">
        <v>0</v>
      </c>
      <c r="I189" s="25"/>
      <c r="J189" s="25"/>
      <c r="K189" s="442" t="str">
        <f t="shared" si="53"/>
        <v/>
      </c>
      <c r="L189" s="736" t="s">
        <v>2458</v>
      </c>
      <c r="M189" s="25" t="str">
        <f t="shared" si="55"/>
        <v>R</v>
      </c>
      <c r="N189" s="25" t="str">
        <f>IF(L189&lt;&gt;"",VLOOKUP(L189,Categories!$B$2:$D$41,2,FALSE),IF(F189&lt;&gt;"","No Cat",""))</f>
        <v>Rate Base</v>
      </c>
      <c r="O189" s="25" t="str">
        <f>IF($L189&lt;&gt;"",VLOOKUP($L189,Categories!$B$2:$D$41,3,FALSE),IF($F189&lt;&gt;"","No Cat",""))</f>
        <v>Working Capital - Prepayment</v>
      </c>
      <c r="P189" s="736" t="s">
        <v>2486</v>
      </c>
      <c r="Q189" s="25" t="str">
        <f>VLOOKUP($P189,Allocators!$B$7:$F$19,5,FALSE)</f>
        <v>Net Plant</v>
      </c>
      <c r="R189" s="737">
        <f>VLOOKUP($P189,Allocators!$B$7:$F$19,2,FALSE)</f>
        <v>0.74150000000000005</v>
      </c>
      <c r="S189" s="737">
        <f>VLOOKUP($P189,Allocators!$B$7:$F$19,3,FALSE)</f>
        <v>0.25850000000000001</v>
      </c>
      <c r="T189" s="737" t="str">
        <f t="shared" si="56"/>
        <v>0.0%</v>
      </c>
      <c r="U189" s="2">
        <f t="shared" si="47"/>
        <v>236.04570836875001</v>
      </c>
      <c r="V189" s="2">
        <f t="shared" si="48"/>
        <v>82.289704131250005</v>
      </c>
      <c r="W189" s="2">
        <f t="shared" si="49"/>
        <v>0</v>
      </c>
      <c r="X189" s="2">
        <f t="shared" si="45"/>
        <v>318.33541250000002</v>
      </c>
      <c r="Y189" s="2">
        <f t="shared" si="50"/>
        <v>411.01321272000001</v>
      </c>
      <c r="Z189" s="2">
        <f t="shared" si="51"/>
        <v>143.28646728000001</v>
      </c>
      <c r="AA189" s="2">
        <f t="shared" si="52"/>
        <v>0</v>
      </c>
      <c r="AB189" s="2">
        <f t="shared" si="46"/>
        <v>554.29968000000008</v>
      </c>
      <c r="AC189" s="759">
        <v>26.504339999999999</v>
      </c>
      <c r="AD189" s="741">
        <v>26.504339999999999</v>
      </c>
      <c r="AE189" s="741">
        <v>378.50195000000002</v>
      </c>
      <c r="AF189" s="741">
        <v>355.00677000000002</v>
      </c>
      <c r="AG189" s="741">
        <v>355.00677000000002</v>
      </c>
      <c r="AH189" s="741">
        <v>355.00677000000002</v>
      </c>
      <c r="AI189" s="741">
        <v>366.21827000000002</v>
      </c>
      <c r="AJ189" s="741">
        <v>342.13092</v>
      </c>
      <c r="AK189" s="741">
        <v>342.13092</v>
      </c>
      <c r="AL189" s="741">
        <v>342.13092</v>
      </c>
      <c r="AM189" s="741">
        <v>342.13092</v>
      </c>
      <c r="AN189" s="741">
        <v>324.85439000000002</v>
      </c>
      <c r="AO189" s="741">
        <v>554.29968000000008</v>
      </c>
      <c r="AP189" s="41" t="str">
        <f t="shared" si="42"/>
        <v>GLR</v>
      </c>
      <c r="AQ189" s="41" t="str">
        <f t="shared" si="43"/>
        <v>GLRR70</v>
      </c>
      <c r="AR189" s="41" t="str">
        <f t="shared" si="44"/>
        <v>R70</v>
      </c>
    </row>
    <row r="190" spans="1:44" s="41" customFormat="1" ht="12.75" customHeight="1">
      <c r="A190" s="25" t="s">
        <v>17</v>
      </c>
      <c r="B190" s="25" t="str">
        <f t="shared" si="54"/>
        <v>GL165050</v>
      </c>
      <c r="C190" s="638">
        <v>165050</v>
      </c>
      <c r="D190" s="735"/>
      <c r="F190" s="1" t="s">
        <v>193</v>
      </c>
      <c r="H190" s="736">
        <v>0</v>
      </c>
      <c r="I190" s="25"/>
      <c r="J190" s="25"/>
      <c r="K190" s="442" t="str">
        <f t="shared" si="53"/>
        <v/>
      </c>
      <c r="L190" s="736" t="s">
        <v>2458</v>
      </c>
      <c r="M190" s="25" t="str">
        <f t="shared" si="55"/>
        <v>R</v>
      </c>
      <c r="N190" s="25" t="str">
        <f>IF(L190&lt;&gt;"",VLOOKUP(L190,Categories!$B$2:$D$41,2,FALSE),IF(F190&lt;&gt;"","No Cat",""))</f>
        <v>Rate Base</v>
      </c>
      <c r="O190" s="25" t="str">
        <f>IF($L190&lt;&gt;"",VLOOKUP($L190,Categories!$B$2:$D$41,3,FALSE),IF($F190&lt;&gt;"","No Cat",""))</f>
        <v>Working Capital - Prepayment</v>
      </c>
      <c r="P190" s="736" t="s">
        <v>2482</v>
      </c>
      <c r="Q190" s="25" t="str">
        <f>VLOOKUP($P190,Allocators!$B$7:$F$19,5,FALSE)</f>
        <v>Electric</v>
      </c>
      <c r="R190" s="737">
        <f>VLOOKUP($P190,Allocators!$B$7:$F$19,2,FALSE)</f>
        <v>1</v>
      </c>
      <c r="S190" s="737">
        <f>VLOOKUP($P190,Allocators!$B$7:$F$19,3,FALSE)</f>
        <v>0</v>
      </c>
      <c r="T190" s="737" t="str">
        <f t="shared" si="56"/>
        <v>0.0%</v>
      </c>
      <c r="U190" s="2" t="str">
        <f t="shared" si="47"/>
        <v/>
      </c>
      <c r="V190" s="2" t="str">
        <f t="shared" si="48"/>
        <v/>
      </c>
      <c r="W190" s="2" t="str">
        <f t="shared" si="49"/>
        <v/>
      </c>
      <c r="X190" s="2">
        <f t="shared" si="45"/>
        <v>0</v>
      </c>
      <c r="Y190" s="2" t="str">
        <f t="shared" si="50"/>
        <v/>
      </c>
      <c r="Z190" s="2" t="str">
        <f t="shared" si="51"/>
        <v/>
      </c>
      <c r="AA190" s="2" t="str">
        <f t="shared" si="52"/>
        <v/>
      </c>
      <c r="AB190" s="2">
        <f t="shared" si="46"/>
        <v>0</v>
      </c>
      <c r="AC190" s="759">
        <v>0</v>
      </c>
      <c r="AD190" s="741">
        <v>0</v>
      </c>
      <c r="AE190" s="741">
        <v>0</v>
      </c>
      <c r="AF190" s="741">
        <v>0</v>
      </c>
      <c r="AG190" s="741">
        <v>0</v>
      </c>
      <c r="AH190" s="741">
        <v>0</v>
      </c>
      <c r="AI190" s="741">
        <v>0</v>
      </c>
      <c r="AJ190" s="741">
        <v>0</v>
      </c>
      <c r="AK190" s="741">
        <v>0</v>
      </c>
      <c r="AL190" s="741">
        <v>0</v>
      </c>
      <c r="AM190" s="741">
        <v>0</v>
      </c>
      <c r="AN190" s="741">
        <v>0</v>
      </c>
      <c r="AO190" s="741">
        <v>0</v>
      </c>
      <c r="AP190" s="41" t="str">
        <f t="shared" si="42"/>
        <v>GLR</v>
      </c>
      <c r="AQ190" s="41" t="str">
        <f t="shared" si="43"/>
        <v>GLRR70</v>
      </c>
      <c r="AR190" s="41" t="str">
        <f t="shared" si="44"/>
        <v>R70</v>
      </c>
    </row>
    <row r="191" spans="1:44" s="41" customFormat="1" ht="12.75" customHeight="1">
      <c r="A191" s="25" t="s">
        <v>17</v>
      </c>
      <c r="B191" s="25" t="str">
        <f t="shared" si="54"/>
        <v>GL165110</v>
      </c>
      <c r="C191" s="638">
        <v>165110</v>
      </c>
      <c r="D191" s="735"/>
      <c r="F191" s="1" t="s">
        <v>194</v>
      </c>
      <c r="H191" s="736" t="s">
        <v>2535</v>
      </c>
      <c r="I191" s="25"/>
      <c r="J191" s="25"/>
      <c r="K191" s="442" t="str">
        <f t="shared" si="53"/>
        <v/>
      </c>
      <c r="L191" s="736" t="s">
        <v>2458</v>
      </c>
      <c r="M191" s="25" t="str">
        <f t="shared" si="55"/>
        <v>R</v>
      </c>
      <c r="N191" s="25" t="str">
        <f>IF(L191&lt;&gt;"",VLOOKUP(L191,Categories!$B$2:$D$41,2,FALSE),IF(F191&lt;&gt;"","No Cat",""))</f>
        <v>Rate Base</v>
      </c>
      <c r="O191" s="25" t="str">
        <f>IF($L191&lt;&gt;"",VLOOKUP($L191,Categories!$B$2:$D$41,3,FALSE),IF($F191&lt;&gt;"","No Cat",""))</f>
        <v>Working Capital - Prepayment</v>
      </c>
      <c r="P191" s="736" t="s">
        <v>2488</v>
      </c>
      <c r="Q191" s="25" t="str">
        <f>VLOOKUP($P191,Allocators!$B$7:$F$19,5,FALSE)</f>
        <v>Property Tax</v>
      </c>
      <c r="R191" s="737">
        <f>VLOOKUP($P191,Allocators!$B$7:$F$19,2,FALSE)</f>
        <v>0.73270000000000002</v>
      </c>
      <c r="S191" s="737">
        <f>VLOOKUP($P191,Allocators!$B$7:$F$19,3,FALSE)</f>
        <v>0.26729999999999998</v>
      </c>
      <c r="T191" s="737" t="str">
        <f t="shared" si="56"/>
        <v>0.0%</v>
      </c>
      <c r="U191" s="2">
        <f t="shared" si="47"/>
        <v>23601.406248669598</v>
      </c>
      <c r="V191" s="2">
        <f t="shared" si="48"/>
        <v>8610.1486150803703</v>
      </c>
      <c r="W191" s="2">
        <f t="shared" si="49"/>
        <v>0</v>
      </c>
      <c r="X191" s="2">
        <f t="shared" si="45"/>
        <v>32211.55486375</v>
      </c>
      <c r="Y191" s="2">
        <f t="shared" si="50"/>
        <v>20461.375049119</v>
      </c>
      <c r="Z191" s="2">
        <f t="shared" si="51"/>
        <v>7464.6179208809999</v>
      </c>
      <c r="AA191" s="2">
        <f t="shared" si="52"/>
        <v>0</v>
      </c>
      <c r="AB191" s="2">
        <f t="shared" si="46"/>
        <v>27925.992969999999</v>
      </c>
      <c r="AC191" s="759">
        <v>26513.742100000003</v>
      </c>
      <c r="AD191" s="741">
        <v>44289.112829999998</v>
      </c>
      <c r="AE191" s="741">
        <v>37859.411780000002</v>
      </c>
      <c r="AF191" s="741">
        <v>31418.133620000001</v>
      </c>
      <c r="AG191" s="741">
        <v>24966.694050000002</v>
      </c>
      <c r="AH191" s="741">
        <v>18555.200260000001</v>
      </c>
      <c r="AI191" s="741">
        <v>12810.297410000001</v>
      </c>
      <c r="AJ191" s="741">
        <v>35148.699110000001</v>
      </c>
      <c r="AK191" s="741">
        <v>30850.629209999999</v>
      </c>
      <c r="AL191" s="741">
        <v>47494.22939</v>
      </c>
      <c r="AM191" s="741">
        <v>41308.925510000001</v>
      </c>
      <c r="AN191" s="741">
        <v>34617.45766</v>
      </c>
      <c r="AO191" s="741">
        <v>27925.992969999999</v>
      </c>
      <c r="AP191" s="41" t="str">
        <f t="shared" si="42"/>
        <v>GLR</v>
      </c>
      <c r="AQ191" s="41" t="str">
        <f t="shared" si="43"/>
        <v>GLRR7Prepaid Property Taxes</v>
      </c>
      <c r="AR191" s="41" t="str">
        <f t="shared" si="44"/>
        <v>R7Prepaid Property Taxes</v>
      </c>
    </row>
    <row r="192" spans="1:44" s="41" customFormat="1" ht="12.75" customHeight="1">
      <c r="A192" s="25" t="s">
        <v>17</v>
      </c>
      <c r="B192" s="25" t="str">
        <f t="shared" si="54"/>
        <v>GL165120</v>
      </c>
      <c r="C192" s="638">
        <v>165120</v>
      </c>
      <c r="D192" s="735"/>
      <c r="F192" s="1" t="s">
        <v>195</v>
      </c>
      <c r="H192" s="736">
        <v>0</v>
      </c>
      <c r="I192" s="25"/>
      <c r="J192" s="25"/>
      <c r="K192" s="442" t="str">
        <f t="shared" si="53"/>
        <v/>
      </c>
      <c r="L192" s="736" t="s">
        <v>2458</v>
      </c>
      <c r="M192" s="25" t="str">
        <f t="shared" si="55"/>
        <v>R</v>
      </c>
      <c r="N192" s="25" t="str">
        <f>IF(L192&lt;&gt;"",VLOOKUP(L192,Categories!$B$2:$D$41,2,FALSE),IF(F192&lt;&gt;"","No Cat",""))</f>
        <v>Rate Base</v>
      </c>
      <c r="O192" s="25" t="str">
        <f>IF($L192&lt;&gt;"",VLOOKUP($L192,Categories!$B$2:$D$41,3,FALSE),IF($F192&lt;&gt;"","No Cat",""))</f>
        <v>Working Capital - Prepayment</v>
      </c>
      <c r="P192" s="736" t="s">
        <v>2488</v>
      </c>
      <c r="Q192" s="25" t="str">
        <f>VLOOKUP($P192,Allocators!$B$7:$F$19,5,FALSE)</f>
        <v>Property Tax</v>
      </c>
      <c r="R192" s="737">
        <f>VLOOKUP($P192,Allocators!$B$7:$F$19,2,FALSE)</f>
        <v>0.73270000000000002</v>
      </c>
      <c r="S192" s="737">
        <f>VLOOKUP($P192,Allocators!$B$7:$F$19,3,FALSE)</f>
        <v>0.26729999999999998</v>
      </c>
      <c r="T192" s="737" t="str">
        <f t="shared" si="56"/>
        <v>0.0%</v>
      </c>
      <c r="U192" s="2" t="str">
        <f t="shared" si="47"/>
        <v/>
      </c>
      <c r="V192" s="2" t="str">
        <f t="shared" si="48"/>
        <v/>
      </c>
      <c r="W192" s="2" t="str">
        <f t="shared" si="49"/>
        <v/>
      </c>
      <c r="X192" s="2">
        <f t="shared" si="45"/>
        <v>0</v>
      </c>
      <c r="Y192" s="2" t="str">
        <f t="shared" si="50"/>
        <v/>
      </c>
      <c r="Z192" s="2" t="str">
        <f t="shared" si="51"/>
        <v/>
      </c>
      <c r="AA192" s="2" t="str">
        <f t="shared" si="52"/>
        <v/>
      </c>
      <c r="AB192" s="2">
        <f t="shared" si="46"/>
        <v>0</v>
      </c>
      <c r="AC192" s="759">
        <v>0</v>
      </c>
      <c r="AD192" s="741">
        <v>0</v>
      </c>
      <c r="AE192" s="741">
        <v>0</v>
      </c>
      <c r="AF192" s="741">
        <v>0</v>
      </c>
      <c r="AG192" s="741">
        <v>0</v>
      </c>
      <c r="AH192" s="741">
        <v>0</v>
      </c>
      <c r="AI192" s="741">
        <v>0</v>
      </c>
      <c r="AJ192" s="741">
        <v>0</v>
      </c>
      <c r="AK192" s="741">
        <v>0</v>
      </c>
      <c r="AL192" s="741">
        <v>0</v>
      </c>
      <c r="AM192" s="741">
        <v>0</v>
      </c>
      <c r="AN192" s="741">
        <v>0</v>
      </c>
      <c r="AO192" s="741">
        <v>0</v>
      </c>
      <c r="AP192" s="41" t="str">
        <f t="shared" si="42"/>
        <v>GLR</v>
      </c>
      <c r="AQ192" s="41" t="str">
        <f t="shared" si="43"/>
        <v>GLRR70</v>
      </c>
      <c r="AR192" s="41" t="str">
        <f t="shared" si="44"/>
        <v>R70</v>
      </c>
    </row>
    <row r="193" spans="1:96" s="41" customFormat="1" ht="12.75" customHeight="1">
      <c r="A193" s="25" t="s">
        <v>17</v>
      </c>
      <c r="B193" s="25" t="str">
        <f t="shared" si="54"/>
        <v>GL165170</v>
      </c>
      <c r="C193" s="638">
        <v>165170</v>
      </c>
      <c r="D193" s="735"/>
      <c r="F193" s="1" t="s">
        <v>196</v>
      </c>
      <c r="H193" s="736">
        <v>0</v>
      </c>
      <c r="I193" s="25"/>
      <c r="J193" s="25"/>
      <c r="K193" s="442" t="str">
        <f t="shared" si="53"/>
        <v/>
      </c>
      <c r="L193" s="736" t="s">
        <v>2458</v>
      </c>
      <c r="M193" s="25" t="str">
        <f t="shared" si="55"/>
        <v>R</v>
      </c>
      <c r="N193" s="25" t="str">
        <f>IF(L193&lt;&gt;"",VLOOKUP(L193,Categories!$B$2:$D$41,2,FALSE),IF(F193&lt;&gt;"","No Cat",""))</f>
        <v>Rate Base</v>
      </c>
      <c r="O193" s="25" t="str">
        <f>IF($L193&lt;&gt;"",VLOOKUP($L193,Categories!$B$2:$D$41,3,FALSE),IF($F193&lt;&gt;"","No Cat",""))</f>
        <v>Working Capital - Prepayment</v>
      </c>
      <c r="P193" s="736" t="s">
        <v>2486</v>
      </c>
      <c r="Q193" s="25" t="str">
        <f>VLOOKUP($P193,Allocators!$B$7:$F$19,5,FALSE)</f>
        <v>Net Plant</v>
      </c>
      <c r="R193" s="737">
        <f>VLOOKUP($P193,Allocators!$B$7:$F$19,2,FALSE)</f>
        <v>0.74150000000000005</v>
      </c>
      <c r="S193" s="737">
        <f>VLOOKUP($P193,Allocators!$B$7:$F$19,3,FALSE)</f>
        <v>0.25850000000000001</v>
      </c>
      <c r="T193" s="737" t="str">
        <f t="shared" si="56"/>
        <v>0.0%</v>
      </c>
      <c r="U193" s="2" t="str">
        <f t="shared" si="47"/>
        <v/>
      </c>
      <c r="V193" s="2" t="str">
        <f t="shared" si="48"/>
        <v/>
      </c>
      <c r="W193" s="2" t="str">
        <f t="shared" si="49"/>
        <v/>
      </c>
      <c r="X193" s="2">
        <f t="shared" si="45"/>
        <v>0</v>
      </c>
      <c r="Y193" s="2" t="str">
        <f t="shared" si="50"/>
        <v/>
      </c>
      <c r="Z193" s="2" t="str">
        <f t="shared" si="51"/>
        <v/>
      </c>
      <c r="AA193" s="2" t="str">
        <f t="shared" si="52"/>
        <v/>
      </c>
      <c r="AB193" s="2">
        <f t="shared" si="46"/>
        <v>0</v>
      </c>
      <c r="AC193" s="759">
        <v>0</v>
      </c>
      <c r="AD193" s="741">
        <v>0</v>
      </c>
      <c r="AE193" s="741">
        <v>0</v>
      </c>
      <c r="AF193" s="741">
        <v>0</v>
      </c>
      <c r="AG193" s="741">
        <v>0</v>
      </c>
      <c r="AH193" s="741">
        <v>0</v>
      </c>
      <c r="AI193" s="741">
        <v>0</v>
      </c>
      <c r="AJ193" s="741">
        <v>0</v>
      </c>
      <c r="AK193" s="741">
        <v>0</v>
      </c>
      <c r="AL193" s="741">
        <v>0</v>
      </c>
      <c r="AM193" s="741">
        <v>0</v>
      </c>
      <c r="AN193" s="741">
        <v>0</v>
      </c>
      <c r="AO193" s="741">
        <v>0</v>
      </c>
      <c r="AP193" s="41" t="str">
        <f t="shared" si="42"/>
        <v>GLR</v>
      </c>
      <c r="AQ193" s="41" t="str">
        <f t="shared" si="43"/>
        <v>GLRR70</v>
      </c>
      <c r="AR193" s="41" t="str">
        <f t="shared" si="44"/>
        <v>R70</v>
      </c>
    </row>
    <row r="194" spans="1:96" s="41" customFormat="1" ht="12.75" customHeight="1">
      <c r="A194" s="25" t="s">
        <v>17</v>
      </c>
      <c r="B194" s="25" t="str">
        <f t="shared" si="54"/>
        <v>GL165290</v>
      </c>
      <c r="C194" s="638">
        <v>165290</v>
      </c>
      <c r="D194" s="735"/>
      <c r="F194" s="1" t="s">
        <v>197</v>
      </c>
      <c r="H194" s="736" t="s">
        <v>817</v>
      </c>
      <c r="I194" s="25"/>
      <c r="J194" s="25"/>
      <c r="K194" s="442" t="str">
        <f t="shared" si="53"/>
        <v/>
      </c>
      <c r="L194" s="736" t="s">
        <v>2458</v>
      </c>
      <c r="M194" s="25" t="str">
        <f t="shared" si="55"/>
        <v>R</v>
      </c>
      <c r="N194" s="25" t="str">
        <f>IF(L194&lt;&gt;"",VLOOKUP(L194,Categories!$B$2:$D$41,2,FALSE),IF(F194&lt;&gt;"","No Cat",""))</f>
        <v>Rate Base</v>
      </c>
      <c r="O194" s="25" t="str">
        <f>IF($L194&lt;&gt;"",VLOOKUP($L194,Categories!$B$2:$D$41,3,FALSE),IF($F194&lt;&gt;"","No Cat",""))</f>
        <v>Working Capital - Prepayment</v>
      </c>
      <c r="P194" s="736" t="s">
        <v>2489</v>
      </c>
      <c r="Q194" s="25" t="str">
        <f>VLOOKUP($P194,Allocators!$B$7:$F$19,5,FALSE)</f>
        <v>PSC Assessment</v>
      </c>
      <c r="R194" s="737">
        <f>VLOOKUP($P194,Allocators!$B$7:$F$19,2,FALSE)</f>
        <v>0.63460000000000005</v>
      </c>
      <c r="S194" s="737">
        <f>VLOOKUP($P194,Allocators!$B$7:$F$19,3,FALSE)</f>
        <v>0.3654</v>
      </c>
      <c r="T194" s="737" t="str">
        <f t="shared" si="56"/>
        <v>0.0%</v>
      </c>
      <c r="U194" s="2">
        <f t="shared" si="47"/>
        <v>4259.0698681836702</v>
      </c>
      <c r="V194" s="2">
        <f t="shared" si="48"/>
        <v>2452.3544434830001</v>
      </c>
      <c r="W194" s="2">
        <f t="shared" si="49"/>
        <v>0</v>
      </c>
      <c r="X194" s="2">
        <f t="shared" si="45"/>
        <v>6711.4243116666703</v>
      </c>
      <c r="Y194" s="2">
        <f t="shared" si="50"/>
        <v>3489.1519641780001</v>
      </c>
      <c r="Z194" s="2">
        <f t="shared" si="51"/>
        <v>2009.0389658219999</v>
      </c>
      <c r="AA194" s="2">
        <f t="shared" si="52"/>
        <v>0</v>
      </c>
      <c r="AB194" s="2">
        <f t="shared" si="46"/>
        <v>5498.1909299999998</v>
      </c>
      <c r="AC194" s="759">
        <v>6025.7559499999998</v>
      </c>
      <c r="AD194" s="741">
        <v>4017.1706300000001</v>
      </c>
      <c r="AE194" s="741">
        <v>2008.5853100000002</v>
      </c>
      <c r="AF194" s="741">
        <v>12104.810310000001</v>
      </c>
      <c r="AG194" s="741">
        <v>10087.341920000001</v>
      </c>
      <c r="AH194" s="741">
        <v>8069.8735299999998</v>
      </c>
      <c r="AI194" s="741">
        <v>6052.4051399999998</v>
      </c>
      <c r="AJ194" s="741">
        <v>4034.9367499999998</v>
      </c>
      <c r="AK194" s="741">
        <v>2017.4683600000001</v>
      </c>
      <c r="AL194" s="741">
        <v>9887.9535299999989</v>
      </c>
      <c r="AM194" s="741">
        <v>9163.65157</v>
      </c>
      <c r="AN194" s="741">
        <v>7330.9212500000003</v>
      </c>
      <c r="AO194" s="741">
        <v>5498.1909299999998</v>
      </c>
      <c r="AP194" s="41" t="str">
        <f t="shared" si="42"/>
        <v>GLR</v>
      </c>
      <c r="AQ194" s="41" t="str">
        <f t="shared" si="43"/>
        <v>GLRR7PSC Assessment</v>
      </c>
      <c r="AR194" s="41" t="str">
        <f t="shared" si="44"/>
        <v>R7PSC Assessment</v>
      </c>
    </row>
    <row r="195" spans="1:96" s="41" customFormat="1" ht="12.75" customHeight="1">
      <c r="A195" s="25" t="s">
        <v>17</v>
      </c>
      <c r="B195" s="25" t="str">
        <f t="shared" si="54"/>
        <v>GL171000</v>
      </c>
      <c r="C195" s="638">
        <v>171000</v>
      </c>
      <c r="D195" s="735"/>
      <c r="F195" s="1" t="s">
        <v>198</v>
      </c>
      <c r="H195" s="736">
        <v>0</v>
      </c>
      <c r="I195" s="25"/>
      <c r="J195" s="25"/>
      <c r="K195" s="442" t="str">
        <f t="shared" si="53"/>
        <v/>
      </c>
      <c r="L195" s="736" t="s">
        <v>2393</v>
      </c>
      <c r="M195" s="25" t="str">
        <f t="shared" si="55"/>
        <v>A</v>
      </c>
      <c r="N195" s="25" t="str">
        <f>IF(L195&lt;&gt;"",VLOOKUP(L195,Categories!$B$2:$D$41,2,FALSE),IF(F195&lt;&gt;"","No Cat",""))</f>
        <v>All Other</v>
      </c>
      <c r="O195" s="25" t="str">
        <f>IF($L195&lt;&gt;"",VLOOKUP($L195,Categories!$B$2:$D$41,3,FALSE),IF($F195&lt;&gt;"","No Cat",""))</f>
        <v>EB-Cap</v>
      </c>
      <c r="P195" s="736" t="s">
        <v>2490</v>
      </c>
      <c r="Q195" s="25" t="str">
        <f>VLOOKUP($P195,Allocators!$B$7:$F$19,5,FALSE)</f>
        <v>Rate Base</v>
      </c>
      <c r="R195" s="737">
        <f>VLOOKUP($P195,Allocators!$B$7:$F$19,2,FALSE)</f>
        <v>0.70940000000000003</v>
      </c>
      <c r="S195" s="737">
        <f>VLOOKUP($P195,Allocators!$B$7:$F$19,3,FALSE)</f>
        <v>0.29060000000000002</v>
      </c>
      <c r="T195" s="737" t="str">
        <f t="shared" si="56"/>
        <v>0.0%</v>
      </c>
      <c r="U195" s="2">
        <f t="shared" si="47"/>
        <v>7.7225479085000002</v>
      </c>
      <c r="V195" s="2">
        <f t="shared" si="48"/>
        <v>3.1634795914999998</v>
      </c>
      <c r="W195" s="2">
        <f t="shared" si="49"/>
        <v>0</v>
      </c>
      <c r="X195" s="2">
        <f t="shared" si="45"/>
        <v>10.886027500000001</v>
      </c>
      <c r="Y195" s="2" t="str">
        <f t="shared" si="50"/>
        <v/>
      </c>
      <c r="Z195" s="2" t="str">
        <f t="shared" si="51"/>
        <v/>
      </c>
      <c r="AA195" s="2" t="str">
        <f t="shared" si="52"/>
        <v/>
      </c>
      <c r="AB195" s="2">
        <f t="shared" si="46"/>
        <v>0</v>
      </c>
      <c r="AC195" s="759">
        <v>20.083400000000001</v>
      </c>
      <c r="AD195" s="741">
        <v>20.08858</v>
      </c>
      <c r="AE195" s="741">
        <v>20.093259999999997</v>
      </c>
      <c r="AF195" s="741">
        <v>20.09844</v>
      </c>
      <c r="AG195" s="741">
        <v>20.103450000000002</v>
      </c>
      <c r="AH195" s="741">
        <v>20.103450000000002</v>
      </c>
      <c r="AI195" s="741">
        <v>20.103450000000002</v>
      </c>
      <c r="AJ195" s="741">
        <v>0</v>
      </c>
      <c r="AK195" s="741">
        <v>0</v>
      </c>
      <c r="AL195" s="741">
        <v>0</v>
      </c>
      <c r="AM195" s="741">
        <v>0</v>
      </c>
      <c r="AN195" s="741">
        <v>0</v>
      </c>
      <c r="AO195" s="741">
        <v>0</v>
      </c>
      <c r="AP195" s="41" t="str">
        <f t="shared" si="42"/>
        <v>GLA</v>
      </c>
      <c r="AQ195" s="41" t="str">
        <f t="shared" si="43"/>
        <v>GLAA20</v>
      </c>
      <c r="AR195" s="41" t="str">
        <f t="shared" si="44"/>
        <v>A20</v>
      </c>
      <c r="CR195" s="625"/>
    </row>
    <row r="196" spans="1:96" s="41" customFormat="1" ht="12.75" customHeight="1">
      <c r="A196" s="25" t="s">
        <v>17</v>
      </c>
      <c r="B196" s="25" t="str">
        <f t="shared" si="54"/>
        <v>GL171099</v>
      </c>
      <c r="C196" s="812">
        <v>171099</v>
      </c>
      <c r="D196" s="735"/>
      <c r="F196" s="813" t="s">
        <v>199</v>
      </c>
      <c r="H196" s="736">
        <v>0</v>
      </c>
      <c r="I196" s="25"/>
      <c r="J196" s="25"/>
      <c r="K196" s="442" t="str">
        <f t="shared" si="53"/>
        <v/>
      </c>
      <c r="L196" s="736" t="s">
        <v>2393</v>
      </c>
      <c r="M196" s="25" t="str">
        <f t="shared" si="55"/>
        <v>A</v>
      </c>
      <c r="N196" s="25" t="str">
        <f>IF(L196&lt;&gt;"",VLOOKUP(L196,Categories!$B$2:$D$41,2,FALSE),IF(F196&lt;&gt;"","No Cat",""))</f>
        <v>All Other</v>
      </c>
      <c r="O196" s="25" t="str">
        <f>IF($L196&lt;&gt;"",VLOOKUP($L196,Categories!$B$2:$D$41,3,FALSE),IF($F196&lt;&gt;"","No Cat",""))</f>
        <v>EB-Cap</v>
      </c>
      <c r="P196" s="736" t="s">
        <v>2490</v>
      </c>
      <c r="Q196" s="25" t="str">
        <f>VLOOKUP($P196,Allocators!$B$7:$F$19,5,FALSE)</f>
        <v>Rate Base</v>
      </c>
      <c r="R196" s="737">
        <f>VLOOKUP($P196,Allocators!$B$7:$F$19,2,FALSE)</f>
        <v>0.70940000000000003</v>
      </c>
      <c r="S196" s="737">
        <f>VLOOKUP($P196,Allocators!$B$7:$F$19,3,FALSE)</f>
        <v>0.29060000000000002</v>
      </c>
      <c r="T196" s="737" t="str">
        <f t="shared" si="56"/>
        <v>0.0%</v>
      </c>
      <c r="U196" s="2">
        <f t="shared" si="47"/>
        <v>5.7139805333334001E-2</v>
      </c>
      <c r="V196" s="2">
        <f t="shared" si="48"/>
        <v>2.3406861333333001E-2</v>
      </c>
      <c r="W196" s="2">
        <f t="shared" si="49"/>
        <v>0</v>
      </c>
      <c r="X196" s="2">
        <f t="shared" si="45"/>
        <v>8.0546666666667002E-2</v>
      </c>
      <c r="Y196" s="2" t="str">
        <f t="shared" si="50"/>
        <v/>
      </c>
      <c r="Z196" s="2" t="str">
        <f t="shared" si="51"/>
        <v/>
      </c>
      <c r="AA196" s="2" t="str">
        <f t="shared" si="52"/>
        <v/>
      </c>
      <c r="AB196" s="2">
        <f t="shared" si="46"/>
        <v>0</v>
      </c>
      <c r="AC196" s="759">
        <v>0</v>
      </c>
      <c r="AD196" s="741">
        <v>0.26732999999999996</v>
      </c>
      <c r="AE196" s="741">
        <v>0</v>
      </c>
      <c r="AF196" s="741">
        <v>0</v>
      </c>
      <c r="AG196" s="741">
        <v>0.60865999999999998</v>
      </c>
      <c r="AH196" s="741">
        <v>6.9459999999999994E-2</v>
      </c>
      <c r="AI196" s="741">
        <v>2.111E-2</v>
      </c>
      <c r="AJ196" s="741">
        <v>0</v>
      </c>
      <c r="AK196" s="741">
        <v>0</v>
      </c>
      <c r="AL196" s="741">
        <v>0</v>
      </c>
      <c r="AM196" s="741">
        <v>0</v>
      </c>
      <c r="AN196" s="741">
        <v>0</v>
      </c>
      <c r="AO196" s="741">
        <v>0</v>
      </c>
      <c r="AP196" s="41" t="str">
        <f t="shared" si="42"/>
        <v>GLA</v>
      </c>
      <c r="AQ196" s="41" t="str">
        <f t="shared" si="43"/>
        <v>GLAA20</v>
      </c>
      <c r="AR196" s="41" t="str">
        <f t="shared" si="44"/>
        <v>A20</v>
      </c>
      <c r="CR196" s="625"/>
    </row>
    <row r="197" spans="1:96" s="41" customFormat="1" ht="12.75" customHeight="1">
      <c r="A197" s="25" t="s">
        <v>17</v>
      </c>
      <c r="B197" s="25" t="str">
        <f t="shared" si="54"/>
        <v>GL172000</v>
      </c>
      <c r="C197" s="638">
        <v>172000</v>
      </c>
      <c r="D197" s="735"/>
      <c r="F197" s="1" t="s">
        <v>200</v>
      </c>
      <c r="H197" s="736">
        <v>0</v>
      </c>
      <c r="I197" s="25"/>
      <c r="J197" s="25"/>
      <c r="K197" s="442" t="str">
        <f t="shared" si="53"/>
        <v/>
      </c>
      <c r="L197" s="736" t="s">
        <v>2393</v>
      </c>
      <c r="M197" s="25" t="str">
        <f t="shared" si="55"/>
        <v>A</v>
      </c>
      <c r="N197" s="25" t="str">
        <f>IF(L197&lt;&gt;"",VLOOKUP(L197,Categories!$B$2:$D$41,2,FALSE),IF(F197&lt;&gt;"","No Cat",""))</f>
        <v>All Other</v>
      </c>
      <c r="O197" s="25" t="str">
        <f>IF($L197&lt;&gt;"",VLOOKUP($L197,Categories!$B$2:$D$41,3,FALSE),IF($F197&lt;&gt;"","No Cat",""))</f>
        <v>EB-Cap</v>
      </c>
      <c r="P197" s="736" t="s">
        <v>2490</v>
      </c>
      <c r="Q197" s="25" t="str">
        <f>VLOOKUP($P197,Allocators!$B$7:$F$19,5,FALSE)</f>
        <v>Rate Base</v>
      </c>
      <c r="R197" s="737">
        <f>VLOOKUP($P197,Allocators!$B$7:$F$19,2,FALSE)</f>
        <v>0.70940000000000003</v>
      </c>
      <c r="S197" s="737">
        <f>VLOOKUP($P197,Allocators!$B$7:$F$19,3,FALSE)</f>
        <v>0.29060000000000002</v>
      </c>
      <c r="T197" s="737" t="str">
        <f t="shared" si="56"/>
        <v>0.0%</v>
      </c>
      <c r="U197" s="2" t="str">
        <f t="shared" si="47"/>
        <v/>
      </c>
      <c r="V197" s="2" t="str">
        <f t="shared" si="48"/>
        <v/>
      </c>
      <c r="W197" s="2" t="str">
        <f t="shared" si="49"/>
        <v/>
      </c>
      <c r="X197" s="2">
        <f t="shared" si="45"/>
        <v>0</v>
      </c>
      <c r="Y197" s="2" t="str">
        <f t="shared" si="50"/>
        <v/>
      </c>
      <c r="Z197" s="2" t="str">
        <f t="shared" si="51"/>
        <v/>
      </c>
      <c r="AA197" s="2" t="str">
        <f t="shared" si="52"/>
        <v/>
      </c>
      <c r="AB197" s="2">
        <f t="shared" si="46"/>
        <v>0</v>
      </c>
      <c r="AC197" s="759">
        <v>0</v>
      </c>
      <c r="AD197" s="741">
        <v>0</v>
      </c>
      <c r="AE197" s="741">
        <v>0</v>
      </c>
      <c r="AF197" s="741">
        <v>0</v>
      </c>
      <c r="AG197" s="741">
        <v>0</v>
      </c>
      <c r="AH197" s="741">
        <v>0</v>
      </c>
      <c r="AI197" s="741">
        <v>0</v>
      </c>
      <c r="AJ197" s="741">
        <v>0</v>
      </c>
      <c r="AK197" s="741">
        <v>0</v>
      </c>
      <c r="AL197" s="741">
        <v>0</v>
      </c>
      <c r="AM197" s="741">
        <v>0</v>
      </c>
      <c r="AN197" s="741">
        <v>0</v>
      </c>
      <c r="AO197" s="741">
        <v>0</v>
      </c>
      <c r="AP197" s="41" t="str">
        <f t="shared" si="42"/>
        <v>GLA</v>
      </c>
      <c r="AQ197" s="41" t="str">
        <f t="shared" si="43"/>
        <v>GLAA20</v>
      </c>
      <c r="AR197" s="41" t="str">
        <f t="shared" si="44"/>
        <v>A20</v>
      </c>
      <c r="CR197" s="625"/>
    </row>
    <row r="198" spans="1:96" s="41" customFormat="1" ht="12.75" customHeight="1">
      <c r="A198" s="25" t="s">
        <v>17</v>
      </c>
      <c r="B198" s="25" t="str">
        <f t="shared" si="54"/>
        <v>GL173100</v>
      </c>
      <c r="C198" s="638">
        <v>173100</v>
      </c>
      <c r="D198" s="735"/>
      <c r="F198" s="1" t="s">
        <v>201</v>
      </c>
      <c r="H198" s="736" t="s">
        <v>2563</v>
      </c>
      <c r="I198" s="25"/>
      <c r="J198" s="25"/>
      <c r="K198" s="442" t="str">
        <f t="shared" si="53"/>
        <v/>
      </c>
      <c r="L198" s="736" t="s">
        <v>2393</v>
      </c>
      <c r="M198" s="25" t="str">
        <f t="shared" si="55"/>
        <v>A</v>
      </c>
      <c r="N198" s="25" t="str">
        <f>IF(L198&lt;&gt;"",VLOOKUP(L198,Categories!$B$2:$D$41,2,FALSE),IF(F198&lt;&gt;"","No Cat",""))</f>
        <v>All Other</v>
      </c>
      <c r="O198" s="25" t="str">
        <f>IF($L198&lt;&gt;"",VLOOKUP($L198,Categories!$B$2:$D$41,3,FALSE),IF($F198&lt;&gt;"","No Cat",""))</f>
        <v>EB-Cap</v>
      </c>
      <c r="P198" s="736" t="s">
        <v>2490</v>
      </c>
      <c r="Q198" s="25" t="str">
        <f>VLOOKUP($P198,Allocators!$B$7:$F$19,5,FALSE)</f>
        <v>Rate Base</v>
      </c>
      <c r="R198" s="737">
        <f>VLOOKUP($P198,Allocators!$B$7:$F$19,2,FALSE)</f>
        <v>0.70940000000000003</v>
      </c>
      <c r="S198" s="737">
        <f>VLOOKUP($P198,Allocators!$B$7:$F$19,3,FALSE)</f>
        <v>0.29060000000000002</v>
      </c>
      <c r="T198" s="737" t="str">
        <f t="shared" si="56"/>
        <v>0.0%</v>
      </c>
      <c r="U198" s="2">
        <f t="shared" si="47"/>
        <v>15484.633913864</v>
      </c>
      <c r="V198" s="2">
        <f t="shared" si="48"/>
        <v>6343.1556461359996</v>
      </c>
      <c r="W198" s="2">
        <f t="shared" si="49"/>
        <v>0</v>
      </c>
      <c r="X198" s="2">
        <f t="shared" si="45"/>
        <v>21827.789560000001</v>
      </c>
      <c r="Y198" s="2">
        <f t="shared" si="50"/>
        <v>20755.489151268001</v>
      </c>
      <c r="Z198" s="2">
        <f t="shared" si="51"/>
        <v>8502.3190687320002</v>
      </c>
      <c r="AA198" s="2">
        <f t="shared" si="52"/>
        <v>0</v>
      </c>
      <c r="AB198" s="2">
        <f t="shared" si="46"/>
        <v>29257.808219999999</v>
      </c>
      <c r="AC198" s="759">
        <v>21884.714260000001</v>
      </c>
      <c r="AD198" s="741">
        <v>27094.590840000001</v>
      </c>
      <c r="AE198" s="741">
        <v>20624.194489999998</v>
      </c>
      <c r="AF198" s="741">
        <v>20305.536190000003</v>
      </c>
      <c r="AG198" s="741">
        <v>15342.14696</v>
      </c>
      <c r="AH198" s="741">
        <v>23064.607350000002</v>
      </c>
      <c r="AI198" s="741">
        <v>21074.553809999998</v>
      </c>
      <c r="AJ198" s="741">
        <v>23641.018680000001</v>
      </c>
      <c r="AK198" s="741">
        <v>22777.011329999998</v>
      </c>
      <c r="AL198" s="741">
        <v>21649.634449999998</v>
      </c>
      <c r="AM198" s="741">
        <v>19331.586199999998</v>
      </c>
      <c r="AN198" s="741">
        <v>21457.333180000001</v>
      </c>
      <c r="AO198" s="741">
        <v>29257.808219999999</v>
      </c>
      <c r="AP198" s="41" t="str">
        <f t="shared" si="42"/>
        <v>GLA</v>
      </c>
      <c r="AQ198" s="41" t="str">
        <f t="shared" si="43"/>
        <v>GLAA2Unbilled Revenue</v>
      </c>
      <c r="AR198" s="41" t="str">
        <f t="shared" si="44"/>
        <v>A2Unbilled Revenue</v>
      </c>
      <c r="CR198" s="625"/>
    </row>
    <row r="199" spans="1:96" s="41" customFormat="1" ht="12.75" customHeight="1">
      <c r="A199" s="25" t="s">
        <v>17</v>
      </c>
      <c r="B199" s="25" t="str">
        <f t="shared" si="54"/>
        <v>GL173200</v>
      </c>
      <c r="C199" s="638">
        <v>173200</v>
      </c>
      <c r="D199" s="735"/>
      <c r="F199" s="1" t="s">
        <v>202</v>
      </c>
      <c r="H199" s="736" t="s">
        <v>2563</v>
      </c>
      <c r="I199" s="25"/>
      <c r="J199" s="25"/>
      <c r="K199" s="442" t="str">
        <f t="shared" si="53"/>
        <v/>
      </c>
      <c r="L199" s="736" t="s">
        <v>2393</v>
      </c>
      <c r="M199" s="25" t="str">
        <f t="shared" si="55"/>
        <v>A</v>
      </c>
      <c r="N199" s="25" t="str">
        <f>IF(L199&lt;&gt;"",VLOOKUP(L199,Categories!$B$2:$D$41,2,FALSE),IF(F199&lt;&gt;"","No Cat",""))</f>
        <v>All Other</v>
      </c>
      <c r="O199" s="25" t="str">
        <f>IF($L199&lt;&gt;"",VLOOKUP($L199,Categories!$B$2:$D$41,3,FALSE),IF($F199&lt;&gt;"","No Cat",""))</f>
        <v>EB-Cap</v>
      </c>
      <c r="P199" s="736" t="s">
        <v>2490</v>
      </c>
      <c r="Q199" s="25" t="str">
        <f>VLOOKUP($P199,Allocators!$B$7:$F$19,5,FALSE)</f>
        <v>Rate Base</v>
      </c>
      <c r="R199" s="737">
        <f>VLOOKUP($P199,Allocators!$B$7:$F$19,2,FALSE)</f>
        <v>0.70940000000000003</v>
      </c>
      <c r="S199" s="737">
        <f>VLOOKUP($P199,Allocators!$B$7:$F$19,3,FALSE)</f>
        <v>0.29060000000000002</v>
      </c>
      <c r="T199" s="737" t="str">
        <f t="shared" si="56"/>
        <v>0.0%</v>
      </c>
      <c r="U199" s="2">
        <f t="shared" si="47"/>
        <v>10920.5467545755</v>
      </c>
      <c r="V199" s="2">
        <f t="shared" si="48"/>
        <v>4473.5140779245003</v>
      </c>
      <c r="W199" s="2">
        <f t="shared" si="49"/>
        <v>0</v>
      </c>
      <c r="X199" s="2">
        <f t="shared" si="45"/>
        <v>15394.060832499999</v>
      </c>
      <c r="Y199" s="2">
        <f t="shared" si="50"/>
        <v>15253.92833662</v>
      </c>
      <c r="Z199" s="2">
        <f t="shared" si="51"/>
        <v>6248.6489633800002</v>
      </c>
      <c r="AA199" s="2">
        <f t="shared" si="52"/>
        <v>0</v>
      </c>
      <c r="AB199" s="2">
        <f t="shared" si="46"/>
        <v>21502.577300000001</v>
      </c>
      <c r="AC199" s="759">
        <v>24105.890019999999</v>
      </c>
      <c r="AD199" s="741">
        <v>32202.953859999998</v>
      </c>
      <c r="AE199" s="741">
        <v>29320.610059999999</v>
      </c>
      <c r="AF199" s="741">
        <v>27639.257249999999</v>
      </c>
      <c r="AG199" s="741">
        <v>18058.847149999998</v>
      </c>
      <c r="AH199" s="741">
        <v>10063.295029999999</v>
      </c>
      <c r="AI199" s="741">
        <v>6915.8284299999996</v>
      </c>
      <c r="AJ199" s="741">
        <v>6487.2027500000004</v>
      </c>
      <c r="AK199" s="741">
        <v>4598.8939199999995</v>
      </c>
      <c r="AL199" s="741">
        <v>4767.1189599999998</v>
      </c>
      <c r="AM199" s="741">
        <v>7186.8830499999995</v>
      </c>
      <c r="AN199" s="741">
        <v>14683.605869999999</v>
      </c>
      <c r="AO199" s="741">
        <v>21502.577300000001</v>
      </c>
      <c r="AP199" s="41" t="str">
        <f t="shared" ref="AP199:AP262" si="57">CONCATENATE(A199,M199)</f>
        <v>GLA</v>
      </c>
      <c r="AQ199" s="41" t="str">
        <f t="shared" ref="AQ199:AQ262" si="58">CONCATENATE(AP199,L199,H199)</f>
        <v>GLAA2Unbilled Revenue</v>
      </c>
      <c r="AR199" s="41" t="str">
        <f t="shared" ref="AR199:AR262" si="59">CONCATENATE(L199,H199,J199)</f>
        <v>A2Unbilled Revenue</v>
      </c>
      <c r="CR199" s="625"/>
    </row>
    <row r="200" spans="1:96" s="41" customFormat="1" ht="12.75" customHeight="1">
      <c r="A200" s="25" t="s">
        <v>17</v>
      </c>
      <c r="B200" s="25" t="str">
        <f t="shared" si="54"/>
        <v>GL174100</v>
      </c>
      <c r="C200" s="638">
        <v>174100</v>
      </c>
      <c r="D200" s="735"/>
      <c r="F200" s="1" t="s">
        <v>203</v>
      </c>
      <c r="H200" s="736">
        <v>0</v>
      </c>
      <c r="I200" s="25"/>
      <c r="J200" s="25"/>
      <c r="K200" s="442" t="str">
        <f t="shared" si="53"/>
        <v/>
      </c>
      <c r="L200" s="736" t="s">
        <v>2393</v>
      </c>
      <c r="M200" s="25" t="str">
        <f t="shared" si="55"/>
        <v>A</v>
      </c>
      <c r="N200" s="25" t="str">
        <f>IF(L200&lt;&gt;"",VLOOKUP(L200,Categories!$B$2:$D$41,2,FALSE),IF(F200&lt;&gt;"","No Cat",""))</f>
        <v>All Other</v>
      </c>
      <c r="O200" s="25" t="str">
        <f>IF($L200&lt;&gt;"",VLOOKUP($L200,Categories!$B$2:$D$41,3,FALSE),IF($F200&lt;&gt;"","No Cat",""))</f>
        <v>EB-Cap</v>
      </c>
      <c r="P200" s="736" t="s">
        <v>2490</v>
      </c>
      <c r="Q200" s="25" t="str">
        <f>VLOOKUP($P200,Allocators!$B$7:$F$19,5,FALSE)</f>
        <v>Rate Base</v>
      </c>
      <c r="R200" s="737">
        <f>VLOOKUP($P200,Allocators!$B$7:$F$19,2,FALSE)</f>
        <v>0.70940000000000003</v>
      </c>
      <c r="S200" s="737">
        <f>VLOOKUP($P200,Allocators!$B$7:$F$19,3,FALSE)</f>
        <v>0.29060000000000002</v>
      </c>
      <c r="T200" s="737" t="str">
        <f t="shared" si="56"/>
        <v>0.0%</v>
      </c>
      <c r="U200" s="2" t="str">
        <f t="shared" si="47"/>
        <v/>
      </c>
      <c r="V200" s="2" t="str">
        <f t="shared" si="48"/>
        <v/>
      </c>
      <c r="W200" s="2" t="str">
        <f t="shared" si="49"/>
        <v/>
      </c>
      <c r="X200" s="2">
        <f t="shared" ref="X200:X263" si="60">IF(ISERROR(ROUND((SUM(AC200:AO200)-((AC200+AO200))/2)/12,15)),"",ROUND((SUM(AC200:AO200)-((AC200+AO200))/2)/12,15))</f>
        <v>0</v>
      </c>
      <c r="Y200" s="2" t="str">
        <f t="shared" si="50"/>
        <v/>
      </c>
      <c r="Z200" s="2" t="str">
        <f t="shared" si="51"/>
        <v/>
      </c>
      <c r="AA200" s="2" t="str">
        <f t="shared" si="52"/>
        <v/>
      </c>
      <c r="AB200" s="2">
        <f t="shared" ref="AB200:AB263" si="61">IF(AO200="",0,+AO200)</f>
        <v>0</v>
      </c>
      <c r="AC200" s="759">
        <v>0</v>
      </c>
      <c r="AD200" s="741">
        <v>0</v>
      </c>
      <c r="AE200" s="741">
        <v>0</v>
      </c>
      <c r="AF200" s="741">
        <v>0</v>
      </c>
      <c r="AG200" s="741">
        <v>0</v>
      </c>
      <c r="AH200" s="741">
        <v>0</v>
      </c>
      <c r="AI200" s="741">
        <v>0</v>
      </c>
      <c r="AJ200" s="741">
        <v>0</v>
      </c>
      <c r="AK200" s="741">
        <v>0</v>
      </c>
      <c r="AL200" s="741">
        <v>0</v>
      </c>
      <c r="AM200" s="741">
        <v>0</v>
      </c>
      <c r="AN200" s="741">
        <v>0</v>
      </c>
      <c r="AO200" s="741">
        <v>0</v>
      </c>
      <c r="AP200" s="41" t="str">
        <f t="shared" si="57"/>
        <v>GLA</v>
      </c>
      <c r="AQ200" s="41" t="str">
        <f t="shared" si="58"/>
        <v>GLAA20</v>
      </c>
      <c r="AR200" s="41" t="str">
        <f t="shared" si="59"/>
        <v>A20</v>
      </c>
      <c r="CR200" s="625"/>
    </row>
    <row r="201" spans="1:96" s="41" customFormat="1" ht="12.75" customHeight="1">
      <c r="A201" s="25" t="s">
        <v>17</v>
      </c>
      <c r="B201" s="25" t="str">
        <f t="shared" si="54"/>
        <v>GL174110</v>
      </c>
      <c r="C201" s="638">
        <v>174110</v>
      </c>
      <c r="D201" s="735"/>
      <c r="F201" s="1" t="s">
        <v>204</v>
      </c>
      <c r="H201" s="736" t="s">
        <v>1141</v>
      </c>
      <c r="I201" s="25"/>
      <c r="J201" s="25"/>
      <c r="K201" s="442" t="str">
        <f t="shared" si="53"/>
        <v/>
      </c>
      <c r="L201" s="736" t="s">
        <v>2441</v>
      </c>
      <c r="M201" s="25" t="str">
        <f t="shared" si="55"/>
        <v>R</v>
      </c>
      <c r="N201" s="25" t="str">
        <f>IF(L201&lt;&gt;"",VLOOKUP(L201,Categories!$B$2:$D$41,2,FALSE),IF(F201&lt;&gt;"","No Cat",""))</f>
        <v>Rate Base</v>
      </c>
      <c r="O201" s="25" t="str">
        <f>IF($L201&lt;&gt;"",VLOOKUP($L201,Categories!$B$2:$D$41,3,FALSE),IF($F201&lt;&gt;"","No Cat",""))</f>
        <v>Deferred Debits &amp; Credits</v>
      </c>
      <c r="P201" s="736" t="s">
        <v>2482</v>
      </c>
      <c r="Q201" s="25" t="str">
        <f>VLOOKUP($P201,Allocators!$B$7:$F$19,5,FALSE)</f>
        <v>Electric</v>
      </c>
      <c r="R201" s="737">
        <f>VLOOKUP($P201,Allocators!$B$7:$F$19,2,FALSE)</f>
        <v>1</v>
      </c>
      <c r="S201" s="737">
        <f>VLOOKUP($P201,Allocators!$B$7:$F$19,3,FALSE)</f>
        <v>0</v>
      </c>
      <c r="T201" s="737" t="str">
        <f t="shared" si="56"/>
        <v>0.0%</v>
      </c>
      <c r="U201" s="2" t="str">
        <f t="shared" ref="U201:U264" si="62">IF(ABS(X201)=0,"",IF($R201="NO ALLOC","NO ALLOC",ROUND($R201*X201,15)))</f>
        <v/>
      </c>
      <c r="V201" s="2" t="str">
        <f t="shared" ref="V201:V264" si="63">IF(ABS(X201)=0,"",IF($S201="NO ALLOC","NO ALLOC",ROUND($S201*X201,15)))</f>
        <v/>
      </c>
      <c r="W201" s="2" t="str">
        <f t="shared" ref="W201:W264" si="64">IF(ABS(X201)=0,"",IF($T201="NO ALLOC","NO ALLOC",ROUND($T201*X201,15)))</f>
        <v/>
      </c>
      <c r="X201" s="2">
        <f t="shared" si="60"/>
        <v>0</v>
      </c>
      <c r="Y201" s="2" t="str">
        <f t="shared" ref="Y201:Y264" si="65">IF(ABS(AB201)=0,"",IF($R201="NO ALLOC","NO ALLOC",ROUND($R201*AB201,15)))</f>
        <v/>
      </c>
      <c r="Z201" s="2" t="str">
        <f t="shared" ref="Z201:Z264" si="66">IF(ABS(AB201)=0,"",IF($S201="NO ALLOC","NO ALLOC",ROUND($S201*AB201,15)))</f>
        <v/>
      </c>
      <c r="AA201" s="2" t="str">
        <f t="shared" ref="AA201:AA264" si="67">IF(ABS(AB201)=0,"",IF($T201="NO ALLOC","NO ALLOC",ROUND($T201*AB201,15)))</f>
        <v/>
      </c>
      <c r="AB201" s="2">
        <f t="shared" si="61"/>
        <v>0</v>
      </c>
      <c r="AC201" s="759">
        <v>0</v>
      </c>
      <c r="AD201" s="741">
        <v>0</v>
      </c>
      <c r="AE201" s="741">
        <v>0</v>
      </c>
      <c r="AF201" s="741">
        <v>0</v>
      </c>
      <c r="AG201" s="741">
        <v>0</v>
      </c>
      <c r="AH201" s="741">
        <v>0</v>
      </c>
      <c r="AI201" s="741">
        <v>0</v>
      </c>
      <c r="AJ201" s="741">
        <v>0</v>
      </c>
      <c r="AK201" s="741">
        <v>0</v>
      </c>
      <c r="AL201" s="741">
        <v>0</v>
      </c>
      <c r="AM201" s="741">
        <v>0</v>
      </c>
      <c r="AN201" s="741">
        <v>0</v>
      </c>
      <c r="AO201" s="741">
        <v>0</v>
      </c>
      <c r="AP201" s="41" t="str">
        <f t="shared" si="57"/>
        <v>GLR</v>
      </c>
      <c r="AQ201" s="41" t="str">
        <f t="shared" si="58"/>
        <v>GLRR10NBC True-up</v>
      </c>
      <c r="AR201" s="41" t="str">
        <f t="shared" si="59"/>
        <v>R10NBC True-up</v>
      </c>
    </row>
    <row r="202" spans="1:96" s="41" customFormat="1" ht="12.75" customHeight="1">
      <c r="A202" s="25" t="s">
        <v>17</v>
      </c>
      <c r="B202" s="25" t="str">
        <f t="shared" si="54"/>
        <v>GL174130</v>
      </c>
      <c r="C202" s="638">
        <v>174130</v>
      </c>
      <c r="D202" s="735"/>
      <c r="F202" s="1" t="s">
        <v>205</v>
      </c>
      <c r="H202" s="736">
        <v>0</v>
      </c>
      <c r="I202" s="25"/>
      <c r="J202" s="25"/>
      <c r="K202" s="442" t="str">
        <f t="shared" ref="K202:K268" si="68">IF(L202="N3","Y","")</f>
        <v/>
      </c>
      <c r="L202" s="736" t="s">
        <v>2393</v>
      </c>
      <c r="M202" s="25" t="str">
        <f t="shared" si="55"/>
        <v>A</v>
      </c>
      <c r="N202" s="25" t="str">
        <f>IF(L202&lt;&gt;"",VLOOKUP(L202,Categories!$B$2:$D$41,2,FALSE),IF(F202&lt;&gt;"","No Cat",""))</f>
        <v>All Other</v>
      </c>
      <c r="O202" s="25" t="str">
        <f>IF($L202&lt;&gt;"",VLOOKUP($L202,Categories!$B$2:$D$41,3,FALSE),IF($F202&lt;&gt;"","No Cat",""))</f>
        <v>EB-Cap</v>
      </c>
      <c r="P202" s="736" t="s">
        <v>2490</v>
      </c>
      <c r="Q202" s="25" t="str">
        <f>VLOOKUP($P202,Allocators!$B$7:$F$19,5,FALSE)</f>
        <v>Rate Base</v>
      </c>
      <c r="R202" s="737">
        <f>VLOOKUP($P202,Allocators!$B$7:$F$19,2,FALSE)</f>
        <v>0.70940000000000003</v>
      </c>
      <c r="S202" s="737">
        <f>VLOOKUP($P202,Allocators!$B$7:$F$19,3,FALSE)</f>
        <v>0.29060000000000002</v>
      </c>
      <c r="T202" s="737" t="str">
        <f t="shared" si="56"/>
        <v>0.0%</v>
      </c>
      <c r="U202" s="2">
        <f t="shared" si="62"/>
        <v>12.3036991095834</v>
      </c>
      <c r="V202" s="2">
        <f t="shared" si="63"/>
        <v>5.0401113070833397</v>
      </c>
      <c r="W202" s="2">
        <f t="shared" si="64"/>
        <v>0</v>
      </c>
      <c r="X202" s="2">
        <f t="shared" si="60"/>
        <v>17.343810416666699</v>
      </c>
      <c r="Y202" s="2" t="str">
        <f t="shared" si="65"/>
        <v/>
      </c>
      <c r="Z202" s="2" t="str">
        <f t="shared" si="66"/>
        <v/>
      </c>
      <c r="AA202" s="2" t="str">
        <f t="shared" si="67"/>
        <v/>
      </c>
      <c r="AB202" s="2">
        <f t="shared" si="61"/>
        <v>0</v>
      </c>
      <c r="AC202" s="759">
        <v>17.753730000000001</v>
      </c>
      <c r="AD202" s="741">
        <v>17.753730000000001</v>
      </c>
      <c r="AE202" s="741">
        <v>18.090679999999999</v>
      </c>
      <c r="AF202" s="741">
        <v>18.103840000000002</v>
      </c>
      <c r="AG202" s="741">
        <v>18.103840000000002</v>
      </c>
      <c r="AH202" s="741">
        <v>18.103840000000002</v>
      </c>
      <c r="AI202" s="741">
        <v>18.103840000000002</v>
      </c>
      <c r="AJ202" s="741">
        <v>18.103840000000002</v>
      </c>
      <c r="AK202" s="741">
        <v>18.205950000000001</v>
      </c>
      <c r="AL202" s="741">
        <v>18.248609999999999</v>
      </c>
      <c r="AM202" s="741">
        <v>18.201790000000003</v>
      </c>
      <c r="AN202" s="741">
        <v>18.228900000000003</v>
      </c>
      <c r="AO202" s="741">
        <v>0</v>
      </c>
      <c r="AP202" s="41" t="str">
        <f t="shared" si="57"/>
        <v>GLA</v>
      </c>
      <c r="AQ202" s="41" t="str">
        <f t="shared" si="58"/>
        <v>GLAA20</v>
      </c>
      <c r="AR202" s="41" t="str">
        <f t="shared" si="59"/>
        <v>A20</v>
      </c>
      <c r="CR202" s="625"/>
    </row>
    <row r="203" spans="1:96" s="41" customFormat="1" ht="12.75" customHeight="1">
      <c r="A203" s="25" t="s">
        <v>17</v>
      </c>
      <c r="B203" s="25" t="str">
        <f t="shared" si="54"/>
        <v>GL174140</v>
      </c>
      <c r="C203" s="638">
        <v>174140</v>
      </c>
      <c r="D203" s="735"/>
      <c r="F203" s="1" t="s">
        <v>206</v>
      </c>
      <c r="H203" s="736">
        <v>0</v>
      </c>
      <c r="I203" s="25"/>
      <c r="J203" s="25"/>
      <c r="K203" s="442" t="str">
        <f t="shared" si="68"/>
        <v/>
      </c>
      <c r="L203" s="736" t="s">
        <v>2393</v>
      </c>
      <c r="M203" s="25" t="str">
        <f t="shared" si="55"/>
        <v>A</v>
      </c>
      <c r="N203" s="25" t="str">
        <f>IF(L203&lt;&gt;"",VLOOKUP(L203,Categories!$B$2:$D$41,2,FALSE),IF(F203&lt;&gt;"","No Cat",""))</f>
        <v>All Other</v>
      </c>
      <c r="O203" s="25" t="str">
        <f>IF($L203&lt;&gt;"",VLOOKUP($L203,Categories!$B$2:$D$41,3,FALSE),IF($F203&lt;&gt;"","No Cat",""))</f>
        <v>EB-Cap</v>
      </c>
      <c r="P203" s="736" t="s">
        <v>2490</v>
      </c>
      <c r="Q203" s="25" t="str">
        <f>VLOOKUP($P203,Allocators!$B$7:$F$19,5,FALSE)</f>
        <v>Rate Base</v>
      </c>
      <c r="R203" s="737">
        <f>VLOOKUP($P203,Allocators!$B$7:$F$19,2,FALSE)</f>
        <v>0.70940000000000003</v>
      </c>
      <c r="S203" s="737">
        <f>VLOOKUP($P203,Allocators!$B$7:$F$19,3,FALSE)</f>
        <v>0.29060000000000002</v>
      </c>
      <c r="T203" s="737" t="str">
        <f t="shared" si="56"/>
        <v>0.0%</v>
      </c>
      <c r="U203" s="2">
        <f t="shared" si="62"/>
        <v>3840.81103251491</v>
      </c>
      <c r="V203" s="2">
        <f t="shared" si="63"/>
        <v>1573.3573245684199</v>
      </c>
      <c r="W203" s="2">
        <f t="shared" si="64"/>
        <v>0</v>
      </c>
      <c r="X203" s="2">
        <f t="shared" si="60"/>
        <v>5414.1683570833302</v>
      </c>
      <c r="Y203" s="2">
        <f t="shared" si="65"/>
        <v>4755.5768154520001</v>
      </c>
      <c r="Z203" s="2">
        <f t="shared" si="66"/>
        <v>1948.0837645480001</v>
      </c>
      <c r="AA203" s="2">
        <f t="shared" si="67"/>
        <v>0</v>
      </c>
      <c r="AB203" s="2">
        <f t="shared" si="61"/>
        <v>6703.6605799999998</v>
      </c>
      <c r="AC203" s="759">
        <v>6991.3076500000006</v>
      </c>
      <c r="AD203" s="741">
        <v>11086.09885</v>
      </c>
      <c r="AE203" s="741">
        <v>8714.8113400000002</v>
      </c>
      <c r="AF203" s="741">
        <v>8194.96551</v>
      </c>
      <c r="AG203" s="741">
        <v>5594.1441199999999</v>
      </c>
      <c r="AH203" s="741">
        <v>4889.4796699999997</v>
      </c>
      <c r="AI203" s="741">
        <v>4010.2736099999997</v>
      </c>
      <c r="AJ203" s="741">
        <v>3435.8763199999999</v>
      </c>
      <c r="AK203" s="741">
        <v>2654.53746</v>
      </c>
      <c r="AL203" s="741">
        <v>2865.4588100000001</v>
      </c>
      <c r="AM203" s="741">
        <v>2445.7305699999997</v>
      </c>
      <c r="AN203" s="741">
        <v>4231.1599100000003</v>
      </c>
      <c r="AO203" s="741">
        <v>6703.6605799999998</v>
      </c>
      <c r="AP203" s="41" t="str">
        <f t="shared" si="57"/>
        <v>GLA</v>
      </c>
      <c r="AQ203" s="41" t="str">
        <f t="shared" si="58"/>
        <v>GLAA20</v>
      </c>
      <c r="AR203" s="41" t="str">
        <f t="shared" si="59"/>
        <v>A20</v>
      </c>
      <c r="CR203" s="625"/>
    </row>
    <row r="204" spans="1:96" s="41" customFormat="1" ht="12.75" customHeight="1">
      <c r="A204" s="25" t="s">
        <v>17</v>
      </c>
      <c r="B204" s="25" t="str">
        <f t="shared" si="54"/>
        <v>GL174175</v>
      </c>
      <c r="C204" s="638">
        <v>174175</v>
      </c>
      <c r="D204" s="735"/>
      <c r="F204" s="1" t="s">
        <v>207</v>
      </c>
      <c r="H204" s="736" t="s">
        <v>1501</v>
      </c>
      <c r="I204" s="25"/>
      <c r="J204" s="25"/>
      <c r="K204" s="442" t="str">
        <f t="shared" si="68"/>
        <v/>
      </c>
      <c r="L204" s="736" t="s">
        <v>2441</v>
      </c>
      <c r="M204" s="25" t="str">
        <f t="shared" si="55"/>
        <v>R</v>
      </c>
      <c r="N204" s="25" t="str">
        <f>IF(L204&lt;&gt;"",VLOOKUP(L204,Categories!$B$2:$D$41,2,FALSE),IF(F204&lt;&gt;"","No Cat",""))</f>
        <v>Rate Base</v>
      </c>
      <c r="O204" s="25" t="str">
        <f>IF($L204&lt;&gt;"",VLOOKUP($L204,Categories!$B$2:$D$41,3,FALSE),IF($F204&lt;&gt;"","No Cat",""))</f>
        <v>Deferred Debits &amp; Credits</v>
      </c>
      <c r="P204" s="736" t="s">
        <v>2482</v>
      </c>
      <c r="Q204" s="25" t="str">
        <f>VLOOKUP($P204,Allocators!$B$7:$F$19,5,FALSE)</f>
        <v>Electric</v>
      </c>
      <c r="R204" s="737">
        <f>VLOOKUP($P204,Allocators!$B$7:$F$19,2,FALSE)</f>
        <v>1</v>
      </c>
      <c r="S204" s="737">
        <f>VLOOKUP($P204,Allocators!$B$7:$F$19,3,FALSE)</f>
        <v>0</v>
      </c>
      <c r="T204" s="737" t="str">
        <f t="shared" si="56"/>
        <v>0.0%</v>
      </c>
      <c r="U204" s="2" t="str">
        <f t="shared" si="62"/>
        <v/>
      </c>
      <c r="V204" s="2" t="str">
        <f t="shared" si="63"/>
        <v/>
      </c>
      <c r="W204" s="2" t="str">
        <f t="shared" si="64"/>
        <v/>
      </c>
      <c r="X204" s="2">
        <f t="shared" si="60"/>
        <v>0</v>
      </c>
      <c r="Y204" s="2" t="str">
        <f t="shared" si="65"/>
        <v/>
      </c>
      <c r="Z204" s="2" t="str">
        <f t="shared" si="66"/>
        <v/>
      </c>
      <c r="AA204" s="2" t="str">
        <f t="shared" si="67"/>
        <v/>
      </c>
      <c r="AB204" s="2">
        <f t="shared" si="61"/>
        <v>0</v>
      </c>
      <c r="AC204" s="759">
        <v>0</v>
      </c>
      <c r="AD204" s="741">
        <v>0</v>
      </c>
      <c r="AE204" s="741">
        <v>0</v>
      </c>
      <c r="AF204" s="741">
        <v>0</v>
      </c>
      <c r="AG204" s="741">
        <v>0</v>
      </c>
      <c r="AH204" s="741">
        <v>0</v>
      </c>
      <c r="AI204" s="741">
        <v>0</v>
      </c>
      <c r="AJ204" s="741">
        <v>0</v>
      </c>
      <c r="AK204" s="741">
        <v>0</v>
      </c>
      <c r="AL204" s="741">
        <v>0</v>
      </c>
      <c r="AM204" s="741">
        <v>0</v>
      </c>
      <c r="AN204" s="741">
        <v>0</v>
      </c>
      <c r="AO204" s="741">
        <v>0</v>
      </c>
      <c r="AP204" s="41" t="str">
        <f t="shared" si="57"/>
        <v>GLR</v>
      </c>
      <c r="AQ204" s="41" t="str">
        <f t="shared" si="58"/>
        <v>GLRR10Commodity Hedge Margin</v>
      </c>
      <c r="AR204" s="41" t="str">
        <f t="shared" si="59"/>
        <v>R10Commodity Hedge Margin</v>
      </c>
    </row>
    <row r="205" spans="1:96" s="41" customFormat="1" ht="12.75" customHeight="1">
      <c r="A205" s="25" t="s">
        <v>17</v>
      </c>
      <c r="B205" s="25" t="str">
        <f t="shared" si="54"/>
        <v>GL174176</v>
      </c>
      <c r="C205" s="638">
        <v>174176</v>
      </c>
      <c r="D205" s="735"/>
      <c r="F205" s="1" t="s">
        <v>208</v>
      </c>
      <c r="H205" s="736" t="s">
        <v>1501</v>
      </c>
      <c r="I205" s="25"/>
      <c r="J205" s="25"/>
      <c r="K205" s="442" t="str">
        <f t="shared" si="68"/>
        <v/>
      </c>
      <c r="L205" s="736" t="s">
        <v>2441</v>
      </c>
      <c r="M205" s="25" t="str">
        <f t="shared" si="55"/>
        <v>R</v>
      </c>
      <c r="N205" s="25" t="str">
        <f>IF(L205&lt;&gt;"",VLOOKUP(L205,Categories!$B$2:$D$41,2,FALSE),IF(F205&lt;&gt;"","No Cat",""))</f>
        <v>Rate Base</v>
      </c>
      <c r="O205" s="25" t="str">
        <f>IF($L205&lt;&gt;"",VLOOKUP($L205,Categories!$B$2:$D$41,3,FALSE),IF($F205&lt;&gt;"","No Cat",""))</f>
        <v>Deferred Debits &amp; Credits</v>
      </c>
      <c r="P205" s="736" t="s">
        <v>2483</v>
      </c>
      <c r="Q205" s="25" t="str">
        <f>VLOOKUP($P205,Allocators!$B$7:$F$19,5,FALSE)</f>
        <v>Gas</v>
      </c>
      <c r="R205" s="737">
        <f>VLOOKUP($P205,Allocators!$B$7:$F$19,2,FALSE)</f>
        <v>0</v>
      </c>
      <c r="S205" s="737">
        <f>VLOOKUP($P205,Allocators!$B$7:$F$19,3,FALSE)</f>
        <v>1</v>
      </c>
      <c r="T205" s="737" t="str">
        <f t="shared" si="56"/>
        <v>0.0%</v>
      </c>
      <c r="U205" s="2">
        <f t="shared" si="62"/>
        <v>0</v>
      </c>
      <c r="V205" s="2">
        <f t="shared" si="63"/>
        <v>3939.2135037500002</v>
      </c>
      <c r="W205" s="2">
        <f t="shared" si="64"/>
        <v>0</v>
      </c>
      <c r="X205" s="2">
        <f t="shared" si="60"/>
        <v>3939.2135037500002</v>
      </c>
      <c r="Y205" s="2">
        <f t="shared" si="65"/>
        <v>0</v>
      </c>
      <c r="Z205" s="2">
        <f t="shared" si="66"/>
        <v>15937.15409</v>
      </c>
      <c r="AA205" s="2">
        <f t="shared" si="67"/>
        <v>0</v>
      </c>
      <c r="AB205" s="2">
        <f t="shared" si="61"/>
        <v>15937.15409</v>
      </c>
      <c r="AC205" s="759">
        <v>2222.1280000000002</v>
      </c>
      <c r="AD205" s="741">
        <v>0</v>
      </c>
      <c r="AE205" s="741">
        <v>104.498</v>
      </c>
      <c r="AF205" s="741">
        <v>951.39499999999998</v>
      </c>
      <c r="AG205" s="741">
        <v>0</v>
      </c>
      <c r="AH205" s="741">
        <v>0</v>
      </c>
      <c r="AI205" s="741">
        <v>3521.6869999999999</v>
      </c>
      <c r="AJ205" s="741">
        <v>12212.053</v>
      </c>
      <c r="AK205" s="741">
        <v>8002.951</v>
      </c>
      <c r="AL205" s="741">
        <v>4112.75</v>
      </c>
      <c r="AM205" s="741">
        <v>5373.1</v>
      </c>
      <c r="AN205" s="741">
        <v>3912.4870000000001</v>
      </c>
      <c r="AO205" s="741">
        <v>15937.15409</v>
      </c>
      <c r="AP205" s="41" t="str">
        <f t="shared" si="57"/>
        <v>GLR</v>
      </c>
      <c r="AQ205" s="41" t="str">
        <f t="shared" si="58"/>
        <v>GLRR10Commodity Hedge Margin</v>
      </c>
      <c r="AR205" s="41" t="str">
        <f t="shared" si="59"/>
        <v>R10Commodity Hedge Margin</v>
      </c>
    </row>
    <row r="206" spans="1:96" s="41" customFormat="1" ht="12.75" customHeight="1">
      <c r="A206" s="25" t="s">
        <v>17</v>
      </c>
      <c r="B206" s="25" t="str">
        <f t="shared" ref="B206:B207" si="69">CONCATENATE(A206,C206,D206,E206)</f>
        <v>GL174210</v>
      </c>
      <c r="C206" s="638">
        <v>174210</v>
      </c>
      <c r="D206" s="735"/>
      <c r="F206" s="1" t="s">
        <v>4302</v>
      </c>
      <c r="H206" s="736" t="s">
        <v>817</v>
      </c>
      <c r="I206" s="25"/>
      <c r="J206" s="25" t="s">
        <v>7</v>
      </c>
      <c r="K206" s="442" t="str">
        <f t="shared" ref="K206:K207" si="70">IF(L206="N3","Y","")</f>
        <v/>
      </c>
      <c r="L206" s="736" t="s">
        <v>2436</v>
      </c>
      <c r="M206" s="25" t="str">
        <f t="shared" ref="M206:M207" si="71">LEFT(L206,1)</f>
        <v>N</v>
      </c>
      <c r="N206" s="25" t="str">
        <f>IF(L206&lt;&gt;"",VLOOKUP(L206,Categories!$B$2:$D$41,2,FALSE),IF(F206&lt;&gt;"","No Cat",""))</f>
        <v>NRBASE</v>
      </c>
      <c r="O206" s="25" t="str">
        <f>IF($L206&lt;&gt;"",VLOOKUP($L206,Categories!$B$2:$D$41,3,FALSE),IF($F206&lt;&gt;"","No Cat",""))</f>
        <v>Deferrals Accruing Non-Cash Return   (other than ASGA)</v>
      </c>
      <c r="P206" s="736" t="s">
        <v>2468</v>
      </c>
      <c r="Q206" s="25" t="str">
        <f>VLOOKUP($P206,Allocators!$B$7:$F$19,5,FALSE)</f>
        <v>Not in Rate Base</v>
      </c>
      <c r="R206" s="737">
        <f>VLOOKUP($P206,Allocators!$B$7:$F$19,2,FALSE)</f>
        <v>0</v>
      </c>
      <c r="S206" s="737">
        <f>VLOOKUP($P206,Allocators!$B$7:$F$19,3,FALSE)</f>
        <v>0</v>
      </c>
      <c r="T206" s="737">
        <f t="shared" ref="T206:T207" si="72">IF(P206="N",1,"0.0%")</f>
        <v>1</v>
      </c>
      <c r="U206" s="2">
        <f t="shared" si="62"/>
        <v>0</v>
      </c>
      <c r="V206" s="2">
        <f t="shared" si="63"/>
        <v>0</v>
      </c>
      <c r="W206" s="2">
        <f t="shared" si="64"/>
        <v>1487.6347066666699</v>
      </c>
      <c r="X206" s="2">
        <f t="shared" si="60"/>
        <v>1487.6347066666699</v>
      </c>
      <c r="Y206" s="2" t="str">
        <f t="shared" si="65"/>
        <v/>
      </c>
      <c r="Z206" s="2" t="str">
        <f t="shared" si="66"/>
        <v/>
      </c>
      <c r="AA206" s="2" t="str">
        <f t="shared" si="67"/>
        <v/>
      </c>
      <c r="AB206" s="2">
        <f t="shared" si="61"/>
        <v>0</v>
      </c>
      <c r="AC206" s="759">
        <v>2299.9298399999998</v>
      </c>
      <c r="AD206" s="741">
        <v>2348.0688300000002</v>
      </c>
      <c r="AE206" s="741">
        <v>2515.8200999999999</v>
      </c>
      <c r="AF206" s="741">
        <v>2639.15065</v>
      </c>
      <c r="AG206" s="741">
        <v>2888.9417999999996</v>
      </c>
      <c r="AH206" s="741">
        <v>3078.2460499999997</v>
      </c>
      <c r="AI206" s="741">
        <v>3231.4241299999999</v>
      </c>
      <c r="AJ206" s="741">
        <v>0</v>
      </c>
      <c r="AK206" s="741">
        <v>0</v>
      </c>
      <c r="AL206" s="741">
        <v>0</v>
      </c>
      <c r="AM206" s="741">
        <v>0</v>
      </c>
      <c r="AN206" s="741">
        <v>0</v>
      </c>
      <c r="AO206" s="741">
        <v>0</v>
      </c>
      <c r="AP206" s="41" t="str">
        <f t="shared" si="57"/>
        <v>GLN</v>
      </c>
      <c r="AQ206" s="41" t="str">
        <f t="shared" si="58"/>
        <v>GLNN10PSC Assessment</v>
      </c>
      <c r="AR206" s="41" t="str">
        <f t="shared" si="59"/>
        <v>N10PSC AssessmentNCR</v>
      </c>
    </row>
    <row r="207" spans="1:96" s="41" customFormat="1" ht="12.75" customHeight="1">
      <c r="A207" s="25" t="s">
        <v>17</v>
      </c>
      <c r="B207" s="25" t="str">
        <f t="shared" si="69"/>
        <v>GL174220</v>
      </c>
      <c r="C207" s="638">
        <v>174220</v>
      </c>
      <c r="D207" s="735"/>
      <c r="F207" s="1" t="s">
        <v>4303</v>
      </c>
      <c r="H207" s="736" t="s">
        <v>817</v>
      </c>
      <c r="I207" s="25"/>
      <c r="J207" s="25" t="s">
        <v>7</v>
      </c>
      <c r="K207" s="442" t="str">
        <f t="shared" si="70"/>
        <v/>
      </c>
      <c r="L207" s="736" t="s">
        <v>2436</v>
      </c>
      <c r="M207" s="25" t="str">
        <f t="shared" si="71"/>
        <v>N</v>
      </c>
      <c r="N207" s="25" t="str">
        <f>IF(L207&lt;&gt;"",VLOOKUP(L207,Categories!$B$2:$D$41,2,FALSE),IF(F207&lt;&gt;"","No Cat",""))</f>
        <v>NRBASE</v>
      </c>
      <c r="O207" s="25" t="str">
        <f>IF($L207&lt;&gt;"",VLOOKUP($L207,Categories!$B$2:$D$41,3,FALSE),IF($F207&lt;&gt;"","No Cat",""))</f>
        <v>Deferrals Accruing Non-Cash Return   (other than ASGA)</v>
      </c>
      <c r="P207" s="736" t="s">
        <v>2468</v>
      </c>
      <c r="Q207" s="25" t="str">
        <f>VLOOKUP($P207,Allocators!$B$7:$F$19,5,FALSE)</f>
        <v>Not in Rate Base</v>
      </c>
      <c r="R207" s="737">
        <f>VLOOKUP($P207,Allocators!$B$7:$F$19,2,FALSE)</f>
        <v>0</v>
      </c>
      <c r="S207" s="737">
        <f>VLOOKUP($P207,Allocators!$B$7:$F$19,3,FALSE)</f>
        <v>0</v>
      </c>
      <c r="T207" s="737">
        <f t="shared" si="72"/>
        <v>1</v>
      </c>
      <c r="U207" s="2">
        <f t="shared" si="62"/>
        <v>0</v>
      </c>
      <c r="V207" s="2">
        <f t="shared" si="63"/>
        <v>0</v>
      </c>
      <c r="W207" s="2">
        <f t="shared" si="64"/>
        <v>271.88189583333298</v>
      </c>
      <c r="X207" s="2">
        <f t="shared" si="60"/>
        <v>271.88189583333298</v>
      </c>
      <c r="Y207" s="2" t="str">
        <f t="shared" si="65"/>
        <v/>
      </c>
      <c r="Z207" s="2" t="str">
        <f t="shared" si="66"/>
        <v/>
      </c>
      <c r="AA207" s="2" t="str">
        <f t="shared" si="67"/>
        <v/>
      </c>
      <c r="AB207" s="2">
        <f t="shared" si="61"/>
        <v>0</v>
      </c>
      <c r="AC207" s="759">
        <v>1164.90994</v>
      </c>
      <c r="AD207" s="741">
        <v>671.38025000000005</v>
      </c>
      <c r="AE207" s="741">
        <v>315.12801999999999</v>
      </c>
      <c r="AF207" s="741">
        <v>-7.5546699999999998</v>
      </c>
      <c r="AG207" s="741">
        <v>118.70139999999999</v>
      </c>
      <c r="AH207" s="741">
        <v>542.82132999999999</v>
      </c>
      <c r="AI207" s="741">
        <v>1039.6514499999998</v>
      </c>
      <c r="AJ207" s="741">
        <v>0</v>
      </c>
      <c r="AK207" s="741">
        <v>0</v>
      </c>
      <c r="AL207" s="741">
        <v>0</v>
      </c>
      <c r="AM207" s="741">
        <v>0</v>
      </c>
      <c r="AN207" s="741">
        <v>0</v>
      </c>
      <c r="AO207" s="741">
        <v>0</v>
      </c>
      <c r="AP207" s="41" t="str">
        <f t="shared" si="57"/>
        <v>GLN</v>
      </c>
      <c r="AQ207" s="41" t="str">
        <f t="shared" si="58"/>
        <v>GLNN10PSC Assessment</v>
      </c>
      <c r="AR207" s="41" t="str">
        <f t="shared" si="59"/>
        <v>N10PSC AssessmentNCR</v>
      </c>
    </row>
    <row r="208" spans="1:96" s="41" customFormat="1" ht="12.75" customHeight="1">
      <c r="A208" s="442" t="s">
        <v>17</v>
      </c>
      <c r="B208" s="442" t="str">
        <f t="shared" ref="B208:B272" si="73">CONCATENATE(A208,C208,D208,E208)</f>
        <v>GL176100</v>
      </c>
      <c r="C208" s="638">
        <v>176100</v>
      </c>
      <c r="D208" s="735"/>
      <c r="E208" s="626"/>
      <c r="F208" s="441" t="s">
        <v>209</v>
      </c>
      <c r="G208" s="626"/>
      <c r="H208" s="736" t="s">
        <v>1133</v>
      </c>
      <c r="I208" s="442"/>
      <c r="J208" s="442"/>
      <c r="K208" s="442" t="str">
        <f t="shared" si="68"/>
        <v/>
      </c>
      <c r="L208" s="736" t="s">
        <v>2427</v>
      </c>
      <c r="M208" s="442" t="str">
        <f t="shared" ref="M208:M272" si="74">LEFT(L208,1)</f>
        <v>N</v>
      </c>
      <c r="N208" s="442" t="str">
        <f>IF(L208&lt;&gt;"",VLOOKUP(L208,Categories!$B$2:$D$41,2,FALSE),IF(F208&lt;&gt;"","No Cat",""))</f>
        <v>NRBASE</v>
      </c>
      <c r="O208" s="442" t="str">
        <f>IF($L208&lt;&gt;"",VLOOKUP($L208,Categories!$B$2:$D$41,3,FALSE),IF($F208&lt;&gt;"","No Cat",""))</f>
        <v>Hedges &amp; OCI</v>
      </c>
      <c r="P208" s="736" t="s">
        <v>2468</v>
      </c>
      <c r="Q208" s="442" t="str">
        <f>VLOOKUP($P208,Allocators!$B$7:$F$19,5,FALSE)</f>
        <v>Not in Rate Base</v>
      </c>
      <c r="R208" s="737">
        <f>VLOOKUP($P208,Allocators!$B$7:$F$19,2,FALSE)</f>
        <v>0</v>
      </c>
      <c r="S208" s="737">
        <f>VLOOKUP($P208,Allocators!$B$7:$F$19,3,FALSE)</f>
        <v>0</v>
      </c>
      <c r="T208" s="737">
        <f t="shared" si="56"/>
        <v>1</v>
      </c>
      <c r="U208" s="2" t="str">
        <f t="shared" si="62"/>
        <v/>
      </c>
      <c r="V208" s="2" t="str">
        <f t="shared" si="63"/>
        <v/>
      </c>
      <c r="W208" s="2" t="str">
        <f t="shared" si="64"/>
        <v/>
      </c>
      <c r="X208" s="2">
        <f t="shared" si="60"/>
        <v>0</v>
      </c>
      <c r="Y208" s="2" t="str">
        <f t="shared" si="65"/>
        <v/>
      </c>
      <c r="Z208" s="2" t="str">
        <f t="shared" si="66"/>
        <v/>
      </c>
      <c r="AA208" s="2" t="str">
        <f t="shared" si="67"/>
        <v/>
      </c>
      <c r="AB208" s="2">
        <f t="shared" si="61"/>
        <v>0</v>
      </c>
      <c r="AC208" s="759">
        <v>0</v>
      </c>
      <c r="AD208" s="741">
        <v>0</v>
      </c>
      <c r="AE208" s="741">
        <v>0</v>
      </c>
      <c r="AF208" s="741">
        <v>0</v>
      </c>
      <c r="AG208" s="741">
        <v>0</v>
      </c>
      <c r="AH208" s="741">
        <v>0</v>
      </c>
      <c r="AI208" s="741">
        <v>0</v>
      </c>
      <c r="AJ208" s="741">
        <v>0</v>
      </c>
      <c r="AK208" s="741">
        <v>0</v>
      </c>
      <c r="AL208" s="741">
        <v>0</v>
      </c>
      <c r="AM208" s="741">
        <v>0</v>
      </c>
      <c r="AN208" s="741">
        <v>0</v>
      </c>
      <c r="AO208" s="741">
        <v>0</v>
      </c>
      <c r="AP208" s="41" t="str">
        <f t="shared" si="57"/>
        <v>GLN</v>
      </c>
      <c r="AQ208" s="41" t="str">
        <f t="shared" si="58"/>
        <v>GLNN5FAS 133</v>
      </c>
      <c r="AR208" s="41" t="str">
        <f t="shared" si="59"/>
        <v>N5FAS 133</v>
      </c>
    </row>
    <row r="209" spans="1:44" s="41" customFormat="1" ht="12.75" customHeight="1">
      <c r="A209" s="442" t="s">
        <v>17</v>
      </c>
      <c r="B209" s="442" t="str">
        <f t="shared" si="73"/>
        <v>GL176200</v>
      </c>
      <c r="C209" s="638">
        <v>176200</v>
      </c>
      <c r="D209" s="735"/>
      <c r="E209" s="626"/>
      <c r="F209" s="441" t="s">
        <v>210</v>
      </c>
      <c r="G209" s="626"/>
      <c r="H209" s="736" t="s">
        <v>1133</v>
      </c>
      <c r="I209" s="442"/>
      <c r="J209" s="442"/>
      <c r="K209" s="442" t="str">
        <f t="shared" si="68"/>
        <v/>
      </c>
      <c r="L209" s="736" t="s">
        <v>2427</v>
      </c>
      <c r="M209" s="442" t="str">
        <f t="shared" si="74"/>
        <v>N</v>
      </c>
      <c r="N209" s="442" t="str">
        <f>IF(L209&lt;&gt;"",VLOOKUP(L209,Categories!$B$2:$D$41,2,FALSE),IF(F209&lt;&gt;"","No Cat",""))</f>
        <v>NRBASE</v>
      </c>
      <c r="O209" s="442" t="str">
        <f>IF($L209&lt;&gt;"",VLOOKUP($L209,Categories!$B$2:$D$41,3,FALSE),IF($F209&lt;&gt;"","No Cat",""))</f>
        <v>Hedges &amp; OCI</v>
      </c>
      <c r="P209" s="736" t="s">
        <v>2468</v>
      </c>
      <c r="Q209" s="442" t="str">
        <f>VLOOKUP($P209,Allocators!$B$7:$F$19,5,FALSE)</f>
        <v>Not in Rate Base</v>
      </c>
      <c r="R209" s="737">
        <f>VLOOKUP($P209,Allocators!$B$7:$F$19,2,FALSE)</f>
        <v>0</v>
      </c>
      <c r="S209" s="737">
        <f>VLOOKUP($P209,Allocators!$B$7:$F$19,3,FALSE)</f>
        <v>0</v>
      </c>
      <c r="T209" s="737">
        <f t="shared" si="56"/>
        <v>1</v>
      </c>
      <c r="U209" s="2" t="str">
        <f t="shared" si="62"/>
        <v/>
      </c>
      <c r="V209" s="2" t="str">
        <f t="shared" si="63"/>
        <v/>
      </c>
      <c r="W209" s="2" t="str">
        <f t="shared" si="64"/>
        <v/>
      </c>
      <c r="X209" s="2">
        <f t="shared" si="60"/>
        <v>0</v>
      </c>
      <c r="Y209" s="2" t="str">
        <f t="shared" si="65"/>
        <v/>
      </c>
      <c r="Z209" s="2" t="str">
        <f t="shared" si="66"/>
        <v/>
      </c>
      <c r="AA209" s="2" t="str">
        <f t="shared" si="67"/>
        <v/>
      </c>
      <c r="AB209" s="2">
        <f t="shared" si="61"/>
        <v>0</v>
      </c>
      <c r="AC209" s="759">
        <v>0</v>
      </c>
      <c r="AD209" s="741">
        <v>0</v>
      </c>
      <c r="AE209" s="741">
        <v>0</v>
      </c>
      <c r="AF209" s="741">
        <v>0</v>
      </c>
      <c r="AG209" s="741">
        <v>0</v>
      </c>
      <c r="AH209" s="741">
        <v>0</v>
      </c>
      <c r="AI209" s="741">
        <v>0</v>
      </c>
      <c r="AJ209" s="741">
        <v>0</v>
      </c>
      <c r="AK209" s="741">
        <v>0</v>
      </c>
      <c r="AL209" s="741">
        <v>0</v>
      </c>
      <c r="AM209" s="741">
        <v>0</v>
      </c>
      <c r="AN209" s="741">
        <v>0</v>
      </c>
      <c r="AO209" s="741">
        <v>0</v>
      </c>
      <c r="AP209" s="41" t="str">
        <f t="shared" si="57"/>
        <v>GLN</v>
      </c>
      <c r="AQ209" s="41" t="str">
        <f t="shared" si="58"/>
        <v>GLNN5FAS 133</v>
      </c>
      <c r="AR209" s="41" t="str">
        <f t="shared" si="59"/>
        <v>N5FAS 133</v>
      </c>
    </row>
    <row r="210" spans="1:44" s="41" customFormat="1" ht="12.75" customHeight="1">
      <c r="A210" s="442" t="s">
        <v>17</v>
      </c>
      <c r="B210" s="442" t="str">
        <f t="shared" si="73"/>
        <v>GL176300</v>
      </c>
      <c r="C210" s="638">
        <v>176300</v>
      </c>
      <c r="D210" s="735"/>
      <c r="E210" s="626"/>
      <c r="F210" s="441" t="s">
        <v>211</v>
      </c>
      <c r="G210" s="626"/>
      <c r="H210" s="736" t="s">
        <v>1133</v>
      </c>
      <c r="I210" s="442"/>
      <c r="J210" s="442"/>
      <c r="K210" s="442" t="str">
        <f t="shared" si="68"/>
        <v/>
      </c>
      <c r="L210" s="736" t="s">
        <v>2427</v>
      </c>
      <c r="M210" s="442" t="str">
        <f t="shared" si="74"/>
        <v>N</v>
      </c>
      <c r="N210" s="442" t="str">
        <f>IF(L210&lt;&gt;"",VLOOKUP(L210,Categories!$B$2:$D$41,2,FALSE),IF(F210&lt;&gt;"","No Cat",""))</f>
        <v>NRBASE</v>
      </c>
      <c r="O210" s="442" t="str">
        <f>IF($L210&lt;&gt;"",VLOOKUP($L210,Categories!$B$2:$D$41,3,FALSE),IF($F210&lt;&gt;"","No Cat",""))</f>
        <v>Hedges &amp; OCI</v>
      </c>
      <c r="P210" s="736" t="s">
        <v>2468</v>
      </c>
      <c r="Q210" s="442" t="str">
        <f>VLOOKUP($P210,Allocators!$B$7:$F$19,5,FALSE)</f>
        <v>Not in Rate Base</v>
      </c>
      <c r="R210" s="737">
        <f>VLOOKUP($P210,Allocators!$B$7:$F$19,2,FALSE)</f>
        <v>0</v>
      </c>
      <c r="S210" s="737">
        <f>VLOOKUP($P210,Allocators!$B$7:$F$19,3,FALSE)</f>
        <v>0</v>
      </c>
      <c r="T210" s="737">
        <f t="shared" si="56"/>
        <v>1</v>
      </c>
      <c r="U210" s="2" t="str">
        <f t="shared" si="62"/>
        <v/>
      </c>
      <c r="V210" s="2" t="str">
        <f t="shared" si="63"/>
        <v/>
      </c>
      <c r="W210" s="2" t="str">
        <f t="shared" si="64"/>
        <v/>
      </c>
      <c r="X210" s="2">
        <f t="shared" si="60"/>
        <v>0</v>
      </c>
      <c r="Y210" s="2" t="str">
        <f t="shared" si="65"/>
        <v/>
      </c>
      <c r="Z210" s="2" t="str">
        <f t="shared" si="66"/>
        <v/>
      </c>
      <c r="AA210" s="2" t="str">
        <f t="shared" si="67"/>
        <v/>
      </c>
      <c r="AB210" s="2">
        <f t="shared" si="61"/>
        <v>0</v>
      </c>
      <c r="AC210" s="759">
        <v>0</v>
      </c>
      <c r="AD210" s="741">
        <v>0</v>
      </c>
      <c r="AE210" s="741">
        <v>0</v>
      </c>
      <c r="AF210" s="741">
        <v>0</v>
      </c>
      <c r="AG210" s="741">
        <v>0</v>
      </c>
      <c r="AH210" s="741">
        <v>0</v>
      </c>
      <c r="AI210" s="741">
        <v>0</v>
      </c>
      <c r="AJ210" s="741">
        <v>0</v>
      </c>
      <c r="AK210" s="741">
        <v>0</v>
      </c>
      <c r="AL210" s="741">
        <v>0</v>
      </c>
      <c r="AM210" s="741">
        <v>0</v>
      </c>
      <c r="AN210" s="741">
        <v>0</v>
      </c>
      <c r="AO210" s="741">
        <v>0</v>
      </c>
      <c r="AP210" s="41" t="str">
        <f t="shared" si="57"/>
        <v>GLN</v>
      </c>
      <c r="AQ210" s="41" t="str">
        <f t="shared" si="58"/>
        <v>GLNN5FAS 133</v>
      </c>
      <c r="AR210" s="41" t="str">
        <f t="shared" si="59"/>
        <v>N5FAS 133</v>
      </c>
    </row>
    <row r="211" spans="1:44" s="41" customFormat="1" ht="12.75" customHeight="1">
      <c r="A211" s="442" t="s">
        <v>17</v>
      </c>
      <c r="B211" s="442" t="str">
        <f t="shared" si="73"/>
        <v>GL176301</v>
      </c>
      <c r="C211" s="638">
        <v>176301</v>
      </c>
      <c r="D211" s="735"/>
      <c r="E211" s="626"/>
      <c r="F211" s="441" t="s">
        <v>211</v>
      </c>
      <c r="G211" s="626"/>
      <c r="H211" s="736" t="s">
        <v>1133</v>
      </c>
      <c r="I211" s="442"/>
      <c r="J211" s="442"/>
      <c r="K211" s="442" t="str">
        <f t="shared" si="68"/>
        <v/>
      </c>
      <c r="L211" s="736" t="s">
        <v>2427</v>
      </c>
      <c r="M211" s="442" t="str">
        <f t="shared" si="74"/>
        <v>N</v>
      </c>
      <c r="N211" s="442" t="str">
        <f>IF(L211&lt;&gt;"",VLOOKUP(L211,Categories!$B$2:$D$41,2,FALSE),IF(F211&lt;&gt;"","No Cat",""))</f>
        <v>NRBASE</v>
      </c>
      <c r="O211" s="442" t="str">
        <f>IF($L211&lt;&gt;"",VLOOKUP($L211,Categories!$B$2:$D$41,3,FALSE),IF($F211&lt;&gt;"","No Cat",""))</f>
        <v>Hedges &amp; OCI</v>
      </c>
      <c r="P211" s="736" t="s">
        <v>2468</v>
      </c>
      <c r="Q211" s="442" t="str">
        <f>VLOOKUP($P211,Allocators!$B$7:$F$19,5,FALSE)</f>
        <v>Not in Rate Base</v>
      </c>
      <c r="R211" s="737">
        <f>VLOOKUP($P211,Allocators!$B$7:$F$19,2,FALSE)</f>
        <v>0</v>
      </c>
      <c r="S211" s="737">
        <f>VLOOKUP($P211,Allocators!$B$7:$F$19,3,FALSE)</f>
        <v>0</v>
      </c>
      <c r="T211" s="737">
        <f t="shared" si="56"/>
        <v>1</v>
      </c>
      <c r="U211" s="2" t="str">
        <f t="shared" si="62"/>
        <v/>
      </c>
      <c r="V211" s="2" t="str">
        <f t="shared" si="63"/>
        <v/>
      </c>
      <c r="W211" s="2" t="str">
        <f t="shared" si="64"/>
        <v/>
      </c>
      <c r="X211" s="2">
        <f t="shared" si="60"/>
        <v>0</v>
      </c>
      <c r="Y211" s="2" t="str">
        <f t="shared" si="65"/>
        <v/>
      </c>
      <c r="Z211" s="2" t="str">
        <f t="shared" si="66"/>
        <v/>
      </c>
      <c r="AA211" s="2" t="str">
        <f t="shared" si="67"/>
        <v/>
      </c>
      <c r="AB211" s="2">
        <f t="shared" si="61"/>
        <v>0</v>
      </c>
      <c r="AC211" s="759">
        <v>0</v>
      </c>
      <c r="AD211" s="741">
        <v>0</v>
      </c>
      <c r="AE211" s="741">
        <v>0</v>
      </c>
      <c r="AF211" s="741">
        <v>0</v>
      </c>
      <c r="AG211" s="741">
        <v>0</v>
      </c>
      <c r="AH211" s="741">
        <v>0</v>
      </c>
      <c r="AI211" s="741">
        <v>0</v>
      </c>
      <c r="AJ211" s="741">
        <v>0</v>
      </c>
      <c r="AK211" s="741">
        <v>0</v>
      </c>
      <c r="AL211" s="741">
        <v>0</v>
      </c>
      <c r="AM211" s="741">
        <v>0</v>
      </c>
      <c r="AN211" s="741">
        <v>0</v>
      </c>
      <c r="AO211" s="741">
        <v>0</v>
      </c>
      <c r="AP211" s="41" t="str">
        <f t="shared" si="57"/>
        <v>GLN</v>
      </c>
      <c r="AQ211" s="41" t="str">
        <f t="shared" si="58"/>
        <v>GLNN5FAS 133</v>
      </c>
      <c r="AR211" s="41" t="str">
        <f t="shared" si="59"/>
        <v>N5FAS 133</v>
      </c>
    </row>
    <row r="212" spans="1:44" s="41" customFormat="1" ht="12.75" customHeight="1">
      <c r="A212" s="442" t="s">
        <v>17</v>
      </c>
      <c r="B212" s="442" t="str">
        <f t="shared" si="73"/>
        <v>GL176350</v>
      </c>
      <c r="C212" s="638">
        <v>176350</v>
      </c>
      <c r="D212" s="735"/>
      <c r="E212" s="626"/>
      <c r="F212" s="441" t="s">
        <v>212</v>
      </c>
      <c r="G212" s="626"/>
      <c r="H212" s="736" t="s">
        <v>1133</v>
      </c>
      <c r="I212" s="442"/>
      <c r="J212" s="442"/>
      <c r="K212" s="442" t="str">
        <f t="shared" si="68"/>
        <v/>
      </c>
      <c r="L212" s="736" t="s">
        <v>2427</v>
      </c>
      <c r="M212" s="442" t="str">
        <f t="shared" si="74"/>
        <v>N</v>
      </c>
      <c r="N212" s="442" t="str">
        <f>IF(L212&lt;&gt;"",VLOOKUP(L212,Categories!$B$2:$D$41,2,FALSE),IF(F212&lt;&gt;"","No Cat",""))</f>
        <v>NRBASE</v>
      </c>
      <c r="O212" s="442" t="str">
        <f>IF($L212&lt;&gt;"",VLOOKUP($L212,Categories!$B$2:$D$41,3,FALSE),IF($F212&lt;&gt;"","No Cat",""))</f>
        <v>Hedges &amp; OCI</v>
      </c>
      <c r="P212" s="736" t="s">
        <v>2468</v>
      </c>
      <c r="Q212" s="442" t="str">
        <f>VLOOKUP($P212,Allocators!$B$7:$F$19,5,FALSE)</f>
        <v>Not in Rate Base</v>
      </c>
      <c r="R212" s="737">
        <f>VLOOKUP($P212,Allocators!$B$7:$F$19,2,FALSE)</f>
        <v>0</v>
      </c>
      <c r="S212" s="737">
        <f>VLOOKUP($P212,Allocators!$B$7:$F$19,3,FALSE)</f>
        <v>0</v>
      </c>
      <c r="T212" s="737">
        <f t="shared" si="56"/>
        <v>1</v>
      </c>
      <c r="U212" s="2" t="str">
        <f t="shared" si="62"/>
        <v/>
      </c>
      <c r="V212" s="2" t="str">
        <f t="shared" si="63"/>
        <v/>
      </c>
      <c r="W212" s="2" t="str">
        <f t="shared" si="64"/>
        <v/>
      </c>
      <c r="X212" s="2">
        <f t="shared" si="60"/>
        <v>0</v>
      </c>
      <c r="Y212" s="2" t="str">
        <f t="shared" si="65"/>
        <v/>
      </c>
      <c r="Z212" s="2" t="str">
        <f t="shared" si="66"/>
        <v/>
      </c>
      <c r="AA212" s="2" t="str">
        <f t="shared" si="67"/>
        <v/>
      </c>
      <c r="AB212" s="2">
        <f t="shared" si="61"/>
        <v>0</v>
      </c>
      <c r="AC212" s="759">
        <v>0</v>
      </c>
      <c r="AD212" s="741">
        <v>0</v>
      </c>
      <c r="AE212" s="741">
        <v>0</v>
      </c>
      <c r="AF212" s="741">
        <v>0</v>
      </c>
      <c r="AG212" s="741">
        <v>0</v>
      </c>
      <c r="AH212" s="741">
        <v>0</v>
      </c>
      <c r="AI212" s="741">
        <v>0</v>
      </c>
      <c r="AJ212" s="741">
        <v>0</v>
      </c>
      <c r="AK212" s="741">
        <v>0</v>
      </c>
      <c r="AL212" s="741">
        <v>0</v>
      </c>
      <c r="AM212" s="741">
        <v>0</v>
      </c>
      <c r="AN212" s="741">
        <v>0</v>
      </c>
      <c r="AO212" s="741">
        <v>0</v>
      </c>
      <c r="AP212" s="41" t="str">
        <f t="shared" si="57"/>
        <v>GLN</v>
      </c>
      <c r="AQ212" s="41" t="str">
        <f t="shared" si="58"/>
        <v>GLNN5FAS 133</v>
      </c>
      <c r="AR212" s="41" t="str">
        <f t="shared" si="59"/>
        <v>N5FAS 133</v>
      </c>
    </row>
    <row r="213" spans="1:44" s="41" customFormat="1" ht="12.75" customHeight="1">
      <c r="A213" s="442" t="s">
        <v>17</v>
      </c>
      <c r="B213" s="442" t="str">
        <f t="shared" si="73"/>
        <v>GL176351</v>
      </c>
      <c r="C213" s="638">
        <v>176351</v>
      </c>
      <c r="D213" s="735"/>
      <c r="E213" s="626"/>
      <c r="F213" s="441" t="s">
        <v>212</v>
      </c>
      <c r="G213" s="626"/>
      <c r="H213" s="736" t="s">
        <v>1133</v>
      </c>
      <c r="I213" s="442"/>
      <c r="J213" s="442"/>
      <c r="K213" s="442" t="str">
        <f t="shared" si="68"/>
        <v/>
      </c>
      <c r="L213" s="736" t="s">
        <v>2427</v>
      </c>
      <c r="M213" s="442" t="str">
        <f t="shared" si="74"/>
        <v>N</v>
      </c>
      <c r="N213" s="442" t="str">
        <f>IF(L213&lt;&gt;"",VLOOKUP(L213,Categories!$B$2:$D$41,2,FALSE),IF(F213&lt;&gt;"","No Cat",""))</f>
        <v>NRBASE</v>
      </c>
      <c r="O213" s="442" t="str">
        <f>IF($L213&lt;&gt;"",VLOOKUP($L213,Categories!$B$2:$D$41,3,FALSE),IF($F213&lt;&gt;"","No Cat",""))</f>
        <v>Hedges &amp; OCI</v>
      </c>
      <c r="P213" s="736" t="s">
        <v>2468</v>
      </c>
      <c r="Q213" s="442" t="str">
        <f>VLOOKUP($P213,Allocators!$B$7:$F$19,5,FALSE)</f>
        <v>Not in Rate Base</v>
      </c>
      <c r="R213" s="737">
        <f>VLOOKUP($P213,Allocators!$B$7:$F$19,2,FALSE)</f>
        <v>0</v>
      </c>
      <c r="S213" s="737">
        <f>VLOOKUP($P213,Allocators!$B$7:$F$19,3,FALSE)</f>
        <v>0</v>
      </c>
      <c r="T213" s="737">
        <f t="shared" si="56"/>
        <v>1</v>
      </c>
      <c r="U213" s="2" t="str">
        <f t="shared" si="62"/>
        <v/>
      </c>
      <c r="V213" s="2" t="str">
        <f t="shared" si="63"/>
        <v/>
      </c>
      <c r="W213" s="2" t="str">
        <f t="shared" si="64"/>
        <v/>
      </c>
      <c r="X213" s="2">
        <f t="shared" si="60"/>
        <v>0</v>
      </c>
      <c r="Y213" s="2" t="str">
        <f t="shared" si="65"/>
        <v/>
      </c>
      <c r="Z213" s="2" t="str">
        <f t="shared" si="66"/>
        <v/>
      </c>
      <c r="AA213" s="2" t="str">
        <f t="shared" si="67"/>
        <v/>
      </c>
      <c r="AB213" s="2">
        <f t="shared" si="61"/>
        <v>0</v>
      </c>
      <c r="AC213" s="759">
        <v>0</v>
      </c>
      <c r="AD213" s="741">
        <v>0</v>
      </c>
      <c r="AE213" s="741">
        <v>0</v>
      </c>
      <c r="AF213" s="741">
        <v>0</v>
      </c>
      <c r="AG213" s="741">
        <v>0</v>
      </c>
      <c r="AH213" s="741">
        <v>0</v>
      </c>
      <c r="AI213" s="741">
        <v>0</v>
      </c>
      <c r="AJ213" s="741">
        <v>0</v>
      </c>
      <c r="AK213" s="741">
        <v>0</v>
      </c>
      <c r="AL213" s="741">
        <v>0</v>
      </c>
      <c r="AM213" s="741">
        <v>0</v>
      </c>
      <c r="AN213" s="741">
        <v>0</v>
      </c>
      <c r="AO213" s="741">
        <v>0</v>
      </c>
      <c r="AP213" s="41" t="str">
        <f t="shared" si="57"/>
        <v>GLN</v>
      </c>
      <c r="AQ213" s="41" t="str">
        <f t="shared" si="58"/>
        <v>GLNN5FAS 133</v>
      </c>
      <c r="AR213" s="41" t="str">
        <f t="shared" si="59"/>
        <v>N5FAS 133</v>
      </c>
    </row>
    <row r="214" spans="1:44" s="41" customFormat="1" ht="12.75" customHeight="1">
      <c r="A214" s="442" t="s">
        <v>17</v>
      </c>
      <c r="B214" s="442" t="str">
        <f t="shared" si="73"/>
        <v>GL176401</v>
      </c>
      <c r="C214" s="638">
        <v>176401</v>
      </c>
      <c r="D214" s="735"/>
      <c r="E214" s="626"/>
      <c r="F214" s="441" t="s">
        <v>213</v>
      </c>
      <c r="G214" s="626"/>
      <c r="H214" s="736" t="s">
        <v>1133</v>
      </c>
      <c r="I214" s="442"/>
      <c r="J214" s="442"/>
      <c r="K214" s="442" t="str">
        <f t="shared" si="68"/>
        <v/>
      </c>
      <c r="L214" s="736" t="s">
        <v>2427</v>
      </c>
      <c r="M214" s="442" t="str">
        <f t="shared" si="74"/>
        <v>N</v>
      </c>
      <c r="N214" s="442" t="str">
        <f>IF(L214&lt;&gt;"",VLOOKUP(L214,Categories!$B$2:$D$41,2,FALSE),IF(F214&lt;&gt;"","No Cat",""))</f>
        <v>NRBASE</v>
      </c>
      <c r="O214" s="442" t="str">
        <f>IF($L214&lt;&gt;"",VLOOKUP($L214,Categories!$B$2:$D$41,3,FALSE),IF($F214&lt;&gt;"","No Cat",""))</f>
        <v>Hedges &amp; OCI</v>
      </c>
      <c r="P214" s="736" t="s">
        <v>2468</v>
      </c>
      <c r="Q214" s="442" t="str">
        <f>VLOOKUP($P214,Allocators!$B$7:$F$19,5,FALSE)</f>
        <v>Not in Rate Base</v>
      </c>
      <c r="R214" s="737">
        <f>VLOOKUP($P214,Allocators!$B$7:$F$19,2,FALSE)</f>
        <v>0</v>
      </c>
      <c r="S214" s="737">
        <f>VLOOKUP($P214,Allocators!$B$7:$F$19,3,FALSE)</f>
        <v>0</v>
      </c>
      <c r="T214" s="737">
        <f t="shared" si="56"/>
        <v>1</v>
      </c>
      <c r="U214" s="2">
        <f t="shared" si="62"/>
        <v>0</v>
      </c>
      <c r="V214" s="2">
        <f t="shared" si="63"/>
        <v>0</v>
      </c>
      <c r="W214" s="2">
        <f t="shared" si="64"/>
        <v>3725.7415000000001</v>
      </c>
      <c r="X214" s="2">
        <f t="shared" si="60"/>
        <v>3725.7415000000001</v>
      </c>
      <c r="Y214" s="2" t="str">
        <f t="shared" si="65"/>
        <v/>
      </c>
      <c r="Z214" s="2" t="str">
        <f t="shared" si="66"/>
        <v/>
      </c>
      <c r="AA214" s="2" t="str">
        <f t="shared" si="67"/>
        <v/>
      </c>
      <c r="AB214" s="2">
        <f t="shared" si="61"/>
        <v>0</v>
      </c>
      <c r="AC214" s="759">
        <v>824.904</v>
      </c>
      <c r="AD214" s="741">
        <v>3925.9479999999999</v>
      </c>
      <c r="AE214" s="741">
        <v>4947.3760000000002</v>
      </c>
      <c r="AF214" s="741">
        <v>4002.9859999999999</v>
      </c>
      <c r="AG214" s="741">
        <v>7478.98</v>
      </c>
      <c r="AH214" s="741">
        <v>6151.9539999999997</v>
      </c>
      <c r="AI214" s="741">
        <v>3943.9859999999999</v>
      </c>
      <c r="AJ214" s="741">
        <v>0</v>
      </c>
      <c r="AK214" s="741">
        <v>1132.412</v>
      </c>
      <c r="AL214" s="741">
        <v>3870.248</v>
      </c>
      <c r="AM214" s="741">
        <v>3954.4380000000001</v>
      </c>
      <c r="AN214" s="741">
        <v>4888.1180000000004</v>
      </c>
      <c r="AO214" s="741">
        <v>0</v>
      </c>
      <c r="AP214" s="41" t="str">
        <f t="shared" si="57"/>
        <v>GLN</v>
      </c>
      <c r="AQ214" s="41" t="str">
        <f t="shared" si="58"/>
        <v>GLNN5FAS 133</v>
      </c>
      <c r="AR214" s="41" t="str">
        <f t="shared" si="59"/>
        <v>N5FAS 133</v>
      </c>
    </row>
    <row r="215" spans="1:44" s="41" customFormat="1" ht="12.75" customHeight="1">
      <c r="A215" s="442" t="s">
        <v>17</v>
      </c>
      <c r="B215" s="442" t="str">
        <f t="shared" si="73"/>
        <v>GL176500</v>
      </c>
      <c r="C215" s="638">
        <v>176500</v>
      </c>
      <c r="D215" s="735"/>
      <c r="E215" s="626"/>
      <c r="F215" s="441" t="s">
        <v>214</v>
      </c>
      <c r="G215" s="626"/>
      <c r="H215" s="736" t="s">
        <v>1133</v>
      </c>
      <c r="I215" s="442"/>
      <c r="J215" s="442"/>
      <c r="K215" s="442" t="str">
        <f t="shared" si="68"/>
        <v/>
      </c>
      <c r="L215" s="736" t="s">
        <v>2427</v>
      </c>
      <c r="M215" s="442" t="str">
        <f t="shared" si="74"/>
        <v>N</v>
      </c>
      <c r="N215" s="442" t="str">
        <f>IF(L215&lt;&gt;"",VLOOKUP(L215,Categories!$B$2:$D$41,2,FALSE),IF(F215&lt;&gt;"","No Cat",""))</f>
        <v>NRBASE</v>
      </c>
      <c r="O215" s="442" t="str">
        <f>IF($L215&lt;&gt;"",VLOOKUP($L215,Categories!$B$2:$D$41,3,FALSE),IF($F215&lt;&gt;"","No Cat",""))</f>
        <v>Hedges &amp; OCI</v>
      </c>
      <c r="P215" s="736" t="s">
        <v>2468</v>
      </c>
      <c r="Q215" s="442" t="str">
        <f>VLOOKUP($P215,Allocators!$B$7:$F$19,5,FALSE)</f>
        <v>Not in Rate Base</v>
      </c>
      <c r="R215" s="737">
        <f>VLOOKUP($P215,Allocators!$B$7:$F$19,2,FALSE)</f>
        <v>0</v>
      </c>
      <c r="S215" s="737">
        <f>VLOOKUP($P215,Allocators!$B$7:$F$19,3,FALSE)</f>
        <v>0</v>
      </c>
      <c r="T215" s="737">
        <f t="shared" si="56"/>
        <v>1</v>
      </c>
      <c r="U215" s="2" t="str">
        <f t="shared" si="62"/>
        <v/>
      </c>
      <c r="V215" s="2" t="str">
        <f t="shared" si="63"/>
        <v/>
      </c>
      <c r="W215" s="2" t="str">
        <f t="shared" si="64"/>
        <v/>
      </c>
      <c r="X215" s="2">
        <f t="shared" si="60"/>
        <v>0</v>
      </c>
      <c r="Y215" s="2" t="str">
        <f t="shared" si="65"/>
        <v/>
      </c>
      <c r="Z215" s="2" t="str">
        <f t="shared" si="66"/>
        <v/>
      </c>
      <c r="AA215" s="2" t="str">
        <f t="shared" si="67"/>
        <v/>
      </c>
      <c r="AB215" s="2">
        <f t="shared" si="61"/>
        <v>0</v>
      </c>
      <c r="AC215" s="759">
        <v>0</v>
      </c>
      <c r="AD215" s="741">
        <v>0</v>
      </c>
      <c r="AE215" s="741">
        <v>0</v>
      </c>
      <c r="AF215" s="741">
        <v>0</v>
      </c>
      <c r="AG215" s="741">
        <v>0</v>
      </c>
      <c r="AH215" s="741">
        <v>0</v>
      </c>
      <c r="AI215" s="741">
        <v>0</v>
      </c>
      <c r="AJ215" s="741">
        <v>0</v>
      </c>
      <c r="AK215" s="741">
        <v>0</v>
      </c>
      <c r="AL215" s="741">
        <v>0</v>
      </c>
      <c r="AM215" s="741">
        <v>0</v>
      </c>
      <c r="AN215" s="741">
        <v>0</v>
      </c>
      <c r="AO215" s="741">
        <v>0</v>
      </c>
      <c r="AP215" s="41" t="str">
        <f t="shared" si="57"/>
        <v>GLN</v>
      </c>
      <c r="AQ215" s="41" t="str">
        <f t="shared" si="58"/>
        <v>GLNN5FAS 133</v>
      </c>
      <c r="AR215" s="41" t="str">
        <f t="shared" si="59"/>
        <v>N5FAS 133</v>
      </c>
    </row>
    <row r="216" spans="1:44" s="41" customFormat="1" ht="12.75" customHeight="1">
      <c r="A216" s="442" t="s">
        <v>17</v>
      </c>
      <c r="B216" s="442" t="str">
        <f t="shared" si="73"/>
        <v>GL176990</v>
      </c>
      <c r="C216" s="638">
        <v>176990</v>
      </c>
      <c r="D216" s="735"/>
      <c r="E216" s="626"/>
      <c r="F216" s="441" t="s">
        <v>215</v>
      </c>
      <c r="G216" s="626"/>
      <c r="H216" s="736" t="s">
        <v>1133</v>
      </c>
      <c r="I216" s="442"/>
      <c r="J216" s="442"/>
      <c r="K216" s="442" t="str">
        <f t="shared" si="68"/>
        <v/>
      </c>
      <c r="L216" s="736" t="s">
        <v>2427</v>
      </c>
      <c r="M216" s="442" t="str">
        <f t="shared" si="74"/>
        <v>N</v>
      </c>
      <c r="N216" s="442" t="str">
        <f>IF(L216&lt;&gt;"",VLOOKUP(L216,Categories!$B$2:$D$41,2,FALSE),IF(F216&lt;&gt;"","No Cat",""))</f>
        <v>NRBASE</v>
      </c>
      <c r="O216" s="442" t="str">
        <f>IF($L216&lt;&gt;"",VLOOKUP($L216,Categories!$B$2:$D$41,3,FALSE),IF($F216&lt;&gt;"","No Cat",""))</f>
        <v>Hedges &amp; OCI</v>
      </c>
      <c r="P216" s="736" t="s">
        <v>2468</v>
      </c>
      <c r="Q216" s="442" t="str">
        <f>VLOOKUP($P216,Allocators!$B$7:$F$19,5,FALSE)</f>
        <v>Not in Rate Base</v>
      </c>
      <c r="R216" s="737">
        <f>VLOOKUP($P216,Allocators!$B$7:$F$19,2,FALSE)</f>
        <v>0</v>
      </c>
      <c r="S216" s="737">
        <f>VLOOKUP($P216,Allocators!$B$7:$F$19,3,FALSE)</f>
        <v>0</v>
      </c>
      <c r="T216" s="737">
        <f t="shared" ref="T216:T280" si="75">IF(P216="N",1,"0.0%")</f>
        <v>1</v>
      </c>
      <c r="U216" s="2" t="str">
        <f t="shared" si="62"/>
        <v/>
      </c>
      <c r="V216" s="2" t="str">
        <f t="shared" si="63"/>
        <v/>
      </c>
      <c r="W216" s="2" t="str">
        <f t="shared" si="64"/>
        <v/>
      </c>
      <c r="X216" s="2">
        <f t="shared" si="60"/>
        <v>0</v>
      </c>
      <c r="Y216" s="2" t="str">
        <f t="shared" si="65"/>
        <v/>
      </c>
      <c r="Z216" s="2" t="str">
        <f t="shared" si="66"/>
        <v/>
      </c>
      <c r="AA216" s="2" t="str">
        <f t="shared" si="67"/>
        <v/>
      </c>
      <c r="AB216" s="2">
        <f t="shared" si="61"/>
        <v>0</v>
      </c>
      <c r="AC216" s="759">
        <v>0</v>
      </c>
      <c r="AD216" s="741">
        <v>0</v>
      </c>
      <c r="AE216" s="741">
        <v>0</v>
      </c>
      <c r="AF216" s="741">
        <v>0</v>
      </c>
      <c r="AG216" s="741">
        <v>0</v>
      </c>
      <c r="AH216" s="741">
        <v>0</v>
      </c>
      <c r="AI216" s="741">
        <v>0</v>
      </c>
      <c r="AJ216" s="741">
        <v>0</v>
      </c>
      <c r="AK216" s="741">
        <v>0</v>
      </c>
      <c r="AL216" s="741">
        <v>0</v>
      </c>
      <c r="AM216" s="741">
        <v>0</v>
      </c>
      <c r="AN216" s="741">
        <v>0</v>
      </c>
      <c r="AO216" s="741">
        <v>0</v>
      </c>
      <c r="AP216" s="41" t="str">
        <f t="shared" si="57"/>
        <v>GLN</v>
      </c>
      <c r="AQ216" s="41" t="str">
        <f t="shared" si="58"/>
        <v>GLNN5FAS 133</v>
      </c>
      <c r="AR216" s="41" t="str">
        <f t="shared" si="59"/>
        <v>N5FAS 133</v>
      </c>
    </row>
    <row r="217" spans="1:44" s="41" customFormat="1" ht="12.75" customHeight="1">
      <c r="A217" s="442" t="s">
        <v>17</v>
      </c>
      <c r="B217" s="442" t="str">
        <f t="shared" si="73"/>
        <v>GL176991</v>
      </c>
      <c r="C217" s="638">
        <v>176991</v>
      </c>
      <c r="D217" s="735"/>
      <c r="E217" s="626"/>
      <c r="F217" s="441" t="s">
        <v>216</v>
      </c>
      <c r="G217" s="626"/>
      <c r="H217" s="736" t="s">
        <v>1133</v>
      </c>
      <c r="I217" s="442"/>
      <c r="J217" s="442"/>
      <c r="K217" s="442" t="str">
        <f t="shared" si="68"/>
        <v/>
      </c>
      <c r="L217" s="736" t="s">
        <v>2427</v>
      </c>
      <c r="M217" s="442" t="str">
        <f t="shared" si="74"/>
        <v>N</v>
      </c>
      <c r="N217" s="442" t="str">
        <f>IF(L217&lt;&gt;"",VLOOKUP(L217,Categories!$B$2:$D$41,2,FALSE),IF(F217&lt;&gt;"","No Cat",""))</f>
        <v>NRBASE</v>
      </c>
      <c r="O217" s="442" t="str">
        <f>IF($L217&lt;&gt;"",VLOOKUP($L217,Categories!$B$2:$D$41,3,FALSE),IF($F217&lt;&gt;"","No Cat",""))</f>
        <v>Hedges &amp; OCI</v>
      </c>
      <c r="P217" s="736" t="s">
        <v>2468</v>
      </c>
      <c r="Q217" s="442" t="str">
        <f>VLOOKUP($P217,Allocators!$B$7:$F$19,5,FALSE)</f>
        <v>Not in Rate Base</v>
      </c>
      <c r="R217" s="737">
        <f>VLOOKUP($P217,Allocators!$B$7:$F$19,2,FALSE)</f>
        <v>0</v>
      </c>
      <c r="S217" s="737">
        <f>VLOOKUP($P217,Allocators!$B$7:$F$19,3,FALSE)</f>
        <v>0</v>
      </c>
      <c r="T217" s="737">
        <f t="shared" si="75"/>
        <v>1</v>
      </c>
      <c r="U217" s="2" t="str">
        <f t="shared" si="62"/>
        <v/>
      </c>
      <c r="V217" s="2" t="str">
        <f t="shared" si="63"/>
        <v/>
      </c>
      <c r="W217" s="2" t="str">
        <f t="shared" si="64"/>
        <v/>
      </c>
      <c r="X217" s="2">
        <f t="shared" si="60"/>
        <v>0</v>
      </c>
      <c r="Y217" s="2" t="str">
        <f t="shared" si="65"/>
        <v/>
      </c>
      <c r="Z217" s="2" t="str">
        <f t="shared" si="66"/>
        <v/>
      </c>
      <c r="AA217" s="2" t="str">
        <f t="shared" si="67"/>
        <v/>
      </c>
      <c r="AB217" s="2">
        <f t="shared" si="61"/>
        <v>0</v>
      </c>
      <c r="AC217" s="759">
        <v>0</v>
      </c>
      <c r="AD217" s="741">
        <v>0</v>
      </c>
      <c r="AE217" s="741">
        <v>0</v>
      </c>
      <c r="AF217" s="741">
        <v>0</v>
      </c>
      <c r="AG217" s="741">
        <v>0</v>
      </c>
      <c r="AH217" s="741">
        <v>0</v>
      </c>
      <c r="AI217" s="741">
        <v>0</v>
      </c>
      <c r="AJ217" s="741">
        <v>0</v>
      </c>
      <c r="AK217" s="741">
        <v>0</v>
      </c>
      <c r="AL217" s="741">
        <v>0</v>
      </c>
      <c r="AM217" s="741">
        <v>0</v>
      </c>
      <c r="AN217" s="741">
        <v>0</v>
      </c>
      <c r="AO217" s="741">
        <v>0</v>
      </c>
      <c r="AP217" s="41" t="str">
        <f t="shared" si="57"/>
        <v>GLN</v>
      </c>
      <c r="AQ217" s="41" t="str">
        <f t="shared" si="58"/>
        <v>GLNN5FAS 133</v>
      </c>
      <c r="AR217" s="41" t="str">
        <f t="shared" si="59"/>
        <v>N5FAS 133</v>
      </c>
    </row>
    <row r="218" spans="1:44" s="41" customFormat="1" ht="12.75" customHeight="1">
      <c r="A218" s="442" t="s">
        <v>17</v>
      </c>
      <c r="B218" s="442" t="str">
        <f t="shared" si="73"/>
        <v>GL176992</v>
      </c>
      <c r="C218" s="638">
        <v>176992</v>
      </c>
      <c r="D218" s="735"/>
      <c r="E218" s="626"/>
      <c r="F218" s="441" t="s">
        <v>2551</v>
      </c>
      <c r="G218" s="626"/>
      <c r="H218" s="736" t="s">
        <v>1133</v>
      </c>
      <c r="I218" s="442"/>
      <c r="J218" s="442"/>
      <c r="K218" s="442" t="str">
        <f t="shared" si="68"/>
        <v/>
      </c>
      <c r="L218" s="736" t="s">
        <v>2427</v>
      </c>
      <c r="M218" s="442" t="str">
        <f t="shared" si="74"/>
        <v>N</v>
      </c>
      <c r="N218" s="442" t="str">
        <f>IF(L218&lt;&gt;"",VLOOKUP(L218,Categories!$B$2:$D$41,2,FALSE),IF(F218&lt;&gt;"","No Cat",""))</f>
        <v>NRBASE</v>
      </c>
      <c r="O218" s="442" t="str">
        <f>IF($L218&lt;&gt;"",VLOOKUP($L218,Categories!$B$2:$D$41,3,FALSE),IF($F218&lt;&gt;"","No Cat",""))</f>
        <v>Hedges &amp; OCI</v>
      </c>
      <c r="P218" s="736" t="s">
        <v>2468</v>
      </c>
      <c r="Q218" s="442" t="str">
        <f>VLOOKUP($P218,Allocators!$B$7:$F$19,5,FALSE)</f>
        <v>Not in Rate Base</v>
      </c>
      <c r="R218" s="737">
        <f>VLOOKUP($P218,Allocators!$B$7:$F$19,2,FALSE)</f>
        <v>0</v>
      </c>
      <c r="S218" s="737">
        <f>VLOOKUP($P218,Allocators!$B$7:$F$19,3,FALSE)</f>
        <v>0</v>
      </c>
      <c r="T218" s="737">
        <f t="shared" si="75"/>
        <v>1</v>
      </c>
      <c r="U218" s="2">
        <f t="shared" si="62"/>
        <v>0</v>
      </c>
      <c r="V218" s="2">
        <f t="shared" si="63"/>
        <v>0</v>
      </c>
      <c r="W218" s="2">
        <f t="shared" si="64"/>
        <v>96.778000000000006</v>
      </c>
      <c r="X218" s="2">
        <f t="shared" si="60"/>
        <v>96.778000000000006</v>
      </c>
      <c r="Y218" s="2" t="str">
        <f t="shared" si="65"/>
        <v/>
      </c>
      <c r="Z218" s="2" t="str">
        <f t="shared" si="66"/>
        <v/>
      </c>
      <c r="AA218" s="2" t="str">
        <f t="shared" si="67"/>
        <v/>
      </c>
      <c r="AB218" s="2">
        <f t="shared" si="61"/>
        <v>0</v>
      </c>
      <c r="AC218" s="759">
        <v>88.52</v>
      </c>
      <c r="AD218" s="741">
        <v>143.86000000000001</v>
      </c>
      <c r="AE218" s="741">
        <v>100.53</v>
      </c>
      <c r="AF218" s="741">
        <v>0</v>
      </c>
      <c r="AG218" s="741">
        <v>767.8</v>
      </c>
      <c r="AH218" s="741">
        <v>80.995999999999995</v>
      </c>
      <c r="AI218" s="741">
        <v>0</v>
      </c>
      <c r="AJ218" s="741">
        <v>0</v>
      </c>
      <c r="AK218" s="741">
        <v>13.88</v>
      </c>
      <c r="AL218" s="741">
        <v>10.01</v>
      </c>
      <c r="AM218" s="741">
        <v>0</v>
      </c>
      <c r="AN218" s="741">
        <v>0</v>
      </c>
      <c r="AO218" s="741">
        <v>0</v>
      </c>
      <c r="AP218" s="41" t="str">
        <f t="shared" si="57"/>
        <v>GLN</v>
      </c>
      <c r="AQ218" s="41" t="str">
        <f t="shared" si="58"/>
        <v>GLNN5FAS 133</v>
      </c>
      <c r="AR218" s="41" t="str">
        <f t="shared" si="59"/>
        <v>N5FAS 133</v>
      </c>
    </row>
    <row r="219" spans="1:44" s="41" customFormat="1" ht="12.75" customHeight="1">
      <c r="A219" s="25" t="s">
        <v>17</v>
      </c>
      <c r="B219" s="25" t="str">
        <f t="shared" si="73"/>
        <v>GL181000</v>
      </c>
      <c r="C219" s="638">
        <v>181000</v>
      </c>
      <c r="D219" s="735"/>
      <c r="F219" s="1" t="s">
        <v>217</v>
      </c>
      <c r="H219" s="736">
        <v>0</v>
      </c>
      <c r="I219" s="25"/>
      <c r="J219" s="25"/>
      <c r="K219" s="442" t="str">
        <f t="shared" si="68"/>
        <v/>
      </c>
      <c r="L219" s="736" t="s">
        <v>2417</v>
      </c>
      <c r="M219" s="25" t="str">
        <f t="shared" si="74"/>
        <v>C</v>
      </c>
      <c r="N219" s="25" t="str">
        <f>IF(L219&lt;&gt;"",VLOOKUP(L219,Categories!$B$2:$D$41,2,FALSE),IF(F219&lt;&gt;"","No Cat",""))</f>
        <v>Capitalization</v>
      </c>
      <c r="O219" s="25" t="str">
        <f>IF($L219&lt;&gt;"",VLOOKUP($L219,Categories!$B$2:$D$41,3,FALSE),IF($F219&lt;&gt;"","No Cat",""))</f>
        <v>Unamortized Debt Expense</v>
      </c>
      <c r="P219" s="736" t="s">
        <v>2468</v>
      </c>
      <c r="Q219" s="25" t="str">
        <f>VLOOKUP($P219,Allocators!$B$7:$F$19,5,FALSE)</f>
        <v>Not in Rate Base</v>
      </c>
      <c r="R219" s="737">
        <f>VLOOKUP($P219,Allocators!$B$7:$F$19,2,FALSE)</f>
        <v>0</v>
      </c>
      <c r="S219" s="737">
        <f>VLOOKUP($P219,Allocators!$B$7:$F$19,3,FALSE)</f>
        <v>0</v>
      </c>
      <c r="T219" s="737">
        <f t="shared" si="75"/>
        <v>1</v>
      </c>
      <c r="U219" s="2">
        <f t="shared" si="62"/>
        <v>0</v>
      </c>
      <c r="V219" s="2">
        <f t="shared" si="63"/>
        <v>0</v>
      </c>
      <c r="W219" s="2">
        <f t="shared" si="64"/>
        <v>9390.5982225000007</v>
      </c>
      <c r="X219" s="2">
        <f t="shared" si="60"/>
        <v>9390.5982225000007</v>
      </c>
      <c r="Y219" s="2">
        <f t="shared" si="65"/>
        <v>0</v>
      </c>
      <c r="Z219" s="2">
        <f t="shared" si="66"/>
        <v>0</v>
      </c>
      <c r="AA219" s="2">
        <f t="shared" si="67"/>
        <v>8947.4017800000001</v>
      </c>
      <c r="AB219" s="2">
        <f t="shared" si="61"/>
        <v>8947.4017800000001</v>
      </c>
      <c r="AC219" s="759">
        <v>9794.7305399999987</v>
      </c>
      <c r="AD219" s="741">
        <v>9724.1198100000001</v>
      </c>
      <c r="AE219" s="741">
        <v>9653.5090799999998</v>
      </c>
      <c r="AF219" s="741">
        <v>9582.8983499999995</v>
      </c>
      <c r="AG219" s="741">
        <v>9512.2876199999992</v>
      </c>
      <c r="AH219" s="741">
        <v>9441.6768900000006</v>
      </c>
      <c r="AI219" s="741">
        <v>9384.1811600000001</v>
      </c>
      <c r="AJ219" s="741">
        <v>9314.7560299999986</v>
      </c>
      <c r="AK219" s="741">
        <v>9274.1453000000001</v>
      </c>
      <c r="AL219" s="741">
        <v>9203.5345699999998</v>
      </c>
      <c r="AM219" s="741">
        <v>9139.6938399999999</v>
      </c>
      <c r="AN219" s="741">
        <v>9085.3098599999994</v>
      </c>
      <c r="AO219" s="741">
        <v>8947.4017800000001</v>
      </c>
      <c r="AP219" s="41" t="str">
        <f t="shared" si="57"/>
        <v>GLC</v>
      </c>
      <c r="AQ219" s="41" t="str">
        <f t="shared" si="58"/>
        <v>GLCC90</v>
      </c>
      <c r="AR219" s="41" t="str">
        <f t="shared" si="59"/>
        <v>C90</v>
      </c>
    </row>
    <row r="220" spans="1:44" s="41" customFormat="1" ht="12.75" customHeight="1">
      <c r="A220" s="25" t="s">
        <v>17</v>
      </c>
      <c r="B220" s="25" t="str">
        <f t="shared" si="73"/>
        <v>GL181001</v>
      </c>
      <c r="C220" s="638">
        <v>181001</v>
      </c>
      <c r="D220" s="735"/>
      <c r="F220" s="1" t="s">
        <v>218</v>
      </c>
      <c r="H220" s="736">
        <v>0</v>
      </c>
      <c r="I220" s="25"/>
      <c r="J220" s="25"/>
      <c r="K220" s="442" t="str">
        <f t="shared" si="68"/>
        <v/>
      </c>
      <c r="L220" s="736" t="s">
        <v>2417</v>
      </c>
      <c r="M220" s="25" t="str">
        <f t="shared" si="74"/>
        <v>C</v>
      </c>
      <c r="N220" s="25" t="str">
        <f>IF(L220&lt;&gt;"",VLOOKUP(L220,Categories!$B$2:$D$41,2,FALSE),IF(F220&lt;&gt;"","No Cat",""))</f>
        <v>Capitalization</v>
      </c>
      <c r="O220" s="25" t="str">
        <f>IF($L220&lt;&gt;"",VLOOKUP($L220,Categories!$B$2:$D$41,3,FALSE),IF($F220&lt;&gt;"","No Cat",""))</f>
        <v>Unamortized Debt Expense</v>
      </c>
      <c r="P220" s="736" t="s">
        <v>2468</v>
      </c>
      <c r="Q220" s="25" t="str">
        <f>VLOOKUP($P220,Allocators!$B$7:$F$19,5,FALSE)</f>
        <v>Not in Rate Base</v>
      </c>
      <c r="R220" s="737">
        <f>VLOOKUP($P220,Allocators!$B$7:$F$19,2,FALSE)</f>
        <v>0</v>
      </c>
      <c r="S220" s="737">
        <f>VLOOKUP($P220,Allocators!$B$7:$F$19,3,FALSE)</f>
        <v>0</v>
      </c>
      <c r="T220" s="737">
        <f t="shared" si="75"/>
        <v>1</v>
      </c>
      <c r="U220" s="2" t="str">
        <f t="shared" si="62"/>
        <v/>
      </c>
      <c r="V220" s="2" t="str">
        <f t="shared" si="63"/>
        <v/>
      </c>
      <c r="W220" s="2" t="str">
        <f t="shared" si="64"/>
        <v/>
      </c>
      <c r="X220" s="2">
        <f t="shared" si="60"/>
        <v>0</v>
      </c>
      <c r="Y220" s="2" t="str">
        <f t="shared" si="65"/>
        <v/>
      </c>
      <c r="Z220" s="2" t="str">
        <f t="shared" si="66"/>
        <v/>
      </c>
      <c r="AA220" s="2" t="str">
        <f t="shared" si="67"/>
        <v/>
      </c>
      <c r="AB220" s="2">
        <f t="shared" si="61"/>
        <v>0</v>
      </c>
      <c r="AC220" s="759">
        <v>0</v>
      </c>
      <c r="AD220" s="741">
        <v>0</v>
      </c>
      <c r="AE220" s="741">
        <v>0</v>
      </c>
      <c r="AF220" s="741">
        <v>0</v>
      </c>
      <c r="AG220" s="741">
        <v>0</v>
      </c>
      <c r="AH220" s="741">
        <v>0</v>
      </c>
      <c r="AI220" s="741">
        <v>0</v>
      </c>
      <c r="AJ220" s="741">
        <v>0</v>
      </c>
      <c r="AK220" s="741">
        <v>0</v>
      </c>
      <c r="AL220" s="741">
        <v>0</v>
      </c>
      <c r="AM220" s="741">
        <v>0</v>
      </c>
      <c r="AN220" s="741">
        <v>0</v>
      </c>
      <c r="AO220" s="741">
        <v>0</v>
      </c>
      <c r="AP220" s="41" t="str">
        <f t="shared" si="57"/>
        <v>GLC</v>
      </c>
      <c r="AQ220" s="41" t="str">
        <f t="shared" si="58"/>
        <v>GLCC90</v>
      </c>
      <c r="AR220" s="41" t="str">
        <f t="shared" si="59"/>
        <v>C90</v>
      </c>
    </row>
    <row r="221" spans="1:44" s="41" customFormat="1" ht="12.75" customHeight="1">
      <c r="A221" s="25" t="s">
        <v>17</v>
      </c>
      <c r="B221" s="25" t="str">
        <f t="shared" si="73"/>
        <v>GL181010</v>
      </c>
      <c r="C221" s="638">
        <v>181010</v>
      </c>
      <c r="D221" s="735"/>
      <c r="F221" s="1" t="s">
        <v>219</v>
      </c>
      <c r="H221" s="736">
        <v>0</v>
      </c>
      <c r="I221" s="25"/>
      <c r="J221" s="25"/>
      <c r="K221" s="442" t="str">
        <f t="shared" si="68"/>
        <v/>
      </c>
      <c r="L221" s="736" t="s">
        <v>2417</v>
      </c>
      <c r="M221" s="25" t="str">
        <f t="shared" si="74"/>
        <v>C</v>
      </c>
      <c r="N221" s="25" t="str">
        <f>IF(L221&lt;&gt;"",VLOOKUP(L221,Categories!$B$2:$D$41,2,FALSE),IF(F221&lt;&gt;"","No Cat",""))</f>
        <v>Capitalization</v>
      </c>
      <c r="O221" s="25" t="str">
        <f>IF($L221&lt;&gt;"",VLOOKUP($L221,Categories!$B$2:$D$41,3,FALSE),IF($F221&lt;&gt;"","No Cat",""))</f>
        <v>Unamortized Debt Expense</v>
      </c>
      <c r="P221" s="736" t="s">
        <v>2468</v>
      </c>
      <c r="Q221" s="25" t="str">
        <f>VLOOKUP($P221,Allocators!$B$7:$F$19,5,FALSE)</f>
        <v>Not in Rate Base</v>
      </c>
      <c r="R221" s="737">
        <f>VLOOKUP($P221,Allocators!$B$7:$F$19,2,FALSE)</f>
        <v>0</v>
      </c>
      <c r="S221" s="737">
        <f>VLOOKUP($P221,Allocators!$B$7:$F$19,3,FALSE)</f>
        <v>0</v>
      </c>
      <c r="T221" s="737">
        <f t="shared" si="75"/>
        <v>1</v>
      </c>
      <c r="U221" s="2" t="str">
        <f t="shared" si="62"/>
        <v/>
      </c>
      <c r="V221" s="2" t="str">
        <f t="shared" si="63"/>
        <v/>
      </c>
      <c r="W221" s="2" t="str">
        <f t="shared" si="64"/>
        <v/>
      </c>
      <c r="X221" s="2">
        <f t="shared" si="60"/>
        <v>0</v>
      </c>
      <c r="Y221" s="2" t="str">
        <f t="shared" si="65"/>
        <v/>
      </c>
      <c r="Z221" s="2" t="str">
        <f t="shared" si="66"/>
        <v/>
      </c>
      <c r="AA221" s="2" t="str">
        <f t="shared" si="67"/>
        <v/>
      </c>
      <c r="AB221" s="2">
        <f t="shared" si="61"/>
        <v>0</v>
      </c>
      <c r="AC221" s="759">
        <v>0</v>
      </c>
      <c r="AD221" s="741">
        <v>0</v>
      </c>
      <c r="AE221" s="741">
        <v>0</v>
      </c>
      <c r="AF221" s="741">
        <v>0</v>
      </c>
      <c r="AG221" s="741">
        <v>0</v>
      </c>
      <c r="AH221" s="741">
        <v>0</v>
      </c>
      <c r="AI221" s="741">
        <v>0</v>
      </c>
      <c r="AJ221" s="741">
        <v>0</v>
      </c>
      <c r="AK221" s="741">
        <v>0</v>
      </c>
      <c r="AL221" s="741">
        <v>0</v>
      </c>
      <c r="AM221" s="741">
        <v>0</v>
      </c>
      <c r="AN221" s="741">
        <v>0</v>
      </c>
      <c r="AO221" s="741">
        <v>0</v>
      </c>
      <c r="AP221" s="41" t="str">
        <f t="shared" si="57"/>
        <v>GLC</v>
      </c>
      <c r="AQ221" s="41" t="str">
        <f t="shared" si="58"/>
        <v>GLCC90</v>
      </c>
      <c r="AR221" s="41" t="str">
        <f t="shared" si="59"/>
        <v>C90</v>
      </c>
    </row>
    <row r="222" spans="1:44" s="41" customFormat="1" ht="12.75" customHeight="1">
      <c r="A222" s="25" t="s">
        <v>17</v>
      </c>
      <c r="B222" s="25" t="str">
        <f t="shared" si="73"/>
        <v>GL181020</v>
      </c>
      <c r="C222" s="638">
        <v>181020</v>
      </c>
      <c r="D222" s="735"/>
      <c r="F222" s="1" t="s">
        <v>220</v>
      </c>
      <c r="H222" s="736">
        <v>0</v>
      </c>
      <c r="I222" s="25"/>
      <c r="J222" s="25"/>
      <c r="K222" s="442" t="str">
        <f t="shared" si="68"/>
        <v/>
      </c>
      <c r="L222" s="736" t="s">
        <v>2417</v>
      </c>
      <c r="M222" s="25" t="str">
        <f t="shared" si="74"/>
        <v>C</v>
      </c>
      <c r="N222" s="25" t="str">
        <f>IF(L222&lt;&gt;"",VLOOKUP(L222,Categories!$B$2:$D$41,2,FALSE),IF(F222&lt;&gt;"","No Cat",""))</f>
        <v>Capitalization</v>
      </c>
      <c r="O222" s="25" t="str">
        <f>IF($L222&lt;&gt;"",VLOOKUP($L222,Categories!$B$2:$D$41,3,FALSE),IF($F222&lt;&gt;"","No Cat",""))</f>
        <v>Unamortized Debt Expense</v>
      </c>
      <c r="P222" s="736" t="s">
        <v>2468</v>
      </c>
      <c r="Q222" s="25" t="str">
        <f>VLOOKUP($P222,Allocators!$B$7:$F$19,5,FALSE)</f>
        <v>Not in Rate Base</v>
      </c>
      <c r="R222" s="737">
        <f>VLOOKUP($P222,Allocators!$B$7:$F$19,2,FALSE)</f>
        <v>0</v>
      </c>
      <c r="S222" s="737">
        <f>VLOOKUP($P222,Allocators!$B$7:$F$19,3,FALSE)</f>
        <v>0</v>
      </c>
      <c r="T222" s="737">
        <f t="shared" si="75"/>
        <v>1</v>
      </c>
      <c r="U222" s="2" t="str">
        <f t="shared" si="62"/>
        <v/>
      </c>
      <c r="V222" s="2" t="str">
        <f t="shared" si="63"/>
        <v/>
      </c>
      <c r="W222" s="2" t="str">
        <f t="shared" si="64"/>
        <v/>
      </c>
      <c r="X222" s="2">
        <f t="shared" si="60"/>
        <v>0</v>
      </c>
      <c r="Y222" s="2" t="str">
        <f t="shared" si="65"/>
        <v/>
      </c>
      <c r="Z222" s="2" t="str">
        <f t="shared" si="66"/>
        <v/>
      </c>
      <c r="AA222" s="2" t="str">
        <f t="shared" si="67"/>
        <v/>
      </c>
      <c r="AB222" s="2">
        <f t="shared" si="61"/>
        <v>0</v>
      </c>
      <c r="AC222" s="759">
        <v>0</v>
      </c>
      <c r="AD222" s="741">
        <v>0</v>
      </c>
      <c r="AE222" s="741">
        <v>0</v>
      </c>
      <c r="AF222" s="741">
        <v>0</v>
      </c>
      <c r="AG222" s="741">
        <v>0</v>
      </c>
      <c r="AH222" s="741">
        <v>0</v>
      </c>
      <c r="AI222" s="741">
        <v>0</v>
      </c>
      <c r="AJ222" s="741">
        <v>0</v>
      </c>
      <c r="AK222" s="741">
        <v>0</v>
      </c>
      <c r="AL222" s="741">
        <v>0</v>
      </c>
      <c r="AM222" s="741">
        <v>0</v>
      </c>
      <c r="AN222" s="741">
        <v>0</v>
      </c>
      <c r="AO222" s="741">
        <v>0</v>
      </c>
      <c r="AP222" s="41" t="str">
        <f t="shared" si="57"/>
        <v>GLC</v>
      </c>
      <c r="AQ222" s="41" t="str">
        <f t="shared" si="58"/>
        <v>GLCC90</v>
      </c>
      <c r="AR222" s="41" t="str">
        <f t="shared" si="59"/>
        <v>C90</v>
      </c>
    </row>
    <row r="223" spans="1:44" s="41" customFormat="1" ht="12.75" customHeight="1">
      <c r="A223" s="25" t="s">
        <v>17</v>
      </c>
      <c r="B223" s="25" t="str">
        <f t="shared" si="73"/>
        <v>GL181100</v>
      </c>
      <c r="C223" s="638">
        <v>181100</v>
      </c>
      <c r="D223" s="735"/>
      <c r="F223" s="1" t="s">
        <v>221</v>
      </c>
      <c r="H223" s="736">
        <v>0</v>
      </c>
      <c r="I223" s="25"/>
      <c r="J223" s="25"/>
      <c r="K223" s="442" t="str">
        <f t="shared" si="68"/>
        <v/>
      </c>
      <c r="L223" s="736" t="s">
        <v>2417</v>
      </c>
      <c r="M223" s="25" t="str">
        <f t="shared" si="74"/>
        <v>C</v>
      </c>
      <c r="N223" s="25" t="str">
        <f>IF(L223&lt;&gt;"",VLOOKUP(L223,Categories!$B$2:$D$41,2,FALSE),IF(F223&lt;&gt;"","No Cat",""))</f>
        <v>Capitalization</v>
      </c>
      <c r="O223" s="25" t="str">
        <f>IF($L223&lt;&gt;"",VLOOKUP($L223,Categories!$B$2:$D$41,3,FALSE),IF($F223&lt;&gt;"","No Cat",""))</f>
        <v>Unamortized Debt Expense</v>
      </c>
      <c r="P223" s="736" t="s">
        <v>2468</v>
      </c>
      <c r="Q223" s="25" t="str">
        <f>VLOOKUP($P223,Allocators!$B$7:$F$19,5,FALSE)</f>
        <v>Not in Rate Base</v>
      </c>
      <c r="R223" s="737">
        <f>VLOOKUP($P223,Allocators!$B$7:$F$19,2,FALSE)</f>
        <v>0</v>
      </c>
      <c r="S223" s="737">
        <f>VLOOKUP($P223,Allocators!$B$7:$F$19,3,FALSE)</f>
        <v>0</v>
      </c>
      <c r="T223" s="737">
        <f t="shared" si="75"/>
        <v>1</v>
      </c>
      <c r="U223" s="2" t="str">
        <f t="shared" si="62"/>
        <v/>
      </c>
      <c r="V223" s="2" t="str">
        <f t="shared" si="63"/>
        <v/>
      </c>
      <c r="W223" s="2" t="str">
        <f t="shared" si="64"/>
        <v/>
      </c>
      <c r="X223" s="2">
        <f t="shared" si="60"/>
        <v>0</v>
      </c>
      <c r="Y223" s="2" t="str">
        <f t="shared" si="65"/>
        <v/>
      </c>
      <c r="Z223" s="2" t="str">
        <f t="shared" si="66"/>
        <v/>
      </c>
      <c r="AA223" s="2" t="str">
        <f t="shared" si="67"/>
        <v/>
      </c>
      <c r="AB223" s="2">
        <f t="shared" si="61"/>
        <v>0</v>
      </c>
      <c r="AC223" s="759">
        <v>0</v>
      </c>
      <c r="AD223" s="741">
        <v>0</v>
      </c>
      <c r="AE223" s="741">
        <v>0</v>
      </c>
      <c r="AF223" s="741">
        <v>0</v>
      </c>
      <c r="AG223" s="741">
        <v>0</v>
      </c>
      <c r="AH223" s="741">
        <v>0</v>
      </c>
      <c r="AI223" s="741">
        <v>0</v>
      </c>
      <c r="AJ223" s="741">
        <v>0</v>
      </c>
      <c r="AK223" s="741">
        <v>0</v>
      </c>
      <c r="AL223" s="741">
        <v>0</v>
      </c>
      <c r="AM223" s="741">
        <v>0</v>
      </c>
      <c r="AN223" s="741">
        <v>0</v>
      </c>
      <c r="AO223" s="741">
        <v>0</v>
      </c>
      <c r="AP223" s="41" t="str">
        <f t="shared" si="57"/>
        <v>GLC</v>
      </c>
      <c r="AQ223" s="41" t="str">
        <f t="shared" si="58"/>
        <v>GLCC90</v>
      </c>
      <c r="AR223" s="41" t="str">
        <f t="shared" si="59"/>
        <v>C90</v>
      </c>
    </row>
    <row r="224" spans="1:44" s="41" customFormat="1" ht="12.75" customHeight="1">
      <c r="A224" s="25" t="s">
        <v>17</v>
      </c>
      <c r="B224" s="25" t="str">
        <f t="shared" si="73"/>
        <v>GL181200</v>
      </c>
      <c r="C224" s="638">
        <v>181200</v>
      </c>
      <c r="D224" s="735"/>
      <c r="F224" s="1" t="s">
        <v>222</v>
      </c>
      <c r="H224" s="736">
        <v>0</v>
      </c>
      <c r="I224" s="25"/>
      <c r="J224" s="25"/>
      <c r="K224" s="442" t="str">
        <f t="shared" si="68"/>
        <v/>
      </c>
      <c r="L224" s="736" t="s">
        <v>2417</v>
      </c>
      <c r="M224" s="25" t="str">
        <f t="shared" si="74"/>
        <v>C</v>
      </c>
      <c r="N224" s="25" t="str">
        <f>IF(L224&lt;&gt;"",VLOOKUP(L224,Categories!$B$2:$D$41,2,FALSE),IF(F224&lt;&gt;"","No Cat",""))</f>
        <v>Capitalization</v>
      </c>
      <c r="O224" s="25" t="str">
        <f>IF($L224&lt;&gt;"",VLOOKUP($L224,Categories!$B$2:$D$41,3,FALSE),IF($F224&lt;&gt;"","No Cat",""))</f>
        <v>Unamortized Debt Expense</v>
      </c>
      <c r="P224" s="736" t="s">
        <v>2468</v>
      </c>
      <c r="Q224" s="25" t="str">
        <f>VLOOKUP($P224,Allocators!$B$7:$F$19,5,FALSE)</f>
        <v>Not in Rate Base</v>
      </c>
      <c r="R224" s="737">
        <f>VLOOKUP($P224,Allocators!$B$7:$F$19,2,FALSE)</f>
        <v>0</v>
      </c>
      <c r="S224" s="737">
        <f>VLOOKUP($P224,Allocators!$B$7:$F$19,3,FALSE)</f>
        <v>0</v>
      </c>
      <c r="T224" s="737">
        <f t="shared" si="75"/>
        <v>1</v>
      </c>
      <c r="U224" s="2" t="str">
        <f t="shared" si="62"/>
        <v/>
      </c>
      <c r="V224" s="2" t="str">
        <f t="shared" si="63"/>
        <v/>
      </c>
      <c r="W224" s="2" t="str">
        <f t="shared" si="64"/>
        <v/>
      </c>
      <c r="X224" s="2">
        <f t="shared" si="60"/>
        <v>0</v>
      </c>
      <c r="Y224" s="2" t="str">
        <f t="shared" si="65"/>
        <v/>
      </c>
      <c r="Z224" s="2" t="str">
        <f t="shared" si="66"/>
        <v/>
      </c>
      <c r="AA224" s="2" t="str">
        <f t="shared" si="67"/>
        <v/>
      </c>
      <c r="AB224" s="2">
        <f t="shared" si="61"/>
        <v>0</v>
      </c>
      <c r="AC224" s="759">
        <v>0</v>
      </c>
      <c r="AD224" s="741">
        <v>0</v>
      </c>
      <c r="AE224" s="741">
        <v>0</v>
      </c>
      <c r="AF224" s="741">
        <v>0</v>
      </c>
      <c r="AG224" s="741">
        <v>0</v>
      </c>
      <c r="AH224" s="741">
        <v>0</v>
      </c>
      <c r="AI224" s="741">
        <v>0</v>
      </c>
      <c r="AJ224" s="741">
        <v>0</v>
      </c>
      <c r="AK224" s="741">
        <v>0</v>
      </c>
      <c r="AL224" s="741">
        <v>0</v>
      </c>
      <c r="AM224" s="741">
        <v>0</v>
      </c>
      <c r="AN224" s="741">
        <v>0</v>
      </c>
      <c r="AO224" s="741">
        <v>0</v>
      </c>
      <c r="AP224" s="41" t="str">
        <f t="shared" si="57"/>
        <v>GLC</v>
      </c>
      <c r="AQ224" s="41" t="str">
        <f t="shared" si="58"/>
        <v>GLCC90</v>
      </c>
      <c r="AR224" s="41" t="str">
        <f t="shared" si="59"/>
        <v>C90</v>
      </c>
    </row>
    <row r="225" spans="1:44" s="41" customFormat="1" ht="12.75" customHeight="1">
      <c r="A225" s="25" t="s">
        <v>17</v>
      </c>
      <c r="B225" s="25" t="str">
        <f t="shared" si="73"/>
        <v>GL181300</v>
      </c>
      <c r="C225" s="638">
        <v>181300</v>
      </c>
      <c r="D225" s="735"/>
      <c r="F225" s="1" t="s">
        <v>223</v>
      </c>
      <c r="H225" s="736">
        <v>0</v>
      </c>
      <c r="I225" s="25"/>
      <c r="J225" s="25"/>
      <c r="K225" s="442" t="str">
        <f t="shared" si="68"/>
        <v/>
      </c>
      <c r="L225" s="736" t="s">
        <v>2417</v>
      </c>
      <c r="M225" s="25" t="str">
        <f t="shared" si="74"/>
        <v>C</v>
      </c>
      <c r="N225" s="25" t="str">
        <f>IF(L225&lt;&gt;"",VLOOKUP(L225,Categories!$B$2:$D$41,2,FALSE),IF(F225&lt;&gt;"","No Cat",""))</f>
        <v>Capitalization</v>
      </c>
      <c r="O225" s="25" t="str">
        <f>IF($L225&lt;&gt;"",VLOOKUP($L225,Categories!$B$2:$D$41,3,FALSE),IF($F225&lt;&gt;"","No Cat",""))</f>
        <v>Unamortized Debt Expense</v>
      </c>
      <c r="P225" s="736" t="s">
        <v>2468</v>
      </c>
      <c r="Q225" s="25" t="str">
        <f>VLOOKUP($P225,Allocators!$B$7:$F$19,5,FALSE)</f>
        <v>Not in Rate Base</v>
      </c>
      <c r="R225" s="737">
        <f>VLOOKUP($P225,Allocators!$B$7:$F$19,2,FALSE)</f>
        <v>0</v>
      </c>
      <c r="S225" s="737">
        <f>VLOOKUP($P225,Allocators!$B$7:$F$19,3,FALSE)</f>
        <v>0</v>
      </c>
      <c r="T225" s="737">
        <f t="shared" si="75"/>
        <v>1</v>
      </c>
      <c r="U225" s="2" t="str">
        <f t="shared" si="62"/>
        <v/>
      </c>
      <c r="V225" s="2" t="str">
        <f t="shared" si="63"/>
        <v/>
      </c>
      <c r="W225" s="2" t="str">
        <f t="shared" si="64"/>
        <v/>
      </c>
      <c r="X225" s="2">
        <f t="shared" si="60"/>
        <v>0</v>
      </c>
      <c r="Y225" s="2" t="str">
        <f t="shared" si="65"/>
        <v/>
      </c>
      <c r="Z225" s="2" t="str">
        <f t="shared" si="66"/>
        <v/>
      </c>
      <c r="AA225" s="2" t="str">
        <f t="shared" si="67"/>
        <v/>
      </c>
      <c r="AB225" s="2">
        <f t="shared" si="61"/>
        <v>0</v>
      </c>
      <c r="AC225" s="759">
        <v>0</v>
      </c>
      <c r="AD225" s="741">
        <v>0</v>
      </c>
      <c r="AE225" s="741">
        <v>0</v>
      </c>
      <c r="AF225" s="741">
        <v>0</v>
      </c>
      <c r="AG225" s="741">
        <v>0</v>
      </c>
      <c r="AH225" s="741">
        <v>0</v>
      </c>
      <c r="AI225" s="741">
        <v>0</v>
      </c>
      <c r="AJ225" s="741">
        <v>0</v>
      </c>
      <c r="AK225" s="741">
        <v>0</v>
      </c>
      <c r="AL225" s="741">
        <v>0</v>
      </c>
      <c r="AM225" s="741">
        <v>0</v>
      </c>
      <c r="AN225" s="741">
        <v>0</v>
      </c>
      <c r="AO225" s="741">
        <v>0</v>
      </c>
      <c r="AP225" s="41" t="str">
        <f t="shared" si="57"/>
        <v>GLC</v>
      </c>
      <c r="AQ225" s="41" t="str">
        <f t="shared" si="58"/>
        <v>GLCC90</v>
      </c>
      <c r="AR225" s="41" t="str">
        <f t="shared" si="59"/>
        <v>C90</v>
      </c>
    </row>
    <row r="226" spans="1:44" s="41" customFormat="1" ht="12.75" customHeight="1">
      <c r="A226" s="25" t="s">
        <v>17</v>
      </c>
      <c r="B226" s="25" t="str">
        <f t="shared" si="73"/>
        <v>GL181400</v>
      </c>
      <c r="C226" s="638">
        <v>181400</v>
      </c>
      <c r="D226" s="735"/>
      <c r="F226" s="1" t="s">
        <v>224</v>
      </c>
      <c r="H226" s="736">
        <v>0</v>
      </c>
      <c r="I226" s="25"/>
      <c r="J226" s="25"/>
      <c r="K226" s="442" t="str">
        <f t="shared" si="68"/>
        <v/>
      </c>
      <c r="L226" s="736" t="s">
        <v>2417</v>
      </c>
      <c r="M226" s="25" t="str">
        <f t="shared" si="74"/>
        <v>C</v>
      </c>
      <c r="N226" s="25" t="str">
        <f>IF(L226&lt;&gt;"",VLOOKUP(L226,Categories!$B$2:$D$41,2,FALSE),IF(F226&lt;&gt;"","No Cat",""))</f>
        <v>Capitalization</v>
      </c>
      <c r="O226" s="25" t="str">
        <f>IF($L226&lt;&gt;"",VLOOKUP($L226,Categories!$B$2:$D$41,3,FALSE),IF($F226&lt;&gt;"","No Cat",""))</f>
        <v>Unamortized Debt Expense</v>
      </c>
      <c r="P226" s="736" t="s">
        <v>2468</v>
      </c>
      <c r="Q226" s="25" t="str">
        <f>VLOOKUP($P226,Allocators!$B$7:$F$19,5,FALSE)</f>
        <v>Not in Rate Base</v>
      </c>
      <c r="R226" s="737">
        <f>VLOOKUP($P226,Allocators!$B$7:$F$19,2,FALSE)</f>
        <v>0</v>
      </c>
      <c r="S226" s="737">
        <f>VLOOKUP($P226,Allocators!$B$7:$F$19,3,FALSE)</f>
        <v>0</v>
      </c>
      <c r="T226" s="737">
        <f t="shared" si="75"/>
        <v>1</v>
      </c>
      <c r="U226" s="2">
        <f t="shared" si="62"/>
        <v>0</v>
      </c>
      <c r="V226" s="2">
        <f t="shared" si="63"/>
        <v>0</v>
      </c>
      <c r="W226" s="2">
        <f t="shared" si="64"/>
        <v>1457.7948879166699</v>
      </c>
      <c r="X226" s="2">
        <f t="shared" si="60"/>
        <v>1457.7948879166699</v>
      </c>
      <c r="Y226" s="2">
        <f t="shared" si="65"/>
        <v>0</v>
      </c>
      <c r="Z226" s="2">
        <f t="shared" si="66"/>
        <v>0</v>
      </c>
      <c r="AA226" s="2">
        <f t="shared" si="67"/>
        <v>1309.1076399999999</v>
      </c>
      <c r="AB226" s="2">
        <f t="shared" si="61"/>
        <v>1309.1076399999999</v>
      </c>
      <c r="AC226" s="759">
        <v>1514.21129</v>
      </c>
      <c r="AD226" s="741">
        <v>1507.38265</v>
      </c>
      <c r="AE226" s="741">
        <v>1500.5540100000001</v>
      </c>
      <c r="AF226" s="741">
        <v>1493.7253700000001</v>
      </c>
      <c r="AG226" s="741">
        <v>1486.8967299999999</v>
      </c>
      <c r="AH226" s="741">
        <v>1480.06809</v>
      </c>
      <c r="AI226" s="741">
        <v>1473.23945</v>
      </c>
      <c r="AJ226" s="741">
        <v>1466.4108100000001</v>
      </c>
      <c r="AK226" s="741">
        <v>1459.5821699999999</v>
      </c>
      <c r="AL226" s="741">
        <v>1452.75353</v>
      </c>
      <c r="AM226" s="741">
        <v>1445.92489</v>
      </c>
      <c r="AN226" s="741">
        <v>1315.34149</v>
      </c>
      <c r="AO226" s="741">
        <v>1309.1076399999999</v>
      </c>
      <c r="AP226" s="41" t="str">
        <f t="shared" si="57"/>
        <v>GLC</v>
      </c>
      <c r="AQ226" s="41" t="str">
        <f t="shared" si="58"/>
        <v>GLCC90</v>
      </c>
      <c r="AR226" s="41" t="str">
        <f t="shared" si="59"/>
        <v>C90</v>
      </c>
    </row>
    <row r="227" spans="1:44" s="41" customFormat="1" ht="12.75" customHeight="1">
      <c r="A227" s="25" t="s">
        <v>17</v>
      </c>
      <c r="B227" s="25" t="str">
        <f t="shared" si="73"/>
        <v>GL181530</v>
      </c>
      <c r="C227" s="638">
        <v>181530</v>
      </c>
      <c r="D227" s="735"/>
      <c r="F227" s="1" t="s">
        <v>225</v>
      </c>
      <c r="H227" s="736">
        <v>0</v>
      </c>
      <c r="I227" s="25"/>
      <c r="J227" s="25"/>
      <c r="K227" s="442" t="str">
        <f t="shared" si="68"/>
        <v/>
      </c>
      <c r="L227" s="736" t="s">
        <v>2417</v>
      </c>
      <c r="M227" s="25" t="str">
        <f t="shared" si="74"/>
        <v>C</v>
      </c>
      <c r="N227" s="25" t="str">
        <f>IF(L227&lt;&gt;"",VLOOKUP(L227,Categories!$B$2:$D$41,2,FALSE),IF(F227&lt;&gt;"","No Cat",""))</f>
        <v>Capitalization</v>
      </c>
      <c r="O227" s="25" t="str">
        <f>IF($L227&lt;&gt;"",VLOOKUP($L227,Categories!$B$2:$D$41,3,FALSE),IF($F227&lt;&gt;"","No Cat",""))</f>
        <v>Unamortized Debt Expense</v>
      </c>
      <c r="P227" s="736" t="s">
        <v>2468</v>
      </c>
      <c r="Q227" s="25" t="str">
        <f>VLOOKUP($P227,Allocators!$B$7:$F$19,5,FALSE)</f>
        <v>Not in Rate Base</v>
      </c>
      <c r="R227" s="737">
        <f>VLOOKUP($P227,Allocators!$B$7:$F$19,2,FALSE)</f>
        <v>0</v>
      </c>
      <c r="S227" s="737">
        <f>VLOOKUP($P227,Allocators!$B$7:$F$19,3,FALSE)</f>
        <v>0</v>
      </c>
      <c r="T227" s="737">
        <f t="shared" si="75"/>
        <v>1</v>
      </c>
      <c r="U227" s="2" t="str">
        <f t="shared" si="62"/>
        <v/>
      </c>
      <c r="V227" s="2" t="str">
        <f t="shared" si="63"/>
        <v/>
      </c>
      <c r="W227" s="2" t="str">
        <f t="shared" si="64"/>
        <v/>
      </c>
      <c r="X227" s="2">
        <f t="shared" si="60"/>
        <v>0</v>
      </c>
      <c r="Y227" s="2" t="str">
        <f t="shared" si="65"/>
        <v/>
      </c>
      <c r="Z227" s="2" t="str">
        <f t="shared" si="66"/>
        <v/>
      </c>
      <c r="AA227" s="2" t="str">
        <f t="shared" si="67"/>
        <v/>
      </c>
      <c r="AB227" s="2">
        <f t="shared" si="61"/>
        <v>0</v>
      </c>
      <c r="AC227" s="759">
        <v>0</v>
      </c>
      <c r="AD227" s="741">
        <v>0</v>
      </c>
      <c r="AE227" s="741">
        <v>0</v>
      </c>
      <c r="AF227" s="741">
        <v>0</v>
      </c>
      <c r="AG227" s="741">
        <v>0</v>
      </c>
      <c r="AH227" s="741">
        <v>0</v>
      </c>
      <c r="AI227" s="741">
        <v>0</v>
      </c>
      <c r="AJ227" s="741">
        <v>0</v>
      </c>
      <c r="AK227" s="741">
        <v>0</v>
      </c>
      <c r="AL227" s="741">
        <v>0</v>
      </c>
      <c r="AM227" s="741">
        <v>0</v>
      </c>
      <c r="AN227" s="741">
        <v>0</v>
      </c>
      <c r="AO227" s="741">
        <v>0</v>
      </c>
      <c r="AP227" s="41" t="str">
        <f t="shared" si="57"/>
        <v>GLC</v>
      </c>
      <c r="AQ227" s="41" t="str">
        <f t="shared" si="58"/>
        <v>GLCC90</v>
      </c>
      <c r="AR227" s="41" t="str">
        <f t="shared" si="59"/>
        <v>C90</v>
      </c>
    </row>
    <row r="228" spans="1:44" s="41" customFormat="1" ht="12.75" customHeight="1">
      <c r="A228" s="25" t="s">
        <v>17</v>
      </c>
      <c r="B228" s="25" t="str">
        <f t="shared" si="73"/>
        <v>GL181540</v>
      </c>
      <c r="C228" s="638">
        <v>181540</v>
      </c>
      <c r="D228" s="735"/>
      <c r="F228" s="1" t="s">
        <v>226</v>
      </c>
      <c r="H228" s="736">
        <v>0</v>
      </c>
      <c r="I228" s="25"/>
      <c r="J228" s="25"/>
      <c r="K228" s="442" t="str">
        <f t="shared" si="68"/>
        <v/>
      </c>
      <c r="L228" s="736" t="s">
        <v>2417</v>
      </c>
      <c r="M228" s="25" t="str">
        <f t="shared" si="74"/>
        <v>C</v>
      </c>
      <c r="N228" s="25" t="str">
        <f>IF(L228&lt;&gt;"",VLOOKUP(L228,Categories!$B$2:$D$41,2,FALSE),IF(F228&lt;&gt;"","No Cat",""))</f>
        <v>Capitalization</v>
      </c>
      <c r="O228" s="25" t="str">
        <f>IF($L228&lt;&gt;"",VLOOKUP($L228,Categories!$B$2:$D$41,3,FALSE),IF($F228&lt;&gt;"","No Cat",""))</f>
        <v>Unamortized Debt Expense</v>
      </c>
      <c r="P228" s="736" t="s">
        <v>2468</v>
      </c>
      <c r="Q228" s="25" t="str">
        <f>VLOOKUP($P228,Allocators!$B$7:$F$19,5,FALSE)</f>
        <v>Not in Rate Base</v>
      </c>
      <c r="R228" s="737">
        <f>VLOOKUP($P228,Allocators!$B$7:$F$19,2,FALSE)</f>
        <v>0</v>
      </c>
      <c r="S228" s="737">
        <f>VLOOKUP($P228,Allocators!$B$7:$F$19,3,FALSE)</f>
        <v>0</v>
      </c>
      <c r="T228" s="737">
        <f t="shared" si="75"/>
        <v>1</v>
      </c>
      <c r="U228" s="2" t="str">
        <f t="shared" si="62"/>
        <v/>
      </c>
      <c r="V228" s="2" t="str">
        <f t="shared" si="63"/>
        <v/>
      </c>
      <c r="W228" s="2" t="str">
        <f t="shared" si="64"/>
        <v/>
      </c>
      <c r="X228" s="2">
        <f t="shared" si="60"/>
        <v>0</v>
      </c>
      <c r="Y228" s="2" t="str">
        <f t="shared" si="65"/>
        <v/>
      </c>
      <c r="Z228" s="2" t="str">
        <f t="shared" si="66"/>
        <v/>
      </c>
      <c r="AA228" s="2" t="str">
        <f t="shared" si="67"/>
        <v/>
      </c>
      <c r="AB228" s="2">
        <f t="shared" si="61"/>
        <v>0</v>
      </c>
      <c r="AC228" s="759">
        <v>0</v>
      </c>
      <c r="AD228" s="741">
        <v>0</v>
      </c>
      <c r="AE228" s="741">
        <v>0</v>
      </c>
      <c r="AF228" s="741">
        <v>0</v>
      </c>
      <c r="AG228" s="741">
        <v>0</v>
      </c>
      <c r="AH228" s="741">
        <v>0</v>
      </c>
      <c r="AI228" s="741">
        <v>0</v>
      </c>
      <c r="AJ228" s="741">
        <v>0</v>
      </c>
      <c r="AK228" s="741">
        <v>0</v>
      </c>
      <c r="AL228" s="741">
        <v>0</v>
      </c>
      <c r="AM228" s="741">
        <v>0</v>
      </c>
      <c r="AN228" s="741">
        <v>0</v>
      </c>
      <c r="AO228" s="741">
        <v>0</v>
      </c>
      <c r="AP228" s="41" t="str">
        <f t="shared" si="57"/>
        <v>GLC</v>
      </c>
      <c r="AQ228" s="41" t="str">
        <f t="shared" si="58"/>
        <v>GLCC90</v>
      </c>
      <c r="AR228" s="41" t="str">
        <f t="shared" si="59"/>
        <v>C90</v>
      </c>
    </row>
    <row r="229" spans="1:44" s="41" customFormat="1" ht="12.75" customHeight="1">
      <c r="A229" s="25" t="s">
        <v>17</v>
      </c>
      <c r="B229" s="25" t="str">
        <f t="shared" si="73"/>
        <v>GL181550</v>
      </c>
      <c r="C229" s="638">
        <v>181550</v>
      </c>
      <c r="D229" s="735"/>
      <c r="F229" s="1" t="s">
        <v>227</v>
      </c>
      <c r="H229" s="736">
        <v>0</v>
      </c>
      <c r="I229" s="25"/>
      <c r="J229" s="25"/>
      <c r="K229" s="442" t="str">
        <f t="shared" si="68"/>
        <v/>
      </c>
      <c r="L229" s="736" t="s">
        <v>2417</v>
      </c>
      <c r="M229" s="25" t="str">
        <f t="shared" si="74"/>
        <v>C</v>
      </c>
      <c r="N229" s="25" t="str">
        <f>IF(L229&lt;&gt;"",VLOOKUP(L229,Categories!$B$2:$D$41,2,FALSE),IF(F229&lt;&gt;"","No Cat",""))</f>
        <v>Capitalization</v>
      </c>
      <c r="O229" s="25" t="str">
        <f>IF($L229&lt;&gt;"",VLOOKUP($L229,Categories!$B$2:$D$41,3,FALSE),IF($F229&lt;&gt;"","No Cat",""))</f>
        <v>Unamortized Debt Expense</v>
      </c>
      <c r="P229" s="736" t="s">
        <v>2468</v>
      </c>
      <c r="Q229" s="25" t="str">
        <f>VLOOKUP($P229,Allocators!$B$7:$F$19,5,FALSE)</f>
        <v>Not in Rate Base</v>
      </c>
      <c r="R229" s="737">
        <f>VLOOKUP($P229,Allocators!$B$7:$F$19,2,FALSE)</f>
        <v>0</v>
      </c>
      <c r="S229" s="737">
        <f>VLOOKUP($P229,Allocators!$B$7:$F$19,3,FALSE)</f>
        <v>0</v>
      </c>
      <c r="T229" s="737">
        <f t="shared" si="75"/>
        <v>1</v>
      </c>
      <c r="U229" s="2" t="str">
        <f t="shared" si="62"/>
        <v/>
      </c>
      <c r="V229" s="2" t="str">
        <f t="shared" si="63"/>
        <v/>
      </c>
      <c r="W229" s="2" t="str">
        <f t="shared" si="64"/>
        <v/>
      </c>
      <c r="X229" s="2">
        <f t="shared" si="60"/>
        <v>0</v>
      </c>
      <c r="Y229" s="2" t="str">
        <f t="shared" si="65"/>
        <v/>
      </c>
      <c r="Z229" s="2" t="str">
        <f t="shared" si="66"/>
        <v/>
      </c>
      <c r="AA229" s="2" t="str">
        <f t="shared" si="67"/>
        <v/>
      </c>
      <c r="AB229" s="2">
        <f t="shared" si="61"/>
        <v>0</v>
      </c>
      <c r="AC229" s="759">
        <v>0</v>
      </c>
      <c r="AD229" s="741">
        <v>0</v>
      </c>
      <c r="AE229" s="741">
        <v>0</v>
      </c>
      <c r="AF229" s="741">
        <v>0</v>
      </c>
      <c r="AG229" s="741">
        <v>0</v>
      </c>
      <c r="AH229" s="741">
        <v>0</v>
      </c>
      <c r="AI229" s="741">
        <v>0</v>
      </c>
      <c r="AJ229" s="741">
        <v>0</v>
      </c>
      <c r="AK229" s="741">
        <v>0</v>
      </c>
      <c r="AL229" s="741">
        <v>0</v>
      </c>
      <c r="AM229" s="741">
        <v>0</v>
      </c>
      <c r="AN229" s="741">
        <v>0</v>
      </c>
      <c r="AO229" s="741">
        <v>0</v>
      </c>
      <c r="AP229" s="41" t="str">
        <f t="shared" si="57"/>
        <v>GLC</v>
      </c>
      <c r="AQ229" s="41" t="str">
        <f t="shared" si="58"/>
        <v>GLCC90</v>
      </c>
      <c r="AR229" s="41" t="str">
        <f t="shared" si="59"/>
        <v>C90</v>
      </c>
    </row>
    <row r="230" spans="1:44" s="41" customFormat="1" ht="12.75" customHeight="1">
      <c r="A230" s="25" t="s">
        <v>17</v>
      </c>
      <c r="B230" s="25" t="str">
        <f t="shared" si="73"/>
        <v>GL181570</v>
      </c>
      <c r="C230" s="638">
        <v>181570</v>
      </c>
      <c r="D230" s="735"/>
      <c r="F230" s="1" t="s">
        <v>228</v>
      </c>
      <c r="H230" s="736">
        <v>0</v>
      </c>
      <c r="I230" s="25"/>
      <c r="J230" s="25"/>
      <c r="K230" s="442" t="str">
        <f t="shared" si="68"/>
        <v/>
      </c>
      <c r="L230" s="736" t="s">
        <v>2417</v>
      </c>
      <c r="M230" s="25" t="str">
        <f t="shared" si="74"/>
        <v>C</v>
      </c>
      <c r="N230" s="25" t="str">
        <f>IF(L230&lt;&gt;"",VLOOKUP(L230,Categories!$B$2:$D$41,2,FALSE),IF(F230&lt;&gt;"","No Cat",""))</f>
        <v>Capitalization</v>
      </c>
      <c r="O230" s="25" t="str">
        <f>IF($L230&lt;&gt;"",VLOOKUP($L230,Categories!$B$2:$D$41,3,FALSE),IF($F230&lt;&gt;"","No Cat",""))</f>
        <v>Unamortized Debt Expense</v>
      </c>
      <c r="P230" s="736" t="s">
        <v>2468</v>
      </c>
      <c r="Q230" s="25" t="str">
        <f>VLOOKUP($P230,Allocators!$B$7:$F$19,5,FALSE)</f>
        <v>Not in Rate Base</v>
      </c>
      <c r="R230" s="737">
        <f>VLOOKUP($P230,Allocators!$B$7:$F$19,2,FALSE)</f>
        <v>0</v>
      </c>
      <c r="S230" s="737">
        <f>VLOOKUP($P230,Allocators!$B$7:$F$19,3,FALSE)</f>
        <v>0</v>
      </c>
      <c r="T230" s="737">
        <f t="shared" si="75"/>
        <v>1</v>
      </c>
      <c r="U230" s="2" t="str">
        <f t="shared" si="62"/>
        <v/>
      </c>
      <c r="V230" s="2" t="str">
        <f t="shared" si="63"/>
        <v/>
      </c>
      <c r="W230" s="2" t="str">
        <f t="shared" si="64"/>
        <v/>
      </c>
      <c r="X230" s="2">
        <f t="shared" si="60"/>
        <v>0</v>
      </c>
      <c r="Y230" s="2" t="str">
        <f t="shared" si="65"/>
        <v/>
      </c>
      <c r="Z230" s="2" t="str">
        <f t="shared" si="66"/>
        <v/>
      </c>
      <c r="AA230" s="2" t="str">
        <f t="shared" si="67"/>
        <v/>
      </c>
      <c r="AB230" s="2">
        <f t="shared" si="61"/>
        <v>0</v>
      </c>
      <c r="AC230" s="759">
        <v>0</v>
      </c>
      <c r="AD230" s="741">
        <v>0</v>
      </c>
      <c r="AE230" s="741">
        <v>0</v>
      </c>
      <c r="AF230" s="741">
        <v>0</v>
      </c>
      <c r="AG230" s="741">
        <v>0</v>
      </c>
      <c r="AH230" s="741">
        <v>0</v>
      </c>
      <c r="AI230" s="741">
        <v>0</v>
      </c>
      <c r="AJ230" s="741">
        <v>0</v>
      </c>
      <c r="AK230" s="741">
        <v>0</v>
      </c>
      <c r="AL230" s="741">
        <v>0</v>
      </c>
      <c r="AM230" s="741">
        <v>0</v>
      </c>
      <c r="AN230" s="741">
        <v>0</v>
      </c>
      <c r="AO230" s="741">
        <v>0</v>
      </c>
      <c r="AP230" s="41" t="str">
        <f t="shared" si="57"/>
        <v>GLC</v>
      </c>
      <c r="AQ230" s="41" t="str">
        <f t="shared" si="58"/>
        <v>GLCC90</v>
      </c>
      <c r="AR230" s="41" t="str">
        <f t="shared" si="59"/>
        <v>C90</v>
      </c>
    </row>
    <row r="231" spans="1:44" s="41" customFormat="1" ht="12.75" customHeight="1">
      <c r="A231" s="25" t="s">
        <v>17</v>
      </c>
      <c r="B231" s="25" t="str">
        <f t="shared" si="73"/>
        <v>GL181580</v>
      </c>
      <c r="C231" s="638">
        <v>181580</v>
      </c>
      <c r="D231" s="735"/>
      <c r="F231" s="1" t="s">
        <v>229</v>
      </c>
      <c r="H231" s="736">
        <v>0</v>
      </c>
      <c r="I231" s="25"/>
      <c r="J231" s="25"/>
      <c r="K231" s="442" t="str">
        <f t="shared" si="68"/>
        <v/>
      </c>
      <c r="L231" s="736" t="s">
        <v>2417</v>
      </c>
      <c r="M231" s="25" t="str">
        <f t="shared" si="74"/>
        <v>C</v>
      </c>
      <c r="N231" s="25" t="str">
        <f>IF(L231&lt;&gt;"",VLOOKUP(L231,Categories!$B$2:$D$41,2,FALSE),IF(F231&lt;&gt;"","No Cat",""))</f>
        <v>Capitalization</v>
      </c>
      <c r="O231" s="25" t="str">
        <f>IF($L231&lt;&gt;"",VLOOKUP($L231,Categories!$B$2:$D$41,3,FALSE),IF($F231&lt;&gt;"","No Cat",""))</f>
        <v>Unamortized Debt Expense</v>
      </c>
      <c r="P231" s="736" t="s">
        <v>2468</v>
      </c>
      <c r="Q231" s="25" t="str">
        <f>VLOOKUP($P231,Allocators!$B$7:$F$19,5,FALSE)</f>
        <v>Not in Rate Base</v>
      </c>
      <c r="R231" s="737">
        <f>VLOOKUP($P231,Allocators!$B$7:$F$19,2,FALSE)</f>
        <v>0</v>
      </c>
      <c r="S231" s="737">
        <f>VLOOKUP($P231,Allocators!$B$7:$F$19,3,FALSE)</f>
        <v>0</v>
      </c>
      <c r="T231" s="737">
        <f t="shared" si="75"/>
        <v>1</v>
      </c>
      <c r="U231" s="2" t="str">
        <f t="shared" si="62"/>
        <v/>
      </c>
      <c r="V231" s="2" t="str">
        <f t="shared" si="63"/>
        <v/>
      </c>
      <c r="W231" s="2" t="str">
        <f t="shared" si="64"/>
        <v/>
      </c>
      <c r="X231" s="2">
        <f t="shared" si="60"/>
        <v>0</v>
      </c>
      <c r="Y231" s="2" t="str">
        <f t="shared" si="65"/>
        <v/>
      </c>
      <c r="Z231" s="2" t="str">
        <f t="shared" si="66"/>
        <v/>
      </c>
      <c r="AA231" s="2" t="str">
        <f t="shared" si="67"/>
        <v/>
      </c>
      <c r="AB231" s="2">
        <f t="shared" si="61"/>
        <v>0</v>
      </c>
      <c r="AC231" s="759">
        <v>0</v>
      </c>
      <c r="AD231" s="741">
        <v>0</v>
      </c>
      <c r="AE231" s="741">
        <v>0</v>
      </c>
      <c r="AF231" s="741">
        <v>0</v>
      </c>
      <c r="AG231" s="741">
        <v>0</v>
      </c>
      <c r="AH231" s="741">
        <v>0</v>
      </c>
      <c r="AI231" s="741">
        <v>0</v>
      </c>
      <c r="AJ231" s="741">
        <v>0</v>
      </c>
      <c r="AK231" s="741">
        <v>0</v>
      </c>
      <c r="AL231" s="741">
        <v>0</v>
      </c>
      <c r="AM231" s="741">
        <v>0</v>
      </c>
      <c r="AN231" s="741">
        <v>0</v>
      </c>
      <c r="AO231" s="741">
        <v>0</v>
      </c>
      <c r="AP231" s="41" t="str">
        <f t="shared" si="57"/>
        <v>GLC</v>
      </c>
      <c r="AQ231" s="41" t="str">
        <f t="shared" si="58"/>
        <v>GLCC90</v>
      </c>
      <c r="AR231" s="41" t="str">
        <f t="shared" si="59"/>
        <v>C90</v>
      </c>
    </row>
    <row r="232" spans="1:44" s="41" customFormat="1" ht="12.75" customHeight="1">
      <c r="A232" s="25" t="s">
        <v>17</v>
      </c>
      <c r="B232" s="25" t="str">
        <f t="shared" si="73"/>
        <v>GL181590</v>
      </c>
      <c r="C232" s="638">
        <v>181590</v>
      </c>
      <c r="D232" s="735"/>
      <c r="F232" s="1" t="s">
        <v>230</v>
      </c>
      <c r="H232" s="736">
        <v>0</v>
      </c>
      <c r="I232" s="25"/>
      <c r="J232" s="25"/>
      <c r="K232" s="442" t="str">
        <f t="shared" si="68"/>
        <v/>
      </c>
      <c r="L232" s="736" t="s">
        <v>2417</v>
      </c>
      <c r="M232" s="25" t="str">
        <f t="shared" si="74"/>
        <v>C</v>
      </c>
      <c r="N232" s="25" t="str">
        <f>IF(L232&lt;&gt;"",VLOOKUP(L232,Categories!$B$2:$D$41,2,FALSE),IF(F232&lt;&gt;"","No Cat",""))</f>
        <v>Capitalization</v>
      </c>
      <c r="O232" s="25" t="str">
        <f>IF($L232&lt;&gt;"",VLOOKUP($L232,Categories!$B$2:$D$41,3,FALSE),IF($F232&lt;&gt;"","No Cat",""))</f>
        <v>Unamortized Debt Expense</v>
      </c>
      <c r="P232" s="736" t="s">
        <v>2468</v>
      </c>
      <c r="Q232" s="25" t="str">
        <f>VLOOKUP($P232,Allocators!$B$7:$F$19,5,FALSE)</f>
        <v>Not in Rate Base</v>
      </c>
      <c r="R232" s="737">
        <f>VLOOKUP($P232,Allocators!$B$7:$F$19,2,FALSE)</f>
        <v>0</v>
      </c>
      <c r="S232" s="737">
        <f>VLOOKUP($P232,Allocators!$B$7:$F$19,3,FALSE)</f>
        <v>0</v>
      </c>
      <c r="T232" s="737">
        <f t="shared" si="75"/>
        <v>1</v>
      </c>
      <c r="U232" s="2" t="str">
        <f t="shared" si="62"/>
        <v/>
      </c>
      <c r="V232" s="2" t="str">
        <f t="shared" si="63"/>
        <v/>
      </c>
      <c r="W232" s="2" t="str">
        <f t="shared" si="64"/>
        <v/>
      </c>
      <c r="X232" s="2">
        <f t="shared" si="60"/>
        <v>0</v>
      </c>
      <c r="Y232" s="2" t="str">
        <f t="shared" si="65"/>
        <v/>
      </c>
      <c r="Z232" s="2" t="str">
        <f t="shared" si="66"/>
        <v/>
      </c>
      <c r="AA232" s="2" t="str">
        <f t="shared" si="67"/>
        <v/>
      </c>
      <c r="AB232" s="2">
        <f t="shared" si="61"/>
        <v>0</v>
      </c>
      <c r="AC232" s="759">
        <v>0</v>
      </c>
      <c r="AD232" s="741">
        <v>0</v>
      </c>
      <c r="AE232" s="741">
        <v>0</v>
      </c>
      <c r="AF232" s="741">
        <v>0</v>
      </c>
      <c r="AG232" s="741">
        <v>0</v>
      </c>
      <c r="AH232" s="741">
        <v>0</v>
      </c>
      <c r="AI232" s="741">
        <v>0</v>
      </c>
      <c r="AJ232" s="741">
        <v>0</v>
      </c>
      <c r="AK232" s="741">
        <v>0</v>
      </c>
      <c r="AL232" s="741">
        <v>0</v>
      </c>
      <c r="AM232" s="741">
        <v>0</v>
      </c>
      <c r="AN232" s="741">
        <v>0</v>
      </c>
      <c r="AO232" s="741">
        <v>0</v>
      </c>
      <c r="AP232" s="41" t="str">
        <f t="shared" si="57"/>
        <v>GLC</v>
      </c>
      <c r="AQ232" s="41" t="str">
        <f t="shared" si="58"/>
        <v>GLCC90</v>
      </c>
      <c r="AR232" s="41" t="str">
        <f t="shared" si="59"/>
        <v>C90</v>
      </c>
    </row>
    <row r="233" spans="1:44" s="41" customFormat="1" ht="12.75" customHeight="1">
      <c r="A233" s="25" t="s">
        <v>17</v>
      </c>
      <c r="B233" s="25" t="str">
        <f t="shared" si="73"/>
        <v>GL182000</v>
      </c>
      <c r="C233" s="638">
        <v>182000</v>
      </c>
      <c r="D233" s="735"/>
      <c r="F233" s="1" t="s">
        <v>231</v>
      </c>
      <c r="H233" s="736" t="s">
        <v>1134</v>
      </c>
      <c r="I233" s="25"/>
      <c r="J233" s="25"/>
      <c r="K233" s="442" t="str">
        <f t="shared" si="68"/>
        <v/>
      </c>
      <c r="L233" s="736" t="s">
        <v>2464</v>
      </c>
      <c r="M233" s="25" t="str">
        <f t="shared" si="74"/>
        <v>S</v>
      </c>
      <c r="N233" s="25" t="str">
        <f>IF(L233&lt;&gt;"",VLOOKUP(L233,Categories!$B$2:$D$41,2,FALSE),IF(F233&lt;&gt;"","No Cat",""))</f>
        <v>A&amp;S Sch</v>
      </c>
      <c r="O233" s="25" t="str">
        <f>IF($L233&lt;&gt;"",VLOOKUP($L233,Categories!$B$2:$D$41,3,FALSE),IF($F233&lt;&gt;"","No Cat",""))</f>
        <v>Reg Asset &amp; Liabilities</v>
      </c>
      <c r="P233" s="736" t="s">
        <v>2468</v>
      </c>
      <c r="Q233" s="25" t="str">
        <f>VLOOKUP($P233,Allocators!$B$7:$F$19,5,FALSE)</f>
        <v>Not in Rate Base</v>
      </c>
      <c r="R233" s="737">
        <f>VLOOKUP($P233,Allocators!$B$7:$F$19,2,FALSE)</f>
        <v>0</v>
      </c>
      <c r="S233" s="737">
        <f>VLOOKUP($P233,Allocators!$B$7:$F$19,3,FALSE)</f>
        <v>0</v>
      </c>
      <c r="T233" s="737">
        <f t="shared" si="75"/>
        <v>1</v>
      </c>
      <c r="U233" s="2" t="str">
        <f t="shared" si="62"/>
        <v/>
      </c>
      <c r="V233" s="2" t="str">
        <f t="shared" si="63"/>
        <v/>
      </c>
      <c r="W233" s="2" t="str">
        <f t="shared" si="64"/>
        <v/>
      </c>
      <c r="X233" s="2">
        <f t="shared" si="60"/>
        <v>0</v>
      </c>
      <c r="Y233" s="2" t="str">
        <f t="shared" si="65"/>
        <v/>
      </c>
      <c r="Z233" s="2" t="str">
        <f t="shared" si="66"/>
        <v/>
      </c>
      <c r="AA233" s="2" t="str">
        <f t="shared" si="67"/>
        <v/>
      </c>
      <c r="AB233" s="2">
        <f t="shared" si="61"/>
        <v>0</v>
      </c>
      <c r="AC233" s="759">
        <v>0</v>
      </c>
      <c r="AD233" s="741">
        <v>0</v>
      </c>
      <c r="AE233" s="741">
        <v>0</v>
      </c>
      <c r="AF233" s="741">
        <v>0</v>
      </c>
      <c r="AG233" s="741">
        <v>0</v>
      </c>
      <c r="AH233" s="741">
        <v>0</v>
      </c>
      <c r="AI233" s="741">
        <v>0</v>
      </c>
      <c r="AJ233" s="741">
        <v>0</v>
      </c>
      <c r="AK233" s="741">
        <v>0</v>
      </c>
      <c r="AL233" s="741">
        <v>0</v>
      </c>
      <c r="AM233" s="741">
        <v>0</v>
      </c>
      <c r="AN233" s="741">
        <v>0</v>
      </c>
      <c r="AO233" s="741">
        <v>0</v>
      </c>
      <c r="AP233" s="41" t="str">
        <f t="shared" si="57"/>
        <v>GLS</v>
      </c>
      <c r="AQ233" s="41" t="str">
        <f t="shared" si="58"/>
        <v>GLSSEnvironmental</v>
      </c>
      <c r="AR233" s="41" t="str">
        <f t="shared" si="59"/>
        <v>SEnvironmental</v>
      </c>
    </row>
    <row r="234" spans="1:44" s="41" customFormat="1" ht="12.75" customHeight="1">
      <c r="A234" s="25" t="s">
        <v>17</v>
      </c>
      <c r="B234" s="25" t="str">
        <f t="shared" si="73"/>
        <v>GL182030</v>
      </c>
      <c r="C234" s="638">
        <v>182030</v>
      </c>
      <c r="D234" s="735"/>
      <c r="F234" s="1" t="s">
        <v>232</v>
      </c>
      <c r="H234" s="736">
        <v>0</v>
      </c>
      <c r="I234" s="25"/>
      <c r="J234" s="25"/>
      <c r="K234" s="442" t="str">
        <f t="shared" si="68"/>
        <v/>
      </c>
      <c r="L234" s="736" t="s">
        <v>2464</v>
      </c>
      <c r="M234" s="25" t="str">
        <f t="shared" si="74"/>
        <v>S</v>
      </c>
      <c r="N234" s="25" t="str">
        <f>IF(L234&lt;&gt;"",VLOOKUP(L234,Categories!$B$2:$D$41,2,FALSE),IF(F234&lt;&gt;"","No Cat",""))</f>
        <v>A&amp;S Sch</v>
      </c>
      <c r="O234" s="25" t="str">
        <f>IF($L234&lt;&gt;"",VLOOKUP($L234,Categories!$B$2:$D$41,3,FALSE),IF($F234&lt;&gt;"","No Cat",""))</f>
        <v>Reg Asset &amp; Liabilities</v>
      </c>
      <c r="P234" s="736" t="s">
        <v>2468</v>
      </c>
      <c r="Q234" s="25" t="str">
        <f>VLOOKUP($P234,Allocators!$B$7:$F$19,5,FALSE)</f>
        <v>Not in Rate Base</v>
      </c>
      <c r="R234" s="737">
        <f>VLOOKUP($P234,Allocators!$B$7:$F$19,2,FALSE)</f>
        <v>0</v>
      </c>
      <c r="S234" s="737">
        <f>VLOOKUP($P234,Allocators!$B$7:$F$19,3,FALSE)</f>
        <v>0</v>
      </c>
      <c r="T234" s="737">
        <f t="shared" si="75"/>
        <v>1</v>
      </c>
      <c r="U234" s="2" t="str">
        <f t="shared" si="62"/>
        <v/>
      </c>
      <c r="V234" s="2" t="str">
        <f t="shared" si="63"/>
        <v/>
      </c>
      <c r="W234" s="2" t="str">
        <f t="shared" si="64"/>
        <v/>
      </c>
      <c r="X234" s="2">
        <f t="shared" si="60"/>
        <v>0</v>
      </c>
      <c r="Y234" s="2" t="str">
        <f t="shared" si="65"/>
        <v/>
      </c>
      <c r="Z234" s="2" t="str">
        <f t="shared" si="66"/>
        <v/>
      </c>
      <c r="AA234" s="2" t="str">
        <f t="shared" si="67"/>
        <v/>
      </c>
      <c r="AB234" s="2">
        <f t="shared" si="61"/>
        <v>0</v>
      </c>
      <c r="AC234" s="759">
        <v>0</v>
      </c>
      <c r="AD234" s="741">
        <v>0</v>
      </c>
      <c r="AE234" s="741">
        <v>0</v>
      </c>
      <c r="AF234" s="741">
        <v>0</v>
      </c>
      <c r="AG234" s="741">
        <v>0</v>
      </c>
      <c r="AH234" s="741">
        <v>0</v>
      </c>
      <c r="AI234" s="741">
        <v>0</v>
      </c>
      <c r="AJ234" s="741">
        <v>0</v>
      </c>
      <c r="AK234" s="741">
        <v>0</v>
      </c>
      <c r="AL234" s="741">
        <v>0</v>
      </c>
      <c r="AM234" s="741">
        <v>0</v>
      </c>
      <c r="AN234" s="741">
        <v>0</v>
      </c>
      <c r="AO234" s="741">
        <v>0</v>
      </c>
      <c r="AP234" s="41" t="str">
        <f t="shared" si="57"/>
        <v>GLS</v>
      </c>
      <c r="AQ234" s="41" t="str">
        <f t="shared" si="58"/>
        <v>GLSS0</v>
      </c>
      <c r="AR234" s="41" t="str">
        <f t="shared" si="59"/>
        <v>S0</v>
      </c>
    </row>
    <row r="235" spans="1:44" s="41" customFormat="1" ht="12.75" customHeight="1">
      <c r="A235" s="25" t="s">
        <v>17</v>
      </c>
      <c r="B235" s="25" t="str">
        <f t="shared" si="73"/>
        <v>GL182031</v>
      </c>
      <c r="C235" s="638">
        <v>182031</v>
      </c>
      <c r="D235" s="735"/>
      <c r="F235" s="1" t="s">
        <v>233</v>
      </c>
      <c r="H235" s="736">
        <v>0</v>
      </c>
      <c r="I235" s="25"/>
      <c r="J235" s="25"/>
      <c r="K235" s="442" t="str">
        <f t="shared" si="68"/>
        <v/>
      </c>
      <c r="L235" s="736" t="s">
        <v>2464</v>
      </c>
      <c r="M235" s="25" t="str">
        <f t="shared" si="74"/>
        <v>S</v>
      </c>
      <c r="N235" s="25" t="str">
        <f>IF(L235&lt;&gt;"",VLOOKUP(L235,Categories!$B$2:$D$41,2,FALSE),IF(F235&lt;&gt;"","No Cat",""))</f>
        <v>A&amp;S Sch</v>
      </c>
      <c r="O235" s="25" t="str">
        <f>IF($L235&lt;&gt;"",VLOOKUP($L235,Categories!$B$2:$D$41,3,FALSE),IF($F235&lt;&gt;"","No Cat",""))</f>
        <v>Reg Asset &amp; Liabilities</v>
      </c>
      <c r="P235" s="736" t="s">
        <v>2468</v>
      </c>
      <c r="Q235" s="25" t="str">
        <f>VLOOKUP($P235,Allocators!$B$7:$F$19,5,FALSE)</f>
        <v>Not in Rate Base</v>
      </c>
      <c r="R235" s="737">
        <f>VLOOKUP($P235,Allocators!$B$7:$F$19,2,FALSE)</f>
        <v>0</v>
      </c>
      <c r="S235" s="737">
        <f>VLOOKUP($P235,Allocators!$B$7:$F$19,3,FALSE)</f>
        <v>0</v>
      </c>
      <c r="T235" s="737">
        <f t="shared" si="75"/>
        <v>1</v>
      </c>
      <c r="U235" s="2" t="str">
        <f t="shared" si="62"/>
        <v/>
      </c>
      <c r="V235" s="2" t="str">
        <f t="shared" si="63"/>
        <v/>
      </c>
      <c r="W235" s="2" t="str">
        <f t="shared" si="64"/>
        <v/>
      </c>
      <c r="X235" s="2">
        <f t="shared" si="60"/>
        <v>0</v>
      </c>
      <c r="Y235" s="2" t="str">
        <f t="shared" si="65"/>
        <v/>
      </c>
      <c r="Z235" s="2" t="str">
        <f t="shared" si="66"/>
        <v/>
      </c>
      <c r="AA235" s="2" t="str">
        <f t="shared" si="67"/>
        <v/>
      </c>
      <c r="AB235" s="2">
        <f t="shared" si="61"/>
        <v>0</v>
      </c>
      <c r="AC235" s="759">
        <v>0</v>
      </c>
      <c r="AD235" s="741">
        <v>0</v>
      </c>
      <c r="AE235" s="741">
        <v>0</v>
      </c>
      <c r="AF235" s="741">
        <v>0</v>
      </c>
      <c r="AG235" s="741">
        <v>0</v>
      </c>
      <c r="AH235" s="741">
        <v>0</v>
      </c>
      <c r="AI235" s="741">
        <v>0</v>
      </c>
      <c r="AJ235" s="741">
        <v>0</v>
      </c>
      <c r="AK235" s="741">
        <v>0</v>
      </c>
      <c r="AL235" s="741">
        <v>0</v>
      </c>
      <c r="AM235" s="741">
        <v>0</v>
      </c>
      <c r="AN235" s="741">
        <v>0</v>
      </c>
      <c r="AO235" s="741">
        <v>0</v>
      </c>
      <c r="AP235" s="41" t="str">
        <f t="shared" si="57"/>
        <v>GLS</v>
      </c>
      <c r="AQ235" s="41" t="str">
        <f t="shared" si="58"/>
        <v>GLSS0</v>
      </c>
      <c r="AR235" s="41" t="str">
        <f t="shared" si="59"/>
        <v>S0</v>
      </c>
    </row>
    <row r="236" spans="1:44" s="41" customFormat="1" ht="12.75" customHeight="1">
      <c r="A236" s="25" t="s">
        <v>17</v>
      </c>
      <c r="B236" s="25" t="str">
        <f t="shared" si="73"/>
        <v>GL182035</v>
      </c>
      <c r="C236" s="638">
        <v>182035</v>
      </c>
      <c r="D236" s="735"/>
      <c r="F236" s="1" t="s">
        <v>234</v>
      </c>
      <c r="H236" s="736">
        <v>0</v>
      </c>
      <c r="I236" s="25"/>
      <c r="J236" s="25"/>
      <c r="K236" s="442" t="str">
        <f t="shared" si="68"/>
        <v/>
      </c>
      <c r="L236" s="736" t="s">
        <v>2464</v>
      </c>
      <c r="M236" s="25" t="str">
        <f t="shared" si="74"/>
        <v>S</v>
      </c>
      <c r="N236" s="25" t="str">
        <f>IF(L236&lt;&gt;"",VLOOKUP(L236,Categories!$B$2:$D$41,2,FALSE),IF(F236&lt;&gt;"","No Cat",""))</f>
        <v>A&amp;S Sch</v>
      </c>
      <c r="O236" s="25" t="str">
        <f>IF($L236&lt;&gt;"",VLOOKUP($L236,Categories!$B$2:$D$41,3,FALSE),IF($F236&lt;&gt;"","No Cat",""))</f>
        <v>Reg Asset &amp; Liabilities</v>
      </c>
      <c r="P236" s="736" t="s">
        <v>2468</v>
      </c>
      <c r="Q236" s="25" t="str">
        <f>VLOOKUP($P236,Allocators!$B$7:$F$19,5,FALSE)</f>
        <v>Not in Rate Base</v>
      </c>
      <c r="R236" s="737">
        <f>VLOOKUP($P236,Allocators!$B$7:$F$19,2,FALSE)</f>
        <v>0</v>
      </c>
      <c r="S236" s="737">
        <f>VLOOKUP($P236,Allocators!$B$7:$F$19,3,FALSE)</f>
        <v>0</v>
      </c>
      <c r="T236" s="737">
        <f t="shared" si="75"/>
        <v>1</v>
      </c>
      <c r="U236" s="2" t="str">
        <f t="shared" si="62"/>
        <v/>
      </c>
      <c r="V236" s="2" t="str">
        <f t="shared" si="63"/>
        <v/>
      </c>
      <c r="W236" s="2" t="str">
        <f t="shared" si="64"/>
        <v/>
      </c>
      <c r="X236" s="2">
        <f t="shared" si="60"/>
        <v>0</v>
      </c>
      <c r="Y236" s="2" t="str">
        <f t="shared" si="65"/>
        <v/>
      </c>
      <c r="Z236" s="2" t="str">
        <f t="shared" si="66"/>
        <v/>
      </c>
      <c r="AA236" s="2" t="str">
        <f t="shared" si="67"/>
        <v/>
      </c>
      <c r="AB236" s="2">
        <f t="shared" si="61"/>
        <v>0</v>
      </c>
      <c r="AC236" s="759">
        <v>0</v>
      </c>
      <c r="AD236" s="741">
        <v>0</v>
      </c>
      <c r="AE236" s="741">
        <v>0</v>
      </c>
      <c r="AF236" s="741">
        <v>0</v>
      </c>
      <c r="AG236" s="741">
        <v>0</v>
      </c>
      <c r="AH236" s="741">
        <v>0</v>
      </c>
      <c r="AI236" s="741">
        <v>0</v>
      </c>
      <c r="AJ236" s="741">
        <v>0</v>
      </c>
      <c r="AK236" s="741">
        <v>0</v>
      </c>
      <c r="AL236" s="741">
        <v>0</v>
      </c>
      <c r="AM236" s="741">
        <v>0</v>
      </c>
      <c r="AN236" s="741">
        <v>0</v>
      </c>
      <c r="AO236" s="741">
        <v>0</v>
      </c>
      <c r="AP236" s="41" t="str">
        <f t="shared" si="57"/>
        <v>GLS</v>
      </c>
      <c r="AQ236" s="41" t="str">
        <f t="shared" si="58"/>
        <v>GLSS0</v>
      </c>
      <c r="AR236" s="41" t="str">
        <f t="shared" si="59"/>
        <v>S0</v>
      </c>
    </row>
    <row r="237" spans="1:44" s="41" customFormat="1" ht="12.75" customHeight="1">
      <c r="A237" s="25" t="s">
        <v>17</v>
      </c>
      <c r="B237" s="25" t="str">
        <f t="shared" si="73"/>
        <v>GL182040</v>
      </c>
      <c r="C237" s="638">
        <v>182040</v>
      </c>
      <c r="D237" s="735"/>
      <c r="F237" s="1" t="s">
        <v>235</v>
      </c>
      <c r="H237" s="736">
        <v>0</v>
      </c>
      <c r="I237" s="25"/>
      <c r="J237" s="25"/>
      <c r="K237" s="442" t="str">
        <f t="shared" si="68"/>
        <v/>
      </c>
      <c r="L237" s="736" t="s">
        <v>2464</v>
      </c>
      <c r="M237" s="25" t="str">
        <f t="shared" si="74"/>
        <v>S</v>
      </c>
      <c r="N237" s="25" t="str">
        <f>IF(L237&lt;&gt;"",VLOOKUP(L237,Categories!$B$2:$D$41,2,FALSE),IF(F237&lt;&gt;"","No Cat",""))</f>
        <v>A&amp;S Sch</v>
      </c>
      <c r="O237" s="25" t="str">
        <f>IF($L237&lt;&gt;"",VLOOKUP($L237,Categories!$B$2:$D$41,3,FALSE),IF($F237&lt;&gt;"","No Cat",""))</f>
        <v>Reg Asset &amp; Liabilities</v>
      </c>
      <c r="P237" s="736" t="s">
        <v>2468</v>
      </c>
      <c r="Q237" s="25" t="str">
        <f>VLOOKUP($P237,Allocators!$B$7:$F$19,5,FALSE)</f>
        <v>Not in Rate Base</v>
      </c>
      <c r="R237" s="737">
        <f>VLOOKUP($P237,Allocators!$B$7:$F$19,2,FALSE)</f>
        <v>0</v>
      </c>
      <c r="S237" s="737">
        <f>VLOOKUP($P237,Allocators!$B$7:$F$19,3,FALSE)</f>
        <v>0</v>
      </c>
      <c r="T237" s="737">
        <f t="shared" si="75"/>
        <v>1</v>
      </c>
      <c r="U237" s="2" t="str">
        <f t="shared" si="62"/>
        <v/>
      </c>
      <c r="V237" s="2" t="str">
        <f t="shared" si="63"/>
        <v/>
      </c>
      <c r="W237" s="2" t="str">
        <f t="shared" si="64"/>
        <v/>
      </c>
      <c r="X237" s="2">
        <f t="shared" si="60"/>
        <v>0</v>
      </c>
      <c r="Y237" s="2" t="str">
        <f t="shared" si="65"/>
        <v/>
      </c>
      <c r="Z237" s="2" t="str">
        <f t="shared" si="66"/>
        <v/>
      </c>
      <c r="AA237" s="2" t="str">
        <f t="shared" si="67"/>
        <v/>
      </c>
      <c r="AB237" s="2">
        <f t="shared" si="61"/>
        <v>0</v>
      </c>
      <c r="AC237" s="759">
        <v>0</v>
      </c>
      <c r="AD237" s="741">
        <v>0</v>
      </c>
      <c r="AE237" s="741">
        <v>0</v>
      </c>
      <c r="AF237" s="741">
        <v>0</v>
      </c>
      <c r="AG237" s="741">
        <v>0</v>
      </c>
      <c r="AH237" s="741">
        <v>0</v>
      </c>
      <c r="AI237" s="741">
        <v>0</v>
      </c>
      <c r="AJ237" s="741">
        <v>0</v>
      </c>
      <c r="AK237" s="741">
        <v>0</v>
      </c>
      <c r="AL237" s="741">
        <v>0</v>
      </c>
      <c r="AM237" s="741">
        <v>0</v>
      </c>
      <c r="AN237" s="741">
        <v>0</v>
      </c>
      <c r="AO237" s="741">
        <v>0</v>
      </c>
      <c r="AP237" s="41" t="str">
        <f t="shared" si="57"/>
        <v>GLS</v>
      </c>
      <c r="AQ237" s="41" t="str">
        <f t="shared" si="58"/>
        <v>GLSS0</v>
      </c>
      <c r="AR237" s="41" t="str">
        <f t="shared" si="59"/>
        <v>S0</v>
      </c>
    </row>
    <row r="238" spans="1:44" s="41" customFormat="1" ht="12.75" customHeight="1">
      <c r="A238" s="25" t="s">
        <v>17</v>
      </c>
      <c r="B238" s="25" t="str">
        <f t="shared" si="73"/>
        <v>GL182050</v>
      </c>
      <c r="C238" s="638">
        <v>182050</v>
      </c>
      <c r="D238" s="735"/>
      <c r="F238" s="1" t="s">
        <v>236</v>
      </c>
      <c r="H238" s="736">
        <v>0</v>
      </c>
      <c r="I238" s="25"/>
      <c r="J238" s="25"/>
      <c r="K238" s="442" t="str">
        <f t="shared" si="68"/>
        <v/>
      </c>
      <c r="L238" s="736" t="s">
        <v>2464</v>
      </c>
      <c r="M238" s="25" t="str">
        <f t="shared" si="74"/>
        <v>S</v>
      </c>
      <c r="N238" s="25" t="str">
        <f>IF(L238&lt;&gt;"",VLOOKUP(L238,Categories!$B$2:$D$41,2,FALSE),IF(F238&lt;&gt;"","No Cat",""))</f>
        <v>A&amp;S Sch</v>
      </c>
      <c r="O238" s="25" t="str">
        <f>IF($L238&lt;&gt;"",VLOOKUP($L238,Categories!$B$2:$D$41,3,FALSE),IF($F238&lt;&gt;"","No Cat",""))</f>
        <v>Reg Asset &amp; Liabilities</v>
      </c>
      <c r="P238" s="736" t="s">
        <v>2468</v>
      </c>
      <c r="Q238" s="25" t="str">
        <f>VLOOKUP($P238,Allocators!$B$7:$F$19,5,FALSE)</f>
        <v>Not in Rate Base</v>
      </c>
      <c r="R238" s="737">
        <f>VLOOKUP($P238,Allocators!$B$7:$F$19,2,FALSE)</f>
        <v>0</v>
      </c>
      <c r="S238" s="737">
        <f>VLOOKUP($P238,Allocators!$B$7:$F$19,3,FALSE)</f>
        <v>0</v>
      </c>
      <c r="T238" s="737">
        <f t="shared" si="75"/>
        <v>1</v>
      </c>
      <c r="U238" s="2" t="str">
        <f t="shared" si="62"/>
        <v/>
      </c>
      <c r="V238" s="2" t="str">
        <f t="shared" si="63"/>
        <v/>
      </c>
      <c r="W238" s="2" t="str">
        <f t="shared" si="64"/>
        <v/>
      </c>
      <c r="X238" s="2">
        <f t="shared" si="60"/>
        <v>0</v>
      </c>
      <c r="Y238" s="2" t="str">
        <f t="shared" si="65"/>
        <v/>
      </c>
      <c r="Z238" s="2" t="str">
        <f t="shared" si="66"/>
        <v/>
      </c>
      <c r="AA238" s="2" t="str">
        <f t="shared" si="67"/>
        <v/>
      </c>
      <c r="AB238" s="2">
        <f t="shared" si="61"/>
        <v>0</v>
      </c>
      <c r="AC238" s="759">
        <v>0</v>
      </c>
      <c r="AD238" s="741">
        <v>0</v>
      </c>
      <c r="AE238" s="741">
        <v>0</v>
      </c>
      <c r="AF238" s="741">
        <v>0</v>
      </c>
      <c r="AG238" s="741">
        <v>0</v>
      </c>
      <c r="AH238" s="741">
        <v>0</v>
      </c>
      <c r="AI238" s="741">
        <v>0</v>
      </c>
      <c r="AJ238" s="741">
        <v>0</v>
      </c>
      <c r="AK238" s="741">
        <v>0</v>
      </c>
      <c r="AL238" s="741">
        <v>0</v>
      </c>
      <c r="AM238" s="741">
        <v>0</v>
      </c>
      <c r="AN238" s="741">
        <v>0</v>
      </c>
      <c r="AO238" s="741">
        <v>0</v>
      </c>
      <c r="AP238" s="41" t="str">
        <f t="shared" si="57"/>
        <v>GLS</v>
      </c>
      <c r="AQ238" s="41" t="str">
        <f t="shared" si="58"/>
        <v>GLSS0</v>
      </c>
      <c r="AR238" s="41" t="str">
        <f t="shared" si="59"/>
        <v>S0</v>
      </c>
    </row>
    <row r="239" spans="1:44" s="41" customFormat="1" ht="12.75" customHeight="1">
      <c r="A239" s="25" t="s">
        <v>17</v>
      </c>
      <c r="B239" s="25" t="str">
        <f t="shared" si="73"/>
        <v>GL182060</v>
      </c>
      <c r="C239" s="638">
        <v>182060</v>
      </c>
      <c r="D239" s="735"/>
      <c r="F239" s="1" t="s">
        <v>237</v>
      </c>
      <c r="H239" s="736">
        <v>0</v>
      </c>
      <c r="I239" s="25"/>
      <c r="J239" s="25"/>
      <c r="K239" s="442" t="str">
        <f t="shared" si="68"/>
        <v/>
      </c>
      <c r="L239" s="736" t="s">
        <v>2464</v>
      </c>
      <c r="M239" s="25" t="str">
        <f t="shared" si="74"/>
        <v>S</v>
      </c>
      <c r="N239" s="25" t="str">
        <f>IF(L239&lt;&gt;"",VLOOKUP(L239,Categories!$B$2:$D$41,2,FALSE),IF(F239&lt;&gt;"","No Cat",""))</f>
        <v>A&amp;S Sch</v>
      </c>
      <c r="O239" s="25" t="str">
        <f>IF($L239&lt;&gt;"",VLOOKUP($L239,Categories!$B$2:$D$41,3,FALSE),IF($F239&lt;&gt;"","No Cat",""))</f>
        <v>Reg Asset &amp; Liabilities</v>
      </c>
      <c r="P239" s="736" t="s">
        <v>2468</v>
      </c>
      <c r="Q239" s="25" t="str">
        <f>VLOOKUP($P239,Allocators!$B$7:$F$19,5,FALSE)</f>
        <v>Not in Rate Base</v>
      </c>
      <c r="R239" s="737">
        <f>VLOOKUP($P239,Allocators!$B$7:$F$19,2,FALSE)</f>
        <v>0</v>
      </c>
      <c r="S239" s="737">
        <f>VLOOKUP($P239,Allocators!$B$7:$F$19,3,FALSE)</f>
        <v>0</v>
      </c>
      <c r="T239" s="737">
        <f t="shared" si="75"/>
        <v>1</v>
      </c>
      <c r="U239" s="2" t="str">
        <f t="shared" si="62"/>
        <v/>
      </c>
      <c r="V239" s="2" t="str">
        <f t="shared" si="63"/>
        <v/>
      </c>
      <c r="W239" s="2" t="str">
        <f t="shared" si="64"/>
        <v/>
      </c>
      <c r="X239" s="2">
        <f t="shared" si="60"/>
        <v>0</v>
      </c>
      <c r="Y239" s="2" t="str">
        <f t="shared" si="65"/>
        <v/>
      </c>
      <c r="Z239" s="2" t="str">
        <f t="shared" si="66"/>
        <v/>
      </c>
      <c r="AA239" s="2" t="str">
        <f t="shared" si="67"/>
        <v/>
      </c>
      <c r="AB239" s="2">
        <f t="shared" si="61"/>
        <v>0</v>
      </c>
      <c r="AC239" s="759">
        <v>0</v>
      </c>
      <c r="AD239" s="741">
        <v>0</v>
      </c>
      <c r="AE239" s="741">
        <v>0</v>
      </c>
      <c r="AF239" s="741">
        <v>0</v>
      </c>
      <c r="AG239" s="741">
        <v>0</v>
      </c>
      <c r="AH239" s="741">
        <v>0</v>
      </c>
      <c r="AI239" s="741">
        <v>0</v>
      </c>
      <c r="AJ239" s="741">
        <v>0</v>
      </c>
      <c r="AK239" s="741">
        <v>0</v>
      </c>
      <c r="AL239" s="741">
        <v>0</v>
      </c>
      <c r="AM239" s="741">
        <v>0</v>
      </c>
      <c r="AN239" s="741">
        <v>0</v>
      </c>
      <c r="AO239" s="741">
        <v>0</v>
      </c>
      <c r="AP239" s="41" t="str">
        <f t="shared" si="57"/>
        <v>GLS</v>
      </c>
      <c r="AQ239" s="41" t="str">
        <f t="shared" si="58"/>
        <v>GLSS0</v>
      </c>
      <c r="AR239" s="41" t="str">
        <f t="shared" si="59"/>
        <v>S0</v>
      </c>
    </row>
    <row r="240" spans="1:44" s="41" customFormat="1" ht="12.75" customHeight="1">
      <c r="A240" s="25" t="s">
        <v>17</v>
      </c>
      <c r="B240" s="25" t="str">
        <f t="shared" si="73"/>
        <v>GL182085</v>
      </c>
      <c r="C240" s="638">
        <v>182085</v>
      </c>
      <c r="D240" s="735"/>
      <c r="F240" s="1" t="s">
        <v>238</v>
      </c>
      <c r="H240" s="736">
        <v>0</v>
      </c>
      <c r="I240" s="25"/>
      <c r="J240" s="25"/>
      <c r="K240" s="442" t="str">
        <f t="shared" si="68"/>
        <v/>
      </c>
      <c r="L240" s="736" t="s">
        <v>2464</v>
      </c>
      <c r="M240" s="25" t="str">
        <f t="shared" si="74"/>
        <v>S</v>
      </c>
      <c r="N240" s="25" t="str">
        <f>IF(L240&lt;&gt;"",VLOOKUP(L240,Categories!$B$2:$D$41,2,FALSE),IF(F240&lt;&gt;"","No Cat",""))</f>
        <v>A&amp;S Sch</v>
      </c>
      <c r="O240" s="25" t="str">
        <f>IF($L240&lt;&gt;"",VLOOKUP($L240,Categories!$B$2:$D$41,3,FALSE),IF($F240&lt;&gt;"","No Cat",""))</f>
        <v>Reg Asset &amp; Liabilities</v>
      </c>
      <c r="P240" s="736" t="s">
        <v>2468</v>
      </c>
      <c r="Q240" s="25" t="str">
        <f>VLOOKUP($P240,Allocators!$B$7:$F$19,5,FALSE)</f>
        <v>Not in Rate Base</v>
      </c>
      <c r="R240" s="737">
        <f>VLOOKUP($P240,Allocators!$B$7:$F$19,2,FALSE)</f>
        <v>0</v>
      </c>
      <c r="S240" s="737">
        <f>VLOOKUP($P240,Allocators!$B$7:$F$19,3,FALSE)</f>
        <v>0</v>
      </c>
      <c r="T240" s="737">
        <f t="shared" si="75"/>
        <v>1</v>
      </c>
      <c r="U240" s="2" t="str">
        <f t="shared" si="62"/>
        <v/>
      </c>
      <c r="V240" s="2" t="str">
        <f t="shared" si="63"/>
        <v/>
      </c>
      <c r="W240" s="2" t="str">
        <f t="shared" si="64"/>
        <v/>
      </c>
      <c r="X240" s="2">
        <f t="shared" si="60"/>
        <v>0</v>
      </c>
      <c r="Y240" s="2" t="str">
        <f t="shared" si="65"/>
        <v/>
      </c>
      <c r="Z240" s="2" t="str">
        <f t="shared" si="66"/>
        <v/>
      </c>
      <c r="AA240" s="2" t="str">
        <f t="shared" si="67"/>
        <v/>
      </c>
      <c r="AB240" s="2">
        <f t="shared" si="61"/>
        <v>0</v>
      </c>
      <c r="AC240" s="759">
        <v>0</v>
      </c>
      <c r="AD240" s="741">
        <v>0</v>
      </c>
      <c r="AE240" s="741">
        <v>0</v>
      </c>
      <c r="AF240" s="741">
        <v>0</v>
      </c>
      <c r="AG240" s="741">
        <v>0</v>
      </c>
      <c r="AH240" s="741">
        <v>0</v>
      </c>
      <c r="AI240" s="741">
        <v>0</v>
      </c>
      <c r="AJ240" s="741">
        <v>0</v>
      </c>
      <c r="AK240" s="741">
        <v>0</v>
      </c>
      <c r="AL240" s="741">
        <v>0</v>
      </c>
      <c r="AM240" s="741">
        <v>0</v>
      </c>
      <c r="AN240" s="741">
        <v>0</v>
      </c>
      <c r="AO240" s="741">
        <v>0</v>
      </c>
      <c r="AP240" s="41" t="str">
        <f t="shared" si="57"/>
        <v>GLS</v>
      </c>
      <c r="AQ240" s="41" t="str">
        <f t="shared" si="58"/>
        <v>GLSS0</v>
      </c>
      <c r="AR240" s="41" t="str">
        <f t="shared" si="59"/>
        <v>S0</v>
      </c>
    </row>
    <row r="241" spans="1:44" s="41" customFormat="1" ht="12.75" customHeight="1">
      <c r="A241" s="25" t="s">
        <v>17</v>
      </c>
      <c r="B241" s="25" t="str">
        <f t="shared" si="73"/>
        <v>GL182090</v>
      </c>
      <c r="C241" s="638">
        <v>182090</v>
      </c>
      <c r="D241" s="735"/>
      <c r="F241" s="1" t="s">
        <v>239</v>
      </c>
      <c r="H241" s="736">
        <v>0</v>
      </c>
      <c r="I241" s="25"/>
      <c r="J241" s="25"/>
      <c r="K241" s="442" t="str">
        <f t="shared" si="68"/>
        <v/>
      </c>
      <c r="L241" s="736" t="s">
        <v>2464</v>
      </c>
      <c r="M241" s="25" t="str">
        <f t="shared" si="74"/>
        <v>S</v>
      </c>
      <c r="N241" s="25" t="str">
        <f>IF(L241&lt;&gt;"",VLOOKUP(L241,Categories!$B$2:$D$41,2,FALSE),IF(F241&lt;&gt;"","No Cat",""))</f>
        <v>A&amp;S Sch</v>
      </c>
      <c r="O241" s="25" t="str">
        <f>IF($L241&lt;&gt;"",VLOOKUP($L241,Categories!$B$2:$D$41,3,FALSE),IF($F241&lt;&gt;"","No Cat",""))</f>
        <v>Reg Asset &amp; Liabilities</v>
      </c>
      <c r="P241" s="736" t="s">
        <v>2468</v>
      </c>
      <c r="Q241" s="25" t="str">
        <f>VLOOKUP($P241,Allocators!$B$7:$F$19,5,FALSE)</f>
        <v>Not in Rate Base</v>
      </c>
      <c r="R241" s="737">
        <f>VLOOKUP($P241,Allocators!$B$7:$F$19,2,FALSE)</f>
        <v>0</v>
      </c>
      <c r="S241" s="737">
        <f>VLOOKUP($P241,Allocators!$B$7:$F$19,3,FALSE)</f>
        <v>0</v>
      </c>
      <c r="T241" s="737">
        <f t="shared" si="75"/>
        <v>1</v>
      </c>
      <c r="U241" s="2" t="str">
        <f t="shared" si="62"/>
        <v/>
      </c>
      <c r="V241" s="2" t="str">
        <f t="shared" si="63"/>
        <v/>
      </c>
      <c r="W241" s="2" t="str">
        <f t="shared" si="64"/>
        <v/>
      </c>
      <c r="X241" s="2">
        <f t="shared" si="60"/>
        <v>0</v>
      </c>
      <c r="Y241" s="2" t="str">
        <f t="shared" si="65"/>
        <v/>
      </c>
      <c r="Z241" s="2" t="str">
        <f t="shared" si="66"/>
        <v/>
      </c>
      <c r="AA241" s="2" t="str">
        <f t="shared" si="67"/>
        <v/>
      </c>
      <c r="AB241" s="2">
        <f t="shared" si="61"/>
        <v>0</v>
      </c>
      <c r="AC241" s="759">
        <v>0</v>
      </c>
      <c r="AD241" s="741">
        <v>0</v>
      </c>
      <c r="AE241" s="741">
        <v>0</v>
      </c>
      <c r="AF241" s="741">
        <v>0</v>
      </c>
      <c r="AG241" s="741">
        <v>0</v>
      </c>
      <c r="AH241" s="741">
        <v>0</v>
      </c>
      <c r="AI241" s="741">
        <v>0</v>
      </c>
      <c r="AJ241" s="741">
        <v>0</v>
      </c>
      <c r="AK241" s="741">
        <v>0</v>
      </c>
      <c r="AL241" s="741">
        <v>0</v>
      </c>
      <c r="AM241" s="741">
        <v>0</v>
      </c>
      <c r="AN241" s="741">
        <v>0</v>
      </c>
      <c r="AO241" s="741">
        <v>0</v>
      </c>
      <c r="AP241" s="41" t="str">
        <f t="shared" si="57"/>
        <v>GLS</v>
      </c>
      <c r="AQ241" s="41" t="str">
        <f t="shared" si="58"/>
        <v>GLSS0</v>
      </c>
      <c r="AR241" s="41" t="str">
        <f t="shared" si="59"/>
        <v>S0</v>
      </c>
    </row>
    <row r="242" spans="1:44" s="41" customFormat="1" ht="12.75" customHeight="1">
      <c r="A242" s="25" t="s">
        <v>17</v>
      </c>
      <c r="B242" s="25" t="str">
        <f t="shared" si="73"/>
        <v>GL182095</v>
      </c>
      <c r="C242" s="638">
        <v>182095</v>
      </c>
      <c r="D242" s="735"/>
      <c r="F242" s="1" t="s">
        <v>240</v>
      </c>
      <c r="H242" s="736">
        <v>0</v>
      </c>
      <c r="I242" s="25"/>
      <c r="J242" s="25"/>
      <c r="K242" s="442" t="str">
        <f t="shared" si="68"/>
        <v/>
      </c>
      <c r="L242" s="736" t="s">
        <v>2464</v>
      </c>
      <c r="M242" s="25" t="str">
        <f t="shared" si="74"/>
        <v>S</v>
      </c>
      <c r="N242" s="25" t="str">
        <f>IF(L242&lt;&gt;"",VLOOKUP(L242,Categories!$B$2:$D$41,2,FALSE),IF(F242&lt;&gt;"","No Cat",""))</f>
        <v>A&amp;S Sch</v>
      </c>
      <c r="O242" s="25" t="str">
        <f>IF($L242&lt;&gt;"",VLOOKUP($L242,Categories!$B$2:$D$41,3,FALSE),IF($F242&lt;&gt;"","No Cat",""))</f>
        <v>Reg Asset &amp; Liabilities</v>
      </c>
      <c r="P242" s="736" t="s">
        <v>2468</v>
      </c>
      <c r="Q242" s="25" t="str">
        <f>VLOOKUP($P242,Allocators!$B$7:$F$19,5,FALSE)</f>
        <v>Not in Rate Base</v>
      </c>
      <c r="R242" s="737">
        <f>VLOOKUP($P242,Allocators!$B$7:$F$19,2,FALSE)</f>
        <v>0</v>
      </c>
      <c r="S242" s="737">
        <f>VLOOKUP($P242,Allocators!$B$7:$F$19,3,FALSE)</f>
        <v>0</v>
      </c>
      <c r="T242" s="737">
        <f t="shared" si="75"/>
        <v>1</v>
      </c>
      <c r="U242" s="2" t="str">
        <f t="shared" si="62"/>
        <v/>
      </c>
      <c r="V242" s="2" t="str">
        <f t="shared" si="63"/>
        <v/>
      </c>
      <c r="W242" s="2" t="str">
        <f t="shared" si="64"/>
        <v/>
      </c>
      <c r="X242" s="2">
        <f t="shared" si="60"/>
        <v>0</v>
      </c>
      <c r="Y242" s="2" t="str">
        <f t="shared" si="65"/>
        <v/>
      </c>
      <c r="Z242" s="2" t="str">
        <f t="shared" si="66"/>
        <v/>
      </c>
      <c r="AA242" s="2" t="str">
        <f t="shared" si="67"/>
        <v/>
      </c>
      <c r="AB242" s="2">
        <f t="shared" si="61"/>
        <v>0</v>
      </c>
      <c r="AC242" s="759">
        <v>0</v>
      </c>
      <c r="AD242" s="741">
        <v>0</v>
      </c>
      <c r="AE242" s="741">
        <v>0</v>
      </c>
      <c r="AF242" s="741">
        <v>0</v>
      </c>
      <c r="AG242" s="741">
        <v>0</v>
      </c>
      <c r="AH242" s="741">
        <v>0</v>
      </c>
      <c r="AI242" s="741">
        <v>0</v>
      </c>
      <c r="AJ242" s="741">
        <v>0</v>
      </c>
      <c r="AK242" s="741">
        <v>0</v>
      </c>
      <c r="AL242" s="741">
        <v>0</v>
      </c>
      <c r="AM242" s="741">
        <v>0</v>
      </c>
      <c r="AN242" s="741">
        <v>0</v>
      </c>
      <c r="AO242" s="741">
        <v>0</v>
      </c>
      <c r="AP242" s="41" t="str">
        <f t="shared" si="57"/>
        <v>GLS</v>
      </c>
      <c r="AQ242" s="41" t="str">
        <f t="shared" si="58"/>
        <v>GLSS0</v>
      </c>
      <c r="AR242" s="41" t="str">
        <f t="shared" si="59"/>
        <v>S0</v>
      </c>
    </row>
    <row r="243" spans="1:44" s="41" customFormat="1" ht="12.75" customHeight="1">
      <c r="A243" s="25" t="s">
        <v>17</v>
      </c>
      <c r="B243" s="25" t="str">
        <f t="shared" si="73"/>
        <v>GL182300</v>
      </c>
      <c r="C243" s="638">
        <v>182300</v>
      </c>
      <c r="D243" s="735"/>
      <c r="F243" s="1" t="s">
        <v>241</v>
      </c>
      <c r="H243" s="736">
        <v>0</v>
      </c>
      <c r="I243" s="25"/>
      <c r="J243" s="25"/>
      <c r="K243" s="442" t="str">
        <f t="shared" si="68"/>
        <v/>
      </c>
      <c r="L243" s="736" t="s">
        <v>2464</v>
      </c>
      <c r="M243" s="25" t="str">
        <f t="shared" si="74"/>
        <v>S</v>
      </c>
      <c r="N243" s="25" t="str">
        <f>IF(L243&lt;&gt;"",VLOOKUP(L243,Categories!$B$2:$D$41,2,FALSE),IF(F243&lt;&gt;"","No Cat",""))</f>
        <v>A&amp;S Sch</v>
      </c>
      <c r="O243" s="25" t="str">
        <f>IF($L243&lt;&gt;"",VLOOKUP($L243,Categories!$B$2:$D$41,3,FALSE),IF($F243&lt;&gt;"","No Cat",""))</f>
        <v>Reg Asset &amp; Liabilities</v>
      </c>
      <c r="P243" s="736" t="s">
        <v>2468</v>
      </c>
      <c r="Q243" s="25" t="str">
        <f>VLOOKUP($P243,Allocators!$B$7:$F$19,5,FALSE)</f>
        <v>Not in Rate Base</v>
      </c>
      <c r="R243" s="737">
        <f>VLOOKUP($P243,Allocators!$B$7:$F$19,2,FALSE)</f>
        <v>0</v>
      </c>
      <c r="S243" s="737">
        <f>VLOOKUP($P243,Allocators!$B$7:$F$19,3,FALSE)</f>
        <v>0</v>
      </c>
      <c r="T243" s="737">
        <f t="shared" si="75"/>
        <v>1</v>
      </c>
      <c r="U243" s="2">
        <f t="shared" si="62"/>
        <v>0</v>
      </c>
      <c r="V243" s="2">
        <f t="shared" si="63"/>
        <v>0</v>
      </c>
      <c r="W243" s="2">
        <f t="shared" si="64"/>
        <v>53.558779999999999</v>
      </c>
      <c r="X243" s="2">
        <f t="shared" si="60"/>
        <v>53.558779999999999</v>
      </c>
      <c r="Y243" s="2">
        <f t="shared" si="65"/>
        <v>0</v>
      </c>
      <c r="Z243" s="2">
        <f t="shared" si="66"/>
        <v>0</v>
      </c>
      <c r="AA243" s="2">
        <f t="shared" si="67"/>
        <v>53.558779999999999</v>
      </c>
      <c r="AB243" s="2">
        <f t="shared" si="61"/>
        <v>53.558779999999999</v>
      </c>
      <c r="AC243" s="759">
        <v>53.558779999999999</v>
      </c>
      <c r="AD243" s="741">
        <v>53.558779999999999</v>
      </c>
      <c r="AE243" s="741">
        <v>53.558779999999999</v>
      </c>
      <c r="AF243" s="741">
        <v>53.558779999999999</v>
      </c>
      <c r="AG243" s="741">
        <v>53.558779999999999</v>
      </c>
      <c r="AH243" s="741">
        <v>53.558779999999999</v>
      </c>
      <c r="AI243" s="741">
        <v>53.558779999999999</v>
      </c>
      <c r="AJ243" s="741">
        <v>53.558779999999999</v>
      </c>
      <c r="AK243" s="741">
        <v>53.558779999999999</v>
      </c>
      <c r="AL243" s="741">
        <v>53.558779999999999</v>
      </c>
      <c r="AM243" s="741">
        <v>53.558779999999999</v>
      </c>
      <c r="AN243" s="741">
        <v>53.558779999999999</v>
      </c>
      <c r="AO243" s="741">
        <v>53.558779999999999</v>
      </c>
      <c r="AP243" s="41" t="str">
        <f t="shared" si="57"/>
        <v>GLS</v>
      </c>
      <c r="AQ243" s="41" t="str">
        <f t="shared" si="58"/>
        <v>GLSS0</v>
      </c>
      <c r="AR243" s="41" t="str">
        <f t="shared" si="59"/>
        <v>S0</v>
      </c>
    </row>
    <row r="244" spans="1:44" s="41" customFormat="1" ht="12.75" customHeight="1">
      <c r="A244" s="25" t="s">
        <v>17</v>
      </c>
      <c r="B244" s="25" t="str">
        <f t="shared" si="73"/>
        <v>GL182301</v>
      </c>
      <c r="C244" s="638">
        <v>182301</v>
      </c>
      <c r="D244" s="735"/>
      <c r="F244" s="1" t="s">
        <v>242</v>
      </c>
      <c r="H244" s="736">
        <v>0</v>
      </c>
      <c r="I244" s="25"/>
      <c r="J244" s="25"/>
      <c r="K244" s="442" t="str">
        <f t="shared" si="68"/>
        <v/>
      </c>
      <c r="L244" s="736" t="s">
        <v>2464</v>
      </c>
      <c r="M244" s="25" t="str">
        <f t="shared" si="74"/>
        <v>S</v>
      </c>
      <c r="N244" s="25" t="str">
        <f>IF(L244&lt;&gt;"",VLOOKUP(L244,Categories!$B$2:$D$41,2,FALSE),IF(F244&lt;&gt;"","No Cat",""))</f>
        <v>A&amp;S Sch</v>
      </c>
      <c r="O244" s="25" t="str">
        <f>IF($L244&lt;&gt;"",VLOOKUP($L244,Categories!$B$2:$D$41,3,FALSE),IF($F244&lt;&gt;"","No Cat",""))</f>
        <v>Reg Asset &amp; Liabilities</v>
      </c>
      <c r="P244" s="736" t="s">
        <v>2468</v>
      </c>
      <c r="Q244" s="25" t="str">
        <f>VLOOKUP($P244,Allocators!$B$7:$F$19,5,FALSE)</f>
        <v>Not in Rate Base</v>
      </c>
      <c r="R244" s="737">
        <f>VLOOKUP($P244,Allocators!$B$7:$F$19,2,FALSE)</f>
        <v>0</v>
      </c>
      <c r="S244" s="737">
        <f>VLOOKUP($P244,Allocators!$B$7:$F$19,3,FALSE)</f>
        <v>0</v>
      </c>
      <c r="T244" s="737">
        <f t="shared" si="75"/>
        <v>1</v>
      </c>
      <c r="U244" s="2">
        <f t="shared" si="62"/>
        <v>0</v>
      </c>
      <c r="V244" s="2">
        <f t="shared" si="63"/>
        <v>0</v>
      </c>
      <c r="W244" s="2">
        <f t="shared" si="64"/>
        <v>24237.892817916701</v>
      </c>
      <c r="X244" s="2">
        <f t="shared" si="60"/>
        <v>24237.892817916701</v>
      </c>
      <c r="Y244" s="2">
        <f t="shared" si="65"/>
        <v>0</v>
      </c>
      <c r="Z244" s="2">
        <f t="shared" si="66"/>
        <v>0</v>
      </c>
      <c r="AA244" s="2">
        <f t="shared" si="67"/>
        <v>21176.676889999999</v>
      </c>
      <c r="AB244" s="2">
        <f t="shared" si="61"/>
        <v>21176.676889999999</v>
      </c>
      <c r="AC244" s="759">
        <v>14514.261759999999</v>
      </c>
      <c r="AD244" s="741">
        <v>31819.076519999999</v>
      </c>
      <c r="AE244" s="741">
        <v>38109.06134</v>
      </c>
      <c r="AF244" s="741">
        <v>41607.396049999996</v>
      </c>
      <c r="AG244" s="741">
        <v>26546.978320000002</v>
      </c>
      <c r="AH244" s="741">
        <v>14705.78053</v>
      </c>
      <c r="AI244" s="741">
        <v>14834.90149</v>
      </c>
      <c r="AJ244" s="741">
        <v>19674.672629999997</v>
      </c>
      <c r="AK244" s="741">
        <v>21182.352429999999</v>
      </c>
      <c r="AL244" s="741">
        <v>20885.63438</v>
      </c>
      <c r="AM244" s="741">
        <v>22542.03068</v>
      </c>
      <c r="AN244" s="741">
        <v>21101.360120000001</v>
      </c>
      <c r="AO244" s="741">
        <v>21176.676889999999</v>
      </c>
      <c r="AP244" s="41" t="str">
        <f t="shared" si="57"/>
        <v>GLS</v>
      </c>
      <c r="AQ244" s="41" t="str">
        <f t="shared" si="58"/>
        <v>GLSS0</v>
      </c>
      <c r="AR244" s="41" t="str">
        <f t="shared" si="59"/>
        <v>S0</v>
      </c>
    </row>
    <row r="245" spans="1:44" s="41" customFormat="1" ht="12.75" customHeight="1">
      <c r="A245" s="25" t="s">
        <v>17</v>
      </c>
      <c r="B245" s="25" t="str">
        <f t="shared" si="73"/>
        <v>GL182303</v>
      </c>
      <c r="C245" s="638">
        <v>182303</v>
      </c>
      <c r="D245" s="735"/>
      <c r="F245" s="1" t="s">
        <v>243</v>
      </c>
      <c r="H245" s="736">
        <v>0</v>
      </c>
      <c r="I245" s="25"/>
      <c r="J245" s="25"/>
      <c r="K245" s="442" t="str">
        <f t="shared" si="68"/>
        <v/>
      </c>
      <c r="L245" s="736" t="s">
        <v>2464</v>
      </c>
      <c r="M245" s="25" t="str">
        <f t="shared" si="74"/>
        <v>S</v>
      </c>
      <c r="N245" s="25" t="str">
        <f>IF(L245&lt;&gt;"",VLOOKUP(L245,Categories!$B$2:$D$41,2,FALSE),IF(F245&lt;&gt;"","No Cat",""))</f>
        <v>A&amp;S Sch</v>
      </c>
      <c r="O245" s="25" t="str">
        <f>IF($L245&lt;&gt;"",VLOOKUP($L245,Categories!$B$2:$D$41,3,FALSE),IF($F245&lt;&gt;"","No Cat",""))</f>
        <v>Reg Asset &amp; Liabilities</v>
      </c>
      <c r="P245" s="736" t="s">
        <v>2468</v>
      </c>
      <c r="Q245" s="25" t="str">
        <f>VLOOKUP($P245,Allocators!$B$7:$F$19,5,FALSE)</f>
        <v>Not in Rate Base</v>
      </c>
      <c r="R245" s="737">
        <f>VLOOKUP($P245,Allocators!$B$7:$F$19,2,FALSE)</f>
        <v>0</v>
      </c>
      <c r="S245" s="737">
        <f>VLOOKUP($P245,Allocators!$B$7:$F$19,3,FALSE)</f>
        <v>0</v>
      </c>
      <c r="T245" s="737">
        <f t="shared" si="75"/>
        <v>1</v>
      </c>
      <c r="U245" s="2">
        <f t="shared" si="62"/>
        <v>0</v>
      </c>
      <c r="V245" s="2">
        <f t="shared" si="63"/>
        <v>0</v>
      </c>
      <c r="W245" s="2">
        <f t="shared" si="64"/>
        <v>9043.8027616666695</v>
      </c>
      <c r="X245" s="2">
        <f t="shared" si="60"/>
        <v>9043.8027616666695</v>
      </c>
      <c r="Y245" s="2">
        <f t="shared" si="65"/>
        <v>0</v>
      </c>
      <c r="Z245" s="2">
        <f t="shared" si="66"/>
        <v>0</v>
      </c>
      <c r="AA245" s="2">
        <f t="shared" si="67"/>
        <v>13141.59815</v>
      </c>
      <c r="AB245" s="2">
        <f t="shared" si="61"/>
        <v>13141.59815</v>
      </c>
      <c r="AC245" s="759">
        <v>6001.2204099999999</v>
      </c>
      <c r="AD245" s="741">
        <v>5414.2552699999997</v>
      </c>
      <c r="AE245" s="741">
        <v>6932.3506699999998</v>
      </c>
      <c r="AF245" s="741">
        <v>7238.8801700000004</v>
      </c>
      <c r="AG245" s="741">
        <v>7738.5152500000004</v>
      </c>
      <c r="AH245" s="741">
        <v>7304.7256399999997</v>
      </c>
      <c r="AI245" s="741">
        <v>7700.1687999999995</v>
      </c>
      <c r="AJ245" s="741">
        <v>9634.9637500000008</v>
      </c>
      <c r="AK245" s="741">
        <v>11634.15532</v>
      </c>
      <c r="AL245" s="741">
        <v>12715.974970000001</v>
      </c>
      <c r="AM245" s="741">
        <v>10805.601419999999</v>
      </c>
      <c r="AN245" s="741">
        <v>11834.632599999999</v>
      </c>
      <c r="AO245" s="741">
        <v>13141.59815</v>
      </c>
      <c r="AP245" s="41" t="str">
        <f t="shared" si="57"/>
        <v>GLS</v>
      </c>
      <c r="AQ245" s="41" t="str">
        <f t="shared" si="58"/>
        <v>GLSS0</v>
      </c>
      <c r="AR245" s="41" t="str">
        <f t="shared" si="59"/>
        <v>S0</v>
      </c>
    </row>
    <row r="246" spans="1:44" s="41" customFormat="1" ht="12.75" customHeight="1">
      <c r="A246" s="25" t="s">
        <v>17</v>
      </c>
      <c r="B246" s="25" t="str">
        <f t="shared" ref="B246" si="76">CONCATENATE(A246,C246,D246,E246)</f>
        <v>GL182304</v>
      </c>
      <c r="C246" s="638">
        <v>182304</v>
      </c>
      <c r="D246" s="735"/>
      <c r="F246" s="1" t="s">
        <v>4363</v>
      </c>
      <c r="H246" s="736">
        <v>0</v>
      </c>
      <c r="I246" s="25"/>
      <c r="J246" s="25"/>
      <c r="K246" s="442" t="str">
        <f t="shared" si="68"/>
        <v/>
      </c>
      <c r="L246" s="736" t="s">
        <v>2464</v>
      </c>
      <c r="M246" s="25" t="str">
        <f t="shared" si="74"/>
        <v>S</v>
      </c>
      <c r="N246" s="25" t="str">
        <f>IF(L246&lt;&gt;"",VLOOKUP(L246,Categories!$B$2:$D$41,2,FALSE),IF(F246&lt;&gt;"","No Cat",""))</f>
        <v>A&amp;S Sch</v>
      </c>
      <c r="O246" s="25" t="str">
        <f>IF($L246&lt;&gt;"",VLOOKUP($L246,Categories!$B$2:$D$41,3,FALSE),IF($F246&lt;&gt;"","No Cat",""))</f>
        <v>Reg Asset &amp; Liabilities</v>
      </c>
      <c r="P246" s="736" t="s">
        <v>2468</v>
      </c>
      <c r="Q246" s="25" t="str">
        <f>VLOOKUP($P246,Allocators!$B$7:$F$19,5,FALSE)</f>
        <v>Not in Rate Base</v>
      </c>
      <c r="R246" s="737">
        <f>VLOOKUP($P246,Allocators!$B$7:$F$19,2,FALSE)</f>
        <v>0</v>
      </c>
      <c r="S246" s="737">
        <f>VLOOKUP($P246,Allocators!$B$7:$F$19,3,FALSE)</f>
        <v>0</v>
      </c>
      <c r="T246" s="737">
        <f t="shared" ref="T246" si="77">IF(P246="N",1,"0.0%")</f>
        <v>1</v>
      </c>
      <c r="U246" s="2">
        <f t="shared" si="62"/>
        <v>0</v>
      </c>
      <c r="V246" s="2">
        <f t="shared" si="63"/>
        <v>0</v>
      </c>
      <c r="W246" s="2">
        <f t="shared" si="64"/>
        <v>52192.816438333299</v>
      </c>
      <c r="X246" s="2">
        <f t="shared" si="60"/>
        <v>52192.816438333299</v>
      </c>
      <c r="Y246" s="2">
        <f t="shared" si="65"/>
        <v>0</v>
      </c>
      <c r="Z246" s="2">
        <f t="shared" si="66"/>
        <v>0</v>
      </c>
      <c r="AA246" s="2">
        <f t="shared" si="67"/>
        <v>59585.812140000002</v>
      </c>
      <c r="AB246" s="2">
        <f t="shared" si="61"/>
        <v>59585.812140000002</v>
      </c>
      <c r="AC246" s="759">
        <v>44739.06682</v>
      </c>
      <c r="AD246" s="741">
        <v>45981.818679999997</v>
      </c>
      <c r="AE246" s="741">
        <v>47224.570540000001</v>
      </c>
      <c r="AF246" s="741">
        <v>48467.322399999997</v>
      </c>
      <c r="AG246" s="741">
        <v>49710.074260000001</v>
      </c>
      <c r="AH246" s="741">
        <v>50952.826119999998</v>
      </c>
      <c r="AI246" s="741">
        <v>52195.577979999995</v>
      </c>
      <c r="AJ246" s="741">
        <v>53438.329840000006</v>
      </c>
      <c r="AK246" s="741">
        <v>54681.081700000002</v>
      </c>
      <c r="AL246" s="741">
        <v>55923.833559999999</v>
      </c>
      <c r="AM246" s="741">
        <v>57166.585420000003</v>
      </c>
      <c r="AN246" s="741">
        <v>58409.33728</v>
      </c>
      <c r="AO246" s="741">
        <v>59585.812140000002</v>
      </c>
      <c r="AP246" s="41" t="str">
        <f t="shared" si="57"/>
        <v>GLS</v>
      </c>
      <c r="AQ246" s="41" t="str">
        <f t="shared" si="58"/>
        <v>GLSS0</v>
      </c>
      <c r="AR246" s="41" t="str">
        <f t="shared" si="59"/>
        <v>S0</v>
      </c>
    </row>
    <row r="247" spans="1:44" s="41" customFormat="1" ht="12.75" customHeight="1">
      <c r="A247" s="25" t="s">
        <v>17</v>
      </c>
      <c r="B247" s="25" t="str">
        <f t="shared" si="73"/>
        <v>GL182305</v>
      </c>
      <c r="C247" s="638">
        <v>182305</v>
      </c>
      <c r="D247" s="735"/>
      <c r="F247" s="1" t="s">
        <v>244</v>
      </c>
      <c r="H247" s="736">
        <v>0</v>
      </c>
      <c r="I247" s="25"/>
      <c r="J247" s="25"/>
      <c r="K247" s="442" t="str">
        <f t="shared" si="68"/>
        <v/>
      </c>
      <c r="L247" s="736" t="s">
        <v>2464</v>
      </c>
      <c r="M247" s="25" t="str">
        <f t="shared" si="74"/>
        <v>S</v>
      </c>
      <c r="N247" s="25" t="str">
        <f>IF(L247&lt;&gt;"",VLOOKUP(L247,Categories!$B$2:$D$41,2,FALSE),IF(F247&lt;&gt;"","No Cat",""))</f>
        <v>A&amp;S Sch</v>
      </c>
      <c r="O247" s="25" t="str">
        <f>IF($L247&lt;&gt;"",VLOOKUP($L247,Categories!$B$2:$D$41,3,FALSE),IF($F247&lt;&gt;"","No Cat",""))</f>
        <v>Reg Asset &amp; Liabilities</v>
      </c>
      <c r="P247" s="736" t="s">
        <v>2468</v>
      </c>
      <c r="Q247" s="25" t="str">
        <f>VLOOKUP($P247,Allocators!$B$7:$F$19,5,FALSE)</f>
        <v>Not in Rate Base</v>
      </c>
      <c r="R247" s="737">
        <f>VLOOKUP($P247,Allocators!$B$7:$F$19,2,FALSE)</f>
        <v>0</v>
      </c>
      <c r="S247" s="737">
        <f>VLOOKUP($P247,Allocators!$B$7:$F$19,3,FALSE)</f>
        <v>0</v>
      </c>
      <c r="T247" s="737">
        <f t="shared" si="75"/>
        <v>1</v>
      </c>
      <c r="U247" s="2">
        <f t="shared" si="62"/>
        <v>0</v>
      </c>
      <c r="V247" s="2">
        <f t="shared" si="63"/>
        <v>0</v>
      </c>
      <c r="W247" s="2">
        <f t="shared" si="64"/>
        <v>8460.0389458333302</v>
      </c>
      <c r="X247" s="2">
        <f t="shared" si="60"/>
        <v>8460.0389458333302</v>
      </c>
      <c r="Y247" s="2">
        <f t="shared" si="65"/>
        <v>0</v>
      </c>
      <c r="Z247" s="2">
        <f t="shared" si="66"/>
        <v>0</v>
      </c>
      <c r="AA247" s="2">
        <f t="shared" si="67"/>
        <v>3055.6423399999999</v>
      </c>
      <c r="AB247" s="2">
        <f t="shared" si="61"/>
        <v>3055.6423399999999</v>
      </c>
      <c r="AC247" s="759">
        <v>20881.709300000002</v>
      </c>
      <c r="AD247" s="741">
        <v>20911.20521</v>
      </c>
      <c r="AE247" s="741">
        <v>20937.951789999999</v>
      </c>
      <c r="AF247" s="741">
        <v>20980.05443</v>
      </c>
      <c r="AG247" s="741">
        <v>3545.68887</v>
      </c>
      <c r="AH247" s="741">
        <v>3477.0768599999997</v>
      </c>
      <c r="AI247" s="741">
        <v>3433.8904300000004</v>
      </c>
      <c r="AJ247" s="741">
        <v>3379.9020800000003</v>
      </c>
      <c r="AK247" s="741">
        <v>3308.1275499999997</v>
      </c>
      <c r="AL247" s="741">
        <v>3257.2927100000002</v>
      </c>
      <c r="AM247" s="741">
        <v>3196.4061299999998</v>
      </c>
      <c r="AN247" s="741">
        <v>3124.1954700000001</v>
      </c>
      <c r="AO247" s="741">
        <v>3055.6423399999999</v>
      </c>
      <c r="AP247" s="41" t="str">
        <f t="shared" si="57"/>
        <v>GLS</v>
      </c>
      <c r="AQ247" s="41" t="str">
        <f t="shared" si="58"/>
        <v>GLSS0</v>
      </c>
      <c r="AR247" s="41" t="str">
        <f t="shared" si="59"/>
        <v>S0</v>
      </c>
    </row>
    <row r="248" spans="1:44" s="41" customFormat="1" ht="12.75" customHeight="1">
      <c r="A248" s="25" t="s">
        <v>17</v>
      </c>
      <c r="B248" s="25" t="str">
        <f t="shared" si="73"/>
        <v>GL182306</v>
      </c>
      <c r="C248" s="638">
        <v>182306</v>
      </c>
      <c r="D248" s="735"/>
      <c r="F248" s="1" t="s">
        <v>245</v>
      </c>
      <c r="H248" s="736">
        <v>0</v>
      </c>
      <c r="I248" s="25"/>
      <c r="J248" s="25"/>
      <c r="K248" s="442" t="str">
        <f t="shared" si="68"/>
        <v/>
      </c>
      <c r="L248" s="736" t="s">
        <v>2464</v>
      </c>
      <c r="M248" s="25" t="str">
        <f t="shared" si="74"/>
        <v>S</v>
      </c>
      <c r="N248" s="25" t="str">
        <f>IF(L248&lt;&gt;"",VLOOKUP(L248,Categories!$B$2:$D$41,2,FALSE),IF(F248&lt;&gt;"","No Cat",""))</f>
        <v>A&amp;S Sch</v>
      </c>
      <c r="O248" s="25" t="str">
        <f>IF($L248&lt;&gt;"",VLOOKUP($L248,Categories!$B$2:$D$41,3,FALSE),IF($F248&lt;&gt;"","No Cat",""))</f>
        <v>Reg Asset &amp; Liabilities</v>
      </c>
      <c r="P248" s="736" t="s">
        <v>2468</v>
      </c>
      <c r="Q248" s="25" t="str">
        <f>VLOOKUP($P248,Allocators!$B$7:$F$19,5,FALSE)</f>
        <v>Not in Rate Base</v>
      </c>
      <c r="R248" s="737">
        <f>VLOOKUP($P248,Allocators!$B$7:$F$19,2,FALSE)</f>
        <v>0</v>
      </c>
      <c r="S248" s="737">
        <f>VLOOKUP($P248,Allocators!$B$7:$F$19,3,FALSE)</f>
        <v>0</v>
      </c>
      <c r="T248" s="737">
        <f t="shared" si="75"/>
        <v>1</v>
      </c>
      <c r="U248" s="2">
        <f t="shared" si="62"/>
        <v>0</v>
      </c>
      <c r="V248" s="2">
        <f t="shared" si="63"/>
        <v>0</v>
      </c>
      <c r="W248" s="2">
        <f t="shared" si="64"/>
        <v>5757.3275791666701</v>
      </c>
      <c r="X248" s="2">
        <f t="shared" si="60"/>
        <v>5757.3275791666701</v>
      </c>
      <c r="Y248" s="2">
        <f t="shared" si="65"/>
        <v>0</v>
      </c>
      <c r="Z248" s="2">
        <f t="shared" si="66"/>
        <v>0</v>
      </c>
      <c r="AA248" s="2">
        <f t="shared" si="67"/>
        <v>1786.05413</v>
      </c>
      <c r="AB248" s="2">
        <f t="shared" si="61"/>
        <v>1786.05413</v>
      </c>
      <c r="AC248" s="759">
        <v>15368.88667</v>
      </c>
      <c r="AD248" s="741">
        <v>15456.60691</v>
      </c>
      <c r="AE248" s="741">
        <v>15545.440130000001</v>
      </c>
      <c r="AF248" s="741">
        <v>15634.759789999998</v>
      </c>
      <c r="AG248" s="741">
        <v>1696.1023400000001</v>
      </c>
      <c r="AH248" s="741">
        <v>1706.90029</v>
      </c>
      <c r="AI248" s="741">
        <v>1717.74243</v>
      </c>
      <c r="AJ248" s="741">
        <v>1728.6290200000001</v>
      </c>
      <c r="AK248" s="741">
        <v>1739.5603000000001</v>
      </c>
      <c r="AL248" s="741">
        <v>1750.5365300000001</v>
      </c>
      <c r="AM248" s="741">
        <v>1761.5579599999999</v>
      </c>
      <c r="AN248" s="741">
        <v>1772.6248500000002</v>
      </c>
      <c r="AO248" s="741">
        <v>1786.05413</v>
      </c>
      <c r="AP248" s="41" t="str">
        <f t="shared" si="57"/>
        <v>GLS</v>
      </c>
      <c r="AQ248" s="41" t="str">
        <f t="shared" si="58"/>
        <v>GLSS0</v>
      </c>
      <c r="AR248" s="41" t="str">
        <f t="shared" si="59"/>
        <v>S0</v>
      </c>
    </row>
    <row r="249" spans="1:44" s="41" customFormat="1" ht="12.75" customHeight="1">
      <c r="A249" s="25" t="s">
        <v>17</v>
      </c>
      <c r="B249" s="25" t="str">
        <f t="shared" si="73"/>
        <v>GL182311</v>
      </c>
      <c r="C249" s="638">
        <v>182311</v>
      </c>
      <c r="D249" s="735"/>
      <c r="F249" s="1" t="s">
        <v>246</v>
      </c>
      <c r="H249" s="736">
        <v>0</v>
      </c>
      <c r="I249" s="25"/>
      <c r="J249" s="25"/>
      <c r="K249" s="442" t="str">
        <f t="shared" si="68"/>
        <v/>
      </c>
      <c r="L249" s="736" t="s">
        <v>2464</v>
      </c>
      <c r="M249" s="25" t="str">
        <f t="shared" si="74"/>
        <v>S</v>
      </c>
      <c r="N249" s="25" t="str">
        <f>IF(L249&lt;&gt;"",VLOOKUP(L249,Categories!$B$2:$D$41,2,FALSE),IF(F249&lt;&gt;"","No Cat",""))</f>
        <v>A&amp;S Sch</v>
      </c>
      <c r="O249" s="25" t="str">
        <f>IF($L249&lt;&gt;"",VLOOKUP($L249,Categories!$B$2:$D$41,3,FALSE),IF($F249&lt;&gt;"","No Cat",""))</f>
        <v>Reg Asset &amp; Liabilities</v>
      </c>
      <c r="P249" s="736" t="s">
        <v>2468</v>
      </c>
      <c r="Q249" s="25" t="str">
        <f>VLOOKUP($P249,Allocators!$B$7:$F$19,5,FALSE)</f>
        <v>Not in Rate Base</v>
      </c>
      <c r="R249" s="737">
        <f>VLOOKUP($P249,Allocators!$B$7:$F$19,2,FALSE)</f>
        <v>0</v>
      </c>
      <c r="S249" s="737">
        <f>VLOOKUP($P249,Allocators!$B$7:$F$19,3,FALSE)</f>
        <v>0</v>
      </c>
      <c r="T249" s="737">
        <f t="shared" si="75"/>
        <v>1</v>
      </c>
      <c r="U249" s="2" t="str">
        <f t="shared" si="62"/>
        <v/>
      </c>
      <c r="V249" s="2" t="str">
        <f t="shared" si="63"/>
        <v/>
      </c>
      <c r="W249" s="2" t="str">
        <f t="shared" si="64"/>
        <v/>
      </c>
      <c r="X249" s="2">
        <f t="shared" si="60"/>
        <v>0</v>
      </c>
      <c r="Y249" s="2" t="str">
        <f t="shared" si="65"/>
        <v/>
      </c>
      <c r="Z249" s="2" t="str">
        <f t="shared" si="66"/>
        <v/>
      </c>
      <c r="AA249" s="2" t="str">
        <f t="shared" si="67"/>
        <v/>
      </c>
      <c r="AB249" s="2">
        <f t="shared" si="61"/>
        <v>0</v>
      </c>
      <c r="AC249" s="759">
        <v>0</v>
      </c>
      <c r="AD249" s="741">
        <v>0</v>
      </c>
      <c r="AE249" s="741">
        <v>0</v>
      </c>
      <c r="AF249" s="741">
        <v>0</v>
      </c>
      <c r="AG249" s="741">
        <v>0</v>
      </c>
      <c r="AH249" s="741">
        <v>0</v>
      </c>
      <c r="AI249" s="741">
        <v>0</v>
      </c>
      <c r="AJ249" s="741">
        <v>0</v>
      </c>
      <c r="AK249" s="741">
        <v>0</v>
      </c>
      <c r="AL249" s="741">
        <v>0</v>
      </c>
      <c r="AM249" s="741">
        <v>0</v>
      </c>
      <c r="AN249" s="741">
        <v>0</v>
      </c>
      <c r="AO249" s="741">
        <v>0</v>
      </c>
      <c r="AP249" s="41" t="str">
        <f t="shared" si="57"/>
        <v>GLS</v>
      </c>
      <c r="AQ249" s="41" t="str">
        <f t="shared" si="58"/>
        <v>GLSS0</v>
      </c>
      <c r="AR249" s="41" t="str">
        <f t="shared" si="59"/>
        <v>S0</v>
      </c>
    </row>
    <row r="250" spans="1:44" s="41" customFormat="1" ht="12.75" customHeight="1">
      <c r="A250" s="25" t="s">
        <v>17</v>
      </c>
      <c r="B250" s="25" t="str">
        <f t="shared" si="73"/>
        <v>GL182320</v>
      </c>
      <c r="C250" s="638">
        <v>182320</v>
      </c>
      <c r="D250" s="735"/>
      <c r="F250" s="1" t="s">
        <v>247</v>
      </c>
      <c r="H250" s="736">
        <v>0</v>
      </c>
      <c r="I250" s="25"/>
      <c r="J250" s="25"/>
      <c r="K250" s="442" t="str">
        <f t="shared" si="68"/>
        <v/>
      </c>
      <c r="L250" s="736" t="s">
        <v>2464</v>
      </c>
      <c r="M250" s="25" t="str">
        <f t="shared" si="74"/>
        <v>S</v>
      </c>
      <c r="N250" s="25" t="str">
        <f>IF(L250&lt;&gt;"",VLOOKUP(L250,Categories!$B$2:$D$41,2,FALSE),IF(F250&lt;&gt;"","No Cat",""))</f>
        <v>A&amp;S Sch</v>
      </c>
      <c r="O250" s="25" t="str">
        <f>IF($L250&lt;&gt;"",VLOOKUP($L250,Categories!$B$2:$D$41,3,FALSE),IF($F250&lt;&gt;"","No Cat",""))</f>
        <v>Reg Asset &amp; Liabilities</v>
      </c>
      <c r="P250" s="736" t="s">
        <v>2468</v>
      </c>
      <c r="Q250" s="25" t="str">
        <f>VLOOKUP($P250,Allocators!$B$7:$F$19,5,FALSE)</f>
        <v>Not in Rate Base</v>
      </c>
      <c r="R250" s="737">
        <f>VLOOKUP($P250,Allocators!$B$7:$F$19,2,FALSE)</f>
        <v>0</v>
      </c>
      <c r="S250" s="737">
        <f>VLOOKUP($P250,Allocators!$B$7:$F$19,3,FALSE)</f>
        <v>0</v>
      </c>
      <c r="T250" s="737">
        <f t="shared" si="75"/>
        <v>1</v>
      </c>
      <c r="U250" s="2">
        <f t="shared" si="62"/>
        <v>0</v>
      </c>
      <c r="V250" s="2">
        <f t="shared" si="63"/>
        <v>0</v>
      </c>
      <c r="W250" s="2">
        <f t="shared" si="64"/>
        <v>90203.713780833306</v>
      </c>
      <c r="X250" s="2">
        <f t="shared" si="60"/>
        <v>90203.713780833306</v>
      </c>
      <c r="Y250" s="2">
        <f t="shared" si="65"/>
        <v>0</v>
      </c>
      <c r="Z250" s="2">
        <f t="shared" si="66"/>
        <v>0</v>
      </c>
      <c r="AA250" s="2">
        <f t="shared" si="67"/>
        <v>120916.6345</v>
      </c>
      <c r="AB250" s="2">
        <f t="shared" si="61"/>
        <v>120916.6345</v>
      </c>
      <c r="AC250" s="759">
        <v>90511.528260000006</v>
      </c>
      <c r="AD250" s="741">
        <v>89120.869299999991</v>
      </c>
      <c r="AE250" s="741">
        <v>88378.578590000005</v>
      </c>
      <c r="AF250" s="741">
        <v>88111.486769999989</v>
      </c>
      <c r="AG250" s="741">
        <v>87125.746339999998</v>
      </c>
      <c r="AH250" s="741">
        <v>85548.680430000008</v>
      </c>
      <c r="AI250" s="741">
        <v>84311.553930000009</v>
      </c>
      <c r="AJ250" s="741">
        <v>83722.059370000003</v>
      </c>
      <c r="AK250" s="741">
        <v>82869.312170000005</v>
      </c>
      <c r="AL250" s="741">
        <v>81930.87748000001</v>
      </c>
      <c r="AM250" s="741">
        <v>83800.144579999993</v>
      </c>
      <c r="AN250" s="741">
        <v>121811.17503</v>
      </c>
      <c r="AO250" s="741">
        <v>120916.6345</v>
      </c>
      <c r="AP250" s="41" t="str">
        <f t="shared" si="57"/>
        <v>GLS</v>
      </c>
      <c r="AQ250" s="41" t="str">
        <f t="shared" si="58"/>
        <v>GLSS0</v>
      </c>
      <c r="AR250" s="41" t="str">
        <f t="shared" si="59"/>
        <v>S0</v>
      </c>
    </row>
    <row r="251" spans="1:44" s="41" customFormat="1" ht="12.75" customHeight="1">
      <c r="A251" s="25" t="s">
        <v>17</v>
      </c>
      <c r="B251" s="25" t="str">
        <f t="shared" si="73"/>
        <v>GL182326</v>
      </c>
      <c r="C251" s="638">
        <v>182326</v>
      </c>
      <c r="D251" s="735"/>
      <c r="F251" s="1" t="s">
        <v>248</v>
      </c>
      <c r="H251" s="736">
        <v>0</v>
      </c>
      <c r="I251" s="25"/>
      <c r="J251" s="25"/>
      <c r="K251" s="442" t="str">
        <f t="shared" si="68"/>
        <v/>
      </c>
      <c r="L251" s="736" t="s">
        <v>2464</v>
      </c>
      <c r="M251" s="25" t="str">
        <f t="shared" si="74"/>
        <v>S</v>
      </c>
      <c r="N251" s="25" t="str">
        <f>IF(L251&lt;&gt;"",VLOOKUP(L251,Categories!$B$2:$D$41,2,FALSE),IF(F251&lt;&gt;"","No Cat",""))</f>
        <v>A&amp;S Sch</v>
      </c>
      <c r="O251" s="25" t="str">
        <f>IF($L251&lt;&gt;"",VLOOKUP($L251,Categories!$B$2:$D$41,3,FALSE),IF($F251&lt;&gt;"","No Cat",""))</f>
        <v>Reg Asset &amp; Liabilities</v>
      </c>
      <c r="P251" s="736" t="s">
        <v>2468</v>
      </c>
      <c r="Q251" s="25" t="str">
        <f>VLOOKUP($P251,Allocators!$B$7:$F$19,5,FALSE)</f>
        <v>Not in Rate Base</v>
      </c>
      <c r="R251" s="737">
        <f>VLOOKUP($P251,Allocators!$B$7:$F$19,2,FALSE)</f>
        <v>0</v>
      </c>
      <c r="S251" s="737">
        <f>VLOOKUP($P251,Allocators!$B$7:$F$19,3,FALSE)</f>
        <v>0</v>
      </c>
      <c r="T251" s="737">
        <f t="shared" si="75"/>
        <v>1</v>
      </c>
      <c r="U251" s="2">
        <f t="shared" si="62"/>
        <v>0</v>
      </c>
      <c r="V251" s="2">
        <f t="shared" si="63"/>
        <v>0</v>
      </c>
      <c r="W251" s="2">
        <f t="shared" si="64"/>
        <v>212.21299999999999</v>
      </c>
      <c r="X251" s="2">
        <f t="shared" si="60"/>
        <v>212.21299999999999</v>
      </c>
      <c r="Y251" s="2">
        <f t="shared" si="65"/>
        <v>0</v>
      </c>
      <c r="Z251" s="2">
        <f t="shared" si="66"/>
        <v>0</v>
      </c>
      <c r="AA251" s="2">
        <f t="shared" si="67"/>
        <v>5093.1120000000001</v>
      </c>
      <c r="AB251" s="2">
        <f t="shared" si="61"/>
        <v>5093.1120000000001</v>
      </c>
      <c r="AC251" s="759">
        <v>0</v>
      </c>
      <c r="AD251" s="741">
        <v>0</v>
      </c>
      <c r="AE251" s="741">
        <v>0</v>
      </c>
      <c r="AF251" s="741">
        <v>0</v>
      </c>
      <c r="AG251" s="741">
        <v>0</v>
      </c>
      <c r="AH251" s="741">
        <v>0</v>
      </c>
      <c r="AI251" s="741">
        <v>0</v>
      </c>
      <c r="AJ251" s="741">
        <v>0</v>
      </c>
      <c r="AK251" s="741">
        <v>0</v>
      </c>
      <c r="AL251" s="741">
        <v>0</v>
      </c>
      <c r="AM251" s="741">
        <v>0</v>
      </c>
      <c r="AN251" s="741">
        <v>0</v>
      </c>
      <c r="AO251" s="741">
        <v>5093.1120000000001</v>
      </c>
      <c r="AP251" s="41" t="str">
        <f t="shared" si="57"/>
        <v>GLS</v>
      </c>
      <c r="AQ251" s="41" t="str">
        <f t="shared" si="58"/>
        <v>GLSS0</v>
      </c>
      <c r="AR251" s="41" t="str">
        <f t="shared" si="59"/>
        <v>S0</v>
      </c>
    </row>
    <row r="252" spans="1:44" s="41" customFormat="1" ht="12.75" customHeight="1">
      <c r="A252" s="25" t="s">
        <v>17</v>
      </c>
      <c r="B252" s="25" t="str">
        <f t="shared" si="73"/>
        <v>GL182336</v>
      </c>
      <c r="C252" s="638">
        <v>182336</v>
      </c>
      <c r="D252" s="735"/>
      <c r="F252" s="1" t="s">
        <v>249</v>
      </c>
      <c r="H252" s="736">
        <v>0</v>
      </c>
      <c r="I252" s="25"/>
      <c r="J252" s="25"/>
      <c r="K252" s="442" t="str">
        <f t="shared" si="68"/>
        <v/>
      </c>
      <c r="L252" s="736" t="s">
        <v>2464</v>
      </c>
      <c r="M252" s="25" t="str">
        <f t="shared" si="74"/>
        <v>S</v>
      </c>
      <c r="N252" s="25" t="str">
        <f>IF(L252&lt;&gt;"",VLOOKUP(L252,Categories!$B$2:$D$41,2,FALSE),IF(F252&lt;&gt;"","No Cat",""))</f>
        <v>A&amp;S Sch</v>
      </c>
      <c r="O252" s="25" t="str">
        <f>IF($L252&lt;&gt;"",VLOOKUP($L252,Categories!$B$2:$D$41,3,FALSE),IF($F252&lt;&gt;"","No Cat",""))</f>
        <v>Reg Asset &amp; Liabilities</v>
      </c>
      <c r="P252" s="736" t="s">
        <v>2468</v>
      </c>
      <c r="Q252" s="25" t="str">
        <f>VLOOKUP($P252,Allocators!$B$7:$F$19,5,FALSE)</f>
        <v>Not in Rate Base</v>
      </c>
      <c r="R252" s="737">
        <f>VLOOKUP($P252,Allocators!$B$7:$F$19,2,FALSE)</f>
        <v>0</v>
      </c>
      <c r="S252" s="737">
        <f>VLOOKUP($P252,Allocators!$B$7:$F$19,3,FALSE)</f>
        <v>0</v>
      </c>
      <c r="T252" s="737">
        <f t="shared" si="75"/>
        <v>1</v>
      </c>
      <c r="U252" s="2">
        <f t="shared" si="62"/>
        <v>0</v>
      </c>
      <c r="V252" s="2">
        <f t="shared" si="63"/>
        <v>0</v>
      </c>
      <c r="W252" s="2">
        <f t="shared" si="64"/>
        <v>99481.602497916698</v>
      </c>
      <c r="X252" s="2">
        <f t="shared" si="60"/>
        <v>99481.602497916698</v>
      </c>
      <c r="Y252" s="2">
        <f t="shared" si="65"/>
        <v>0</v>
      </c>
      <c r="Z252" s="2">
        <f t="shared" si="66"/>
        <v>0</v>
      </c>
      <c r="AA252" s="2">
        <f t="shared" si="67"/>
        <v>155056.4797</v>
      </c>
      <c r="AB252" s="2">
        <f t="shared" si="61"/>
        <v>155056.4797</v>
      </c>
      <c r="AC252" s="759">
        <v>106458.90747000001</v>
      </c>
      <c r="AD252" s="741">
        <v>104822.14314</v>
      </c>
      <c r="AE252" s="741">
        <v>103185.37881000001</v>
      </c>
      <c r="AF252" s="741">
        <v>101548.61448</v>
      </c>
      <c r="AG252" s="741">
        <v>99911.850150000013</v>
      </c>
      <c r="AH252" s="741">
        <v>98275.085819999993</v>
      </c>
      <c r="AI252" s="741">
        <v>96638.321489999988</v>
      </c>
      <c r="AJ252" s="741">
        <v>95001.557159999997</v>
      </c>
      <c r="AK252" s="741">
        <v>93364.792829999991</v>
      </c>
      <c r="AL252" s="741">
        <v>91728.0285</v>
      </c>
      <c r="AM252" s="741">
        <v>90091.264169999995</v>
      </c>
      <c r="AN252" s="741">
        <v>88454.499840000004</v>
      </c>
      <c r="AO252" s="741">
        <v>155056.4797</v>
      </c>
      <c r="AP252" s="41" t="str">
        <f t="shared" si="57"/>
        <v>GLS</v>
      </c>
      <c r="AQ252" s="41" t="str">
        <f t="shared" si="58"/>
        <v>GLSS0</v>
      </c>
      <c r="AR252" s="41" t="str">
        <f t="shared" si="59"/>
        <v>S0</v>
      </c>
    </row>
    <row r="253" spans="1:44" s="41" customFormat="1" ht="12.75" customHeight="1">
      <c r="A253" s="25" t="s">
        <v>17</v>
      </c>
      <c r="B253" s="25" t="str">
        <f t="shared" si="73"/>
        <v>GL182344</v>
      </c>
      <c r="C253" s="638">
        <v>182344</v>
      </c>
      <c r="D253" s="735"/>
      <c r="F253" s="1" t="s">
        <v>250</v>
      </c>
      <c r="H253" s="736">
        <v>0</v>
      </c>
      <c r="I253" s="25"/>
      <c r="J253" s="25"/>
      <c r="K253" s="442" t="str">
        <f t="shared" si="68"/>
        <v/>
      </c>
      <c r="L253" s="736" t="s">
        <v>2464</v>
      </c>
      <c r="M253" s="25" t="str">
        <f t="shared" si="74"/>
        <v>S</v>
      </c>
      <c r="N253" s="25" t="str">
        <f>IF(L253&lt;&gt;"",VLOOKUP(L253,Categories!$B$2:$D$41,2,FALSE),IF(F253&lt;&gt;"","No Cat",""))</f>
        <v>A&amp;S Sch</v>
      </c>
      <c r="O253" s="25" t="str">
        <f>IF($L253&lt;&gt;"",VLOOKUP($L253,Categories!$B$2:$D$41,3,FALSE),IF($F253&lt;&gt;"","No Cat",""))</f>
        <v>Reg Asset &amp; Liabilities</v>
      </c>
      <c r="P253" s="736" t="s">
        <v>2468</v>
      </c>
      <c r="Q253" s="25" t="str">
        <f>VLOOKUP($P253,Allocators!$B$7:$F$19,5,FALSE)</f>
        <v>Not in Rate Base</v>
      </c>
      <c r="R253" s="737">
        <f>VLOOKUP($P253,Allocators!$B$7:$F$19,2,FALSE)</f>
        <v>0</v>
      </c>
      <c r="S253" s="737">
        <f>VLOOKUP($P253,Allocators!$B$7:$F$19,3,FALSE)</f>
        <v>0</v>
      </c>
      <c r="T253" s="737">
        <f t="shared" si="75"/>
        <v>1</v>
      </c>
      <c r="U253" s="2">
        <f t="shared" si="62"/>
        <v>0</v>
      </c>
      <c r="V253" s="2">
        <f t="shared" si="63"/>
        <v>0</v>
      </c>
      <c r="W253" s="2">
        <f t="shared" si="64"/>
        <v>132460.6169625</v>
      </c>
      <c r="X253" s="2">
        <f t="shared" si="60"/>
        <v>132460.6169625</v>
      </c>
      <c r="Y253" s="2">
        <f t="shared" si="65"/>
        <v>0</v>
      </c>
      <c r="Z253" s="2">
        <f t="shared" si="66"/>
        <v>0</v>
      </c>
      <c r="AA253" s="2">
        <f t="shared" si="67"/>
        <v>126745.40401</v>
      </c>
      <c r="AB253" s="2">
        <f t="shared" si="61"/>
        <v>126745.40401</v>
      </c>
      <c r="AC253" s="759">
        <v>130772.98505</v>
      </c>
      <c r="AD253" s="741">
        <v>132472.9449</v>
      </c>
      <c r="AE253" s="741">
        <v>133873.22206999999</v>
      </c>
      <c r="AF253" s="741">
        <v>135436.26433000001</v>
      </c>
      <c r="AG253" s="741">
        <v>134372.89622</v>
      </c>
      <c r="AH253" s="741">
        <v>132182.03747000001</v>
      </c>
      <c r="AI253" s="741">
        <v>132221.08281999998</v>
      </c>
      <c r="AJ253" s="741">
        <v>134676.00466999999</v>
      </c>
      <c r="AK253" s="741">
        <v>133793.27833999999</v>
      </c>
      <c r="AL253" s="741">
        <v>134182.20243</v>
      </c>
      <c r="AM253" s="741">
        <v>132334.89739</v>
      </c>
      <c r="AN253" s="741">
        <v>125223.37837999999</v>
      </c>
      <c r="AO253" s="741">
        <v>126745.40401</v>
      </c>
      <c r="AP253" s="41" t="str">
        <f t="shared" si="57"/>
        <v>GLS</v>
      </c>
      <c r="AQ253" s="41" t="str">
        <f t="shared" si="58"/>
        <v>GLSS0</v>
      </c>
      <c r="AR253" s="41" t="str">
        <f t="shared" si="59"/>
        <v>S0</v>
      </c>
    </row>
    <row r="254" spans="1:44" s="41" customFormat="1" ht="12.75" customHeight="1">
      <c r="A254" s="25" t="s">
        <v>17</v>
      </c>
      <c r="B254" s="25" t="str">
        <f t="shared" si="73"/>
        <v>GL182350</v>
      </c>
      <c r="C254" s="638">
        <v>182350</v>
      </c>
      <c r="D254" s="735"/>
      <c r="F254" s="1" t="s">
        <v>251</v>
      </c>
      <c r="H254" s="736">
        <v>0</v>
      </c>
      <c r="I254" s="25"/>
      <c r="J254" s="25"/>
      <c r="K254" s="442" t="str">
        <f t="shared" si="68"/>
        <v/>
      </c>
      <c r="L254" s="736" t="s">
        <v>2464</v>
      </c>
      <c r="M254" s="25" t="str">
        <f t="shared" si="74"/>
        <v>S</v>
      </c>
      <c r="N254" s="25" t="str">
        <f>IF(L254&lt;&gt;"",VLOOKUP(L254,Categories!$B$2:$D$41,2,FALSE),IF(F254&lt;&gt;"","No Cat",""))</f>
        <v>A&amp;S Sch</v>
      </c>
      <c r="O254" s="25" t="str">
        <f>IF($L254&lt;&gt;"",VLOOKUP($L254,Categories!$B$2:$D$41,3,FALSE),IF($F254&lt;&gt;"","No Cat",""))</f>
        <v>Reg Asset &amp; Liabilities</v>
      </c>
      <c r="P254" s="736" t="s">
        <v>2468</v>
      </c>
      <c r="Q254" s="25" t="str">
        <f>VLOOKUP($P254,Allocators!$B$7:$F$19,5,FALSE)</f>
        <v>Not in Rate Base</v>
      </c>
      <c r="R254" s="737">
        <f>VLOOKUP($P254,Allocators!$B$7:$F$19,2,FALSE)</f>
        <v>0</v>
      </c>
      <c r="S254" s="737">
        <f>VLOOKUP($P254,Allocators!$B$7:$F$19,3,FALSE)</f>
        <v>0</v>
      </c>
      <c r="T254" s="737">
        <f t="shared" si="75"/>
        <v>1</v>
      </c>
      <c r="U254" s="2" t="str">
        <f t="shared" si="62"/>
        <v/>
      </c>
      <c r="V254" s="2" t="str">
        <f t="shared" si="63"/>
        <v/>
      </c>
      <c r="W254" s="2" t="str">
        <f t="shared" si="64"/>
        <v/>
      </c>
      <c r="X254" s="2">
        <f t="shared" si="60"/>
        <v>0</v>
      </c>
      <c r="Y254" s="2" t="str">
        <f t="shared" si="65"/>
        <v/>
      </c>
      <c r="Z254" s="2" t="str">
        <f t="shared" si="66"/>
        <v/>
      </c>
      <c r="AA254" s="2" t="str">
        <f t="shared" si="67"/>
        <v/>
      </c>
      <c r="AB254" s="2">
        <f t="shared" si="61"/>
        <v>0</v>
      </c>
      <c r="AC254" s="759">
        <v>0</v>
      </c>
      <c r="AD254" s="741">
        <v>0</v>
      </c>
      <c r="AE254" s="741">
        <v>0</v>
      </c>
      <c r="AF254" s="741">
        <v>0</v>
      </c>
      <c r="AG254" s="741">
        <v>0</v>
      </c>
      <c r="AH254" s="741">
        <v>0</v>
      </c>
      <c r="AI254" s="741">
        <v>0</v>
      </c>
      <c r="AJ254" s="741">
        <v>0</v>
      </c>
      <c r="AK254" s="741">
        <v>0</v>
      </c>
      <c r="AL254" s="741">
        <v>0</v>
      </c>
      <c r="AM254" s="741">
        <v>0</v>
      </c>
      <c r="AN254" s="741">
        <v>0</v>
      </c>
      <c r="AO254" s="741">
        <v>0</v>
      </c>
      <c r="AP254" s="41" t="str">
        <f t="shared" si="57"/>
        <v>GLS</v>
      </c>
      <c r="AQ254" s="41" t="str">
        <f t="shared" si="58"/>
        <v>GLSS0</v>
      </c>
      <c r="AR254" s="41" t="str">
        <f t="shared" si="59"/>
        <v>S0</v>
      </c>
    </row>
    <row r="255" spans="1:44" s="41" customFormat="1" ht="12.75" customHeight="1">
      <c r="A255" s="25" t="s">
        <v>17</v>
      </c>
      <c r="B255" s="25" t="str">
        <f t="shared" si="73"/>
        <v>GL182355</v>
      </c>
      <c r="C255" s="638">
        <v>182355</v>
      </c>
      <c r="D255" s="735"/>
      <c r="F255" s="1" t="s">
        <v>252</v>
      </c>
      <c r="H255" s="736">
        <v>0</v>
      </c>
      <c r="I255" s="25"/>
      <c r="J255" s="25"/>
      <c r="K255" s="442" t="str">
        <f t="shared" si="68"/>
        <v/>
      </c>
      <c r="L255" s="736" t="s">
        <v>2464</v>
      </c>
      <c r="M255" s="25" t="str">
        <f t="shared" si="74"/>
        <v>S</v>
      </c>
      <c r="N255" s="25" t="str">
        <f>IF(L255&lt;&gt;"",VLOOKUP(L255,Categories!$B$2:$D$41,2,FALSE),IF(F255&lt;&gt;"","No Cat",""))</f>
        <v>A&amp;S Sch</v>
      </c>
      <c r="O255" s="25" t="str">
        <f>IF($L255&lt;&gt;"",VLOOKUP($L255,Categories!$B$2:$D$41,3,FALSE),IF($F255&lt;&gt;"","No Cat",""))</f>
        <v>Reg Asset &amp; Liabilities</v>
      </c>
      <c r="P255" s="736" t="s">
        <v>2468</v>
      </c>
      <c r="Q255" s="25" t="str">
        <f>VLOOKUP($P255,Allocators!$B$7:$F$19,5,FALSE)</f>
        <v>Not in Rate Base</v>
      </c>
      <c r="R255" s="737">
        <f>VLOOKUP($P255,Allocators!$B$7:$F$19,2,FALSE)</f>
        <v>0</v>
      </c>
      <c r="S255" s="737">
        <f>VLOOKUP($P255,Allocators!$B$7:$F$19,3,FALSE)</f>
        <v>0</v>
      </c>
      <c r="T255" s="737">
        <f t="shared" si="75"/>
        <v>1</v>
      </c>
      <c r="U255" s="2">
        <f t="shared" si="62"/>
        <v>0</v>
      </c>
      <c r="V255" s="2">
        <f t="shared" si="63"/>
        <v>0</v>
      </c>
      <c r="W255" s="2">
        <f t="shared" si="64"/>
        <v>14614.7937070833</v>
      </c>
      <c r="X255" s="2">
        <f t="shared" si="60"/>
        <v>14614.7937070833</v>
      </c>
      <c r="Y255" s="2">
        <f t="shared" si="65"/>
        <v>0</v>
      </c>
      <c r="Z255" s="2">
        <f t="shared" si="66"/>
        <v>0</v>
      </c>
      <c r="AA255" s="2">
        <f t="shared" si="67"/>
        <v>16685.289540000002</v>
      </c>
      <c r="AB255" s="2">
        <f t="shared" si="61"/>
        <v>16685.289539999998</v>
      </c>
      <c r="AC255" s="759">
        <v>12724.500330000001</v>
      </c>
      <c r="AD255" s="741">
        <v>13633.64741</v>
      </c>
      <c r="AE255" s="741">
        <v>13741.29009</v>
      </c>
      <c r="AF255" s="741">
        <v>13849.697689999999</v>
      </c>
      <c r="AG255" s="741">
        <v>13958.8737</v>
      </c>
      <c r="AH255" s="741">
        <v>14068.8246</v>
      </c>
      <c r="AI255" s="741">
        <v>14179.55688</v>
      </c>
      <c r="AJ255" s="741">
        <v>14605.51431</v>
      </c>
      <c r="AK255" s="741">
        <v>15032.14776</v>
      </c>
      <c r="AL255" s="741">
        <v>15459.46342</v>
      </c>
      <c r="AM255" s="741">
        <v>15887.46745</v>
      </c>
      <c r="AN255" s="741">
        <v>16256.14624</v>
      </c>
      <c r="AO255" s="741">
        <v>16685.289539999998</v>
      </c>
      <c r="AP255" s="41" t="str">
        <f t="shared" si="57"/>
        <v>GLS</v>
      </c>
      <c r="AQ255" s="41" t="str">
        <f t="shared" si="58"/>
        <v>GLSS0</v>
      </c>
      <c r="AR255" s="41" t="str">
        <f t="shared" si="59"/>
        <v>S0</v>
      </c>
    </row>
    <row r="256" spans="1:44" s="41" customFormat="1" ht="12.75" customHeight="1">
      <c r="A256" s="25" t="s">
        <v>17</v>
      </c>
      <c r="B256" s="25" t="str">
        <f t="shared" si="73"/>
        <v>GL182356</v>
      </c>
      <c r="C256" s="638">
        <v>182356</v>
      </c>
      <c r="D256" s="735"/>
      <c r="F256" s="1" t="s">
        <v>253</v>
      </c>
      <c r="H256" s="736">
        <v>0</v>
      </c>
      <c r="I256" s="25"/>
      <c r="J256" s="25"/>
      <c r="K256" s="442" t="str">
        <f t="shared" si="68"/>
        <v/>
      </c>
      <c r="L256" s="736" t="s">
        <v>2464</v>
      </c>
      <c r="M256" s="25" t="str">
        <f t="shared" si="74"/>
        <v>S</v>
      </c>
      <c r="N256" s="25" t="str">
        <f>IF(L256&lt;&gt;"",VLOOKUP(L256,Categories!$B$2:$D$41,2,FALSE),IF(F256&lt;&gt;"","No Cat",""))</f>
        <v>A&amp;S Sch</v>
      </c>
      <c r="O256" s="25" t="str">
        <f>IF($L256&lt;&gt;"",VLOOKUP($L256,Categories!$B$2:$D$41,3,FALSE),IF($F256&lt;&gt;"","No Cat",""))</f>
        <v>Reg Asset &amp; Liabilities</v>
      </c>
      <c r="P256" s="736" t="s">
        <v>2468</v>
      </c>
      <c r="Q256" s="25" t="str">
        <f>VLOOKUP($P256,Allocators!$B$7:$F$19,5,FALSE)</f>
        <v>Not in Rate Base</v>
      </c>
      <c r="R256" s="737">
        <f>VLOOKUP($P256,Allocators!$B$7:$F$19,2,FALSE)</f>
        <v>0</v>
      </c>
      <c r="S256" s="737">
        <f>VLOOKUP($P256,Allocators!$B$7:$F$19,3,FALSE)</f>
        <v>0</v>
      </c>
      <c r="T256" s="737">
        <f t="shared" si="75"/>
        <v>1</v>
      </c>
      <c r="U256" s="2">
        <f t="shared" si="62"/>
        <v>0</v>
      </c>
      <c r="V256" s="2">
        <f t="shared" si="63"/>
        <v>0</v>
      </c>
      <c r="W256" s="2">
        <f t="shared" si="64"/>
        <v>-446.74382708333297</v>
      </c>
      <c r="X256" s="2">
        <f t="shared" si="60"/>
        <v>-446.74382708333297</v>
      </c>
      <c r="Y256" s="2">
        <f t="shared" si="65"/>
        <v>0</v>
      </c>
      <c r="Z256" s="2">
        <f t="shared" si="66"/>
        <v>0</v>
      </c>
      <c r="AA256" s="2">
        <f t="shared" si="67"/>
        <v>-556.38829999999996</v>
      </c>
      <c r="AB256" s="2">
        <f t="shared" si="61"/>
        <v>-556.38830000000007</v>
      </c>
      <c r="AC256" s="759">
        <v>-460.89121</v>
      </c>
      <c r="AD256" s="741">
        <v>-455.16111000000001</v>
      </c>
      <c r="AE256" s="741">
        <v>-449.40631999999999</v>
      </c>
      <c r="AF256" s="741">
        <v>-443.62675000000002</v>
      </c>
      <c r="AG256" s="741">
        <v>-437.82221999999996</v>
      </c>
      <c r="AH256" s="741">
        <v>-431.99270000000001</v>
      </c>
      <c r="AI256" s="741">
        <v>-426.13801000000001</v>
      </c>
      <c r="AJ256" s="741">
        <v>-420.25809999999996</v>
      </c>
      <c r="AK256" s="741">
        <v>-414.35278999999997</v>
      </c>
      <c r="AL256" s="741">
        <v>-408.42205000000001</v>
      </c>
      <c r="AM256" s="741">
        <v>-402.46570000000003</v>
      </c>
      <c r="AN256" s="741">
        <v>-562.64042000000006</v>
      </c>
      <c r="AO256" s="741">
        <v>-556.38830000000007</v>
      </c>
      <c r="AP256" s="41" t="str">
        <f t="shared" si="57"/>
        <v>GLS</v>
      </c>
      <c r="AQ256" s="41" t="str">
        <f t="shared" si="58"/>
        <v>GLSS0</v>
      </c>
      <c r="AR256" s="41" t="str">
        <f t="shared" si="59"/>
        <v>S0</v>
      </c>
    </row>
    <row r="257" spans="1:44" s="41" customFormat="1" ht="12.75" customHeight="1">
      <c r="A257" s="25" t="s">
        <v>17</v>
      </c>
      <c r="B257" s="25" t="str">
        <f t="shared" si="73"/>
        <v>GL182360</v>
      </c>
      <c r="C257" s="638">
        <v>182360</v>
      </c>
      <c r="D257" s="735"/>
      <c r="F257" s="1" t="s">
        <v>254</v>
      </c>
      <c r="H257" s="736">
        <v>0</v>
      </c>
      <c r="I257" s="25"/>
      <c r="J257" s="25"/>
      <c r="K257" s="442" t="str">
        <f t="shared" si="68"/>
        <v/>
      </c>
      <c r="L257" s="736" t="s">
        <v>2464</v>
      </c>
      <c r="M257" s="25" t="str">
        <f t="shared" si="74"/>
        <v>S</v>
      </c>
      <c r="N257" s="25" t="str">
        <f>IF(L257&lt;&gt;"",VLOOKUP(L257,Categories!$B$2:$D$41,2,FALSE),IF(F257&lt;&gt;"","No Cat",""))</f>
        <v>A&amp;S Sch</v>
      </c>
      <c r="O257" s="25" t="str">
        <f>IF($L257&lt;&gt;"",VLOOKUP($L257,Categories!$B$2:$D$41,3,FALSE),IF($F257&lt;&gt;"","No Cat",""))</f>
        <v>Reg Asset &amp; Liabilities</v>
      </c>
      <c r="P257" s="736" t="s">
        <v>2468</v>
      </c>
      <c r="Q257" s="25" t="str">
        <f>VLOOKUP($P257,Allocators!$B$7:$F$19,5,FALSE)</f>
        <v>Not in Rate Base</v>
      </c>
      <c r="R257" s="737">
        <f>VLOOKUP($P257,Allocators!$B$7:$F$19,2,FALSE)</f>
        <v>0</v>
      </c>
      <c r="S257" s="737">
        <f>VLOOKUP($P257,Allocators!$B$7:$F$19,3,FALSE)</f>
        <v>0</v>
      </c>
      <c r="T257" s="737">
        <f t="shared" si="75"/>
        <v>1</v>
      </c>
      <c r="U257" s="2" t="str">
        <f t="shared" si="62"/>
        <v/>
      </c>
      <c r="V257" s="2" t="str">
        <f t="shared" si="63"/>
        <v/>
      </c>
      <c r="W257" s="2" t="str">
        <f t="shared" si="64"/>
        <v/>
      </c>
      <c r="X257" s="2">
        <f t="shared" si="60"/>
        <v>0</v>
      </c>
      <c r="Y257" s="2" t="str">
        <f t="shared" si="65"/>
        <v/>
      </c>
      <c r="Z257" s="2" t="str">
        <f t="shared" si="66"/>
        <v/>
      </c>
      <c r="AA257" s="2" t="str">
        <f t="shared" si="67"/>
        <v/>
      </c>
      <c r="AB257" s="2">
        <f t="shared" si="61"/>
        <v>0</v>
      </c>
      <c r="AC257" s="759">
        <v>0</v>
      </c>
      <c r="AD257" s="741">
        <v>0</v>
      </c>
      <c r="AE257" s="741">
        <v>0</v>
      </c>
      <c r="AF257" s="741">
        <v>0</v>
      </c>
      <c r="AG257" s="741">
        <v>0</v>
      </c>
      <c r="AH257" s="741">
        <v>0</v>
      </c>
      <c r="AI257" s="741">
        <v>0</v>
      </c>
      <c r="AJ257" s="741">
        <v>0</v>
      </c>
      <c r="AK257" s="741">
        <v>0</v>
      </c>
      <c r="AL257" s="741">
        <v>0</v>
      </c>
      <c r="AM257" s="741">
        <v>0</v>
      </c>
      <c r="AN257" s="741">
        <v>0</v>
      </c>
      <c r="AO257" s="741">
        <v>0</v>
      </c>
      <c r="AP257" s="41" t="str">
        <f t="shared" si="57"/>
        <v>GLS</v>
      </c>
      <c r="AQ257" s="41" t="str">
        <f t="shared" si="58"/>
        <v>GLSS0</v>
      </c>
      <c r="AR257" s="41" t="str">
        <f t="shared" si="59"/>
        <v>S0</v>
      </c>
    </row>
    <row r="258" spans="1:44" s="41" customFormat="1" ht="12.75" customHeight="1">
      <c r="A258" s="25" t="s">
        <v>17</v>
      </c>
      <c r="B258" s="25" t="str">
        <f t="shared" si="73"/>
        <v>GL182361</v>
      </c>
      <c r="C258" s="638">
        <v>182361</v>
      </c>
      <c r="D258" s="735"/>
      <c r="F258" s="1" t="s">
        <v>255</v>
      </c>
      <c r="H258" s="736">
        <v>0</v>
      </c>
      <c r="I258" s="25"/>
      <c r="J258" s="25"/>
      <c r="K258" s="442" t="str">
        <f t="shared" si="68"/>
        <v/>
      </c>
      <c r="L258" s="736" t="s">
        <v>2464</v>
      </c>
      <c r="M258" s="25" t="str">
        <f t="shared" si="74"/>
        <v>S</v>
      </c>
      <c r="N258" s="25" t="str">
        <f>IF(L258&lt;&gt;"",VLOOKUP(L258,Categories!$B$2:$D$41,2,FALSE),IF(F258&lt;&gt;"","No Cat",""))</f>
        <v>A&amp;S Sch</v>
      </c>
      <c r="O258" s="25" t="str">
        <f>IF($L258&lt;&gt;"",VLOOKUP($L258,Categories!$B$2:$D$41,3,FALSE),IF($F258&lt;&gt;"","No Cat",""))</f>
        <v>Reg Asset &amp; Liabilities</v>
      </c>
      <c r="P258" s="736" t="s">
        <v>2468</v>
      </c>
      <c r="Q258" s="25" t="str">
        <f>VLOOKUP($P258,Allocators!$B$7:$F$19,5,FALSE)</f>
        <v>Not in Rate Base</v>
      </c>
      <c r="R258" s="737">
        <f>VLOOKUP($P258,Allocators!$B$7:$F$19,2,FALSE)</f>
        <v>0</v>
      </c>
      <c r="S258" s="737">
        <f>VLOOKUP($P258,Allocators!$B$7:$F$19,3,FALSE)</f>
        <v>0</v>
      </c>
      <c r="T258" s="737">
        <f t="shared" si="75"/>
        <v>1</v>
      </c>
      <c r="U258" s="2" t="str">
        <f t="shared" si="62"/>
        <v/>
      </c>
      <c r="V258" s="2" t="str">
        <f t="shared" si="63"/>
        <v/>
      </c>
      <c r="W258" s="2" t="str">
        <f t="shared" si="64"/>
        <v/>
      </c>
      <c r="X258" s="2">
        <f t="shared" si="60"/>
        <v>0</v>
      </c>
      <c r="Y258" s="2" t="str">
        <f t="shared" si="65"/>
        <v/>
      </c>
      <c r="Z258" s="2" t="str">
        <f t="shared" si="66"/>
        <v/>
      </c>
      <c r="AA258" s="2" t="str">
        <f t="shared" si="67"/>
        <v/>
      </c>
      <c r="AB258" s="2">
        <f t="shared" si="61"/>
        <v>0</v>
      </c>
      <c r="AC258" s="759">
        <v>0</v>
      </c>
      <c r="AD258" s="741">
        <v>0</v>
      </c>
      <c r="AE258" s="741">
        <v>0</v>
      </c>
      <c r="AF258" s="741">
        <v>0</v>
      </c>
      <c r="AG258" s="741">
        <v>0</v>
      </c>
      <c r="AH258" s="741">
        <v>0</v>
      </c>
      <c r="AI258" s="741">
        <v>0</v>
      </c>
      <c r="AJ258" s="741">
        <v>0</v>
      </c>
      <c r="AK258" s="741">
        <v>0</v>
      </c>
      <c r="AL258" s="741">
        <v>0</v>
      </c>
      <c r="AM258" s="741">
        <v>0</v>
      </c>
      <c r="AN258" s="741">
        <v>0</v>
      </c>
      <c r="AO258" s="741">
        <v>0</v>
      </c>
      <c r="AP258" s="41" t="str">
        <f t="shared" si="57"/>
        <v>GLS</v>
      </c>
      <c r="AQ258" s="41" t="str">
        <f t="shared" si="58"/>
        <v>GLSS0</v>
      </c>
      <c r="AR258" s="41" t="str">
        <f t="shared" si="59"/>
        <v>S0</v>
      </c>
    </row>
    <row r="259" spans="1:44" s="41" customFormat="1" ht="12.75" customHeight="1">
      <c r="A259" s="25" t="s">
        <v>17</v>
      </c>
      <c r="B259" s="25" t="str">
        <f t="shared" si="73"/>
        <v>GL182366</v>
      </c>
      <c r="C259" s="638">
        <v>182366</v>
      </c>
      <c r="D259" s="735"/>
      <c r="F259" s="1" t="s">
        <v>256</v>
      </c>
      <c r="H259" s="736">
        <v>0</v>
      </c>
      <c r="I259" s="25"/>
      <c r="J259" s="25"/>
      <c r="K259" s="442" t="str">
        <f t="shared" si="68"/>
        <v/>
      </c>
      <c r="L259" s="736" t="s">
        <v>2464</v>
      </c>
      <c r="M259" s="25" t="str">
        <f t="shared" si="74"/>
        <v>S</v>
      </c>
      <c r="N259" s="25" t="str">
        <f>IF(L259&lt;&gt;"",VLOOKUP(L259,Categories!$B$2:$D$41,2,FALSE),IF(F259&lt;&gt;"","No Cat",""))</f>
        <v>A&amp;S Sch</v>
      </c>
      <c r="O259" s="25" t="str">
        <f>IF($L259&lt;&gt;"",VLOOKUP($L259,Categories!$B$2:$D$41,3,FALSE),IF($F259&lt;&gt;"","No Cat",""))</f>
        <v>Reg Asset &amp; Liabilities</v>
      </c>
      <c r="P259" s="736" t="s">
        <v>2468</v>
      </c>
      <c r="Q259" s="25" t="str">
        <f>VLOOKUP($P259,Allocators!$B$7:$F$19,5,FALSE)</f>
        <v>Not in Rate Base</v>
      </c>
      <c r="R259" s="737">
        <f>VLOOKUP($P259,Allocators!$B$7:$F$19,2,FALSE)</f>
        <v>0</v>
      </c>
      <c r="S259" s="737">
        <f>VLOOKUP($P259,Allocators!$B$7:$F$19,3,FALSE)</f>
        <v>0</v>
      </c>
      <c r="T259" s="737">
        <f t="shared" si="75"/>
        <v>1</v>
      </c>
      <c r="U259" s="2">
        <f t="shared" si="62"/>
        <v>0</v>
      </c>
      <c r="V259" s="2">
        <f t="shared" si="63"/>
        <v>0</v>
      </c>
      <c r="W259" s="2">
        <f t="shared" si="64"/>
        <v>1213.42075</v>
      </c>
      <c r="X259" s="2">
        <f t="shared" si="60"/>
        <v>1213.42075</v>
      </c>
      <c r="Y259" s="2">
        <f t="shared" si="65"/>
        <v>0</v>
      </c>
      <c r="Z259" s="2">
        <f t="shared" si="66"/>
        <v>0</v>
      </c>
      <c r="AA259" s="2">
        <f t="shared" si="67"/>
        <v>7151.2820000000002</v>
      </c>
      <c r="AB259" s="2">
        <f t="shared" si="61"/>
        <v>7151.2820000000002</v>
      </c>
      <c r="AC259" s="759">
        <v>171.196</v>
      </c>
      <c r="AD259" s="741">
        <v>0</v>
      </c>
      <c r="AE259" s="741">
        <v>0</v>
      </c>
      <c r="AF259" s="741">
        <v>0</v>
      </c>
      <c r="AG259" s="741">
        <v>0</v>
      </c>
      <c r="AH259" s="741">
        <v>0</v>
      </c>
      <c r="AI259" s="741">
        <v>0</v>
      </c>
      <c r="AJ259" s="741">
        <v>5780.0640000000003</v>
      </c>
      <c r="AK259" s="741">
        <v>1690.8920000000001</v>
      </c>
      <c r="AL259" s="741">
        <v>1648.498</v>
      </c>
      <c r="AM259" s="741">
        <v>1114.19</v>
      </c>
      <c r="AN259" s="741">
        <v>666.16600000000005</v>
      </c>
      <c r="AO259" s="741">
        <v>7151.2820000000002</v>
      </c>
      <c r="AP259" s="41" t="str">
        <f t="shared" si="57"/>
        <v>GLS</v>
      </c>
      <c r="AQ259" s="41" t="str">
        <f t="shared" si="58"/>
        <v>GLSS0</v>
      </c>
      <c r="AR259" s="41" t="str">
        <f t="shared" si="59"/>
        <v>S0</v>
      </c>
    </row>
    <row r="260" spans="1:44" s="41" customFormat="1" ht="12.75" customHeight="1">
      <c r="A260" s="25" t="s">
        <v>17</v>
      </c>
      <c r="B260" s="25" t="str">
        <f t="shared" si="73"/>
        <v>GL182367</v>
      </c>
      <c r="C260" s="638">
        <v>182367</v>
      </c>
      <c r="D260" s="735"/>
      <c r="F260" s="1" t="s">
        <v>257</v>
      </c>
      <c r="H260" s="736">
        <v>0</v>
      </c>
      <c r="I260" s="25"/>
      <c r="J260" s="25"/>
      <c r="K260" s="442" t="str">
        <f t="shared" si="68"/>
        <v/>
      </c>
      <c r="L260" s="736" t="s">
        <v>2464</v>
      </c>
      <c r="M260" s="25" t="str">
        <f t="shared" si="74"/>
        <v>S</v>
      </c>
      <c r="N260" s="25" t="str">
        <f>IF(L260&lt;&gt;"",VLOOKUP(L260,Categories!$B$2:$D$41,2,FALSE),IF(F260&lt;&gt;"","No Cat",""))</f>
        <v>A&amp;S Sch</v>
      </c>
      <c r="O260" s="25" t="str">
        <f>IF($L260&lt;&gt;"",VLOOKUP($L260,Categories!$B$2:$D$41,3,FALSE),IF($F260&lt;&gt;"","No Cat",""))</f>
        <v>Reg Asset &amp; Liabilities</v>
      </c>
      <c r="P260" s="736" t="s">
        <v>2468</v>
      </c>
      <c r="Q260" s="25" t="str">
        <f>VLOOKUP($P260,Allocators!$B$7:$F$19,5,FALSE)</f>
        <v>Not in Rate Base</v>
      </c>
      <c r="R260" s="737">
        <f>VLOOKUP($P260,Allocators!$B$7:$F$19,2,FALSE)</f>
        <v>0</v>
      </c>
      <c r="S260" s="737">
        <f>VLOOKUP($P260,Allocators!$B$7:$F$19,3,FALSE)</f>
        <v>0</v>
      </c>
      <c r="T260" s="737">
        <f t="shared" si="75"/>
        <v>1</v>
      </c>
      <c r="U260" s="2">
        <f t="shared" si="62"/>
        <v>0</v>
      </c>
      <c r="V260" s="2">
        <f t="shared" si="63"/>
        <v>0</v>
      </c>
      <c r="W260" s="2">
        <f t="shared" si="64"/>
        <v>787.46473249999997</v>
      </c>
      <c r="X260" s="2">
        <f t="shared" si="60"/>
        <v>787.46473249999997</v>
      </c>
      <c r="Y260" s="2">
        <f t="shared" si="65"/>
        <v>0</v>
      </c>
      <c r="Z260" s="2">
        <f t="shared" si="66"/>
        <v>0</v>
      </c>
      <c r="AA260" s="2">
        <f t="shared" si="67"/>
        <v>1312.326</v>
      </c>
      <c r="AB260" s="2">
        <f t="shared" si="61"/>
        <v>1312.326</v>
      </c>
      <c r="AC260" s="759">
        <v>1920.7629999999999</v>
      </c>
      <c r="AD260" s="741">
        <v>0</v>
      </c>
      <c r="AE260" s="741">
        <v>0</v>
      </c>
      <c r="AF260" s="741">
        <v>0</v>
      </c>
      <c r="AG260" s="741">
        <v>0</v>
      </c>
      <c r="AH260" s="741">
        <v>0</v>
      </c>
      <c r="AI260" s="741">
        <v>3231.8431399999999</v>
      </c>
      <c r="AJ260" s="741">
        <v>1803.0364299999999</v>
      </c>
      <c r="AK260" s="741">
        <v>1060.73972</v>
      </c>
      <c r="AL260" s="741">
        <v>325.70100000000002</v>
      </c>
      <c r="AM260" s="741">
        <v>344.928</v>
      </c>
      <c r="AN260" s="741">
        <v>1066.7840000000001</v>
      </c>
      <c r="AO260" s="741">
        <v>1312.326</v>
      </c>
      <c r="AP260" s="41" t="str">
        <f t="shared" si="57"/>
        <v>GLS</v>
      </c>
      <c r="AQ260" s="41" t="str">
        <f t="shared" si="58"/>
        <v>GLSS0</v>
      </c>
      <c r="AR260" s="41" t="str">
        <f t="shared" si="59"/>
        <v>S0</v>
      </c>
    </row>
    <row r="261" spans="1:44" s="41" customFormat="1" ht="12.75" customHeight="1">
      <c r="A261" s="25" t="s">
        <v>17</v>
      </c>
      <c r="B261" s="25" t="str">
        <f t="shared" si="73"/>
        <v>GL182370</v>
      </c>
      <c r="C261" s="638">
        <v>182370</v>
      </c>
      <c r="D261" s="735"/>
      <c r="F261" s="1" t="s">
        <v>258</v>
      </c>
      <c r="H261" s="736">
        <v>0</v>
      </c>
      <c r="I261" s="25"/>
      <c r="J261" s="25"/>
      <c r="K261" s="442" t="str">
        <f t="shared" si="68"/>
        <v/>
      </c>
      <c r="L261" s="736" t="s">
        <v>2464</v>
      </c>
      <c r="M261" s="25" t="str">
        <f t="shared" si="74"/>
        <v>S</v>
      </c>
      <c r="N261" s="25" t="str">
        <f>IF(L261&lt;&gt;"",VLOOKUP(L261,Categories!$B$2:$D$41,2,FALSE),IF(F261&lt;&gt;"","No Cat",""))</f>
        <v>A&amp;S Sch</v>
      </c>
      <c r="O261" s="25" t="str">
        <f>IF($L261&lt;&gt;"",VLOOKUP($L261,Categories!$B$2:$D$41,3,FALSE),IF($F261&lt;&gt;"","No Cat",""))</f>
        <v>Reg Asset &amp; Liabilities</v>
      </c>
      <c r="P261" s="736" t="s">
        <v>2468</v>
      </c>
      <c r="Q261" s="25" t="str">
        <f>VLOOKUP($P261,Allocators!$B$7:$F$19,5,FALSE)</f>
        <v>Not in Rate Base</v>
      </c>
      <c r="R261" s="737">
        <f>VLOOKUP($P261,Allocators!$B$7:$F$19,2,FALSE)</f>
        <v>0</v>
      </c>
      <c r="S261" s="737">
        <f>VLOOKUP($P261,Allocators!$B$7:$F$19,3,FALSE)</f>
        <v>0</v>
      </c>
      <c r="T261" s="737">
        <f t="shared" si="75"/>
        <v>1</v>
      </c>
      <c r="U261" s="2">
        <f t="shared" si="62"/>
        <v>0</v>
      </c>
      <c r="V261" s="2">
        <f t="shared" si="63"/>
        <v>0</v>
      </c>
      <c r="W261" s="2">
        <f t="shared" si="64"/>
        <v>939.02713625000001</v>
      </c>
      <c r="X261" s="2">
        <f t="shared" si="60"/>
        <v>939.02713625000001</v>
      </c>
      <c r="Y261" s="2">
        <f t="shared" si="65"/>
        <v>0</v>
      </c>
      <c r="Z261" s="2">
        <f t="shared" si="66"/>
        <v>0</v>
      </c>
      <c r="AA261" s="2">
        <f t="shared" si="67"/>
        <v>25</v>
      </c>
      <c r="AB261" s="2">
        <f t="shared" si="61"/>
        <v>25</v>
      </c>
      <c r="AC261" s="759">
        <v>-2361.5130299999996</v>
      </c>
      <c r="AD261" s="741">
        <v>0</v>
      </c>
      <c r="AE261" s="741">
        <v>0</v>
      </c>
      <c r="AF261" s="741">
        <v>0</v>
      </c>
      <c r="AG261" s="741">
        <v>0</v>
      </c>
      <c r="AH261" s="741">
        <v>0</v>
      </c>
      <c r="AI261" s="741">
        <v>0</v>
      </c>
      <c r="AJ261" s="741">
        <v>0</v>
      </c>
      <c r="AK261" s="741">
        <v>1864.01902</v>
      </c>
      <c r="AL261" s="741">
        <v>3840.3043600000001</v>
      </c>
      <c r="AM261" s="741">
        <v>3229.17587</v>
      </c>
      <c r="AN261" s="741">
        <v>3503.0828999999999</v>
      </c>
      <c r="AO261" s="741">
        <v>25</v>
      </c>
      <c r="AP261" s="41" t="str">
        <f t="shared" si="57"/>
        <v>GLS</v>
      </c>
      <c r="AQ261" s="41" t="str">
        <f t="shared" si="58"/>
        <v>GLSS0</v>
      </c>
      <c r="AR261" s="41" t="str">
        <f t="shared" si="59"/>
        <v>S0</v>
      </c>
    </row>
    <row r="262" spans="1:44" s="41" customFormat="1" ht="12.75" customHeight="1">
      <c r="A262" s="25" t="s">
        <v>17</v>
      </c>
      <c r="B262" s="25" t="str">
        <f t="shared" si="73"/>
        <v>GL182371</v>
      </c>
      <c r="C262" s="638">
        <v>182371</v>
      </c>
      <c r="D262" s="735"/>
      <c r="F262" s="1" t="s">
        <v>259</v>
      </c>
      <c r="H262" s="736">
        <v>0</v>
      </c>
      <c r="I262" s="25"/>
      <c r="J262" s="25"/>
      <c r="K262" s="442" t="str">
        <f t="shared" si="68"/>
        <v/>
      </c>
      <c r="L262" s="736" t="s">
        <v>2464</v>
      </c>
      <c r="M262" s="25" t="str">
        <f t="shared" si="74"/>
        <v>S</v>
      </c>
      <c r="N262" s="25" t="str">
        <f>IF(L262&lt;&gt;"",VLOOKUP(L262,Categories!$B$2:$D$41,2,FALSE),IF(F262&lt;&gt;"","No Cat",""))</f>
        <v>A&amp;S Sch</v>
      </c>
      <c r="O262" s="25" t="str">
        <f>IF($L262&lt;&gt;"",VLOOKUP($L262,Categories!$B$2:$D$41,3,FALSE),IF($F262&lt;&gt;"","No Cat",""))</f>
        <v>Reg Asset &amp; Liabilities</v>
      </c>
      <c r="P262" s="736" t="s">
        <v>2468</v>
      </c>
      <c r="Q262" s="25" t="str">
        <f>VLOOKUP($P262,Allocators!$B$7:$F$19,5,FALSE)</f>
        <v>Not in Rate Base</v>
      </c>
      <c r="R262" s="737">
        <f>VLOOKUP($P262,Allocators!$B$7:$F$19,2,FALSE)</f>
        <v>0</v>
      </c>
      <c r="S262" s="737">
        <f>VLOOKUP($P262,Allocators!$B$7:$F$19,3,FALSE)</f>
        <v>0</v>
      </c>
      <c r="T262" s="737">
        <f t="shared" si="75"/>
        <v>1</v>
      </c>
      <c r="U262" s="2">
        <f t="shared" si="62"/>
        <v>0</v>
      </c>
      <c r="V262" s="2">
        <f t="shared" si="63"/>
        <v>0</v>
      </c>
      <c r="W262" s="2">
        <f t="shared" si="64"/>
        <v>-210.902937083333</v>
      </c>
      <c r="X262" s="2">
        <f t="shared" si="60"/>
        <v>-210.902937083333</v>
      </c>
      <c r="Y262" s="2">
        <f t="shared" si="65"/>
        <v>0</v>
      </c>
      <c r="Z262" s="2">
        <f t="shared" si="66"/>
        <v>0</v>
      </c>
      <c r="AA262" s="2">
        <f t="shared" si="67"/>
        <v>1551.3840399999999</v>
      </c>
      <c r="AB262" s="2">
        <f t="shared" si="61"/>
        <v>1551.3840400000001</v>
      </c>
      <c r="AC262" s="759">
        <v>-629.98732999999993</v>
      </c>
      <c r="AD262" s="741">
        <v>-512.53697</v>
      </c>
      <c r="AE262" s="741">
        <v>-413.15133000000003</v>
      </c>
      <c r="AF262" s="741">
        <v>-317.91608000000002</v>
      </c>
      <c r="AG262" s="741">
        <v>-273.60496999999998</v>
      </c>
      <c r="AH262" s="741">
        <v>-254.46879000000001</v>
      </c>
      <c r="AI262" s="741">
        <v>-243.12285999999997</v>
      </c>
      <c r="AJ262" s="741">
        <v>-232.37904</v>
      </c>
      <c r="AK262" s="741">
        <v>-225.81322</v>
      </c>
      <c r="AL262" s="741">
        <v>-212.76983999999999</v>
      </c>
      <c r="AM262" s="741">
        <v>-185.80280999999999</v>
      </c>
      <c r="AN262" s="741">
        <v>-119.96769</v>
      </c>
      <c r="AO262" s="741">
        <v>1551.3840400000001</v>
      </c>
      <c r="AP262" s="41" t="str">
        <f t="shared" si="57"/>
        <v>GLS</v>
      </c>
      <c r="AQ262" s="41" t="str">
        <f t="shared" si="58"/>
        <v>GLSS0</v>
      </c>
      <c r="AR262" s="41" t="str">
        <f t="shared" si="59"/>
        <v>S0</v>
      </c>
    </row>
    <row r="263" spans="1:44" s="41" customFormat="1" ht="12.75" customHeight="1">
      <c r="A263" s="25" t="s">
        <v>17</v>
      </c>
      <c r="B263" s="25" t="str">
        <f t="shared" si="73"/>
        <v>GL182372</v>
      </c>
      <c r="C263" s="638">
        <v>182372</v>
      </c>
      <c r="D263" s="735"/>
      <c r="F263" s="1" t="s">
        <v>260</v>
      </c>
      <c r="H263" s="736">
        <v>0</v>
      </c>
      <c r="I263" s="25"/>
      <c r="J263" s="25"/>
      <c r="K263" s="442" t="str">
        <f t="shared" si="68"/>
        <v/>
      </c>
      <c r="L263" s="736" t="s">
        <v>2464</v>
      </c>
      <c r="M263" s="25" t="str">
        <f t="shared" si="74"/>
        <v>S</v>
      </c>
      <c r="N263" s="25" t="str">
        <f>IF(L263&lt;&gt;"",VLOOKUP(L263,Categories!$B$2:$D$41,2,FALSE),IF(F263&lt;&gt;"","No Cat",""))</f>
        <v>A&amp;S Sch</v>
      </c>
      <c r="O263" s="25" t="str">
        <f>IF($L263&lt;&gt;"",VLOOKUP($L263,Categories!$B$2:$D$41,3,FALSE),IF($F263&lt;&gt;"","No Cat",""))</f>
        <v>Reg Asset &amp; Liabilities</v>
      </c>
      <c r="P263" s="736" t="s">
        <v>2468</v>
      </c>
      <c r="Q263" s="25" t="str">
        <f>VLOOKUP($P263,Allocators!$B$7:$F$19,5,FALSE)</f>
        <v>Not in Rate Base</v>
      </c>
      <c r="R263" s="737">
        <f>VLOOKUP($P263,Allocators!$B$7:$F$19,2,FALSE)</f>
        <v>0</v>
      </c>
      <c r="S263" s="737">
        <f>VLOOKUP($P263,Allocators!$B$7:$F$19,3,FALSE)</f>
        <v>0</v>
      </c>
      <c r="T263" s="737">
        <f t="shared" si="75"/>
        <v>1</v>
      </c>
      <c r="U263" s="2" t="str">
        <f t="shared" si="62"/>
        <v/>
      </c>
      <c r="V263" s="2" t="str">
        <f t="shared" si="63"/>
        <v/>
      </c>
      <c r="W263" s="2" t="str">
        <f t="shared" si="64"/>
        <v/>
      </c>
      <c r="X263" s="2">
        <f t="shared" si="60"/>
        <v>0</v>
      </c>
      <c r="Y263" s="2" t="str">
        <f t="shared" si="65"/>
        <v/>
      </c>
      <c r="Z263" s="2" t="str">
        <f t="shared" si="66"/>
        <v/>
      </c>
      <c r="AA263" s="2" t="str">
        <f t="shared" si="67"/>
        <v/>
      </c>
      <c r="AB263" s="2">
        <f t="shared" si="61"/>
        <v>0</v>
      </c>
      <c r="AC263" s="759">
        <v>0</v>
      </c>
      <c r="AD263" s="741">
        <v>0</v>
      </c>
      <c r="AE263" s="741">
        <v>0</v>
      </c>
      <c r="AF263" s="741">
        <v>0</v>
      </c>
      <c r="AG263" s="741">
        <v>0</v>
      </c>
      <c r="AH263" s="741">
        <v>0</v>
      </c>
      <c r="AI263" s="741">
        <v>0</v>
      </c>
      <c r="AJ263" s="741">
        <v>0</v>
      </c>
      <c r="AK263" s="741">
        <v>0</v>
      </c>
      <c r="AL263" s="741">
        <v>0</v>
      </c>
      <c r="AM263" s="741">
        <v>0</v>
      </c>
      <c r="AN263" s="741">
        <v>0</v>
      </c>
      <c r="AO263" s="741">
        <v>0</v>
      </c>
      <c r="AP263" s="41" t="str">
        <f t="shared" ref="AP263:AP326" si="78">CONCATENATE(A263,M263)</f>
        <v>GLS</v>
      </c>
      <c r="AQ263" s="41" t="str">
        <f t="shared" ref="AQ263:AQ326" si="79">CONCATENATE(AP263,L263,H263)</f>
        <v>GLSS0</v>
      </c>
      <c r="AR263" s="41" t="str">
        <f t="shared" ref="AR263:AR326" si="80">CONCATENATE(L263,H263,J263)</f>
        <v>S0</v>
      </c>
    </row>
    <row r="264" spans="1:44" s="41" customFormat="1" ht="12.75" customHeight="1">
      <c r="A264" s="25" t="s">
        <v>17</v>
      </c>
      <c r="B264" s="25" t="str">
        <f t="shared" si="73"/>
        <v>GL182375</v>
      </c>
      <c r="C264" s="638">
        <v>182375</v>
      </c>
      <c r="D264" s="735"/>
      <c r="F264" s="1" t="s">
        <v>238</v>
      </c>
      <c r="H264" s="736">
        <v>0</v>
      </c>
      <c r="I264" s="25"/>
      <c r="J264" s="25"/>
      <c r="K264" s="442" t="str">
        <f t="shared" si="68"/>
        <v/>
      </c>
      <c r="L264" s="736" t="s">
        <v>2464</v>
      </c>
      <c r="M264" s="25" t="str">
        <f t="shared" si="74"/>
        <v>S</v>
      </c>
      <c r="N264" s="25" t="str">
        <f>IF(L264&lt;&gt;"",VLOOKUP(L264,Categories!$B$2:$D$41,2,FALSE),IF(F264&lt;&gt;"","No Cat",""))</f>
        <v>A&amp;S Sch</v>
      </c>
      <c r="O264" s="25" t="str">
        <f>IF($L264&lt;&gt;"",VLOOKUP($L264,Categories!$B$2:$D$41,3,FALSE),IF($F264&lt;&gt;"","No Cat",""))</f>
        <v>Reg Asset &amp; Liabilities</v>
      </c>
      <c r="P264" s="736" t="s">
        <v>2468</v>
      </c>
      <c r="Q264" s="25" t="str">
        <f>VLOOKUP($P264,Allocators!$B$7:$F$19,5,FALSE)</f>
        <v>Not in Rate Base</v>
      </c>
      <c r="R264" s="737">
        <f>VLOOKUP($P264,Allocators!$B$7:$F$19,2,FALSE)</f>
        <v>0</v>
      </c>
      <c r="S264" s="737">
        <f>VLOOKUP($P264,Allocators!$B$7:$F$19,3,FALSE)</f>
        <v>0</v>
      </c>
      <c r="T264" s="737">
        <f t="shared" si="75"/>
        <v>1</v>
      </c>
      <c r="U264" s="2">
        <f t="shared" si="62"/>
        <v>0</v>
      </c>
      <c r="V264" s="2">
        <f t="shared" si="63"/>
        <v>0</v>
      </c>
      <c r="W264" s="2">
        <f t="shared" si="64"/>
        <v>300.25875000000002</v>
      </c>
      <c r="X264" s="2">
        <f t="shared" ref="X264:X327" si="81">IF(ISERROR(ROUND((SUM(AC264:AO264)-((AC264+AO264))/2)/12,15)),"",ROUND((SUM(AC264:AO264)-((AC264+AO264))/2)/12,15))</f>
        <v>300.25875000000002</v>
      </c>
      <c r="Y264" s="2">
        <f t="shared" si="65"/>
        <v>0</v>
      </c>
      <c r="Z264" s="2">
        <f t="shared" si="66"/>
        <v>0</v>
      </c>
      <c r="AA264" s="2">
        <f t="shared" si="67"/>
        <v>2413.9699999999998</v>
      </c>
      <c r="AB264" s="2">
        <f t="shared" ref="AB264:AB327" si="82">IF(AO264="",0,+AO264)</f>
        <v>2413.9699999999998</v>
      </c>
      <c r="AC264" s="759">
        <v>0</v>
      </c>
      <c r="AD264" s="741">
        <v>0</v>
      </c>
      <c r="AE264" s="741">
        <v>0</v>
      </c>
      <c r="AF264" s="741">
        <v>0</v>
      </c>
      <c r="AG264" s="741">
        <v>0</v>
      </c>
      <c r="AH264" s="741">
        <v>0</v>
      </c>
      <c r="AI264" s="741">
        <v>0</v>
      </c>
      <c r="AJ264" s="741">
        <v>598.41999999999996</v>
      </c>
      <c r="AK264" s="741">
        <v>148.66</v>
      </c>
      <c r="AL264" s="741">
        <v>180.03</v>
      </c>
      <c r="AM264" s="741">
        <v>947.98</v>
      </c>
      <c r="AN264" s="741">
        <v>521.03</v>
      </c>
      <c r="AO264" s="741">
        <v>2413.9699999999998</v>
      </c>
      <c r="AP264" s="41" t="str">
        <f t="shared" si="78"/>
        <v>GLS</v>
      </c>
      <c r="AQ264" s="41" t="str">
        <f t="shared" si="79"/>
        <v>GLSS0</v>
      </c>
      <c r="AR264" s="41" t="str">
        <f t="shared" si="80"/>
        <v>S0</v>
      </c>
    </row>
    <row r="265" spans="1:44" s="41" customFormat="1" ht="12.75" customHeight="1">
      <c r="A265" s="25" t="s">
        <v>17</v>
      </c>
      <c r="B265" s="25" t="str">
        <f t="shared" si="73"/>
        <v>GL182380</v>
      </c>
      <c r="C265" s="638">
        <v>182380</v>
      </c>
      <c r="D265" s="735"/>
      <c r="F265" s="1" t="s">
        <v>261</v>
      </c>
      <c r="H265" s="736">
        <v>0</v>
      </c>
      <c r="I265" s="25"/>
      <c r="J265" s="25"/>
      <c r="K265" s="442" t="str">
        <f t="shared" si="68"/>
        <v/>
      </c>
      <c r="L265" s="736" t="s">
        <v>2464</v>
      </c>
      <c r="M265" s="25" t="str">
        <f t="shared" si="74"/>
        <v>S</v>
      </c>
      <c r="N265" s="25" t="str">
        <f>IF(L265&lt;&gt;"",VLOOKUP(L265,Categories!$B$2:$D$41,2,FALSE),IF(F265&lt;&gt;"","No Cat",""))</f>
        <v>A&amp;S Sch</v>
      </c>
      <c r="O265" s="25" t="str">
        <f>IF($L265&lt;&gt;"",VLOOKUP($L265,Categories!$B$2:$D$41,3,FALSE),IF($F265&lt;&gt;"","No Cat",""))</f>
        <v>Reg Asset &amp; Liabilities</v>
      </c>
      <c r="P265" s="736" t="s">
        <v>2468</v>
      </c>
      <c r="Q265" s="25" t="str">
        <f>VLOOKUP($P265,Allocators!$B$7:$F$19,5,FALSE)</f>
        <v>Not in Rate Base</v>
      </c>
      <c r="R265" s="737">
        <f>VLOOKUP($P265,Allocators!$B$7:$F$19,2,FALSE)</f>
        <v>0</v>
      </c>
      <c r="S265" s="737">
        <f>VLOOKUP($P265,Allocators!$B$7:$F$19,3,FALSE)</f>
        <v>0</v>
      </c>
      <c r="T265" s="737">
        <f t="shared" si="75"/>
        <v>1</v>
      </c>
      <c r="U265" s="2" t="str">
        <f t="shared" ref="U265:U328" si="83">IF(ABS(X265)=0,"",IF($R265="NO ALLOC","NO ALLOC",ROUND($R265*X265,15)))</f>
        <v/>
      </c>
      <c r="V265" s="2" t="str">
        <f t="shared" ref="V265:V328" si="84">IF(ABS(X265)=0,"",IF($S265="NO ALLOC","NO ALLOC",ROUND($S265*X265,15)))</f>
        <v/>
      </c>
      <c r="W265" s="2" t="str">
        <f t="shared" ref="W265:W328" si="85">IF(ABS(X265)=0,"",IF($T265="NO ALLOC","NO ALLOC",ROUND($T265*X265,15)))</f>
        <v/>
      </c>
      <c r="X265" s="2">
        <f t="shared" si="81"/>
        <v>0</v>
      </c>
      <c r="Y265" s="2" t="str">
        <f t="shared" ref="Y265:Y328" si="86">IF(ABS(AB265)=0,"",IF($R265="NO ALLOC","NO ALLOC",ROUND($R265*AB265,15)))</f>
        <v/>
      </c>
      <c r="Z265" s="2" t="str">
        <f t="shared" ref="Z265:Z328" si="87">IF(ABS(AB265)=0,"",IF($S265="NO ALLOC","NO ALLOC",ROUND($S265*AB265,15)))</f>
        <v/>
      </c>
      <c r="AA265" s="2" t="str">
        <f t="shared" ref="AA265:AA328" si="88">IF(ABS(AB265)=0,"",IF($T265="NO ALLOC","NO ALLOC",ROUND($T265*AB265,15)))</f>
        <v/>
      </c>
      <c r="AB265" s="2">
        <f t="shared" si="82"/>
        <v>0</v>
      </c>
      <c r="AC265" s="759">
        <v>0</v>
      </c>
      <c r="AD265" s="741">
        <v>0</v>
      </c>
      <c r="AE265" s="741">
        <v>0</v>
      </c>
      <c r="AF265" s="741">
        <v>0</v>
      </c>
      <c r="AG265" s="741">
        <v>0</v>
      </c>
      <c r="AH265" s="741">
        <v>0</v>
      </c>
      <c r="AI265" s="741">
        <v>0</v>
      </c>
      <c r="AJ265" s="741">
        <v>0</v>
      </c>
      <c r="AK265" s="741">
        <v>0</v>
      </c>
      <c r="AL265" s="741">
        <v>0</v>
      </c>
      <c r="AM265" s="741">
        <v>0</v>
      </c>
      <c r="AN265" s="741">
        <v>0</v>
      </c>
      <c r="AO265" s="741">
        <v>0</v>
      </c>
      <c r="AP265" s="41" t="str">
        <f t="shared" si="78"/>
        <v>GLS</v>
      </c>
      <c r="AQ265" s="41" t="str">
        <f t="shared" si="79"/>
        <v>GLSS0</v>
      </c>
      <c r="AR265" s="41" t="str">
        <f t="shared" si="80"/>
        <v>S0</v>
      </c>
    </row>
    <row r="266" spans="1:44" s="41" customFormat="1" ht="12.75" customHeight="1">
      <c r="A266" s="25" t="s">
        <v>17</v>
      </c>
      <c r="B266" s="25" t="str">
        <f t="shared" si="73"/>
        <v>GL182381</v>
      </c>
      <c r="C266" s="638">
        <v>182381</v>
      </c>
      <c r="D266" s="735"/>
      <c r="F266" s="1" t="s">
        <v>262</v>
      </c>
      <c r="H266" s="736">
        <v>0</v>
      </c>
      <c r="I266" s="25"/>
      <c r="J266" s="25"/>
      <c r="K266" s="442" t="str">
        <f t="shared" si="68"/>
        <v/>
      </c>
      <c r="L266" s="736" t="s">
        <v>2464</v>
      </c>
      <c r="M266" s="25" t="str">
        <f t="shared" si="74"/>
        <v>S</v>
      </c>
      <c r="N266" s="25" t="str">
        <f>IF(L266&lt;&gt;"",VLOOKUP(L266,Categories!$B$2:$D$41,2,FALSE),IF(F266&lt;&gt;"","No Cat",""))</f>
        <v>A&amp;S Sch</v>
      </c>
      <c r="O266" s="25" t="str">
        <f>IF($L266&lt;&gt;"",VLOOKUP($L266,Categories!$B$2:$D$41,3,FALSE),IF($F266&lt;&gt;"","No Cat",""))</f>
        <v>Reg Asset &amp; Liabilities</v>
      </c>
      <c r="P266" s="736" t="s">
        <v>2468</v>
      </c>
      <c r="Q266" s="25" t="str">
        <f>VLOOKUP($P266,Allocators!$B$7:$F$19,5,FALSE)</f>
        <v>Not in Rate Base</v>
      </c>
      <c r="R266" s="737">
        <f>VLOOKUP($P266,Allocators!$B$7:$F$19,2,FALSE)</f>
        <v>0</v>
      </c>
      <c r="S266" s="737">
        <f>VLOOKUP($P266,Allocators!$B$7:$F$19,3,FALSE)</f>
        <v>0</v>
      </c>
      <c r="T266" s="737">
        <f t="shared" si="75"/>
        <v>1</v>
      </c>
      <c r="U266" s="2" t="str">
        <f t="shared" si="83"/>
        <v/>
      </c>
      <c r="V266" s="2" t="str">
        <f t="shared" si="84"/>
        <v/>
      </c>
      <c r="W266" s="2" t="str">
        <f t="shared" si="85"/>
        <v/>
      </c>
      <c r="X266" s="2">
        <f t="shared" si="81"/>
        <v>0</v>
      </c>
      <c r="Y266" s="2" t="str">
        <f t="shared" si="86"/>
        <v/>
      </c>
      <c r="Z266" s="2" t="str">
        <f t="shared" si="87"/>
        <v/>
      </c>
      <c r="AA266" s="2" t="str">
        <f t="shared" si="88"/>
        <v/>
      </c>
      <c r="AB266" s="2">
        <f t="shared" si="82"/>
        <v>0</v>
      </c>
      <c r="AC266" s="759">
        <v>0</v>
      </c>
      <c r="AD266" s="741">
        <v>0</v>
      </c>
      <c r="AE266" s="741">
        <v>0</v>
      </c>
      <c r="AF266" s="741">
        <v>0</v>
      </c>
      <c r="AG266" s="741">
        <v>0</v>
      </c>
      <c r="AH266" s="741">
        <v>0</v>
      </c>
      <c r="AI266" s="741">
        <v>0</v>
      </c>
      <c r="AJ266" s="741">
        <v>0</v>
      </c>
      <c r="AK266" s="741">
        <v>0</v>
      </c>
      <c r="AL266" s="741">
        <v>0</v>
      </c>
      <c r="AM266" s="741">
        <v>0</v>
      </c>
      <c r="AN266" s="741">
        <v>0</v>
      </c>
      <c r="AO266" s="741">
        <v>0</v>
      </c>
      <c r="AP266" s="41" t="str">
        <f t="shared" si="78"/>
        <v>GLS</v>
      </c>
      <c r="AQ266" s="41" t="str">
        <f t="shared" si="79"/>
        <v>GLSS0</v>
      </c>
      <c r="AR266" s="41" t="str">
        <f t="shared" si="80"/>
        <v>S0</v>
      </c>
    </row>
    <row r="267" spans="1:44" s="41" customFormat="1" ht="12.75" customHeight="1">
      <c r="A267" s="25" t="s">
        <v>17</v>
      </c>
      <c r="B267" s="25" t="str">
        <f t="shared" si="73"/>
        <v>GL182382</v>
      </c>
      <c r="C267" s="638">
        <v>182382</v>
      </c>
      <c r="D267" s="735"/>
      <c r="F267" s="1" t="s">
        <v>263</v>
      </c>
      <c r="H267" s="736">
        <v>0</v>
      </c>
      <c r="I267" s="25"/>
      <c r="J267" s="25"/>
      <c r="K267" s="442" t="str">
        <f t="shared" si="68"/>
        <v/>
      </c>
      <c r="L267" s="736" t="s">
        <v>2464</v>
      </c>
      <c r="M267" s="25" t="str">
        <f t="shared" si="74"/>
        <v>S</v>
      </c>
      <c r="N267" s="25" t="str">
        <f>IF(L267&lt;&gt;"",VLOOKUP(L267,Categories!$B$2:$D$41,2,FALSE),IF(F267&lt;&gt;"","No Cat",""))</f>
        <v>A&amp;S Sch</v>
      </c>
      <c r="O267" s="25" t="str">
        <f>IF($L267&lt;&gt;"",VLOOKUP($L267,Categories!$B$2:$D$41,3,FALSE),IF($F267&lt;&gt;"","No Cat",""))</f>
        <v>Reg Asset &amp; Liabilities</v>
      </c>
      <c r="P267" s="736" t="s">
        <v>2468</v>
      </c>
      <c r="Q267" s="25" t="str">
        <f>VLOOKUP($P267,Allocators!$B$7:$F$19,5,FALSE)</f>
        <v>Not in Rate Base</v>
      </c>
      <c r="R267" s="737">
        <f>VLOOKUP($P267,Allocators!$B$7:$F$19,2,FALSE)</f>
        <v>0</v>
      </c>
      <c r="S267" s="737">
        <f>VLOOKUP($P267,Allocators!$B$7:$F$19,3,FALSE)</f>
        <v>0</v>
      </c>
      <c r="T267" s="737">
        <f t="shared" si="75"/>
        <v>1</v>
      </c>
      <c r="U267" s="2" t="str">
        <f t="shared" si="83"/>
        <v/>
      </c>
      <c r="V267" s="2" t="str">
        <f t="shared" si="84"/>
        <v/>
      </c>
      <c r="W267" s="2" t="str">
        <f t="shared" si="85"/>
        <v/>
      </c>
      <c r="X267" s="2">
        <f t="shared" si="81"/>
        <v>0</v>
      </c>
      <c r="Y267" s="2" t="str">
        <f t="shared" si="86"/>
        <v/>
      </c>
      <c r="Z267" s="2" t="str">
        <f t="shared" si="87"/>
        <v/>
      </c>
      <c r="AA267" s="2" t="str">
        <f t="shared" si="88"/>
        <v/>
      </c>
      <c r="AB267" s="2">
        <f t="shared" si="82"/>
        <v>0</v>
      </c>
      <c r="AC267" s="759">
        <v>0</v>
      </c>
      <c r="AD267" s="741">
        <v>0</v>
      </c>
      <c r="AE267" s="741">
        <v>0</v>
      </c>
      <c r="AF267" s="741">
        <v>0</v>
      </c>
      <c r="AG267" s="741">
        <v>0</v>
      </c>
      <c r="AH267" s="741">
        <v>0</v>
      </c>
      <c r="AI267" s="741">
        <v>0</v>
      </c>
      <c r="AJ267" s="741">
        <v>0</v>
      </c>
      <c r="AK267" s="741">
        <v>0</v>
      </c>
      <c r="AL267" s="741">
        <v>0</v>
      </c>
      <c r="AM267" s="741">
        <v>0</v>
      </c>
      <c r="AN267" s="741">
        <v>0</v>
      </c>
      <c r="AO267" s="741">
        <v>0</v>
      </c>
      <c r="AP267" s="41" t="str">
        <f t="shared" si="78"/>
        <v>GLS</v>
      </c>
      <c r="AQ267" s="41" t="str">
        <f t="shared" si="79"/>
        <v>GLSS0</v>
      </c>
      <c r="AR267" s="41" t="str">
        <f t="shared" si="80"/>
        <v>S0</v>
      </c>
    </row>
    <row r="268" spans="1:44" s="41" customFormat="1" ht="12.75" customHeight="1">
      <c r="A268" s="25" t="s">
        <v>17</v>
      </c>
      <c r="B268" s="25" t="str">
        <f t="shared" si="73"/>
        <v>GL182390</v>
      </c>
      <c r="C268" s="638">
        <v>182390</v>
      </c>
      <c r="D268" s="735"/>
      <c r="F268" s="1" t="s">
        <v>264</v>
      </c>
      <c r="H268" s="736">
        <v>0</v>
      </c>
      <c r="I268" s="25"/>
      <c r="J268" s="25"/>
      <c r="K268" s="442" t="str">
        <f t="shared" si="68"/>
        <v/>
      </c>
      <c r="L268" s="736" t="s">
        <v>2464</v>
      </c>
      <c r="M268" s="25" t="str">
        <f t="shared" si="74"/>
        <v>S</v>
      </c>
      <c r="N268" s="25" t="str">
        <f>IF(L268&lt;&gt;"",VLOOKUP(L268,Categories!$B$2:$D$41,2,FALSE),IF(F268&lt;&gt;"","No Cat",""))</f>
        <v>A&amp;S Sch</v>
      </c>
      <c r="O268" s="25" t="str">
        <f>IF($L268&lt;&gt;"",VLOOKUP($L268,Categories!$B$2:$D$41,3,FALSE),IF($F268&lt;&gt;"","No Cat",""))</f>
        <v>Reg Asset &amp; Liabilities</v>
      </c>
      <c r="P268" s="736" t="s">
        <v>2468</v>
      </c>
      <c r="Q268" s="25" t="str">
        <f>VLOOKUP($P268,Allocators!$B$7:$F$19,5,FALSE)</f>
        <v>Not in Rate Base</v>
      </c>
      <c r="R268" s="737">
        <f>VLOOKUP($P268,Allocators!$B$7:$F$19,2,FALSE)</f>
        <v>0</v>
      </c>
      <c r="S268" s="737">
        <f>VLOOKUP($P268,Allocators!$B$7:$F$19,3,FALSE)</f>
        <v>0</v>
      </c>
      <c r="T268" s="737">
        <f t="shared" si="75"/>
        <v>1</v>
      </c>
      <c r="U268" s="2" t="str">
        <f t="shared" si="83"/>
        <v/>
      </c>
      <c r="V268" s="2" t="str">
        <f t="shared" si="84"/>
        <v/>
      </c>
      <c r="W268" s="2" t="str">
        <f t="shared" si="85"/>
        <v/>
      </c>
      <c r="X268" s="2">
        <f t="shared" si="81"/>
        <v>0</v>
      </c>
      <c r="Y268" s="2" t="str">
        <f t="shared" si="86"/>
        <v/>
      </c>
      <c r="Z268" s="2" t="str">
        <f t="shared" si="87"/>
        <v/>
      </c>
      <c r="AA268" s="2" t="str">
        <f t="shared" si="88"/>
        <v/>
      </c>
      <c r="AB268" s="2">
        <f t="shared" si="82"/>
        <v>0</v>
      </c>
      <c r="AC268" s="759">
        <v>0</v>
      </c>
      <c r="AD268" s="741">
        <v>0</v>
      </c>
      <c r="AE268" s="741">
        <v>0</v>
      </c>
      <c r="AF268" s="741">
        <v>0</v>
      </c>
      <c r="AG268" s="741">
        <v>0</v>
      </c>
      <c r="AH268" s="741">
        <v>0</v>
      </c>
      <c r="AI268" s="741">
        <v>0</v>
      </c>
      <c r="AJ268" s="741">
        <v>0</v>
      </c>
      <c r="AK268" s="741">
        <v>0</v>
      </c>
      <c r="AL268" s="741">
        <v>0</v>
      </c>
      <c r="AM268" s="741">
        <v>0</v>
      </c>
      <c r="AN268" s="741">
        <v>0</v>
      </c>
      <c r="AO268" s="741">
        <v>0</v>
      </c>
      <c r="AP268" s="41" t="str">
        <f t="shared" si="78"/>
        <v>GLS</v>
      </c>
      <c r="AQ268" s="41" t="str">
        <f t="shared" si="79"/>
        <v>GLSS0</v>
      </c>
      <c r="AR268" s="41" t="str">
        <f t="shared" si="80"/>
        <v>S0</v>
      </c>
    </row>
    <row r="269" spans="1:44" s="41" customFormat="1" ht="12.75" customHeight="1">
      <c r="A269" s="25" t="s">
        <v>17</v>
      </c>
      <c r="B269" s="25" t="str">
        <f t="shared" si="73"/>
        <v>GL182392</v>
      </c>
      <c r="C269" s="638">
        <v>182392</v>
      </c>
      <c r="D269" s="735"/>
      <c r="F269" s="1" t="s">
        <v>265</v>
      </c>
      <c r="H269" s="736">
        <v>0</v>
      </c>
      <c r="I269" s="25"/>
      <c r="J269" s="25"/>
      <c r="K269" s="442" t="str">
        <f t="shared" ref="K269:K332" si="89">IF(L269="N3","Y","")</f>
        <v/>
      </c>
      <c r="L269" s="736" t="s">
        <v>2464</v>
      </c>
      <c r="M269" s="25" t="str">
        <f t="shared" si="74"/>
        <v>S</v>
      </c>
      <c r="N269" s="25" t="str">
        <f>IF(L269&lt;&gt;"",VLOOKUP(L269,Categories!$B$2:$D$41,2,FALSE),IF(F269&lt;&gt;"","No Cat",""))</f>
        <v>A&amp;S Sch</v>
      </c>
      <c r="O269" s="25" t="str">
        <f>IF($L269&lt;&gt;"",VLOOKUP($L269,Categories!$B$2:$D$41,3,FALSE),IF($F269&lt;&gt;"","No Cat",""))</f>
        <v>Reg Asset &amp; Liabilities</v>
      </c>
      <c r="P269" s="736" t="s">
        <v>2468</v>
      </c>
      <c r="Q269" s="25" t="str">
        <f>VLOOKUP($P269,Allocators!$B$7:$F$19,5,FALSE)</f>
        <v>Not in Rate Base</v>
      </c>
      <c r="R269" s="737">
        <f>VLOOKUP($P269,Allocators!$B$7:$F$19,2,FALSE)</f>
        <v>0</v>
      </c>
      <c r="S269" s="737">
        <f>VLOOKUP($P269,Allocators!$B$7:$F$19,3,FALSE)</f>
        <v>0</v>
      </c>
      <c r="T269" s="737">
        <f t="shared" si="75"/>
        <v>1</v>
      </c>
      <c r="U269" s="2" t="str">
        <f t="shared" si="83"/>
        <v/>
      </c>
      <c r="V269" s="2" t="str">
        <f t="shared" si="84"/>
        <v/>
      </c>
      <c r="W269" s="2" t="str">
        <f t="shared" si="85"/>
        <v/>
      </c>
      <c r="X269" s="2">
        <f t="shared" si="81"/>
        <v>0</v>
      </c>
      <c r="Y269" s="2" t="str">
        <f t="shared" si="86"/>
        <v/>
      </c>
      <c r="Z269" s="2" t="str">
        <f t="shared" si="87"/>
        <v/>
      </c>
      <c r="AA269" s="2" t="str">
        <f t="shared" si="88"/>
        <v/>
      </c>
      <c r="AB269" s="2">
        <f t="shared" si="82"/>
        <v>0</v>
      </c>
      <c r="AC269" s="759">
        <v>0</v>
      </c>
      <c r="AD269" s="741">
        <v>0</v>
      </c>
      <c r="AE269" s="741">
        <v>0</v>
      </c>
      <c r="AF269" s="741">
        <v>0</v>
      </c>
      <c r="AG269" s="741">
        <v>0</v>
      </c>
      <c r="AH269" s="741">
        <v>0</v>
      </c>
      <c r="AI269" s="741">
        <v>0</v>
      </c>
      <c r="AJ269" s="741">
        <v>0</v>
      </c>
      <c r="AK269" s="741">
        <v>0</v>
      </c>
      <c r="AL269" s="741">
        <v>0</v>
      </c>
      <c r="AM269" s="741">
        <v>0</v>
      </c>
      <c r="AN269" s="741">
        <v>0</v>
      </c>
      <c r="AO269" s="741">
        <v>0</v>
      </c>
      <c r="AP269" s="41" t="str">
        <f t="shared" si="78"/>
        <v>GLS</v>
      </c>
      <c r="AQ269" s="41" t="str">
        <f t="shared" si="79"/>
        <v>GLSS0</v>
      </c>
      <c r="AR269" s="41" t="str">
        <f t="shared" si="80"/>
        <v>S0</v>
      </c>
    </row>
    <row r="270" spans="1:44" s="41" customFormat="1" ht="12.75" customHeight="1">
      <c r="A270" s="25" t="s">
        <v>17</v>
      </c>
      <c r="B270" s="25" t="str">
        <f t="shared" si="73"/>
        <v>GL182393</v>
      </c>
      <c r="C270" s="638">
        <v>182393</v>
      </c>
      <c r="D270" s="735"/>
      <c r="F270" s="1" t="s">
        <v>266</v>
      </c>
      <c r="H270" s="736">
        <v>0</v>
      </c>
      <c r="I270" s="25"/>
      <c r="J270" s="25"/>
      <c r="K270" s="442" t="str">
        <f t="shared" si="89"/>
        <v/>
      </c>
      <c r="L270" s="736" t="s">
        <v>2464</v>
      </c>
      <c r="M270" s="25" t="str">
        <f t="shared" si="74"/>
        <v>S</v>
      </c>
      <c r="N270" s="25" t="str">
        <f>IF(L270&lt;&gt;"",VLOOKUP(L270,Categories!$B$2:$D$41,2,FALSE),IF(F270&lt;&gt;"","No Cat",""))</f>
        <v>A&amp;S Sch</v>
      </c>
      <c r="O270" s="25" t="str">
        <f>IF($L270&lt;&gt;"",VLOOKUP($L270,Categories!$B$2:$D$41,3,FALSE),IF($F270&lt;&gt;"","No Cat",""))</f>
        <v>Reg Asset &amp; Liabilities</v>
      </c>
      <c r="P270" s="736" t="s">
        <v>2468</v>
      </c>
      <c r="Q270" s="25" t="str">
        <f>VLOOKUP($P270,Allocators!$B$7:$F$19,5,FALSE)</f>
        <v>Not in Rate Base</v>
      </c>
      <c r="R270" s="737">
        <f>VLOOKUP($P270,Allocators!$B$7:$F$19,2,FALSE)</f>
        <v>0</v>
      </c>
      <c r="S270" s="737">
        <f>VLOOKUP($P270,Allocators!$B$7:$F$19,3,FALSE)</f>
        <v>0</v>
      </c>
      <c r="T270" s="737">
        <f t="shared" si="75"/>
        <v>1</v>
      </c>
      <c r="U270" s="2" t="str">
        <f t="shared" si="83"/>
        <v/>
      </c>
      <c r="V270" s="2" t="str">
        <f t="shared" si="84"/>
        <v/>
      </c>
      <c r="W270" s="2" t="str">
        <f t="shared" si="85"/>
        <v/>
      </c>
      <c r="X270" s="2">
        <f t="shared" si="81"/>
        <v>0</v>
      </c>
      <c r="Y270" s="2" t="str">
        <f t="shared" si="86"/>
        <v/>
      </c>
      <c r="Z270" s="2" t="str">
        <f t="shared" si="87"/>
        <v/>
      </c>
      <c r="AA270" s="2" t="str">
        <f t="shared" si="88"/>
        <v/>
      </c>
      <c r="AB270" s="2">
        <f t="shared" si="82"/>
        <v>0</v>
      </c>
      <c r="AC270" s="759">
        <v>0</v>
      </c>
      <c r="AD270" s="741">
        <v>0</v>
      </c>
      <c r="AE270" s="741">
        <v>0</v>
      </c>
      <c r="AF270" s="741">
        <v>0</v>
      </c>
      <c r="AG270" s="741">
        <v>0</v>
      </c>
      <c r="AH270" s="741">
        <v>0</v>
      </c>
      <c r="AI270" s="741">
        <v>0</v>
      </c>
      <c r="AJ270" s="741">
        <v>0</v>
      </c>
      <c r="AK270" s="741">
        <v>0</v>
      </c>
      <c r="AL270" s="741">
        <v>0</v>
      </c>
      <c r="AM270" s="741">
        <v>0</v>
      </c>
      <c r="AN270" s="741">
        <v>0</v>
      </c>
      <c r="AO270" s="741">
        <v>0</v>
      </c>
      <c r="AP270" s="41" t="str">
        <f t="shared" si="78"/>
        <v>GLS</v>
      </c>
      <c r="AQ270" s="41" t="str">
        <f t="shared" si="79"/>
        <v>GLSS0</v>
      </c>
      <c r="AR270" s="41" t="str">
        <f t="shared" si="80"/>
        <v>S0</v>
      </c>
    </row>
    <row r="271" spans="1:44" s="41" customFormat="1" ht="12.75" customHeight="1">
      <c r="A271" s="25" t="s">
        <v>17</v>
      </c>
      <c r="B271" s="25" t="str">
        <f t="shared" si="73"/>
        <v>GL182400</v>
      </c>
      <c r="C271" s="638">
        <v>182400</v>
      </c>
      <c r="D271" s="735"/>
      <c r="F271" s="1" t="s">
        <v>267</v>
      </c>
      <c r="H271" s="736">
        <v>0</v>
      </c>
      <c r="I271" s="25"/>
      <c r="J271" s="25"/>
      <c r="K271" s="442" t="str">
        <f t="shared" si="89"/>
        <v/>
      </c>
      <c r="L271" s="736" t="s">
        <v>2464</v>
      </c>
      <c r="M271" s="25" t="str">
        <f t="shared" si="74"/>
        <v>S</v>
      </c>
      <c r="N271" s="25" t="str">
        <f>IF(L271&lt;&gt;"",VLOOKUP(L271,Categories!$B$2:$D$41,2,FALSE),IF(F271&lt;&gt;"","No Cat",""))</f>
        <v>A&amp;S Sch</v>
      </c>
      <c r="O271" s="25" t="str">
        <f>IF($L271&lt;&gt;"",VLOOKUP($L271,Categories!$B$2:$D$41,3,FALSE),IF($F271&lt;&gt;"","No Cat",""))</f>
        <v>Reg Asset &amp; Liabilities</v>
      </c>
      <c r="P271" s="736" t="s">
        <v>2468</v>
      </c>
      <c r="Q271" s="25" t="str">
        <f>VLOOKUP($P271,Allocators!$B$7:$F$19,5,FALSE)</f>
        <v>Not in Rate Base</v>
      </c>
      <c r="R271" s="737">
        <f>VLOOKUP($P271,Allocators!$B$7:$F$19,2,FALSE)</f>
        <v>0</v>
      </c>
      <c r="S271" s="737">
        <f>VLOOKUP($P271,Allocators!$B$7:$F$19,3,FALSE)</f>
        <v>0</v>
      </c>
      <c r="T271" s="737">
        <f t="shared" si="75"/>
        <v>1</v>
      </c>
      <c r="U271" s="2" t="str">
        <f t="shared" si="83"/>
        <v/>
      </c>
      <c r="V271" s="2" t="str">
        <f t="shared" si="84"/>
        <v/>
      </c>
      <c r="W271" s="2" t="str">
        <f t="shared" si="85"/>
        <v/>
      </c>
      <c r="X271" s="2">
        <f t="shared" si="81"/>
        <v>0</v>
      </c>
      <c r="Y271" s="2" t="str">
        <f t="shared" si="86"/>
        <v/>
      </c>
      <c r="Z271" s="2" t="str">
        <f t="shared" si="87"/>
        <v/>
      </c>
      <c r="AA271" s="2" t="str">
        <f t="shared" si="88"/>
        <v/>
      </c>
      <c r="AB271" s="2">
        <f t="shared" si="82"/>
        <v>0</v>
      </c>
      <c r="AC271" s="759">
        <v>0</v>
      </c>
      <c r="AD271" s="741">
        <v>0</v>
      </c>
      <c r="AE271" s="741">
        <v>0</v>
      </c>
      <c r="AF271" s="741">
        <v>0</v>
      </c>
      <c r="AG271" s="741">
        <v>0</v>
      </c>
      <c r="AH271" s="741">
        <v>0</v>
      </c>
      <c r="AI271" s="741">
        <v>0</v>
      </c>
      <c r="AJ271" s="741">
        <v>0</v>
      </c>
      <c r="AK271" s="741">
        <v>0</v>
      </c>
      <c r="AL271" s="741">
        <v>0</v>
      </c>
      <c r="AM271" s="741">
        <v>0</v>
      </c>
      <c r="AN271" s="741">
        <v>0</v>
      </c>
      <c r="AO271" s="741">
        <v>0</v>
      </c>
      <c r="AP271" s="41" t="str">
        <f t="shared" si="78"/>
        <v>GLS</v>
      </c>
      <c r="AQ271" s="41" t="str">
        <f t="shared" si="79"/>
        <v>GLSS0</v>
      </c>
      <c r="AR271" s="41" t="str">
        <f t="shared" si="80"/>
        <v>S0</v>
      </c>
    </row>
    <row r="272" spans="1:44" s="41" customFormat="1" ht="12.75" customHeight="1">
      <c r="A272" s="25" t="s">
        <v>17</v>
      </c>
      <c r="B272" s="25" t="str">
        <f t="shared" si="73"/>
        <v>GL182430</v>
      </c>
      <c r="C272" s="638">
        <v>182430</v>
      </c>
      <c r="D272" s="735"/>
      <c r="F272" s="1" t="s">
        <v>268</v>
      </c>
      <c r="H272" s="736">
        <v>0</v>
      </c>
      <c r="I272" s="25"/>
      <c r="J272" s="25"/>
      <c r="K272" s="442" t="str">
        <f t="shared" si="89"/>
        <v/>
      </c>
      <c r="L272" s="736" t="s">
        <v>2464</v>
      </c>
      <c r="M272" s="25" t="str">
        <f t="shared" si="74"/>
        <v>S</v>
      </c>
      <c r="N272" s="25" t="str">
        <f>IF(L272&lt;&gt;"",VLOOKUP(L272,Categories!$B$2:$D$41,2,FALSE),IF(F272&lt;&gt;"","No Cat",""))</f>
        <v>A&amp;S Sch</v>
      </c>
      <c r="O272" s="25" t="str">
        <f>IF($L272&lt;&gt;"",VLOOKUP($L272,Categories!$B$2:$D$41,3,FALSE),IF($F272&lt;&gt;"","No Cat",""))</f>
        <v>Reg Asset &amp; Liabilities</v>
      </c>
      <c r="P272" s="736" t="s">
        <v>2468</v>
      </c>
      <c r="Q272" s="25" t="str">
        <f>VLOOKUP($P272,Allocators!$B$7:$F$19,5,FALSE)</f>
        <v>Not in Rate Base</v>
      </c>
      <c r="R272" s="737">
        <f>VLOOKUP($P272,Allocators!$B$7:$F$19,2,FALSE)</f>
        <v>0</v>
      </c>
      <c r="S272" s="737">
        <f>VLOOKUP($P272,Allocators!$B$7:$F$19,3,FALSE)</f>
        <v>0</v>
      </c>
      <c r="T272" s="737">
        <f t="shared" si="75"/>
        <v>1</v>
      </c>
      <c r="U272" s="2" t="str">
        <f t="shared" si="83"/>
        <v/>
      </c>
      <c r="V272" s="2" t="str">
        <f t="shared" si="84"/>
        <v/>
      </c>
      <c r="W272" s="2" t="str">
        <f t="shared" si="85"/>
        <v/>
      </c>
      <c r="X272" s="2">
        <f t="shared" si="81"/>
        <v>0</v>
      </c>
      <c r="Y272" s="2" t="str">
        <f t="shared" si="86"/>
        <v/>
      </c>
      <c r="Z272" s="2" t="str">
        <f t="shared" si="87"/>
        <v/>
      </c>
      <c r="AA272" s="2" t="str">
        <f t="shared" si="88"/>
        <v/>
      </c>
      <c r="AB272" s="2">
        <f t="shared" si="82"/>
        <v>0</v>
      </c>
      <c r="AC272" s="759">
        <v>0</v>
      </c>
      <c r="AD272" s="741">
        <v>0</v>
      </c>
      <c r="AE272" s="741">
        <v>0</v>
      </c>
      <c r="AF272" s="741">
        <v>0</v>
      </c>
      <c r="AG272" s="741">
        <v>0</v>
      </c>
      <c r="AH272" s="741">
        <v>0</v>
      </c>
      <c r="AI272" s="741">
        <v>0</v>
      </c>
      <c r="AJ272" s="741">
        <v>0</v>
      </c>
      <c r="AK272" s="741">
        <v>0</v>
      </c>
      <c r="AL272" s="741">
        <v>0</v>
      </c>
      <c r="AM272" s="741">
        <v>0</v>
      </c>
      <c r="AN272" s="741">
        <v>0</v>
      </c>
      <c r="AO272" s="741">
        <v>0</v>
      </c>
      <c r="AP272" s="41" t="str">
        <f t="shared" si="78"/>
        <v>GLS</v>
      </c>
      <c r="AQ272" s="41" t="str">
        <f t="shared" si="79"/>
        <v>GLSS0</v>
      </c>
      <c r="AR272" s="41" t="str">
        <f t="shared" si="80"/>
        <v>S0</v>
      </c>
    </row>
    <row r="273" spans="1:44" s="41" customFormat="1" ht="12.75" customHeight="1">
      <c r="A273" s="25" t="s">
        <v>17</v>
      </c>
      <c r="B273" s="25" t="str">
        <f t="shared" ref="B273:B337" si="90">CONCATENATE(A273,C273,D273,E273)</f>
        <v>GL182440</v>
      </c>
      <c r="C273" s="638">
        <v>182440</v>
      </c>
      <c r="D273" s="735"/>
      <c r="F273" s="1" t="s">
        <v>269</v>
      </c>
      <c r="H273" s="736">
        <v>0</v>
      </c>
      <c r="I273" s="25"/>
      <c r="J273" s="25"/>
      <c r="K273" s="442" t="str">
        <f t="shared" si="89"/>
        <v/>
      </c>
      <c r="L273" s="736" t="s">
        <v>2464</v>
      </c>
      <c r="M273" s="25" t="str">
        <f t="shared" ref="M273:M337" si="91">LEFT(L273,1)</f>
        <v>S</v>
      </c>
      <c r="N273" s="25" t="str">
        <f>IF(L273&lt;&gt;"",VLOOKUP(L273,Categories!$B$2:$D$41,2,FALSE),IF(F273&lt;&gt;"","No Cat",""))</f>
        <v>A&amp;S Sch</v>
      </c>
      <c r="O273" s="25" t="str">
        <f>IF($L273&lt;&gt;"",VLOOKUP($L273,Categories!$B$2:$D$41,3,FALSE),IF($F273&lt;&gt;"","No Cat",""))</f>
        <v>Reg Asset &amp; Liabilities</v>
      </c>
      <c r="P273" s="736" t="s">
        <v>2468</v>
      </c>
      <c r="Q273" s="25" t="str">
        <f>VLOOKUP($P273,Allocators!$B$7:$F$19,5,FALSE)</f>
        <v>Not in Rate Base</v>
      </c>
      <c r="R273" s="737">
        <f>VLOOKUP($P273,Allocators!$B$7:$F$19,2,FALSE)</f>
        <v>0</v>
      </c>
      <c r="S273" s="737">
        <f>VLOOKUP($P273,Allocators!$B$7:$F$19,3,FALSE)</f>
        <v>0</v>
      </c>
      <c r="T273" s="737">
        <f t="shared" si="75"/>
        <v>1</v>
      </c>
      <c r="U273" s="2" t="str">
        <f t="shared" si="83"/>
        <v/>
      </c>
      <c r="V273" s="2" t="str">
        <f t="shared" si="84"/>
        <v/>
      </c>
      <c r="W273" s="2" t="str">
        <f t="shared" si="85"/>
        <v/>
      </c>
      <c r="X273" s="2">
        <f t="shared" si="81"/>
        <v>0</v>
      </c>
      <c r="Y273" s="2" t="str">
        <f t="shared" si="86"/>
        <v/>
      </c>
      <c r="Z273" s="2" t="str">
        <f t="shared" si="87"/>
        <v/>
      </c>
      <c r="AA273" s="2" t="str">
        <f t="shared" si="88"/>
        <v/>
      </c>
      <c r="AB273" s="2">
        <f t="shared" si="82"/>
        <v>0</v>
      </c>
      <c r="AC273" s="759">
        <v>0</v>
      </c>
      <c r="AD273" s="741">
        <v>0</v>
      </c>
      <c r="AE273" s="741">
        <v>0</v>
      </c>
      <c r="AF273" s="741">
        <v>0</v>
      </c>
      <c r="AG273" s="741">
        <v>0</v>
      </c>
      <c r="AH273" s="741">
        <v>0</v>
      </c>
      <c r="AI273" s="741">
        <v>0</v>
      </c>
      <c r="AJ273" s="741">
        <v>0</v>
      </c>
      <c r="AK273" s="741">
        <v>0</v>
      </c>
      <c r="AL273" s="741">
        <v>0</v>
      </c>
      <c r="AM273" s="741">
        <v>0</v>
      </c>
      <c r="AN273" s="741">
        <v>0</v>
      </c>
      <c r="AO273" s="741">
        <v>0</v>
      </c>
      <c r="AP273" s="41" t="str">
        <f t="shared" si="78"/>
        <v>GLS</v>
      </c>
      <c r="AQ273" s="41" t="str">
        <f t="shared" si="79"/>
        <v>GLSS0</v>
      </c>
      <c r="AR273" s="41" t="str">
        <f t="shared" si="80"/>
        <v>S0</v>
      </c>
    </row>
    <row r="274" spans="1:44" s="41" customFormat="1" ht="12.75" customHeight="1">
      <c r="A274" s="25" t="s">
        <v>17</v>
      </c>
      <c r="B274" s="25" t="str">
        <f t="shared" si="90"/>
        <v>GL182460</v>
      </c>
      <c r="C274" s="638">
        <v>182460</v>
      </c>
      <c r="D274" s="735"/>
      <c r="F274" s="1" t="s">
        <v>270</v>
      </c>
      <c r="H274" s="736">
        <v>0</v>
      </c>
      <c r="I274" s="25"/>
      <c r="J274" s="25"/>
      <c r="K274" s="442" t="str">
        <f t="shared" si="89"/>
        <v/>
      </c>
      <c r="L274" s="736" t="s">
        <v>2464</v>
      </c>
      <c r="M274" s="25" t="str">
        <f t="shared" si="91"/>
        <v>S</v>
      </c>
      <c r="N274" s="25" t="str">
        <f>IF(L274&lt;&gt;"",VLOOKUP(L274,Categories!$B$2:$D$41,2,FALSE),IF(F274&lt;&gt;"","No Cat",""))</f>
        <v>A&amp;S Sch</v>
      </c>
      <c r="O274" s="25" t="str">
        <f>IF($L274&lt;&gt;"",VLOOKUP($L274,Categories!$B$2:$D$41,3,FALSE),IF($F274&lt;&gt;"","No Cat",""))</f>
        <v>Reg Asset &amp; Liabilities</v>
      </c>
      <c r="P274" s="736" t="s">
        <v>2468</v>
      </c>
      <c r="Q274" s="25" t="str">
        <f>VLOOKUP($P274,Allocators!$B$7:$F$19,5,FALSE)</f>
        <v>Not in Rate Base</v>
      </c>
      <c r="R274" s="737">
        <f>VLOOKUP($P274,Allocators!$B$7:$F$19,2,FALSE)</f>
        <v>0</v>
      </c>
      <c r="S274" s="737">
        <f>VLOOKUP($P274,Allocators!$B$7:$F$19,3,FALSE)</f>
        <v>0</v>
      </c>
      <c r="T274" s="737">
        <f t="shared" si="75"/>
        <v>1</v>
      </c>
      <c r="U274" s="2" t="str">
        <f t="shared" si="83"/>
        <v/>
      </c>
      <c r="V274" s="2" t="str">
        <f t="shared" si="84"/>
        <v/>
      </c>
      <c r="W274" s="2" t="str">
        <f t="shared" si="85"/>
        <v/>
      </c>
      <c r="X274" s="2">
        <f t="shared" si="81"/>
        <v>0</v>
      </c>
      <c r="Y274" s="2" t="str">
        <f t="shared" si="86"/>
        <v/>
      </c>
      <c r="Z274" s="2" t="str">
        <f t="shared" si="87"/>
        <v/>
      </c>
      <c r="AA274" s="2" t="str">
        <f t="shared" si="88"/>
        <v/>
      </c>
      <c r="AB274" s="2">
        <f t="shared" si="82"/>
        <v>0</v>
      </c>
      <c r="AC274" s="759">
        <v>0</v>
      </c>
      <c r="AD274" s="741">
        <v>0</v>
      </c>
      <c r="AE274" s="741">
        <v>0</v>
      </c>
      <c r="AF274" s="741">
        <v>0</v>
      </c>
      <c r="AG274" s="741">
        <v>0</v>
      </c>
      <c r="AH274" s="741">
        <v>0</v>
      </c>
      <c r="AI274" s="741">
        <v>0</v>
      </c>
      <c r="AJ274" s="741">
        <v>0</v>
      </c>
      <c r="AK274" s="741">
        <v>0</v>
      </c>
      <c r="AL274" s="741">
        <v>0</v>
      </c>
      <c r="AM274" s="741">
        <v>0</v>
      </c>
      <c r="AN274" s="741">
        <v>0</v>
      </c>
      <c r="AO274" s="741">
        <v>0</v>
      </c>
      <c r="AP274" s="41" t="str">
        <f t="shared" si="78"/>
        <v>GLS</v>
      </c>
      <c r="AQ274" s="41" t="str">
        <f t="shared" si="79"/>
        <v>GLSS0</v>
      </c>
      <c r="AR274" s="41" t="str">
        <f t="shared" si="80"/>
        <v>S0</v>
      </c>
    </row>
    <row r="275" spans="1:44" s="41" customFormat="1" ht="12.75" customHeight="1">
      <c r="A275" s="25" t="s">
        <v>17</v>
      </c>
      <c r="B275" s="25" t="str">
        <f t="shared" si="90"/>
        <v>GL182470</v>
      </c>
      <c r="C275" s="638">
        <v>182470</v>
      </c>
      <c r="D275" s="735"/>
      <c r="F275" s="1" t="s">
        <v>271</v>
      </c>
      <c r="H275" s="736">
        <v>0</v>
      </c>
      <c r="I275" s="25"/>
      <c r="J275" s="25"/>
      <c r="K275" s="442" t="str">
        <f t="shared" si="89"/>
        <v/>
      </c>
      <c r="L275" s="736" t="s">
        <v>2464</v>
      </c>
      <c r="M275" s="25" t="str">
        <f t="shared" si="91"/>
        <v>S</v>
      </c>
      <c r="N275" s="25" t="str">
        <f>IF(L275&lt;&gt;"",VLOOKUP(L275,Categories!$B$2:$D$41,2,FALSE),IF(F275&lt;&gt;"","No Cat",""))</f>
        <v>A&amp;S Sch</v>
      </c>
      <c r="O275" s="25" t="str">
        <f>IF($L275&lt;&gt;"",VLOOKUP($L275,Categories!$B$2:$D$41,3,FALSE),IF($F275&lt;&gt;"","No Cat",""))</f>
        <v>Reg Asset &amp; Liabilities</v>
      </c>
      <c r="P275" s="736" t="s">
        <v>2468</v>
      </c>
      <c r="Q275" s="25" t="str">
        <f>VLOOKUP($P275,Allocators!$B$7:$F$19,5,FALSE)</f>
        <v>Not in Rate Base</v>
      </c>
      <c r="R275" s="737">
        <f>VLOOKUP($P275,Allocators!$B$7:$F$19,2,FALSE)</f>
        <v>0</v>
      </c>
      <c r="S275" s="737">
        <f>VLOOKUP($P275,Allocators!$B$7:$F$19,3,FALSE)</f>
        <v>0</v>
      </c>
      <c r="T275" s="737">
        <f t="shared" si="75"/>
        <v>1</v>
      </c>
      <c r="U275" s="2" t="str">
        <f t="shared" si="83"/>
        <v/>
      </c>
      <c r="V275" s="2" t="str">
        <f t="shared" si="84"/>
        <v/>
      </c>
      <c r="W275" s="2" t="str">
        <f t="shared" si="85"/>
        <v/>
      </c>
      <c r="X275" s="2">
        <f t="shared" si="81"/>
        <v>0</v>
      </c>
      <c r="Y275" s="2" t="str">
        <f t="shared" si="86"/>
        <v/>
      </c>
      <c r="Z275" s="2" t="str">
        <f t="shared" si="87"/>
        <v/>
      </c>
      <c r="AA275" s="2" t="str">
        <f t="shared" si="88"/>
        <v/>
      </c>
      <c r="AB275" s="2">
        <f t="shared" si="82"/>
        <v>0</v>
      </c>
      <c r="AC275" s="759">
        <v>0</v>
      </c>
      <c r="AD275" s="741">
        <v>0</v>
      </c>
      <c r="AE275" s="741">
        <v>0</v>
      </c>
      <c r="AF275" s="741">
        <v>0</v>
      </c>
      <c r="AG275" s="741">
        <v>0</v>
      </c>
      <c r="AH275" s="741">
        <v>0</v>
      </c>
      <c r="AI275" s="741">
        <v>0</v>
      </c>
      <c r="AJ275" s="741">
        <v>0</v>
      </c>
      <c r="AK275" s="741">
        <v>0</v>
      </c>
      <c r="AL275" s="741">
        <v>0</v>
      </c>
      <c r="AM275" s="741">
        <v>0</v>
      </c>
      <c r="AN275" s="741">
        <v>0</v>
      </c>
      <c r="AO275" s="741">
        <v>0</v>
      </c>
      <c r="AP275" s="41" t="str">
        <f t="shared" si="78"/>
        <v>GLS</v>
      </c>
      <c r="AQ275" s="41" t="str">
        <f t="shared" si="79"/>
        <v>GLSS0</v>
      </c>
      <c r="AR275" s="41" t="str">
        <f t="shared" si="80"/>
        <v>S0</v>
      </c>
    </row>
    <row r="276" spans="1:44" s="41" customFormat="1" ht="12.75" customHeight="1">
      <c r="A276" s="25" t="s">
        <v>17</v>
      </c>
      <c r="B276" s="25" t="str">
        <f t="shared" si="90"/>
        <v>GL182500</v>
      </c>
      <c r="C276" s="638">
        <v>182500</v>
      </c>
      <c r="D276" s="735"/>
      <c r="F276" s="1" t="s">
        <v>272</v>
      </c>
      <c r="H276" s="736">
        <v>0</v>
      </c>
      <c r="I276" s="25"/>
      <c r="J276" s="25"/>
      <c r="K276" s="442" t="str">
        <f t="shared" si="89"/>
        <v/>
      </c>
      <c r="L276" s="736" t="s">
        <v>2464</v>
      </c>
      <c r="M276" s="25" t="str">
        <f t="shared" si="91"/>
        <v>S</v>
      </c>
      <c r="N276" s="25" t="str">
        <f>IF(L276&lt;&gt;"",VLOOKUP(L276,Categories!$B$2:$D$41,2,FALSE),IF(F276&lt;&gt;"","No Cat",""))</f>
        <v>A&amp;S Sch</v>
      </c>
      <c r="O276" s="25" t="str">
        <f>IF($L276&lt;&gt;"",VLOOKUP($L276,Categories!$B$2:$D$41,3,FALSE),IF($F276&lt;&gt;"","No Cat",""))</f>
        <v>Reg Asset &amp; Liabilities</v>
      </c>
      <c r="P276" s="736" t="s">
        <v>2468</v>
      </c>
      <c r="Q276" s="25" t="str">
        <f>VLOOKUP($P276,Allocators!$B$7:$F$19,5,FALSE)</f>
        <v>Not in Rate Base</v>
      </c>
      <c r="R276" s="737">
        <f>VLOOKUP($P276,Allocators!$B$7:$F$19,2,FALSE)</f>
        <v>0</v>
      </c>
      <c r="S276" s="737">
        <f>VLOOKUP($P276,Allocators!$B$7:$F$19,3,FALSE)</f>
        <v>0</v>
      </c>
      <c r="T276" s="737">
        <f t="shared" si="75"/>
        <v>1</v>
      </c>
      <c r="U276" s="2" t="str">
        <f t="shared" si="83"/>
        <v/>
      </c>
      <c r="V276" s="2" t="str">
        <f t="shared" si="84"/>
        <v/>
      </c>
      <c r="W276" s="2" t="str">
        <f t="shared" si="85"/>
        <v/>
      </c>
      <c r="X276" s="2">
        <f t="shared" si="81"/>
        <v>0</v>
      </c>
      <c r="Y276" s="2" t="str">
        <f t="shared" si="86"/>
        <v/>
      </c>
      <c r="Z276" s="2" t="str">
        <f t="shared" si="87"/>
        <v/>
      </c>
      <c r="AA276" s="2" t="str">
        <f t="shared" si="88"/>
        <v/>
      </c>
      <c r="AB276" s="2">
        <f t="shared" si="82"/>
        <v>0</v>
      </c>
      <c r="AC276" s="759">
        <v>0</v>
      </c>
      <c r="AD276" s="741">
        <v>0</v>
      </c>
      <c r="AE276" s="741">
        <v>0</v>
      </c>
      <c r="AF276" s="741">
        <v>0</v>
      </c>
      <c r="AG276" s="741">
        <v>0</v>
      </c>
      <c r="AH276" s="741">
        <v>0</v>
      </c>
      <c r="AI276" s="741">
        <v>0</v>
      </c>
      <c r="AJ276" s="741">
        <v>0</v>
      </c>
      <c r="AK276" s="741">
        <v>0</v>
      </c>
      <c r="AL276" s="741">
        <v>0</v>
      </c>
      <c r="AM276" s="741">
        <v>0</v>
      </c>
      <c r="AN276" s="741">
        <v>0</v>
      </c>
      <c r="AO276" s="741">
        <v>0</v>
      </c>
      <c r="AP276" s="41" t="str">
        <f t="shared" si="78"/>
        <v>GLS</v>
      </c>
      <c r="AQ276" s="41" t="str">
        <f t="shared" si="79"/>
        <v>GLSS0</v>
      </c>
      <c r="AR276" s="41" t="str">
        <f t="shared" si="80"/>
        <v>S0</v>
      </c>
    </row>
    <row r="277" spans="1:44" s="41" customFormat="1" ht="12.75" customHeight="1">
      <c r="A277" s="25" t="s">
        <v>17</v>
      </c>
      <c r="B277" s="25" t="str">
        <f t="shared" si="90"/>
        <v>GL182510</v>
      </c>
      <c r="C277" s="638">
        <v>182510</v>
      </c>
      <c r="D277" s="735"/>
      <c r="F277" s="1" t="s">
        <v>273</v>
      </c>
      <c r="H277" s="736">
        <v>0</v>
      </c>
      <c r="I277" s="25"/>
      <c r="J277" s="25"/>
      <c r="K277" s="442" t="str">
        <f t="shared" si="89"/>
        <v/>
      </c>
      <c r="L277" s="736" t="s">
        <v>2464</v>
      </c>
      <c r="M277" s="25" t="str">
        <f t="shared" si="91"/>
        <v>S</v>
      </c>
      <c r="N277" s="25" t="str">
        <f>IF(L277&lt;&gt;"",VLOOKUP(L277,Categories!$B$2:$D$41,2,FALSE),IF(F277&lt;&gt;"","No Cat",""))</f>
        <v>A&amp;S Sch</v>
      </c>
      <c r="O277" s="25" t="str">
        <f>IF($L277&lt;&gt;"",VLOOKUP($L277,Categories!$B$2:$D$41,3,FALSE),IF($F277&lt;&gt;"","No Cat",""))</f>
        <v>Reg Asset &amp; Liabilities</v>
      </c>
      <c r="P277" s="736" t="s">
        <v>2468</v>
      </c>
      <c r="Q277" s="25" t="str">
        <f>VLOOKUP($P277,Allocators!$B$7:$F$19,5,FALSE)</f>
        <v>Not in Rate Base</v>
      </c>
      <c r="R277" s="737">
        <f>VLOOKUP($P277,Allocators!$B$7:$F$19,2,FALSE)</f>
        <v>0</v>
      </c>
      <c r="S277" s="737">
        <f>VLOOKUP($P277,Allocators!$B$7:$F$19,3,FALSE)</f>
        <v>0</v>
      </c>
      <c r="T277" s="737">
        <f t="shared" si="75"/>
        <v>1</v>
      </c>
      <c r="U277" s="2" t="str">
        <f t="shared" si="83"/>
        <v/>
      </c>
      <c r="V277" s="2" t="str">
        <f t="shared" si="84"/>
        <v/>
      </c>
      <c r="W277" s="2" t="str">
        <f t="shared" si="85"/>
        <v/>
      </c>
      <c r="X277" s="2">
        <f t="shared" si="81"/>
        <v>0</v>
      </c>
      <c r="Y277" s="2" t="str">
        <f t="shared" si="86"/>
        <v/>
      </c>
      <c r="Z277" s="2" t="str">
        <f t="shared" si="87"/>
        <v/>
      </c>
      <c r="AA277" s="2" t="str">
        <f t="shared" si="88"/>
        <v/>
      </c>
      <c r="AB277" s="2">
        <f t="shared" si="82"/>
        <v>0</v>
      </c>
      <c r="AC277" s="759">
        <v>0</v>
      </c>
      <c r="AD277" s="741">
        <v>0</v>
      </c>
      <c r="AE277" s="741">
        <v>0</v>
      </c>
      <c r="AF277" s="741">
        <v>0</v>
      </c>
      <c r="AG277" s="741">
        <v>0</v>
      </c>
      <c r="AH277" s="741">
        <v>0</v>
      </c>
      <c r="AI277" s="741">
        <v>0</v>
      </c>
      <c r="AJ277" s="741">
        <v>0</v>
      </c>
      <c r="AK277" s="741">
        <v>0</v>
      </c>
      <c r="AL277" s="741">
        <v>0</v>
      </c>
      <c r="AM277" s="741">
        <v>0</v>
      </c>
      <c r="AN277" s="741">
        <v>0</v>
      </c>
      <c r="AO277" s="741">
        <v>0</v>
      </c>
      <c r="AP277" s="41" t="str">
        <f t="shared" si="78"/>
        <v>GLS</v>
      </c>
      <c r="AQ277" s="41" t="str">
        <f t="shared" si="79"/>
        <v>GLSS0</v>
      </c>
      <c r="AR277" s="41" t="str">
        <f t="shared" si="80"/>
        <v>S0</v>
      </c>
    </row>
    <row r="278" spans="1:44" s="41" customFormat="1" ht="12.75" customHeight="1">
      <c r="A278" s="25" t="s">
        <v>17</v>
      </c>
      <c r="B278" s="25" t="str">
        <f t="shared" si="90"/>
        <v>GL182511</v>
      </c>
      <c r="C278" s="638">
        <v>182511</v>
      </c>
      <c r="D278" s="735"/>
      <c r="F278" s="1" t="s">
        <v>274</v>
      </c>
      <c r="H278" s="736">
        <v>0</v>
      </c>
      <c r="I278" s="25"/>
      <c r="J278" s="25"/>
      <c r="K278" s="442" t="str">
        <f t="shared" si="89"/>
        <v/>
      </c>
      <c r="L278" s="736" t="s">
        <v>2464</v>
      </c>
      <c r="M278" s="25" t="str">
        <f t="shared" si="91"/>
        <v>S</v>
      </c>
      <c r="N278" s="25" t="str">
        <f>IF(L278&lt;&gt;"",VLOOKUP(L278,Categories!$B$2:$D$41,2,FALSE),IF(F278&lt;&gt;"","No Cat",""))</f>
        <v>A&amp;S Sch</v>
      </c>
      <c r="O278" s="25" t="str">
        <f>IF($L278&lt;&gt;"",VLOOKUP($L278,Categories!$B$2:$D$41,3,FALSE),IF($F278&lt;&gt;"","No Cat",""))</f>
        <v>Reg Asset &amp; Liabilities</v>
      </c>
      <c r="P278" s="736" t="s">
        <v>2468</v>
      </c>
      <c r="Q278" s="25" t="str">
        <f>VLOOKUP($P278,Allocators!$B$7:$F$19,5,FALSE)</f>
        <v>Not in Rate Base</v>
      </c>
      <c r="R278" s="737">
        <f>VLOOKUP($P278,Allocators!$B$7:$F$19,2,FALSE)</f>
        <v>0</v>
      </c>
      <c r="S278" s="737">
        <f>VLOOKUP($P278,Allocators!$B$7:$F$19,3,FALSE)</f>
        <v>0</v>
      </c>
      <c r="T278" s="737">
        <f t="shared" si="75"/>
        <v>1</v>
      </c>
      <c r="U278" s="2" t="str">
        <f t="shared" si="83"/>
        <v/>
      </c>
      <c r="V278" s="2" t="str">
        <f t="shared" si="84"/>
        <v/>
      </c>
      <c r="W278" s="2" t="str">
        <f t="shared" si="85"/>
        <v/>
      </c>
      <c r="X278" s="2">
        <f t="shared" si="81"/>
        <v>0</v>
      </c>
      <c r="Y278" s="2" t="str">
        <f t="shared" si="86"/>
        <v/>
      </c>
      <c r="Z278" s="2" t="str">
        <f t="shared" si="87"/>
        <v/>
      </c>
      <c r="AA278" s="2" t="str">
        <f t="shared" si="88"/>
        <v/>
      </c>
      <c r="AB278" s="2">
        <f t="shared" si="82"/>
        <v>0</v>
      </c>
      <c r="AC278" s="759">
        <v>0</v>
      </c>
      <c r="AD278" s="741">
        <v>0</v>
      </c>
      <c r="AE278" s="741">
        <v>0</v>
      </c>
      <c r="AF278" s="741">
        <v>0</v>
      </c>
      <c r="AG278" s="741">
        <v>0</v>
      </c>
      <c r="AH278" s="741">
        <v>0</v>
      </c>
      <c r="AI278" s="741">
        <v>0</v>
      </c>
      <c r="AJ278" s="741">
        <v>0</v>
      </c>
      <c r="AK278" s="741">
        <v>0</v>
      </c>
      <c r="AL278" s="741">
        <v>0</v>
      </c>
      <c r="AM278" s="741">
        <v>0</v>
      </c>
      <c r="AN278" s="741">
        <v>0</v>
      </c>
      <c r="AO278" s="741">
        <v>0</v>
      </c>
      <c r="AP278" s="41" t="str">
        <f t="shared" si="78"/>
        <v>GLS</v>
      </c>
      <c r="AQ278" s="41" t="str">
        <f t="shared" si="79"/>
        <v>GLSS0</v>
      </c>
      <c r="AR278" s="41" t="str">
        <f t="shared" si="80"/>
        <v>S0</v>
      </c>
    </row>
    <row r="279" spans="1:44" s="41" customFormat="1" ht="12.75" customHeight="1">
      <c r="A279" s="25" t="s">
        <v>17</v>
      </c>
      <c r="B279" s="25" t="str">
        <f t="shared" si="90"/>
        <v>GL182520</v>
      </c>
      <c r="C279" s="638">
        <v>182520</v>
      </c>
      <c r="D279" s="735"/>
      <c r="F279" s="1" t="s">
        <v>275</v>
      </c>
      <c r="H279" s="736">
        <v>0</v>
      </c>
      <c r="I279" s="25"/>
      <c r="J279" s="25"/>
      <c r="K279" s="442" t="str">
        <f t="shared" si="89"/>
        <v/>
      </c>
      <c r="L279" s="736" t="s">
        <v>2464</v>
      </c>
      <c r="M279" s="25" t="str">
        <f t="shared" si="91"/>
        <v>S</v>
      </c>
      <c r="N279" s="25" t="str">
        <f>IF(L279&lt;&gt;"",VLOOKUP(L279,Categories!$B$2:$D$41,2,FALSE),IF(F279&lt;&gt;"","No Cat",""))</f>
        <v>A&amp;S Sch</v>
      </c>
      <c r="O279" s="25" t="str">
        <f>IF($L279&lt;&gt;"",VLOOKUP($L279,Categories!$B$2:$D$41,3,FALSE),IF($F279&lt;&gt;"","No Cat",""))</f>
        <v>Reg Asset &amp; Liabilities</v>
      </c>
      <c r="P279" s="736" t="s">
        <v>2468</v>
      </c>
      <c r="Q279" s="25" t="str">
        <f>VLOOKUP($P279,Allocators!$B$7:$F$19,5,FALSE)</f>
        <v>Not in Rate Base</v>
      </c>
      <c r="R279" s="737">
        <f>VLOOKUP($P279,Allocators!$B$7:$F$19,2,FALSE)</f>
        <v>0</v>
      </c>
      <c r="S279" s="737">
        <f>VLOOKUP($P279,Allocators!$B$7:$F$19,3,FALSE)</f>
        <v>0</v>
      </c>
      <c r="T279" s="737">
        <f t="shared" si="75"/>
        <v>1</v>
      </c>
      <c r="U279" s="2" t="str">
        <f t="shared" si="83"/>
        <v/>
      </c>
      <c r="V279" s="2" t="str">
        <f t="shared" si="84"/>
        <v/>
      </c>
      <c r="W279" s="2" t="str">
        <f t="shared" si="85"/>
        <v/>
      </c>
      <c r="X279" s="2">
        <f t="shared" si="81"/>
        <v>0</v>
      </c>
      <c r="Y279" s="2" t="str">
        <f t="shared" si="86"/>
        <v/>
      </c>
      <c r="Z279" s="2" t="str">
        <f t="shared" si="87"/>
        <v/>
      </c>
      <c r="AA279" s="2" t="str">
        <f t="shared" si="88"/>
        <v/>
      </c>
      <c r="AB279" s="2">
        <f t="shared" si="82"/>
        <v>0</v>
      </c>
      <c r="AC279" s="759">
        <v>0</v>
      </c>
      <c r="AD279" s="741">
        <v>0</v>
      </c>
      <c r="AE279" s="741">
        <v>0</v>
      </c>
      <c r="AF279" s="741">
        <v>0</v>
      </c>
      <c r="AG279" s="741">
        <v>0</v>
      </c>
      <c r="AH279" s="741">
        <v>0</v>
      </c>
      <c r="AI279" s="741">
        <v>0</v>
      </c>
      <c r="AJ279" s="741">
        <v>0</v>
      </c>
      <c r="AK279" s="741">
        <v>0</v>
      </c>
      <c r="AL279" s="741">
        <v>0</v>
      </c>
      <c r="AM279" s="741">
        <v>0</v>
      </c>
      <c r="AN279" s="741">
        <v>0</v>
      </c>
      <c r="AO279" s="741">
        <v>0</v>
      </c>
      <c r="AP279" s="41" t="str">
        <f t="shared" si="78"/>
        <v>GLS</v>
      </c>
      <c r="AQ279" s="41" t="str">
        <f t="shared" si="79"/>
        <v>GLSS0</v>
      </c>
      <c r="AR279" s="41" t="str">
        <f t="shared" si="80"/>
        <v>S0</v>
      </c>
    </row>
    <row r="280" spans="1:44" s="41" customFormat="1" ht="12.75" customHeight="1">
      <c r="A280" s="25" t="s">
        <v>17</v>
      </c>
      <c r="B280" s="25" t="str">
        <f t="shared" si="90"/>
        <v>GL182521</v>
      </c>
      <c r="C280" s="638">
        <v>182521</v>
      </c>
      <c r="D280" s="735"/>
      <c r="F280" s="1" t="s">
        <v>276</v>
      </c>
      <c r="H280" s="736">
        <v>0</v>
      </c>
      <c r="I280" s="25"/>
      <c r="J280" s="25"/>
      <c r="K280" s="442" t="str">
        <f t="shared" si="89"/>
        <v/>
      </c>
      <c r="L280" s="736" t="s">
        <v>2464</v>
      </c>
      <c r="M280" s="25" t="str">
        <f t="shared" si="91"/>
        <v>S</v>
      </c>
      <c r="N280" s="25" t="str">
        <f>IF(L280&lt;&gt;"",VLOOKUP(L280,Categories!$B$2:$D$41,2,FALSE),IF(F280&lt;&gt;"","No Cat",""))</f>
        <v>A&amp;S Sch</v>
      </c>
      <c r="O280" s="25" t="str">
        <f>IF($L280&lt;&gt;"",VLOOKUP($L280,Categories!$B$2:$D$41,3,FALSE),IF($F280&lt;&gt;"","No Cat",""))</f>
        <v>Reg Asset &amp; Liabilities</v>
      </c>
      <c r="P280" s="736" t="s">
        <v>2468</v>
      </c>
      <c r="Q280" s="25" t="str">
        <f>VLOOKUP($P280,Allocators!$B$7:$F$19,5,FALSE)</f>
        <v>Not in Rate Base</v>
      </c>
      <c r="R280" s="737">
        <f>VLOOKUP($P280,Allocators!$B$7:$F$19,2,FALSE)</f>
        <v>0</v>
      </c>
      <c r="S280" s="737">
        <f>VLOOKUP($P280,Allocators!$B$7:$F$19,3,FALSE)</f>
        <v>0</v>
      </c>
      <c r="T280" s="737">
        <f t="shared" si="75"/>
        <v>1</v>
      </c>
      <c r="U280" s="2" t="str">
        <f t="shared" si="83"/>
        <v/>
      </c>
      <c r="V280" s="2" t="str">
        <f t="shared" si="84"/>
        <v/>
      </c>
      <c r="W280" s="2" t="str">
        <f t="shared" si="85"/>
        <v/>
      </c>
      <c r="X280" s="2">
        <f t="shared" si="81"/>
        <v>0</v>
      </c>
      <c r="Y280" s="2" t="str">
        <f t="shared" si="86"/>
        <v/>
      </c>
      <c r="Z280" s="2" t="str">
        <f t="shared" si="87"/>
        <v/>
      </c>
      <c r="AA280" s="2" t="str">
        <f t="shared" si="88"/>
        <v/>
      </c>
      <c r="AB280" s="2">
        <f t="shared" si="82"/>
        <v>0</v>
      </c>
      <c r="AC280" s="759">
        <v>0</v>
      </c>
      <c r="AD280" s="741">
        <v>0</v>
      </c>
      <c r="AE280" s="741">
        <v>0</v>
      </c>
      <c r="AF280" s="741">
        <v>0</v>
      </c>
      <c r="AG280" s="741">
        <v>0</v>
      </c>
      <c r="AH280" s="741">
        <v>0</v>
      </c>
      <c r="AI280" s="741">
        <v>0</v>
      </c>
      <c r="AJ280" s="741">
        <v>0</v>
      </c>
      <c r="AK280" s="741">
        <v>0</v>
      </c>
      <c r="AL280" s="741">
        <v>0</v>
      </c>
      <c r="AM280" s="741">
        <v>0</v>
      </c>
      <c r="AN280" s="741">
        <v>0</v>
      </c>
      <c r="AO280" s="741">
        <v>0</v>
      </c>
      <c r="AP280" s="41" t="str">
        <f t="shared" si="78"/>
        <v>GLS</v>
      </c>
      <c r="AQ280" s="41" t="str">
        <f t="shared" si="79"/>
        <v>GLSS0</v>
      </c>
      <c r="AR280" s="41" t="str">
        <f t="shared" si="80"/>
        <v>S0</v>
      </c>
    </row>
    <row r="281" spans="1:44" s="41" customFormat="1" ht="12.75" customHeight="1">
      <c r="A281" s="25" t="s">
        <v>17</v>
      </c>
      <c r="B281" s="25" t="str">
        <f t="shared" si="90"/>
        <v>GL182522</v>
      </c>
      <c r="C281" s="638">
        <v>182522</v>
      </c>
      <c r="D281" s="735"/>
      <c r="F281" s="1" t="s">
        <v>277</v>
      </c>
      <c r="H281" s="736">
        <v>0</v>
      </c>
      <c r="I281" s="25"/>
      <c r="J281" s="25"/>
      <c r="K281" s="442" t="str">
        <f t="shared" si="89"/>
        <v/>
      </c>
      <c r="L281" s="736" t="s">
        <v>2464</v>
      </c>
      <c r="M281" s="25" t="str">
        <f t="shared" si="91"/>
        <v>S</v>
      </c>
      <c r="N281" s="25" t="str">
        <f>IF(L281&lt;&gt;"",VLOOKUP(L281,Categories!$B$2:$D$41,2,FALSE),IF(F281&lt;&gt;"","No Cat",""))</f>
        <v>A&amp;S Sch</v>
      </c>
      <c r="O281" s="25" t="str">
        <f>IF($L281&lt;&gt;"",VLOOKUP($L281,Categories!$B$2:$D$41,3,FALSE),IF($F281&lt;&gt;"","No Cat",""))</f>
        <v>Reg Asset &amp; Liabilities</v>
      </c>
      <c r="P281" s="736" t="s">
        <v>2468</v>
      </c>
      <c r="Q281" s="25" t="str">
        <f>VLOOKUP($P281,Allocators!$B$7:$F$19,5,FALSE)</f>
        <v>Not in Rate Base</v>
      </c>
      <c r="R281" s="737">
        <f>VLOOKUP($P281,Allocators!$B$7:$F$19,2,FALSE)</f>
        <v>0</v>
      </c>
      <c r="S281" s="737">
        <f>VLOOKUP($P281,Allocators!$B$7:$F$19,3,FALSE)</f>
        <v>0</v>
      </c>
      <c r="T281" s="737">
        <f t="shared" ref="T281:T345" si="92">IF(P281="N",1,"0.0%")</f>
        <v>1</v>
      </c>
      <c r="U281" s="2" t="str">
        <f t="shared" si="83"/>
        <v/>
      </c>
      <c r="V281" s="2" t="str">
        <f t="shared" si="84"/>
        <v/>
      </c>
      <c r="W281" s="2" t="str">
        <f t="shared" si="85"/>
        <v/>
      </c>
      <c r="X281" s="2">
        <f t="shared" si="81"/>
        <v>0</v>
      </c>
      <c r="Y281" s="2" t="str">
        <f t="shared" si="86"/>
        <v/>
      </c>
      <c r="Z281" s="2" t="str">
        <f t="shared" si="87"/>
        <v/>
      </c>
      <c r="AA281" s="2" t="str">
        <f t="shared" si="88"/>
        <v/>
      </c>
      <c r="AB281" s="2">
        <f t="shared" si="82"/>
        <v>0</v>
      </c>
      <c r="AC281" s="759">
        <v>0</v>
      </c>
      <c r="AD281" s="741">
        <v>0</v>
      </c>
      <c r="AE281" s="741">
        <v>0</v>
      </c>
      <c r="AF281" s="741">
        <v>0</v>
      </c>
      <c r="AG281" s="741">
        <v>0</v>
      </c>
      <c r="AH281" s="741">
        <v>0</v>
      </c>
      <c r="AI281" s="741">
        <v>0</v>
      </c>
      <c r="AJ281" s="741">
        <v>0</v>
      </c>
      <c r="AK281" s="741">
        <v>0</v>
      </c>
      <c r="AL281" s="741">
        <v>0</v>
      </c>
      <c r="AM281" s="741">
        <v>0</v>
      </c>
      <c r="AN281" s="741">
        <v>0</v>
      </c>
      <c r="AO281" s="741">
        <v>0</v>
      </c>
      <c r="AP281" s="41" t="str">
        <f t="shared" si="78"/>
        <v>GLS</v>
      </c>
      <c r="AQ281" s="41" t="str">
        <f t="shared" si="79"/>
        <v>GLSS0</v>
      </c>
      <c r="AR281" s="41" t="str">
        <f t="shared" si="80"/>
        <v>S0</v>
      </c>
    </row>
    <row r="282" spans="1:44" s="41" customFormat="1" ht="12.75" customHeight="1">
      <c r="A282" s="25" t="s">
        <v>17</v>
      </c>
      <c r="B282" s="25" t="str">
        <f t="shared" si="90"/>
        <v>GL182523</v>
      </c>
      <c r="C282" s="638">
        <v>182523</v>
      </c>
      <c r="D282" s="735"/>
      <c r="F282" s="1" t="s">
        <v>278</v>
      </c>
      <c r="H282" s="736">
        <v>0</v>
      </c>
      <c r="I282" s="25"/>
      <c r="J282" s="25"/>
      <c r="K282" s="442" t="str">
        <f t="shared" si="89"/>
        <v/>
      </c>
      <c r="L282" s="736" t="s">
        <v>2464</v>
      </c>
      <c r="M282" s="25" t="str">
        <f t="shared" si="91"/>
        <v>S</v>
      </c>
      <c r="N282" s="25" t="str">
        <f>IF(L282&lt;&gt;"",VLOOKUP(L282,Categories!$B$2:$D$41,2,FALSE),IF(F282&lt;&gt;"","No Cat",""))</f>
        <v>A&amp;S Sch</v>
      </c>
      <c r="O282" s="25" t="str">
        <f>IF($L282&lt;&gt;"",VLOOKUP($L282,Categories!$B$2:$D$41,3,FALSE),IF($F282&lt;&gt;"","No Cat",""))</f>
        <v>Reg Asset &amp; Liabilities</v>
      </c>
      <c r="P282" s="736" t="s">
        <v>2468</v>
      </c>
      <c r="Q282" s="25" t="str">
        <f>VLOOKUP($P282,Allocators!$B$7:$F$19,5,FALSE)</f>
        <v>Not in Rate Base</v>
      </c>
      <c r="R282" s="737">
        <f>VLOOKUP($P282,Allocators!$B$7:$F$19,2,FALSE)</f>
        <v>0</v>
      </c>
      <c r="S282" s="737">
        <f>VLOOKUP($P282,Allocators!$B$7:$F$19,3,FALSE)</f>
        <v>0</v>
      </c>
      <c r="T282" s="737">
        <f t="shared" si="92"/>
        <v>1</v>
      </c>
      <c r="U282" s="2" t="str">
        <f t="shared" si="83"/>
        <v/>
      </c>
      <c r="V282" s="2" t="str">
        <f t="shared" si="84"/>
        <v/>
      </c>
      <c r="W282" s="2" t="str">
        <f t="shared" si="85"/>
        <v/>
      </c>
      <c r="X282" s="2">
        <f t="shared" si="81"/>
        <v>0</v>
      </c>
      <c r="Y282" s="2" t="str">
        <f t="shared" si="86"/>
        <v/>
      </c>
      <c r="Z282" s="2" t="str">
        <f t="shared" si="87"/>
        <v/>
      </c>
      <c r="AA282" s="2" t="str">
        <f t="shared" si="88"/>
        <v/>
      </c>
      <c r="AB282" s="2">
        <f t="shared" si="82"/>
        <v>0</v>
      </c>
      <c r="AC282" s="759">
        <v>0</v>
      </c>
      <c r="AD282" s="741">
        <v>0</v>
      </c>
      <c r="AE282" s="741">
        <v>0</v>
      </c>
      <c r="AF282" s="741">
        <v>0</v>
      </c>
      <c r="AG282" s="741">
        <v>0</v>
      </c>
      <c r="AH282" s="741">
        <v>0</v>
      </c>
      <c r="AI282" s="741">
        <v>0</v>
      </c>
      <c r="AJ282" s="741">
        <v>0</v>
      </c>
      <c r="AK282" s="741">
        <v>0</v>
      </c>
      <c r="AL282" s="741">
        <v>0</v>
      </c>
      <c r="AM282" s="741">
        <v>0</v>
      </c>
      <c r="AN282" s="741">
        <v>0</v>
      </c>
      <c r="AO282" s="741">
        <v>0</v>
      </c>
      <c r="AP282" s="41" t="str">
        <f t="shared" si="78"/>
        <v>GLS</v>
      </c>
      <c r="AQ282" s="41" t="str">
        <f t="shared" si="79"/>
        <v>GLSS0</v>
      </c>
      <c r="AR282" s="41" t="str">
        <f t="shared" si="80"/>
        <v>S0</v>
      </c>
    </row>
    <row r="283" spans="1:44" s="41" customFormat="1" ht="12.75" customHeight="1">
      <c r="A283" s="25" t="s">
        <v>17</v>
      </c>
      <c r="B283" s="25" t="str">
        <f t="shared" si="90"/>
        <v>GL182530</v>
      </c>
      <c r="C283" s="638">
        <v>182530</v>
      </c>
      <c r="D283" s="735"/>
      <c r="F283" s="1" t="s">
        <v>262</v>
      </c>
      <c r="H283" s="736">
        <v>0</v>
      </c>
      <c r="I283" s="25"/>
      <c r="J283" s="25"/>
      <c r="K283" s="442" t="str">
        <f t="shared" si="89"/>
        <v/>
      </c>
      <c r="L283" s="736" t="s">
        <v>2464</v>
      </c>
      <c r="M283" s="25" t="str">
        <f t="shared" si="91"/>
        <v>S</v>
      </c>
      <c r="N283" s="25" t="str">
        <f>IF(L283&lt;&gt;"",VLOOKUP(L283,Categories!$B$2:$D$41,2,FALSE),IF(F283&lt;&gt;"","No Cat",""))</f>
        <v>A&amp;S Sch</v>
      </c>
      <c r="O283" s="25" t="str">
        <f>IF($L283&lt;&gt;"",VLOOKUP($L283,Categories!$B$2:$D$41,3,FALSE),IF($F283&lt;&gt;"","No Cat",""))</f>
        <v>Reg Asset &amp; Liabilities</v>
      </c>
      <c r="P283" s="736" t="s">
        <v>2468</v>
      </c>
      <c r="Q283" s="25" t="str">
        <f>VLOOKUP($P283,Allocators!$B$7:$F$19,5,FALSE)</f>
        <v>Not in Rate Base</v>
      </c>
      <c r="R283" s="737">
        <f>VLOOKUP($P283,Allocators!$B$7:$F$19,2,FALSE)</f>
        <v>0</v>
      </c>
      <c r="S283" s="737">
        <f>VLOOKUP($P283,Allocators!$B$7:$F$19,3,FALSE)</f>
        <v>0</v>
      </c>
      <c r="T283" s="737">
        <f t="shared" si="92"/>
        <v>1</v>
      </c>
      <c r="U283" s="2" t="str">
        <f t="shared" si="83"/>
        <v/>
      </c>
      <c r="V283" s="2" t="str">
        <f t="shared" si="84"/>
        <v/>
      </c>
      <c r="W283" s="2" t="str">
        <f t="shared" si="85"/>
        <v/>
      </c>
      <c r="X283" s="2">
        <f t="shared" si="81"/>
        <v>0</v>
      </c>
      <c r="Y283" s="2" t="str">
        <f t="shared" si="86"/>
        <v/>
      </c>
      <c r="Z283" s="2" t="str">
        <f t="shared" si="87"/>
        <v/>
      </c>
      <c r="AA283" s="2" t="str">
        <f t="shared" si="88"/>
        <v/>
      </c>
      <c r="AB283" s="2">
        <f t="shared" si="82"/>
        <v>0</v>
      </c>
      <c r="AC283" s="759">
        <v>0</v>
      </c>
      <c r="AD283" s="741">
        <v>0</v>
      </c>
      <c r="AE283" s="741">
        <v>0</v>
      </c>
      <c r="AF283" s="741">
        <v>0</v>
      </c>
      <c r="AG283" s="741">
        <v>0</v>
      </c>
      <c r="AH283" s="741">
        <v>0</v>
      </c>
      <c r="AI283" s="741">
        <v>0</v>
      </c>
      <c r="AJ283" s="741">
        <v>0</v>
      </c>
      <c r="AK283" s="741">
        <v>0</v>
      </c>
      <c r="AL283" s="741">
        <v>0</v>
      </c>
      <c r="AM283" s="741">
        <v>0</v>
      </c>
      <c r="AN283" s="741">
        <v>0</v>
      </c>
      <c r="AO283" s="741">
        <v>0</v>
      </c>
      <c r="AP283" s="41" t="str">
        <f t="shared" si="78"/>
        <v>GLS</v>
      </c>
      <c r="AQ283" s="41" t="str">
        <f t="shared" si="79"/>
        <v>GLSS0</v>
      </c>
      <c r="AR283" s="41" t="str">
        <f t="shared" si="80"/>
        <v>S0</v>
      </c>
    </row>
    <row r="284" spans="1:44" s="41" customFormat="1" ht="12.75" customHeight="1">
      <c r="A284" s="25" t="s">
        <v>17</v>
      </c>
      <c r="B284" s="25" t="str">
        <f t="shared" si="90"/>
        <v>GL182531</v>
      </c>
      <c r="C284" s="638">
        <v>182531</v>
      </c>
      <c r="D284" s="735"/>
      <c r="F284" s="1" t="s">
        <v>263</v>
      </c>
      <c r="H284" s="736">
        <v>0</v>
      </c>
      <c r="I284" s="25"/>
      <c r="J284" s="25"/>
      <c r="K284" s="442" t="str">
        <f t="shared" si="89"/>
        <v/>
      </c>
      <c r="L284" s="736" t="s">
        <v>2464</v>
      </c>
      <c r="M284" s="25" t="str">
        <f t="shared" si="91"/>
        <v>S</v>
      </c>
      <c r="N284" s="25" t="str">
        <f>IF(L284&lt;&gt;"",VLOOKUP(L284,Categories!$B$2:$D$41,2,FALSE),IF(F284&lt;&gt;"","No Cat",""))</f>
        <v>A&amp;S Sch</v>
      </c>
      <c r="O284" s="25" t="str">
        <f>IF($L284&lt;&gt;"",VLOOKUP($L284,Categories!$B$2:$D$41,3,FALSE),IF($F284&lt;&gt;"","No Cat",""))</f>
        <v>Reg Asset &amp; Liabilities</v>
      </c>
      <c r="P284" s="736" t="s">
        <v>2468</v>
      </c>
      <c r="Q284" s="25" t="str">
        <f>VLOOKUP($P284,Allocators!$B$7:$F$19,5,FALSE)</f>
        <v>Not in Rate Base</v>
      </c>
      <c r="R284" s="737">
        <f>VLOOKUP($P284,Allocators!$B$7:$F$19,2,FALSE)</f>
        <v>0</v>
      </c>
      <c r="S284" s="737">
        <f>VLOOKUP($P284,Allocators!$B$7:$F$19,3,FALSE)</f>
        <v>0</v>
      </c>
      <c r="T284" s="737">
        <f t="shared" si="92"/>
        <v>1</v>
      </c>
      <c r="U284" s="2" t="str">
        <f t="shared" si="83"/>
        <v/>
      </c>
      <c r="V284" s="2" t="str">
        <f t="shared" si="84"/>
        <v/>
      </c>
      <c r="W284" s="2" t="str">
        <f t="shared" si="85"/>
        <v/>
      </c>
      <c r="X284" s="2">
        <f t="shared" si="81"/>
        <v>0</v>
      </c>
      <c r="Y284" s="2" t="str">
        <f t="shared" si="86"/>
        <v/>
      </c>
      <c r="Z284" s="2" t="str">
        <f t="shared" si="87"/>
        <v/>
      </c>
      <c r="AA284" s="2" t="str">
        <f t="shared" si="88"/>
        <v/>
      </c>
      <c r="AB284" s="2">
        <f t="shared" si="82"/>
        <v>0</v>
      </c>
      <c r="AC284" s="759">
        <v>0</v>
      </c>
      <c r="AD284" s="741">
        <v>0</v>
      </c>
      <c r="AE284" s="741">
        <v>0</v>
      </c>
      <c r="AF284" s="741">
        <v>0</v>
      </c>
      <c r="AG284" s="741">
        <v>0</v>
      </c>
      <c r="AH284" s="741">
        <v>0</v>
      </c>
      <c r="AI284" s="741">
        <v>0</v>
      </c>
      <c r="AJ284" s="741">
        <v>0</v>
      </c>
      <c r="AK284" s="741">
        <v>0</v>
      </c>
      <c r="AL284" s="741">
        <v>0</v>
      </c>
      <c r="AM284" s="741">
        <v>0</v>
      </c>
      <c r="AN284" s="741">
        <v>0</v>
      </c>
      <c r="AO284" s="741">
        <v>0</v>
      </c>
      <c r="AP284" s="41" t="str">
        <f t="shared" si="78"/>
        <v>GLS</v>
      </c>
      <c r="AQ284" s="41" t="str">
        <f t="shared" si="79"/>
        <v>GLSS0</v>
      </c>
      <c r="AR284" s="41" t="str">
        <f t="shared" si="80"/>
        <v>S0</v>
      </c>
    </row>
    <row r="285" spans="1:44" s="41" customFormat="1" ht="12.75" customHeight="1">
      <c r="A285" s="25" t="s">
        <v>17</v>
      </c>
      <c r="B285" s="25" t="str">
        <f t="shared" si="90"/>
        <v>GL182550</v>
      </c>
      <c r="C285" s="638">
        <v>182550</v>
      </c>
      <c r="D285" s="735"/>
      <c r="F285" s="1" t="s">
        <v>279</v>
      </c>
      <c r="H285" s="736">
        <v>0</v>
      </c>
      <c r="I285" s="25"/>
      <c r="J285" s="25"/>
      <c r="K285" s="442" t="str">
        <f t="shared" si="89"/>
        <v/>
      </c>
      <c r="L285" s="736" t="s">
        <v>2464</v>
      </c>
      <c r="M285" s="25" t="str">
        <f t="shared" si="91"/>
        <v>S</v>
      </c>
      <c r="N285" s="25" t="str">
        <f>IF(L285&lt;&gt;"",VLOOKUP(L285,Categories!$B$2:$D$41,2,FALSE),IF(F285&lt;&gt;"","No Cat",""))</f>
        <v>A&amp;S Sch</v>
      </c>
      <c r="O285" s="25" t="str">
        <f>IF($L285&lt;&gt;"",VLOOKUP($L285,Categories!$B$2:$D$41,3,FALSE),IF($F285&lt;&gt;"","No Cat",""))</f>
        <v>Reg Asset &amp; Liabilities</v>
      </c>
      <c r="P285" s="736" t="s">
        <v>2468</v>
      </c>
      <c r="Q285" s="25" t="str">
        <f>VLOOKUP($P285,Allocators!$B$7:$F$19,5,FALSE)</f>
        <v>Not in Rate Base</v>
      </c>
      <c r="R285" s="737">
        <f>VLOOKUP($P285,Allocators!$B$7:$F$19,2,FALSE)</f>
        <v>0</v>
      </c>
      <c r="S285" s="737">
        <f>VLOOKUP($P285,Allocators!$B$7:$F$19,3,FALSE)</f>
        <v>0</v>
      </c>
      <c r="T285" s="737">
        <f t="shared" si="92"/>
        <v>1</v>
      </c>
      <c r="U285" s="2" t="str">
        <f t="shared" si="83"/>
        <v/>
      </c>
      <c r="V285" s="2" t="str">
        <f t="shared" si="84"/>
        <v/>
      </c>
      <c r="W285" s="2" t="str">
        <f t="shared" si="85"/>
        <v/>
      </c>
      <c r="X285" s="2">
        <f t="shared" si="81"/>
        <v>0</v>
      </c>
      <c r="Y285" s="2" t="str">
        <f t="shared" si="86"/>
        <v/>
      </c>
      <c r="Z285" s="2" t="str">
        <f t="shared" si="87"/>
        <v/>
      </c>
      <c r="AA285" s="2" t="str">
        <f t="shared" si="88"/>
        <v/>
      </c>
      <c r="AB285" s="2">
        <f t="shared" si="82"/>
        <v>0</v>
      </c>
      <c r="AC285" s="759">
        <v>0</v>
      </c>
      <c r="AD285" s="741">
        <v>0</v>
      </c>
      <c r="AE285" s="741">
        <v>0</v>
      </c>
      <c r="AF285" s="741">
        <v>0</v>
      </c>
      <c r="AG285" s="741">
        <v>0</v>
      </c>
      <c r="AH285" s="741">
        <v>0</v>
      </c>
      <c r="AI285" s="741">
        <v>0</v>
      </c>
      <c r="AJ285" s="741">
        <v>0</v>
      </c>
      <c r="AK285" s="741">
        <v>0</v>
      </c>
      <c r="AL285" s="741">
        <v>0</v>
      </c>
      <c r="AM285" s="741">
        <v>0</v>
      </c>
      <c r="AN285" s="741">
        <v>0</v>
      </c>
      <c r="AO285" s="741">
        <v>0</v>
      </c>
      <c r="AP285" s="41" t="str">
        <f t="shared" si="78"/>
        <v>GLS</v>
      </c>
      <c r="AQ285" s="41" t="str">
        <f t="shared" si="79"/>
        <v>GLSS0</v>
      </c>
      <c r="AR285" s="41" t="str">
        <f t="shared" si="80"/>
        <v>S0</v>
      </c>
    </row>
    <row r="286" spans="1:44" s="41" customFormat="1" ht="12.75" customHeight="1">
      <c r="A286" s="25" t="s">
        <v>17</v>
      </c>
      <c r="B286" s="25" t="str">
        <f t="shared" si="90"/>
        <v>GL182560</v>
      </c>
      <c r="C286" s="638">
        <v>182560</v>
      </c>
      <c r="D286" s="735"/>
      <c r="F286" s="1" t="s">
        <v>280</v>
      </c>
      <c r="H286" s="736">
        <v>0</v>
      </c>
      <c r="I286" s="25"/>
      <c r="J286" s="25"/>
      <c r="K286" s="442" t="str">
        <f t="shared" si="89"/>
        <v/>
      </c>
      <c r="L286" s="736" t="s">
        <v>2464</v>
      </c>
      <c r="M286" s="25" t="str">
        <f t="shared" si="91"/>
        <v>S</v>
      </c>
      <c r="N286" s="25" t="str">
        <f>IF(L286&lt;&gt;"",VLOOKUP(L286,Categories!$B$2:$D$41,2,FALSE),IF(F286&lt;&gt;"","No Cat",""))</f>
        <v>A&amp;S Sch</v>
      </c>
      <c r="O286" s="25" t="str">
        <f>IF($L286&lt;&gt;"",VLOOKUP($L286,Categories!$B$2:$D$41,3,FALSE),IF($F286&lt;&gt;"","No Cat",""))</f>
        <v>Reg Asset &amp; Liabilities</v>
      </c>
      <c r="P286" s="736" t="s">
        <v>2468</v>
      </c>
      <c r="Q286" s="25" t="str">
        <f>VLOOKUP($P286,Allocators!$B$7:$F$19,5,FALSE)</f>
        <v>Not in Rate Base</v>
      </c>
      <c r="R286" s="737">
        <f>VLOOKUP($P286,Allocators!$B$7:$F$19,2,FALSE)</f>
        <v>0</v>
      </c>
      <c r="S286" s="737">
        <f>VLOOKUP($P286,Allocators!$B$7:$F$19,3,FALSE)</f>
        <v>0</v>
      </c>
      <c r="T286" s="737">
        <f t="shared" si="92"/>
        <v>1</v>
      </c>
      <c r="U286" s="2" t="str">
        <f t="shared" si="83"/>
        <v/>
      </c>
      <c r="V286" s="2" t="str">
        <f t="shared" si="84"/>
        <v/>
      </c>
      <c r="W286" s="2" t="str">
        <f t="shared" si="85"/>
        <v/>
      </c>
      <c r="X286" s="2">
        <f t="shared" si="81"/>
        <v>0</v>
      </c>
      <c r="Y286" s="2" t="str">
        <f t="shared" si="86"/>
        <v/>
      </c>
      <c r="Z286" s="2" t="str">
        <f t="shared" si="87"/>
        <v/>
      </c>
      <c r="AA286" s="2" t="str">
        <f t="shared" si="88"/>
        <v/>
      </c>
      <c r="AB286" s="2">
        <f t="shared" si="82"/>
        <v>0</v>
      </c>
      <c r="AC286" s="759">
        <v>0</v>
      </c>
      <c r="AD286" s="741">
        <v>0</v>
      </c>
      <c r="AE286" s="741">
        <v>0</v>
      </c>
      <c r="AF286" s="741">
        <v>0</v>
      </c>
      <c r="AG286" s="741">
        <v>0</v>
      </c>
      <c r="AH286" s="741">
        <v>0</v>
      </c>
      <c r="AI286" s="741">
        <v>0</v>
      </c>
      <c r="AJ286" s="741">
        <v>0</v>
      </c>
      <c r="AK286" s="741">
        <v>0</v>
      </c>
      <c r="AL286" s="741">
        <v>0</v>
      </c>
      <c r="AM286" s="741">
        <v>0</v>
      </c>
      <c r="AN286" s="741">
        <v>0</v>
      </c>
      <c r="AO286" s="741">
        <v>0</v>
      </c>
      <c r="AP286" s="41" t="str">
        <f t="shared" si="78"/>
        <v>GLS</v>
      </c>
      <c r="AQ286" s="41" t="str">
        <f t="shared" si="79"/>
        <v>GLSS0</v>
      </c>
      <c r="AR286" s="41" t="str">
        <f t="shared" si="80"/>
        <v>S0</v>
      </c>
    </row>
    <row r="287" spans="1:44" s="41" customFormat="1" ht="12.75" customHeight="1">
      <c r="A287" s="25" t="s">
        <v>17</v>
      </c>
      <c r="B287" s="25" t="str">
        <f t="shared" si="90"/>
        <v>GL182570</v>
      </c>
      <c r="C287" s="638">
        <v>182570</v>
      </c>
      <c r="D287" s="735"/>
      <c r="F287" s="1" t="s">
        <v>281</v>
      </c>
      <c r="H287" s="736">
        <v>0</v>
      </c>
      <c r="I287" s="25"/>
      <c r="J287" s="25"/>
      <c r="K287" s="442" t="str">
        <f t="shared" si="89"/>
        <v/>
      </c>
      <c r="L287" s="736" t="s">
        <v>2464</v>
      </c>
      <c r="M287" s="25" t="str">
        <f t="shared" si="91"/>
        <v>S</v>
      </c>
      <c r="N287" s="25" t="str">
        <f>IF(L287&lt;&gt;"",VLOOKUP(L287,Categories!$B$2:$D$41,2,FALSE),IF(F287&lt;&gt;"","No Cat",""))</f>
        <v>A&amp;S Sch</v>
      </c>
      <c r="O287" s="25" t="str">
        <f>IF($L287&lt;&gt;"",VLOOKUP($L287,Categories!$B$2:$D$41,3,FALSE),IF($F287&lt;&gt;"","No Cat",""))</f>
        <v>Reg Asset &amp; Liabilities</v>
      </c>
      <c r="P287" s="736" t="s">
        <v>2468</v>
      </c>
      <c r="Q287" s="25" t="str">
        <f>VLOOKUP($P287,Allocators!$B$7:$F$19,5,FALSE)</f>
        <v>Not in Rate Base</v>
      </c>
      <c r="R287" s="737">
        <f>VLOOKUP($P287,Allocators!$B$7:$F$19,2,FALSE)</f>
        <v>0</v>
      </c>
      <c r="S287" s="737">
        <f>VLOOKUP($P287,Allocators!$B$7:$F$19,3,FALSE)</f>
        <v>0</v>
      </c>
      <c r="T287" s="737">
        <f t="shared" si="92"/>
        <v>1</v>
      </c>
      <c r="U287" s="2" t="str">
        <f t="shared" si="83"/>
        <v/>
      </c>
      <c r="V287" s="2" t="str">
        <f t="shared" si="84"/>
        <v/>
      </c>
      <c r="W287" s="2" t="str">
        <f t="shared" si="85"/>
        <v/>
      </c>
      <c r="X287" s="2">
        <f t="shared" si="81"/>
        <v>0</v>
      </c>
      <c r="Y287" s="2" t="str">
        <f t="shared" si="86"/>
        <v/>
      </c>
      <c r="Z287" s="2" t="str">
        <f t="shared" si="87"/>
        <v/>
      </c>
      <c r="AA287" s="2" t="str">
        <f t="shared" si="88"/>
        <v/>
      </c>
      <c r="AB287" s="2">
        <f t="shared" si="82"/>
        <v>0</v>
      </c>
      <c r="AC287" s="759">
        <v>0</v>
      </c>
      <c r="AD287" s="741">
        <v>0</v>
      </c>
      <c r="AE287" s="741">
        <v>0</v>
      </c>
      <c r="AF287" s="741">
        <v>0</v>
      </c>
      <c r="AG287" s="741">
        <v>0</v>
      </c>
      <c r="AH287" s="741">
        <v>0</v>
      </c>
      <c r="AI287" s="741">
        <v>0</v>
      </c>
      <c r="AJ287" s="741">
        <v>0</v>
      </c>
      <c r="AK287" s="741">
        <v>0</v>
      </c>
      <c r="AL287" s="741">
        <v>0</v>
      </c>
      <c r="AM287" s="741">
        <v>0</v>
      </c>
      <c r="AN287" s="741">
        <v>0</v>
      </c>
      <c r="AO287" s="741">
        <v>0</v>
      </c>
      <c r="AP287" s="41" t="str">
        <f t="shared" si="78"/>
        <v>GLS</v>
      </c>
      <c r="AQ287" s="41" t="str">
        <f t="shared" si="79"/>
        <v>GLSS0</v>
      </c>
      <c r="AR287" s="41" t="str">
        <f t="shared" si="80"/>
        <v>S0</v>
      </c>
    </row>
    <row r="288" spans="1:44" s="41" customFormat="1" ht="12.75" customHeight="1">
      <c r="A288" s="25" t="s">
        <v>17</v>
      </c>
      <c r="B288" s="25" t="str">
        <f t="shared" si="90"/>
        <v>GL182590</v>
      </c>
      <c r="C288" s="638">
        <v>182590</v>
      </c>
      <c r="D288" s="735"/>
      <c r="F288" s="1" t="s">
        <v>282</v>
      </c>
      <c r="H288" s="736">
        <v>0</v>
      </c>
      <c r="I288" s="25"/>
      <c r="J288" s="25"/>
      <c r="K288" s="442" t="str">
        <f t="shared" si="89"/>
        <v/>
      </c>
      <c r="L288" s="736" t="s">
        <v>2464</v>
      </c>
      <c r="M288" s="25" t="str">
        <f t="shared" si="91"/>
        <v>S</v>
      </c>
      <c r="N288" s="25" t="str">
        <f>IF(L288&lt;&gt;"",VLOOKUP(L288,Categories!$B$2:$D$41,2,FALSE),IF(F288&lt;&gt;"","No Cat",""))</f>
        <v>A&amp;S Sch</v>
      </c>
      <c r="O288" s="25" t="str">
        <f>IF($L288&lt;&gt;"",VLOOKUP($L288,Categories!$B$2:$D$41,3,FALSE),IF($F288&lt;&gt;"","No Cat",""))</f>
        <v>Reg Asset &amp; Liabilities</v>
      </c>
      <c r="P288" s="736" t="s">
        <v>2468</v>
      </c>
      <c r="Q288" s="25" t="str">
        <f>VLOOKUP($P288,Allocators!$B$7:$F$19,5,FALSE)</f>
        <v>Not in Rate Base</v>
      </c>
      <c r="R288" s="737">
        <f>VLOOKUP($P288,Allocators!$B$7:$F$19,2,FALSE)</f>
        <v>0</v>
      </c>
      <c r="S288" s="737">
        <f>VLOOKUP($P288,Allocators!$B$7:$F$19,3,FALSE)</f>
        <v>0</v>
      </c>
      <c r="T288" s="737">
        <f t="shared" si="92"/>
        <v>1</v>
      </c>
      <c r="U288" s="2" t="str">
        <f t="shared" si="83"/>
        <v/>
      </c>
      <c r="V288" s="2" t="str">
        <f t="shared" si="84"/>
        <v/>
      </c>
      <c r="W288" s="2" t="str">
        <f t="shared" si="85"/>
        <v/>
      </c>
      <c r="X288" s="2">
        <f t="shared" si="81"/>
        <v>0</v>
      </c>
      <c r="Y288" s="2" t="str">
        <f t="shared" si="86"/>
        <v/>
      </c>
      <c r="Z288" s="2" t="str">
        <f t="shared" si="87"/>
        <v/>
      </c>
      <c r="AA288" s="2" t="str">
        <f t="shared" si="88"/>
        <v/>
      </c>
      <c r="AB288" s="2">
        <f t="shared" si="82"/>
        <v>0</v>
      </c>
      <c r="AC288" s="759">
        <v>0</v>
      </c>
      <c r="AD288" s="741">
        <v>0</v>
      </c>
      <c r="AE288" s="741">
        <v>0</v>
      </c>
      <c r="AF288" s="741">
        <v>0</v>
      </c>
      <c r="AG288" s="741">
        <v>0</v>
      </c>
      <c r="AH288" s="741">
        <v>0</v>
      </c>
      <c r="AI288" s="741">
        <v>0</v>
      </c>
      <c r="AJ288" s="741">
        <v>0</v>
      </c>
      <c r="AK288" s="741">
        <v>0</v>
      </c>
      <c r="AL288" s="741">
        <v>0</v>
      </c>
      <c r="AM288" s="741">
        <v>0</v>
      </c>
      <c r="AN288" s="741">
        <v>0</v>
      </c>
      <c r="AO288" s="741">
        <v>0</v>
      </c>
      <c r="AP288" s="41" t="str">
        <f t="shared" si="78"/>
        <v>GLS</v>
      </c>
      <c r="AQ288" s="41" t="str">
        <f t="shared" si="79"/>
        <v>GLSS0</v>
      </c>
      <c r="AR288" s="41" t="str">
        <f t="shared" si="80"/>
        <v>S0</v>
      </c>
    </row>
    <row r="289" spans="1:96" s="41" customFormat="1" ht="12.75" customHeight="1">
      <c r="A289" s="25" t="s">
        <v>17</v>
      </c>
      <c r="B289" s="25" t="str">
        <f t="shared" si="90"/>
        <v>GL182595</v>
      </c>
      <c r="C289" s="638">
        <v>182595</v>
      </c>
      <c r="D289" s="735"/>
      <c r="F289" s="1" t="s">
        <v>283</v>
      </c>
      <c r="H289" s="736">
        <v>0</v>
      </c>
      <c r="I289" s="25"/>
      <c r="J289" s="25"/>
      <c r="K289" s="442" t="str">
        <f t="shared" si="89"/>
        <v/>
      </c>
      <c r="L289" s="736" t="s">
        <v>2464</v>
      </c>
      <c r="M289" s="25" t="str">
        <f t="shared" si="91"/>
        <v>S</v>
      </c>
      <c r="N289" s="25" t="str">
        <f>IF(L289&lt;&gt;"",VLOOKUP(L289,Categories!$B$2:$D$41,2,FALSE),IF(F289&lt;&gt;"","No Cat",""))</f>
        <v>A&amp;S Sch</v>
      </c>
      <c r="O289" s="25" t="str">
        <f>IF($L289&lt;&gt;"",VLOOKUP($L289,Categories!$B$2:$D$41,3,FALSE),IF($F289&lt;&gt;"","No Cat",""))</f>
        <v>Reg Asset &amp; Liabilities</v>
      </c>
      <c r="P289" s="736" t="s">
        <v>2468</v>
      </c>
      <c r="Q289" s="25" t="str">
        <f>VLOOKUP($P289,Allocators!$B$7:$F$19,5,FALSE)</f>
        <v>Not in Rate Base</v>
      </c>
      <c r="R289" s="737">
        <f>VLOOKUP($P289,Allocators!$B$7:$F$19,2,FALSE)</f>
        <v>0</v>
      </c>
      <c r="S289" s="737">
        <f>VLOOKUP($P289,Allocators!$B$7:$F$19,3,FALSE)</f>
        <v>0</v>
      </c>
      <c r="T289" s="737">
        <f t="shared" si="92"/>
        <v>1</v>
      </c>
      <c r="U289" s="2" t="str">
        <f t="shared" si="83"/>
        <v/>
      </c>
      <c r="V289" s="2" t="str">
        <f t="shared" si="84"/>
        <v/>
      </c>
      <c r="W289" s="2" t="str">
        <f t="shared" si="85"/>
        <v/>
      </c>
      <c r="X289" s="2">
        <f t="shared" si="81"/>
        <v>0</v>
      </c>
      <c r="Y289" s="2" t="str">
        <f t="shared" si="86"/>
        <v/>
      </c>
      <c r="Z289" s="2" t="str">
        <f t="shared" si="87"/>
        <v/>
      </c>
      <c r="AA289" s="2" t="str">
        <f t="shared" si="88"/>
        <v/>
      </c>
      <c r="AB289" s="2">
        <f t="shared" si="82"/>
        <v>0</v>
      </c>
      <c r="AC289" s="759">
        <v>0</v>
      </c>
      <c r="AD289" s="741">
        <v>0</v>
      </c>
      <c r="AE289" s="741">
        <v>0</v>
      </c>
      <c r="AF289" s="741">
        <v>0</v>
      </c>
      <c r="AG289" s="741">
        <v>0</v>
      </c>
      <c r="AH289" s="741">
        <v>0</v>
      </c>
      <c r="AI289" s="741">
        <v>0</v>
      </c>
      <c r="AJ289" s="741">
        <v>0</v>
      </c>
      <c r="AK289" s="741">
        <v>0</v>
      </c>
      <c r="AL289" s="741">
        <v>0</v>
      </c>
      <c r="AM289" s="741">
        <v>0</v>
      </c>
      <c r="AN289" s="741">
        <v>0</v>
      </c>
      <c r="AO289" s="741">
        <v>0</v>
      </c>
      <c r="AP289" s="41" t="str">
        <f t="shared" si="78"/>
        <v>GLS</v>
      </c>
      <c r="AQ289" s="41" t="str">
        <f t="shared" si="79"/>
        <v>GLSS0</v>
      </c>
      <c r="AR289" s="41" t="str">
        <f t="shared" si="80"/>
        <v>S0</v>
      </c>
    </row>
    <row r="290" spans="1:96" s="41" customFormat="1" ht="12.75" customHeight="1">
      <c r="A290" s="25" t="s">
        <v>17</v>
      </c>
      <c r="B290" s="25" t="str">
        <f t="shared" si="90"/>
        <v>GL182700</v>
      </c>
      <c r="C290" s="638">
        <v>182700</v>
      </c>
      <c r="D290" s="735"/>
      <c r="F290" s="1" t="s">
        <v>284</v>
      </c>
      <c r="H290" s="736">
        <v>0</v>
      </c>
      <c r="I290" s="25"/>
      <c r="J290" s="25"/>
      <c r="K290" s="442" t="str">
        <f t="shared" si="89"/>
        <v/>
      </c>
      <c r="L290" s="736" t="s">
        <v>2464</v>
      </c>
      <c r="M290" s="25" t="str">
        <f t="shared" si="91"/>
        <v>S</v>
      </c>
      <c r="N290" s="25" t="str">
        <f>IF(L290&lt;&gt;"",VLOOKUP(L290,Categories!$B$2:$D$41,2,FALSE),IF(F290&lt;&gt;"","No Cat",""))</f>
        <v>A&amp;S Sch</v>
      </c>
      <c r="O290" s="25" t="str">
        <f>IF($L290&lt;&gt;"",VLOOKUP($L290,Categories!$B$2:$D$41,3,FALSE),IF($F290&lt;&gt;"","No Cat",""))</f>
        <v>Reg Asset &amp; Liabilities</v>
      </c>
      <c r="P290" s="736" t="s">
        <v>2468</v>
      </c>
      <c r="Q290" s="25" t="str">
        <f>VLOOKUP($P290,Allocators!$B$7:$F$19,5,FALSE)</f>
        <v>Not in Rate Base</v>
      </c>
      <c r="R290" s="737">
        <f>VLOOKUP($P290,Allocators!$B$7:$F$19,2,FALSE)</f>
        <v>0</v>
      </c>
      <c r="S290" s="737">
        <f>VLOOKUP($P290,Allocators!$B$7:$F$19,3,FALSE)</f>
        <v>0</v>
      </c>
      <c r="T290" s="737">
        <f t="shared" si="92"/>
        <v>1</v>
      </c>
      <c r="U290" s="2" t="str">
        <f t="shared" si="83"/>
        <v/>
      </c>
      <c r="V290" s="2" t="str">
        <f t="shared" si="84"/>
        <v/>
      </c>
      <c r="W290" s="2" t="str">
        <f t="shared" si="85"/>
        <v/>
      </c>
      <c r="X290" s="2">
        <f t="shared" si="81"/>
        <v>0</v>
      </c>
      <c r="Y290" s="2" t="str">
        <f t="shared" si="86"/>
        <v/>
      </c>
      <c r="Z290" s="2" t="str">
        <f t="shared" si="87"/>
        <v/>
      </c>
      <c r="AA290" s="2" t="str">
        <f t="shared" si="88"/>
        <v/>
      </c>
      <c r="AB290" s="2">
        <f t="shared" si="82"/>
        <v>0</v>
      </c>
      <c r="AC290" s="759">
        <v>0</v>
      </c>
      <c r="AD290" s="741">
        <v>0</v>
      </c>
      <c r="AE290" s="741">
        <v>0</v>
      </c>
      <c r="AF290" s="741">
        <v>0</v>
      </c>
      <c r="AG290" s="741">
        <v>0</v>
      </c>
      <c r="AH290" s="741">
        <v>0</v>
      </c>
      <c r="AI290" s="741">
        <v>0</v>
      </c>
      <c r="AJ290" s="741">
        <v>0</v>
      </c>
      <c r="AK290" s="741">
        <v>0</v>
      </c>
      <c r="AL290" s="741">
        <v>0</v>
      </c>
      <c r="AM290" s="741">
        <v>0</v>
      </c>
      <c r="AN290" s="741">
        <v>0</v>
      </c>
      <c r="AO290" s="741">
        <v>0</v>
      </c>
      <c r="AP290" s="41" t="str">
        <f t="shared" si="78"/>
        <v>GLS</v>
      </c>
      <c r="AQ290" s="41" t="str">
        <f t="shared" si="79"/>
        <v>GLSS0</v>
      </c>
      <c r="AR290" s="41" t="str">
        <f t="shared" si="80"/>
        <v>S0</v>
      </c>
    </row>
    <row r="291" spans="1:96" s="41" customFormat="1" ht="12.75" customHeight="1">
      <c r="A291" s="25" t="s">
        <v>17</v>
      </c>
      <c r="B291" s="25" t="str">
        <f t="shared" si="90"/>
        <v>GL182710</v>
      </c>
      <c r="C291" s="638">
        <v>182710</v>
      </c>
      <c r="D291" s="735"/>
      <c r="F291" s="1" t="s">
        <v>285</v>
      </c>
      <c r="H291" s="736">
        <v>0</v>
      </c>
      <c r="I291" s="25"/>
      <c r="J291" s="25"/>
      <c r="K291" s="442" t="str">
        <f t="shared" si="89"/>
        <v/>
      </c>
      <c r="L291" s="736" t="s">
        <v>2464</v>
      </c>
      <c r="M291" s="25" t="str">
        <f t="shared" si="91"/>
        <v>S</v>
      </c>
      <c r="N291" s="25" t="str">
        <f>IF(L291&lt;&gt;"",VLOOKUP(L291,Categories!$B$2:$D$41,2,FALSE),IF(F291&lt;&gt;"","No Cat",""))</f>
        <v>A&amp;S Sch</v>
      </c>
      <c r="O291" s="25" t="str">
        <f>IF($L291&lt;&gt;"",VLOOKUP($L291,Categories!$B$2:$D$41,3,FALSE),IF($F291&lt;&gt;"","No Cat",""))</f>
        <v>Reg Asset &amp; Liabilities</v>
      </c>
      <c r="P291" s="736" t="s">
        <v>2468</v>
      </c>
      <c r="Q291" s="25" t="str">
        <f>VLOOKUP($P291,Allocators!$B$7:$F$19,5,FALSE)</f>
        <v>Not in Rate Base</v>
      </c>
      <c r="R291" s="737">
        <f>VLOOKUP($P291,Allocators!$B$7:$F$19,2,FALSE)</f>
        <v>0</v>
      </c>
      <c r="S291" s="737">
        <f>VLOOKUP($P291,Allocators!$B$7:$F$19,3,FALSE)</f>
        <v>0</v>
      </c>
      <c r="T291" s="737">
        <f t="shared" si="92"/>
        <v>1</v>
      </c>
      <c r="U291" s="2" t="str">
        <f t="shared" si="83"/>
        <v/>
      </c>
      <c r="V291" s="2" t="str">
        <f t="shared" si="84"/>
        <v/>
      </c>
      <c r="W291" s="2" t="str">
        <f t="shared" si="85"/>
        <v/>
      </c>
      <c r="X291" s="2">
        <f t="shared" si="81"/>
        <v>0</v>
      </c>
      <c r="Y291" s="2" t="str">
        <f t="shared" si="86"/>
        <v/>
      </c>
      <c r="Z291" s="2" t="str">
        <f t="shared" si="87"/>
        <v/>
      </c>
      <c r="AA291" s="2" t="str">
        <f t="shared" si="88"/>
        <v/>
      </c>
      <c r="AB291" s="2">
        <f t="shared" si="82"/>
        <v>0</v>
      </c>
      <c r="AC291" s="759">
        <v>0</v>
      </c>
      <c r="AD291" s="741">
        <v>0</v>
      </c>
      <c r="AE291" s="741">
        <v>0</v>
      </c>
      <c r="AF291" s="741">
        <v>0</v>
      </c>
      <c r="AG291" s="741">
        <v>0</v>
      </c>
      <c r="AH291" s="741">
        <v>0</v>
      </c>
      <c r="AI291" s="741">
        <v>0</v>
      </c>
      <c r="AJ291" s="741">
        <v>0</v>
      </c>
      <c r="AK291" s="741">
        <v>0</v>
      </c>
      <c r="AL291" s="741">
        <v>0</v>
      </c>
      <c r="AM291" s="741">
        <v>0</v>
      </c>
      <c r="AN291" s="741">
        <v>0</v>
      </c>
      <c r="AO291" s="741">
        <v>0</v>
      </c>
      <c r="AP291" s="41" t="str">
        <f t="shared" si="78"/>
        <v>GLS</v>
      </c>
      <c r="AQ291" s="41" t="str">
        <f t="shared" si="79"/>
        <v>GLSS0</v>
      </c>
      <c r="AR291" s="41" t="str">
        <f t="shared" si="80"/>
        <v>S0</v>
      </c>
    </row>
    <row r="292" spans="1:96" s="41" customFormat="1" ht="12.75" customHeight="1">
      <c r="A292" s="25" t="s">
        <v>17</v>
      </c>
      <c r="B292" s="25" t="str">
        <f t="shared" si="90"/>
        <v>GL182720</v>
      </c>
      <c r="C292" s="638">
        <v>182720</v>
      </c>
      <c r="D292" s="735"/>
      <c r="F292" s="1" t="s">
        <v>286</v>
      </c>
      <c r="H292" s="736">
        <v>0</v>
      </c>
      <c r="I292" s="25"/>
      <c r="J292" s="25"/>
      <c r="K292" s="442" t="str">
        <f t="shared" si="89"/>
        <v/>
      </c>
      <c r="L292" s="736" t="s">
        <v>2464</v>
      </c>
      <c r="M292" s="25" t="str">
        <f t="shared" si="91"/>
        <v>S</v>
      </c>
      <c r="N292" s="25" t="str">
        <f>IF(L292&lt;&gt;"",VLOOKUP(L292,Categories!$B$2:$D$41,2,FALSE),IF(F292&lt;&gt;"","No Cat",""))</f>
        <v>A&amp;S Sch</v>
      </c>
      <c r="O292" s="25" t="str">
        <f>IF($L292&lt;&gt;"",VLOOKUP($L292,Categories!$B$2:$D$41,3,FALSE),IF($F292&lt;&gt;"","No Cat",""))</f>
        <v>Reg Asset &amp; Liabilities</v>
      </c>
      <c r="P292" s="736" t="s">
        <v>2468</v>
      </c>
      <c r="Q292" s="25" t="str">
        <f>VLOOKUP($P292,Allocators!$B$7:$F$19,5,FALSE)</f>
        <v>Not in Rate Base</v>
      </c>
      <c r="R292" s="737">
        <f>VLOOKUP($P292,Allocators!$B$7:$F$19,2,FALSE)</f>
        <v>0</v>
      </c>
      <c r="S292" s="737">
        <f>VLOOKUP($P292,Allocators!$B$7:$F$19,3,FALSE)</f>
        <v>0</v>
      </c>
      <c r="T292" s="737">
        <f t="shared" si="92"/>
        <v>1</v>
      </c>
      <c r="U292" s="2" t="str">
        <f t="shared" si="83"/>
        <v/>
      </c>
      <c r="V292" s="2" t="str">
        <f t="shared" si="84"/>
        <v/>
      </c>
      <c r="W292" s="2" t="str">
        <f t="shared" si="85"/>
        <v/>
      </c>
      <c r="X292" s="2">
        <f t="shared" si="81"/>
        <v>0</v>
      </c>
      <c r="Y292" s="2" t="str">
        <f t="shared" si="86"/>
        <v/>
      </c>
      <c r="Z292" s="2" t="str">
        <f t="shared" si="87"/>
        <v/>
      </c>
      <c r="AA292" s="2" t="str">
        <f t="shared" si="88"/>
        <v/>
      </c>
      <c r="AB292" s="2">
        <f t="shared" si="82"/>
        <v>0</v>
      </c>
      <c r="AC292" s="759">
        <v>0</v>
      </c>
      <c r="AD292" s="741">
        <v>0</v>
      </c>
      <c r="AE292" s="741">
        <v>0</v>
      </c>
      <c r="AF292" s="741">
        <v>0</v>
      </c>
      <c r="AG292" s="741">
        <v>0</v>
      </c>
      <c r="AH292" s="741">
        <v>0</v>
      </c>
      <c r="AI292" s="741">
        <v>0</v>
      </c>
      <c r="AJ292" s="741">
        <v>0</v>
      </c>
      <c r="AK292" s="741">
        <v>0</v>
      </c>
      <c r="AL292" s="741">
        <v>0</v>
      </c>
      <c r="AM292" s="741">
        <v>0</v>
      </c>
      <c r="AN292" s="741">
        <v>0</v>
      </c>
      <c r="AO292" s="741">
        <v>0</v>
      </c>
      <c r="AP292" s="41" t="str">
        <f t="shared" si="78"/>
        <v>GLS</v>
      </c>
      <c r="AQ292" s="41" t="str">
        <f t="shared" si="79"/>
        <v>GLSS0</v>
      </c>
      <c r="AR292" s="41" t="str">
        <f t="shared" si="80"/>
        <v>S0</v>
      </c>
    </row>
    <row r="293" spans="1:96" s="41" customFormat="1" ht="12.75" customHeight="1">
      <c r="A293" s="25" t="s">
        <v>17</v>
      </c>
      <c r="B293" s="25" t="str">
        <f t="shared" si="90"/>
        <v>GL182730</v>
      </c>
      <c r="C293" s="638">
        <v>182730</v>
      </c>
      <c r="D293" s="735"/>
      <c r="F293" s="1" t="s">
        <v>287</v>
      </c>
      <c r="H293" s="736">
        <v>0</v>
      </c>
      <c r="I293" s="25"/>
      <c r="J293" s="25"/>
      <c r="K293" s="442" t="str">
        <f t="shared" si="89"/>
        <v/>
      </c>
      <c r="L293" s="736" t="s">
        <v>2464</v>
      </c>
      <c r="M293" s="25" t="str">
        <f t="shared" si="91"/>
        <v>S</v>
      </c>
      <c r="N293" s="25" t="str">
        <f>IF(L293&lt;&gt;"",VLOOKUP(L293,Categories!$B$2:$D$41,2,FALSE),IF(F293&lt;&gt;"","No Cat",""))</f>
        <v>A&amp;S Sch</v>
      </c>
      <c r="O293" s="25" t="str">
        <f>IF($L293&lt;&gt;"",VLOOKUP($L293,Categories!$B$2:$D$41,3,FALSE),IF($F293&lt;&gt;"","No Cat",""))</f>
        <v>Reg Asset &amp; Liabilities</v>
      </c>
      <c r="P293" s="736" t="s">
        <v>2468</v>
      </c>
      <c r="Q293" s="25" t="str">
        <f>VLOOKUP($P293,Allocators!$B$7:$F$19,5,FALSE)</f>
        <v>Not in Rate Base</v>
      </c>
      <c r="R293" s="737">
        <f>VLOOKUP($P293,Allocators!$B$7:$F$19,2,FALSE)</f>
        <v>0</v>
      </c>
      <c r="S293" s="737">
        <f>VLOOKUP($P293,Allocators!$B$7:$F$19,3,FALSE)</f>
        <v>0</v>
      </c>
      <c r="T293" s="737">
        <f t="shared" si="92"/>
        <v>1</v>
      </c>
      <c r="U293" s="2" t="str">
        <f t="shared" si="83"/>
        <v/>
      </c>
      <c r="V293" s="2" t="str">
        <f t="shared" si="84"/>
        <v/>
      </c>
      <c r="W293" s="2" t="str">
        <f t="shared" si="85"/>
        <v/>
      </c>
      <c r="X293" s="2">
        <f t="shared" si="81"/>
        <v>0</v>
      </c>
      <c r="Y293" s="2" t="str">
        <f t="shared" si="86"/>
        <v/>
      </c>
      <c r="Z293" s="2" t="str">
        <f t="shared" si="87"/>
        <v/>
      </c>
      <c r="AA293" s="2" t="str">
        <f t="shared" si="88"/>
        <v/>
      </c>
      <c r="AB293" s="2">
        <f t="shared" si="82"/>
        <v>0</v>
      </c>
      <c r="AC293" s="759">
        <v>0</v>
      </c>
      <c r="AD293" s="741">
        <v>0</v>
      </c>
      <c r="AE293" s="741">
        <v>0</v>
      </c>
      <c r="AF293" s="741">
        <v>0</v>
      </c>
      <c r="AG293" s="741">
        <v>0</v>
      </c>
      <c r="AH293" s="741">
        <v>0</v>
      </c>
      <c r="AI293" s="741">
        <v>0</v>
      </c>
      <c r="AJ293" s="741">
        <v>0</v>
      </c>
      <c r="AK293" s="741">
        <v>0</v>
      </c>
      <c r="AL293" s="741">
        <v>0</v>
      </c>
      <c r="AM293" s="741">
        <v>0</v>
      </c>
      <c r="AN293" s="741">
        <v>0</v>
      </c>
      <c r="AO293" s="741">
        <v>0</v>
      </c>
      <c r="AP293" s="41" t="str">
        <f t="shared" si="78"/>
        <v>GLS</v>
      </c>
      <c r="AQ293" s="41" t="str">
        <f t="shared" si="79"/>
        <v>GLSS0</v>
      </c>
      <c r="AR293" s="41" t="str">
        <f t="shared" si="80"/>
        <v>S0</v>
      </c>
    </row>
    <row r="294" spans="1:96" s="41" customFormat="1" ht="12.75" customHeight="1">
      <c r="A294" s="25" t="s">
        <v>17</v>
      </c>
      <c r="B294" s="25" t="str">
        <f t="shared" si="90"/>
        <v>GL182990</v>
      </c>
      <c r="C294" s="638">
        <v>182990</v>
      </c>
      <c r="D294" s="735"/>
      <c r="F294" s="1" t="s">
        <v>288</v>
      </c>
      <c r="H294" s="736">
        <v>0</v>
      </c>
      <c r="I294" s="25"/>
      <c r="J294" s="25"/>
      <c r="K294" s="442" t="str">
        <f t="shared" si="89"/>
        <v/>
      </c>
      <c r="L294" s="736" t="s">
        <v>2464</v>
      </c>
      <c r="M294" s="25" t="str">
        <f t="shared" si="91"/>
        <v>S</v>
      </c>
      <c r="N294" s="25" t="str">
        <f>IF(L294&lt;&gt;"",VLOOKUP(L294,Categories!$B$2:$D$41,2,FALSE),IF(F294&lt;&gt;"","No Cat",""))</f>
        <v>A&amp;S Sch</v>
      </c>
      <c r="O294" s="25" t="str">
        <f>IF($L294&lt;&gt;"",VLOOKUP($L294,Categories!$B$2:$D$41,3,FALSE),IF($F294&lt;&gt;"","No Cat",""))</f>
        <v>Reg Asset &amp; Liabilities</v>
      </c>
      <c r="P294" s="736" t="s">
        <v>2468</v>
      </c>
      <c r="Q294" s="25" t="str">
        <f>VLOOKUP($P294,Allocators!$B$7:$F$19,5,FALSE)</f>
        <v>Not in Rate Base</v>
      </c>
      <c r="R294" s="737">
        <f>VLOOKUP($P294,Allocators!$B$7:$F$19,2,FALSE)</f>
        <v>0</v>
      </c>
      <c r="S294" s="737">
        <f>VLOOKUP($P294,Allocators!$B$7:$F$19,3,FALSE)</f>
        <v>0</v>
      </c>
      <c r="T294" s="737">
        <f t="shared" si="92"/>
        <v>1</v>
      </c>
      <c r="U294" s="2" t="str">
        <f t="shared" si="83"/>
        <v/>
      </c>
      <c r="V294" s="2" t="str">
        <f t="shared" si="84"/>
        <v/>
      </c>
      <c r="W294" s="2" t="str">
        <f t="shared" si="85"/>
        <v/>
      </c>
      <c r="X294" s="2">
        <f t="shared" si="81"/>
        <v>0</v>
      </c>
      <c r="Y294" s="2" t="str">
        <f t="shared" si="86"/>
        <v/>
      </c>
      <c r="Z294" s="2" t="str">
        <f t="shared" si="87"/>
        <v/>
      </c>
      <c r="AA294" s="2" t="str">
        <f t="shared" si="88"/>
        <v/>
      </c>
      <c r="AB294" s="2">
        <f t="shared" si="82"/>
        <v>0</v>
      </c>
      <c r="AC294" s="759">
        <v>0</v>
      </c>
      <c r="AD294" s="741">
        <v>0</v>
      </c>
      <c r="AE294" s="741">
        <v>0</v>
      </c>
      <c r="AF294" s="741">
        <v>0</v>
      </c>
      <c r="AG294" s="741">
        <v>0</v>
      </c>
      <c r="AH294" s="741">
        <v>0</v>
      </c>
      <c r="AI294" s="741">
        <v>0</v>
      </c>
      <c r="AJ294" s="741">
        <v>0</v>
      </c>
      <c r="AK294" s="741">
        <v>0</v>
      </c>
      <c r="AL294" s="741">
        <v>0</v>
      </c>
      <c r="AM294" s="741">
        <v>0</v>
      </c>
      <c r="AN294" s="741">
        <v>0</v>
      </c>
      <c r="AO294" s="741">
        <v>0</v>
      </c>
      <c r="AP294" s="41" t="str">
        <f t="shared" si="78"/>
        <v>GLS</v>
      </c>
      <c r="AQ294" s="41" t="str">
        <f t="shared" si="79"/>
        <v>GLSS0</v>
      </c>
      <c r="AR294" s="41" t="str">
        <f t="shared" si="80"/>
        <v>S0</v>
      </c>
    </row>
    <row r="295" spans="1:96" s="41" customFormat="1" ht="12.75" customHeight="1">
      <c r="A295" s="25" t="s">
        <v>17</v>
      </c>
      <c r="B295" s="25" t="str">
        <f t="shared" si="90"/>
        <v>GL182991</v>
      </c>
      <c r="C295" s="638">
        <v>182991</v>
      </c>
      <c r="D295" s="735"/>
      <c r="F295" s="1" t="s">
        <v>289</v>
      </c>
      <c r="H295" s="736">
        <v>0</v>
      </c>
      <c r="I295" s="25"/>
      <c r="J295" s="25"/>
      <c r="K295" s="442" t="str">
        <f t="shared" si="89"/>
        <v/>
      </c>
      <c r="L295" s="736" t="s">
        <v>2464</v>
      </c>
      <c r="M295" s="25" t="str">
        <f t="shared" si="91"/>
        <v>S</v>
      </c>
      <c r="N295" s="25" t="str">
        <f>IF(L295&lt;&gt;"",VLOOKUP(L295,Categories!$B$2:$D$41,2,FALSE),IF(F295&lt;&gt;"","No Cat",""))</f>
        <v>A&amp;S Sch</v>
      </c>
      <c r="O295" s="25" t="str">
        <f>IF($L295&lt;&gt;"",VLOOKUP($L295,Categories!$B$2:$D$41,3,FALSE),IF($F295&lt;&gt;"","No Cat",""))</f>
        <v>Reg Asset &amp; Liabilities</v>
      </c>
      <c r="P295" s="736" t="s">
        <v>2468</v>
      </c>
      <c r="Q295" s="25" t="str">
        <f>VLOOKUP($P295,Allocators!$B$7:$F$19,5,FALSE)</f>
        <v>Not in Rate Base</v>
      </c>
      <c r="R295" s="737">
        <f>VLOOKUP($P295,Allocators!$B$7:$F$19,2,FALSE)</f>
        <v>0</v>
      </c>
      <c r="S295" s="737">
        <f>VLOOKUP($P295,Allocators!$B$7:$F$19,3,FALSE)</f>
        <v>0</v>
      </c>
      <c r="T295" s="737">
        <f t="shared" si="92"/>
        <v>1</v>
      </c>
      <c r="U295" s="2" t="str">
        <f t="shared" si="83"/>
        <v/>
      </c>
      <c r="V295" s="2" t="str">
        <f t="shared" si="84"/>
        <v/>
      </c>
      <c r="W295" s="2" t="str">
        <f t="shared" si="85"/>
        <v/>
      </c>
      <c r="X295" s="2">
        <f t="shared" si="81"/>
        <v>0</v>
      </c>
      <c r="Y295" s="2" t="str">
        <f t="shared" si="86"/>
        <v/>
      </c>
      <c r="Z295" s="2" t="str">
        <f t="shared" si="87"/>
        <v/>
      </c>
      <c r="AA295" s="2" t="str">
        <f t="shared" si="88"/>
        <v/>
      </c>
      <c r="AB295" s="2">
        <f t="shared" si="82"/>
        <v>0</v>
      </c>
      <c r="AC295" s="759">
        <v>0</v>
      </c>
      <c r="AD295" s="741">
        <v>0</v>
      </c>
      <c r="AE295" s="741">
        <v>0</v>
      </c>
      <c r="AF295" s="741">
        <v>0</v>
      </c>
      <c r="AG295" s="741">
        <v>0</v>
      </c>
      <c r="AH295" s="741">
        <v>0</v>
      </c>
      <c r="AI295" s="741">
        <v>0</v>
      </c>
      <c r="AJ295" s="741">
        <v>0</v>
      </c>
      <c r="AK295" s="741">
        <v>0</v>
      </c>
      <c r="AL295" s="741">
        <v>0</v>
      </c>
      <c r="AM295" s="741">
        <v>0</v>
      </c>
      <c r="AN295" s="741">
        <v>0</v>
      </c>
      <c r="AO295" s="741">
        <v>0</v>
      </c>
      <c r="AP295" s="41" t="str">
        <f t="shared" si="78"/>
        <v>GLS</v>
      </c>
      <c r="AQ295" s="41" t="str">
        <f t="shared" si="79"/>
        <v>GLSS0</v>
      </c>
      <c r="AR295" s="41" t="str">
        <f t="shared" si="80"/>
        <v>S0</v>
      </c>
    </row>
    <row r="296" spans="1:96" s="41" customFormat="1" ht="12.75" customHeight="1">
      <c r="A296" s="25" t="s">
        <v>17</v>
      </c>
      <c r="B296" s="25" t="str">
        <f t="shared" si="90"/>
        <v>GL183010</v>
      </c>
      <c r="C296" s="638">
        <v>183010</v>
      </c>
      <c r="D296" s="735"/>
      <c r="F296" s="1" t="s">
        <v>290</v>
      </c>
      <c r="H296" s="736" t="s">
        <v>2617</v>
      </c>
      <c r="I296" s="25"/>
      <c r="J296" s="25"/>
      <c r="K296" s="442" t="str">
        <f t="shared" si="89"/>
        <v/>
      </c>
      <c r="L296" s="736" t="s">
        <v>2441</v>
      </c>
      <c r="M296" s="25" t="str">
        <f t="shared" si="91"/>
        <v>R</v>
      </c>
      <c r="N296" s="25" t="str">
        <f>IF(L296&lt;&gt;"",VLOOKUP(L296,Categories!$B$2:$D$41,2,FALSE),IF(F296&lt;&gt;"","No Cat",""))</f>
        <v>Rate Base</v>
      </c>
      <c r="O296" s="25" t="str">
        <f>IF($L296&lt;&gt;"",VLOOKUP($L296,Categories!$B$2:$D$41,3,FALSE),IF($F296&lt;&gt;"","No Cat",""))</f>
        <v>Deferred Debits &amp; Credits</v>
      </c>
      <c r="P296" s="736" t="s">
        <v>2482</v>
      </c>
      <c r="Q296" s="25" t="str">
        <f>VLOOKUP($P296,Allocators!$B$7:$F$19,5,FALSE)</f>
        <v>Electric</v>
      </c>
      <c r="R296" s="737">
        <f>VLOOKUP($P296,Allocators!$B$7:$F$19,2,FALSE)</f>
        <v>1</v>
      </c>
      <c r="S296" s="737">
        <f>VLOOKUP($P296,Allocators!$B$7:$F$19,3,FALSE)</f>
        <v>0</v>
      </c>
      <c r="T296" s="737" t="str">
        <f t="shared" si="92"/>
        <v>0.0%</v>
      </c>
      <c r="U296" s="2">
        <f t="shared" si="83"/>
        <v>1383.22251416667</v>
      </c>
      <c r="V296" s="2">
        <f t="shared" si="84"/>
        <v>0</v>
      </c>
      <c r="W296" s="2">
        <f t="shared" si="85"/>
        <v>0</v>
      </c>
      <c r="X296" s="2">
        <f t="shared" si="81"/>
        <v>1383.22251416667</v>
      </c>
      <c r="Y296" s="2">
        <f t="shared" si="86"/>
        <v>1753.9948999999999</v>
      </c>
      <c r="Z296" s="2">
        <f t="shared" si="87"/>
        <v>0</v>
      </c>
      <c r="AA296" s="2">
        <f t="shared" si="88"/>
        <v>0</v>
      </c>
      <c r="AB296" s="2">
        <f t="shared" si="82"/>
        <v>1753.9948999999999</v>
      </c>
      <c r="AC296" s="759">
        <v>1195.4165800000001</v>
      </c>
      <c r="AD296" s="741">
        <v>1180.7632699999999</v>
      </c>
      <c r="AE296" s="741">
        <v>1208.5639099999999</v>
      </c>
      <c r="AF296" s="741">
        <v>1217.05033</v>
      </c>
      <c r="AG296" s="741">
        <v>1239.3900599999999</v>
      </c>
      <c r="AH296" s="741">
        <v>1298.5561</v>
      </c>
      <c r="AI296" s="741">
        <v>1113.6307199999999</v>
      </c>
      <c r="AJ296" s="741">
        <v>1153.8295900000001</v>
      </c>
      <c r="AK296" s="741">
        <v>1567.7543999999998</v>
      </c>
      <c r="AL296" s="741">
        <v>1733.3052299999999</v>
      </c>
      <c r="AM296" s="741">
        <v>1810.4819600000001</v>
      </c>
      <c r="AN296" s="741">
        <v>1600.63886</v>
      </c>
      <c r="AO296" s="741">
        <v>1753.9948999999999</v>
      </c>
      <c r="AP296" s="41" t="str">
        <f t="shared" si="78"/>
        <v>GLR</v>
      </c>
      <c r="AQ296" s="41" t="str">
        <f t="shared" si="79"/>
        <v>GLRR10Preliminary Survey and Investigation</v>
      </c>
      <c r="AR296" s="41" t="str">
        <f t="shared" si="80"/>
        <v>R10Preliminary Survey and Investigation</v>
      </c>
    </row>
    <row r="297" spans="1:96" s="41" customFormat="1" ht="12.75" customHeight="1">
      <c r="A297" s="25" t="s">
        <v>17</v>
      </c>
      <c r="B297" s="25" t="str">
        <f t="shared" si="90"/>
        <v>GL183030</v>
      </c>
      <c r="C297" s="638">
        <v>183030</v>
      </c>
      <c r="D297" s="735"/>
      <c r="F297" s="1" t="s">
        <v>291</v>
      </c>
      <c r="H297" s="736" t="s">
        <v>2617</v>
      </c>
      <c r="I297" s="25"/>
      <c r="J297" s="25"/>
      <c r="K297" s="442" t="str">
        <f t="shared" si="89"/>
        <v/>
      </c>
      <c r="L297" s="736" t="s">
        <v>2441</v>
      </c>
      <c r="M297" s="25" t="str">
        <f t="shared" si="91"/>
        <v>R</v>
      </c>
      <c r="N297" s="25" t="str">
        <f>IF(L297&lt;&gt;"",VLOOKUP(L297,Categories!$B$2:$D$41,2,FALSE),IF(F297&lt;&gt;"","No Cat",""))</f>
        <v>Rate Base</v>
      </c>
      <c r="O297" s="25" t="str">
        <f>IF($L297&lt;&gt;"",VLOOKUP($L297,Categories!$B$2:$D$41,3,FALSE),IF($F297&lt;&gt;"","No Cat",""))</f>
        <v>Deferred Debits &amp; Credits</v>
      </c>
      <c r="P297" s="736" t="s">
        <v>2483</v>
      </c>
      <c r="Q297" s="25" t="str">
        <f>VLOOKUP($P297,Allocators!$B$7:$F$19,5,FALSE)</f>
        <v>Gas</v>
      </c>
      <c r="R297" s="737">
        <f>VLOOKUP($P297,Allocators!$B$7:$F$19,2,FALSE)</f>
        <v>0</v>
      </c>
      <c r="S297" s="737">
        <f>VLOOKUP($P297,Allocators!$B$7:$F$19,3,FALSE)</f>
        <v>1</v>
      </c>
      <c r="T297" s="737" t="str">
        <f t="shared" si="92"/>
        <v>0.0%</v>
      </c>
      <c r="U297" s="2" t="str">
        <f t="shared" si="83"/>
        <v/>
      </c>
      <c r="V297" s="2" t="str">
        <f t="shared" si="84"/>
        <v/>
      </c>
      <c r="W297" s="2" t="str">
        <f t="shared" si="85"/>
        <v/>
      </c>
      <c r="X297" s="2">
        <f t="shared" si="81"/>
        <v>0</v>
      </c>
      <c r="Y297" s="2" t="str">
        <f t="shared" si="86"/>
        <v/>
      </c>
      <c r="Z297" s="2" t="str">
        <f t="shared" si="87"/>
        <v/>
      </c>
      <c r="AA297" s="2" t="str">
        <f t="shared" si="88"/>
        <v/>
      </c>
      <c r="AB297" s="2">
        <f t="shared" si="82"/>
        <v>0</v>
      </c>
      <c r="AC297" s="759">
        <v>0</v>
      </c>
      <c r="AD297" s="741">
        <v>0</v>
      </c>
      <c r="AE297" s="741">
        <v>0</v>
      </c>
      <c r="AF297" s="741">
        <v>0</v>
      </c>
      <c r="AG297" s="741">
        <v>0</v>
      </c>
      <c r="AH297" s="741">
        <v>0</v>
      </c>
      <c r="AI297" s="741">
        <v>0</v>
      </c>
      <c r="AJ297" s="741">
        <v>0</v>
      </c>
      <c r="AK297" s="741">
        <v>0</v>
      </c>
      <c r="AL297" s="741">
        <v>0</v>
      </c>
      <c r="AM297" s="741">
        <v>0</v>
      </c>
      <c r="AN297" s="741">
        <v>0</v>
      </c>
      <c r="AO297" s="741">
        <v>0</v>
      </c>
      <c r="AP297" s="41" t="str">
        <f t="shared" si="78"/>
        <v>GLR</v>
      </c>
      <c r="AQ297" s="41" t="str">
        <f t="shared" si="79"/>
        <v>GLRR10Preliminary Survey and Investigation</v>
      </c>
      <c r="AR297" s="41" t="str">
        <f t="shared" si="80"/>
        <v>R10Preliminary Survey and Investigation</v>
      </c>
    </row>
    <row r="298" spans="1:96" s="41" customFormat="1" ht="12.75" customHeight="1">
      <c r="A298" s="25" t="s">
        <v>17</v>
      </c>
      <c r="B298" s="25" t="str">
        <f t="shared" si="90"/>
        <v>GL184000</v>
      </c>
      <c r="C298" s="638">
        <v>184000</v>
      </c>
      <c r="D298" s="735"/>
      <c r="F298" s="1" t="s">
        <v>292</v>
      </c>
      <c r="H298" s="736">
        <v>0</v>
      </c>
      <c r="I298" s="25"/>
      <c r="J298" s="25"/>
      <c r="K298" s="442" t="str">
        <f t="shared" si="89"/>
        <v/>
      </c>
      <c r="L298" s="736" t="s">
        <v>2393</v>
      </c>
      <c r="M298" s="25" t="str">
        <f t="shared" si="91"/>
        <v>A</v>
      </c>
      <c r="N298" s="25" t="str">
        <f>IF(L298&lt;&gt;"",VLOOKUP(L298,Categories!$B$2:$D$41,2,FALSE),IF(F298&lt;&gt;"","No Cat",""))</f>
        <v>All Other</v>
      </c>
      <c r="O298" s="25" t="str">
        <f>IF($L298&lt;&gt;"",VLOOKUP($L298,Categories!$B$2:$D$41,3,FALSE),IF($F298&lt;&gt;"","No Cat",""))</f>
        <v>EB-Cap</v>
      </c>
      <c r="P298" s="736" t="s">
        <v>2490</v>
      </c>
      <c r="Q298" s="25" t="str">
        <f>VLOOKUP($P298,Allocators!$B$7:$F$19,5,FALSE)</f>
        <v>Rate Base</v>
      </c>
      <c r="R298" s="737">
        <f>VLOOKUP($P298,Allocators!$B$7:$F$19,2,FALSE)</f>
        <v>0.70940000000000003</v>
      </c>
      <c r="S298" s="737">
        <f>VLOOKUP($P298,Allocators!$B$7:$F$19,3,FALSE)</f>
        <v>0.29060000000000002</v>
      </c>
      <c r="T298" s="737" t="str">
        <f t="shared" si="92"/>
        <v>0.0%</v>
      </c>
      <c r="U298" s="2" t="str">
        <f t="shared" si="83"/>
        <v/>
      </c>
      <c r="V298" s="2" t="str">
        <f t="shared" si="84"/>
        <v/>
      </c>
      <c r="W298" s="2" t="str">
        <f t="shared" si="85"/>
        <v/>
      </c>
      <c r="X298" s="2">
        <f t="shared" si="81"/>
        <v>0</v>
      </c>
      <c r="Y298" s="2" t="str">
        <f t="shared" si="86"/>
        <v/>
      </c>
      <c r="Z298" s="2" t="str">
        <f t="shared" si="87"/>
        <v/>
      </c>
      <c r="AA298" s="2" t="str">
        <f t="shared" si="88"/>
        <v/>
      </c>
      <c r="AB298" s="2">
        <f t="shared" si="82"/>
        <v>0</v>
      </c>
      <c r="AC298" s="759">
        <v>0</v>
      </c>
      <c r="AD298" s="741">
        <v>0</v>
      </c>
      <c r="AE298" s="741">
        <v>0</v>
      </c>
      <c r="AF298" s="741">
        <v>0</v>
      </c>
      <c r="AG298" s="741">
        <v>0</v>
      </c>
      <c r="AH298" s="741">
        <v>0</v>
      </c>
      <c r="AI298" s="741">
        <v>0</v>
      </c>
      <c r="AJ298" s="741">
        <v>0</v>
      </c>
      <c r="AK298" s="741">
        <v>0</v>
      </c>
      <c r="AL298" s="741">
        <v>0</v>
      </c>
      <c r="AM298" s="741">
        <v>0</v>
      </c>
      <c r="AN298" s="741">
        <v>0</v>
      </c>
      <c r="AO298" s="741">
        <v>0</v>
      </c>
      <c r="AP298" s="41" t="str">
        <f t="shared" si="78"/>
        <v>GLA</v>
      </c>
      <c r="AQ298" s="41" t="str">
        <f t="shared" si="79"/>
        <v>GLAA20</v>
      </c>
      <c r="AR298" s="41" t="str">
        <f t="shared" si="80"/>
        <v>A20</v>
      </c>
      <c r="CR298" s="625"/>
    </row>
    <row r="299" spans="1:96" s="41" customFormat="1" ht="12.75" customHeight="1">
      <c r="A299" s="25" t="s">
        <v>17</v>
      </c>
      <c r="B299" s="25" t="str">
        <f t="shared" si="90"/>
        <v>GL184002</v>
      </c>
      <c r="C299" s="638">
        <v>184002</v>
      </c>
      <c r="D299" s="735"/>
      <c r="F299" s="1" t="s">
        <v>293</v>
      </c>
      <c r="H299" s="736">
        <v>0</v>
      </c>
      <c r="I299" s="25"/>
      <c r="J299" s="25"/>
      <c r="K299" s="442" t="str">
        <f t="shared" si="89"/>
        <v/>
      </c>
      <c r="L299" s="736" t="s">
        <v>2393</v>
      </c>
      <c r="M299" s="25" t="str">
        <f t="shared" si="91"/>
        <v>A</v>
      </c>
      <c r="N299" s="25" t="str">
        <f>IF(L299&lt;&gt;"",VLOOKUP(L299,Categories!$B$2:$D$41,2,FALSE),IF(F299&lt;&gt;"","No Cat",""))</f>
        <v>All Other</v>
      </c>
      <c r="O299" s="25" t="str">
        <f>IF($L299&lt;&gt;"",VLOOKUP($L299,Categories!$B$2:$D$41,3,FALSE),IF($F299&lt;&gt;"","No Cat",""))</f>
        <v>EB-Cap</v>
      </c>
      <c r="P299" s="736" t="s">
        <v>2490</v>
      </c>
      <c r="Q299" s="25" t="str">
        <f>VLOOKUP($P299,Allocators!$B$7:$F$19,5,FALSE)</f>
        <v>Rate Base</v>
      </c>
      <c r="R299" s="737">
        <f>VLOOKUP($P299,Allocators!$B$7:$F$19,2,FALSE)</f>
        <v>0.70940000000000003</v>
      </c>
      <c r="S299" s="737">
        <f>VLOOKUP($P299,Allocators!$B$7:$F$19,3,FALSE)</f>
        <v>0.29060000000000002</v>
      </c>
      <c r="T299" s="737" t="str">
        <f t="shared" si="92"/>
        <v>0.0%</v>
      </c>
      <c r="U299" s="2">
        <f t="shared" si="83"/>
        <v>0.72123633899999995</v>
      </c>
      <c r="V299" s="2">
        <f t="shared" si="84"/>
        <v>0.295448661</v>
      </c>
      <c r="W299" s="2">
        <f t="shared" si="85"/>
        <v>0</v>
      </c>
      <c r="X299" s="2">
        <f t="shared" si="81"/>
        <v>1.0166850000000001</v>
      </c>
      <c r="Y299" s="2" t="str">
        <f t="shared" si="86"/>
        <v/>
      </c>
      <c r="Z299" s="2" t="str">
        <f t="shared" si="87"/>
        <v/>
      </c>
      <c r="AA299" s="2" t="str">
        <f t="shared" si="88"/>
        <v/>
      </c>
      <c r="AB299" s="2">
        <f t="shared" si="82"/>
        <v>0</v>
      </c>
      <c r="AC299" s="759">
        <v>0</v>
      </c>
      <c r="AD299" s="741">
        <v>0</v>
      </c>
      <c r="AE299" s="741">
        <v>0</v>
      </c>
      <c r="AF299" s="741">
        <v>0</v>
      </c>
      <c r="AG299" s="741">
        <v>0</v>
      </c>
      <c r="AH299" s="741">
        <v>0</v>
      </c>
      <c r="AI299" s="741">
        <v>0</v>
      </c>
      <c r="AJ299" s="741">
        <v>12.20022</v>
      </c>
      <c r="AK299" s="741">
        <v>0</v>
      </c>
      <c r="AL299" s="741">
        <v>0</v>
      </c>
      <c r="AM299" s="741">
        <v>0</v>
      </c>
      <c r="AN299" s="741">
        <v>0</v>
      </c>
      <c r="AO299" s="741">
        <v>0</v>
      </c>
      <c r="AP299" s="41" t="str">
        <f t="shared" si="78"/>
        <v>GLA</v>
      </c>
      <c r="AQ299" s="41" t="str">
        <f t="shared" si="79"/>
        <v>GLAA20</v>
      </c>
      <c r="AR299" s="41" t="str">
        <f t="shared" si="80"/>
        <v>A20</v>
      </c>
      <c r="CR299" s="625"/>
    </row>
    <row r="300" spans="1:96" s="41" customFormat="1" ht="12.75" customHeight="1">
      <c r="A300" s="25" t="s">
        <v>17</v>
      </c>
      <c r="B300" s="25" t="str">
        <f t="shared" si="90"/>
        <v>GL184003</v>
      </c>
      <c r="C300" s="638">
        <v>184003</v>
      </c>
      <c r="D300" s="735"/>
      <c r="F300" s="1" t="s">
        <v>294</v>
      </c>
      <c r="H300" s="736">
        <v>0</v>
      </c>
      <c r="I300" s="25"/>
      <c r="J300" s="25"/>
      <c r="K300" s="442" t="str">
        <f t="shared" si="89"/>
        <v/>
      </c>
      <c r="L300" s="736" t="s">
        <v>2393</v>
      </c>
      <c r="M300" s="25" t="str">
        <f t="shared" si="91"/>
        <v>A</v>
      </c>
      <c r="N300" s="25" t="str">
        <f>IF(L300&lt;&gt;"",VLOOKUP(L300,Categories!$B$2:$D$41,2,FALSE),IF(F300&lt;&gt;"","No Cat",""))</f>
        <v>All Other</v>
      </c>
      <c r="O300" s="25" t="str">
        <f>IF($L300&lt;&gt;"",VLOOKUP($L300,Categories!$B$2:$D$41,3,FALSE),IF($F300&lt;&gt;"","No Cat",""))</f>
        <v>EB-Cap</v>
      </c>
      <c r="P300" s="736" t="s">
        <v>2490</v>
      </c>
      <c r="Q300" s="25" t="str">
        <f>VLOOKUP($P300,Allocators!$B$7:$F$19,5,FALSE)</f>
        <v>Rate Base</v>
      </c>
      <c r="R300" s="737">
        <f>VLOOKUP($P300,Allocators!$B$7:$F$19,2,FALSE)</f>
        <v>0.70940000000000003</v>
      </c>
      <c r="S300" s="737">
        <f>VLOOKUP($P300,Allocators!$B$7:$F$19,3,FALSE)</f>
        <v>0.29060000000000002</v>
      </c>
      <c r="T300" s="737" t="str">
        <f t="shared" si="92"/>
        <v>0.0%</v>
      </c>
      <c r="U300" s="2" t="str">
        <f t="shared" si="83"/>
        <v/>
      </c>
      <c r="V300" s="2" t="str">
        <f t="shared" si="84"/>
        <v/>
      </c>
      <c r="W300" s="2" t="str">
        <f t="shared" si="85"/>
        <v/>
      </c>
      <c r="X300" s="2">
        <f t="shared" si="81"/>
        <v>0</v>
      </c>
      <c r="Y300" s="2" t="str">
        <f t="shared" si="86"/>
        <v/>
      </c>
      <c r="Z300" s="2" t="str">
        <f t="shared" si="87"/>
        <v/>
      </c>
      <c r="AA300" s="2" t="str">
        <f t="shared" si="88"/>
        <v/>
      </c>
      <c r="AB300" s="2">
        <f t="shared" si="82"/>
        <v>0</v>
      </c>
      <c r="AC300" s="759">
        <v>0</v>
      </c>
      <c r="AD300" s="741">
        <v>0</v>
      </c>
      <c r="AE300" s="741">
        <v>0</v>
      </c>
      <c r="AF300" s="741">
        <v>0</v>
      </c>
      <c r="AG300" s="741">
        <v>0</v>
      </c>
      <c r="AH300" s="741">
        <v>0</v>
      </c>
      <c r="AI300" s="741">
        <v>0</v>
      </c>
      <c r="AJ300" s="741">
        <v>0</v>
      </c>
      <c r="AK300" s="741">
        <v>0</v>
      </c>
      <c r="AL300" s="741">
        <v>0</v>
      </c>
      <c r="AM300" s="741">
        <v>0</v>
      </c>
      <c r="AN300" s="741">
        <v>0</v>
      </c>
      <c r="AO300" s="741">
        <v>0</v>
      </c>
      <c r="AP300" s="41" t="str">
        <f t="shared" si="78"/>
        <v>GLA</v>
      </c>
      <c r="AQ300" s="41" t="str">
        <f t="shared" si="79"/>
        <v>GLAA20</v>
      </c>
      <c r="AR300" s="41" t="str">
        <f t="shared" si="80"/>
        <v>A20</v>
      </c>
      <c r="CR300" s="625"/>
    </row>
    <row r="301" spans="1:96" s="41" customFormat="1" ht="12.75" customHeight="1">
      <c r="A301" s="25" t="s">
        <v>17</v>
      </c>
      <c r="B301" s="25" t="str">
        <f t="shared" si="90"/>
        <v>GL184004</v>
      </c>
      <c r="C301" s="638">
        <v>184004</v>
      </c>
      <c r="D301" s="735"/>
      <c r="F301" s="1" t="s">
        <v>295</v>
      </c>
      <c r="H301" s="736">
        <v>0</v>
      </c>
      <c r="I301" s="25"/>
      <c r="J301" s="25"/>
      <c r="K301" s="442" t="str">
        <f t="shared" si="89"/>
        <v/>
      </c>
      <c r="L301" s="736" t="s">
        <v>2393</v>
      </c>
      <c r="M301" s="25" t="str">
        <f t="shared" si="91"/>
        <v>A</v>
      </c>
      <c r="N301" s="25" t="str">
        <f>IF(L301&lt;&gt;"",VLOOKUP(L301,Categories!$B$2:$D$41,2,FALSE),IF(F301&lt;&gt;"","No Cat",""))</f>
        <v>All Other</v>
      </c>
      <c r="O301" s="25" t="str">
        <f>IF($L301&lt;&gt;"",VLOOKUP($L301,Categories!$B$2:$D$41,3,FALSE),IF($F301&lt;&gt;"","No Cat",""))</f>
        <v>EB-Cap</v>
      </c>
      <c r="P301" s="736" t="s">
        <v>2490</v>
      </c>
      <c r="Q301" s="25" t="str">
        <f>VLOOKUP($P301,Allocators!$B$7:$F$19,5,FALSE)</f>
        <v>Rate Base</v>
      </c>
      <c r="R301" s="737">
        <f>VLOOKUP($P301,Allocators!$B$7:$F$19,2,FALSE)</f>
        <v>0.70940000000000003</v>
      </c>
      <c r="S301" s="737">
        <f>VLOOKUP($P301,Allocators!$B$7:$F$19,3,FALSE)</f>
        <v>0.29060000000000002</v>
      </c>
      <c r="T301" s="737" t="str">
        <f t="shared" si="92"/>
        <v>0.0%</v>
      </c>
      <c r="U301" s="2" t="str">
        <f t="shared" si="83"/>
        <v/>
      </c>
      <c r="V301" s="2" t="str">
        <f t="shared" si="84"/>
        <v/>
      </c>
      <c r="W301" s="2" t="str">
        <f t="shared" si="85"/>
        <v/>
      </c>
      <c r="X301" s="2">
        <f t="shared" si="81"/>
        <v>0</v>
      </c>
      <c r="Y301" s="2" t="str">
        <f t="shared" si="86"/>
        <v/>
      </c>
      <c r="Z301" s="2" t="str">
        <f t="shared" si="87"/>
        <v/>
      </c>
      <c r="AA301" s="2" t="str">
        <f t="shared" si="88"/>
        <v/>
      </c>
      <c r="AB301" s="2">
        <f t="shared" si="82"/>
        <v>0</v>
      </c>
      <c r="AC301" s="759">
        <v>0</v>
      </c>
      <c r="AD301" s="741">
        <v>0</v>
      </c>
      <c r="AE301" s="741">
        <v>0</v>
      </c>
      <c r="AF301" s="741">
        <v>0</v>
      </c>
      <c r="AG301" s="741">
        <v>0</v>
      </c>
      <c r="AH301" s="741">
        <v>0</v>
      </c>
      <c r="AI301" s="741">
        <v>0</v>
      </c>
      <c r="AJ301" s="741">
        <v>0</v>
      </c>
      <c r="AK301" s="741">
        <v>0</v>
      </c>
      <c r="AL301" s="741">
        <v>0</v>
      </c>
      <c r="AM301" s="741">
        <v>0</v>
      </c>
      <c r="AN301" s="741">
        <v>0</v>
      </c>
      <c r="AO301" s="741">
        <v>0</v>
      </c>
      <c r="AP301" s="41" t="str">
        <f t="shared" si="78"/>
        <v>GLA</v>
      </c>
      <c r="AQ301" s="41" t="str">
        <f t="shared" si="79"/>
        <v>GLAA20</v>
      </c>
      <c r="AR301" s="41" t="str">
        <f t="shared" si="80"/>
        <v>A20</v>
      </c>
      <c r="CR301" s="625"/>
    </row>
    <row r="302" spans="1:96" s="41" customFormat="1" ht="12.75" customHeight="1">
      <c r="A302" s="25" t="s">
        <v>17</v>
      </c>
      <c r="B302" s="25" t="str">
        <f t="shared" si="90"/>
        <v>GL184005</v>
      </c>
      <c r="C302" s="638">
        <v>184005</v>
      </c>
      <c r="D302" s="735"/>
      <c r="F302" s="1" t="s">
        <v>296</v>
      </c>
      <c r="H302" s="736" t="s">
        <v>2557</v>
      </c>
      <c r="I302" s="25"/>
      <c r="J302" s="25"/>
      <c r="K302" s="442" t="str">
        <f t="shared" si="89"/>
        <v/>
      </c>
      <c r="L302" s="736" t="s">
        <v>2393</v>
      </c>
      <c r="M302" s="25" t="str">
        <f t="shared" si="91"/>
        <v>A</v>
      </c>
      <c r="N302" s="25" t="str">
        <f>IF(L302&lt;&gt;"",VLOOKUP(L302,Categories!$B$2:$D$41,2,FALSE),IF(F302&lt;&gt;"","No Cat",""))</f>
        <v>All Other</v>
      </c>
      <c r="O302" s="25" t="str">
        <f>IF($L302&lt;&gt;"",VLOOKUP($L302,Categories!$B$2:$D$41,3,FALSE),IF($F302&lt;&gt;"","No Cat",""))</f>
        <v>EB-Cap</v>
      </c>
      <c r="P302" s="736" t="s">
        <v>2490</v>
      </c>
      <c r="Q302" s="25" t="str">
        <f>VLOOKUP($P302,Allocators!$B$7:$F$19,5,FALSE)</f>
        <v>Rate Base</v>
      </c>
      <c r="R302" s="737">
        <f>VLOOKUP($P302,Allocators!$B$7:$F$19,2,FALSE)</f>
        <v>0.70940000000000003</v>
      </c>
      <c r="S302" s="737">
        <f>VLOOKUP($P302,Allocators!$B$7:$F$19,3,FALSE)</f>
        <v>0.29060000000000002</v>
      </c>
      <c r="T302" s="737" t="str">
        <f t="shared" si="92"/>
        <v>0.0%</v>
      </c>
      <c r="U302" s="2">
        <f t="shared" si="83"/>
        <v>-40.836736327333398</v>
      </c>
      <c r="V302" s="2">
        <f t="shared" si="84"/>
        <v>-16.7284403393333</v>
      </c>
      <c r="W302" s="2">
        <f t="shared" si="85"/>
        <v>0</v>
      </c>
      <c r="X302" s="2">
        <f t="shared" si="81"/>
        <v>-57.565176666666702</v>
      </c>
      <c r="Y302" s="2" t="str">
        <f t="shared" si="86"/>
        <v/>
      </c>
      <c r="Z302" s="2" t="str">
        <f t="shared" si="87"/>
        <v/>
      </c>
      <c r="AA302" s="2" t="str">
        <f t="shared" si="88"/>
        <v/>
      </c>
      <c r="AB302" s="2">
        <f t="shared" si="82"/>
        <v>0</v>
      </c>
      <c r="AC302" s="759">
        <v>0</v>
      </c>
      <c r="AD302" s="741">
        <v>388.86529999999999</v>
      </c>
      <c r="AE302" s="741">
        <v>45.0398</v>
      </c>
      <c r="AF302" s="741">
        <v>200.36090999999999</v>
      </c>
      <c r="AG302" s="741">
        <v>-181.72104999999999</v>
      </c>
      <c r="AH302" s="741">
        <v>-22.351890000000001</v>
      </c>
      <c r="AI302" s="741">
        <v>24.745380000000001</v>
      </c>
      <c r="AJ302" s="741">
        <v>-24.677619999999997</v>
      </c>
      <c r="AK302" s="741">
        <v>-566.40137000000004</v>
      </c>
      <c r="AL302" s="741">
        <v>-312.95627000000002</v>
      </c>
      <c r="AM302" s="741">
        <v>-190.02698000000001</v>
      </c>
      <c r="AN302" s="741">
        <v>-51.658329999999999</v>
      </c>
      <c r="AO302" s="741">
        <v>0</v>
      </c>
      <c r="AP302" s="41" t="str">
        <f t="shared" si="78"/>
        <v>GLA</v>
      </c>
      <c r="AQ302" s="41" t="str">
        <f t="shared" si="79"/>
        <v>GLAA2Clearing Accounts</v>
      </c>
      <c r="AR302" s="41" t="str">
        <f t="shared" si="80"/>
        <v>A2Clearing Accounts</v>
      </c>
      <c r="CR302" s="625"/>
    </row>
    <row r="303" spans="1:96" s="41" customFormat="1" ht="12.75" customHeight="1">
      <c r="A303" s="25" t="s">
        <v>17</v>
      </c>
      <c r="B303" s="25" t="str">
        <f t="shared" si="90"/>
        <v>GL184006</v>
      </c>
      <c r="C303" s="638">
        <v>184006</v>
      </c>
      <c r="D303" s="735"/>
      <c r="F303" s="1" t="s">
        <v>297</v>
      </c>
      <c r="H303" s="736">
        <v>0</v>
      </c>
      <c r="I303" s="25"/>
      <c r="J303" s="25"/>
      <c r="K303" s="442" t="str">
        <f t="shared" si="89"/>
        <v/>
      </c>
      <c r="L303" s="736" t="s">
        <v>2393</v>
      </c>
      <c r="M303" s="25" t="str">
        <f t="shared" si="91"/>
        <v>A</v>
      </c>
      <c r="N303" s="25" t="str">
        <f>IF(L303&lt;&gt;"",VLOOKUP(L303,Categories!$B$2:$D$41,2,FALSE),IF(F303&lt;&gt;"","No Cat",""))</f>
        <v>All Other</v>
      </c>
      <c r="O303" s="25" t="str">
        <f>IF($L303&lt;&gt;"",VLOOKUP($L303,Categories!$B$2:$D$41,3,FALSE),IF($F303&lt;&gt;"","No Cat",""))</f>
        <v>EB-Cap</v>
      </c>
      <c r="P303" s="736" t="s">
        <v>2490</v>
      </c>
      <c r="Q303" s="25" t="str">
        <f>VLOOKUP($P303,Allocators!$B$7:$F$19,5,FALSE)</f>
        <v>Rate Base</v>
      </c>
      <c r="R303" s="737">
        <f>VLOOKUP($P303,Allocators!$B$7:$F$19,2,FALSE)</f>
        <v>0.70940000000000003</v>
      </c>
      <c r="S303" s="737">
        <f>VLOOKUP($P303,Allocators!$B$7:$F$19,3,FALSE)</f>
        <v>0.29060000000000002</v>
      </c>
      <c r="T303" s="737" t="str">
        <f t="shared" si="92"/>
        <v>0.0%</v>
      </c>
      <c r="U303" s="2">
        <f t="shared" si="83"/>
        <v>160.06981584850001</v>
      </c>
      <c r="V303" s="2">
        <f t="shared" si="84"/>
        <v>65.571311651499997</v>
      </c>
      <c r="W303" s="2">
        <f t="shared" si="85"/>
        <v>0</v>
      </c>
      <c r="X303" s="2">
        <f t="shared" si="81"/>
        <v>225.64112750000001</v>
      </c>
      <c r="Y303" s="2" t="str">
        <f t="shared" si="86"/>
        <v/>
      </c>
      <c r="Z303" s="2" t="str">
        <f t="shared" si="87"/>
        <v/>
      </c>
      <c r="AA303" s="2" t="str">
        <f t="shared" si="88"/>
        <v/>
      </c>
      <c r="AB303" s="2">
        <f t="shared" si="82"/>
        <v>0</v>
      </c>
      <c r="AC303" s="759">
        <v>0</v>
      </c>
      <c r="AD303" s="741">
        <v>70.360759999999999</v>
      </c>
      <c r="AE303" s="741">
        <v>129.977</v>
      </c>
      <c r="AF303" s="741">
        <v>125.87209</v>
      </c>
      <c r="AG303" s="741">
        <v>219.16426999999999</v>
      </c>
      <c r="AH303" s="741">
        <v>295.00408000000004</v>
      </c>
      <c r="AI303" s="741">
        <v>316.95822999999996</v>
      </c>
      <c r="AJ303" s="741">
        <v>252.1926</v>
      </c>
      <c r="AK303" s="741">
        <v>180.76259999999999</v>
      </c>
      <c r="AL303" s="741">
        <v>175.78773999999999</v>
      </c>
      <c r="AM303" s="741">
        <v>185.28498000000002</v>
      </c>
      <c r="AN303" s="741">
        <v>756.32918000000006</v>
      </c>
      <c r="AO303" s="741">
        <v>0</v>
      </c>
      <c r="AP303" s="41" t="str">
        <f t="shared" si="78"/>
        <v>GLA</v>
      </c>
      <c r="AQ303" s="41" t="str">
        <f t="shared" si="79"/>
        <v>GLAA20</v>
      </c>
      <c r="AR303" s="41" t="str">
        <f t="shared" si="80"/>
        <v>A20</v>
      </c>
      <c r="CR303" s="625"/>
    </row>
    <row r="304" spans="1:96" s="41" customFormat="1" ht="12.75" customHeight="1">
      <c r="A304" s="25" t="s">
        <v>17</v>
      </c>
      <c r="B304" s="25" t="str">
        <f t="shared" si="90"/>
        <v>GL184007</v>
      </c>
      <c r="C304" s="638">
        <v>184007</v>
      </c>
      <c r="D304" s="735"/>
      <c r="F304" s="1" t="s">
        <v>298</v>
      </c>
      <c r="H304" s="736">
        <v>0</v>
      </c>
      <c r="I304" s="25"/>
      <c r="J304" s="25"/>
      <c r="K304" s="442" t="str">
        <f t="shared" si="89"/>
        <v/>
      </c>
      <c r="L304" s="736" t="s">
        <v>2393</v>
      </c>
      <c r="M304" s="25" t="str">
        <f t="shared" si="91"/>
        <v>A</v>
      </c>
      <c r="N304" s="25" t="str">
        <f>IF(L304&lt;&gt;"",VLOOKUP(L304,Categories!$B$2:$D$41,2,FALSE),IF(F304&lt;&gt;"","No Cat",""))</f>
        <v>All Other</v>
      </c>
      <c r="O304" s="25" t="str">
        <f>IF($L304&lt;&gt;"",VLOOKUP($L304,Categories!$B$2:$D$41,3,FALSE),IF($F304&lt;&gt;"","No Cat",""))</f>
        <v>EB-Cap</v>
      </c>
      <c r="P304" s="736" t="s">
        <v>2490</v>
      </c>
      <c r="Q304" s="25" t="str">
        <f>VLOOKUP($P304,Allocators!$B$7:$F$19,5,FALSE)</f>
        <v>Rate Base</v>
      </c>
      <c r="R304" s="737">
        <f>VLOOKUP($P304,Allocators!$B$7:$F$19,2,FALSE)</f>
        <v>0.70940000000000003</v>
      </c>
      <c r="S304" s="737">
        <f>VLOOKUP($P304,Allocators!$B$7:$F$19,3,FALSE)</f>
        <v>0.29060000000000002</v>
      </c>
      <c r="T304" s="737" t="str">
        <f t="shared" si="92"/>
        <v>0.0%</v>
      </c>
      <c r="U304" s="2" t="str">
        <f t="shared" si="83"/>
        <v/>
      </c>
      <c r="V304" s="2" t="str">
        <f t="shared" si="84"/>
        <v/>
      </c>
      <c r="W304" s="2" t="str">
        <f t="shared" si="85"/>
        <v/>
      </c>
      <c r="X304" s="2">
        <f t="shared" si="81"/>
        <v>0</v>
      </c>
      <c r="Y304" s="2" t="str">
        <f t="shared" si="86"/>
        <v/>
      </c>
      <c r="Z304" s="2" t="str">
        <f t="shared" si="87"/>
        <v/>
      </c>
      <c r="AA304" s="2" t="str">
        <f t="shared" si="88"/>
        <v/>
      </c>
      <c r="AB304" s="2">
        <f t="shared" si="82"/>
        <v>0</v>
      </c>
      <c r="AC304" s="759">
        <v>0</v>
      </c>
      <c r="AD304" s="741">
        <v>0</v>
      </c>
      <c r="AE304" s="741">
        <v>0</v>
      </c>
      <c r="AF304" s="741">
        <v>0</v>
      </c>
      <c r="AG304" s="741">
        <v>0</v>
      </c>
      <c r="AH304" s="741">
        <v>0</v>
      </c>
      <c r="AI304" s="741">
        <v>0</v>
      </c>
      <c r="AJ304" s="741">
        <v>0</v>
      </c>
      <c r="AK304" s="741">
        <v>0</v>
      </c>
      <c r="AL304" s="741">
        <v>0</v>
      </c>
      <c r="AM304" s="741">
        <v>0</v>
      </c>
      <c r="AN304" s="741">
        <v>0</v>
      </c>
      <c r="AO304" s="741">
        <v>0</v>
      </c>
      <c r="AP304" s="41" t="str">
        <f t="shared" si="78"/>
        <v>GLA</v>
      </c>
      <c r="AQ304" s="41" t="str">
        <f t="shared" si="79"/>
        <v>GLAA20</v>
      </c>
      <c r="AR304" s="41" t="str">
        <f t="shared" si="80"/>
        <v>A20</v>
      </c>
      <c r="CR304" s="625"/>
    </row>
    <row r="305" spans="1:96" s="41" customFormat="1" ht="12.75" customHeight="1">
      <c r="A305" s="25" t="s">
        <v>17</v>
      </c>
      <c r="B305" s="25" t="str">
        <f t="shared" si="90"/>
        <v>GL184008</v>
      </c>
      <c r="C305" s="638">
        <v>184008</v>
      </c>
      <c r="D305" s="735"/>
      <c r="F305" s="1" t="s">
        <v>299</v>
      </c>
      <c r="H305" s="736">
        <v>0</v>
      </c>
      <c r="I305" s="25"/>
      <c r="J305" s="25"/>
      <c r="K305" s="442" t="str">
        <f t="shared" si="89"/>
        <v/>
      </c>
      <c r="L305" s="736" t="s">
        <v>2393</v>
      </c>
      <c r="M305" s="25" t="str">
        <f t="shared" si="91"/>
        <v>A</v>
      </c>
      <c r="N305" s="25" t="str">
        <f>IF(L305&lt;&gt;"",VLOOKUP(L305,Categories!$B$2:$D$41,2,FALSE),IF(F305&lt;&gt;"","No Cat",""))</f>
        <v>All Other</v>
      </c>
      <c r="O305" s="25" t="str">
        <f>IF($L305&lt;&gt;"",VLOOKUP($L305,Categories!$B$2:$D$41,3,FALSE),IF($F305&lt;&gt;"","No Cat",""))</f>
        <v>EB-Cap</v>
      </c>
      <c r="P305" s="736" t="s">
        <v>2490</v>
      </c>
      <c r="Q305" s="25" t="str">
        <f>VLOOKUP($P305,Allocators!$B$7:$F$19,5,FALSE)</f>
        <v>Rate Base</v>
      </c>
      <c r="R305" s="737">
        <f>VLOOKUP($P305,Allocators!$B$7:$F$19,2,FALSE)</f>
        <v>0.70940000000000003</v>
      </c>
      <c r="S305" s="737">
        <f>VLOOKUP($P305,Allocators!$B$7:$F$19,3,FALSE)</f>
        <v>0.29060000000000002</v>
      </c>
      <c r="T305" s="737" t="str">
        <f t="shared" si="92"/>
        <v>0.0%</v>
      </c>
      <c r="U305" s="2">
        <f t="shared" si="83"/>
        <v>-65.377768403000005</v>
      </c>
      <c r="V305" s="2">
        <f t="shared" si="84"/>
        <v>-26.781476597000001</v>
      </c>
      <c r="W305" s="2">
        <f t="shared" si="85"/>
        <v>0</v>
      </c>
      <c r="X305" s="2">
        <f t="shared" si="81"/>
        <v>-92.159244999999999</v>
      </c>
      <c r="Y305" s="2" t="str">
        <f t="shared" si="86"/>
        <v/>
      </c>
      <c r="Z305" s="2" t="str">
        <f t="shared" si="87"/>
        <v/>
      </c>
      <c r="AA305" s="2" t="str">
        <f t="shared" si="88"/>
        <v/>
      </c>
      <c r="AB305" s="2">
        <f t="shared" si="82"/>
        <v>0</v>
      </c>
      <c r="AC305" s="759">
        <v>0</v>
      </c>
      <c r="AD305" s="741">
        <v>0</v>
      </c>
      <c r="AE305" s="741">
        <v>0</v>
      </c>
      <c r="AF305" s="741">
        <v>0</v>
      </c>
      <c r="AG305" s="741">
        <v>-1105.91094</v>
      </c>
      <c r="AH305" s="741">
        <v>0</v>
      </c>
      <c r="AI305" s="741">
        <v>0</v>
      </c>
      <c r="AJ305" s="741">
        <v>0</v>
      </c>
      <c r="AK305" s="741">
        <v>0</v>
      </c>
      <c r="AL305" s="741">
        <v>0</v>
      </c>
      <c r="AM305" s="741">
        <v>0</v>
      </c>
      <c r="AN305" s="741">
        <v>0</v>
      </c>
      <c r="AO305" s="741">
        <v>0</v>
      </c>
      <c r="AP305" s="41" t="str">
        <f t="shared" si="78"/>
        <v>GLA</v>
      </c>
      <c r="AQ305" s="41" t="str">
        <f t="shared" si="79"/>
        <v>GLAA20</v>
      </c>
      <c r="AR305" s="41" t="str">
        <f t="shared" si="80"/>
        <v>A20</v>
      </c>
      <c r="CR305" s="625"/>
    </row>
    <row r="306" spans="1:96" s="41" customFormat="1" ht="12.75" customHeight="1">
      <c r="A306" s="25" t="s">
        <v>17</v>
      </c>
      <c r="B306" s="25" t="str">
        <f t="shared" si="90"/>
        <v>GL184009</v>
      </c>
      <c r="C306" s="638">
        <v>184009</v>
      </c>
      <c r="D306" s="735"/>
      <c r="F306" s="1" t="s">
        <v>4242</v>
      </c>
      <c r="H306" s="736">
        <v>0</v>
      </c>
      <c r="I306" s="25"/>
      <c r="J306" s="25"/>
      <c r="K306" s="442" t="str">
        <f t="shared" si="89"/>
        <v/>
      </c>
      <c r="L306" s="736" t="s">
        <v>2393</v>
      </c>
      <c r="M306" s="25" t="str">
        <f t="shared" ref="M306" si="93">LEFT(L306,1)</f>
        <v>A</v>
      </c>
      <c r="N306" s="25" t="str">
        <f>IF(L306&lt;&gt;"",VLOOKUP(L306,Categories!$B$2:$D$41,2,FALSE),IF(F306&lt;&gt;"","No Cat",""))</f>
        <v>All Other</v>
      </c>
      <c r="O306" s="25" t="str">
        <f>IF($L306&lt;&gt;"",VLOOKUP($L306,Categories!$B$2:$D$41,3,FALSE),IF($F306&lt;&gt;"","No Cat",""))</f>
        <v>EB-Cap</v>
      </c>
      <c r="P306" s="736" t="s">
        <v>2490</v>
      </c>
      <c r="Q306" s="25" t="str">
        <f>VLOOKUP($P306,Allocators!$B$7:$F$19,5,FALSE)</f>
        <v>Rate Base</v>
      </c>
      <c r="R306" s="737">
        <f>VLOOKUP($P306,Allocators!$B$7:$F$19,2,FALSE)</f>
        <v>0.70940000000000003</v>
      </c>
      <c r="S306" s="737">
        <f>VLOOKUP($P306,Allocators!$B$7:$F$19,3,FALSE)</f>
        <v>0.29060000000000002</v>
      </c>
      <c r="T306" s="737" t="str">
        <f t="shared" ref="T306" si="94">IF(P306="N",1,"0.0%")</f>
        <v>0.0%</v>
      </c>
      <c r="U306" s="2" t="str">
        <f t="shared" si="83"/>
        <v/>
      </c>
      <c r="V306" s="2" t="str">
        <f t="shared" si="84"/>
        <v/>
      </c>
      <c r="W306" s="2" t="str">
        <f t="shared" si="85"/>
        <v/>
      </c>
      <c r="X306" s="2">
        <f t="shared" si="81"/>
        <v>0</v>
      </c>
      <c r="Y306" s="2" t="str">
        <f t="shared" si="86"/>
        <v/>
      </c>
      <c r="Z306" s="2" t="str">
        <f t="shared" si="87"/>
        <v/>
      </c>
      <c r="AA306" s="2" t="str">
        <f t="shared" si="88"/>
        <v/>
      </c>
      <c r="AB306" s="2">
        <f t="shared" si="82"/>
        <v>0</v>
      </c>
      <c r="AC306" s="759">
        <v>0</v>
      </c>
      <c r="AD306" s="741">
        <v>0</v>
      </c>
      <c r="AE306" s="741">
        <v>0</v>
      </c>
      <c r="AF306" s="741">
        <v>0</v>
      </c>
      <c r="AG306" s="741">
        <v>0</v>
      </c>
      <c r="AH306" s="741">
        <v>0</v>
      </c>
      <c r="AI306" s="741">
        <v>0</v>
      </c>
      <c r="AJ306" s="741">
        <v>0</v>
      </c>
      <c r="AK306" s="741">
        <v>0</v>
      </c>
      <c r="AL306" s="741">
        <v>0</v>
      </c>
      <c r="AM306" s="741">
        <v>0</v>
      </c>
      <c r="AN306" s="741">
        <v>0</v>
      </c>
      <c r="AO306" s="741">
        <v>0</v>
      </c>
      <c r="AP306" s="41" t="str">
        <f t="shared" si="78"/>
        <v>GLA</v>
      </c>
      <c r="AQ306" s="41" t="str">
        <f t="shared" si="79"/>
        <v>GLAA20</v>
      </c>
      <c r="AR306" s="41" t="str">
        <f t="shared" si="80"/>
        <v>A20</v>
      </c>
      <c r="CR306" s="625"/>
    </row>
    <row r="307" spans="1:96" s="41" customFormat="1" ht="12.75" customHeight="1">
      <c r="A307" s="25" t="s">
        <v>17</v>
      </c>
      <c r="B307" s="25" t="str">
        <f t="shared" si="90"/>
        <v>GL184013</v>
      </c>
      <c r="C307" s="638">
        <v>184013</v>
      </c>
      <c r="D307" s="735"/>
      <c r="F307" s="1" t="s">
        <v>300</v>
      </c>
      <c r="H307" s="736">
        <v>0</v>
      </c>
      <c r="I307" s="25"/>
      <c r="J307" s="25"/>
      <c r="K307" s="442" t="str">
        <f t="shared" si="89"/>
        <v/>
      </c>
      <c r="L307" s="736" t="s">
        <v>2393</v>
      </c>
      <c r="M307" s="25" t="str">
        <f t="shared" si="91"/>
        <v>A</v>
      </c>
      <c r="N307" s="25" t="str">
        <f>IF(L307&lt;&gt;"",VLOOKUP(L307,Categories!$B$2:$D$41,2,FALSE),IF(F307&lt;&gt;"","No Cat",""))</f>
        <v>All Other</v>
      </c>
      <c r="O307" s="25" t="str">
        <f>IF($L307&lt;&gt;"",VLOOKUP($L307,Categories!$B$2:$D$41,3,FALSE),IF($F307&lt;&gt;"","No Cat",""))</f>
        <v>EB-Cap</v>
      </c>
      <c r="P307" s="736" t="s">
        <v>2490</v>
      </c>
      <c r="Q307" s="25" t="str">
        <f>VLOOKUP($P307,Allocators!$B$7:$F$19,5,FALSE)</f>
        <v>Rate Base</v>
      </c>
      <c r="R307" s="737">
        <f>VLOOKUP($P307,Allocators!$B$7:$F$19,2,FALSE)</f>
        <v>0.70940000000000003</v>
      </c>
      <c r="S307" s="737">
        <f>VLOOKUP($P307,Allocators!$B$7:$F$19,3,FALSE)</f>
        <v>0.29060000000000002</v>
      </c>
      <c r="T307" s="737" t="str">
        <f t="shared" si="92"/>
        <v>0.0%</v>
      </c>
      <c r="U307" s="2" t="str">
        <f t="shared" si="83"/>
        <v/>
      </c>
      <c r="V307" s="2" t="str">
        <f t="shared" si="84"/>
        <v/>
      </c>
      <c r="W307" s="2" t="str">
        <f t="shared" si="85"/>
        <v/>
      </c>
      <c r="X307" s="2">
        <f t="shared" si="81"/>
        <v>0</v>
      </c>
      <c r="Y307" s="2" t="str">
        <f t="shared" si="86"/>
        <v/>
      </c>
      <c r="Z307" s="2" t="str">
        <f t="shared" si="87"/>
        <v/>
      </c>
      <c r="AA307" s="2" t="str">
        <f t="shared" si="88"/>
        <v/>
      </c>
      <c r="AB307" s="2">
        <f t="shared" si="82"/>
        <v>0</v>
      </c>
      <c r="AC307" s="759">
        <v>0</v>
      </c>
      <c r="AD307" s="741">
        <v>0</v>
      </c>
      <c r="AE307" s="741">
        <v>0</v>
      </c>
      <c r="AF307" s="741">
        <v>0</v>
      </c>
      <c r="AG307" s="741">
        <v>0</v>
      </c>
      <c r="AH307" s="741">
        <v>0</v>
      </c>
      <c r="AI307" s="741">
        <v>0</v>
      </c>
      <c r="AJ307" s="741">
        <v>0</v>
      </c>
      <c r="AK307" s="741">
        <v>0</v>
      </c>
      <c r="AL307" s="741">
        <v>0</v>
      </c>
      <c r="AM307" s="741">
        <v>0</v>
      </c>
      <c r="AN307" s="741">
        <v>0</v>
      </c>
      <c r="AO307" s="741">
        <v>0</v>
      </c>
      <c r="AP307" s="41" t="str">
        <f t="shared" si="78"/>
        <v>GLA</v>
      </c>
      <c r="AQ307" s="41" t="str">
        <f t="shared" si="79"/>
        <v>GLAA20</v>
      </c>
      <c r="AR307" s="41" t="str">
        <f t="shared" si="80"/>
        <v>A20</v>
      </c>
      <c r="CR307" s="625"/>
    </row>
    <row r="308" spans="1:96" s="41" customFormat="1" ht="12.75" customHeight="1">
      <c r="A308" s="25" t="s">
        <v>17</v>
      </c>
      <c r="B308" s="25" t="str">
        <f t="shared" si="90"/>
        <v>GL184014</v>
      </c>
      <c r="C308" s="638">
        <v>184014</v>
      </c>
      <c r="D308" s="735"/>
      <c r="F308" s="1" t="s">
        <v>301</v>
      </c>
      <c r="H308" s="736">
        <v>0</v>
      </c>
      <c r="I308" s="25"/>
      <c r="J308" s="25"/>
      <c r="K308" s="442" t="str">
        <f t="shared" si="89"/>
        <v/>
      </c>
      <c r="L308" s="736" t="s">
        <v>2393</v>
      </c>
      <c r="M308" s="25" t="str">
        <f t="shared" si="91"/>
        <v>A</v>
      </c>
      <c r="N308" s="25" t="str">
        <f>IF(L308&lt;&gt;"",VLOOKUP(L308,Categories!$B$2:$D$41,2,FALSE),IF(F308&lt;&gt;"","No Cat",""))</f>
        <v>All Other</v>
      </c>
      <c r="O308" s="25" t="str">
        <f>IF($L308&lt;&gt;"",VLOOKUP($L308,Categories!$B$2:$D$41,3,FALSE),IF($F308&lt;&gt;"","No Cat",""))</f>
        <v>EB-Cap</v>
      </c>
      <c r="P308" s="736" t="s">
        <v>2490</v>
      </c>
      <c r="Q308" s="25" t="str">
        <f>VLOOKUP($P308,Allocators!$B$7:$F$19,5,FALSE)</f>
        <v>Rate Base</v>
      </c>
      <c r="R308" s="737">
        <f>VLOOKUP($P308,Allocators!$B$7:$F$19,2,FALSE)</f>
        <v>0.70940000000000003</v>
      </c>
      <c r="S308" s="737">
        <f>VLOOKUP($P308,Allocators!$B$7:$F$19,3,FALSE)</f>
        <v>0.29060000000000002</v>
      </c>
      <c r="T308" s="737" t="str">
        <f t="shared" si="92"/>
        <v>0.0%</v>
      </c>
      <c r="U308" s="2" t="str">
        <f t="shared" si="83"/>
        <v/>
      </c>
      <c r="V308" s="2" t="str">
        <f t="shared" si="84"/>
        <v/>
      </c>
      <c r="W308" s="2" t="str">
        <f t="shared" si="85"/>
        <v/>
      </c>
      <c r="X308" s="2">
        <f t="shared" si="81"/>
        <v>0</v>
      </c>
      <c r="Y308" s="2" t="str">
        <f t="shared" si="86"/>
        <v/>
      </c>
      <c r="Z308" s="2" t="str">
        <f t="shared" si="87"/>
        <v/>
      </c>
      <c r="AA308" s="2" t="str">
        <f t="shared" si="88"/>
        <v/>
      </c>
      <c r="AB308" s="2">
        <f t="shared" si="82"/>
        <v>0</v>
      </c>
      <c r="AC308" s="759">
        <v>0</v>
      </c>
      <c r="AD308" s="741">
        <v>0</v>
      </c>
      <c r="AE308" s="741">
        <v>0</v>
      </c>
      <c r="AF308" s="741">
        <v>0</v>
      </c>
      <c r="AG308" s="741">
        <v>0</v>
      </c>
      <c r="AH308" s="741">
        <v>0</v>
      </c>
      <c r="AI308" s="741">
        <v>0</v>
      </c>
      <c r="AJ308" s="741">
        <v>0</v>
      </c>
      <c r="AK308" s="741">
        <v>0</v>
      </c>
      <c r="AL308" s="741">
        <v>0</v>
      </c>
      <c r="AM308" s="741">
        <v>0</v>
      </c>
      <c r="AN308" s="741">
        <v>0</v>
      </c>
      <c r="AO308" s="741">
        <v>0</v>
      </c>
      <c r="AP308" s="41" t="str">
        <f t="shared" si="78"/>
        <v>GLA</v>
      </c>
      <c r="AQ308" s="41" t="str">
        <f t="shared" si="79"/>
        <v>GLAA20</v>
      </c>
      <c r="AR308" s="41" t="str">
        <f t="shared" si="80"/>
        <v>A20</v>
      </c>
      <c r="CR308" s="625"/>
    </row>
    <row r="309" spans="1:96" s="41" customFormat="1" ht="12.75" customHeight="1">
      <c r="A309" s="25" t="s">
        <v>17</v>
      </c>
      <c r="B309" s="25" t="str">
        <f t="shared" si="90"/>
        <v>GL184102</v>
      </c>
      <c r="C309" s="638">
        <v>184102</v>
      </c>
      <c r="D309" s="735"/>
      <c r="F309" s="1" t="s">
        <v>302</v>
      </c>
      <c r="H309" s="736">
        <v>0</v>
      </c>
      <c r="I309" s="25"/>
      <c r="J309" s="25"/>
      <c r="K309" s="442" t="str">
        <f t="shared" si="89"/>
        <v/>
      </c>
      <c r="L309" s="736" t="s">
        <v>2393</v>
      </c>
      <c r="M309" s="25" t="str">
        <f t="shared" si="91"/>
        <v>A</v>
      </c>
      <c r="N309" s="25" t="str">
        <f>IF(L309&lt;&gt;"",VLOOKUP(L309,Categories!$B$2:$D$41,2,FALSE),IF(F309&lt;&gt;"","No Cat",""))</f>
        <v>All Other</v>
      </c>
      <c r="O309" s="25" t="str">
        <f>IF($L309&lt;&gt;"",VLOOKUP($L309,Categories!$B$2:$D$41,3,FALSE),IF($F309&lt;&gt;"","No Cat",""))</f>
        <v>EB-Cap</v>
      </c>
      <c r="P309" s="736" t="s">
        <v>2490</v>
      </c>
      <c r="Q309" s="25" t="str">
        <f>VLOOKUP($P309,Allocators!$B$7:$F$19,5,FALSE)</f>
        <v>Rate Base</v>
      </c>
      <c r="R309" s="737">
        <f>VLOOKUP($P309,Allocators!$B$7:$F$19,2,FALSE)</f>
        <v>0.70940000000000003</v>
      </c>
      <c r="S309" s="737">
        <f>VLOOKUP($P309,Allocators!$B$7:$F$19,3,FALSE)</f>
        <v>0.29060000000000002</v>
      </c>
      <c r="T309" s="737" t="str">
        <f t="shared" si="92"/>
        <v>0.0%</v>
      </c>
      <c r="U309" s="2" t="str">
        <f t="shared" si="83"/>
        <v/>
      </c>
      <c r="V309" s="2" t="str">
        <f t="shared" si="84"/>
        <v/>
      </c>
      <c r="W309" s="2" t="str">
        <f t="shared" si="85"/>
        <v/>
      </c>
      <c r="X309" s="2">
        <f t="shared" si="81"/>
        <v>0</v>
      </c>
      <c r="Y309" s="2" t="str">
        <f t="shared" si="86"/>
        <v/>
      </c>
      <c r="Z309" s="2" t="str">
        <f t="shared" si="87"/>
        <v/>
      </c>
      <c r="AA309" s="2" t="str">
        <f t="shared" si="88"/>
        <v/>
      </c>
      <c r="AB309" s="2">
        <f t="shared" si="82"/>
        <v>0</v>
      </c>
      <c r="AC309" s="759">
        <v>0</v>
      </c>
      <c r="AD309" s="741">
        <v>0</v>
      </c>
      <c r="AE309" s="741">
        <v>0</v>
      </c>
      <c r="AF309" s="741">
        <v>0</v>
      </c>
      <c r="AG309" s="741">
        <v>0</v>
      </c>
      <c r="AH309" s="741">
        <v>0</v>
      </c>
      <c r="AI309" s="741">
        <v>0</v>
      </c>
      <c r="AJ309" s="741">
        <v>0</v>
      </c>
      <c r="AK309" s="741">
        <v>0</v>
      </c>
      <c r="AL309" s="741">
        <v>0</v>
      </c>
      <c r="AM309" s="741">
        <v>0</v>
      </c>
      <c r="AN309" s="741">
        <v>0</v>
      </c>
      <c r="AO309" s="741">
        <v>0</v>
      </c>
      <c r="AP309" s="41" t="str">
        <f t="shared" si="78"/>
        <v>GLA</v>
      </c>
      <c r="AQ309" s="41" t="str">
        <f t="shared" si="79"/>
        <v>GLAA20</v>
      </c>
      <c r="AR309" s="41" t="str">
        <f t="shared" si="80"/>
        <v>A20</v>
      </c>
      <c r="CR309" s="625"/>
    </row>
    <row r="310" spans="1:96" s="41" customFormat="1" ht="12.75" customHeight="1">
      <c r="A310" s="25" t="s">
        <v>17</v>
      </c>
      <c r="B310" s="25" t="str">
        <f t="shared" si="90"/>
        <v>GL184110</v>
      </c>
      <c r="C310" s="638">
        <v>184110</v>
      </c>
      <c r="D310" s="735"/>
      <c r="F310" s="1" t="s">
        <v>303</v>
      </c>
      <c r="H310" s="736">
        <v>0</v>
      </c>
      <c r="I310" s="25"/>
      <c r="J310" s="25"/>
      <c r="K310" s="442" t="str">
        <f t="shared" si="89"/>
        <v/>
      </c>
      <c r="L310" s="736" t="s">
        <v>2393</v>
      </c>
      <c r="M310" s="25" t="str">
        <f t="shared" si="91"/>
        <v>A</v>
      </c>
      <c r="N310" s="25" t="str">
        <f>IF(L310&lt;&gt;"",VLOOKUP(L310,Categories!$B$2:$D$41,2,FALSE),IF(F310&lt;&gt;"","No Cat",""))</f>
        <v>All Other</v>
      </c>
      <c r="O310" s="25" t="str">
        <f>IF($L310&lt;&gt;"",VLOOKUP($L310,Categories!$B$2:$D$41,3,FALSE),IF($F310&lt;&gt;"","No Cat",""))</f>
        <v>EB-Cap</v>
      </c>
      <c r="P310" s="736" t="s">
        <v>2490</v>
      </c>
      <c r="Q310" s="25" t="str">
        <f>VLOOKUP($P310,Allocators!$B$7:$F$19,5,FALSE)</f>
        <v>Rate Base</v>
      </c>
      <c r="R310" s="737">
        <f>VLOOKUP($P310,Allocators!$B$7:$F$19,2,FALSE)</f>
        <v>0.70940000000000003</v>
      </c>
      <c r="S310" s="737">
        <f>VLOOKUP($P310,Allocators!$B$7:$F$19,3,FALSE)</f>
        <v>0.29060000000000002</v>
      </c>
      <c r="T310" s="737" t="str">
        <f t="shared" si="92"/>
        <v>0.0%</v>
      </c>
      <c r="U310" s="2">
        <f t="shared" si="83"/>
        <v>-31.818335124000001</v>
      </c>
      <c r="V310" s="2">
        <f t="shared" si="84"/>
        <v>-13.034124876</v>
      </c>
      <c r="W310" s="2">
        <f t="shared" si="85"/>
        <v>0</v>
      </c>
      <c r="X310" s="2">
        <f t="shared" si="81"/>
        <v>-44.852460000000001</v>
      </c>
      <c r="Y310" s="2" t="str">
        <f t="shared" si="86"/>
        <v/>
      </c>
      <c r="Z310" s="2" t="str">
        <f t="shared" si="87"/>
        <v/>
      </c>
      <c r="AA310" s="2" t="str">
        <f t="shared" si="88"/>
        <v/>
      </c>
      <c r="AB310" s="2">
        <f t="shared" si="82"/>
        <v>0</v>
      </c>
      <c r="AC310" s="759">
        <v>0</v>
      </c>
      <c r="AD310" s="741">
        <v>-163.31047000000001</v>
      </c>
      <c r="AE310" s="741">
        <v>39.923360000000002</v>
      </c>
      <c r="AF310" s="741">
        <v>94.005520000000004</v>
      </c>
      <c r="AG310" s="741">
        <v>-48.129889999999996</v>
      </c>
      <c r="AH310" s="741">
        <v>9.9160400000000006</v>
      </c>
      <c r="AI310" s="741">
        <v>42.21454</v>
      </c>
      <c r="AJ310" s="741">
        <v>-53.891040000000004</v>
      </c>
      <c r="AK310" s="741">
        <v>-66.59957</v>
      </c>
      <c r="AL310" s="741">
        <v>-175.56725</v>
      </c>
      <c r="AM310" s="741">
        <v>-265.77626000000004</v>
      </c>
      <c r="AN310" s="741">
        <v>48.985500000000002</v>
      </c>
      <c r="AO310" s="741">
        <v>0</v>
      </c>
      <c r="AP310" s="41" t="str">
        <f t="shared" si="78"/>
        <v>GLA</v>
      </c>
      <c r="AQ310" s="41" t="str">
        <f t="shared" si="79"/>
        <v>GLAA20</v>
      </c>
      <c r="AR310" s="41" t="str">
        <f t="shared" si="80"/>
        <v>A20</v>
      </c>
      <c r="CR310" s="625"/>
    </row>
    <row r="311" spans="1:96" s="41" customFormat="1" ht="12.75" customHeight="1">
      <c r="A311" s="25" t="s">
        <v>17</v>
      </c>
      <c r="B311" s="25" t="str">
        <f t="shared" si="90"/>
        <v>GL184111</v>
      </c>
      <c r="C311" s="638">
        <v>184111</v>
      </c>
      <c r="D311" s="735"/>
      <c r="F311" s="1" t="s">
        <v>304</v>
      </c>
      <c r="H311" s="736">
        <v>0</v>
      </c>
      <c r="I311" s="25"/>
      <c r="J311" s="25"/>
      <c r="K311" s="442" t="str">
        <f t="shared" si="89"/>
        <v/>
      </c>
      <c r="L311" s="736" t="s">
        <v>2393</v>
      </c>
      <c r="M311" s="25" t="str">
        <f t="shared" si="91"/>
        <v>A</v>
      </c>
      <c r="N311" s="25" t="str">
        <f>IF(L311&lt;&gt;"",VLOOKUP(L311,Categories!$B$2:$D$41,2,FALSE),IF(F311&lt;&gt;"","No Cat",""))</f>
        <v>All Other</v>
      </c>
      <c r="O311" s="25" t="str">
        <f>IF($L311&lt;&gt;"",VLOOKUP($L311,Categories!$B$2:$D$41,3,FALSE),IF($F311&lt;&gt;"","No Cat",""))</f>
        <v>EB-Cap</v>
      </c>
      <c r="P311" s="736" t="s">
        <v>2490</v>
      </c>
      <c r="Q311" s="25" t="str">
        <f>VLOOKUP($P311,Allocators!$B$7:$F$19,5,FALSE)</f>
        <v>Rate Base</v>
      </c>
      <c r="R311" s="737">
        <f>VLOOKUP($P311,Allocators!$B$7:$F$19,2,FALSE)</f>
        <v>0.70940000000000003</v>
      </c>
      <c r="S311" s="737">
        <f>VLOOKUP($P311,Allocators!$B$7:$F$19,3,FALSE)</f>
        <v>0.29060000000000002</v>
      </c>
      <c r="T311" s="737" t="str">
        <f t="shared" si="92"/>
        <v>0.0%</v>
      </c>
      <c r="U311" s="2">
        <f t="shared" si="83"/>
        <v>-52.887124362833397</v>
      </c>
      <c r="V311" s="2">
        <f t="shared" si="84"/>
        <v>-21.6647848038333</v>
      </c>
      <c r="W311" s="2">
        <f t="shared" si="85"/>
        <v>0</v>
      </c>
      <c r="X311" s="2">
        <f t="shared" si="81"/>
        <v>-74.551909166666704</v>
      </c>
      <c r="Y311" s="2" t="str">
        <f t="shared" si="86"/>
        <v/>
      </c>
      <c r="Z311" s="2" t="str">
        <f t="shared" si="87"/>
        <v/>
      </c>
      <c r="AA311" s="2" t="str">
        <f t="shared" si="88"/>
        <v/>
      </c>
      <c r="AB311" s="2">
        <f t="shared" si="82"/>
        <v>0</v>
      </c>
      <c r="AC311" s="759">
        <v>0</v>
      </c>
      <c r="AD311" s="741">
        <v>91.197659999999999</v>
      </c>
      <c r="AE311" s="741">
        <v>107.41083999999999</v>
      </c>
      <c r="AF311" s="741">
        <v>34.179919999999996</v>
      </c>
      <c r="AG311" s="741">
        <v>-210.25531000000001</v>
      </c>
      <c r="AH311" s="741">
        <v>-108.44832000000001</v>
      </c>
      <c r="AI311" s="741">
        <v>-149.19042000000002</v>
      </c>
      <c r="AJ311" s="741">
        <v>-165.48798000000002</v>
      </c>
      <c r="AK311" s="741">
        <v>-216.53229999999999</v>
      </c>
      <c r="AL311" s="741">
        <v>-160.11770000000001</v>
      </c>
      <c r="AM311" s="741">
        <v>-84.701949999999997</v>
      </c>
      <c r="AN311" s="741">
        <v>-32.677349999999997</v>
      </c>
      <c r="AO311" s="741">
        <v>0</v>
      </c>
      <c r="AP311" s="41" t="str">
        <f t="shared" si="78"/>
        <v>GLA</v>
      </c>
      <c r="AQ311" s="41" t="str">
        <f t="shared" si="79"/>
        <v>GLAA20</v>
      </c>
      <c r="AR311" s="41" t="str">
        <f t="shared" si="80"/>
        <v>A20</v>
      </c>
      <c r="CR311" s="625"/>
    </row>
    <row r="312" spans="1:96" s="41" customFormat="1" ht="12.75" customHeight="1">
      <c r="A312" s="25" t="s">
        <v>17</v>
      </c>
      <c r="B312" s="25" t="str">
        <f t="shared" si="90"/>
        <v>GL184120</v>
      </c>
      <c r="C312" s="638">
        <v>184120</v>
      </c>
      <c r="D312" s="735"/>
      <c r="F312" s="1" t="s">
        <v>305</v>
      </c>
      <c r="H312" s="736">
        <v>0</v>
      </c>
      <c r="I312" s="25"/>
      <c r="J312" s="25"/>
      <c r="K312" s="442" t="str">
        <f t="shared" si="89"/>
        <v/>
      </c>
      <c r="L312" s="736" t="s">
        <v>2393</v>
      </c>
      <c r="M312" s="25" t="str">
        <f t="shared" si="91"/>
        <v>A</v>
      </c>
      <c r="N312" s="25" t="str">
        <f>IF(L312&lt;&gt;"",VLOOKUP(L312,Categories!$B$2:$D$41,2,FALSE),IF(F312&lt;&gt;"","No Cat",""))</f>
        <v>All Other</v>
      </c>
      <c r="O312" s="25" t="str">
        <f>IF($L312&lt;&gt;"",VLOOKUP($L312,Categories!$B$2:$D$41,3,FALSE),IF($F312&lt;&gt;"","No Cat",""))</f>
        <v>EB-Cap</v>
      </c>
      <c r="P312" s="736" t="s">
        <v>2490</v>
      </c>
      <c r="Q312" s="25" t="str">
        <f>VLOOKUP($P312,Allocators!$B$7:$F$19,5,FALSE)</f>
        <v>Rate Base</v>
      </c>
      <c r="R312" s="737">
        <f>VLOOKUP($P312,Allocators!$B$7:$F$19,2,FALSE)</f>
        <v>0.70940000000000003</v>
      </c>
      <c r="S312" s="737">
        <f>VLOOKUP($P312,Allocators!$B$7:$F$19,3,FALSE)</f>
        <v>0.29060000000000002</v>
      </c>
      <c r="T312" s="737" t="str">
        <f t="shared" si="92"/>
        <v>0.0%</v>
      </c>
      <c r="U312" s="2">
        <f t="shared" si="83"/>
        <v>17.361496170666602</v>
      </c>
      <c r="V312" s="2">
        <f t="shared" si="84"/>
        <v>7.1119971626666603</v>
      </c>
      <c r="W312" s="2">
        <f t="shared" si="85"/>
        <v>0</v>
      </c>
      <c r="X312" s="2">
        <f t="shared" si="81"/>
        <v>24.473493333333298</v>
      </c>
      <c r="Y312" s="2" t="str">
        <f t="shared" si="86"/>
        <v/>
      </c>
      <c r="Z312" s="2" t="str">
        <f t="shared" si="87"/>
        <v/>
      </c>
      <c r="AA312" s="2" t="str">
        <f t="shared" si="88"/>
        <v/>
      </c>
      <c r="AB312" s="2">
        <f t="shared" si="82"/>
        <v>0</v>
      </c>
      <c r="AC312" s="759">
        <v>0</v>
      </c>
      <c r="AD312" s="741">
        <v>48.72889</v>
      </c>
      <c r="AE312" s="741">
        <v>209.16592</v>
      </c>
      <c r="AF312" s="741">
        <v>81.340220000000002</v>
      </c>
      <c r="AG312" s="741">
        <v>-142.30536999999998</v>
      </c>
      <c r="AH312" s="741">
        <v>-4.8576899999999998</v>
      </c>
      <c r="AI312" s="741">
        <v>38.553179999999998</v>
      </c>
      <c r="AJ312" s="741">
        <v>75.01276</v>
      </c>
      <c r="AK312" s="741">
        <v>-58.677849999999999</v>
      </c>
      <c r="AL312" s="741">
        <v>-190.27923000000001</v>
      </c>
      <c r="AM312" s="741">
        <v>39.233489999999996</v>
      </c>
      <c r="AN312" s="741">
        <v>197.76760000000002</v>
      </c>
      <c r="AO312" s="741">
        <v>0</v>
      </c>
      <c r="AP312" s="41" t="str">
        <f t="shared" si="78"/>
        <v>GLA</v>
      </c>
      <c r="AQ312" s="41" t="str">
        <f t="shared" si="79"/>
        <v>GLAA20</v>
      </c>
      <c r="AR312" s="41" t="str">
        <f t="shared" si="80"/>
        <v>A20</v>
      </c>
      <c r="CR312" s="625"/>
    </row>
    <row r="313" spans="1:96" s="41" customFormat="1" ht="12.75" customHeight="1">
      <c r="A313" s="25" t="s">
        <v>17</v>
      </c>
      <c r="B313" s="25" t="str">
        <f t="shared" si="90"/>
        <v>GL184130</v>
      </c>
      <c r="C313" s="638">
        <v>184130</v>
      </c>
      <c r="D313" s="735"/>
      <c r="F313" s="1" t="s">
        <v>306</v>
      </c>
      <c r="H313" s="736">
        <v>0</v>
      </c>
      <c r="I313" s="25"/>
      <c r="J313" s="25"/>
      <c r="K313" s="442" t="str">
        <f t="shared" si="89"/>
        <v/>
      </c>
      <c r="L313" s="736" t="s">
        <v>2393</v>
      </c>
      <c r="M313" s="25" t="str">
        <f t="shared" si="91"/>
        <v>A</v>
      </c>
      <c r="N313" s="25" t="str">
        <f>IF(L313&lt;&gt;"",VLOOKUP(L313,Categories!$B$2:$D$41,2,FALSE),IF(F313&lt;&gt;"","No Cat",""))</f>
        <v>All Other</v>
      </c>
      <c r="O313" s="25" t="str">
        <f>IF($L313&lt;&gt;"",VLOOKUP($L313,Categories!$B$2:$D$41,3,FALSE),IF($F313&lt;&gt;"","No Cat",""))</f>
        <v>EB-Cap</v>
      </c>
      <c r="P313" s="736" t="s">
        <v>2490</v>
      </c>
      <c r="Q313" s="25" t="str">
        <f>VLOOKUP($P313,Allocators!$B$7:$F$19,5,FALSE)</f>
        <v>Rate Base</v>
      </c>
      <c r="R313" s="737">
        <f>VLOOKUP($P313,Allocators!$B$7:$F$19,2,FALSE)</f>
        <v>0.70940000000000003</v>
      </c>
      <c r="S313" s="737">
        <f>VLOOKUP($P313,Allocators!$B$7:$F$19,3,FALSE)</f>
        <v>0.29060000000000002</v>
      </c>
      <c r="T313" s="737" t="str">
        <f t="shared" si="92"/>
        <v>0.0%</v>
      </c>
      <c r="U313" s="2">
        <f t="shared" si="83"/>
        <v>-20.732210270666599</v>
      </c>
      <c r="V313" s="2">
        <f t="shared" si="84"/>
        <v>-8.4927830626666605</v>
      </c>
      <c r="W313" s="2">
        <f t="shared" si="85"/>
        <v>0</v>
      </c>
      <c r="X313" s="2">
        <f t="shared" si="81"/>
        <v>-29.224993333333298</v>
      </c>
      <c r="Y313" s="2" t="str">
        <f t="shared" si="86"/>
        <v/>
      </c>
      <c r="Z313" s="2" t="str">
        <f t="shared" si="87"/>
        <v/>
      </c>
      <c r="AA313" s="2" t="str">
        <f t="shared" si="88"/>
        <v/>
      </c>
      <c r="AB313" s="2">
        <f t="shared" si="82"/>
        <v>0</v>
      </c>
      <c r="AC313" s="759">
        <v>0</v>
      </c>
      <c r="AD313" s="741">
        <v>25.719720000000002</v>
      </c>
      <c r="AE313" s="741">
        <v>139.66051999999999</v>
      </c>
      <c r="AF313" s="741">
        <v>95.633359999999996</v>
      </c>
      <c r="AG313" s="741">
        <v>-82.005139999999997</v>
      </c>
      <c r="AH313" s="741">
        <v>-83.611660000000001</v>
      </c>
      <c r="AI313" s="741">
        <v>-115.46188000000001</v>
      </c>
      <c r="AJ313" s="741">
        <v>-82.424220000000005</v>
      </c>
      <c r="AK313" s="741">
        <v>-182.39106000000001</v>
      </c>
      <c r="AL313" s="741">
        <v>-85.655059999999992</v>
      </c>
      <c r="AM313" s="741">
        <v>-73.043329999999997</v>
      </c>
      <c r="AN313" s="741">
        <v>92.878830000000008</v>
      </c>
      <c r="AO313" s="741">
        <v>0</v>
      </c>
      <c r="AP313" s="41" t="str">
        <f t="shared" si="78"/>
        <v>GLA</v>
      </c>
      <c r="AQ313" s="41" t="str">
        <f t="shared" si="79"/>
        <v>GLAA20</v>
      </c>
      <c r="AR313" s="41" t="str">
        <f t="shared" si="80"/>
        <v>A20</v>
      </c>
      <c r="CR313" s="625"/>
    </row>
    <row r="314" spans="1:96" s="41" customFormat="1" ht="12.75" customHeight="1">
      <c r="A314" s="25" t="s">
        <v>17</v>
      </c>
      <c r="B314" s="25" t="str">
        <f t="shared" si="90"/>
        <v>GL186010</v>
      </c>
      <c r="C314" s="638">
        <v>186010</v>
      </c>
      <c r="D314" s="735"/>
      <c r="F314" s="1" t="s">
        <v>307</v>
      </c>
      <c r="H314" s="736">
        <v>0</v>
      </c>
      <c r="I314" s="25"/>
      <c r="J314" s="25"/>
      <c r="K314" s="442" t="str">
        <f t="shared" si="89"/>
        <v/>
      </c>
      <c r="L314" s="736" t="s">
        <v>2464</v>
      </c>
      <c r="M314" s="25" t="str">
        <f t="shared" si="91"/>
        <v>S</v>
      </c>
      <c r="N314" s="25" t="str">
        <f>IF(L314&lt;&gt;"",VLOOKUP(L314,Categories!$B$2:$D$41,2,FALSE),IF(F314&lt;&gt;"","No Cat",""))</f>
        <v>A&amp;S Sch</v>
      </c>
      <c r="O314" s="25" t="str">
        <f>IF($L314&lt;&gt;"",VLOOKUP($L314,Categories!$B$2:$D$41,3,FALSE),IF($F314&lt;&gt;"","No Cat",""))</f>
        <v>Reg Asset &amp; Liabilities</v>
      </c>
      <c r="P314" s="736" t="s">
        <v>2468</v>
      </c>
      <c r="Q314" s="25" t="str">
        <f>VLOOKUP($P314,Allocators!$B$7:$F$19,5,FALSE)</f>
        <v>Not in Rate Base</v>
      </c>
      <c r="R314" s="737">
        <f>VLOOKUP($P314,Allocators!$B$7:$F$19,2,FALSE)</f>
        <v>0</v>
      </c>
      <c r="S314" s="737">
        <f>VLOOKUP($P314,Allocators!$B$7:$F$19,3,FALSE)</f>
        <v>0</v>
      </c>
      <c r="T314" s="737">
        <f t="shared" si="92"/>
        <v>1</v>
      </c>
      <c r="U314" s="2" t="str">
        <f t="shared" si="83"/>
        <v/>
      </c>
      <c r="V314" s="2" t="str">
        <f t="shared" si="84"/>
        <v/>
      </c>
      <c r="W314" s="2" t="str">
        <f t="shared" si="85"/>
        <v/>
      </c>
      <c r="X314" s="2">
        <f t="shared" si="81"/>
        <v>0</v>
      </c>
      <c r="Y314" s="2" t="str">
        <f t="shared" si="86"/>
        <v/>
      </c>
      <c r="Z314" s="2" t="str">
        <f t="shared" si="87"/>
        <v/>
      </c>
      <c r="AA314" s="2" t="str">
        <f t="shared" si="88"/>
        <v/>
      </c>
      <c r="AB314" s="2">
        <f t="shared" si="82"/>
        <v>0</v>
      </c>
      <c r="AC314" s="759">
        <v>0</v>
      </c>
      <c r="AD314" s="741">
        <v>0</v>
      </c>
      <c r="AE314" s="741">
        <v>0</v>
      </c>
      <c r="AF314" s="741">
        <v>0</v>
      </c>
      <c r="AG314" s="741">
        <v>0</v>
      </c>
      <c r="AH314" s="741">
        <v>0</v>
      </c>
      <c r="AI314" s="741">
        <v>0</v>
      </c>
      <c r="AJ314" s="741">
        <v>0</v>
      </c>
      <c r="AK314" s="741">
        <v>0</v>
      </c>
      <c r="AL314" s="741">
        <v>0</v>
      </c>
      <c r="AM314" s="741">
        <v>0</v>
      </c>
      <c r="AN314" s="741">
        <v>0</v>
      </c>
      <c r="AO314" s="741">
        <v>0</v>
      </c>
      <c r="AP314" s="41" t="str">
        <f t="shared" si="78"/>
        <v>GLS</v>
      </c>
      <c r="AQ314" s="41" t="str">
        <f t="shared" si="79"/>
        <v>GLSS0</v>
      </c>
      <c r="AR314" s="41" t="str">
        <f t="shared" si="80"/>
        <v>S0</v>
      </c>
    </row>
    <row r="315" spans="1:96" s="41" customFormat="1" ht="12.75" customHeight="1">
      <c r="A315" s="25" t="s">
        <v>17</v>
      </c>
      <c r="B315" s="25" t="str">
        <f t="shared" si="90"/>
        <v>GL186013</v>
      </c>
      <c r="C315" s="638">
        <v>186013</v>
      </c>
      <c r="D315" s="735"/>
      <c r="F315" s="1" t="s">
        <v>308</v>
      </c>
      <c r="H315" s="736">
        <v>0</v>
      </c>
      <c r="I315" s="25"/>
      <c r="J315" s="25"/>
      <c r="K315" s="442" t="str">
        <f t="shared" si="89"/>
        <v/>
      </c>
      <c r="L315" s="736" t="s">
        <v>2464</v>
      </c>
      <c r="M315" s="25" t="str">
        <f t="shared" si="91"/>
        <v>S</v>
      </c>
      <c r="N315" s="25" t="str">
        <f>IF(L315&lt;&gt;"",VLOOKUP(L315,Categories!$B$2:$D$41,2,FALSE),IF(F315&lt;&gt;"","No Cat",""))</f>
        <v>A&amp;S Sch</v>
      </c>
      <c r="O315" s="25" t="str">
        <f>IF($L315&lt;&gt;"",VLOOKUP($L315,Categories!$B$2:$D$41,3,FALSE),IF($F315&lt;&gt;"","No Cat",""))</f>
        <v>Reg Asset &amp; Liabilities</v>
      </c>
      <c r="P315" s="736" t="s">
        <v>2468</v>
      </c>
      <c r="Q315" s="25" t="str">
        <f>VLOOKUP($P315,Allocators!$B$7:$F$19,5,FALSE)</f>
        <v>Not in Rate Base</v>
      </c>
      <c r="R315" s="737">
        <f>VLOOKUP($P315,Allocators!$B$7:$F$19,2,FALSE)</f>
        <v>0</v>
      </c>
      <c r="S315" s="737">
        <f>VLOOKUP($P315,Allocators!$B$7:$F$19,3,FALSE)</f>
        <v>0</v>
      </c>
      <c r="T315" s="737">
        <f t="shared" si="92"/>
        <v>1</v>
      </c>
      <c r="U315" s="2" t="str">
        <f t="shared" si="83"/>
        <v/>
      </c>
      <c r="V315" s="2" t="str">
        <f t="shared" si="84"/>
        <v/>
      </c>
      <c r="W315" s="2" t="str">
        <f t="shared" si="85"/>
        <v/>
      </c>
      <c r="X315" s="2">
        <f t="shared" si="81"/>
        <v>0</v>
      </c>
      <c r="Y315" s="2" t="str">
        <f t="shared" si="86"/>
        <v/>
      </c>
      <c r="Z315" s="2" t="str">
        <f t="shared" si="87"/>
        <v/>
      </c>
      <c r="AA315" s="2" t="str">
        <f t="shared" si="88"/>
        <v/>
      </c>
      <c r="AB315" s="2">
        <f t="shared" si="82"/>
        <v>0</v>
      </c>
      <c r="AC315" s="759">
        <v>0</v>
      </c>
      <c r="AD315" s="741">
        <v>0</v>
      </c>
      <c r="AE315" s="741">
        <v>0</v>
      </c>
      <c r="AF315" s="741">
        <v>0</v>
      </c>
      <c r="AG315" s="741">
        <v>0</v>
      </c>
      <c r="AH315" s="741">
        <v>0</v>
      </c>
      <c r="AI315" s="741">
        <v>0</v>
      </c>
      <c r="AJ315" s="741">
        <v>0</v>
      </c>
      <c r="AK315" s="741">
        <v>0</v>
      </c>
      <c r="AL315" s="741">
        <v>0</v>
      </c>
      <c r="AM315" s="741">
        <v>0</v>
      </c>
      <c r="AN315" s="741">
        <v>0</v>
      </c>
      <c r="AO315" s="741">
        <v>0</v>
      </c>
      <c r="AP315" s="41" t="str">
        <f t="shared" si="78"/>
        <v>GLS</v>
      </c>
      <c r="AQ315" s="41" t="str">
        <f t="shared" si="79"/>
        <v>GLSS0</v>
      </c>
      <c r="AR315" s="41" t="str">
        <f t="shared" si="80"/>
        <v>S0</v>
      </c>
    </row>
    <row r="316" spans="1:96" s="41" customFormat="1" ht="12.75" customHeight="1">
      <c r="A316" s="25" t="s">
        <v>17</v>
      </c>
      <c r="B316" s="25" t="str">
        <f t="shared" si="90"/>
        <v>GL186020</v>
      </c>
      <c r="C316" s="638">
        <v>186020</v>
      </c>
      <c r="D316" s="735"/>
      <c r="F316" s="1" t="s">
        <v>309</v>
      </c>
      <c r="H316" s="736">
        <v>0</v>
      </c>
      <c r="I316" s="25"/>
      <c r="J316" s="25"/>
      <c r="K316" s="442" t="str">
        <f t="shared" si="89"/>
        <v/>
      </c>
      <c r="L316" s="736" t="s">
        <v>2464</v>
      </c>
      <c r="M316" s="25" t="str">
        <f t="shared" si="91"/>
        <v>S</v>
      </c>
      <c r="N316" s="25" t="str">
        <f>IF(L316&lt;&gt;"",VLOOKUP(L316,Categories!$B$2:$D$41,2,FALSE),IF(F316&lt;&gt;"","No Cat",""))</f>
        <v>A&amp;S Sch</v>
      </c>
      <c r="O316" s="25" t="str">
        <f>IF($L316&lt;&gt;"",VLOOKUP($L316,Categories!$B$2:$D$41,3,FALSE),IF($F316&lt;&gt;"","No Cat",""))</f>
        <v>Reg Asset &amp; Liabilities</v>
      </c>
      <c r="P316" s="736" t="s">
        <v>2468</v>
      </c>
      <c r="Q316" s="25" t="str">
        <f>VLOOKUP($P316,Allocators!$B$7:$F$19,5,FALSE)</f>
        <v>Not in Rate Base</v>
      </c>
      <c r="R316" s="737">
        <f>VLOOKUP($P316,Allocators!$B$7:$F$19,2,FALSE)</f>
        <v>0</v>
      </c>
      <c r="S316" s="737">
        <f>VLOOKUP($P316,Allocators!$B$7:$F$19,3,FALSE)</f>
        <v>0</v>
      </c>
      <c r="T316" s="737">
        <f t="shared" si="92"/>
        <v>1</v>
      </c>
      <c r="U316" s="2">
        <f t="shared" si="83"/>
        <v>0</v>
      </c>
      <c r="V316" s="2">
        <f t="shared" si="84"/>
        <v>0</v>
      </c>
      <c r="W316" s="2">
        <f t="shared" si="85"/>
        <v>64.847450833333298</v>
      </c>
      <c r="X316" s="2">
        <f t="shared" si="81"/>
        <v>64.847450833333298</v>
      </c>
      <c r="Y316" s="2" t="str">
        <f t="shared" si="86"/>
        <v/>
      </c>
      <c r="Z316" s="2" t="str">
        <f t="shared" si="87"/>
        <v/>
      </c>
      <c r="AA316" s="2" t="str">
        <f t="shared" si="88"/>
        <v/>
      </c>
      <c r="AB316" s="2">
        <f t="shared" si="82"/>
        <v>0</v>
      </c>
      <c r="AC316" s="759">
        <v>0.87438000000000005</v>
      </c>
      <c r="AD316" s="741">
        <v>2.7272699999999999</v>
      </c>
      <c r="AE316" s="741">
        <v>38.74512</v>
      </c>
      <c r="AF316" s="741">
        <v>29.425919999999998</v>
      </c>
      <c r="AG316" s="741">
        <v>6.0553599999999994</v>
      </c>
      <c r="AH316" s="741">
        <v>84.389990000000012</v>
      </c>
      <c r="AI316" s="741">
        <v>104.203</v>
      </c>
      <c r="AJ316" s="741">
        <v>115.93488000000001</v>
      </c>
      <c r="AK316" s="741">
        <v>113.12392999999999</v>
      </c>
      <c r="AL316" s="741">
        <v>8.9600300000000015</v>
      </c>
      <c r="AM316" s="741">
        <v>132.22613000000001</v>
      </c>
      <c r="AN316" s="741">
        <v>141.94058999999999</v>
      </c>
      <c r="AO316" s="741">
        <v>0</v>
      </c>
      <c r="AP316" s="41" t="str">
        <f t="shared" si="78"/>
        <v>GLS</v>
      </c>
      <c r="AQ316" s="41" t="str">
        <f t="shared" si="79"/>
        <v>GLSS0</v>
      </c>
      <c r="AR316" s="41" t="str">
        <f t="shared" si="80"/>
        <v>S0</v>
      </c>
    </row>
    <row r="317" spans="1:96" s="41" customFormat="1" ht="12.75" customHeight="1">
      <c r="A317" s="25" t="s">
        <v>17</v>
      </c>
      <c r="B317" s="25" t="str">
        <f t="shared" si="90"/>
        <v>GL186030</v>
      </c>
      <c r="C317" s="638">
        <v>186030</v>
      </c>
      <c r="D317" s="735"/>
      <c r="F317" s="1" t="s">
        <v>310</v>
      </c>
      <c r="H317" s="736">
        <v>0</v>
      </c>
      <c r="I317" s="25"/>
      <c r="J317" s="25"/>
      <c r="K317" s="442" t="str">
        <f t="shared" si="89"/>
        <v/>
      </c>
      <c r="L317" s="736" t="s">
        <v>2464</v>
      </c>
      <c r="M317" s="25" t="str">
        <f t="shared" si="91"/>
        <v>S</v>
      </c>
      <c r="N317" s="25" t="str">
        <f>IF(L317&lt;&gt;"",VLOOKUP(L317,Categories!$B$2:$D$41,2,FALSE),IF(F317&lt;&gt;"","No Cat",""))</f>
        <v>A&amp;S Sch</v>
      </c>
      <c r="O317" s="25" t="str">
        <f>IF($L317&lt;&gt;"",VLOOKUP($L317,Categories!$B$2:$D$41,3,FALSE),IF($F317&lt;&gt;"","No Cat",""))</f>
        <v>Reg Asset &amp; Liabilities</v>
      </c>
      <c r="P317" s="736" t="s">
        <v>2468</v>
      </c>
      <c r="Q317" s="25" t="str">
        <f>VLOOKUP($P317,Allocators!$B$7:$F$19,5,FALSE)</f>
        <v>Not in Rate Base</v>
      </c>
      <c r="R317" s="737">
        <f>VLOOKUP($P317,Allocators!$B$7:$F$19,2,FALSE)</f>
        <v>0</v>
      </c>
      <c r="S317" s="737">
        <f>VLOOKUP($P317,Allocators!$B$7:$F$19,3,FALSE)</f>
        <v>0</v>
      </c>
      <c r="T317" s="737">
        <f t="shared" si="92"/>
        <v>1</v>
      </c>
      <c r="U317" s="2" t="str">
        <f t="shared" si="83"/>
        <v/>
      </c>
      <c r="V317" s="2" t="str">
        <f t="shared" si="84"/>
        <v/>
      </c>
      <c r="W317" s="2" t="str">
        <f t="shared" si="85"/>
        <v/>
      </c>
      <c r="X317" s="2">
        <f t="shared" si="81"/>
        <v>0</v>
      </c>
      <c r="Y317" s="2" t="str">
        <f t="shared" si="86"/>
        <v/>
      </c>
      <c r="Z317" s="2" t="str">
        <f t="shared" si="87"/>
        <v/>
      </c>
      <c r="AA317" s="2" t="str">
        <f t="shared" si="88"/>
        <v/>
      </c>
      <c r="AB317" s="2">
        <f t="shared" si="82"/>
        <v>0</v>
      </c>
      <c r="AC317" s="759">
        <v>0</v>
      </c>
      <c r="AD317" s="741">
        <v>0</v>
      </c>
      <c r="AE317" s="741">
        <v>0</v>
      </c>
      <c r="AF317" s="741">
        <v>0</v>
      </c>
      <c r="AG317" s="741">
        <v>0</v>
      </c>
      <c r="AH317" s="741">
        <v>0</v>
      </c>
      <c r="AI317" s="741">
        <v>0</v>
      </c>
      <c r="AJ317" s="741">
        <v>0</v>
      </c>
      <c r="AK317" s="741">
        <v>0</v>
      </c>
      <c r="AL317" s="741">
        <v>0</v>
      </c>
      <c r="AM317" s="741">
        <v>0</v>
      </c>
      <c r="AN317" s="741">
        <v>0</v>
      </c>
      <c r="AO317" s="741">
        <v>0</v>
      </c>
      <c r="AP317" s="41" t="str">
        <f t="shared" si="78"/>
        <v>GLS</v>
      </c>
      <c r="AQ317" s="41" t="str">
        <f t="shared" si="79"/>
        <v>GLSS0</v>
      </c>
      <c r="AR317" s="41" t="str">
        <f t="shared" si="80"/>
        <v>S0</v>
      </c>
    </row>
    <row r="318" spans="1:96" s="41" customFormat="1" ht="12.75" customHeight="1">
      <c r="A318" s="25" t="s">
        <v>17</v>
      </c>
      <c r="B318" s="25" t="str">
        <f t="shared" si="90"/>
        <v>GL186110</v>
      </c>
      <c r="C318" s="638">
        <v>186110</v>
      </c>
      <c r="D318" s="735"/>
      <c r="F318" s="1" t="s">
        <v>311</v>
      </c>
      <c r="H318" s="736">
        <v>0</v>
      </c>
      <c r="I318" s="25"/>
      <c r="J318" s="25"/>
      <c r="K318" s="442" t="str">
        <f t="shared" si="89"/>
        <v/>
      </c>
      <c r="L318" s="736" t="s">
        <v>2464</v>
      </c>
      <c r="M318" s="25" t="str">
        <f t="shared" si="91"/>
        <v>S</v>
      </c>
      <c r="N318" s="25" t="str">
        <f>IF(L318&lt;&gt;"",VLOOKUP(L318,Categories!$B$2:$D$41,2,FALSE),IF(F318&lt;&gt;"","No Cat",""))</f>
        <v>A&amp;S Sch</v>
      </c>
      <c r="O318" s="25" t="str">
        <f>IF($L318&lt;&gt;"",VLOOKUP($L318,Categories!$B$2:$D$41,3,FALSE),IF($F318&lt;&gt;"","No Cat",""))</f>
        <v>Reg Asset &amp; Liabilities</v>
      </c>
      <c r="P318" s="736" t="s">
        <v>2468</v>
      </c>
      <c r="Q318" s="25" t="str">
        <f>VLOOKUP($P318,Allocators!$B$7:$F$19,5,FALSE)</f>
        <v>Not in Rate Base</v>
      </c>
      <c r="R318" s="737">
        <f>VLOOKUP($P318,Allocators!$B$7:$F$19,2,FALSE)</f>
        <v>0</v>
      </c>
      <c r="S318" s="737">
        <f>VLOOKUP($P318,Allocators!$B$7:$F$19,3,FALSE)</f>
        <v>0</v>
      </c>
      <c r="T318" s="737">
        <f t="shared" si="92"/>
        <v>1</v>
      </c>
      <c r="U318" s="2" t="str">
        <f t="shared" si="83"/>
        <v/>
      </c>
      <c r="V318" s="2" t="str">
        <f t="shared" si="84"/>
        <v/>
      </c>
      <c r="W318" s="2" t="str">
        <f t="shared" si="85"/>
        <v/>
      </c>
      <c r="X318" s="2">
        <f t="shared" si="81"/>
        <v>0</v>
      </c>
      <c r="Y318" s="2" t="str">
        <f t="shared" si="86"/>
        <v/>
      </c>
      <c r="Z318" s="2" t="str">
        <f t="shared" si="87"/>
        <v/>
      </c>
      <c r="AA318" s="2" t="str">
        <f t="shared" si="88"/>
        <v/>
      </c>
      <c r="AB318" s="2">
        <f t="shared" si="82"/>
        <v>0</v>
      </c>
      <c r="AC318" s="759">
        <v>0</v>
      </c>
      <c r="AD318" s="741">
        <v>0</v>
      </c>
      <c r="AE318" s="741">
        <v>0</v>
      </c>
      <c r="AF318" s="741">
        <v>0</v>
      </c>
      <c r="AG318" s="741">
        <v>0</v>
      </c>
      <c r="AH318" s="741">
        <v>0</v>
      </c>
      <c r="AI318" s="741">
        <v>0</v>
      </c>
      <c r="AJ318" s="741">
        <v>0</v>
      </c>
      <c r="AK318" s="741">
        <v>0</v>
      </c>
      <c r="AL318" s="741">
        <v>0</v>
      </c>
      <c r="AM318" s="741">
        <v>0</v>
      </c>
      <c r="AN318" s="741">
        <v>0</v>
      </c>
      <c r="AO318" s="741">
        <v>0</v>
      </c>
      <c r="AP318" s="41" t="str">
        <f t="shared" si="78"/>
        <v>GLS</v>
      </c>
      <c r="AQ318" s="41" t="str">
        <f t="shared" si="79"/>
        <v>GLSS0</v>
      </c>
      <c r="AR318" s="41" t="str">
        <f t="shared" si="80"/>
        <v>S0</v>
      </c>
    </row>
    <row r="319" spans="1:96" s="41" customFormat="1" ht="12.75" customHeight="1">
      <c r="A319" s="25" t="s">
        <v>17</v>
      </c>
      <c r="B319" s="25" t="str">
        <f t="shared" si="90"/>
        <v>GL186215</v>
      </c>
      <c r="C319" s="638">
        <v>186215</v>
      </c>
      <c r="D319" s="735"/>
      <c r="F319" s="1" t="s">
        <v>312</v>
      </c>
      <c r="H319" s="736" t="s">
        <v>2539</v>
      </c>
      <c r="I319" s="25"/>
      <c r="J319" s="25"/>
      <c r="K319" s="442" t="str">
        <f t="shared" si="89"/>
        <v/>
      </c>
      <c r="L319" s="736" t="s">
        <v>2464</v>
      </c>
      <c r="M319" s="25" t="str">
        <f t="shared" si="91"/>
        <v>S</v>
      </c>
      <c r="N319" s="25" t="str">
        <f>IF(L319&lt;&gt;"",VLOOKUP(L319,Categories!$B$2:$D$41,2,FALSE),IF(F319&lt;&gt;"","No Cat",""))</f>
        <v>A&amp;S Sch</v>
      </c>
      <c r="O319" s="25" t="str">
        <f>IF($L319&lt;&gt;"",VLOOKUP($L319,Categories!$B$2:$D$41,3,FALSE),IF($F319&lt;&gt;"","No Cat",""))</f>
        <v>Reg Asset &amp; Liabilities</v>
      </c>
      <c r="P319" s="736" t="s">
        <v>2468</v>
      </c>
      <c r="Q319" s="25" t="str">
        <f>VLOOKUP($P319,Allocators!$B$7:$F$19,5,FALSE)</f>
        <v>Not in Rate Base</v>
      </c>
      <c r="R319" s="737">
        <f>VLOOKUP($P319,Allocators!$B$7:$F$19,2,FALSE)</f>
        <v>0</v>
      </c>
      <c r="S319" s="737">
        <f>VLOOKUP($P319,Allocators!$B$7:$F$19,3,FALSE)</f>
        <v>0</v>
      </c>
      <c r="T319" s="737">
        <f t="shared" si="92"/>
        <v>1</v>
      </c>
      <c r="U319" s="2" t="str">
        <f t="shared" si="83"/>
        <v/>
      </c>
      <c r="V319" s="2" t="str">
        <f t="shared" si="84"/>
        <v/>
      </c>
      <c r="W319" s="2" t="str">
        <f t="shared" si="85"/>
        <v/>
      </c>
      <c r="X319" s="2">
        <f t="shared" si="81"/>
        <v>0</v>
      </c>
      <c r="Y319" s="2" t="str">
        <f t="shared" si="86"/>
        <v/>
      </c>
      <c r="Z319" s="2" t="str">
        <f t="shared" si="87"/>
        <v/>
      </c>
      <c r="AA319" s="2" t="str">
        <f t="shared" si="88"/>
        <v/>
      </c>
      <c r="AB319" s="2">
        <f t="shared" si="82"/>
        <v>0</v>
      </c>
      <c r="AC319" s="759">
        <v>0</v>
      </c>
      <c r="AD319" s="741">
        <v>0</v>
      </c>
      <c r="AE319" s="741">
        <v>0</v>
      </c>
      <c r="AF319" s="741">
        <v>0</v>
      </c>
      <c r="AG319" s="741">
        <v>0</v>
      </c>
      <c r="AH319" s="741">
        <v>0</v>
      </c>
      <c r="AI319" s="741">
        <v>0</v>
      </c>
      <c r="AJ319" s="741">
        <v>0</v>
      </c>
      <c r="AK319" s="741">
        <v>0</v>
      </c>
      <c r="AL319" s="741">
        <v>0</v>
      </c>
      <c r="AM319" s="741">
        <v>0</v>
      </c>
      <c r="AN319" s="741">
        <v>0</v>
      </c>
      <c r="AO319" s="741">
        <v>0</v>
      </c>
      <c r="AP319" s="41" t="str">
        <f t="shared" si="78"/>
        <v>GLS</v>
      </c>
      <c r="AQ319" s="41" t="str">
        <f t="shared" si="79"/>
        <v>GLSSAccrued Pension</v>
      </c>
      <c r="AR319" s="41" t="str">
        <f t="shared" si="80"/>
        <v>SAccrued Pension</v>
      </c>
    </row>
    <row r="320" spans="1:96" s="41" customFormat="1" ht="12.75" customHeight="1">
      <c r="A320" s="25" t="s">
        <v>17</v>
      </c>
      <c r="B320" s="25" t="str">
        <f t="shared" si="90"/>
        <v>GL186230</v>
      </c>
      <c r="C320" s="638">
        <v>186230</v>
      </c>
      <c r="D320" s="735"/>
      <c r="F320" s="1" t="s">
        <v>313</v>
      </c>
      <c r="H320" s="736">
        <v>0</v>
      </c>
      <c r="I320" s="25"/>
      <c r="J320" s="25"/>
      <c r="K320" s="442" t="str">
        <f t="shared" si="89"/>
        <v/>
      </c>
      <c r="L320" s="736" t="s">
        <v>2464</v>
      </c>
      <c r="M320" s="25" t="str">
        <f t="shared" si="91"/>
        <v>S</v>
      </c>
      <c r="N320" s="25" t="str">
        <f>IF(L320&lt;&gt;"",VLOOKUP(L320,Categories!$B$2:$D$41,2,FALSE),IF(F320&lt;&gt;"","No Cat",""))</f>
        <v>A&amp;S Sch</v>
      </c>
      <c r="O320" s="25" t="str">
        <f>IF($L320&lt;&gt;"",VLOOKUP($L320,Categories!$B$2:$D$41,3,FALSE),IF($F320&lt;&gt;"","No Cat",""))</f>
        <v>Reg Asset &amp; Liabilities</v>
      </c>
      <c r="P320" s="736" t="s">
        <v>2468</v>
      </c>
      <c r="Q320" s="25" t="str">
        <f>VLOOKUP($P320,Allocators!$B$7:$F$19,5,FALSE)</f>
        <v>Not in Rate Base</v>
      </c>
      <c r="R320" s="737">
        <f>VLOOKUP($P320,Allocators!$B$7:$F$19,2,FALSE)</f>
        <v>0</v>
      </c>
      <c r="S320" s="737">
        <f>VLOOKUP($P320,Allocators!$B$7:$F$19,3,FALSE)</f>
        <v>0</v>
      </c>
      <c r="T320" s="737">
        <f t="shared" si="92"/>
        <v>1</v>
      </c>
      <c r="U320" s="2" t="str">
        <f t="shared" si="83"/>
        <v/>
      </c>
      <c r="V320" s="2" t="str">
        <f t="shared" si="84"/>
        <v/>
      </c>
      <c r="W320" s="2" t="str">
        <f t="shared" si="85"/>
        <v/>
      </c>
      <c r="X320" s="2">
        <f t="shared" si="81"/>
        <v>0</v>
      </c>
      <c r="Y320" s="2" t="str">
        <f t="shared" si="86"/>
        <v/>
      </c>
      <c r="Z320" s="2" t="str">
        <f t="shared" si="87"/>
        <v/>
      </c>
      <c r="AA320" s="2" t="str">
        <f t="shared" si="88"/>
        <v/>
      </c>
      <c r="AB320" s="2">
        <f t="shared" si="82"/>
        <v>0</v>
      </c>
      <c r="AC320" s="759">
        <v>0</v>
      </c>
      <c r="AD320" s="741">
        <v>0</v>
      </c>
      <c r="AE320" s="741">
        <v>0</v>
      </c>
      <c r="AF320" s="741">
        <v>0</v>
      </c>
      <c r="AG320" s="741">
        <v>0</v>
      </c>
      <c r="AH320" s="741">
        <v>0</v>
      </c>
      <c r="AI320" s="741">
        <v>0</v>
      </c>
      <c r="AJ320" s="741">
        <v>0</v>
      </c>
      <c r="AK320" s="741">
        <v>0</v>
      </c>
      <c r="AL320" s="741">
        <v>0</v>
      </c>
      <c r="AM320" s="741">
        <v>0</v>
      </c>
      <c r="AN320" s="741">
        <v>0</v>
      </c>
      <c r="AO320" s="741">
        <v>0</v>
      </c>
      <c r="AP320" s="41" t="str">
        <f t="shared" si="78"/>
        <v>GLS</v>
      </c>
      <c r="AQ320" s="41" t="str">
        <f t="shared" si="79"/>
        <v>GLSS0</v>
      </c>
      <c r="AR320" s="41" t="str">
        <f t="shared" si="80"/>
        <v>S0</v>
      </c>
    </row>
    <row r="321" spans="1:44" s="41" customFormat="1" ht="12.75" customHeight="1">
      <c r="A321" s="25" t="s">
        <v>17</v>
      </c>
      <c r="B321" s="25" t="str">
        <f t="shared" si="90"/>
        <v>GL186255</v>
      </c>
      <c r="C321" s="638">
        <v>186255</v>
      </c>
      <c r="D321" s="735"/>
      <c r="F321" s="1" t="s">
        <v>314</v>
      </c>
      <c r="H321" s="736">
        <v>0</v>
      </c>
      <c r="I321" s="25"/>
      <c r="J321" s="25"/>
      <c r="K321" s="442" t="str">
        <f t="shared" si="89"/>
        <v/>
      </c>
      <c r="L321" s="736" t="s">
        <v>2464</v>
      </c>
      <c r="M321" s="25" t="str">
        <f t="shared" si="91"/>
        <v>S</v>
      </c>
      <c r="N321" s="25" t="str">
        <f>IF(L321&lt;&gt;"",VLOOKUP(L321,Categories!$B$2:$D$41,2,FALSE),IF(F321&lt;&gt;"","No Cat",""))</f>
        <v>A&amp;S Sch</v>
      </c>
      <c r="O321" s="25" t="str">
        <f>IF($L321&lt;&gt;"",VLOOKUP($L321,Categories!$B$2:$D$41,3,FALSE),IF($F321&lt;&gt;"","No Cat",""))</f>
        <v>Reg Asset &amp; Liabilities</v>
      </c>
      <c r="P321" s="736" t="s">
        <v>2468</v>
      </c>
      <c r="Q321" s="25" t="str">
        <f>VLOOKUP($P321,Allocators!$B$7:$F$19,5,FALSE)</f>
        <v>Not in Rate Base</v>
      </c>
      <c r="R321" s="737">
        <f>VLOOKUP($P321,Allocators!$B$7:$F$19,2,FALSE)</f>
        <v>0</v>
      </c>
      <c r="S321" s="737">
        <f>VLOOKUP($P321,Allocators!$B$7:$F$19,3,FALSE)</f>
        <v>0</v>
      </c>
      <c r="T321" s="737">
        <f t="shared" si="92"/>
        <v>1</v>
      </c>
      <c r="U321" s="2">
        <f t="shared" si="83"/>
        <v>0</v>
      </c>
      <c r="V321" s="2">
        <f t="shared" si="84"/>
        <v>0</v>
      </c>
      <c r="W321" s="2">
        <f t="shared" si="85"/>
        <v>319.17366166666699</v>
      </c>
      <c r="X321" s="2">
        <f t="shared" si="81"/>
        <v>319.17366166666699</v>
      </c>
      <c r="Y321" s="2">
        <f t="shared" si="86"/>
        <v>0</v>
      </c>
      <c r="Z321" s="2">
        <f t="shared" si="87"/>
        <v>0</v>
      </c>
      <c r="AA321" s="2">
        <f t="shared" si="88"/>
        <v>241.38937999999999</v>
      </c>
      <c r="AB321" s="2">
        <f t="shared" si="82"/>
        <v>241.38938000000002</v>
      </c>
      <c r="AC321" s="759">
        <v>297.77497999999997</v>
      </c>
      <c r="AD321" s="741">
        <v>177.85157000000001</v>
      </c>
      <c r="AE321" s="741">
        <v>236.81864000000002</v>
      </c>
      <c r="AF321" s="741">
        <v>330.08989000000003</v>
      </c>
      <c r="AG321" s="741">
        <v>352.82873000000001</v>
      </c>
      <c r="AH321" s="741">
        <v>355.18128999999999</v>
      </c>
      <c r="AI321" s="741">
        <v>389.52253999999999</v>
      </c>
      <c r="AJ321" s="741">
        <v>388.87198999999998</v>
      </c>
      <c r="AK321" s="741">
        <v>372.62288000000001</v>
      </c>
      <c r="AL321" s="741">
        <v>354.35</v>
      </c>
      <c r="AM321" s="741">
        <v>352.40840999999995</v>
      </c>
      <c r="AN321" s="741">
        <v>249.95582000000002</v>
      </c>
      <c r="AO321" s="741">
        <v>241.38938000000002</v>
      </c>
      <c r="AP321" s="41" t="str">
        <f t="shared" si="78"/>
        <v>GLS</v>
      </c>
      <c r="AQ321" s="41" t="str">
        <f t="shared" si="79"/>
        <v>GLSS0</v>
      </c>
      <c r="AR321" s="41" t="str">
        <f t="shared" si="80"/>
        <v>S0</v>
      </c>
    </row>
    <row r="322" spans="1:44" s="41" customFormat="1" ht="12.75" customHeight="1">
      <c r="A322" s="25" t="s">
        <v>17</v>
      </c>
      <c r="B322" s="25" t="str">
        <f t="shared" si="90"/>
        <v>GL186270</v>
      </c>
      <c r="C322" s="638">
        <v>186270</v>
      </c>
      <c r="D322" s="735"/>
      <c r="F322" s="1" t="s">
        <v>315</v>
      </c>
      <c r="H322" s="736">
        <v>0</v>
      </c>
      <c r="I322" s="25"/>
      <c r="J322" s="25"/>
      <c r="K322" s="442" t="str">
        <f t="shared" si="89"/>
        <v/>
      </c>
      <c r="L322" s="736" t="s">
        <v>2464</v>
      </c>
      <c r="M322" s="25" t="str">
        <f t="shared" si="91"/>
        <v>S</v>
      </c>
      <c r="N322" s="25" t="str">
        <f>IF(L322&lt;&gt;"",VLOOKUP(L322,Categories!$B$2:$D$41,2,FALSE),IF(F322&lt;&gt;"","No Cat",""))</f>
        <v>A&amp;S Sch</v>
      </c>
      <c r="O322" s="25" t="str">
        <f>IF($L322&lt;&gt;"",VLOOKUP($L322,Categories!$B$2:$D$41,3,FALSE),IF($F322&lt;&gt;"","No Cat",""))</f>
        <v>Reg Asset &amp; Liabilities</v>
      </c>
      <c r="P322" s="736" t="s">
        <v>2468</v>
      </c>
      <c r="Q322" s="25" t="str">
        <f>VLOOKUP($P322,Allocators!$B$7:$F$19,5,FALSE)</f>
        <v>Not in Rate Base</v>
      </c>
      <c r="R322" s="737">
        <f>VLOOKUP($P322,Allocators!$B$7:$F$19,2,FALSE)</f>
        <v>0</v>
      </c>
      <c r="S322" s="737">
        <f>VLOOKUP($P322,Allocators!$B$7:$F$19,3,FALSE)</f>
        <v>0</v>
      </c>
      <c r="T322" s="737">
        <f t="shared" si="92"/>
        <v>1</v>
      </c>
      <c r="U322" s="2">
        <f t="shared" si="83"/>
        <v>0</v>
      </c>
      <c r="V322" s="2">
        <f t="shared" si="84"/>
        <v>0</v>
      </c>
      <c r="W322" s="2">
        <f t="shared" si="85"/>
        <v>8.8395579166666707</v>
      </c>
      <c r="X322" s="2">
        <f t="shared" si="81"/>
        <v>8.8395579166666707</v>
      </c>
      <c r="Y322" s="2">
        <f t="shared" si="86"/>
        <v>0</v>
      </c>
      <c r="Z322" s="2">
        <f t="shared" si="87"/>
        <v>0</v>
      </c>
      <c r="AA322" s="2">
        <f t="shared" si="88"/>
        <v>11.127789999999999</v>
      </c>
      <c r="AB322" s="2">
        <f t="shared" si="82"/>
        <v>11.127790000000001</v>
      </c>
      <c r="AC322" s="759">
        <v>19.451779999999999</v>
      </c>
      <c r="AD322" s="741">
        <v>25.872799999999998</v>
      </c>
      <c r="AE322" s="741">
        <v>0</v>
      </c>
      <c r="AF322" s="741">
        <v>0</v>
      </c>
      <c r="AG322" s="741">
        <v>0</v>
      </c>
      <c r="AH322" s="741">
        <v>0</v>
      </c>
      <c r="AI322" s="741">
        <v>0</v>
      </c>
      <c r="AJ322" s="741">
        <v>20.400950000000002</v>
      </c>
      <c r="AK322" s="741">
        <v>11.127790000000001</v>
      </c>
      <c r="AL322" s="741">
        <v>11.127790000000001</v>
      </c>
      <c r="AM322" s="741">
        <v>11.127790000000001</v>
      </c>
      <c r="AN322" s="741">
        <v>11.127790000000001</v>
      </c>
      <c r="AO322" s="741">
        <v>11.127790000000001</v>
      </c>
      <c r="AP322" s="41" t="str">
        <f t="shared" si="78"/>
        <v>GLS</v>
      </c>
      <c r="AQ322" s="41" t="str">
        <f t="shared" si="79"/>
        <v>GLSS0</v>
      </c>
      <c r="AR322" s="41" t="str">
        <f t="shared" si="80"/>
        <v>S0</v>
      </c>
    </row>
    <row r="323" spans="1:44" s="41" customFormat="1" ht="12.75" customHeight="1">
      <c r="A323" s="25" t="s">
        <v>17</v>
      </c>
      <c r="B323" s="25" t="str">
        <f t="shared" si="90"/>
        <v>GL186400</v>
      </c>
      <c r="C323" s="638">
        <v>186400</v>
      </c>
      <c r="D323" s="735"/>
      <c r="F323" s="1" t="s">
        <v>316</v>
      </c>
      <c r="H323" s="736">
        <v>0</v>
      </c>
      <c r="I323" s="25"/>
      <c r="J323" s="25"/>
      <c r="K323" s="442" t="str">
        <f t="shared" si="89"/>
        <v/>
      </c>
      <c r="L323" s="736" t="s">
        <v>2464</v>
      </c>
      <c r="M323" s="25" t="str">
        <f t="shared" si="91"/>
        <v>S</v>
      </c>
      <c r="N323" s="25" t="str">
        <f>IF(L323&lt;&gt;"",VLOOKUP(L323,Categories!$B$2:$D$41,2,FALSE),IF(F323&lt;&gt;"","No Cat",""))</f>
        <v>A&amp;S Sch</v>
      </c>
      <c r="O323" s="25" t="str">
        <f>IF($L323&lt;&gt;"",VLOOKUP($L323,Categories!$B$2:$D$41,3,FALSE),IF($F323&lt;&gt;"","No Cat",""))</f>
        <v>Reg Asset &amp; Liabilities</v>
      </c>
      <c r="P323" s="736" t="s">
        <v>2468</v>
      </c>
      <c r="Q323" s="25" t="str">
        <f>VLOOKUP($P323,Allocators!$B$7:$F$19,5,FALSE)</f>
        <v>Not in Rate Base</v>
      </c>
      <c r="R323" s="737">
        <f>VLOOKUP($P323,Allocators!$B$7:$F$19,2,FALSE)</f>
        <v>0</v>
      </c>
      <c r="S323" s="737">
        <f>VLOOKUP($P323,Allocators!$B$7:$F$19,3,FALSE)</f>
        <v>0</v>
      </c>
      <c r="T323" s="737">
        <f t="shared" si="92"/>
        <v>1</v>
      </c>
      <c r="U323" s="2" t="str">
        <f t="shared" si="83"/>
        <v/>
      </c>
      <c r="V323" s="2" t="str">
        <f t="shared" si="84"/>
        <v/>
      </c>
      <c r="W323" s="2" t="str">
        <f t="shared" si="85"/>
        <v/>
      </c>
      <c r="X323" s="2">
        <f t="shared" si="81"/>
        <v>0</v>
      </c>
      <c r="Y323" s="2" t="str">
        <f t="shared" si="86"/>
        <v/>
      </c>
      <c r="Z323" s="2" t="str">
        <f t="shared" si="87"/>
        <v/>
      </c>
      <c r="AA323" s="2" t="str">
        <f t="shared" si="88"/>
        <v/>
      </c>
      <c r="AB323" s="2">
        <f t="shared" si="82"/>
        <v>0</v>
      </c>
      <c r="AC323" s="759">
        <v>0</v>
      </c>
      <c r="AD323" s="741">
        <v>0</v>
      </c>
      <c r="AE323" s="741">
        <v>0</v>
      </c>
      <c r="AF323" s="741">
        <v>0</v>
      </c>
      <c r="AG323" s="741">
        <v>0</v>
      </c>
      <c r="AH323" s="741">
        <v>0</v>
      </c>
      <c r="AI323" s="741">
        <v>0</v>
      </c>
      <c r="AJ323" s="741">
        <v>0</v>
      </c>
      <c r="AK323" s="741">
        <v>0</v>
      </c>
      <c r="AL323" s="741">
        <v>0</v>
      </c>
      <c r="AM323" s="741">
        <v>0</v>
      </c>
      <c r="AN323" s="741">
        <v>0</v>
      </c>
      <c r="AO323" s="741">
        <v>0</v>
      </c>
      <c r="AP323" s="41" t="str">
        <f t="shared" si="78"/>
        <v>GLS</v>
      </c>
      <c r="AQ323" s="41" t="str">
        <f t="shared" si="79"/>
        <v>GLSS0</v>
      </c>
      <c r="AR323" s="41" t="str">
        <f t="shared" si="80"/>
        <v>S0</v>
      </c>
    </row>
    <row r="324" spans="1:44" s="41" customFormat="1" ht="12.75" customHeight="1">
      <c r="A324" s="25" t="s">
        <v>17</v>
      </c>
      <c r="B324" s="25" t="str">
        <f t="shared" si="90"/>
        <v>GL186410</v>
      </c>
      <c r="C324" s="638">
        <v>186410</v>
      </c>
      <c r="D324" s="735"/>
      <c r="F324" s="1" t="s">
        <v>317</v>
      </c>
      <c r="H324" s="736">
        <v>0</v>
      </c>
      <c r="I324" s="25"/>
      <c r="J324" s="25"/>
      <c r="K324" s="442" t="str">
        <f t="shared" si="89"/>
        <v/>
      </c>
      <c r="L324" s="736" t="s">
        <v>2464</v>
      </c>
      <c r="M324" s="25" t="str">
        <f t="shared" si="91"/>
        <v>S</v>
      </c>
      <c r="N324" s="25" t="str">
        <f>IF(L324&lt;&gt;"",VLOOKUP(L324,Categories!$B$2:$D$41,2,FALSE),IF(F324&lt;&gt;"","No Cat",""))</f>
        <v>A&amp;S Sch</v>
      </c>
      <c r="O324" s="25" t="str">
        <f>IF($L324&lt;&gt;"",VLOOKUP($L324,Categories!$B$2:$D$41,3,FALSE),IF($F324&lt;&gt;"","No Cat",""))</f>
        <v>Reg Asset &amp; Liabilities</v>
      </c>
      <c r="P324" s="736" t="s">
        <v>2468</v>
      </c>
      <c r="Q324" s="25" t="str">
        <f>VLOOKUP($P324,Allocators!$B$7:$F$19,5,FALSE)</f>
        <v>Not in Rate Base</v>
      </c>
      <c r="R324" s="737">
        <f>VLOOKUP($P324,Allocators!$B$7:$F$19,2,FALSE)</f>
        <v>0</v>
      </c>
      <c r="S324" s="737">
        <f>VLOOKUP($P324,Allocators!$B$7:$F$19,3,FALSE)</f>
        <v>0</v>
      </c>
      <c r="T324" s="737">
        <f t="shared" si="92"/>
        <v>1</v>
      </c>
      <c r="U324" s="2" t="str">
        <f t="shared" si="83"/>
        <v/>
      </c>
      <c r="V324" s="2" t="str">
        <f t="shared" si="84"/>
        <v/>
      </c>
      <c r="W324" s="2" t="str">
        <f t="shared" si="85"/>
        <v/>
      </c>
      <c r="X324" s="2">
        <f t="shared" si="81"/>
        <v>0</v>
      </c>
      <c r="Y324" s="2" t="str">
        <f t="shared" si="86"/>
        <v/>
      </c>
      <c r="Z324" s="2" t="str">
        <f t="shared" si="87"/>
        <v/>
      </c>
      <c r="AA324" s="2" t="str">
        <f t="shared" si="88"/>
        <v/>
      </c>
      <c r="AB324" s="2">
        <f t="shared" si="82"/>
        <v>0</v>
      </c>
      <c r="AC324" s="759">
        <v>0</v>
      </c>
      <c r="AD324" s="741">
        <v>0</v>
      </c>
      <c r="AE324" s="741">
        <v>0</v>
      </c>
      <c r="AF324" s="741">
        <v>0</v>
      </c>
      <c r="AG324" s="741">
        <v>0</v>
      </c>
      <c r="AH324" s="741">
        <v>0</v>
      </c>
      <c r="AI324" s="741">
        <v>0</v>
      </c>
      <c r="AJ324" s="741">
        <v>0</v>
      </c>
      <c r="AK324" s="741">
        <v>0</v>
      </c>
      <c r="AL324" s="741">
        <v>0</v>
      </c>
      <c r="AM324" s="741">
        <v>0</v>
      </c>
      <c r="AN324" s="741">
        <v>0</v>
      </c>
      <c r="AO324" s="741">
        <v>0</v>
      </c>
      <c r="AP324" s="41" t="str">
        <f t="shared" si="78"/>
        <v>GLS</v>
      </c>
      <c r="AQ324" s="41" t="str">
        <f t="shared" si="79"/>
        <v>GLSS0</v>
      </c>
      <c r="AR324" s="41" t="str">
        <f t="shared" si="80"/>
        <v>S0</v>
      </c>
    </row>
    <row r="325" spans="1:44" s="41" customFormat="1" ht="12.75" customHeight="1">
      <c r="A325" s="25" t="s">
        <v>17</v>
      </c>
      <c r="B325" s="25" t="str">
        <f t="shared" si="90"/>
        <v>GL186850</v>
      </c>
      <c r="C325" s="638">
        <v>186850</v>
      </c>
      <c r="D325" s="735"/>
      <c r="F325" s="1" t="s">
        <v>318</v>
      </c>
      <c r="H325" s="736">
        <v>0</v>
      </c>
      <c r="I325" s="25"/>
      <c r="J325" s="25"/>
      <c r="K325" s="442" t="str">
        <f t="shared" si="89"/>
        <v/>
      </c>
      <c r="L325" s="736" t="s">
        <v>2464</v>
      </c>
      <c r="M325" s="25" t="str">
        <f t="shared" si="91"/>
        <v>S</v>
      </c>
      <c r="N325" s="25" t="str">
        <f>IF(L325&lt;&gt;"",VLOOKUP(L325,Categories!$B$2:$D$41,2,FALSE),IF(F325&lt;&gt;"","No Cat",""))</f>
        <v>A&amp;S Sch</v>
      </c>
      <c r="O325" s="25" t="str">
        <f>IF($L325&lt;&gt;"",VLOOKUP($L325,Categories!$B$2:$D$41,3,FALSE),IF($F325&lt;&gt;"","No Cat",""))</f>
        <v>Reg Asset &amp; Liabilities</v>
      </c>
      <c r="P325" s="736" t="s">
        <v>2468</v>
      </c>
      <c r="Q325" s="25" t="str">
        <f>VLOOKUP($P325,Allocators!$B$7:$F$19,5,FALSE)</f>
        <v>Not in Rate Base</v>
      </c>
      <c r="R325" s="737">
        <f>VLOOKUP($P325,Allocators!$B$7:$F$19,2,FALSE)</f>
        <v>0</v>
      </c>
      <c r="S325" s="737">
        <f>VLOOKUP($P325,Allocators!$B$7:$F$19,3,FALSE)</f>
        <v>0</v>
      </c>
      <c r="T325" s="737">
        <f t="shared" si="92"/>
        <v>1</v>
      </c>
      <c r="U325" s="2" t="str">
        <f t="shared" si="83"/>
        <v/>
      </c>
      <c r="V325" s="2" t="str">
        <f t="shared" si="84"/>
        <v/>
      </c>
      <c r="W325" s="2" t="str">
        <f t="shared" si="85"/>
        <v/>
      </c>
      <c r="X325" s="2">
        <f t="shared" si="81"/>
        <v>0</v>
      </c>
      <c r="Y325" s="2" t="str">
        <f t="shared" si="86"/>
        <v/>
      </c>
      <c r="Z325" s="2" t="str">
        <f t="shared" si="87"/>
        <v/>
      </c>
      <c r="AA325" s="2" t="str">
        <f t="shared" si="88"/>
        <v/>
      </c>
      <c r="AB325" s="2">
        <f t="shared" si="82"/>
        <v>0</v>
      </c>
      <c r="AC325" s="759">
        <v>0</v>
      </c>
      <c r="AD325" s="741">
        <v>0</v>
      </c>
      <c r="AE325" s="741">
        <v>0</v>
      </c>
      <c r="AF325" s="741">
        <v>0</v>
      </c>
      <c r="AG325" s="741">
        <v>0</v>
      </c>
      <c r="AH325" s="741">
        <v>0</v>
      </c>
      <c r="AI325" s="741">
        <v>0</v>
      </c>
      <c r="AJ325" s="741">
        <v>0</v>
      </c>
      <c r="AK325" s="741">
        <v>0</v>
      </c>
      <c r="AL325" s="741">
        <v>0</v>
      </c>
      <c r="AM325" s="741">
        <v>0</v>
      </c>
      <c r="AN325" s="741">
        <v>0</v>
      </c>
      <c r="AO325" s="741">
        <v>0</v>
      </c>
      <c r="AP325" s="41" t="str">
        <f t="shared" si="78"/>
        <v>GLS</v>
      </c>
      <c r="AQ325" s="41" t="str">
        <f t="shared" si="79"/>
        <v>GLSS0</v>
      </c>
      <c r="AR325" s="41" t="str">
        <f t="shared" si="80"/>
        <v>S0</v>
      </c>
    </row>
    <row r="326" spans="1:44" s="41" customFormat="1" ht="12.75" customHeight="1">
      <c r="A326" s="25" t="s">
        <v>17</v>
      </c>
      <c r="B326" s="25" t="str">
        <f t="shared" si="90"/>
        <v>GL188000</v>
      </c>
      <c r="C326" s="638">
        <v>188000</v>
      </c>
      <c r="D326" s="735"/>
      <c r="F326" s="1" t="s">
        <v>319</v>
      </c>
      <c r="H326" s="736" t="s">
        <v>2584</v>
      </c>
      <c r="I326" s="25"/>
      <c r="J326" s="25"/>
      <c r="K326" s="442" t="str">
        <f t="shared" si="89"/>
        <v/>
      </c>
      <c r="L326" s="736" t="s">
        <v>2421</v>
      </c>
      <c r="M326" s="25" t="str">
        <f t="shared" si="91"/>
        <v>N</v>
      </c>
      <c r="N326" s="25" t="str">
        <f>IF(L326&lt;&gt;"",VLOOKUP(L326,Categories!$B$2:$D$41,2,FALSE),IF(F326&lt;&gt;"","No Cat",""))</f>
        <v>NRBASE</v>
      </c>
      <c r="O326" s="25" t="str">
        <f>IF($L326&lt;&gt;"",VLOOKUP($L326,Categories!$B$2:$D$41,3,FALSE),IF($F326&lt;&gt;"","No Cat",""))</f>
        <v>Direct Assign Items Not in RB</v>
      </c>
      <c r="P326" s="736" t="s">
        <v>2468</v>
      </c>
      <c r="Q326" s="25" t="str">
        <f>VLOOKUP($P326,Allocators!$B$7:$F$19,5,FALSE)</f>
        <v>Not in Rate Base</v>
      </c>
      <c r="R326" s="737">
        <f>VLOOKUP($P326,Allocators!$B$7:$F$19,2,FALSE)</f>
        <v>0</v>
      </c>
      <c r="S326" s="737">
        <f>VLOOKUP($P326,Allocators!$B$7:$F$19,3,FALSE)</f>
        <v>0</v>
      </c>
      <c r="T326" s="737">
        <f t="shared" si="92"/>
        <v>1</v>
      </c>
      <c r="U326" s="2">
        <f t="shared" si="83"/>
        <v>0</v>
      </c>
      <c r="V326" s="2">
        <f t="shared" si="84"/>
        <v>0</v>
      </c>
      <c r="W326" s="2">
        <f t="shared" si="85"/>
        <v>136.71595833333299</v>
      </c>
      <c r="X326" s="2">
        <f t="shared" si="81"/>
        <v>136.71595833333299</v>
      </c>
      <c r="Y326" s="2" t="str">
        <f t="shared" si="86"/>
        <v/>
      </c>
      <c r="Z326" s="2" t="str">
        <f t="shared" si="87"/>
        <v/>
      </c>
      <c r="AA326" s="2" t="str">
        <f t="shared" si="88"/>
        <v/>
      </c>
      <c r="AB326" s="2">
        <f t="shared" si="82"/>
        <v>0</v>
      </c>
      <c r="AC326" s="759">
        <v>0</v>
      </c>
      <c r="AD326" s="741">
        <v>86.699910000000003</v>
      </c>
      <c r="AE326" s="741">
        <v>174.05211</v>
      </c>
      <c r="AF326" s="741">
        <v>0</v>
      </c>
      <c r="AG326" s="741">
        <v>112.31007000000001</v>
      </c>
      <c r="AH326" s="741">
        <v>211.96268000000001</v>
      </c>
      <c r="AI326" s="741">
        <v>0</v>
      </c>
      <c r="AJ326" s="741">
        <v>238.90144000000001</v>
      </c>
      <c r="AK326" s="741">
        <v>375.78438</v>
      </c>
      <c r="AL326" s="741">
        <v>0</v>
      </c>
      <c r="AM326" s="741">
        <v>125.28175999999999</v>
      </c>
      <c r="AN326" s="741">
        <v>315.59915000000001</v>
      </c>
      <c r="AO326" s="741">
        <v>0</v>
      </c>
      <c r="AP326" s="41" t="str">
        <f t="shared" si="78"/>
        <v>GLN</v>
      </c>
      <c r="AQ326" s="41" t="str">
        <f t="shared" si="79"/>
        <v>GLNN2Research &amp; Development</v>
      </c>
      <c r="AR326" s="41" t="str">
        <f t="shared" si="80"/>
        <v>N2Research &amp; Development</v>
      </c>
    </row>
    <row r="327" spans="1:44" s="41" customFormat="1" ht="12.75" customHeight="1">
      <c r="A327" s="25" t="s">
        <v>17</v>
      </c>
      <c r="B327" s="25" t="str">
        <f t="shared" si="90"/>
        <v>GL189010</v>
      </c>
      <c r="C327" s="638">
        <v>189010</v>
      </c>
      <c r="D327" s="735"/>
      <c r="F327" s="1" t="s">
        <v>320</v>
      </c>
      <c r="H327" s="736" t="s">
        <v>1775</v>
      </c>
      <c r="I327" s="25"/>
      <c r="J327" s="25"/>
      <c r="K327" s="442" t="str">
        <f t="shared" si="89"/>
        <v/>
      </c>
      <c r="L327" s="736" t="s">
        <v>2441</v>
      </c>
      <c r="M327" s="25" t="str">
        <f t="shared" si="91"/>
        <v>R</v>
      </c>
      <c r="N327" s="25" t="str">
        <f>IF(L327&lt;&gt;"",VLOOKUP(L327,Categories!$B$2:$D$41,2,FALSE),IF(F327&lt;&gt;"","No Cat",""))</f>
        <v>Rate Base</v>
      </c>
      <c r="O327" s="25" t="str">
        <f>IF($L327&lt;&gt;"",VLOOKUP($L327,Categories!$B$2:$D$41,3,FALSE),IF($F327&lt;&gt;"","No Cat",""))</f>
        <v>Deferred Debits &amp; Credits</v>
      </c>
      <c r="P327" s="736" t="s">
        <v>2486</v>
      </c>
      <c r="Q327" s="25" t="str">
        <f>VLOOKUP($P327,Allocators!$B$7:$F$19,5,FALSE)</f>
        <v>Net Plant</v>
      </c>
      <c r="R327" s="737">
        <f>VLOOKUP($P327,Allocators!$B$7:$F$19,2,FALSE)</f>
        <v>0.74150000000000005</v>
      </c>
      <c r="S327" s="737">
        <f>VLOOKUP($P327,Allocators!$B$7:$F$19,3,FALSE)</f>
        <v>0.25850000000000001</v>
      </c>
      <c r="T327" s="737" t="str">
        <f t="shared" si="92"/>
        <v>0.0%</v>
      </c>
      <c r="U327" s="2">
        <f t="shared" si="83"/>
        <v>5171.8899550385404</v>
      </c>
      <c r="V327" s="2">
        <f t="shared" si="84"/>
        <v>1803.01220954479</v>
      </c>
      <c r="W327" s="2">
        <f t="shared" si="85"/>
        <v>0</v>
      </c>
      <c r="X327" s="2">
        <f t="shared" si="81"/>
        <v>6974.90216458333</v>
      </c>
      <c r="Y327" s="2">
        <f t="shared" si="86"/>
        <v>4806.5827173549997</v>
      </c>
      <c r="Z327" s="2">
        <f t="shared" si="87"/>
        <v>1675.6596526450001</v>
      </c>
      <c r="AA327" s="2">
        <f t="shared" si="88"/>
        <v>0</v>
      </c>
      <c r="AB327" s="2">
        <f t="shared" si="82"/>
        <v>6482.2423699999999</v>
      </c>
      <c r="AC327" s="759">
        <v>7472.9907400000002</v>
      </c>
      <c r="AD327" s="741">
        <v>7389.8252000000002</v>
      </c>
      <c r="AE327" s="741">
        <v>7306.6596600000003</v>
      </c>
      <c r="AF327" s="741">
        <v>7223.4941200000003</v>
      </c>
      <c r="AG327" s="741">
        <v>7140.3285800000003</v>
      </c>
      <c r="AH327" s="741">
        <v>7057.1630400000004</v>
      </c>
      <c r="AI327" s="741">
        <v>6973.9975000000004</v>
      </c>
      <c r="AJ327" s="741">
        <v>6890.8319599999995</v>
      </c>
      <c r="AK327" s="741">
        <v>6807.6664199999996</v>
      </c>
      <c r="AL327" s="741">
        <v>6724.5002800000002</v>
      </c>
      <c r="AM327" s="741">
        <v>6643.7476500000002</v>
      </c>
      <c r="AN327" s="741">
        <v>6562.9950099999996</v>
      </c>
      <c r="AO327" s="741">
        <v>6482.2423699999999</v>
      </c>
      <c r="AP327" s="41" t="str">
        <f t="shared" ref="AP327:AP390" si="95">CONCATENATE(A327,M327)</f>
        <v>GLR</v>
      </c>
      <c r="AQ327" s="41" t="str">
        <f t="shared" ref="AQ327:AQ390" si="96">CONCATENATE(AP327,L327,H327)</f>
        <v>GLRR10Gain/Loss on Reacquired Debt</v>
      </c>
      <c r="AR327" s="41" t="str">
        <f t="shared" ref="AR327:AR390" si="97">CONCATENATE(L327,H327,J327)</f>
        <v>R10Gain/Loss on Reacquired Debt</v>
      </c>
    </row>
    <row r="328" spans="1:44" s="41" customFormat="1" ht="12.75" customHeight="1">
      <c r="A328" s="25" t="s">
        <v>17</v>
      </c>
      <c r="B328" s="25" t="str">
        <f t="shared" si="90"/>
        <v>GL190000</v>
      </c>
      <c r="C328" s="638">
        <v>190000</v>
      </c>
      <c r="D328" s="735"/>
      <c r="F328" s="1" t="s">
        <v>321</v>
      </c>
      <c r="H328" s="736">
        <v>0</v>
      </c>
      <c r="I328" s="25"/>
      <c r="J328" s="25"/>
      <c r="K328" s="442" t="str">
        <f t="shared" si="89"/>
        <v/>
      </c>
      <c r="L328" s="736" t="s">
        <v>2466</v>
      </c>
      <c r="M328" s="25" t="str">
        <f t="shared" si="91"/>
        <v>T</v>
      </c>
      <c r="N328" s="25" t="str">
        <f>IF(L328&lt;&gt;"",VLOOKUP(L328,Categories!$B$2:$D$41,2,FALSE),IF(F328&lt;&gt;"","No Cat",""))</f>
        <v>ADIT Sch</v>
      </c>
      <c r="O328" s="25" t="str">
        <f>IF($L328&lt;&gt;"",VLOOKUP($L328,Categories!$B$2:$D$41,3,FALSE),IF($F328&lt;&gt;"","No Cat",""))</f>
        <v>Def Taxes</v>
      </c>
      <c r="P328" s="736" t="s">
        <v>2468</v>
      </c>
      <c r="Q328" s="25" t="str">
        <f>VLOOKUP($P328,Allocators!$B$7:$F$19,5,FALSE)</f>
        <v>Not in Rate Base</v>
      </c>
      <c r="R328" s="737">
        <f>VLOOKUP($P328,Allocators!$B$7:$F$19,2,FALSE)</f>
        <v>0</v>
      </c>
      <c r="S328" s="737">
        <f>VLOOKUP($P328,Allocators!$B$7:$F$19,3,FALSE)</f>
        <v>0</v>
      </c>
      <c r="T328" s="737">
        <f t="shared" si="92"/>
        <v>1</v>
      </c>
      <c r="U328" s="2">
        <f t="shared" si="83"/>
        <v>0</v>
      </c>
      <c r="V328" s="2">
        <f t="shared" si="84"/>
        <v>0</v>
      </c>
      <c r="W328" s="2">
        <f t="shared" si="85"/>
        <v>26928.391604583299</v>
      </c>
      <c r="X328" s="2">
        <f t="shared" ref="X328:X391" si="98">IF(ISERROR(ROUND((SUM(AC328:AO328)-((AC328+AO328))/2)/12,15)),"",ROUND((SUM(AC328:AO328)-((AC328+AO328))/2)/12,15))</f>
        <v>26928.391604583299</v>
      </c>
      <c r="Y328" s="2">
        <f t="shared" si="86"/>
        <v>0</v>
      </c>
      <c r="Z328" s="2">
        <f t="shared" si="87"/>
        <v>0</v>
      </c>
      <c r="AA328" s="2">
        <f t="shared" si="88"/>
        <v>26110.019509999998</v>
      </c>
      <c r="AB328" s="2">
        <f t="shared" ref="AB328:AB391" si="99">IF(AO328="",0,+AO328)</f>
        <v>26110.019510000002</v>
      </c>
      <c r="AC328" s="759">
        <v>27841.32704</v>
      </c>
      <c r="AD328" s="741">
        <v>27704.37255</v>
      </c>
      <c r="AE328" s="741">
        <v>27531.094679999998</v>
      </c>
      <c r="AF328" s="741">
        <v>27371.905569999999</v>
      </c>
      <c r="AG328" s="741">
        <v>27214.610840000001</v>
      </c>
      <c r="AH328" s="741">
        <v>27057.810750000001</v>
      </c>
      <c r="AI328" s="741">
        <v>26886.380149999997</v>
      </c>
      <c r="AJ328" s="741">
        <v>26750.104739999999</v>
      </c>
      <c r="AK328" s="741">
        <v>26599.23763</v>
      </c>
      <c r="AL328" s="741">
        <v>26472.166579999997</v>
      </c>
      <c r="AM328" s="741">
        <v>26343.875479999999</v>
      </c>
      <c r="AN328" s="741">
        <v>26233.46701</v>
      </c>
      <c r="AO328" s="741">
        <v>26110.019510000002</v>
      </c>
      <c r="AP328" s="41" t="str">
        <f t="shared" si="95"/>
        <v>GLT</v>
      </c>
      <c r="AQ328" s="41" t="str">
        <f t="shared" si="96"/>
        <v>GLTT0</v>
      </c>
      <c r="AR328" s="41" t="str">
        <f t="shared" si="97"/>
        <v>T0</v>
      </c>
    </row>
    <row r="329" spans="1:44" s="41" customFormat="1" ht="12.75" customHeight="1">
      <c r="A329" s="25" t="s">
        <v>17</v>
      </c>
      <c r="B329" s="25" t="str">
        <f t="shared" si="90"/>
        <v>GL190001</v>
      </c>
      <c r="C329" s="638">
        <v>190001</v>
      </c>
      <c r="D329" s="735"/>
      <c r="F329" s="1" t="s">
        <v>322</v>
      </c>
      <c r="H329" s="736">
        <v>0</v>
      </c>
      <c r="I329" s="25"/>
      <c r="J329" s="25"/>
      <c r="K329" s="442" t="str">
        <f t="shared" si="89"/>
        <v/>
      </c>
      <c r="L329" s="736" t="s">
        <v>2466</v>
      </c>
      <c r="M329" s="25" t="str">
        <f t="shared" si="91"/>
        <v>T</v>
      </c>
      <c r="N329" s="25" t="str">
        <f>IF(L329&lt;&gt;"",VLOOKUP(L329,Categories!$B$2:$D$41,2,FALSE),IF(F329&lt;&gt;"","No Cat",""))</f>
        <v>ADIT Sch</v>
      </c>
      <c r="O329" s="25" t="str">
        <f>IF($L329&lt;&gt;"",VLOOKUP($L329,Categories!$B$2:$D$41,3,FALSE),IF($F329&lt;&gt;"","No Cat",""))</f>
        <v>Def Taxes</v>
      </c>
      <c r="P329" s="736" t="s">
        <v>2468</v>
      </c>
      <c r="Q329" s="25" t="str">
        <f>VLOOKUP($P329,Allocators!$B$7:$F$19,5,FALSE)</f>
        <v>Not in Rate Base</v>
      </c>
      <c r="R329" s="737">
        <f>VLOOKUP($P329,Allocators!$B$7:$F$19,2,FALSE)</f>
        <v>0</v>
      </c>
      <c r="S329" s="737">
        <f>VLOOKUP($P329,Allocators!$B$7:$F$19,3,FALSE)</f>
        <v>0</v>
      </c>
      <c r="T329" s="737">
        <f t="shared" si="92"/>
        <v>1</v>
      </c>
      <c r="U329" s="2">
        <f t="shared" ref="U329:U392" si="100">IF(ABS(X329)=0,"",IF($R329="NO ALLOC","NO ALLOC",ROUND($R329*X329,15)))</f>
        <v>0</v>
      </c>
      <c r="V329" s="2">
        <f t="shared" ref="V329:V392" si="101">IF(ABS(X329)=0,"",IF($S329="NO ALLOC","NO ALLOC",ROUND($S329*X329,15)))</f>
        <v>0</v>
      </c>
      <c r="W329" s="2">
        <f t="shared" ref="W329:W392" si="102">IF(ABS(X329)=0,"",IF($T329="NO ALLOC","NO ALLOC",ROUND($T329*X329,15)))</f>
        <v>29998.8712420833</v>
      </c>
      <c r="X329" s="2">
        <f t="shared" si="98"/>
        <v>29998.8712420833</v>
      </c>
      <c r="Y329" s="2">
        <f t="shared" ref="Y329:Y392" si="103">IF(ABS(AB329)=0,"",IF($R329="NO ALLOC","NO ALLOC",ROUND($R329*AB329,15)))</f>
        <v>0</v>
      </c>
      <c r="Z329" s="2">
        <f t="shared" ref="Z329:Z392" si="104">IF(ABS(AB329)=0,"",IF($S329="NO ALLOC","NO ALLOC",ROUND($S329*AB329,15)))</f>
        <v>0</v>
      </c>
      <c r="AA329" s="2">
        <f t="shared" ref="AA329:AA392" si="105">IF(ABS(AB329)=0,"",IF($T329="NO ALLOC","NO ALLOC",ROUND($T329*AB329,15)))</f>
        <v>39038.055670000002</v>
      </c>
      <c r="AB329" s="2">
        <f t="shared" si="99"/>
        <v>39038.055670000002</v>
      </c>
      <c r="AC329" s="759">
        <v>27657.298019999998</v>
      </c>
      <c r="AD329" s="741">
        <v>27669.954949999999</v>
      </c>
      <c r="AE329" s="741">
        <v>27711.116040000001</v>
      </c>
      <c r="AF329" s="741">
        <v>27726.279730000002</v>
      </c>
      <c r="AG329" s="741">
        <v>27542.29725</v>
      </c>
      <c r="AH329" s="741">
        <v>27457.767820000001</v>
      </c>
      <c r="AI329" s="741">
        <v>29381.543149999998</v>
      </c>
      <c r="AJ329" s="741">
        <v>29365.186879999997</v>
      </c>
      <c r="AK329" s="741">
        <v>29373.111519999999</v>
      </c>
      <c r="AL329" s="741">
        <v>30784.881430000001</v>
      </c>
      <c r="AM329" s="741">
        <v>30792.276260000002</v>
      </c>
      <c r="AN329" s="741">
        <v>38834.36303</v>
      </c>
      <c r="AO329" s="741">
        <v>39038.055670000002</v>
      </c>
      <c r="AP329" s="41" t="str">
        <f t="shared" si="95"/>
        <v>GLT</v>
      </c>
      <c r="AQ329" s="41" t="str">
        <f t="shared" si="96"/>
        <v>GLTT0</v>
      </c>
      <c r="AR329" s="41" t="str">
        <f t="shared" si="97"/>
        <v>T0</v>
      </c>
    </row>
    <row r="330" spans="1:44" s="41" customFormat="1" ht="12.75" customHeight="1">
      <c r="A330" s="25" t="s">
        <v>17</v>
      </c>
      <c r="B330" s="25" t="str">
        <f t="shared" si="90"/>
        <v>GL190002</v>
      </c>
      <c r="C330" s="638">
        <v>190002</v>
      </c>
      <c r="D330" s="735"/>
      <c r="F330" s="1" t="s">
        <v>323</v>
      </c>
      <c r="H330" s="736">
        <v>0</v>
      </c>
      <c r="I330" s="25"/>
      <c r="J330" s="25"/>
      <c r="K330" s="442" t="str">
        <f t="shared" si="89"/>
        <v/>
      </c>
      <c r="L330" s="736" t="s">
        <v>2466</v>
      </c>
      <c r="M330" s="25" t="str">
        <f t="shared" si="91"/>
        <v>T</v>
      </c>
      <c r="N330" s="25" t="str">
        <f>IF(L330&lt;&gt;"",VLOOKUP(L330,Categories!$B$2:$D$41,2,FALSE),IF(F330&lt;&gt;"","No Cat",""))</f>
        <v>ADIT Sch</v>
      </c>
      <c r="O330" s="25" t="str">
        <f>IF($L330&lt;&gt;"",VLOOKUP($L330,Categories!$B$2:$D$41,3,FALSE),IF($F330&lt;&gt;"","No Cat",""))</f>
        <v>Def Taxes</v>
      </c>
      <c r="P330" s="736" t="s">
        <v>2468</v>
      </c>
      <c r="Q330" s="25" t="str">
        <f>VLOOKUP($P330,Allocators!$B$7:$F$19,5,FALSE)</f>
        <v>Not in Rate Base</v>
      </c>
      <c r="R330" s="737">
        <f>VLOOKUP($P330,Allocators!$B$7:$F$19,2,FALSE)</f>
        <v>0</v>
      </c>
      <c r="S330" s="737">
        <f>VLOOKUP($P330,Allocators!$B$7:$F$19,3,FALSE)</f>
        <v>0</v>
      </c>
      <c r="T330" s="737">
        <f t="shared" si="92"/>
        <v>1</v>
      </c>
      <c r="U330" s="2">
        <f t="shared" si="100"/>
        <v>0</v>
      </c>
      <c r="V330" s="2">
        <f t="shared" si="101"/>
        <v>0</v>
      </c>
      <c r="W330" s="2">
        <f t="shared" si="102"/>
        <v>14544.7983016667</v>
      </c>
      <c r="X330" s="2">
        <f t="shared" si="98"/>
        <v>14544.7983016667</v>
      </c>
      <c r="Y330" s="2">
        <f t="shared" si="103"/>
        <v>0</v>
      </c>
      <c r="Z330" s="2">
        <f t="shared" si="104"/>
        <v>0</v>
      </c>
      <c r="AA330" s="2">
        <f t="shared" si="105"/>
        <v>18977.141380000001</v>
      </c>
      <c r="AB330" s="2">
        <f t="shared" si="99"/>
        <v>18977.141379999997</v>
      </c>
      <c r="AC330" s="759">
        <v>13915.44328</v>
      </c>
      <c r="AD330" s="741">
        <v>13907.218289999999</v>
      </c>
      <c r="AE330" s="741">
        <v>13913.259470000001</v>
      </c>
      <c r="AF330" s="741">
        <v>13905.89011</v>
      </c>
      <c r="AG330" s="741">
        <v>13843.65674</v>
      </c>
      <c r="AH330" s="741">
        <v>13786.432480000001</v>
      </c>
      <c r="AI330" s="741">
        <v>13881.520689999999</v>
      </c>
      <c r="AJ330" s="741">
        <v>14056.0939</v>
      </c>
      <c r="AK330" s="741">
        <v>13909.008169999999</v>
      </c>
      <c r="AL330" s="741">
        <v>14163.490400000001</v>
      </c>
      <c r="AM330" s="741">
        <v>14406.553390000001</v>
      </c>
      <c r="AN330" s="741">
        <v>18318.163649999999</v>
      </c>
      <c r="AO330" s="741">
        <v>18977.141379999997</v>
      </c>
      <c r="AP330" s="41" t="str">
        <f t="shared" si="95"/>
        <v>GLT</v>
      </c>
      <c r="AQ330" s="41" t="str">
        <f t="shared" si="96"/>
        <v>GLTT0</v>
      </c>
      <c r="AR330" s="41" t="str">
        <f t="shared" si="97"/>
        <v>T0</v>
      </c>
    </row>
    <row r="331" spans="1:44" s="41" customFormat="1" ht="12.75" customHeight="1">
      <c r="A331" s="25" t="s">
        <v>17</v>
      </c>
      <c r="B331" s="25" t="str">
        <f t="shared" si="90"/>
        <v>GL190003</v>
      </c>
      <c r="C331" s="638">
        <v>190003</v>
      </c>
      <c r="D331" s="735"/>
      <c r="F331" s="1" t="s">
        <v>324</v>
      </c>
      <c r="H331" s="736">
        <v>0</v>
      </c>
      <c r="I331" s="25"/>
      <c r="J331" s="25"/>
      <c r="K331" s="442" t="str">
        <f t="shared" si="89"/>
        <v/>
      </c>
      <c r="L331" s="736" t="s">
        <v>2466</v>
      </c>
      <c r="M331" s="25" t="str">
        <f t="shared" si="91"/>
        <v>T</v>
      </c>
      <c r="N331" s="25" t="str">
        <f>IF(L331&lt;&gt;"",VLOOKUP(L331,Categories!$B$2:$D$41,2,FALSE),IF(F331&lt;&gt;"","No Cat",""))</f>
        <v>ADIT Sch</v>
      </c>
      <c r="O331" s="25" t="str">
        <f>IF($L331&lt;&gt;"",VLOOKUP($L331,Categories!$B$2:$D$41,3,FALSE),IF($F331&lt;&gt;"","No Cat",""))</f>
        <v>Def Taxes</v>
      </c>
      <c r="P331" s="736" t="s">
        <v>2468</v>
      </c>
      <c r="Q331" s="25" t="str">
        <f>VLOOKUP($P331,Allocators!$B$7:$F$19,5,FALSE)</f>
        <v>Not in Rate Base</v>
      </c>
      <c r="R331" s="737">
        <f>VLOOKUP($P331,Allocators!$B$7:$F$19,2,FALSE)</f>
        <v>0</v>
      </c>
      <c r="S331" s="737">
        <f>VLOOKUP($P331,Allocators!$B$7:$F$19,3,FALSE)</f>
        <v>0</v>
      </c>
      <c r="T331" s="737">
        <f t="shared" si="92"/>
        <v>1</v>
      </c>
      <c r="U331" s="2">
        <f t="shared" si="100"/>
        <v>0</v>
      </c>
      <c r="V331" s="2">
        <f t="shared" si="101"/>
        <v>0</v>
      </c>
      <c r="W331" s="2">
        <f t="shared" si="102"/>
        <v>-21.768999999999998</v>
      </c>
      <c r="X331" s="2">
        <f t="shared" si="98"/>
        <v>-21.768999999999998</v>
      </c>
      <c r="Y331" s="2">
        <f t="shared" si="103"/>
        <v>0</v>
      </c>
      <c r="Z331" s="2">
        <f t="shared" si="104"/>
        <v>0</v>
      </c>
      <c r="AA331" s="2">
        <f t="shared" si="105"/>
        <v>-21.768999999999998</v>
      </c>
      <c r="AB331" s="2">
        <f t="shared" si="99"/>
        <v>-21.768999999999998</v>
      </c>
      <c r="AC331" s="759">
        <v>-21.768999999999998</v>
      </c>
      <c r="AD331" s="741">
        <v>-21.768999999999998</v>
      </c>
      <c r="AE331" s="741">
        <v>-21.768999999999998</v>
      </c>
      <c r="AF331" s="741">
        <v>-21.768999999999998</v>
      </c>
      <c r="AG331" s="741">
        <v>-21.768999999999998</v>
      </c>
      <c r="AH331" s="741">
        <v>-21.768999999999998</v>
      </c>
      <c r="AI331" s="741">
        <v>-21.768999999999998</v>
      </c>
      <c r="AJ331" s="741">
        <v>-21.768999999999998</v>
      </c>
      <c r="AK331" s="741">
        <v>-21.768999999999998</v>
      </c>
      <c r="AL331" s="741">
        <v>-21.768999999999998</v>
      </c>
      <c r="AM331" s="741">
        <v>-21.768999999999998</v>
      </c>
      <c r="AN331" s="741">
        <v>-21.768999999999998</v>
      </c>
      <c r="AO331" s="741">
        <v>-21.768999999999998</v>
      </c>
      <c r="AP331" s="41" t="str">
        <f t="shared" si="95"/>
        <v>GLT</v>
      </c>
      <c r="AQ331" s="41" t="str">
        <f t="shared" si="96"/>
        <v>GLTT0</v>
      </c>
      <c r="AR331" s="41" t="str">
        <f t="shared" si="97"/>
        <v>T0</v>
      </c>
    </row>
    <row r="332" spans="1:44" s="41" customFormat="1" ht="12.75" customHeight="1">
      <c r="A332" s="25" t="s">
        <v>17</v>
      </c>
      <c r="B332" s="25" t="str">
        <f t="shared" si="90"/>
        <v>GL190004</v>
      </c>
      <c r="C332" s="638">
        <v>190004</v>
      </c>
      <c r="D332" s="735"/>
      <c r="F332" s="1" t="s">
        <v>325</v>
      </c>
      <c r="H332" s="736">
        <v>0</v>
      </c>
      <c r="I332" s="25"/>
      <c r="J332" s="25"/>
      <c r="K332" s="442" t="str">
        <f t="shared" si="89"/>
        <v/>
      </c>
      <c r="L332" s="736" t="s">
        <v>2466</v>
      </c>
      <c r="M332" s="25" t="str">
        <f t="shared" si="91"/>
        <v>T</v>
      </c>
      <c r="N332" s="25" t="str">
        <f>IF(L332&lt;&gt;"",VLOOKUP(L332,Categories!$B$2:$D$41,2,FALSE),IF(F332&lt;&gt;"","No Cat",""))</f>
        <v>ADIT Sch</v>
      </c>
      <c r="O332" s="25" t="str">
        <f>IF($L332&lt;&gt;"",VLOOKUP($L332,Categories!$B$2:$D$41,3,FALSE),IF($F332&lt;&gt;"","No Cat",""))</f>
        <v>Def Taxes</v>
      </c>
      <c r="P332" s="736" t="s">
        <v>2468</v>
      </c>
      <c r="Q332" s="25" t="str">
        <f>VLOOKUP($P332,Allocators!$B$7:$F$19,5,FALSE)</f>
        <v>Not in Rate Base</v>
      </c>
      <c r="R332" s="737">
        <f>VLOOKUP($P332,Allocators!$B$7:$F$19,2,FALSE)</f>
        <v>0</v>
      </c>
      <c r="S332" s="737">
        <f>VLOOKUP($P332,Allocators!$B$7:$F$19,3,FALSE)</f>
        <v>0</v>
      </c>
      <c r="T332" s="737">
        <f t="shared" si="92"/>
        <v>1</v>
      </c>
      <c r="U332" s="2">
        <f t="shared" si="100"/>
        <v>0</v>
      </c>
      <c r="V332" s="2">
        <f t="shared" si="101"/>
        <v>0</v>
      </c>
      <c r="W332" s="2">
        <f t="shared" si="102"/>
        <v>-11.722</v>
      </c>
      <c r="X332" s="2">
        <f t="shared" si="98"/>
        <v>-11.722</v>
      </c>
      <c r="Y332" s="2">
        <f t="shared" si="103"/>
        <v>0</v>
      </c>
      <c r="Z332" s="2">
        <f t="shared" si="104"/>
        <v>0</v>
      </c>
      <c r="AA332" s="2">
        <f t="shared" si="105"/>
        <v>-11.722</v>
      </c>
      <c r="AB332" s="2">
        <f t="shared" si="99"/>
        <v>-11.722</v>
      </c>
      <c r="AC332" s="759">
        <v>-11.722</v>
      </c>
      <c r="AD332" s="741">
        <v>-11.722</v>
      </c>
      <c r="AE332" s="741">
        <v>-11.722</v>
      </c>
      <c r="AF332" s="741">
        <v>-11.722</v>
      </c>
      <c r="AG332" s="741">
        <v>-11.722</v>
      </c>
      <c r="AH332" s="741">
        <v>-11.722</v>
      </c>
      <c r="AI332" s="741">
        <v>-11.722</v>
      </c>
      <c r="AJ332" s="741">
        <v>-11.722</v>
      </c>
      <c r="AK332" s="741">
        <v>-11.722</v>
      </c>
      <c r="AL332" s="741">
        <v>-11.722</v>
      </c>
      <c r="AM332" s="741">
        <v>-11.722</v>
      </c>
      <c r="AN332" s="741">
        <v>-11.722</v>
      </c>
      <c r="AO332" s="741">
        <v>-11.722</v>
      </c>
      <c r="AP332" s="41" t="str">
        <f t="shared" si="95"/>
        <v>GLT</v>
      </c>
      <c r="AQ332" s="41" t="str">
        <f t="shared" si="96"/>
        <v>GLTT0</v>
      </c>
      <c r="AR332" s="41" t="str">
        <f t="shared" si="97"/>
        <v>T0</v>
      </c>
    </row>
    <row r="333" spans="1:44" s="41" customFormat="1" ht="12.75" customHeight="1">
      <c r="A333" s="25" t="s">
        <v>17</v>
      </c>
      <c r="B333" s="25" t="str">
        <f t="shared" si="90"/>
        <v>GL190006</v>
      </c>
      <c r="C333" s="638">
        <v>190006</v>
      </c>
      <c r="D333" s="735"/>
      <c r="F333" s="1" t="s">
        <v>326</v>
      </c>
      <c r="H333" s="736">
        <v>0</v>
      </c>
      <c r="I333" s="25"/>
      <c r="J333" s="25"/>
      <c r="K333" s="442" t="str">
        <f t="shared" ref="K333:K396" si="106">IF(L333="N3","Y","")</f>
        <v/>
      </c>
      <c r="L333" s="736" t="s">
        <v>2466</v>
      </c>
      <c r="M333" s="25" t="str">
        <f t="shared" si="91"/>
        <v>T</v>
      </c>
      <c r="N333" s="25" t="str">
        <f>IF(L333&lt;&gt;"",VLOOKUP(L333,Categories!$B$2:$D$41,2,FALSE),IF(F333&lt;&gt;"","No Cat",""))</f>
        <v>ADIT Sch</v>
      </c>
      <c r="O333" s="25" t="str">
        <f>IF($L333&lt;&gt;"",VLOOKUP($L333,Categories!$B$2:$D$41,3,FALSE),IF($F333&lt;&gt;"","No Cat",""))</f>
        <v>Def Taxes</v>
      </c>
      <c r="P333" s="736" t="s">
        <v>2468</v>
      </c>
      <c r="Q333" s="25" t="str">
        <f>VLOOKUP($P333,Allocators!$B$7:$F$19,5,FALSE)</f>
        <v>Not in Rate Base</v>
      </c>
      <c r="R333" s="737">
        <f>VLOOKUP($P333,Allocators!$B$7:$F$19,2,FALSE)</f>
        <v>0</v>
      </c>
      <c r="S333" s="737">
        <f>VLOOKUP($P333,Allocators!$B$7:$F$19,3,FALSE)</f>
        <v>0</v>
      </c>
      <c r="T333" s="737">
        <f t="shared" si="92"/>
        <v>1</v>
      </c>
      <c r="U333" s="2">
        <f t="shared" si="100"/>
        <v>0</v>
      </c>
      <c r="V333" s="2">
        <f t="shared" si="101"/>
        <v>0</v>
      </c>
      <c r="W333" s="2">
        <f t="shared" si="102"/>
        <v>7907.8387133333299</v>
      </c>
      <c r="X333" s="2">
        <f t="shared" si="98"/>
        <v>7907.8387133333299</v>
      </c>
      <c r="Y333" s="2">
        <f t="shared" si="103"/>
        <v>0</v>
      </c>
      <c r="Z333" s="2">
        <f t="shared" si="104"/>
        <v>0</v>
      </c>
      <c r="AA333" s="2">
        <f t="shared" si="105"/>
        <v>7558.5131199999996</v>
      </c>
      <c r="AB333" s="2">
        <f t="shared" si="99"/>
        <v>7558.5131200000005</v>
      </c>
      <c r="AC333" s="759">
        <v>8410.9587200000005</v>
      </c>
      <c r="AD333" s="741">
        <v>8230.6964399999997</v>
      </c>
      <c r="AE333" s="741">
        <v>7970.9690499999997</v>
      </c>
      <c r="AF333" s="741">
        <v>8286.1051900000002</v>
      </c>
      <c r="AG333" s="741">
        <v>7914.3891299999996</v>
      </c>
      <c r="AH333" s="741">
        <v>8236.2345800000003</v>
      </c>
      <c r="AI333" s="741">
        <v>8850.1600500000004</v>
      </c>
      <c r="AJ333" s="741">
        <v>10362.16915</v>
      </c>
      <c r="AK333" s="741">
        <v>9379.9514399999989</v>
      </c>
      <c r="AL333" s="741">
        <v>5931.4373700000006</v>
      </c>
      <c r="AM333" s="741">
        <v>5916.6728600000006</v>
      </c>
      <c r="AN333" s="741">
        <v>5830.5433800000001</v>
      </c>
      <c r="AO333" s="741">
        <v>7558.5131200000005</v>
      </c>
      <c r="AP333" s="41" t="str">
        <f t="shared" si="95"/>
        <v>GLT</v>
      </c>
      <c r="AQ333" s="41" t="str">
        <f t="shared" si="96"/>
        <v>GLTT0</v>
      </c>
      <c r="AR333" s="41" t="str">
        <f t="shared" si="97"/>
        <v>T0</v>
      </c>
    </row>
    <row r="334" spans="1:44" s="41" customFormat="1" ht="12.75" customHeight="1">
      <c r="A334" s="25" t="s">
        <v>17</v>
      </c>
      <c r="B334" s="25" t="str">
        <f t="shared" si="90"/>
        <v>GL190007</v>
      </c>
      <c r="C334" s="638">
        <v>190007</v>
      </c>
      <c r="D334" s="735"/>
      <c r="F334" s="1" t="s">
        <v>327</v>
      </c>
      <c r="H334" s="736">
        <v>0</v>
      </c>
      <c r="I334" s="25"/>
      <c r="J334" s="25"/>
      <c r="K334" s="442" t="str">
        <f t="shared" si="106"/>
        <v/>
      </c>
      <c r="L334" s="736" t="s">
        <v>2466</v>
      </c>
      <c r="M334" s="25" t="str">
        <f t="shared" si="91"/>
        <v>T</v>
      </c>
      <c r="N334" s="25" t="str">
        <f>IF(L334&lt;&gt;"",VLOOKUP(L334,Categories!$B$2:$D$41,2,FALSE),IF(F334&lt;&gt;"","No Cat",""))</f>
        <v>ADIT Sch</v>
      </c>
      <c r="O334" s="25" t="str">
        <f>IF($L334&lt;&gt;"",VLOOKUP($L334,Categories!$B$2:$D$41,3,FALSE),IF($F334&lt;&gt;"","No Cat",""))</f>
        <v>Def Taxes</v>
      </c>
      <c r="P334" s="736" t="s">
        <v>2468</v>
      </c>
      <c r="Q334" s="25" t="str">
        <f>VLOOKUP($P334,Allocators!$B$7:$F$19,5,FALSE)</f>
        <v>Not in Rate Base</v>
      </c>
      <c r="R334" s="737">
        <f>VLOOKUP($P334,Allocators!$B$7:$F$19,2,FALSE)</f>
        <v>0</v>
      </c>
      <c r="S334" s="737">
        <f>VLOOKUP($P334,Allocators!$B$7:$F$19,3,FALSE)</f>
        <v>0</v>
      </c>
      <c r="T334" s="737">
        <f t="shared" si="92"/>
        <v>1</v>
      </c>
      <c r="U334" s="2">
        <f t="shared" si="100"/>
        <v>0</v>
      </c>
      <c r="V334" s="2">
        <f t="shared" si="101"/>
        <v>0</v>
      </c>
      <c r="W334" s="2">
        <f t="shared" si="102"/>
        <v>5590.0987879166696</v>
      </c>
      <c r="X334" s="2">
        <f t="shared" si="98"/>
        <v>5590.0987879166696</v>
      </c>
      <c r="Y334" s="2">
        <f t="shared" si="103"/>
        <v>0</v>
      </c>
      <c r="Z334" s="2">
        <f t="shared" si="104"/>
        <v>0</v>
      </c>
      <c r="AA334" s="2">
        <f t="shared" si="105"/>
        <v>4869.8465699999997</v>
      </c>
      <c r="AB334" s="2">
        <f t="shared" si="99"/>
        <v>4869.8465700000006</v>
      </c>
      <c r="AC334" s="759">
        <v>5363.5256200000003</v>
      </c>
      <c r="AD334" s="741">
        <v>5007.7418499999994</v>
      </c>
      <c r="AE334" s="741">
        <v>5445.4213899999995</v>
      </c>
      <c r="AF334" s="741">
        <v>5741.3049499999997</v>
      </c>
      <c r="AG334" s="741">
        <v>5759.6672600000002</v>
      </c>
      <c r="AH334" s="741">
        <v>6084.44841</v>
      </c>
      <c r="AI334" s="741">
        <v>6112.4239900000002</v>
      </c>
      <c r="AJ334" s="741">
        <v>6435.8430399999997</v>
      </c>
      <c r="AK334" s="741">
        <v>6234.3244000000004</v>
      </c>
      <c r="AL334" s="741">
        <v>4909.4931500000002</v>
      </c>
      <c r="AM334" s="741">
        <v>5144.1396100000002</v>
      </c>
      <c r="AN334" s="741">
        <v>5089.6913099999992</v>
      </c>
      <c r="AO334" s="741">
        <v>4869.8465700000006</v>
      </c>
      <c r="AP334" s="41" t="str">
        <f t="shared" si="95"/>
        <v>GLT</v>
      </c>
      <c r="AQ334" s="41" t="str">
        <f t="shared" si="96"/>
        <v>GLTT0</v>
      </c>
      <c r="AR334" s="41" t="str">
        <f t="shared" si="97"/>
        <v>T0</v>
      </c>
    </row>
    <row r="335" spans="1:44" s="41" customFormat="1" ht="12.75" customHeight="1">
      <c r="A335" s="25" t="s">
        <v>17</v>
      </c>
      <c r="B335" s="25" t="str">
        <f t="shared" si="90"/>
        <v>GL190008</v>
      </c>
      <c r="C335" s="638">
        <v>190008</v>
      </c>
      <c r="D335" s="735"/>
      <c r="F335" s="1" t="s">
        <v>328</v>
      </c>
      <c r="H335" s="736">
        <v>0</v>
      </c>
      <c r="I335" s="25"/>
      <c r="J335" s="25"/>
      <c r="K335" s="442" t="str">
        <f t="shared" si="106"/>
        <v/>
      </c>
      <c r="L335" s="736" t="s">
        <v>2466</v>
      </c>
      <c r="M335" s="25" t="str">
        <f t="shared" si="91"/>
        <v>T</v>
      </c>
      <c r="N335" s="25" t="str">
        <f>IF(L335&lt;&gt;"",VLOOKUP(L335,Categories!$B$2:$D$41,2,FALSE),IF(F335&lt;&gt;"","No Cat",""))</f>
        <v>ADIT Sch</v>
      </c>
      <c r="O335" s="25" t="str">
        <f>IF($L335&lt;&gt;"",VLOOKUP($L335,Categories!$B$2:$D$41,3,FALSE),IF($F335&lt;&gt;"","No Cat",""))</f>
        <v>Def Taxes</v>
      </c>
      <c r="P335" s="736" t="s">
        <v>2468</v>
      </c>
      <c r="Q335" s="25" t="str">
        <f>VLOOKUP($P335,Allocators!$B$7:$F$19,5,FALSE)</f>
        <v>Not in Rate Base</v>
      </c>
      <c r="R335" s="737">
        <f>VLOOKUP($P335,Allocators!$B$7:$F$19,2,FALSE)</f>
        <v>0</v>
      </c>
      <c r="S335" s="737">
        <f>VLOOKUP($P335,Allocators!$B$7:$F$19,3,FALSE)</f>
        <v>0</v>
      </c>
      <c r="T335" s="737">
        <f t="shared" si="92"/>
        <v>1</v>
      </c>
      <c r="U335" s="2" t="str">
        <f t="shared" si="100"/>
        <v/>
      </c>
      <c r="V335" s="2" t="str">
        <f t="shared" si="101"/>
        <v/>
      </c>
      <c r="W335" s="2" t="str">
        <f t="shared" si="102"/>
        <v/>
      </c>
      <c r="X335" s="2">
        <f t="shared" si="98"/>
        <v>0</v>
      </c>
      <c r="Y335" s="2" t="str">
        <f t="shared" si="103"/>
        <v/>
      </c>
      <c r="Z335" s="2" t="str">
        <f t="shared" si="104"/>
        <v/>
      </c>
      <c r="AA335" s="2" t="str">
        <f t="shared" si="105"/>
        <v/>
      </c>
      <c r="AB335" s="2">
        <f t="shared" si="99"/>
        <v>0</v>
      </c>
      <c r="AC335" s="759">
        <v>0</v>
      </c>
      <c r="AD335" s="741">
        <v>0</v>
      </c>
      <c r="AE335" s="741">
        <v>0</v>
      </c>
      <c r="AF335" s="741">
        <v>0</v>
      </c>
      <c r="AG335" s="741">
        <v>0</v>
      </c>
      <c r="AH335" s="741">
        <v>0</v>
      </c>
      <c r="AI335" s="741">
        <v>0</v>
      </c>
      <c r="AJ335" s="741">
        <v>0</v>
      </c>
      <c r="AK335" s="741">
        <v>0</v>
      </c>
      <c r="AL335" s="741">
        <v>0</v>
      </c>
      <c r="AM335" s="741">
        <v>0</v>
      </c>
      <c r="AN335" s="741">
        <v>0</v>
      </c>
      <c r="AO335" s="741">
        <v>0</v>
      </c>
      <c r="AP335" s="41" t="str">
        <f t="shared" si="95"/>
        <v>GLT</v>
      </c>
      <c r="AQ335" s="41" t="str">
        <f t="shared" si="96"/>
        <v>GLTT0</v>
      </c>
      <c r="AR335" s="41" t="str">
        <f t="shared" si="97"/>
        <v>T0</v>
      </c>
    </row>
    <row r="336" spans="1:44" s="41" customFormat="1" ht="12.75" customHeight="1">
      <c r="A336" s="25" t="s">
        <v>17</v>
      </c>
      <c r="B336" s="25" t="str">
        <f t="shared" si="90"/>
        <v>GL190010</v>
      </c>
      <c r="C336" s="638">
        <v>190010</v>
      </c>
      <c r="D336" s="735"/>
      <c r="F336" s="1" t="s">
        <v>329</v>
      </c>
      <c r="H336" s="736">
        <v>0</v>
      </c>
      <c r="I336" s="25"/>
      <c r="J336" s="25"/>
      <c r="K336" s="442" t="str">
        <f t="shared" si="106"/>
        <v/>
      </c>
      <c r="L336" s="736" t="s">
        <v>2466</v>
      </c>
      <c r="M336" s="25" t="str">
        <f t="shared" si="91"/>
        <v>T</v>
      </c>
      <c r="N336" s="25" t="str">
        <f>IF(L336&lt;&gt;"",VLOOKUP(L336,Categories!$B$2:$D$41,2,FALSE),IF(F336&lt;&gt;"","No Cat",""))</f>
        <v>ADIT Sch</v>
      </c>
      <c r="O336" s="25" t="str">
        <f>IF($L336&lt;&gt;"",VLOOKUP($L336,Categories!$B$2:$D$41,3,FALSE),IF($F336&lt;&gt;"","No Cat",""))</f>
        <v>Def Taxes</v>
      </c>
      <c r="P336" s="736" t="s">
        <v>2468</v>
      </c>
      <c r="Q336" s="25" t="str">
        <f>VLOOKUP($P336,Allocators!$B$7:$F$19,5,FALSE)</f>
        <v>Not in Rate Base</v>
      </c>
      <c r="R336" s="737">
        <f>VLOOKUP($P336,Allocators!$B$7:$F$19,2,FALSE)</f>
        <v>0</v>
      </c>
      <c r="S336" s="737">
        <f>VLOOKUP($P336,Allocators!$B$7:$F$19,3,FALSE)</f>
        <v>0</v>
      </c>
      <c r="T336" s="737">
        <f t="shared" si="92"/>
        <v>1</v>
      </c>
      <c r="U336" s="2">
        <f t="shared" si="100"/>
        <v>0</v>
      </c>
      <c r="V336" s="2">
        <f t="shared" si="101"/>
        <v>0</v>
      </c>
      <c r="W336" s="2">
        <f t="shared" si="102"/>
        <v>5880.1039774999999</v>
      </c>
      <c r="X336" s="2">
        <f t="shared" si="98"/>
        <v>5880.1039774999999</v>
      </c>
      <c r="Y336" s="2">
        <f t="shared" si="103"/>
        <v>0</v>
      </c>
      <c r="Z336" s="2">
        <f t="shared" si="104"/>
        <v>0</v>
      </c>
      <c r="AA336" s="2">
        <f t="shared" si="105"/>
        <v>5701.4036299999998</v>
      </c>
      <c r="AB336" s="2">
        <f t="shared" si="99"/>
        <v>5701.4036299999998</v>
      </c>
      <c r="AC336" s="759">
        <v>6079.4532499999996</v>
      </c>
      <c r="AD336" s="741">
        <v>6049.5477699999992</v>
      </c>
      <c r="AE336" s="741">
        <v>6011.7106699999995</v>
      </c>
      <c r="AF336" s="741">
        <v>5976.9500199999993</v>
      </c>
      <c r="AG336" s="741">
        <v>5942.6030300000002</v>
      </c>
      <c r="AH336" s="741">
        <v>5908.3640500000001</v>
      </c>
      <c r="AI336" s="741">
        <v>5870.9303200000004</v>
      </c>
      <c r="AJ336" s="741">
        <v>5841.1731200000004</v>
      </c>
      <c r="AK336" s="741">
        <v>5808.2296699999997</v>
      </c>
      <c r="AL336" s="741">
        <v>5780.4823299999998</v>
      </c>
      <c r="AM336" s="741">
        <v>5752.4685899999995</v>
      </c>
      <c r="AN336" s="741">
        <v>5728.3597199999995</v>
      </c>
      <c r="AO336" s="741">
        <v>5701.4036299999998</v>
      </c>
      <c r="AP336" s="41" t="str">
        <f t="shared" si="95"/>
        <v>GLT</v>
      </c>
      <c r="AQ336" s="41" t="str">
        <f t="shared" si="96"/>
        <v>GLTT0</v>
      </c>
      <c r="AR336" s="41" t="str">
        <f t="shared" si="97"/>
        <v>T0</v>
      </c>
    </row>
    <row r="337" spans="1:44" s="41" customFormat="1" ht="12.75" customHeight="1">
      <c r="A337" s="25" t="s">
        <v>17</v>
      </c>
      <c r="B337" s="25" t="str">
        <f t="shared" si="90"/>
        <v>GL190011</v>
      </c>
      <c r="C337" s="640">
        <v>190011</v>
      </c>
      <c r="D337" s="735"/>
      <c r="F337" s="1" t="s">
        <v>330</v>
      </c>
      <c r="H337" s="736">
        <v>0</v>
      </c>
      <c r="I337" s="25"/>
      <c r="J337" s="25"/>
      <c r="K337" s="442" t="str">
        <f t="shared" si="106"/>
        <v/>
      </c>
      <c r="L337" s="736" t="s">
        <v>2466</v>
      </c>
      <c r="M337" s="25" t="str">
        <f t="shared" si="91"/>
        <v>T</v>
      </c>
      <c r="N337" s="25" t="str">
        <f>IF(L337&lt;&gt;"",VLOOKUP(L337,Categories!$B$2:$D$41,2,FALSE),IF(F337&lt;&gt;"","No Cat",""))</f>
        <v>ADIT Sch</v>
      </c>
      <c r="O337" s="25" t="str">
        <f>IF($L337&lt;&gt;"",VLOOKUP($L337,Categories!$B$2:$D$41,3,FALSE),IF($F337&lt;&gt;"","No Cat",""))</f>
        <v>Def Taxes</v>
      </c>
      <c r="P337" s="736" t="s">
        <v>2468</v>
      </c>
      <c r="Q337" s="25" t="str">
        <f>VLOOKUP($P337,Allocators!$B$7:$F$19,5,FALSE)</f>
        <v>Not in Rate Base</v>
      </c>
      <c r="R337" s="737">
        <f>VLOOKUP($P337,Allocators!$B$7:$F$19,2,FALSE)</f>
        <v>0</v>
      </c>
      <c r="S337" s="737">
        <f>VLOOKUP($P337,Allocators!$B$7:$F$19,3,FALSE)</f>
        <v>0</v>
      </c>
      <c r="T337" s="737">
        <f t="shared" si="92"/>
        <v>1</v>
      </c>
      <c r="U337" s="2">
        <f t="shared" si="100"/>
        <v>0</v>
      </c>
      <c r="V337" s="2">
        <f t="shared" si="101"/>
        <v>0</v>
      </c>
      <c r="W337" s="2">
        <f t="shared" si="102"/>
        <v>6109.3363191666604</v>
      </c>
      <c r="X337" s="2">
        <f t="shared" si="98"/>
        <v>6109.3363191666604</v>
      </c>
      <c r="Y337" s="2">
        <f t="shared" si="103"/>
        <v>0</v>
      </c>
      <c r="Z337" s="2">
        <f t="shared" si="104"/>
        <v>0</v>
      </c>
      <c r="AA337" s="2">
        <f t="shared" si="105"/>
        <v>7902.5561399999997</v>
      </c>
      <c r="AB337" s="2">
        <f t="shared" si="99"/>
        <v>7902.5561399999997</v>
      </c>
      <c r="AC337" s="759">
        <v>5417.4452799999999</v>
      </c>
      <c r="AD337" s="741">
        <v>5420.2090599999992</v>
      </c>
      <c r="AE337" s="741">
        <v>5429.1970199999996</v>
      </c>
      <c r="AF337" s="741">
        <v>5432.5081799999998</v>
      </c>
      <c r="AG337" s="741">
        <v>5392.3336300000001</v>
      </c>
      <c r="AH337" s="741">
        <v>5373.87572</v>
      </c>
      <c r="AI337" s="741">
        <v>7960.9527600000001</v>
      </c>
      <c r="AJ337" s="741">
        <v>5790.3811900000001</v>
      </c>
      <c r="AK337" s="741">
        <v>5792.1116199999997</v>
      </c>
      <c r="AL337" s="741">
        <v>6100.3867699999992</v>
      </c>
      <c r="AM337" s="741">
        <v>6102.0015100000001</v>
      </c>
      <c r="AN337" s="741">
        <v>7858.0776599999999</v>
      </c>
      <c r="AO337" s="741">
        <v>7902.5561399999997</v>
      </c>
      <c r="AP337" s="41" t="str">
        <f t="shared" si="95"/>
        <v>GLT</v>
      </c>
      <c r="AQ337" s="41" t="str">
        <f t="shared" si="96"/>
        <v>GLTT0</v>
      </c>
      <c r="AR337" s="41" t="str">
        <f t="shared" si="97"/>
        <v>T0</v>
      </c>
    </row>
    <row r="338" spans="1:44" s="41" customFormat="1" ht="12.75" customHeight="1">
      <c r="A338" s="25" t="s">
        <v>17</v>
      </c>
      <c r="B338" s="25" t="str">
        <f t="shared" ref="B338:B401" si="107">CONCATENATE(A338,C338,D338,E338)</f>
        <v>GL190012</v>
      </c>
      <c r="C338" s="638">
        <v>190012</v>
      </c>
      <c r="D338" s="735"/>
      <c r="F338" s="1" t="s">
        <v>331</v>
      </c>
      <c r="H338" s="736">
        <v>0</v>
      </c>
      <c r="I338" s="25"/>
      <c r="J338" s="25"/>
      <c r="K338" s="442" t="str">
        <f t="shared" si="106"/>
        <v/>
      </c>
      <c r="L338" s="736" t="s">
        <v>2466</v>
      </c>
      <c r="M338" s="25" t="str">
        <f t="shared" ref="M338:M401" si="108">LEFT(L338,1)</f>
        <v>T</v>
      </c>
      <c r="N338" s="25" t="str">
        <f>IF(L338&lt;&gt;"",VLOOKUP(L338,Categories!$B$2:$D$41,2,FALSE),IF(F338&lt;&gt;"","No Cat",""))</f>
        <v>ADIT Sch</v>
      </c>
      <c r="O338" s="25" t="str">
        <f>IF($L338&lt;&gt;"",VLOOKUP($L338,Categories!$B$2:$D$41,3,FALSE),IF($F338&lt;&gt;"","No Cat",""))</f>
        <v>Def Taxes</v>
      </c>
      <c r="P338" s="736" t="s">
        <v>2468</v>
      </c>
      <c r="Q338" s="25" t="str">
        <f>VLOOKUP($P338,Allocators!$B$7:$F$19,5,FALSE)</f>
        <v>Not in Rate Base</v>
      </c>
      <c r="R338" s="737">
        <f>VLOOKUP($P338,Allocators!$B$7:$F$19,2,FALSE)</f>
        <v>0</v>
      </c>
      <c r="S338" s="737">
        <f>VLOOKUP($P338,Allocators!$B$7:$F$19,3,FALSE)</f>
        <v>0</v>
      </c>
      <c r="T338" s="737">
        <f t="shared" si="92"/>
        <v>1</v>
      </c>
      <c r="U338" s="2">
        <f t="shared" si="100"/>
        <v>0</v>
      </c>
      <c r="V338" s="2">
        <f t="shared" si="101"/>
        <v>0</v>
      </c>
      <c r="W338" s="2">
        <f t="shared" si="102"/>
        <v>2990.2334287499998</v>
      </c>
      <c r="X338" s="2">
        <f t="shared" si="98"/>
        <v>2990.2334287499998</v>
      </c>
      <c r="Y338" s="2">
        <f t="shared" si="103"/>
        <v>0</v>
      </c>
      <c r="Z338" s="2">
        <f t="shared" si="104"/>
        <v>0</v>
      </c>
      <c r="AA338" s="2">
        <f t="shared" si="105"/>
        <v>3893.58322</v>
      </c>
      <c r="AB338" s="2">
        <f t="shared" si="99"/>
        <v>3893.58322</v>
      </c>
      <c r="AC338" s="759">
        <v>2788.30699</v>
      </c>
      <c r="AD338" s="741">
        <v>2786.5109700000003</v>
      </c>
      <c r="AE338" s="741">
        <v>2787.8301299999998</v>
      </c>
      <c r="AF338" s="741">
        <v>2786.2209500000004</v>
      </c>
      <c r="AG338" s="741">
        <v>2772.6316200000001</v>
      </c>
      <c r="AH338" s="741">
        <v>2760.13609</v>
      </c>
      <c r="AI338" s="741">
        <v>3554.8996299999999</v>
      </c>
      <c r="AJ338" s="741">
        <v>2819.0195699999999</v>
      </c>
      <c r="AK338" s="741">
        <v>2786.9018099999998</v>
      </c>
      <c r="AL338" s="741">
        <v>2842.47075</v>
      </c>
      <c r="AM338" s="741">
        <v>2895.5461700000001</v>
      </c>
      <c r="AN338" s="741">
        <v>3749.6883499999999</v>
      </c>
      <c r="AO338" s="741">
        <v>3893.58322</v>
      </c>
      <c r="AP338" s="41" t="str">
        <f t="shared" si="95"/>
        <v>GLT</v>
      </c>
      <c r="AQ338" s="41" t="str">
        <f t="shared" si="96"/>
        <v>GLTT0</v>
      </c>
      <c r="AR338" s="41" t="str">
        <f t="shared" si="97"/>
        <v>T0</v>
      </c>
    </row>
    <row r="339" spans="1:44" s="41" customFormat="1" ht="12.75" customHeight="1">
      <c r="A339" s="25" t="s">
        <v>17</v>
      </c>
      <c r="B339" s="25" t="str">
        <f t="shared" si="107"/>
        <v>GL190013</v>
      </c>
      <c r="C339" s="638">
        <v>190013</v>
      </c>
      <c r="D339" s="735"/>
      <c r="F339" s="1" t="s">
        <v>332</v>
      </c>
      <c r="H339" s="736">
        <v>0</v>
      </c>
      <c r="I339" s="25"/>
      <c r="J339" s="25"/>
      <c r="K339" s="442" t="str">
        <f t="shared" si="106"/>
        <v/>
      </c>
      <c r="L339" s="736" t="s">
        <v>2466</v>
      </c>
      <c r="M339" s="25" t="str">
        <f t="shared" si="108"/>
        <v>T</v>
      </c>
      <c r="N339" s="25" t="str">
        <f>IF(L339&lt;&gt;"",VLOOKUP(L339,Categories!$B$2:$D$41,2,FALSE),IF(F339&lt;&gt;"","No Cat",""))</f>
        <v>ADIT Sch</v>
      </c>
      <c r="O339" s="25" t="str">
        <f>IF($L339&lt;&gt;"",VLOOKUP($L339,Categories!$B$2:$D$41,3,FALSE),IF($F339&lt;&gt;"","No Cat",""))</f>
        <v>Def Taxes</v>
      </c>
      <c r="P339" s="736" t="s">
        <v>2468</v>
      </c>
      <c r="Q339" s="25" t="str">
        <f>VLOOKUP($P339,Allocators!$B$7:$F$19,5,FALSE)</f>
        <v>Not in Rate Base</v>
      </c>
      <c r="R339" s="737">
        <f>VLOOKUP($P339,Allocators!$B$7:$F$19,2,FALSE)</f>
        <v>0</v>
      </c>
      <c r="S339" s="737">
        <f>VLOOKUP($P339,Allocators!$B$7:$F$19,3,FALSE)</f>
        <v>0</v>
      </c>
      <c r="T339" s="737">
        <f t="shared" si="92"/>
        <v>1</v>
      </c>
      <c r="U339" s="2" t="str">
        <f t="shared" si="100"/>
        <v/>
      </c>
      <c r="V339" s="2" t="str">
        <f t="shared" si="101"/>
        <v/>
      </c>
      <c r="W339" s="2" t="str">
        <f t="shared" si="102"/>
        <v/>
      </c>
      <c r="X339" s="2">
        <f t="shared" si="98"/>
        <v>0</v>
      </c>
      <c r="Y339" s="2" t="str">
        <f t="shared" si="103"/>
        <v/>
      </c>
      <c r="Z339" s="2" t="str">
        <f t="shared" si="104"/>
        <v/>
      </c>
      <c r="AA339" s="2" t="str">
        <f t="shared" si="105"/>
        <v/>
      </c>
      <c r="AB339" s="2">
        <f t="shared" si="99"/>
        <v>0</v>
      </c>
      <c r="AC339" s="759">
        <v>0</v>
      </c>
      <c r="AD339" s="741">
        <v>0</v>
      </c>
      <c r="AE339" s="741">
        <v>0</v>
      </c>
      <c r="AF339" s="741">
        <v>0</v>
      </c>
      <c r="AG339" s="741">
        <v>0</v>
      </c>
      <c r="AH339" s="741">
        <v>0</v>
      </c>
      <c r="AI339" s="741">
        <v>0</v>
      </c>
      <c r="AJ339" s="741">
        <v>0</v>
      </c>
      <c r="AK339" s="741">
        <v>0</v>
      </c>
      <c r="AL339" s="741">
        <v>0</v>
      </c>
      <c r="AM339" s="741">
        <v>0</v>
      </c>
      <c r="AN339" s="741">
        <v>0</v>
      </c>
      <c r="AO339" s="741">
        <v>0</v>
      </c>
      <c r="AP339" s="41" t="str">
        <f t="shared" si="95"/>
        <v>GLT</v>
      </c>
      <c r="AQ339" s="41" t="str">
        <f t="shared" si="96"/>
        <v>GLTT0</v>
      </c>
      <c r="AR339" s="41" t="str">
        <f t="shared" si="97"/>
        <v>T0</v>
      </c>
    </row>
    <row r="340" spans="1:44" s="41" customFormat="1" ht="12.75" customHeight="1">
      <c r="A340" s="25" t="s">
        <v>17</v>
      </c>
      <c r="B340" s="25" t="str">
        <f t="shared" si="107"/>
        <v>GL190014</v>
      </c>
      <c r="C340" s="638">
        <v>190014</v>
      </c>
      <c r="D340" s="735"/>
      <c r="F340" s="1" t="s">
        <v>333</v>
      </c>
      <c r="H340" s="736">
        <v>0</v>
      </c>
      <c r="I340" s="25"/>
      <c r="J340" s="25"/>
      <c r="K340" s="442" t="str">
        <f t="shared" si="106"/>
        <v/>
      </c>
      <c r="L340" s="736" t="s">
        <v>2466</v>
      </c>
      <c r="M340" s="25" t="str">
        <f t="shared" si="108"/>
        <v>T</v>
      </c>
      <c r="N340" s="25" t="str">
        <f>IF(L340&lt;&gt;"",VLOOKUP(L340,Categories!$B$2:$D$41,2,FALSE),IF(F340&lt;&gt;"","No Cat",""))</f>
        <v>ADIT Sch</v>
      </c>
      <c r="O340" s="25" t="str">
        <f>IF($L340&lt;&gt;"",VLOOKUP($L340,Categories!$B$2:$D$41,3,FALSE),IF($F340&lt;&gt;"","No Cat",""))</f>
        <v>Def Taxes</v>
      </c>
      <c r="P340" s="736" t="s">
        <v>2468</v>
      </c>
      <c r="Q340" s="25" t="str">
        <f>VLOOKUP($P340,Allocators!$B$7:$F$19,5,FALSE)</f>
        <v>Not in Rate Base</v>
      </c>
      <c r="R340" s="737">
        <f>VLOOKUP($P340,Allocators!$B$7:$F$19,2,FALSE)</f>
        <v>0</v>
      </c>
      <c r="S340" s="737">
        <f>VLOOKUP($P340,Allocators!$B$7:$F$19,3,FALSE)</f>
        <v>0</v>
      </c>
      <c r="T340" s="737">
        <f t="shared" si="92"/>
        <v>1</v>
      </c>
      <c r="U340" s="2" t="str">
        <f t="shared" si="100"/>
        <v/>
      </c>
      <c r="V340" s="2" t="str">
        <f t="shared" si="101"/>
        <v/>
      </c>
      <c r="W340" s="2" t="str">
        <f t="shared" si="102"/>
        <v/>
      </c>
      <c r="X340" s="2">
        <f t="shared" si="98"/>
        <v>0</v>
      </c>
      <c r="Y340" s="2" t="str">
        <f t="shared" si="103"/>
        <v/>
      </c>
      <c r="Z340" s="2" t="str">
        <f t="shared" si="104"/>
        <v/>
      </c>
      <c r="AA340" s="2" t="str">
        <f t="shared" si="105"/>
        <v/>
      </c>
      <c r="AB340" s="2">
        <f t="shared" si="99"/>
        <v>0</v>
      </c>
      <c r="AC340" s="759">
        <v>0</v>
      </c>
      <c r="AD340" s="741">
        <v>0</v>
      </c>
      <c r="AE340" s="741">
        <v>0</v>
      </c>
      <c r="AF340" s="741">
        <v>0</v>
      </c>
      <c r="AG340" s="741">
        <v>0</v>
      </c>
      <c r="AH340" s="741">
        <v>0</v>
      </c>
      <c r="AI340" s="741">
        <v>0</v>
      </c>
      <c r="AJ340" s="741">
        <v>0</v>
      </c>
      <c r="AK340" s="741">
        <v>0</v>
      </c>
      <c r="AL340" s="741">
        <v>0</v>
      </c>
      <c r="AM340" s="741">
        <v>0</v>
      </c>
      <c r="AN340" s="741">
        <v>0</v>
      </c>
      <c r="AO340" s="741">
        <v>0</v>
      </c>
      <c r="AP340" s="41" t="str">
        <f t="shared" si="95"/>
        <v>GLT</v>
      </c>
      <c r="AQ340" s="41" t="str">
        <f t="shared" si="96"/>
        <v>GLTT0</v>
      </c>
      <c r="AR340" s="41" t="str">
        <f t="shared" si="97"/>
        <v>T0</v>
      </c>
    </row>
    <row r="341" spans="1:44" s="41" customFormat="1" ht="12.75" customHeight="1">
      <c r="A341" s="25" t="s">
        <v>17</v>
      </c>
      <c r="B341" s="25" t="str">
        <f t="shared" si="107"/>
        <v>GL190015</v>
      </c>
      <c r="C341" s="638">
        <v>190015</v>
      </c>
      <c r="D341" s="735"/>
      <c r="F341" s="1" t="s">
        <v>334</v>
      </c>
      <c r="H341" s="736">
        <v>0</v>
      </c>
      <c r="I341" s="25"/>
      <c r="J341" s="25"/>
      <c r="K341" s="442" t="str">
        <f t="shared" si="106"/>
        <v/>
      </c>
      <c r="L341" s="736" t="s">
        <v>2466</v>
      </c>
      <c r="M341" s="25" t="str">
        <f t="shared" si="108"/>
        <v>T</v>
      </c>
      <c r="N341" s="25" t="str">
        <f>IF(L341&lt;&gt;"",VLOOKUP(L341,Categories!$B$2:$D$41,2,FALSE),IF(F341&lt;&gt;"","No Cat",""))</f>
        <v>ADIT Sch</v>
      </c>
      <c r="O341" s="25" t="str">
        <f>IF($L341&lt;&gt;"",VLOOKUP($L341,Categories!$B$2:$D$41,3,FALSE),IF($F341&lt;&gt;"","No Cat",""))</f>
        <v>Def Taxes</v>
      </c>
      <c r="P341" s="736" t="s">
        <v>2468</v>
      </c>
      <c r="Q341" s="25" t="str">
        <f>VLOOKUP($P341,Allocators!$B$7:$F$19,5,FALSE)</f>
        <v>Not in Rate Base</v>
      </c>
      <c r="R341" s="737">
        <f>VLOOKUP($P341,Allocators!$B$7:$F$19,2,FALSE)</f>
        <v>0</v>
      </c>
      <c r="S341" s="737">
        <f>VLOOKUP($P341,Allocators!$B$7:$F$19,3,FALSE)</f>
        <v>0</v>
      </c>
      <c r="T341" s="737">
        <f t="shared" si="92"/>
        <v>1</v>
      </c>
      <c r="U341" s="2" t="str">
        <f t="shared" si="100"/>
        <v/>
      </c>
      <c r="V341" s="2" t="str">
        <f t="shared" si="101"/>
        <v/>
      </c>
      <c r="W341" s="2" t="str">
        <f t="shared" si="102"/>
        <v/>
      </c>
      <c r="X341" s="2">
        <f t="shared" si="98"/>
        <v>0</v>
      </c>
      <c r="Y341" s="2" t="str">
        <f t="shared" si="103"/>
        <v/>
      </c>
      <c r="Z341" s="2" t="str">
        <f t="shared" si="104"/>
        <v/>
      </c>
      <c r="AA341" s="2" t="str">
        <f t="shared" si="105"/>
        <v/>
      </c>
      <c r="AB341" s="2">
        <f t="shared" si="99"/>
        <v>0</v>
      </c>
      <c r="AC341" s="759">
        <v>0</v>
      </c>
      <c r="AD341" s="741">
        <v>0</v>
      </c>
      <c r="AE341" s="741">
        <v>0</v>
      </c>
      <c r="AF341" s="741">
        <v>0</v>
      </c>
      <c r="AG341" s="741">
        <v>0</v>
      </c>
      <c r="AH341" s="741">
        <v>0</v>
      </c>
      <c r="AI341" s="741">
        <v>0</v>
      </c>
      <c r="AJ341" s="741">
        <v>0</v>
      </c>
      <c r="AK341" s="741">
        <v>0</v>
      </c>
      <c r="AL341" s="741">
        <v>0</v>
      </c>
      <c r="AM341" s="741">
        <v>0</v>
      </c>
      <c r="AN341" s="741">
        <v>0</v>
      </c>
      <c r="AO341" s="741">
        <v>0</v>
      </c>
      <c r="AP341" s="41" t="str">
        <f t="shared" si="95"/>
        <v>GLT</v>
      </c>
      <c r="AQ341" s="41" t="str">
        <f t="shared" si="96"/>
        <v>GLTT0</v>
      </c>
      <c r="AR341" s="41" t="str">
        <f t="shared" si="97"/>
        <v>T0</v>
      </c>
    </row>
    <row r="342" spans="1:44" s="41" customFormat="1" ht="12.75" customHeight="1">
      <c r="A342" s="25" t="s">
        <v>17</v>
      </c>
      <c r="B342" s="25" t="str">
        <f t="shared" si="107"/>
        <v>GL190016</v>
      </c>
      <c r="C342" s="638">
        <v>190016</v>
      </c>
      <c r="D342" s="735"/>
      <c r="F342" s="1" t="s">
        <v>335</v>
      </c>
      <c r="H342" s="736">
        <v>0</v>
      </c>
      <c r="I342" s="25"/>
      <c r="J342" s="25"/>
      <c r="K342" s="442" t="str">
        <f t="shared" si="106"/>
        <v/>
      </c>
      <c r="L342" s="736" t="s">
        <v>2466</v>
      </c>
      <c r="M342" s="25" t="str">
        <f t="shared" si="108"/>
        <v>T</v>
      </c>
      <c r="N342" s="25" t="str">
        <f>IF(L342&lt;&gt;"",VLOOKUP(L342,Categories!$B$2:$D$41,2,FALSE),IF(F342&lt;&gt;"","No Cat",""))</f>
        <v>ADIT Sch</v>
      </c>
      <c r="O342" s="25" t="str">
        <f>IF($L342&lt;&gt;"",VLOOKUP($L342,Categories!$B$2:$D$41,3,FALSE),IF($F342&lt;&gt;"","No Cat",""))</f>
        <v>Def Taxes</v>
      </c>
      <c r="P342" s="736" t="s">
        <v>2468</v>
      </c>
      <c r="Q342" s="25" t="str">
        <f>VLOOKUP($P342,Allocators!$B$7:$F$19,5,FALSE)</f>
        <v>Not in Rate Base</v>
      </c>
      <c r="R342" s="737">
        <f>VLOOKUP($P342,Allocators!$B$7:$F$19,2,FALSE)</f>
        <v>0</v>
      </c>
      <c r="S342" s="737">
        <f>VLOOKUP($P342,Allocators!$B$7:$F$19,3,FALSE)</f>
        <v>0</v>
      </c>
      <c r="T342" s="737">
        <f t="shared" si="92"/>
        <v>1</v>
      </c>
      <c r="U342" s="2">
        <f t="shared" si="100"/>
        <v>0</v>
      </c>
      <c r="V342" s="2">
        <f t="shared" si="101"/>
        <v>0</v>
      </c>
      <c r="W342" s="2">
        <f t="shared" si="102"/>
        <v>453.741935833333</v>
      </c>
      <c r="X342" s="2">
        <f t="shared" si="98"/>
        <v>453.741935833333</v>
      </c>
      <c r="Y342" s="2">
        <f t="shared" si="103"/>
        <v>0</v>
      </c>
      <c r="Z342" s="2">
        <f t="shared" si="104"/>
        <v>0</v>
      </c>
      <c r="AA342" s="2">
        <f t="shared" si="105"/>
        <v>377.46399000000002</v>
      </c>
      <c r="AB342" s="2">
        <f t="shared" si="99"/>
        <v>377.46398999999997</v>
      </c>
      <c r="AC342" s="759">
        <v>563.60275000000001</v>
      </c>
      <c r="AD342" s="741">
        <v>524.24067000000002</v>
      </c>
      <c r="AE342" s="741">
        <v>467.52690999999999</v>
      </c>
      <c r="AF342" s="741">
        <v>536.33983000000001</v>
      </c>
      <c r="AG342" s="741">
        <v>455.17184000000003</v>
      </c>
      <c r="AH342" s="741">
        <v>525.45069999999998</v>
      </c>
      <c r="AI342" s="741">
        <v>659.50778000000003</v>
      </c>
      <c r="AJ342" s="741">
        <v>989.67121999999995</v>
      </c>
      <c r="AK342" s="741">
        <v>775.19366000000002</v>
      </c>
      <c r="AL342" s="741">
        <v>22.173869999999997</v>
      </c>
      <c r="AM342" s="741">
        <v>18.950189999999999</v>
      </c>
      <c r="AN342" s="741">
        <v>0.14318999999999998</v>
      </c>
      <c r="AO342" s="741">
        <v>377.46398999999997</v>
      </c>
      <c r="AP342" s="41" t="str">
        <f t="shared" si="95"/>
        <v>GLT</v>
      </c>
      <c r="AQ342" s="41" t="str">
        <f t="shared" si="96"/>
        <v>GLTT0</v>
      </c>
      <c r="AR342" s="41" t="str">
        <f t="shared" si="97"/>
        <v>T0</v>
      </c>
    </row>
    <row r="343" spans="1:44" s="41" customFormat="1" ht="12.75" customHeight="1">
      <c r="A343" s="25" t="s">
        <v>17</v>
      </c>
      <c r="B343" s="25" t="str">
        <f t="shared" si="107"/>
        <v>GL190017</v>
      </c>
      <c r="C343" s="638">
        <v>190017</v>
      </c>
      <c r="D343" s="735"/>
      <c r="F343" s="1" t="s">
        <v>336</v>
      </c>
      <c r="H343" s="736">
        <v>0</v>
      </c>
      <c r="I343" s="25"/>
      <c r="J343" s="25"/>
      <c r="K343" s="442" t="str">
        <f t="shared" si="106"/>
        <v/>
      </c>
      <c r="L343" s="736" t="s">
        <v>2466</v>
      </c>
      <c r="M343" s="25" t="str">
        <f t="shared" si="108"/>
        <v>T</v>
      </c>
      <c r="N343" s="25" t="str">
        <f>IF(L343&lt;&gt;"",VLOOKUP(L343,Categories!$B$2:$D$41,2,FALSE),IF(F343&lt;&gt;"","No Cat",""))</f>
        <v>ADIT Sch</v>
      </c>
      <c r="O343" s="25" t="str">
        <f>IF($L343&lt;&gt;"",VLOOKUP($L343,Categories!$B$2:$D$41,3,FALSE),IF($F343&lt;&gt;"","No Cat",""))</f>
        <v>Def Taxes</v>
      </c>
      <c r="P343" s="736" t="s">
        <v>2468</v>
      </c>
      <c r="Q343" s="25" t="str">
        <f>VLOOKUP($P343,Allocators!$B$7:$F$19,5,FALSE)</f>
        <v>Not in Rate Base</v>
      </c>
      <c r="R343" s="737">
        <f>VLOOKUP($P343,Allocators!$B$7:$F$19,2,FALSE)</f>
        <v>0</v>
      </c>
      <c r="S343" s="737">
        <f>VLOOKUP($P343,Allocators!$B$7:$F$19,3,FALSE)</f>
        <v>0</v>
      </c>
      <c r="T343" s="737">
        <f t="shared" si="92"/>
        <v>1</v>
      </c>
      <c r="U343" s="2">
        <f t="shared" si="100"/>
        <v>0</v>
      </c>
      <c r="V343" s="2">
        <f t="shared" si="101"/>
        <v>0</v>
      </c>
      <c r="W343" s="2">
        <f t="shared" si="102"/>
        <v>283.23137624999998</v>
      </c>
      <c r="X343" s="2">
        <f t="shared" si="98"/>
        <v>283.23137624999998</v>
      </c>
      <c r="Y343" s="2">
        <f t="shared" si="103"/>
        <v>0</v>
      </c>
      <c r="Z343" s="2">
        <f t="shared" si="104"/>
        <v>0</v>
      </c>
      <c r="AA343" s="2">
        <f t="shared" si="105"/>
        <v>125.95648</v>
      </c>
      <c r="AB343" s="2">
        <f t="shared" si="99"/>
        <v>125.95648</v>
      </c>
      <c r="AC343" s="759">
        <v>233.75685000000001</v>
      </c>
      <c r="AD343" s="741">
        <v>156.06792999999999</v>
      </c>
      <c r="AE343" s="741">
        <v>251.63969</v>
      </c>
      <c r="AF343" s="741">
        <v>316.24877000000004</v>
      </c>
      <c r="AG343" s="741">
        <v>320.25871999999998</v>
      </c>
      <c r="AH343" s="741">
        <v>391.17776000000003</v>
      </c>
      <c r="AI343" s="741">
        <v>397.28667999999999</v>
      </c>
      <c r="AJ343" s="741">
        <v>467.90823999999998</v>
      </c>
      <c r="AK343" s="741">
        <v>423.90479999999997</v>
      </c>
      <c r="AL343" s="741">
        <v>134.61365000000001</v>
      </c>
      <c r="AM343" s="741">
        <v>185.85132999999999</v>
      </c>
      <c r="AN343" s="741">
        <v>173.96227999999999</v>
      </c>
      <c r="AO343" s="741">
        <v>125.95648</v>
      </c>
      <c r="AP343" s="41" t="str">
        <f t="shared" si="95"/>
        <v>GLT</v>
      </c>
      <c r="AQ343" s="41" t="str">
        <f t="shared" si="96"/>
        <v>GLTT0</v>
      </c>
      <c r="AR343" s="41" t="str">
        <f t="shared" si="97"/>
        <v>T0</v>
      </c>
    </row>
    <row r="344" spans="1:44" s="41" customFormat="1" ht="12.75" customHeight="1">
      <c r="A344" s="25" t="s">
        <v>17</v>
      </c>
      <c r="B344" s="25" t="str">
        <f t="shared" si="107"/>
        <v>GL190018</v>
      </c>
      <c r="C344" s="638">
        <v>190018</v>
      </c>
      <c r="D344" s="735"/>
      <c r="F344" s="1" t="s">
        <v>337</v>
      </c>
      <c r="H344" s="736">
        <v>0</v>
      </c>
      <c r="I344" s="25"/>
      <c r="J344" s="25"/>
      <c r="K344" s="442" t="str">
        <f t="shared" si="106"/>
        <v/>
      </c>
      <c r="L344" s="736" t="s">
        <v>2466</v>
      </c>
      <c r="M344" s="25" t="str">
        <f t="shared" si="108"/>
        <v>T</v>
      </c>
      <c r="N344" s="25" t="str">
        <f>IF(L344&lt;&gt;"",VLOOKUP(L344,Categories!$B$2:$D$41,2,FALSE),IF(F344&lt;&gt;"","No Cat",""))</f>
        <v>ADIT Sch</v>
      </c>
      <c r="O344" s="25" t="str">
        <f>IF($L344&lt;&gt;"",VLOOKUP($L344,Categories!$B$2:$D$41,3,FALSE),IF($F344&lt;&gt;"","No Cat",""))</f>
        <v>Def Taxes</v>
      </c>
      <c r="P344" s="736" t="s">
        <v>2468</v>
      </c>
      <c r="Q344" s="25" t="str">
        <f>VLOOKUP($P344,Allocators!$B$7:$F$19,5,FALSE)</f>
        <v>Not in Rate Base</v>
      </c>
      <c r="R344" s="737">
        <f>VLOOKUP($P344,Allocators!$B$7:$F$19,2,FALSE)</f>
        <v>0</v>
      </c>
      <c r="S344" s="737">
        <f>VLOOKUP($P344,Allocators!$B$7:$F$19,3,FALSE)</f>
        <v>0</v>
      </c>
      <c r="T344" s="737">
        <f t="shared" si="92"/>
        <v>1</v>
      </c>
      <c r="U344" s="2" t="str">
        <f t="shared" si="100"/>
        <v/>
      </c>
      <c r="V344" s="2" t="str">
        <f t="shared" si="101"/>
        <v/>
      </c>
      <c r="W344" s="2" t="str">
        <f t="shared" si="102"/>
        <v/>
      </c>
      <c r="X344" s="2">
        <f t="shared" si="98"/>
        <v>0</v>
      </c>
      <c r="Y344" s="2" t="str">
        <f t="shared" si="103"/>
        <v/>
      </c>
      <c r="Z344" s="2" t="str">
        <f t="shared" si="104"/>
        <v/>
      </c>
      <c r="AA344" s="2" t="str">
        <f t="shared" si="105"/>
        <v/>
      </c>
      <c r="AB344" s="2">
        <f t="shared" si="99"/>
        <v>0</v>
      </c>
      <c r="AC344" s="759">
        <v>0</v>
      </c>
      <c r="AD344" s="741">
        <v>0</v>
      </c>
      <c r="AE344" s="741">
        <v>0</v>
      </c>
      <c r="AF344" s="741">
        <v>0</v>
      </c>
      <c r="AG344" s="741">
        <v>0</v>
      </c>
      <c r="AH344" s="741">
        <v>0</v>
      </c>
      <c r="AI344" s="741">
        <v>0</v>
      </c>
      <c r="AJ344" s="741">
        <v>0</v>
      </c>
      <c r="AK344" s="741">
        <v>0</v>
      </c>
      <c r="AL344" s="741">
        <v>0</v>
      </c>
      <c r="AM344" s="741">
        <v>0</v>
      </c>
      <c r="AN344" s="741">
        <v>0</v>
      </c>
      <c r="AO344" s="741">
        <v>0</v>
      </c>
      <c r="AP344" s="41" t="str">
        <f t="shared" si="95"/>
        <v>GLT</v>
      </c>
      <c r="AQ344" s="41" t="str">
        <f t="shared" si="96"/>
        <v>GLTT0</v>
      </c>
      <c r="AR344" s="41" t="str">
        <f t="shared" si="97"/>
        <v>T0</v>
      </c>
    </row>
    <row r="345" spans="1:44" s="41" customFormat="1" ht="12.75" customHeight="1">
      <c r="A345" s="25" t="s">
        <v>17</v>
      </c>
      <c r="B345" s="25" t="str">
        <f t="shared" si="107"/>
        <v>GL190019</v>
      </c>
      <c r="C345" s="638">
        <v>190019</v>
      </c>
      <c r="D345" s="735"/>
      <c r="F345" s="1" t="s">
        <v>338</v>
      </c>
      <c r="H345" s="736">
        <v>0</v>
      </c>
      <c r="I345" s="25"/>
      <c r="J345" s="25"/>
      <c r="K345" s="442" t="str">
        <f t="shared" si="106"/>
        <v/>
      </c>
      <c r="L345" s="736" t="s">
        <v>2466</v>
      </c>
      <c r="M345" s="25" t="str">
        <f t="shared" si="108"/>
        <v>T</v>
      </c>
      <c r="N345" s="25" t="str">
        <f>IF(L345&lt;&gt;"",VLOOKUP(L345,Categories!$B$2:$D$41,2,FALSE),IF(F345&lt;&gt;"","No Cat",""))</f>
        <v>ADIT Sch</v>
      </c>
      <c r="O345" s="25" t="str">
        <f>IF($L345&lt;&gt;"",VLOOKUP($L345,Categories!$B$2:$D$41,3,FALSE),IF($F345&lt;&gt;"","No Cat",""))</f>
        <v>Def Taxes</v>
      </c>
      <c r="P345" s="736" t="s">
        <v>2468</v>
      </c>
      <c r="Q345" s="25" t="str">
        <f>VLOOKUP($P345,Allocators!$B$7:$F$19,5,FALSE)</f>
        <v>Not in Rate Base</v>
      </c>
      <c r="R345" s="737">
        <f>VLOOKUP($P345,Allocators!$B$7:$F$19,2,FALSE)</f>
        <v>0</v>
      </c>
      <c r="S345" s="737">
        <f>VLOOKUP($P345,Allocators!$B$7:$F$19,3,FALSE)</f>
        <v>0</v>
      </c>
      <c r="T345" s="737">
        <f t="shared" si="92"/>
        <v>1</v>
      </c>
      <c r="U345" s="2" t="str">
        <f t="shared" si="100"/>
        <v/>
      </c>
      <c r="V345" s="2" t="str">
        <f t="shared" si="101"/>
        <v/>
      </c>
      <c r="W345" s="2" t="str">
        <f t="shared" si="102"/>
        <v/>
      </c>
      <c r="X345" s="2">
        <f t="shared" si="98"/>
        <v>0</v>
      </c>
      <c r="Y345" s="2" t="str">
        <f t="shared" si="103"/>
        <v/>
      </c>
      <c r="Z345" s="2" t="str">
        <f t="shared" si="104"/>
        <v/>
      </c>
      <c r="AA345" s="2" t="str">
        <f t="shared" si="105"/>
        <v/>
      </c>
      <c r="AB345" s="2">
        <f t="shared" si="99"/>
        <v>0</v>
      </c>
      <c r="AC345" s="759">
        <v>0</v>
      </c>
      <c r="AD345" s="741">
        <v>0</v>
      </c>
      <c r="AE345" s="741">
        <v>0</v>
      </c>
      <c r="AF345" s="741">
        <v>0</v>
      </c>
      <c r="AG345" s="741">
        <v>0</v>
      </c>
      <c r="AH345" s="741">
        <v>0</v>
      </c>
      <c r="AI345" s="741">
        <v>0</v>
      </c>
      <c r="AJ345" s="741">
        <v>0</v>
      </c>
      <c r="AK345" s="741">
        <v>0</v>
      </c>
      <c r="AL345" s="741">
        <v>0</v>
      </c>
      <c r="AM345" s="741">
        <v>0</v>
      </c>
      <c r="AN345" s="741">
        <v>0</v>
      </c>
      <c r="AO345" s="741">
        <v>0</v>
      </c>
      <c r="AP345" s="41" t="str">
        <f t="shared" si="95"/>
        <v>GLT</v>
      </c>
      <c r="AQ345" s="41" t="str">
        <f t="shared" si="96"/>
        <v>GLTT0</v>
      </c>
      <c r="AR345" s="41" t="str">
        <f t="shared" si="97"/>
        <v>T0</v>
      </c>
    </row>
    <row r="346" spans="1:44" s="41" customFormat="1" ht="12.75" customHeight="1">
      <c r="A346" s="25" t="s">
        <v>17</v>
      </c>
      <c r="B346" s="25" t="str">
        <f t="shared" si="107"/>
        <v>GL190030</v>
      </c>
      <c r="C346" s="638">
        <v>190030</v>
      </c>
      <c r="D346" s="735"/>
      <c r="F346" s="26" t="s">
        <v>339</v>
      </c>
      <c r="H346" s="736">
        <v>0</v>
      </c>
      <c r="I346" s="25"/>
      <c r="J346" s="25"/>
      <c r="K346" s="442" t="str">
        <f t="shared" si="106"/>
        <v/>
      </c>
      <c r="L346" s="736" t="s">
        <v>2466</v>
      </c>
      <c r="M346" s="25" t="str">
        <f t="shared" si="108"/>
        <v>T</v>
      </c>
      <c r="N346" s="25" t="str">
        <f>IF(L346&lt;&gt;"",VLOOKUP(L346,Categories!$B$2:$D$41,2,FALSE),IF(F346&lt;&gt;"","No Cat",""))</f>
        <v>ADIT Sch</v>
      </c>
      <c r="O346" s="25" t="str">
        <f>IF($L346&lt;&gt;"",VLOOKUP($L346,Categories!$B$2:$D$41,3,FALSE),IF($F346&lt;&gt;"","No Cat",""))</f>
        <v>Def Taxes</v>
      </c>
      <c r="P346" s="736" t="s">
        <v>2468</v>
      </c>
      <c r="Q346" s="25" t="str">
        <f>VLOOKUP($P346,Allocators!$B$7:$F$19,5,FALSE)</f>
        <v>Not in Rate Base</v>
      </c>
      <c r="R346" s="737">
        <f>VLOOKUP($P346,Allocators!$B$7:$F$19,2,FALSE)</f>
        <v>0</v>
      </c>
      <c r="S346" s="737">
        <f>VLOOKUP($P346,Allocators!$B$7:$F$19,3,FALSE)</f>
        <v>0</v>
      </c>
      <c r="T346" s="737">
        <f t="shared" ref="T346:T409" si="109">IF(P346="N",1,"0.0%")</f>
        <v>1</v>
      </c>
      <c r="U346" s="2">
        <f t="shared" si="100"/>
        <v>0</v>
      </c>
      <c r="V346" s="2">
        <f t="shared" si="101"/>
        <v>0</v>
      </c>
      <c r="W346" s="2">
        <f t="shared" si="102"/>
        <v>545.09972625</v>
      </c>
      <c r="X346" s="2">
        <f t="shared" si="98"/>
        <v>545.09972625</v>
      </c>
      <c r="Y346" s="2">
        <f t="shared" si="103"/>
        <v>0</v>
      </c>
      <c r="Z346" s="2">
        <f t="shared" si="104"/>
        <v>0</v>
      </c>
      <c r="AA346" s="2">
        <f t="shared" si="105"/>
        <v>1362.01352</v>
      </c>
      <c r="AB346" s="2">
        <f t="shared" si="99"/>
        <v>1362.01352</v>
      </c>
      <c r="AC346" s="759">
        <v>577.43436999999994</v>
      </c>
      <c r="AD346" s="741">
        <v>565.61156999999992</v>
      </c>
      <c r="AE346" s="741">
        <v>553.78876000000002</v>
      </c>
      <c r="AF346" s="741">
        <v>541.96594999999991</v>
      </c>
      <c r="AG346" s="741">
        <v>530.14314000000002</v>
      </c>
      <c r="AH346" s="741">
        <v>518.32033000000001</v>
      </c>
      <c r="AI346" s="741">
        <v>506.49752000000001</v>
      </c>
      <c r="AJ346" s="741">
        <v>494.67471999999998</v>
      </c>
      <c r="AK346" s="741">
        <v>482.85190999999998</v>
      </c>
      <c r="AL346" s="741">
        <v>471.02909999999997</v>
      </c>
      <c r="AM346" s="741">
        <v>459.20628999999997</v>
      </c>
      <c r="AN346" s="741">
        <v>447.38347999999996</v>
      </c>
      <c r="AO346" s="741">
        <v>1362.01352</v>
      </c>
      <c r="AP346" s="41" t="str">
        <f t="shared" si="95"/>
        <v>GLT</v>
      </c>
      <c r="AQ346" s="41" t="str">
        <f t="shared" si="96"/>
        <v>GLTT0</v>
      </c>
      <c r="AR346" s="41" t="str">
        <f t="shared" si="97"/>
        <v>T0</v>
      </c>
    </row>
    <row r="347" spans="1:44" s="41" customFormat="1" ht="12.75" customHeight="1">
      <c r="A347" s="25" t="s">
        <v>17</v>
      </c>
      <c r="B347" s="25" t="str">
        <f t="shared" si="107"/>
        <v>GL190031</v>
      </c>
      <c r="C347" s="638">
        <v>190031</v>
      </c>
      <c r="D347" s="735"/>
      <c r="F347" s="26" t="s">
        <v>340</v>
      </c>
      <c r="H347" s="736">
        <v>0</v>
      </c>
      <c r="I347" s="25"/>
      <c r="J347" s="25"/>
      <c r="K347" s="442" t="str">
        <f t="shared" si="106"/>
        <v/>
      </c>
      <c r="L347" s="736" t="s">
        <v>2466</v>
      </c>
      <c r="M347" s="25" t="str">
        <f t="shared" si="108"/>
        <v>T</v>
      </c>
      <c r="N347" s="25" t="str">
        <f>IF(L347&lt;&gt;"",VLOOKUP(L347,Categories!$B$2:$D$41,2,FALSE),IF(F347&lt;&gt;"","No Cat",""))</f>
        <v>ADIT Sch</v>
      </c>
      <c r="O347" s="25" t="str">
        <f>IF($L347&lt;&gt;"",VLOOKUP($L347,Categories!$B$2:$D$41,3,FALSE),IF($F347&lt;&gt;"","No Cat",""))</f>
        <v>Def Taxes</v>
      </c>
      <c r="P347" s="736" t="s">
        <v>2468</v>
      </c>
      <c r="Q347" s="25" t="str">
        <f>VLOOKUP($P347,Allocators!$B$7:$F$19,5,FALSE)</f>
        <v>Not in Rate Base</v>
      </c>
      <c r="R347" s="737">
        <f>VLOOKUP($P347,Allocators!$B$7:$F$19,2,FALSE)</f>
        <v>0</v>
      </c>
      <c r="S347" s="737">
        <f>VLOOKUP($P347,Allocators!$B$7:$F$19,3,FALSE)</f>
        <v>0</v>
      </c>
      <c r="T347" s="737">
        <f t="shared" si="109"/>
        <v>1</v>
      </c>
      <c r="U347" s="2">
        <f t="shared" si="100"/>
        <v>0</v>
      </c>
      <c r="V347" s="2">
        <f t="shared" si="101"/>
        <v>0</v>
      </c>
      <c r="W347" s="2">
        <f t="shared" si="102"/>
        <v>32451.279389166699</v>
      </c>
      <c r="X347" s="2">
        <f t="shared" si="98"/>
        <v>32451.279389166699</v>
      </c>
      <c r="Y347" s="2">
        <f t="shared" si="103"/>
        <v>0</v>
      </c>
      <c r="Z347" s="2">
        <f t="shared" si="104"/>
        <v>0</v>
      </c>
      <c r="AA347" s="2">
        <f t="shared" si="105"/>
        <v>48452.88607</v>
      </c>
      <c r="AB347" s="2">
        <f t="shared" si="99"/>
        <v>48452.88607</v>
      </c>
      <c r="AC347" s="759">
        <v>32185.01829</v>
      </c>
      <c r="AD347" s="741">
        <v>32124.287550000001</v>
      </c>
      <c r="AE347" s="741">
        <v>32332.502120000001</v>
      </c>
      <c r="AF347" s="741">
        <v>32105.82475</v>
      </c>
      <c r="AG347" s="741">
        <v>32004.111379999998</v>
      </c>
      <c r="AH347" s="741">
        <v>31919.91589</v>
      </c>
      <c r="AI347" s="741">
        <v>31599.662469999999</v>
      </c>
      <c r="AJ347" s="741">
        <v>31594.343719999997</v>
      </c>
      <c r="AK347" s="741">
        <v>31551.824370000002</v>
      </c>
      <c r="AL347" s="741">
        <v>31218.432960000002</v>
      </c>
      <c r="AM347" s="741">
        <v>31183.59303</v>
      </c>
      <c r="AN347" s="741">
        <v>31461.902249999999</v>
      </c>
      <c r="AO347" s="741">
        <v>48452.88607</v>
      </c>
      <c r="AP347" s="41" t="str">
        <f t="shared" si="95"/>
        <v>GLT</v>
      </c>
      <c r="AQ347" s="41" t="str">
        <f t="shared" si="96"/>
        <v>GLTT0</v>
      </c>
      <c r="AR347" s="41" t="str">
        <f t="shared" si="97"/>
        <v>T0</v>
      </c>
    </row>
    <row r="348" spans="1:44" s="41" customFormat="1" ht="12.75" customHeight="1">
      <c r="A348" s="25" t="s">
        <v>17</v>
      </c>
      <c r="B348" s="25" t="str">
        <f t="shared" si="107"/>
        <v>GL190032</v>
      </c>
      <c r="C348" s="638">
        <v>190032</v>
      </c>
      <c r="D348" s="735"/>
      <c r="F348" s="26" t="s">
        <v>341</v>
      </c>
      <c r="H348" s="736">
        <v>0</v>
      </c>
      <c r="I348" s="25"/>
      <c r="J348" s="25"/>
      <c r="K348" s="442" t="str">
        <f t="shared" si="106"/>
        <v/>
      </c>
      <c r="L348" s="736" t="s">
        <v>2466</v>
      </c>
      <c r="M348" s="25" t="str">
        <f t="shared" si="108"/>
        <v>T</v>
      </c>
      <c r="N348" s="25" t="str">
        <f>IF(L348&lt;&gt;"",VLOOKUP(L348,Categories!$B$2:$D$41,2,FALSE),IF(F348&lt;&gt;"","No Cat",""))</f>
        <v>ADIT Sch</v>
      </c>
      <c r="O348" s="25" t="str">
        <f>IF($L348&lt;&gt;"",VLOOKUP($L348,Categories!$B$2:$D$41,3,FALSE),IF($F348&lt;&gt;"","No Cat",""))</f>
        <v>Def Taxes</v>
      </c>
      <c r="P348" s="736" t="s">
        <v>2468</v>
      </c>
      <c r="Q348" s="25" t="str">
        <f>VLOOKUP($P348,Allocators!$B$7:$F$19,5,FALSE)</f>
        <v>Not in Rate Base</v>
      </c>
      <c r="R348" s="737">
        <f>VLOOKUP($P348,Allocators!$B$7:$F$19,2,FALSE)</f>
        <v>0</v>
      </c>
      <c r="S348" s="737">
        <f>VLOOKUP($P348,Allocators!$B$7:$F$19,3,FALSE)</f>
        <v>0</v>
      </c>
      <c r="T348" s="737">
        <f t="shared" si="109"/>
        <v>1</v>
      </c>
      <c r="U348" s="2">
        <f t="shared" si="100"/>
        <v>0</v>
      </c>
      <c r="V348" s="2">
        <f t="shared" si="101"/>
        <v>0</v>
      </c>
      <c r="W348" s="2">
        <f t="shared" si="102"/>
        <v>11193.7759429167</v>
      </c>
      <c r="X348" s="2">
        <f t="shared" si="98"/>
        <v>11193.7759429167</v>
      </c>
      <c r="Y348" s="2">
        <f t="shared" si="103"/>
        <v>0</v>
      </c>
      <c r="Z348" s="2">
        <f t="shared" si="104"/>
        <v>0</v>
      </c>
      <c r="AA348" s="2">
        <f t="shared" si="105"/>
        <v>19164.06338</v>
      </c>
      <c r="AB348" s="2">
        <f t="shared" si="99"/>
        <v>19164.06338</v>
      </c>
      <c r="AC348" s="759">
        <v>11043.470069999999</v>
      </c>
      <c r="AD348" s="741">
        <v>11013.34656</v>
      </c>
      <c r="AE348" s="741">
        <v>11104.10455</v>
      </c>
      <c r="AF348" s="741">
        <v>10999.95801</v>
      </c>
      <c r="AG348" s="741">
        <v>10951.83736</v>
      </c>
      <c r="AH348" s="741">
        <v>10911.37586</v>
      </c>
      <c r="AI348" s="741">
        <v>10760.83325</v>
      </c>
      <c r="AJ348" s="741">
        <v>10760.88949</v>
      </c>
      <c r="AK348" s="741">
        <v>10735.75524</v>
      </c>
      <c r="AL348" s="741">
        <v>10632.042310000001</v>
      </c>
      <c r="AM348" s="741">
        <v>10614.386269999999</v>
      </c>
      <c r="AN348" s="741">
        <v>10737.01569</v>
      </c>
      <c r="AO348" s="741">
        <v>19164.06338</v>
      </c>
      <c r="AP348" s="41" t="str">
        <f t="shared" si="95"/>
        <v>GLT</v>
      </c>
      <c r="AQ348" s="41" t="str">
        <f t="shared" si="96"/>
        <v>GLTT0</v>
      </c>
      <c r="AR348" s="41" t="str">
        <f t="shared" si="97"/>
        <v>T0</v>
      </c>
    </row>
    <row r="349" spans="1:44" s="41" customFormat="1" ht="12.75" customHeight="1">
      <c r="A349" s="25" t="s">
        <v>17</v>
      </c>
      <c r="B349" s="25" t="str">
        <f t="shared" si="107"/>
        <v>GL190036</v>
      </c>
      <c r="C349" s="638">
        <v>190036</v>
      </c>
      <c r="D349" s="735"/>
      <c r="F349" s="26" t="s">
        <v>342</v>
      </c>
      <c r="H349" s="736">
        <v>0</v>
      </c>
      <c r="I349" s="25"/>
      <c r="J349" s="25"/>
      <c r="K349" s="442" t="str">
        <f t="shared" si="106"/>
        <v/>
      </c>
      <c r="L349" s="736" t="s">
        <v>2466</v>
      </c>
      <c r="M349" s="25" t="str">
        <f t="shared" si="108"/>
        <v>T</v>
      </c>
      <c r="N349" s="25" t="str">
        <f>IF(L349&lt;&gt;"",VLOOKUP(L349,Categories!$B$2:$D$41,2,FALSE),IF(F349&lt;&gt;"","No Cat",""))</f>
        <v>ADIT Sch</v>
      </c>
      <c r="O349" s="25" t="str">
        <f>IF($L349&lt;&gt;"",VLOOKUP($L349,Categories!$B$2:$D$41,3,FALSE),IF($F349&lt;&gt;"","No Cat",""))</f>
        <v>Def Taxes</v>
      </c>
      <c r="P349" s="736" t="s">
        <v>2468</v>
      </c>
      <c r="Q349" s="25" t="str">
        <f>VLOOKUP($P349,Allocators!$B$7:$F$19,5,FALSE)</f>
        <v>Not in Rate Base</v>
      </c>
      <c r="R349" s="737">
        <f>VLOOKUP($P349,Allocators!$B$7:$F$19,2,FALSE)</f>
        <v>0</v>
      </c>
      <c r="S349" s="737">
        <f>VLOOKUP($P349,Allocators!$B$7:$F$19,3,FALSE)</f>
        <v>0</v>
      </c>
      <c r="T349" s="737">
        <f t="shared" si="109"/>
        <v>1</v>
      </c>
      <c r="U349" s="2">
        <f t="shared" si="100"/>
        <v>0</v>
      </c>
      <c r="V349" s="2">
        <f t="shared" si="101"/>
        <v>0</v>
      </c>
      <c r="W349" s="2">
        <f t="shared" si="102"/>
        <v>43.1593175</v>
      </c>
      <c r="X349" s="2">
        <f t="shared" si="98"/>
        <v>43.1593175</v>
      </c>
      <c r="Y349" s="2">
        <f t="shared" si="103"/>
        <v>0</v>
      </c>
      <c r="Z349" s="2">
        <f t="shared" si="104"/>
        <v>0</v>
      </c>
      <c r="AA349" s="2">
        <f t="shared" si="105"/>
        <v>465.16233999999997</v>
      </c>
      <c r="AB349" s="2">
        <f t="shared" si="99"/>
        <v>465.16234000000003</v>
      </c>
      <c r="AC349" s="759">
        <v>109.13332000000001</v>
      </c>
      <c r="AD349" s="741">
        <v>109.13332000000001</v>
      </c>
      <c r="AE349" s="741">
        <v>-181.97948000000002</v>
      </c>
      <c r="AF349" s="741">
        <v>-181.97948000000002</v>
      </c>
      <c r="AG349" s="741">
        <v>-181.97948000000002</v>
      </c>
      <c r="AH349" s="741">
        <v>-181.97948000000002</v>
      </c>
      <c r="AI349" s="741">
        <v>-181.97948000000002</v>
      </c>
      <c r="AJ349" s="741">
        <v>-181.97948000000002</v>
      </c>
      <c r="AK349" s="741">
        <v>-181.97948000000002</v>
      </c>
      <c r="AL349" s="741">
        <v>465.16234000000003</v>
      </c>
      <c r="AM349" s="741">
        <v>465.16234000000003</v>
      </c>
      <c r="AN349" s="741">
        <v>465.16234000000003</v>
      </c>
      <c r="AO349" s="741">
        <v>465.16234000000003</v>
      </c>
      <c r="AP349" s="41" t="str">
        <f t="shared" si="95"/>
        <v>GLT</v>
      </c>
      <c r="AQ349" s="41" t="str">
        <f t="shared" si="96"/>
        <v>GLTT0</v>
      </c>
      <c r="AR349" s="41" t="str">
        <f t="shared" si="97"/>
        <v>T0</v>
      </c>
    </row>
    <row r="350" spans="1:44" s="41" customFormat="1" ht="12.75" customHeight="1">
      <c r="A350" s="25" t="s">
        <v>17</v>
      </c>
      <c r="B350" s="25" t="str">
        <f t="shared" si="107"/>
        <v>GL190037</v>
      </c>
      <c r="C350" s="638">
        <v>190037</v>
      </c>
      <c r="D350" s="735"/>
      <c r="F350" s="26" t="s">
        <v>343</v>
      </c>
      <c r="H350" s="736">
        <v>0</v>
      </c>
      <c r="I350" s="25"/>
      <c r="J350" s="25"/>
      <c r="K350" s="442" t="str">
        <f t="shared" si="106"/>
        <v/>
      </c>
      <c r="L350" s="736" t="s">
        <v>2466</v>
      </c>
      <c r="M350" s="25" t="str">
        <f t="shared" si="108"/>
        <v>T</v>
      </c>
      <c r="N350" s="25" t="str">
        <f>IF(L350&lt;&gt;"",VLOOKUP(L350,Categories!$B$2:$D$41,2,FALSE),IF(F350&lt;&gt;"","No Cat",""))</f>
        <v>ADIT Sch</v>
      </c>
      <c r="O350" s="25" t="str">
        <f>IF($L350&lt;&gt;"",VLOOKUP($L350,Categories!$B$2:$D$41,3,FALSE),IF($F350&lt;&gt;"","No Cat",""))</f>
        <v>Def Taxes</v>
      </c>
      <c r="P350" s="736" t="s">
        <v>2468</v>
      </c>
      <c r="Q350" s="25" t="str">
        <f>VLOOKUP($P350,Allocators!$B$7:$F$19,5,FALSE)</f>
        <v>Not in Rate Base</v>
      </c>
      <c r="R350" s="737">
        <f>VLOOKUP($P350,Allocators!$B$7:$F$19,2,FALSE)</f>
        <v>0</v>
      </c>
      <c r="S350" s="737">
        <f>VLOOKUP($P350,Allocators!$B$7:$F$19,3,FALSE)</f>
        <v>0</v>
      </c>
      <c r="T350" s="737">
        <f t="shared" si="109"/>
        <v>1</v>
      </c>
      <c r="U350" s="2">
        <f t="shared" si="100"/>
        <v>0</v>
      </c>
      <c r="V350" s="2">
        <f t="shared" si="101"/>
        <v>0</v>
      </c>
      <c r="W350" s="2">
        <f t="shared" si="102"/>
        <v>1409.5708045833301</v>
      </c>
      <c r="X350" s="2">
        <f t="shared" si="98"/>
        <v>1409.5708045833301</v>
      </c>
      <c r="Y350" s="2">
        <f t="shared" si="103"/>
        <v>0</v>
      </c>
      <c r="Z350" s="2">
        <f t="shared" si="104"/>
        <v>0</v>
      </c>
      <c r="AA350" s="2">
        <f t="shared" si="105"/>
        <v>1537.97756</v>
      </c>
      <c r="AB350" s="2">
        <f t="shared" si="99"/>
        <v>1537.97756</v>
      </c>
      <c r="AC350" s="759">
        <v>1464.40669</v>
      </c>
      <c r="AD350" s="741">
        <v>1464.40669</v>
      </c>
      <c r="AE350" s="741">
        <v>1333.6168799999998</v>
      </c>
      <c r="AF350" s="741">
        <v>1333.6168799999998</v>
      </c>
      <c r="AG350" s="741">
        <v>1333.6168799999998</v>
      </c>
      <c r="AH350" s="741">
        <v>1333.6168799999998</v>
      </c>
      <c r="AI350" s="741">
        <v>1333.6168799999998</v>
      </c>
      <c r="AJ350" s="741">
        <v>1333.6168799999998</v>
      </c>
      <c r="AK350" s="741">
        <v>1333.6168799999998</v>
      </c>
      <c r="AL350" s="741">
        <v>1537.97756</v>
      </c>
      <c r="AM350" s="741">
        <v>1537.97756</v>
      </c>
      <c r="AN350" s="741">
        <v>1537.97756</v>
      </c>
      <c r="AO350" s="741">
        <v>1537.97756</v>
      </c>
      <c r="AP350" s="41" t="str">
        <f t="shared" si="95"/>
        <v>GLT</v>
      </c>
      <c r="AQ350" s="41" t="str">
        <f t="shared" si="96"/>
        <v>GLTT0</v>
      </c>
      <c r="AR350" s="41" t="str">
        <f t="shared" si="97"/>
        <v>T0</v>
      </c>
    </row>
    <row r="351" spans="1:44" s="41" customFormat="1" ht="12.75" customHeight="1">
      <c r="A351" s="25" t="s">
        <v>17</v>
      </c>
      <c r="B351" s="25" t="str">
        <f t="shared" si="107"/>
        <v>GL190040</v>
      </c>
      <c r="C351" s="638">
        <v>190040</v>
      </c>
      <c r="D351" s="735"/>
      <c r="F351" s="26" t="s">
        <v>344</v>
      </c>
      <c r="H351" s="736">
        <v>0</v>
      </c>
      <c r="I351" s="25"/>
      <c r="J351" s="25"/>
      <c r="K351" s="442" t="str">
        <f t="shared" si="106"/>
        <v/>
      </c>
      <c r="L351" s="736" t="s">
        <v>2466</v>
      </c>
      <c r="M351" s="25" t="str">
        <f t="shared" si="108"/>
        <v>T</v>
      </c>
      <c r="N351" s="25" t="str">
        <f>IF(L351&lt;&gt;"",VLOOKUP(L351,Categories!$B$2:$D$41,2,FALSE),IF(F351&lt;&gt;"","No Cat",""))</f>
        <v>ADIT Sch</v>
      </c>
      <c r="O351" s="25" t="str">
        <f>IF($L351&lt;&gt;"",VLOOKUP($L351,Categories!$B$2:$D$41,3,FALSE),IF($F351&lt;&gt;"","No Cat",""))</f>
        <v>Def Taxes</v>
      </c>
      <c r="P351" s="736" t="s">
        <v>2468</v>
      </c>
      <c r="Q351" s="25" t="str">
        <f>VLOOKUP($P351,Allocators!$B$7:$F$19,5,FALSE)</f>
        <v>Not in Rate Base</v>
      </c>
      <c r="R351" s="737">
        <f>VLOOKUP($P351,Allocators!$B$7:$F$19,2,FALSE)</f>
        <v>0</v>
      </c>
      <c r="S351" s="737">
        <f>VLOOKUP($P351,Allocators!$B$7:$F$19,3,FALSE)</f>
        <v>0</v>
      </c>
      <c r="T351" s="737">
        <f t="shared" si="109"/>
        <v>1</v>
      </c>
      <c r="U351" s="2">
        <f t="shared" si="100"/>
        <v>0</v>
      </c>
      <c r="V351" s="2">
        <f t="shared" si="101"/>
        <v>0</v>
      </c>
      <c r="W351" s="2">
        <f t="shared" si="102"/>
        <v>119.027059583333</v>
      </c>
      <c r="X351" s="2">
        <f t="shared" si="98"/>
        <v>119.027059583333</v>
      </c>
      <c r="Y351" s="2">
        <f t="shared" si="103"/>
        <v>0</v>
      </c>
      <c r="Z351" s="2">
        <f t="shared" si="104"/>
        <v>0</v>
      </c>
      <c r="AA351" s="2">
        <f t="shared" si="105"/>
        <v>297.40897000000001</v>
      </c>
      <c r="AB351" s="2">
        <f t="shared" si="99"/>
        <v>297.40896999999995</v>
      </c>
      <c r="AC351" s="759">
        <v>126.08767999999999</v>
      </c>
      <c r="AD351" s="741">
        <v>123.50604</v>
      </c>
      <c r="AE351" s="741">
        <v>120.92439999999999</v>
      </c>
      <c r="AF351" s="741">
        <v>118.34277</v>
      </c>
      <c r="AG351" s="741">
        <v>115.76113000000001</v>
      </c>
      <c r="AH351" s="741">
        <v>113.17949</v>
      </c>
      <c r="AI351" s="741">
        <v>110.59785000000001</v>
      </c>
      <c r="AJ351" s="741">
        <v>108.01622</v>
      </c>
      <c r="AK351" s="741">
        <v>105.43458</v>
      </c>
      <c r="AL351" s="741">
        <v>102.85294</v>
      </c>
      <c r="AM351" s="741">
        <v>100.2713</v>
      </c>
      <c r="AN351" s="741">
        <v>97.689669999999992</v>
      </c>
      <c r="AO351" s="741">
        <v>297.40896999999995</v>
      </c>
      <c r="AP351" s="41" t="str">
        <f t="shared" si="95"/>
        <v>GLT</v>
      </c>
      <c r="AQ351" s="41" t="str">
        <f t="shared" si="96"/>
        <v>GLTT0</v>
      </c>
      <c r="AR351" s="41" t="str">
        <f t="shared" si="97"/>
        <v>T0</v>
      </c>
    </row>
    <row r="352" spans="1:44" s="41" customFormat="1" ht="12.75" customHeight="1">
      <c r="A352" s="25" t="s">
        <v>17</v>
      </c>
      <c r="B352" s="25" t="str">
        <f t="shared" si="107"/>
        <v>GL190041</v>
      </c>
      <c r="C352" s="638">
        <v>190041</v>
      </c>
      <c r="D352" s="735"/>
      <c r="F352" s="26" t="s">
        <v>345</v>
      </c>
      <c r="H352" s="736">
        <v>0</v>
      </c>
      <c r="I352" s="25"/>
      <c r="J352" s="25"/>
      <c r="K352" s="442" t="str">
        <f t="shared" si="106"/>
        <v/>
      </c>
      <c r="L352" s="736" t="s">
        <v>2466</v>
      </c>
      <c r="M352" s="25" t="str">
        <f t="shared" si="108"/>
        <v>T</v>
      </c>
      <c r="N352" s="25" t="str">
        <f>IF(L352&lt;&gt;"",VLOOKUP(L352,Categories!$B$2:$D$41,2,FALSE),IF(F352&lt;&gt;"","No Cat",""))</f>
        <v>ADIT Sch</v>
      </c>
      <c r="O352" s="25" t="str">
        <f>IF($L352&lt;&gt;"",VLOOKUP($L352,Categories!$B$2:$D$41,3,FALSE),IF($F352&lt;&gt;"","No Cat",""))</f>
        <v>Def Taxes</v>
      </c>
      <c r="P352" s="736" t="s">
        <v>2468</v>
      </c>
      <c r="Q352" s="25" t="str">
        <f>VLOOKUP($P352,Allocators!$B$7:$F$19,5,FALSE)</f>
        <v>Not in Rate Base</v>
      </c>
      <c r="R352" s="737">
        <f>VLOOKUP($P352,Allocators!$B$7:$F$19,2,FALSE)</f>
        <v>0</v>
      </c>
      <c r="S352" s="737">
        <f>VLOOKUP($P352,Allocators!$B$7:$F$19,3,FALSE)</f>
        <v>0</v>
      </c>
      <c r="T352" s="737">
        <f t="shared" si="109"/>
        <v>1</v>
      </c>
      <c r="U352" s="2">
        <f t="shared" si="100"/>
        <v>0</v>
      </c>
      <c r="V352" s="2">
        <f t="shared" si="101"/>
        <v>0</v>
      </c>
      <c r="W352" s="2">
        <f t="shared" si="102"/>
        <v>3499.2671412499999</v>
      </c>
      <c r="X352" s="2">
        <f t="shared" si="98"/>
        <v>3499.2671412499999</v>
      </c>
      <c r="Y352" s="2">
        <f t="shared" si="103"/>
        <v>0</v>
      </c>
      <c r="Z352" s="2">
        <f t="shared" si="104"/>
        <v>0</v>
      </c>
      <c r="AA352" s="2">
        <f t="shared" si="105"/>
        <v>6993.3900800000001</v>
      </c>
      <c r="AB352" s="2">
        <f t="shared" si="99"/>
        <v>6993.3900800000001</v>
      </c>
      <c r="AC352" s="759">
        <v>3441.12617</v>
      </c>
      <c r="AD352" s="741">
        <v>3427.8649599999999</v>
      </c>
      <c r="AE352" s="741">
        <v>3473.3308500000003</v>
      </c>
      <c r="AF352" s="741">
        <v>3423.8334</v>
      </c>
      <c r="AG352" s="741">
        <v>3401.6231899999998</v>
      </c>
      <c r="AH352" s="741">
        <v>3383.23821</v>
      </c>
      <c r="AI352" s="741">
        <v>3313.3074300000003</v>
      </c>
      <c r="AJ352" s="741">
        <v>3312.1460200000001</v>
      </c>
      <c r="AK352" s="741">
        <v>3302.8614700000003</v>
      </c>
      <c r="AL352" s="741">
        <v>3230.06185</v>
      </c>
      <c r="AM352" s="741">
        <v>3222.4541899999999</v>
      </c>
      <c r="AN352" s="741">
        <v>3283.2260000000001</v>
      </c>
      <c r="AO352" s="741">
        <v>6993.3900800000001</v>
      </c>
      <c r="AP352" s="41" t="str">
        <f t="shared" si="95"/>
        <v>GLT</v>
      </c>
      <c r="AQ352" s="41" t="str">
        <f t="shared" si="96"/>
        <v>GLTT0</v>
      </c>
      <c r="AR352" s="41" t="str">
        <f t="shared" si="97"/>
        <v>T0</v>
      </c>
    </row>
    <row r="353" spans="1:44" s="41" customFormat="1" ht="12.75" customHeight="1">
      <c r="A353" s="25" t="s">
        <v>17</v>
      </c>
      <c r="B353" s="25" t="str">
        <f t="shared" si="107"/>
        <v>GL190042</v>
      </c>
      <c r="C353" s="638">
        <v>190042</v>
      </c>
      <c r="D353" s="735"/>
      <c r="F353" s="26" t="s">
        <v>346</v>
      </c>
      <c r="H353" s="736">
        <v>0</v>
      </c>
      <c r="I353" s="25"/>
      <c r="J353" s="25"/>
      <c r="K353" s="442" t="str">
        <f t="shared" si="106"/>
        <v/>
      </c>
      <c r="L353" s="736" t="s">
        <v>2466</v>
      </c>
      <c r="M353" s="25" t="str">
        <f t="shared" si="108"/>
        <v>T</v>
      </c>
      <c r="N353" s="25" t="str">
        <f>IF(L353&lt;&gt;"",VLOOKUP(L353,Categories!$B$2:$D$41,2,FALSE),IF(F353&lt;&gt;"","No Cat",""))</f>
        <v>ADIT Sch</v>
      </c>
      <c r="O353" s="25" t="str">
        <f>IF($L353&lt;&gt;"",VLOOKUP($L353,Categories!$B$2:$D$41,3,FALSE),IF($F353&lt;&gt;"","No Cat",""))</f>
        <v>Def Taxes</v>
      </c>
      <c r="P353" s="736" t="s">
        <v>2468</v>
      </c>
      <c r="Q353" s="25" t="str">
        <f>VLOOKUP($P353,Allocators!$B$7:$F$19,5,FALSE)</f>
        <v>Not in Rate Base</v>
      </c>
      <c r="R353" s="737">
        <f>VLOOKUP($P353,Allocators!$B$7:$F$19,2,FALSE)</f>
        <v>0</v>
      </c>
      <c r="S353" s="737">
        <f>VLOOKUP($P353,Allocators!$B$7:$F$19,3,FALSE)</f>
        <v>0</v>
      </c>
      <c r="T353" s="737">
        <f t="shared" si="109"/>
        <v>1</v>
      </c>
      <c r="U353" s="2">
        <f t="shared" si="100"/>
        <v>0</v>
      </c>
      <c r="V353" s="2">
        <f t="shared" si="101"/>
        <v>0</v>
      </c>
      <c r="W353" s="2">
        <f t="shared" si="102"/>
        <v>1376.40834583333</v>
      </c>
      <c r="X353" s="2">
        <f t="shared" si="98"/>
        <v>1376.40834583333</v>
      </c>
      <c r="Y353" s="2">
        <f t="shared" si="103"/>
        <v>0</v>
      </c>
      <c r="Z353" s="2">
        <f t="shared" si="104"/>
        <v>0</v>
      </c>
      <c r="AA353" s="2">
        <f t="shared" si="105"/>
        <v>3116.8063400000001</v>
      </c>
      <c r="AB353" s="2">
        <f t="shared" si="99"/>
        <v>3116.8063399999996</v>
      </c>
      <c r="AC353" s="759">
        <v>1343.58744</v>
      </c>
      <c r="AD353" s="741">
        <v>1337.0096599999999</v>
      </c>
      <c r="AE353" s="741">
        <v>1356.82763</v>
      </c>
      <c r="AF353" s="741">
        <v>1334.0861200000002</v>
      </c>
      <c r="AG353" s="741">
        <v>1323.57846</v>
      </c>
      <c r="AH353" s="741">
        <v>1314.74325</v>
      </c>
      <c r="AI353" s="741">
        <v>1281.8706399999999</v>
      </c>
      <c r="AJ353" s="741">
        <v>1281.88293</v>
      </c>
      <c r="AK353" s="741">
        <v>1276.3946000000001</v>
      </c>
      <c r="AL353" s="741">
        <v>1253.7477699999999</v>
      </c>
      <c r="AM353" s="741">
        <v>1249.89237</v>
      </c>
      <c r="AN353" s="741">
        <v>1276.66983</v>
      </c>
      <c r="AO353" s="741">
        <v>3116.8063399999996</v>
      </c>
      <c r="AP353" s="41" t="str">
        <f t="shared" si="95"/>
        <v>GLT</v>
      </c>
      <c r="AQ353" s="41" t="str">
        <f t="shared" si="96"/>
        <v>GLTT0</v>
      </c>
      <c r="AR353" s="41" t="str">
        <f t="shared" si="97"/>
        <v>T0</v>
      </c>
    </row>
    <row r="354" spans="1:44" s="41" customFormat="1" ht="12.75" customHeight="1">
      <c r="A354" s="25" t="s">
        <v>17</v>
      </c>
      <c r="B354" s="25" t="str">
        <f t="shared" si="107"/>
        <v>GL190046</v>
      </c>
      <c r="C354" s="638">
        <v>190046</v>
      </c>
      <c r="D354" s="735"/>
      <c r="F354" s="26" t="s">
        <v>347</v>
      </c>
      <c r="H354" s="736">
        <v>0</v>
      </c>
      <c r="I354" s="25"/>
      <c r="J354" s="25"/>
      <c r="K354" s="442" t="str">
        <f t="shared" si="106"/>
        <v/>
      </c>
      <c r="L354" s="736" t="s">
        <v>2466</v>
      </c>
      <c r="M354" s="25" t="str">
        <f t="shared" si="108"/>
        <v>T</v>
      </c>
      <c r="N354" s="25" t="str">
        <f>IF(L354&lt;&gt;"",VLOOKUP(L354,Categories!$B$2:$D$41,2,FALSE),IF(F354&lt;&gt;"","No Cat",""))</f>
        <v>ADIT Sch</v>
      </c>
      <c r="O354" s="25" t="str">
        <f>IF($L354&lt;&gt;"",VLOOKUP($L354,Categories!$B$2:$D$41,3,FALSE),IF($F354&lt;&gt;"","No Cat",""))</f>
        <v>Def Taxes</v>
      </c>
      <c r="P354" s="736" t="s">
        <v>2468</v>
      </c>
      <c r="Q354" s="25" t="str">
        <f>VLOOKUP($P354,Allocators!$B$7:$F$19,5,FALSE)</f>
        <v>Not in Rate Base</v>
      </c>
      <c r="R354" s="737">
        <f>VLOOKUP($P354,Allocators!$B$7:$F$19,2,FALSE)</f>
        <v>0</v>
      </c>
      <c r="S354" s="737">
        <f>VLOOKUP($P354,Allocators!$B$7:$F$19,3,FALSE)</f>
        <v>0</v>
      </c>
      <c r="T354" s="737">
        <f t="shared" si="109"/>
        <v>1</v>
      </c>
      <c r="U354" s="2">
        <f t="shared" si="100"/>
        <v>0</v>
      </c>
      <c r="V354" s="2">
        <f t="shared" si="101"/>
        <v>0</v>
      </c>
      <c r="W354" s="2">
        <f t="shared" si="102"/>
        <v>-1123.61608125</v>
      </c>
      <c r="X354" s="2">
        <f t="shared" si="98"/>
        <v>-1123.61608125</v>
      </c>
      <c r="Y354" s="2">
        <f t="shared" si="103"/>
        <v>0</v>
      </c>
      <c r="Z354" s="2">
        <f t="shared" si="104"/>
        <v>0</v>
      </c>
      <c r="AA354" s="2">
        <f t="shared" si="105"/>
        <v>-1031.4671800000001</v>
      </c>
      <c r="AB354" s="2">
        <f t="shared" si="99"/>
        <v>-1031.4671800000001</v>
      </c>
      <c r="AC354" s="759">
        <v>-1109.2099499999999</v>
      </c>
      <c r="AD354" s="741">
        <v>-1109.2099499999999</v>
      </c>
      <c r="AE354" s="741">
        <v>-1172.77756</v>
      </c>
      <c r="AF354" s="741">
        <v>-1172.77756</v>
      </c>
      <c r="AG354" s="741">
        <v>-1172.77756</v>
      </c>
      <c r="AH354" s="741">
        <v>-1172.77756</v>
      </c>
      <c r="AI354" s="741">
        <v>-1172.77756</v>
      </c>
      <c r="AJ354" s="741">
        <v>-1172.77756</v>
      </c>
      <c r="AK354" s="741">
        <v>-1172.77756</v>
      </c>
      <c r="AL354" s="741">
        <v>-1031.4671800000001</v>
      </c>
      <c r="AM354" s="741">
        <v>-1031.4671800000001</v>
      </c>
      <c r="AN354" s="741">
        <v>-1031.4671800000001</v>
      </c>
      <c r="AO354" s="741">
        <v>-1031.4671800000001</v>
      </c>
      <c r="AP354" s="41" t="str">
        <f t="shared" si="95"/>
        <v>GLT</v>
      </c>
      <c r="AQ354" s="41" t="str">
        <f t="shared" si="96"/>
        <v>GLTT0</v>
      </c>
      <c r="AR354" s="41" t="str">
        <f t="shared" si="97"/>
        <v>T0</v>
      </c>
    </row>
    <row r="355" spans="1:44" s="41" customFormat="1" ht="12.75" customHeight="1">
      <c r="A355" s="25" t="s">
        <v>17</v>
      </c>
      <c r="B355" s="25" t="str">
        <f t="shared" si="107"/>
        <v>GL190047</v>
      </c>
      <c r="C355" s="638">
        <v>190047</v>
      </c>
      <c r="D355" s="735"/>
      <c r="F355" s="26" t="s">
        <v>348</v>
      </c>
      <c r="H355" s="736">
        <v>0</v>
      </c>
      <c r="I355" s="25"/>
      <c r="J355" s="25"/>
      <c r="K355" s="442" t="str">
        <f t="shared" si="106"/>
        <v/>
      </c>
      <c r="L355" s="736" t="s">
        <v>2466</v>
      </c>
      <c r="M355" s="25" t="str">
        <f t="shared" si="108"/>
        <v>T</v>
      </c>
      <c r="N355" s="25" t="str">
        <f>IF(L355&lt;&gt;"",VLOOKUP(L355,Categories!$B$2:$D$41,2,FALSE),IF(F355&lt;&gt;"","No Cat",""))</f>
        <v>ADIT Sch</v>
      </c>
      <c r="O355" s="25" t="str">
        <f>IF($L355&lt;&gt;"",VLOOKUP($L355,Categories!$B$2:$D$41,3,FALSE),IF($F355&lt;&gt;"","No Cat",""))</f>
        <v>Def Taxes</v>
      </c>
      <c r="P355" s="736" t="s">
        <v>2468</v>
      </c>
      <c r="Q355" s="25" t="str">
        <f>VLOOKUP($P355,Allocators!$B$7:$F$19,5,FALSE)</f>
        <v>Not in Rate Base</v>
      </c>
      <c r="R355" s="737">
        <f>VLOOKUP($P355,Allocators!$B$7:$F$19,2,FALSE)</f>
        <v>0</v>
      </c>
      <c r="S355" s="737">
        <f>VLOOKUP($P355,Allocators!$B$7:$F$19,3,FALSE)</f>
        <v>0</v>
      </c>
      <c r="T355" s="737">
        <f t="shared" si="109"/>
        <v>1</v>
      </c>
      <c r="U355" s="2">
        <f t="shared" si="100"/>
        <v>0</v>
      </c>
      <c r="V355" s="2">
        <f t="shared" si="101"/>
        <v>0</v>
      </c>
      <c r="W355" s="2">
        <f t="shared" si="102"/>
        <v>-34.702504583333301</v>
      </c>
      <c r="X355" s="2">
        <f t="shared" si="98"/>
        <v>-34.702504583333301</v>
      </c>
      <c r="Y355" s="2">
        <f t="shared" si="103"/>
        <v>0</v>
      </c>
      <c r="Z355" s="2">
        <f t="shared" si="104"/>
        <v>0</v>
      </c>
      <c r="AA355" s="2">
        <f t="shared" si="105"/>
        <v>-6.6635099999999996</v>
      </c>
      <c r="AB355" s="2">
        <f t="shared" si="99"/>
        <v>-6.6635100000000005</v>
      </c>
      <c r="AC355" s="759">
        <v>-22.7285</v>
      </c>
      <c r="AD355" s="741">
        <v>-22.7285</v>
      </c>
      <c r="AE355" s="741">
        <v>-51.287860000000002</v>
      </c>
      <c r="AF355" s="741">
        <v>-51.287860000000002</v>
      </c>
      <c r="AG355" s="741">
        <v>-51.287860000000002</v>
      </c>
      <c r="AH355" s="741">
        <v>-51.287860000000002</v>
      </c>
      <c r="AI355" s="741">
        <v>-51.287860000000002</v>
      </c>
      <c r="AJ355" s="741">
        <v>-51.287860000000002</v>
      </c>
      <c r="AK355" s="741">
        <v>-51.287860000000002</v>
      </c>
      <c r="AL355" s="741">
        <v>-6.6635100000000005</v>
      </c>
      <c r="AM355" s="741">
        <v>-6.6635100000000005</v>
      </c>
      <c r="AN355" s="741">
        <v>-6.6635100000000005</v>
      </c>
      <c r="AO355" s="741">
        <v>-6.6635100000000005</v>
      </c>
      <c r="AP355" s="41" t="str">
        <f t="shared" si="95"/>
        <v>GLT</v>
      </c>
      <c r="AQ355" s="41" t="str">
        <f t="shared" si="96"/>
        <v>GLTT0</v>
      </c>
      <c r="AR355" s="41" t="str">
        <f t="shared" si="97"/>
        <v>T0</v>
      </c>
    </row>
    <row r="356" spans="1:44" s="41" customFormat="1" ht="12.75" customHeight="1">
      <c r="A356" s="25" t="s">
        <v>17</v>
      </c>
      <c r="B356" s="25" t="str">
        <f t="shared" si="107"/>
        <v>GL190110</v>
      </c>
      <c r="C356" s="638">
        <v>190110</v>
      </c>
      <c r="D356" s="735"/>
      <c r="F356" s="1" t="s">
        <v>349</v>
      </c>
      <c r="H356" s="736">
        <v>0</v>
      </c>
      <c r="I356" s="25"/>
      <c r="J356" s="25"/>
      <c r="K356" s="442" t="str">
        <f t="shared" si="106"/>
        <v/>
      </c>
      <c r="L356" s="736" t="s">
        <v>2466</v>
      </c>
      <c r="M356" s="25" t="str">
        <f t="shared" si="108"/>
        <v>T</v>
      </c>
      <c r="N356" s="25" t="str">
        <f>IF(L356&lt;&gt;"",VLOOKUP(L356,Categories!$B$2:$D$41,2,FALSE),IF(F356&lt;&gt;"","No Cat",""))</f>
        <v>ADIT Sch</v>
      </c>
      <c r="O356" s="25" t="str">
        <f>IF($L356&lt;&gt;"",VLOOKUP($L356,Categories!$B$2:$D$41,3,FALSE),IF($F356&lt;&gt;"","No Cat",""))</f>
        <v>Def Taxes</v>
      </c>
      <c r="P356" s="736" t="s">
        <v>2468</v>
      </c>
      <c r="Q356" s="25" t="str">
        <f>VLOOKUP($P356,Allocators!$B$7:$F$19,5,FALSE)</f>
        <v>Not in Rate Base</v>
      </c>
      <c r="R356" s="737">
        <f>VLOOKUP($P356,Allocators!$B$7:$F$19,2,FALSE)</f>
        <v>0</v>
      </c>
      <c r="S356" s="737">
        <f>VLOOKUP($P356,Allocators!$B$7:$F$19,3,FALSE)</f>
        <v>0</v>
      </c>
      <c r="T356" s="737">
        <f t="shared" si="109"/>
        <v>1</v>
      </c>
      <c r="U356" s="2" t="str">
        <f t="shared" si="100"/>
        <v/>
      </c>
      <c r="V356" s="2" t="str">
        <f t="shared" si="101"/>
        <v/>
      </c>
      <c r="W356" s="2" t="str">
        <f t="shared" si="102"/>
        <v/>
      </c>
      <c r="X356" s="2">
        <f t="shared" si="98"/>
        <v>0</v>
      </c>
      <c r="Y356" s="2" t="str">
        <f t="shared" si="103"/>
        <v/>
      </c>
      <c r="Z356" s="2" t="str">
        <f t="shared" si="104"/>
        <v/>
      </c>
      <c r="AA356" s="2" t="str">
        <f t="shared" si="105"/>
        <v/>
      </c>
      <c r="AB356" s="2">
        <f t="shared" si="99"/>
        <v>0</v>
      </c>
      <c r="AC356" s="759">
        <v>0</v>
      </c>
      <c r="AD356" s="741">
        <v>0</v>
      </c>
      <c r="AE356" s="741">
        <v>0</v>
      </c>
      <c r="AF356" s="741">
        <v>0</v>
      </c>
      <c r="AG356" s="741">
        <v>0</v>
      </c>
      <c r="AH356" s="741">
        <v>0</v>
      </c>
      <c r="AI356" s="741">
        <v>0</v>
      </c>
      <c r="AJ356" s="741">
        <v>0</v>
      </c>
      <c r="AK356" s="741">
        <v>0</v>
      </c>
      <c r="AL356" s="741">
        <v>0</v>
      </c>
      <c r="AM356" s="741">
        <v>0</v>
      </c>
      <c r="AN356" s="741">
        <v>0</v>
      </c>
      <c r="AO356" s="741">
        <v>0</v>
      </c>
      <c r="AP356" s="41" t="str">
        <f t="shared" si="95"/>
        <v>GLT</v>
      </c>
      <c r="AQ356" s="41" t="str">
        <f t="shared" si="96"/>
        <v>GLTT0</v>
      </c>
      <c r="AR356" s="41" t="str">
        <f t="shared" si="97"/>
        <v>T0</v>
      </c>
    </row>
    <row r="357" spans="1:44" s="41" customFormat="1" ht="12.75" customHeight="1">
      <c r="A357" s="25" t="s">
        <v>17</v>
      </c>
      <c r="B357" s="25" t="str">
        <f t="shared" si="107"/>
        <v>GL190120</v>
      </c>
      <c r="C357" s="638">
        <v>190120</v>
      </c>
      <c r="D357" s="735"/>
      <c r="F357" s="1" t="s">
        <v>350</v>
      </c>
      <c r="H357" s="736">
        <v>0</v>
      </c>
      <c r="I357" s="25"/>
      <c r="J357" s="25"/>
      <c r="K357" s="442" t="str">
        <f t="shared" si="106"/>
        <v/>
      </c>
      <c r="L357" s="736" t="s">
        <v>2466</v>
      </c>
      <c r="M357" s="25" t="str">
        <f t="shared" si="108"/>
        <v>T</v>
      </c>
      <c r="N357" s="25" t="str">
        <f>IF(L357&lt;&gt;"",VLOOKUP(L357,Categories!$B$2:$D$41,2,FALSE),IF(F357&lt;&gt;"","No Cat",""))</f>
        <v>ADIT Sch</v>
      </c>
      <c r="O357" s="25" t="str">
        <f>IF($L357&lt;&gt;"",VLOOKUP($L357,Categories!$B$2:$D$41,3,FALSE),IF($F357&lt;&gt;"","No Cat",""))</f>
        <v>Def Taxes</v>
      </c>
      <c r="P357" s="736" t="s">
        <v>2468</v>
      </c>
      <c r="Q357" s="25" t="str">
        <f>VLOOKUP($P357,Allocators!$B$7:$F$19,5,FALSE)</f>
        <v>Not in Rate Base</v>
      </c>
      <c r="R357" s="737">
        <f>VLOOKUP($P357,Allocators!$B$7:$F$19,2,FALSE)</f>
        <v>0</v>
      </c>
      <c r="S357" s="737">
        <f>VLOOKUP($P357,Allocators!$B$7:$F$19,3,FALSE)</f>
        <v>0</v>
      </c>
      <c r="T357" s="737">
        <f t="shared" si="109"/>
        <v>1</v>
      </c>
      <c r="U357" s="2" t="str">
        <f t="shared" si="100"/>
        <v/>
      </c>
      <c r="V357" s="2" t="str">
        <f t="shared" si="101"/>
        <v/>
      </c>
      <c r="W357" s="2" t="str">
        <f t="shared" si="102"/>
        <v/>
      </c>
      <c r="X357" s="2">
        <f t="shared" si="98"/>
        <v>0</v>
      </c>
      <c r="Y357" s="2" t="str">
        <f t="shared" si="103"/>
        <v/>
      </c>
      <c r="Z357" s="2" t="str">
        <f t="shared" si="104"/>
        <v/>
      </c>
      <c r="AA357" s="2" t="str">
        <f t="shared" si="105"/>
        <v/>
      </c>
      <c r="AB357" s="2">
        <f t="shared" si="99"/>
        <v>0</v>
      </c>
      <c r="AC357" s="759">
        <v>0</v>
      </c>
      <c r="AD357" s="741">
        <v>0</v>
      </c>
      <c r="AE357" s="741">
        <v>0</v>
      </c>
      <c r="AF357" s="741">
        <v>0</v>
      </c>
      <c r="AG357" s="741">
        <v>0</v>
      </c>
      <c r="AH357" s="741">
        <v>0</v>
      </c>
      <c r="AI357" s="741">
        <v>0</v>
      </c>
      <c r="AJ357" s="741">
        <v>0</v>
      </c>
      <c r="AK357" s="741">
        <v>0</v>
      </c>
      <c r="AL357" s="741">
        <v>0</v>
      </c>
      <c r="AM357" s="741">
        <v>0</v>
      </c>
      <c r="AN357" s="741">
        <v>0</v>
      </c>
      <c r="AO357" s="741">
        <v>0</v>
      </c>
      <c r="AP357" s="41" t="str">
        <f t="shared" si="95"/>
        <v>GLT</v>
      </c>
      <c r="AQ357" s="41" t="str">
        <f t="shared" si="96"/>
        <v>GLTT0</v>
      </c>
      <c r="AR357" s="41" t="str">
        <f t="shared" si="97"/>
        <v>T0</v>
      </c>
    </row>
    <row r="358" spans="1:44" s="41" customFormat="1" ht="12.75" customHeight="1">
      <c r="A358" s="442" t="s">
        <v>17</v>
      </c>
      <c r="B358" s="442" t="str">
        <f t="shared" si="107"/>
        <v>GL190161</v>
      </c>
      <c r="C358" s="638">
        <v>190161</v>
      </c>
      <c r="D358" s="735"/>
      <c r="E358" s="626"/>
      <c r="F358" s="441" t="s">
        <v>2552</v>
      </c>
      <c r="G358" s="626"/>
      <c r="H358" s="736">
        <v>0</v>
      </c>
      <c r="I358" s="442"/>
      <c r="J358" s="442"/>
      <c r="K358" s="442" t="str">
        <f t="shared" si="106"/>
        <v/>
      </c>
      <c r="L358" s="736" t="s">
        <v>2466</v>
      </c>
      <c r="M358" s="442" t="str">
        <f t="shared" si="108"/>
        <v>T</v>
      </c>
      <c r="N358" s="442" t="str">
        <f>IF(L358&lt;&gt;"",VLOOKUP(L358,Categories!$B$2:$D$41,2,FALSE),IF(F358&lt;&gt;"","No Cat",""))</f>
        <v>ADIT Sch</v>
      </c>
      <c r="O358" s="442" t="str">
        <f>IF($L358&lt;&gt;"",VLOOKUP($L358,Categories!$B$2:$D$41,3,FALSE),IF($F358&lt;&gt;"","No Cat",""))</f>
        <v>Def Taxes</v>
      </c>
      <c r="P358" s="736" t="s">
        <v>2468</v>
      </c>
      <c r="Q358" s="442" t="str">
        <f>VLOOKUP($P358,Allocators!$B$7:$F$19,5,FALSE)</f>
        <v>Not in Rate Base</v>
      </c>
      <c r="R358" s="737">
        <f>VLOOKUP($P358,Allocators!$B$7:$F$19,2,FALSE)</f>
        <v>0</v>
      </c>
      <c r="S358" s="737">
        <f>VLOOKUP($P358,Allocators!$B$7:$F$19,3,FALSE)</f>
        <v>0</v>
      </c>
      <c r="T358" s="737">
        <f t="shared" si="109"/>
        <v>1</v>
      </c>
      <c r="U358" s="2">
        <f t="shared" si="100"/>
        <v>0</v>
      </c>
      <c r="V358" s="2">
        <f t="shared" si="101"/>
        <v>0</v>
      </c>
      <c r="W358" s="2">
        <f t="shared" si="102"/>
        <v>998.67090583333299</v>
      </c>
      <c r="X358" s="2">
        <f t="shared" si="98"/>
        <v>998.67090583333299</v>
      </c>
      <c r="Y358" s="2" t="str">
        <f t="shared" si="103"/>
        <v/>
      </c>
      <c r="Z358" s="2" t="str">
        <f t="shared" si="104"/>
        <v/>
      </c>
      <c r="AA358" s="2" t="str">
        <f t="shared" si="105"/>
        <v/>
      </c>
      <c r="AB358" s="2">
        <f t="shared" si="99"/>
        <v>0</v>
      </c>
      <c r="AC358" s="759">
        <v>1042.0913800000001</v>
      </c>
      <c r="AD358" s="741">
        <v>1042.0913800000001</v>
      </c>
      <c r="AE358" s="741">
        <v>1042.0913800000001</v>
      </c>
      <c r="AF358" s="741">
        <v>1042.0913800000001</v>
      </c>
      <c r="AG358" s="741">
        <v>1042.0913800000001</v>
      </c>
      <c r="AH358" s="741">
        <v>1042.0913800000001</v>
      </c>
      <c r="AI358" s="741">
        <v>1042.0913800000001</v>
      </c>
      <c r="AJ358" s="741">
        <v>1042.0913800000001</v>
      </c>
      <c r="AK358" s="741">
        <v>1042.0913800000001</v>
      </c>
      <c r="AL358" s="741">
        <v>1042.0913800000001</v>
      </c>
      <c r="AM358" s="741">
        <v>1042.0913800000001</v>
      </c>
      <c r="AN358" s="741">
        <v>1042.0913800000001</v>
      </c>
      <c r="AO358" s="741">
        <v>0</v>
      </c>
      <c r="AP358" s="41" t="str">
        <f t="shared" si="95"/>
        <v>GLT</v>
      </c>
      <c r="AQ358" s="41" t="str">
        <f t="shared" si="96"/>
        <v>GLTT0</v>
      </c>
      <c r="AR358" s="41" t="str">
        <f t="shared" si="97"/>
        <v>T0</v>
      </c>
    </row>
    <row r="359" spans="1:44" s="41" customFormat="1" ht="12.75" customHeight="1">
      <c r="A359" s="442" t="s">
        <v>17</v>
      </c>
      <c r="B359" s="442" t="str">
        <f t="shared" si="107"/>
        <v>GL190162</v>
      </c>
      <c r="C359" s="638">
        <v>190162</v>
      </c>
      <c r="D359" s="735"/>
      <c r="E359" s="626"/>
      <c r="F359" s="441" t="s">
        <v>2553</v>
      </c>
      <c r="G359" s="626"/>
      <c r="H359" s="736">
        <v>0</v>
      </c>
      <c r="I359" s="442"/>
      <c r="J359" s="442"/>
      <c r="K359" s="442" t="str">
        <f t="shared" si="106"/>
        <v/>
      </c>
      <c r="L359" s="736" t="s">
        <v>2466</v>
      </c>
      <c r="M359" s="442" t="str">
        <f t="shared" si="108"/>
        <v>T</v>
      </c>
      <c r="N359" s="442" t="str">
        <f>IF(L359&lt;&gt;"",VLOOKUP(L359,Categories!$B$2:$D$41,2,FALSE),IF(F359&lt;&gt;"","No Cat",""))</f>
        <v>ADIT Sch</v>
      </c>
      <c r="O359" s="442" t="str">
        <f>IF($L359&lt;&gt;"",VLOOKUP($L359,Categories!$B$2:$D$41,3,FALSE),IF($F359&lt;&gt;"","No Cat",""))</f>
        <v>Def Taxes</v>
      </c>
      <c r="P359" s="736" t="s">
        <v>2468</v>
      </c>
      <c r="Q359" s="442" t="str">
        <f>VLOOKUP($P359,Allocators!$B$7:$F$19,5,FALSE)</f>
        <v>Not in Rate Base</v>
      </c>
      <c r="R359" s="737">
        <f>VLOOKUP($P359,Allocators!$B$7:$F$19,2,FALSE)</f>
        <v>0</v>
      </c>
      <c r="S359" s="737">
        <f>VLOOKUP($P359,Allocators!$B$7:$F$19,3,FALSE)</f>
        <v>0</v>
      </c>
      <c r="T359" s="737">
        <f t="shared" si="109"/>
        <v>1</v>
      </c>
      <c r="U359" s="2">
        <f t="shared" si="100"/>
        <v>0</v>
      </c>
      <c r="V359" s="2">
        <f t="shared" si="101"/>
        <v>0</v>
      </c>
      <c r="W359" s="2">
        <f t="shared" si="102"/>
        <v>485.00195833333299</v>
      </c>
      <c r="X359" s="2">
        <f t="shared" si="98"/>
        <v>485.00195833333299</v>
      </c>
      <c r="Y359" s="2" t="str">
        <f t="shared" si="103"/>
        <v/>
      </c>
      <c r="Z359" s="2" t="str">
        <f t="shared" si="104"/>
        <v/>
      </c>
      <c r="AA359" s="2" t="str">
        <f t="shared" si="105"/>
        <v/>
      </c>
      <c r="AB359" s="2">
        <f t="shared" si="99"/>
        <v>0</v>
      </c>
      <c r="AC359" s="759">
        <v>506.089</v>
      </c>
      <c r="AD359" s="741">
        <v>506.089</v>
      </c>
      <c r="AE359" s="741">
        <v>506.089</v>
      </c>
      <c r="AF359" s="741">
        <v>506.089</v>
      </c>
      <c r="AG359" s="741">
        <v>506.089</v>
      </c>
      <c r="AH359" s="741">
        <v>506.089</v>
      </c>
      <c r="AI359" s="741">
        <v>506.089</v>
      </c>
      <c r="AJ359" s="741">
        <v>506.089</v>
      </c>
      <c r="AK359" s="741">
        <v>506.089</v>
      </c>
      <c r="AL359" s="741">
        <v>506.089</v>
      </c>
      <c r="AM359" s="741">
        <v>506.089</v>
      </c>
      <c r="AN359" s="741">
        <v>506.089</v>
      </c>
      <c r="AO359" s="741">
        <v>0</v>
      </c>
      <c r="AP359" s="41" t="str">
        <f t="shared" si="95"/>
        <v>GLT</v>
      </c>
      <c r="AQ359" s="41" t="str">
        <f t="shared" si="96"/>
        <v>GLTT0</v>
      </c>
      <c r="AR359" s="41" t="str">
        <f t="shared" si="97"/>
        <v>T0</v>
      </c>
    </row>
    <row r="360" spans="1:44" s="41" customFormat="1" ht="12.75" customHeight="1">
      <c r="A360" s="25" t="s">
        <v>17</v>
      </c>
      <c r="B360" s="25" t="str">
        <f t="shared" si="107"/>
        <v>GL190170</v>
      </c>
      <c r="C360" s="638">
        <v>190170</v>
      </c>
      <c r="D360" s="735"/>
      <c r="F360" s="1" t="s">
        <v>351</v>
      </c>
      <c r="H360" s="736">
        <v>0</v>
      </c>
      <c r="I360" s="25"/>
      <c r="J360" s="25"/>
      <c r="K360" s="442" t="str">
        <f t="shared" si="106"/>
        <v/>
      </c>
      <c r="L360" s="736" t="s">
        <v>2466</v>
      </c>
      <c r="M360" s="25" t="str">
        <f t="shared" si="108"/>
        <v>T</v>
      </c>
      <c r="N360" s="25" t="str">
        <f>IF(L360&lt;&gt;"",VLOOKUP(L360,Categories!$B$2:$D$41,2,FALSE),IF(F360&lt;&gt;"","No Cat",""))</f>
        <v>ADIT Sch</v>
      </c>
      <c r="O360" s="25" t="str">
        <f>IF($L360&lt;&gt;"",VLOOKUP($L360,Categories!$B$2:$D$41,3,FALSE),IF($F360&lt;&gt;"","No Cat",""))</f>
        <v>Def Taxes</v>
      </c>
      <c r="P360" s="736" t="s">
        <v>2468</v>
      </c>
      <c r="Q360" s="25" t="str">
        <f>VLOOKUP($P360,Allocators!$B$7:$F$19,5,FALSE)</f>
        <v>Not in Rate Base</v>
      </c>
      <c r="R360" s="737">
        <f>VLOOKUP($P360,Allocators!$B$7:$F$19,2,FALSE)</f>
        <v>0</v>
      </c>
      <c r="S360" s="737">
        <f>VLOOKUP($P360,Allocators!$B$7:$F$19,3,FALSE)</f>
        <v>0</v>
      </c>
      <c r="T360" s="737">
        <f t="shared" si="109"/>
        <v>1</v>
      </c>
      <c r="U360" s="2" t="str">
        <f t="shared" si="100"/>
        <v/>
      </c>
      <c r="V360" s="2" t="str">
        <f t="shared" si="101"/>
        <v/>
      </c>
      <c r="W360" s="2" t="str">
        <f t="shared" si="102"/>
        <v/>
      </c>
      <c r="X360" s="2">
        <f t="shared" si="98"/>
        <v>0</v>
      </c>
      <c r="Y360" s="2" t="str">
        <f t="shared" si="103"/>
        <v/>
      </c>
      <c r="Z360" s="2" t="str">
        <f t="shared" si="104"/>
        <v/>
      </c>
      <c r="AA360" s="2" t="str">
        <f t="shared" si="105"/>
        <v/>
      </c>
      <c r="AB360" s="2">
        <f t="shared" si="99"/>
        <v>0</v>
      </c>
      <c r="AC360" s="759">
        <v>0</v>
      </c>
      <c r="AD360" s="741">
        <v>0</v>
      </c>
      <c r="AE360" s="741">
        <v>0</v>
      </c>
      <c r="AF360" s="741">
        <v>0</v>
      </c>
      <c r="AG360" s="741">
        <v>0</v>
      </c>
      <c r="AH360" s="741">
        <v>0</v>
      </c>
      <c r="AI360" s="741">
        <v>0</v>
      </c>
      <c r="AJ360" s="741">
        <v>0</v>
      </c>
      <c r="AK360" s="741">
        <v>0</v>
      </c>
      <c r="AL360" s="741">
        <v>0</v>
      </c>
      <c r="AM360" s="741">
        <v>0</v>
      </c>
      <c r="AN360" s="741">
        <v>0</v>
      </c>
      <c r="AO360" s="741">
        <v>0</v>
      </c>
      <c r="AP360" s="41" t="str">
        <f t="shared" si="95"/>
        <v>GLT</v>
      </c>
      <c r="AQ360" s="41" t="str">
        <f t="shared" si="96"/>
        <v>GLTT0</v>
      </c>
      <c r="AR360" s="41" t="str">
        <f t="shared" si="97"/>
        <v>T0</v>
      </c>
    </row>
    <row r="361" spans="1:44" s="41" customFormat="1" ht="12.75" customHeight="1">
      <c r="A361" s="25" t="s">
        <v>17</v>
      </c>
      <c r="B361" s="25" t="str">
        <f t="shared" si="107"/>
        <v>GL190501</v>
      </c>
      <c r="C361" s="638">
        <v>190501</v>
      </c>
      <c r="D361" s="735"/>
      <c r="F361" s="1" t="s">
        <v>352</v>
      </c>
      <c r="H361" s="736">
        <v>0</v>
      </c>
      <c r="I361" s="25"/>
      <c r="J361" s="25"/>
      <c r="K361" s="442" t="str">
        <f t="shared" si="106"/>
        <v/>
      </c>
      <c r="L361" s="736" t="s">
        <v>2466</v>
      </c>
      <c r="M361" s="25" t="str">
        <f t="shared" si="108"/>
        <v>T</v>
      </c>
      <c r="N361" s="25" t="str">
        <f>IF(L361&lt;&gt;"",VLOOKUP(L361,Categories!$B$2:$D$41,2,FALSE),IF(F361&lt;&gt;"","No Cat",""))</f>
        <v>ADIT Sch</v>
      </c>
      <c r="O361" s="25" t="str">
        <f>IF($L361&lt;&gt;"",VLOOKUP($L361,Categories!$B$2:$D$41,3,FALSE),IF($F361&lt;&gt;"","No Cat",""))</f>
        <v>Def Taxes</v>
      </c>
      <c r="P361" s="736" t="s">
        <v>2468</v>
      </c>
      <c r="Q361" s="25" t="str">
        <f>VLOOKUP($P361,Allocators!$B$7:$F$19,5,FALSE)</f>
        <v>Not in Rate Base</v>
      </c>
      <c r="R361" s="737">
        <f>VLOOKUP($P361,Allocators!$B$7:$F$19,2,FALSE)</f>
        <v>0</v>
      </c>
      <c r="S361" s="737">
        <f>VLOOKUP($P361,Allocators!$B$7:$F$19,3,FALSE)</f>
        <v>0</v>
      </c>
      <c r="T361" s="737">
        <f t="shared" si="109"/>
        <v>1</v>
      </c>
      <c r="U361" s="2">
        <f t="shared" si="100"/>
        <v>0</v>
      </c>
      <c r="V361" s="2">
        <f t="shared" si="101"/>
        <v>0</v>
      </c>
      <c r="W361" s="2">
        <f t="shared" si="102"/>
        <v>45710.6844375</v>
      </c>
      <c r="X361" s="2">
        <f t="shared" si="98"/>
        <v>45710.6844375</v>
      </c>
      <c r="Y361" s="2">
        <f t="shared" si="103"/>
        <v>0</v>
      </c>
      <c r="Z361" s="2">
        <f t="shared" si="104"/>
        <v>0</v>
      </c>
      <c r="AA361" s="2">
        <f t="shared" si="105"/>
        <v>57789.86421</v>
      </c>
      <c r="AB361" s="2">
        <f t="shared" si="99"/>
        <v>57789.86421</v>
      </c>
      <c r="AC361" s="759">
        <v>38792.735130000001</v>
      </c>
      <c r="AD361" s="741">
        <v>39318.86909</v>
      </c>
      <c r="AE361" s="741">
        <v>43490.449919999999</v>
      </c>
      <c r="AF361" s="741">
        <v>44993.71387</v>
      </c>
      <c r="AG361" s="741">
        <v>31963.717499999999</v>
      </c>
      <c r="AH361" s="741">
        <v>43327.973039999997</v>
      </c>
      <c r="AI361" s="741">
        <v>41649.329760000001</v>
      </c>
      <c r="AJ361" s="741">
        <v>45967.437939999996</v>
      </c>
      <c r="AK361" s="741">
        <v>46331.623799999994</v>
      </c>
      <c r="AL361" s="741">
        <v>54415.710270000003</v>
      </c>
      <c r="AM361" s="741">
        <v>55381.459270000007</v>
      </c>
      <c r="AN361" s="741">
        <v>53396.629119999998</v>
      </c>
      <c r="AO361" s="741">
        <v>57789.86421</v>
      </c>
      <c r="AP361" s="41" t="str">
        <f t="shared" si="95"/>
        <v>GLT</v>
      </c>
      <c r="AQ361" s="41" t="str">
        <f t="shared" si="96"/>
        <v>GLTT0</v>
      </c>
      <c r="AR361" s="41" t="str">
        <f t="shared" si="97"/>
        <v>T0</v>
      </c>
    </row>
    <row r="362" spans="1:44" s="41" customFormat="1" ht="12.75" customHeight="1">
      <c r="A362" s="25" t="s">
        <v>17</v>
      </c>
      <c r="B362" s="25" t="str">
        <f t="shared" si="107"/>
        <v>GL190502</v>
      </c>
      <c r="C362" s="638">
        <v>190502</v>
      </c>
      <c r="D362" s="735"/>
      <c r="F362" s="1" t="s">
        <v>353</v>
      </c>
      <c r="H362" s="736">
        <v>0</v>
      </c>
      <c r="I362" s="25"/>
      <c r="J362" s="25"/>
      <c r="K362" s="442" t="str">
        <f t="shared" si="106"/>
        <v/>
      </c>
      <c r="L362" s="736" t="s">
        <v>2466</v>
      </c>
      <c r="M362" s="25" t="str">
        <f t="shared" si="108"/>
        <v>T</v>
      </c>
      <c r="N362" s="25" t="str">
        <f>IF(L362&lt;&gt;"",VLOOKUP(L362,Categories!$B$2:$D$41,2,FALSE),IF(F362&lt;&gt;"","No Cat",""))</f>
        <v>ADIT Sch</v>
      </c>
      <c r="O362" s="25" t="str">
        <f>IF($L362&lt;&gt;"",VLOOKUP($L362,Categories!$B$2:$D$41,3,FALSE),IF($F362&lt;&gt;"","No Cat",""))</f>
        <v>Def Taxes</v>
      </c>
      <c r="P362" s="736" t="s">
        <v>2468</v>
      </c>
      <c r="Q362" s="25" t="str">
        <f>VLOOKUP($P362,Allocators!$B$7:$F$19,5,FALSE)</f>
        <v>Not in Rate Base</v>
      </c>
      <c r="R362" s="737">
        <f>VLOOKUP($P362,Allocators!$B$7:$F$19,2,FALSE)</f>
        <v>0</v>
      </c>
      <c r="S362" s="737">
        <f>VLOOKUP($P362,Allocators!$B$7:$F$19,3,FALSE)</f>
        <v>0</v>
      </c>
      <c r="T362" s="737">
        <f t="shared" si="109"/>
        <v>1</v>
      </c>
      <c r="U362" s="2">
        <f t="shared" si="100"/>
        <v>0</v>
      </c>
      <c r="V362" s="2">
        <f t="shared" si="101"/>
        <v>0</v>
      </c>
      <c r="W362" s="2">
        <f t="shared" si="102"/>
        <v>7952.8844041666698</v>
      </c>
      <c r="X362" s="2">
        <f t="shared" si="98"/>
        <v>7952.8844041666698</v>
      </c>
      <c r="Y362" s="2">
        <f t="shared" si="103"/>
        <v>0</v>
      </c>
      <c r="Z362" s="2">
        <f t="shared" si="104"/>
        <v>0</v>
      </c>
      <c r="AA362" s="2">
        <f t="shared" si="105"/>
        <v>11159.926890000001</v>
      </c>
      <c r="AB362" s="2">
        <f t="shared" si="99"/>
        <v>11159.926890000001</v>
      </c>
      <c r="AC362" s="759">
        <v>8121.71497</v>
      </c>
      <c r="AD362" s="741">
        <v>8327.2848599999998</v>
      </c>
      <c r="AE362" s="741">
        <v>9272.3069099999993</v>
      </c>
      <c r="AF362" s="741">
        <v>9648.9595700000009</v>
      </c>
      <c r="AG362" s="741">
        <v>4290.1841900000009</v>
      </c>
      <c r="AH362" s="741">
        <v>5720.2226000000001</v>
      </c>
      <c r="AI362" s="741">
        <v>6068.7602500000003</v>
      </c>
      <c r="AJ362" s="741">
        <v>6275.0618400000003</v>
      </c>
      <c r="AK362" s="741">
        <v>6754.0642199999993</v>
      </c>
      <c r="AL362" s="741">
        <v>9629.2828000000009</v>
      </c>
      <c r="AM362" s="741">
        <v>9439.2500700000001</v>
      </c>
      <c r="AN362" s="741">
        <v>10368.41461</v>
      </c>
      <c r="AO362" s="741">
        <v>11159.926890000001</v>
      </c>
      <c r="AP362" s="41" t="str">
        <f t="shared" si="95"/>
        <v>GLT</v>
      </c>
      <c r="AQ362" s="41" t="str">
        <f t="shared" si="96"/>
        <v>GLTT0</v>
      </c>
      <c r="AR362" s="41" t="str">
        <f t="shared" si="97"/>
        <v>T0</v>
      </c>
    </row>
    <row r="363" spans="1:44" s="41" customFormat="1" ht="12.75" customHeight="1">
      <c r="A363" s="25" t="s">
        <v>17</v>
      </c>
      <c r="B363" s="25" t="str">
        <f t="shared" si="107"/>
        <v>GL190511</v>
      </c>
      <c r="C363" s="638">
        <v>190511</v>
      </c>
      <c r="D363" s="735"/>
      <c r="F363" s="1" t="s">
        <v>354</v>
      </c>
      <c r="H363" s="736">
        <v>0</v>
      </c>
      <c r="I363" s="25"/>
      <c r="J363" s="25"/>
      <c r="K363" s="442" t="str">
        <f t="shared" si="106"/>
        <v/>
      </c>
      <c r="L363" s="736" t="s">
        <v>2466</v>
      </c>
      <c r="M363" s="25" t="str">
        <f t="shared" si="108"/>
        <v>T</v>
      </c>
      <c r="N363" s="25" t="str">
        <f>IF(L363&lt;&gt;"",VLOOKUP(L363,Categories!$B$2:$D$41,2,FALSE),IF(F363&lt;&gt;"","No Cat",""))</f>
        <v>ADIT Sch</v>
      </c>
      <c r="O363" s="25" t="str">
        <f>IF($L363&lt;&gt;"",VLOOKUP($L363,Categories!$B$2:$D$41,3,FALSE),IF($F363&lt;&gt;"","No Cat",""))</f>
        <v>Def Taxes</v>
      </c>
      <c r="P363" s="736" t="s">
        <v>2468</v>
      </c>
      <c r="Q363" s="25" t="str">
        <f>VLOOKUP($P363,Allocators!$B$7:$F$19,5,FALSE)</f>
        <v>Not in Rate Base</v>
      </c>
      <c r="R363" s="737">
        <f>VLOOKUP($P363,Allocators!$B$7:$F$19,2,FALSE)</f>
        <v>0</v>
      </c>
      <c r="S363" s="737">
        <f>VLOOKUP($P363,Allocators!$B$7:$F$19,3,FALSE)</f>
        <v>0</v>
      </c>
      <c r="T363" s="737">
        <f t="shared" si="109"/>
        <v>1</v>
      </c>
      <c r="U363" s="2">
        <f t="shared" si="100"/>
        <v>0</v>
      </c>
      <c r="V363" s="2">
        <f t="shared" si="101"/>
        <v>0</v>
      </c>
      <c r="W363" s="2">
        <f t="shared" si="102"/>
        <v>9585.73372583333</v>
      </c>
      <c r="X363" s="2">
        <f t="shared" si="98"/>
        <v>9585.73372583333</v>
      </c>
      <c r="Y363" s="2">
        <f t="shared" si="103"/>
        <v>0</v>
      </c>
      <c r="Z363" s="2">
        <f t="shared" si="104"/>
        <v>0</v>
      </c>
      <c r="AA363" s="2">
        <f t="shared" si="105"/>
        <v>12223.3524</v>
      </c>
      <c r="AB363" s="2">
        <f t="shared" si="99"/>
        <v>12223.3524</v>
      </c>
      <c r="AC363" s="759">
        <v>8075.1250799999998</v>
      </c>
      <c r="AD363" s="741">
        <v>8190.0121100000006</v>
      </c>
      <c r="AE363" s="741">
        <v>9100.9216400000005</v>
      </c>
      <c r="AF363" s="741">
        <v>9429.1754999999994</v>
      </c>
      <c r="AG363" s="741">
        <v>6583.9356399999997</v>
      </c>
      <c r="AH363" s="741">
        <v>9065.4430399999983</v>
      </c>
      <c r="AI363" s="741">
        <v>8698.8932499999992</v>
      </c>
      <c r="AJ363" s="741">
        <v>9641.7986400000009</v>
      </c>
      <c r="AK363" s="741">
        <v>9721.32251</v>
      </c>
      <c r="AL363" s="741">
        <v>11486.569740000001</v>
      </c>
      <c r="AM363" s="741">
        <v>11697.45147</v>
      </c>
      <c r="AN363" s="741">
        <v>11264.04243</v>
      </c>
      <c r="AO363" s="741">
        <v>12223.3524</v>
      </c>
      <c r="AP363" s="41" t="str">
        <f t="shared" si="95"/>
        <v>GLT</v>
      </c>
      <c r="AQ363" s="41" t="str">
        <f t="shared" si="96"/>
        <v>GLTT0</v>
      </c>
      <c r="AR363" s="41" t="str">
        <f t="shared" si="97"/>
        <v>T0</v>
      </c>
    </row>
    <row r="364" spans="1:44" s="41" customFormat="1" ht="12.75" customHeight="1">
      <c r="A364" s="25" t="s">
        <v>17</v>
      </c>
      <c r="B364" s="25" t="str">
        <f t="shared" si="107"/>
        <v>GL190512</v>
      </c>
      <c r="C364" s="638">
        <v>190512</v>
      </c>
      <c r="D364" s="735"/>
      <c r="F364" s="1" t="s">
        <v>355</v>
      </c>
      <c r="H364" s="736">
        <v>0</v>
      </c>
      <c r="I364" s="25"/>
      <c r="J364" s="25"/>
      <c r="K364" s="442" t="str">
        <f t="shared" si="106"/>
        <v/>
      </c>
      <c r="L364" s="736" t="s">
        <v>2466</v>
      </c>
      <c r="M364" s="25" t="str">
        <f t="shared" si="108"/>
        <v>T</v>
      </c>
      <c r="N364" s="25" t="str">
        <f>IF(L364&lt;&gt;"",VLOOKUP(L364,Categories!$B$2:$D$41,2,FALSE),IF(F364&lt;&gt;"","No Cat",""))</f>
        <v>ADIT Sch</v>
      </c>
      <c r="O364" s="25" t="str">
        <f>IF($L364&lt;&gt;"",VLOOKUP($L364,Categories!$B$2:$D$41,3,FALSE),IF($F364&lt;&gt;"","No Cat",""))</f>
        <v>Def Taxes</v>
      </c>
      <c r="P364" s="736" t="s">
        <v>2468</v>
      </c>
      <c r="Q364" s="25" t="str">
        <f>VLOOKUP($P364,Allocators!$B$7:$F$19,5,FALSE)</f>
        <v>Not in Rate Base</v>
      </c>
      <c r="R364" s="737">
        <f>VLOOKUP($P364,Allocators!$B$7:$F$19,2,FALSE)</f>
        <v>0</v>
      </c>
      <c r="S364" s="737">
        <f>VLOOKUP($P364,Allocators!$B$7:$F$19,3,FALSE)</f>
        <v>0</v>
      </c>
      <c r="T364" s="737">
        <f t="shared" si="109"/>
        <v>1</v>
      </c>
      <c r="U364" s="2">
        <f t="shared" si="100"/>
        <v>0</v>
      </c>
      <c r="V364" s="2">
        <f t="shared" si="101"/>
        <v>0</v>
      </c>
      <c r="W364" s="2">
        <f t="shared" si="102"/>
        <v>1629.06167083333</v>
      </c>
      <c r="X364" s="2">
        <f t="shared" si="98"/>
        <v>1629.06167083333</v>
      </c>
      <c r="Y364" s="2">
        <f t="shared" si="103"/>
        <v>0</v>
      </c>
      <c r="Z364" s="2">
        <f t="shared" si="104"/>
        <v>0</v>
      </c>
      <c r="AA364" s="2">
        <f t="shared" si="105"/>
        <v>2329.3539000000001</v>
      </c>
      <c r="AB364" s="2">
        <f t="shared" si="99"/>
        <v>2329.3539000000001</v>
      </c>
      <c r="AC364" s="759">
        <v>1665.9276399999999</v>
      </c>
      <c r="AD364" s="741">
        <v>1710.8160399999999</v>
      </c>
      <c r="AE364" s="741">
        <v>1917.1717699999999</v>
      </c>
      <c r="AF364" s="741">
        <v>1999.4179299999998</v>
      </c>
      <c r="AG364" s="741">
        <v>829.27167000000009</v>
      </c>
      <c r="AH364" s="741">
        <v>1141.53594</v>
      </c>
      <c r="AI364" s="741">
        <v>1217.6428899999999</v>
      </c>
      <c r="AJ364" s="741">
        <v>1262.6910800000001</v>
      </c>
      <c r="AK364" s="741">
        <v>1367.28639</v>
      </c>
      <c r="AL364" s="741">
        <v>1995.12131</v>
      </c>
      <c r="AM364" s="741">
        <v>1953.6256000000001</v>
      </c>
      <c r="AN364" s="741">
        <v>2156.5186600000002</v>
      </c>
      <c r="AO364" s="741">
        <v>2329.3539000000001</v>
      </c>
      <c r="AP364" s="41" t="str">
        <f t="shared" si="95"/>
        <v>GLT</v>
      </c>
      <c r="AQ364" s="41" t="str">
        <f t="shared" si="96"/>
        <v>GLTT0</v>
      </c>
      <c r="AR364" s="41" t="str">
        <f t="shared" si="97"/>
        <v>T0</v>
      </c>
    </row>
    <row r="365" spans="1:44" s="41" customFormat="1" ht="12.75" customHeight="1">
      <c r="A365" s="25" t="s">
        <v>17</v>
      </c>
      <c r="B365" s="25" t="str">
        <f t="shared" si="107"/>
        <v>GL190531</v>
      </c>
      <c r="C365" s="638">
        <v>190531</v>
      </c>
      <c r="D365" s="735"/>
      <c r="F365" s="26" t="s">
        <v>356</v>
      </c>
      <c r="H365" s="736">
        <v>0</v>
      </c>
      <c r="I365" s="25"/>
      <c r="J365" s="25"/>
      <c r="K365" s="442" t="str">
        <f t="shared" si="106"/>
        <v/>
      </c>
      <c r="L365" s="736" t="s">
        <v>2466</v>
      </c>
      <c r="M365" s="25" t="str">
        <f t="shared" si="108"/>
        <v>T</v>
      </c>
      <c r="N365" s="25" t="str">
        <f>IF(L365&lt;&gt;"",VLOOKUP(L365,Categories!$B$2:$D$41,2,FALSE),IF(F365&lt;&gt;"","No Cat",""))</f>
        <v>ADIT Sch</v>
      </c>
      <c r="O365" s="25" t="str">
        <f>IF($L365&lt;&gt;"",VLOOKUP($L365,Categories!$B$2:$D$41,3,FALSE),IF($F365&lt;&gt;"","No Cat",""))</f>
        <v>Def Taxes</v>
      </c>
      <c r="P365" s="736" t="s">
        <v>2468</v>
      </c>
      <c r="Q365" s="25" t="str">
        <f>VLOOKUP($P365,Allocators!$B$7:$F$19,5,FALSE)</f>
        <v>Not in Rate Base</v>
      </c>
      <c r="R365" s="737">
        <f>VLOOKUP($P365,Allocators!$B$7:$F$19,2,FALSE)</f>
        <v>0</v>
      </c>
      <c r="S365" s="737">
        <f>VLOOKUP($P365,Allocators!$B$7:$F$19,3,FALSE)</f>
        <v>0</v>
      </c>
      <c r="T365" s="737">
        <f t="shared" si="109"/>
        <v>1</v>
      </c>
      <c r="U365" s="2">
        <f t="shared" si="100"/>
        <v>0</v>
      </c>
      <c r="V365" s="2">
        <f t="shared" si="101"/>
        <v>0</v>
      </c>
      <c r="W365" s="2">
        <f t="shared" si="102"/>
        <v>-24117.311662916702</v>
      </c>
      <c r="X365" s="2">
        <f t="shared" si="98"/>
        <v>-24117.311662916702</v>
      </c>
      <c r="Y365" s="2">
        <f t="shared" si="103"/>
        <v>0</v>
      </c>
      <c r="Z365" s="2">
        <f t="shared" si="104"/>
        <v>0</v>
      </c>
      <c r="AA365" s="2">
        <f t="shared" si="105"/>
        <v>-39969.038869999997</v>
      </c>
      <c r="AB365" s="2">
        <f t="shared" si="99"/>
        <v>-39969.038869999997</v>
      </c>
      <c r="AC365" s="759">
        <v>-24356.566440000002</v>
      </c>
      <c r="AD365" s="741">
        <v>-24009.426719999999</v>
      </c>
      <c r="AE365" s="741">
        <v>-23653.491239999999</v>
      </c>
      <c r="AF365" s="741">
        <v>-23298.250479999999</v>
      </c>
      <c r="AG365" s="741">
        <v>-22944.519530000001</v>
      </c>
      <c r="AH365" s="741">
        <v>-23406.813670000003</v>
      </c>
      <c r="AI365" s="741">
        <v>-23206.309129999998</v>
      </c>
      <c r="AJ365" s="741">
        <v>-23036.731510000001</v>
      </c>
      <c r="AK365" s="741">
        <v>-22893.363170000001</v>
      </c>
      <c r="AL365" s="741">
        <v>-23792.473480000001</v>
      </c>
      <c r="AM365" s="741">
        <v>-23604.194100000001</v>
      </c>
      <c r="AN365" s="741">
        <v>-23399.364269999998</v>
      </c>
      <c r="AO365" s="741">
        <v>-39969.038869999997</v>
      </c>
      <c r="AP365" s="41" t="str">
        <f t="shared" si="95"/>
        <v>GLT</v>
      </c>
      <c r="AQ365" s="41" t="str">
        <f t="shared" si="96"/>
        <v>GLTT0</v>
      </c>
      <c r="AR365" s="41" t="str">
        <f t="shared" si="97"/>
        <v>T0</v>
      </c>
    </row>
    <row r="366" spans="1:44" s="41" customFormat="1" ht="12.75" customHeight="1">
      <c r="A366" s="25" t="s">
        <v>17</v>
      </c>
      <c r="B366" s="25" t="str">
        <f t="shared" si="107"/>
        <v>GL190532</v>
      </c>
      <c r="C366" s="638">
        <v>190532</v>
      </c>
      <c r="D366" s="735"/>
      <c r="F366" s="26" t="s">
        <v>357</v>
      </c>
      <c r="H366" s="736">
        <v>0</v>
      </c>
      <c r="I366" s="25"/>
      <c r="J366" s="25"/>
      <c r="K366" s="442" t="str">
        <f t="shared" si="106"/>
        <v/>
      </c>
      <c r="L366" s="736" t="s">
        <v>2466</v>
      </c>
      <c r="M366" s="25" t="str">
        <f t="shared" si="108"/>
        <v>T</v>
      </c>
      <c r="N366" s="25" t="str">
        <f>IF(L366&lt;&gt;"",VLOOKUP(L366,Categories!$B$2:$D$41,2,FALSE),IF(F366&lt;&gt;"","No Cat",""))</f>
        <v>ADIT Sch</v>
      </c>
      <c r="O366" s="25" t="str">
        <f>IF($L366&lt;&gt;"",VLOOKUP($L366,Categories!$B$2:$D$41,3,FALSE),IF($F366&lt;&gt;"","No Cat",""))</f>
        <v>Def Taxes</v>
      </c>
      <c r="P366" s="736" t="s">
        <v>2468</v>
      </c>
      <c r="Q366" s="25" t="str">
        <f>VLOOKUP($P366,Allocators!$B$7:$F$19,5,FALSE)</f>
        <v>Not in Rate Base</v>
      </c>
      <c r="R366" s="737">
        <f>VLOOKUP($P366,Allocators!$B$7:$F$19,2,FALSE)</f>
        <v>0</v>
      </c>
      <c r="S366" s="737">
        <f>VLOOKUP($P366,Allocators!$B$7:$F$19,3,FALSE)</f>
        <v>0</v>
      </c>
      <c r="T366" s="737">
        <f t="shared" si="109"/>
        <v>1</v>
      </c>
      <c r="U366" s="2">
        <f t="shared" si="100"/>
        <v>0</v>
      </c>
      <c r="V366" s="2">
        <f t="shared" si="101"/>
        <v>0</v>
      </c>
      <c r="W366" s="2">
        <f t="shared" si="102"/>
        <v>-9509.1540154166705</v>
      </c>
      <c r="X366" s="2">
        <f t="shared" si="98"/>
        <v>-9509.1540154166705</v>
      </c>
      <c r="Y366" s="2">
        <f t="shared" si="103"/>
        <v>0</v>
      </c>
      <c r="Z366" s="2">
        <f t="shared" si="104"/>
        <v>0</v>
      </c>
      <c r="AA366" s="2">
        <f t="shared" si="105"/>
        <v>-17710.287970000001</v>
      </c>
      <c r="AB366" s="2">
        <f t="shared" si="99"/>
        <v>-17710.287969999998</v>
      </c>
      <c r="AC366" s="759">
        <v>-9381.458779999999</v>
      </c>
      <c r="AD366" s="741">
        <v>-9206.3856300000007</v>
      </c>
      <c r="AE366" s="741">
        <v>-9028.2032799999997</v>
      </c>
      <c r="AF366" s="741">
        <v>-8851.5191899999991</v>
      </c>
      <c r="AG366" s="741">
        <v>-8674.8846599999997</v>
      </c>
      <c r="AH366" s="741">
        <v>-9055.3811999999998</v>
      </c>
      <c r="AI366" s="741">
        <v>-8969.8183599999993</v>
      </c>
      <c r="AJ366" s="741">
        <v>-8888.4882600000001</v>
      </c>
      <c r="AK366" s="741">
        <v>-8831.3834999999999</v>
      </c>
      <c r="AL366" s="741">
        <v>-9764.8399499999996</v>
      </c>
      <c r="AM366" s="741">
        <v>-9682.9911199999988</v>
      </c>
      <c r="AN366" s="741">
        <v>-9610.0796599999994</v>
      </c>
      <c r="AO366" s="741">
        <v>-17710.287969999998</v>
      </c>
      <c r="AP366" s="41" t="str">
        <f t="shared" si="95"/>
        <v>GLT</v>
      </c>
      <c r="AQ366" s="41" t="str">
        <f t="shared" si="96"/>
        <v>GLTT0</v>
      </c>
      <c r="AR366" s="41" t="str">
        <f t="shared" si="97"/>
        <v>T0</v>
      </c>
    </row>
    <row r="367" spans="1:44" s="41" customFormat="1" ht="12.75" customHeight="1">
      <c r="A367" s="25" t="s">
        <v>17</v>
      </c>
      <c r="B367" s="25" t="str">
        <f t="shared" si="107"/>
        <v>GL190541</v>
      </c>
      <c r="C367" s="638">
        <v>190541</v>
      </c>
      <c r="D367" s="735"/>
      <c r="F367" s="26" t="s">
        <v>358</v>
      </c>
      <c r="H367" s="736">
        <v>0</v>
      </c>
      <c r="I367" s="25"/>
      <c r="J367" s="25"/>
      <c r="K367" s="442" t="str">
        <f t="shared" si="106"/>
        <v/>
      </c>
      <c r="L367" s="736" t="s">
        <v>2466</v>
      </c>
      <c r="M367" s="25" t="str">
        <f t="shared" si="108"/>
        <v>T</v>
      </c>
      <c r="N367" s="25" t="str">
        <f>IF(L367&lt;&gt;"",VLOOKUP(L367,Categories!$B$2:$D$41,2,FALSE),IF(F367&lt;&gt;"","No Cat",""))</f>
        <v>ADIT Sch</v>
      </c>
      <c r="O367" s="25" t="str">
        <f>IF($L367&lt;&gt;"",VLOOKUP($L367,Categories!$B$2:$D$41,3,FALSE),IF($F367&lt;&gt;"","No Cat",""))</f>
        <v>Def Taxes</v>
      </c>
      <c r="P367" s="736" t="s">
        <v>2468</v>
      </c>
      <c r="Q367" s="25" t="str">
        <f>VLOOKUP($P367,Allocators!$B$7:$F$19,5,FALSE)</f>
        <v>Not in Rate Base</v>
      </c>
      <c r="R367" s="737">
        <f>VLOOKUP($P367,Allocators!$B$7:$F$19,2,FALSE)</f>
        <v>0</v>
      </c>
      <c r="S367" s="737">
        <f>VLOOKUP($P367,Allocators!$B$7:$F$19,3,FALSE)</f>
        <v>0</v>
      </c>
      <c r="T367" s="737">
        <f t="shared" si="109"/>
        <v>1</v>
      </c>
      <c r="U367" s="2">
        <f t="shared" si="100"/>
        <v>0</v>
      </c>
      <c r="V367" s="2">
        <f t="shared" si="101"/>
        <v>0</v>
      </c>
      <c r="W367" s="2">
        <f t="shared" si="102"/>
        <v>-4499.4217245833297</v>
      </c>
      <c r="X367" s="2">
        <f t="shared" si="98"/>
        <v>-4499.4217245833297</v>
      </c>
      <c r="Y367" s="2">
        <f t="shared" si="103"/>
        <v>0</v>
      </c>
      <c r="Z367" s="2">
        <f t="shared" si="104"/>
        <v>0</v>
      </c>
      <c r="AA367" s="2">
        <f t="shared" si="105"/>
        <v>-7960.8168699999997</v>
      </c>
      <c r="AB367" s="2">
        <f t="shared" si="99"/>
        <v>-7960.8168700000006</v>
      </c>
      <c r="AC367" s="759">
        <v>-4551.6655799999999</v>
      </c>
      <c r="AD367" s="741">
        <v>-4475.8638899999996</v>
      </c>
      <c r="AE367" s="741">
        <v>-4398.1415399999996</v>
      </c>
      <c r="AF367" s="741">
        <v>-4320.5709100000004</v>
      </c>
      <c r="AG367" s="741">
        <v>-4243.3299400000005</v>
      </c>
      <c r="AH367" s="741">
        <v>-4344.2768399999995</v>
      </c>
      <c r="AI367" s="741">
        <v>-4300.4945299999999</v>
      </c>
      <c r="AJ367" s="741">
        <v>-4263.4654299999993</v>
      </c>
      <c r="AK367" s="741">
        <v>-4232.1594100000002</v>
      </c>
      <c r="AL367" s="741">
        <v>-4428.48981</v>
      </c>
      <c r="AM367" s="741">
        <v>-4387.3769900000007</v>
      </c>
      <c r="AN367" s="741">
        <v>-4342.6501799999996</v>
      </c>
      <c r="AO367" s="741">
        <v>-7960.8168700000006</v>
      </c>
      <c r="AP367" s="41" t="str">
        <f t="shared" si="95"/>
        <v>GLT</v>
      </c>
      <c r="AQ367" s="41" t="str">
        <f t="shared" si="96"/>
        <v>GLTT0</v>
      </c>
      <c r="AR367" s="41" t="str">
        <f t="shared" si="97"/>
        <v>T0</v>
      </c>
    </row>
    <row r="368" spans="1:44" s="41" customFormat="1" ht="12.75" customHeight="1">
      <c r="A368" s="25" t="s">
        <v>17</v>
      </c>
      <c r="B368" s="25" t="str">
        <f t="shared" si="107"/>
        <v>GL190542</v>
      </c>
      <c r="C368" s="638">
        <v>190542</v>
      </c>
      <c r="D368" s="735"/>
      <c r="F368" s="26" t="s">
        <v>359</v>
      </c>
      <c r="H368" s="736">
        <v>0</v>
      </c>
      <c r="I368" s="25"/>
      <c r="J368" s="25"/>
      <c r="K368" s="442" t="str">
        <f t="shared" si="106"/>
        <v/>
      </c>
      <c r="L368" s="736" t="s">
        <v>2466</v>
      </c>
      <c r="M368" s="25" t="str">
        <f t="shared" si="108"/>
        <v>T</v>
      </c>
      <c r="N368" s="25" t="str">
        <f>IF(L368&lt;&gt;"",VLOOKUP(L368,Categories!$B$2:$D$41,2,FALSE),IF(F368&lt;&gt;"","No Cat",""))</f>
        <v>ADIT Sch</v>
      </c>
      <c r="O368" s="25" t="str">
        <f>IF($L368&lt;&gt;"",VLOOKUP($L368,Categories!$B$2:$D$41,3,FALSE),IF($F368&lt;&gt;"","No Cat",""))</f>
        <v>Def Taxes</v>
      </c>
      <c r="P368" s="736" t="s">
        <v>2468</v>
      </c>
      <c r="Q368" s="25" t="str">
        <f>VLOOKUP($P368,Allocators!$B$7:$F$19,5,FALSE)</f>
        <v>Not in Rate Base</v>
      </c>
      <c r="R368" s="737">
        <f>VLOOKUP($P368,Allocators!$B$7:$F$19,2,FALSE)</f>
        <v>0</v>
      </c>
      <c r="S368" s="737">
        <f>VLOOKUP($P368,Allocators!$B$7:$F$19,3,FALSE)</f>
        <v>0</v>
      </c>
      <c r="T368" s="737">
        <f t="shared" si="109"/>
        <v>1</v>
      </c>
      <c r="U368" s="2">
        <f t="shared" si="100"/>
        <v>0</v>
      </c>
      <c r="V368" s="2">
        <f t="shared" si="101"/>
        <v>0</v>
      </c>
      <c r="W368" s="2">
        <f t="shared" si="102"/>
        <v>-1885.9815254166699</v>
      </c>
      <c r="X368" s="2">
        <f t="shared" si="98"/>
        <v>-1885.9815254166699</v>
      </c>
      <c r="Y368" s="2">
        <f t="shared" si="103"/>
        <v>0</v>
      </c>
      <c r="Z368" s="2">
        <f t="shared" si="104"/>
        <v>0</v>
      </c>
      <c r="AA368" s="2">
        <f t="shared" si="105"/>
        <v>-3676.7873500000001</v>
      </c>
      <c r="AB368" s="2">
        <f t="shared" si="99"/>
        <v>-3676.7873500000001</v>
      </c>
      <c r="AC368" s="759">
        <v>-1858.0979</v>
      </c>
      <c r="AD368" s="741">
        <v>-1819.86879</v>
      </c>
      <c r="AE368" s="741">
        <v>-1780.9607599999999</v>
      </c>
      <c r="AF368" s="741">
        <v>-1742.3798899999999</v>
      </c>
      <c r="AG368" s="741">
        <v>-1703.8098400000001</v>
      </c>
      <c r="AH368" s="741">
        <v>-1786.89535</v>
      </c>
      <c r="AI368" s="741">
        <v>-1768.2117800000001</v>
      </c>
      <c r="AJ368" s="741">
        <v>-1750.4524799999999</v>
      </c>
      <c r="AK368" s="741">
        <v>-1737.9830400000001</v>
      </c>
      <c r="AL368" s="741">
        <v>-1941.8133</v>
      </c>
      <c r="AM368" s="741">
        <v>-1923.94073</v>
      </c>
      <c r="AN368" s="741">
        <v>-1908.01972</v>
      </c>
      <c r="AO368" s="741">
        <v>-3676.7873500000001</v>
      </c>
      <c r="AP368" s="41" t="str">
        <f t="shared" si="95"/>
        <v>GLT</v>
      </c>
      <c r="AQ368" s="41" t="str">
        <f t="shared" si="96"/>
        <v>GLTT0</v>
      </c>
      <c r="AR368" s="41" t="str">
        <f t="shared" si="97"/>
        <v>T0</v>
      </c>
    </row>
    <row r="369" spans="1:44" s="41" customFormat="1" ht="12.75" customHeight="1">
      <c r="A369" s="25" t="s">
        <v>17</v>
      </c>
      <c r="B369" s="25" t="str">
        <f t="shared" si="107"/>
        <v>GL190990</v>
      </c>
      <c r="C369" s="638">
        <v>190990</v>
      </c>
      <c r="D369" s="735"/>
      <c r="F369" s="1" t="s">
        <v>360</v>
      </c>
      <c r="H369" s="736">
        <v>0</v>
      </c>
      <c r="I369" s="25"/>
      <c r="J369" s="25"/>
      <c r="K369" s="442" t="str">
        <f t="shared" si="106"/>
        <v/>
      </c>
      <c r="L369" s="736" t="s">
        <v>2466</v>
      </c>
      <c r="M369" s="25" t="str">
        <f t="shared" si="108"/>
        <v>T</v>
      </c>
      <c r="N369" s="25" t="str">
        <f>IF(L369&lt;&gt;"",VLOOKUP(L369,Categories!$B$2:$D$41,2,FALSE),IF(F369&lt;&gt;"","No Cat",""))</f>
        <v>ADIT Sch</v>
      </c>
      <c r="O369" s="25" t="str">
        <f>IF($L369&lt;&gt;"",VLOOKUP($L369,Categories!$B$2:$D$41,3,FALSE),IF($F369&lt;&gt;"","No Cat",""))</f>
        <v>Def Taxes</v>
      </c>
      <c r="P369" s="736" t="s">
        <v>2468</v>
      </c>
      <c r="Q369" s="25" t="str">
        <f>VLOOKUP($P369,Allocators!$B$7:$F$19,5,FALSE)</f>
        <v>Not in Rate Base</v>
      </c>
      <c r="R369" s="737">
        <f>VLOOKUP($P369,Allocators!$B$7:$F$19,2,FALSE)</f>
        <v>0</v>
      </c>
      <c r="S369" s="737">
        <f>VLOOKUP($P369,Allocators!$B$7:$F$19,3,FALSE)</f>
        <v>0</v>
      </c>
      <c r="T369" s="737">
        <f t="shared" si="109"/>
        <v>1</v>
      </c>
      <c r="U369" s="2">
        <f t="shared" si="100"/>
        <v>0</v>
      </c>
      <c r="V369" s="2">
        <f t="shared" si="101"/>
        <v>0</v>
      </c>
      <c r="W369" s="2">
        <f t="shared" si="102"/>
        <v>869.185655</v>
      </c>
      <c r="X369" s="2">
        <f t="shared" si="98"/>
        <v>869.185655</v>
      </c>
      <c r="Y369" s="2">
        <f t="shared" si="103"/>
        <v>0</v>
      </c>
      <c r="Z369" s="2">
        <f t="shared" si="104"/>
        <v>0</v>
      </c>
      <c r="AA369" s="2">
        <f t="shared" si="105"/>
        <v>-1543.38222</v>
      </c>
      <c r="AB369" s="2">
        <f t="shared" si="99"/>
        <v>-1543.38222</v>
      </c>
      <c r="AC369" s="759">
        <v>96.184780000000003</v>
      </c>
      <c r="AD369" s="741">
        <v>566.32478000000003</v>
      </c>
      <c r="AE369" s="741">
        <v>1163.3757800000001</v>
      </c>
      <c r="AF369" s="741">
        <v>1039.27178</v>
      </c>
      <c r="AG369" s="741">
        <v>1911.7417800000001</v>
      </c>
      <c r="AH369" s="741">
        <v>1731.5007800000001</v>
      </c>
      <c r="AI369" s="741">
        <v>1077.4127800000001</v>
      </c>
      <c r="AJ369" s="741">
        <v>-538.43621999999993</v>
      </c>
      <c r="AK369" s="741">
        <v>329.53678000000002</v>
      </c>
      <c r="AL369" s="741">
        <v>1198.7467799999999</v>
      </c>
      <c r="AM369" s="741">
        <v>1203.7307800000001</v>
      </c>
      <c r="AN369" s="741">
        <v>1470.62078</v>
      </c>
      <c r="AO369" s="741">
        <v>-1543.38222</v>
      </c>
      <c r="AP369" s="41" t="str">
        <f t="shared" si="95"/>
        <v>GLT</v>
      </c>
      <c r="AQ369" s="41" t="str">
        <f t="shared" si="96"/>
        <v>GLTT0</v>
      </c>
      <c r="AR369" s="41" t="str">
        <f t="shared" si="97"/>
        <v>T0</v>
      </c>
    </row>
    <row r="370" spans="1:44" s="41" customFormat="1" ht="12.75" customHeight="1">
      <c r="A370" s="25" t="s">
        <v>17</v>
      </c>
      <c r="B370" s="25" t="str">
        <f t="shared" si="107"/>
        <v>GL190991</v>
      </c>
      <c r="C370" s="638">
        <v>190991</v>
      </c>
      <c r="D370" s="735"/>
      <c r="F370" s="1" t="s">
        <v>361</v>
      </c>
      <c r="H370" s="736">
        <v>0</v>
      </c>
      <c r="I370" s="25"/>
      <c r="J370" s="25"/>
      <c r="K370" s="442" t="str">
        <f t="shared" si="106"/>
        <v/>
      </c>
      <c r="L370" s="736" t="s">
        <v>2466</v>
      </c>
      <c r="M370" s="25" t="str">
        <f t="shared" si="108"/>
        <v>T</v>
      </c>
      <c r="N370" s="25" t="str">
        <f>IF(L370&lt;&gt;"",VLOOKUP(L370,Categories!$B$2:$D$41,2,FALSE),IF(F370&lt;&gt;"","No Cat",""))</f>
        <v>ADIT Sch</v>
      </c>
      <c r="O370" s="25" t="str">
        <f>IF($L370&lt;&gt;"",VLOOKUP($L370,Categories!$B$2:$D$41,3,FALSE),IF($F370&lt;&gt;"","No Cat",""))</f>
        <v>Def Taxes</v>
      </c>
      <c r="P370" s="736" t="s">
        <v>2468</v>
      </c>
      <c r="Q370" s="25" t="str">
        <f>VLOOKUP($P370,Allocators!$B$7:$F$19,5,FALSE)</f>
        <v>Not in Rate Base</v>
      </c>
      <c r="R370" s="737">
        <f>VLOOKUP($P370,Allocators!$B$7:$F$19,2,FALSE)</f>
        <v>0</v>
      </c>
      <c r="S370" s="737">
        <f>VLOOKUP($P370,Allocators!$B$7:$F$19,3,FALSE)</f>
        <v>0</v>
      </c>
      <c r="T370" s="737">
        <f t="shared" si="109"/>
        <v>1</v>
      </c>
      <c r="U370" s="2">
        <f t="shared" si="100"/>
        <v>0</v>
      </c>
      <c r="V370" s="2">
        <f t="shared" si="101"/>
        <v>0</v>
      </c>
      <c r="W370" s="2">
        <f t="shared" si="102"/>
        <v>189.79026833333299</v>
      </c>
      <c r="X370" s="2">
        <f t="shared" si="98"/>
        <v>189.79026833333299</v>
      </c>
      <c r="Y370" s="2">
        <f t="shared" si="103"/>
        <v>0</v>
      </c>
      <c r="Z370" s="2">
        <f t="shared" si="104"/>
        <v>0</v>
      </c>
      <c r="AA370" s="2">
        <f t="shared" si="105"/>
        <v>-337.02094</v>
      </c>
      <c r="AB370" s="2">
        <f t="shared" si="99"/>
        <v>-337.02094</v>
      </c>
      <c r="AC370" s="759">
        <v>20.998060000000002</v>
      </c>
      <c r="AD370" s="741">
        <v>123.65805999999999</v>
      </c>
      <c r="AE370" s="741">
        <v>254.03005999999999</v>
      </c>
      <c r="AF370" s="741">
        <v>226.93106</v>
      </c>
      <c r="AG370" s="741">
        <v>417.44405999999998</v>
      </c>
      <c r="AH370" s="741">
        <v>378.08605999999997</v>
      </c>
      <c r="AI370" s="741">
        <v>235.25906000000001</v>
      </c>
      <c r="AJ370" s="741">
        <v>-117.57894</v>
      </c>
      <c r="AK370" s="741">
        <v>71.952060000000003</v>
      </c>
      <c r="AL370" s="741">
        <v>261.75306</v>
      </c>
      <c r="AM370" s="741">
        <v>262.84105999999997</v>
      </c>
      <c r="AN370" s="741">
        <v>321.11905999999999</v>
      </c>
      <c r="AO370" s="741">
        <v>-337.02094</v>
      </c>
      <c r="AP370" s="41" t="str">
        <f t="shared" si="95"/>
        <v>GLT</v>
      </c>
      <c r="AQ370" s="41" t="str">
        <f t="shared" si="96"/>
        <v>GLTT0</v>
      </c>
      <c r="AR370" s="41" t="str">
        <f t="shared" si="97"/>
        <v>T0</v>
      </c>
    </row>
    <row r="371" spans="1:44" s="41" customFormat="1" ht="12.75" customHeight="1">
      <c r="A371" s="25" t="s">
        <v>17</v>
      </c>
      <c r="B371" s="25" t="str">
        <f t="shared" si="107"/>
        <v>GL190992</v>
      </c>
      <c r="C371" s="638">
        <v>190992</v>
      </c>
      <c r="D371" s="735"/>
      <c r="F371" s="1" t="s">
        <v>362</v>
      </c>
      <c r="H371" s="736">
        <v>0</v>
      </c>
      <c r="I371" s="25"/>
      <c r="J371" s="25"/>
      <c r="K371" s="442" t="str">
        <f t="shared" si="106"/>
        <v/>
      </c>
      <c r="L371" s="736" t="s">
        <v>2466</v>
      </c>
      <c r="M371" s="25" t="str">
        <f t="shared" si="108"/>
        <v>T</v>
      </c>
      <c r="N371" s="25" t="str">
        <f>IF(L371&lt;&gt;"",VLOOKUP(L371,Categories!$B$2:$D$41,2,FALSE),IF(F371&lt;&gt;"","No Cat",""))</f>
        <v>ADIT Sch</v>
      </c>
      <c r="O371" s="25" t="str">
        <f>IF($L371&lt;&gt;"",VLOOKUP($L371,Categories!$B$2:$D$41,3,FALSE),IF($F371&lt;&gt;"","No Cat",""))</f>
        <v>Def Taxes</v>
      </c>
      <c r="P371" s="736" t="s">
        <v>2468</v>
      </c>
      <c r="Q371" s="25" t="str">
        <f>VLOOKUP($P371,Allocators!$B$7:$F$19,5,FALSE)</f>
        <v>Not in Rate Base</v>
      </c>
      <c r="R371" s="737">
        <f>VLOOKUP($P371,Allocators!$B$7:$F$19,2,FALSE)</f>
        <v>0</v>
      </c>
      <c r="S371" s="737">
        <f>VLOOKUP($P371,Allocators!$B$7:$F$19,3,FALSE)</f>
        <v>0</v>
      </c>
      <c r="T371" s="737">
        <f t="shared" si="109"/>
        <v>1</v>
      </c>
      <c r="U371" s="2">
        <f t="shared" si="100"/>
        <v>0</v>
      </c>
      <c r="V371" s="2">
        <f t="shared" si="101"/>
        <v>0</v>
      </c>
      <c r="W371" s="2">
        <f t="shared" si="102"/>
        <v>92.765358333333296</v>
      </c>
      <c r="X371" s="2">
        <f t="shared" si="98"/>
        <v>92.765358333333296</v>
      </c>
      <c r="Y371" s="2">
        <f t="shared" si="103"/>
        <v>0</v>
      </c>
      <c r="Z371" s="2">
        <f t="shared" si="104"/>
        <v>0</v>
      </c>
      <c r="AA371" s="2">
        <f t="shared" si="105"/>
        <v>-672.41084999999998</v>
      </c>
      <c r="AB371" s="2">
        <f t="shared" si="99"/>
        <v>-672.41084999999998</v>
      </c>
      <c r="AC371" s="759">
        <v>142.10014999999999</v>
      </c>
      <c r="AD371" s="741">
        <v>660.94015000000002</v>
      </c>
      <c r="AE371" s="741">
        <v>413.00515000000001</v>
      </c>
      <c r="AF371" s="741">
        <v>224.57714999999999</v>
      </c>
      <c r="AG371" s="741">
        <v>483.34315000000004</v>
      </c>
      <c r="AH371" s="741">
        <v>232.62314999999998</v>
      </c>
      <c r="AI371" s="741">
        <v>182.05615</v>
      </c>
      <c r="AJ371" s="741">
        <v>-199.77285000000001</v>
      </c>
      <c r="AK371" s="741">
        <v>-62.516849999999998</v>
      </c>
      <c r="AL371" s="741">
        <v>-73.452850000000012</v>
      </c>
      <c r="AM371" s="741">
        <v>-313.60084999999998</v>
      </c>
      <c r="AN371" s="741">
        <v>-168.86185</v>
      </c>
      <c r="AO371" s="741">
        <v>-672.41084999999998</v>
      </c>
      <c r="AP371" s="41" t="str">
        <f t="shared" si="95"/>
        <v>GLT</v>
      </c>
      <c r="AQ371" s="41" t="str">
        <f t="shared" si="96"/>
        <v>GLTT0</v>
      </c>
      <c r="AR371" s="41" t="str">
        <f t="shared" si="97"/>
        <v>T0</v>
      </c>
    </row>
    <row r="372" spans="1:44" s="41" customFormat="1" ht="12.75" customHeight="1">
      <c r="A372" s="25" t="s">
        <v>17</v>
      </c>
      <c r="B372" s="25" t="str">
        <f t="shared" si="107"/>
        <v>GL190993</v>
      </c>
      <c r="C372" s="638">
        <v>190993</v>
      </c>
      <c r="D372" s="735"/>
      <c r="F372" s="1" t="s">
        <v>363</v>
      </c>
      <c r="H372" s="736">
        <v>0</v>
      </c>
      <c r="I372" s="25"/>
      <c r="J372" s="25"/>
      <c r="K372" s="442" t="str">
        <f t="shared" si="106"/>
        <v/>
      </c>
      <c r="L372" s="736" t="s">
        <v>2466</v>
      </c>
      <c r="M372" s="25" t="str">
        <f t="shared" si="108"/>
        <v>T</v>
      </c>
      <c r="N372" s="25" t="str">
        <f>IF(L372&lt;&gt;"",VLOOKUP(L372,Categories!$B$2:$D$41,2,FALSE),IF(F372&lt;&gt;"","No Cat",""))</f>
        <v>ADIT Sch</v>
      </c>
      <c r="O372" s="25" t="str">
        <f>IF($L372&lt;&gt;"",VLOOKUP($L372,Categories!$B$2:$D$41,3,FALSE),IF($F372&lt;&gt;"","No Cat",""))</f>
        <v>Def Taxes</v>
      </c>
      <c r="P372" s="736" t="s">
        <v>2468</v>
      </c>
      <c r="Q372" s="25" t="str">
        <f>VLOOKUP($P372,Allocators!$B$7:$F$19,5,FALSE)</f>
        <v>Not in Rate Base</v>
      </c>
      <c r="R372" s="737">
        <f>VLOOKUP($P372,Allocators!$B$7:$F$19,2,FALSE)</f>
        <v>0</v>
      </c>
      <c r="S372" s="737">
        <f>VLOOKUP($P372,Allocators!$B$7:$F$19,3,FALSE)</f>
        <v>0</v>
      </c>
      <c r="T372" s="737">
        <f t="shared" si="109"/>
        <v>1</v>
      </c>
      <c r="U372" s="2">
        <f t="shared" si="100"/>
        <v>0</v>
      </c>
      <c r="V372" s="2">
        <f t="shared" si="101"/>
        <v>0</v>
      </c>
      <c r="W372" s="2">
        <f t="shared" si="102"/>
        <v>20.258085000000001</v>
      </c>
      <c r="X372" s="2">
        <f t="shared" si="98"/>
        <v>20.258085000000001</v>
      </c>
      <c r="Y372" s="2">
        <f t="shared" si="103"/>
        <v>0</v>
      </c>
      <c r="Z372" s="2">
        <f t="shared" si="104"/>
        <v>0</v>
      </c>
      <c r="AA372" s="2">
        <f t="shared" si="105"/>
        <v>-146.82629</v>
      </c>
      <c r="AB372" s="2">
        <f t="shared" si="99"/>
        <v>-146.82629</v>
      </c>
      <c r="AC372" s="759">
        <v>31.030709999999999</v>
      </c>
      <c r="AD372" s="741">
        <v>144.32470999999998</v>
      </c>
      <c r="AE372" s="741">
        <v>90.18571</v>
      </c>
      <c r="AF372" s="741">
        <v>49.040709999999997</v>
      </c>
      <c r="AG372" s="741">
        <v>105.54471000000001</v>
      </c>
      <c r="AH372" s="741">
        <v>50.797710000000002</v>
      </c>
      <c r="AI372" s="741">
        <v>39.755710000000001</v>
      </c>
      <c r="AJ372" s="741">
        <v>-43.620290000000004</v>
      </c>
      <c r="AK372" s="741">
        <v>-13.649290000000001</v>
      </c>
      <c r="AL372" s="741">
        <v>-16.037290000000002</v>
      </c>
      <c r="AM372" s="741">
        <v>-68.476289999999992</v>
      </c>
      <c r="AN372" s="741">
        <v>-36.871290000000002</v>
      </c>
      <c r="AO372" s="741">
        <v>-146.82629</v>
      </c>
      <c r="AP372" s="41" t="str">
        <f t="shared" si="95"/>
        <v>GLT</v>
      </c>
      <c r="AQ372" s="41" t="str">
        <f t="shared" si="96"/>
        <v>GLTT0</v>
      </c>
      <c r="AR372" s="41" t="str">
        <f t="shared" si="97"/>
        <v>T0</v>
      </c>
    </row>
    <row r="373" spans="1:44" s="41" customFormat="1" ht="12.75" customHeight="1">
      <c r="A373" s="25" t="s">
        <v>17</v>
      </c>
      <c r="B373" s="25" t="str">
        <f t="shared" si="107"/>
        <v>GL201000</v>
      </c>
      <c r="C373" s="638">
        <v>201000</v>
      </c>
      <c r="D373" s="735"/>
      <c r="F373" s="1" t="s">
        <v>364</v>
      </c>
      <c r="H373" s="736">
        <v>0</v>
      </c>
      <c r="I373" s="25"/>
      <c r="J373" s="25"/>
      <c r="K373" s="442" t="str">
        <f t="shared" si="106"/>
        <v/>
      </c>
      <c r="L373" s="736" t="s">
        <v>2403</v>
      </c>
      <c r="M373" s="25" t="str">
        <f t="shared" si="108"/>
        <v>C</v>
      </c>
      <c r="N373" s="25" t="str">
        <f>IF(L373&lt;&gt;"",VLOOKUP(L373,Categories!$B$2:$D$41,2,FALSE),IF(F373&lt;&gt;"","No Cat",""))</f>
        <v>Capitalization</v>
      </c>
      <c r="O373" s="25" t="str">
        <f>IF($L373&lt;&gt;"",VLOOKUP($L373,Categories!$B$2:$D$41,3,FALSE),IF($F373&lt;&gt;"","No Cat",""))</f>
        <v>Common Equity</v>
      </c>
      <c r="P373" s="736" t="s">
        <v>2468</v>
      </c>
      <c r="Q373" s="25" t="str">
        <f>VLOOKUP($P373,Allocators!$B$7:$F$19,5,FALSE)</f>
        <v>Not in Rate Base</v>
      </c>
      <c r="R373" s="737">
        <f>VLOOKUP($P373,Allocators!$B$7:$F$19,2,FALSE)</f>
        <v>0</v>
      </c>
      <c r="S373" s="737">
        <f>VLOOKUP($P373,Allocators!$B$7:$F$19,3,FALSE)</f>
        <v>0</v>
      </c>
      <c r="T373" s="737">
        <f t="shared" si="109"/>
        <v>1</v>
      </c>
      <c r="U373" s="2">
        <f t="shared" si="100"/>
        <v>0</v>
      </c>
      <c r="V373" s="2">
        <f t="shared" si="101"/>
        <v>0</v>
      </c>
      <c r="W373" s="2">
        <f t="shared" si="102"/>
        <v>-194429.065</v>
      </c>
      <c r="X373" s="2">
        <f t="shared" si="98"/>
        <v>-194429.065</v>
      </c>
      <c r="Y373" s="2">
        <f t="shared" si="103"/>
        <v>0</v>
      </c>
      <c r="Z373" s="2">
        <f t="shared" si="104"/>
        <v>0</v>
      </c>
      <c r="AA373" s="2">
        <f t="shared" si="105"/>
        <v>-194429.065</v>
      </c>
      <c r="AB373" s="2">
        <f t="shared" si="99"/>
        <v>-194429.065</v>
      </c>
      <c r="AC373" s="759">
        <v>-194429.065</v>
      </c>
      <c r="AD373" s="741">
        <v>-194429.065</v>
      </c>
      <c r="AE373" s="741">
        <v>-194429.065</v>
      </c>
      <c r="AF373" s="741">
        <v>-194429.065</v>
      </c>
      <c r="AG373" s="741">
        <v>-194429.065</v>
      </c>
      <c r="AH373" s="741">
        <v>-194429.065</v>
      </c>
      <c r="AI373" s="741">
        <v>-194429.065</v>
      </c>
      <c r="AJ373" s="741">
        <v>-194429.065</v>
      </c>
      <c r="AK373" s="741">
        <v>-194429.065</v>
      </c>
      <c r="AL373" s="741">
        <v>-194429.065</v>
      </c>
      <c r="AM373" s="741">
        <v>-194429.065</v>
      </c>
      <c r="AN373" s="741">
        <v>-194429.065</v>
      </c>
      <c r="AO373" s="741">
        <v>-194429.065</v>
      </c>
      <c r="AP373" s="41" t="str">
        <f t="shared" si="95"/>
        <v>GLC</v>
      </c>
      <c r="AQ373" s="41" t="str">
        <f t="shared" si="96"/>
        <v>GLCC150</v>
      </c>
      <c r="AR373" s="41" t="str">
        <f t="shared" si="97"/>
        <v>C150</v>
      </c>
    </row>
    <row r="374" spans="1:44" s="41" customFormat="1" ht="12.75" customHeight="1">
      <c r="A374" s="25" t="s">
        <v>17</v>
      </c>
      <c r="B374" s="25" t="str">
        <f t="shared" si="107"/>
        <v>GL204010</v>
      </c>
      <c r="C374" s="638">
        <v>204010</v>
      </c>
      <c r="D374" s="735"/>
      <c r="F374" s="1" t="s">
        <v>365</v>
      </c>
      <c r="H374" s="736">
        <v>0</v>
      </c>
      <c r="I374" s="25"/>
      <c r="J374" s="25"/>
      <c r="K374" s="442" t="str">
        <f t="shared" si="106"/>
        <v/>
      </c>
      <c r="L374" s="736" t="s">
        <v>2402</v>
      </c>
      <c r="M374" s="25" t="str">
        <f t="shared" si="108"/>
        <v>C</v>
      </c>
      <c r="N374" s="25" t="str">
        <f>IF(L374&lt;&gt;"",VLOOKUP(L374,Categories!$B$2:$D$41,2,FALSE),IF(F374&lt;&gt;"","No Cat",""))</f>
        <v>Capitalization</v>
      </c>
      <c r="O374" s="25" t="str">
        <f>IF($L374&lt;&gt;"",VLOOKUP($L374,Categories!$B$2:$D$41,3,FALSE),IF($F374&lt;&gt;"","No Cat",""))</f>
        <v>Preferred Stock</v>
      </c>
      <c r="P374" s="736" t="s">
        <v>2468</v>
      </c>
      <c r="Q374" s="25" t="str">
        <f>VLOOKUP($P374,Allocators!$B$7:$F$19,5,FALSE)</f>
        <v>Not in Rate Base</v>
      </c>
      <c r="R374" s="737">
        <f>VLOOKUP($P374,Allocators!$B$7:$F$19,2,FALSE)</f>
        <v>0</v>
      </c>
      <c r="S374" s="737">
        <f>VLOOKUP($P374,Allocators!$B$7:$F$19,3,FALSE)</f>
        <v>0</v>
      </c>
      <c r="T374" s="737">
        <f t="shared" si="109"/>
        <v>1</v>
      </c>
      <c r="U374" s="2" t="str">
        <f t="shared" si="100"/>
        <v/>
      </c>
      <c r="V374" s="2" t="str">
        <f t="shared" si="101"/>
        <v/>
      </c>
      <c r="W374" s="2" t="str">
        <f t="shared" si="102"/>
        <v/>
      </c>
      <c r="X374" s="2">
        <f t="shared" si="98"/>
        <v>0</v>
      </c>
      <c r="Y374" s="2" t="str">
        <f t="shared" si="103"/>
        <v/>
      </c>
      <c r="Z374" s="2" t="str">
        <f t="shared" si="104"/>
        <v/>
      </c>
      <c r="AA374" s="2" t="str">
        <f t="shared" si="105"/>
        <v/>
      </c>
      <c r="AB374" s="2">
        <f t="shared" si="99"/>
        <v>0</v>
      </c>
      <c r="AC374" s="759">
        <v>0</v>
      </c>
      <c r="AD374" s="741">
        <v>0</v>
      </c>
      <c r="AE374" s="741">
        <v>0</v>
      </c>
      <c r="AF374" s="741">
        <v>0</v>
      </c>
      <c r="AG374" s="741">
        <v>0</v>
      </c>
      <c r="AH374" s="741">
        <v>0</v>
      </c>
      <c r="AI374" s="741">
        <v>0</v>
      </c>
      <c r="AJ374" s="741">
        <v>0</v>
      </c>
      <c r="AK374" s="741">
        <v>0</v>
      </c>
      <c r="AL374" s="741">
        <v>0</v>
      </c>
      <c r="AM374" s="741">
        <v>0</v>
      </c>
      <c r="AN374" s="741">
        <v>0</v>
      </c>
      <c r="AO374" s="741">
        <v>0</v>
      </c>
      <c r="AP374" s="41" t="str">
        <f t="shared" si="95"/>
        <v>GLC</v>
      </c>
      <c r="AQ374" s="41" t="str">
        <f t="shared" si="96"/>
        <v>GLCC140</v>
      </c>
      <c r="AR374" s="41" t="str">
        <f t="shared" si="97"/>
        <v>C140</v>
      </c>
    </row>
    <row r="375" spans="1:44" s="41" customFormat="1" ht="12.75" customHeight="1">
      <c r="A375" s="25" t="s">
        <v>17</v>
      </c>
      <c r="B375" s="25" t="str">
        <f t="shared" si="107"/>
        <v>GL204020</v>
      </c>
      <c r="C375" s="638">
        <v>204020</v>
      </c>
      <c r="D375" s="735"/>
      <c r="F375" s="1" t="s">
        <v>366</v>
      </c>
      <c r="H375" s="736">
        <v>0</v>
      </c>
      <c r="I375" s="25"/>
      <c r="J375" s="25"/>
      <c r="K375" s="442" t="str">
        <f t="shared" si="106"/>
        <v/>
      </c>
      <c r="L375" s="736" t="s">
        <v>2402</v>
      </c>
      <c r="M375" s="25" t="str">
        <f t="shared" si="108"/>
        <v>C</v>
      </c>
      <c r="N375" s="25" t="str">
        <f>IF(L375&lt;&gt;"",VLOOKUP(L375,Categories!$B$2:$D$41,2,FALSE),IF(F375&lt;&gt;"","No Cat",""))</f>
        <v>Capitalization</v>
      </c>
      <c r="O375" s="25" t="str">
        <f>IF($L375&lt;&gt;"",VLOOKUP($L375,Categories!$B$2:$D$41,3,FALSE),IF($F375&lt;&gt;"","No Cat",""))</f>
        <v>Preferred Stock</v>
      </c>
      <c r="P375" s="736" t="s">
        <v>2468</v>
      </c>
      <c r="Q375" s="25" t="str">
        <f>VLOOKUP($P375,Allocators!$B$7:$F$19,5,FALSE)</f>
        <v>Not in Rate Base</v>
      </c>
      <c r="R375" s="737">
        <f>VLOOKUP($P375,Allocators!$B$7:$F$19,2,FALSE)</f>
        <v>0</v>
      </c>
      <c r="S375" s="737">
        <f>VLOOKUP($P375,Allocators!$B$7:$F$19,3,FALSE)</f>
        <v>0</v>
      </c>
      <c r="T375" s="737">
        <f t="shared" si="109"/>
        <v>1</v>
      </c>
      <c r="U375" s="2" t="str">
        <f t="shared" si="100"/>
        <v/>
      </c>
      <c r="V375" s="2" t="str">
        <f t="shared" si="101"/>
        <v/>
      </c>
      <c r="W375" s="2" t="str">
        <f t="shared" si="102"/>
        <v/>
      </c>
      <c r="X375" s="2">
        <f t="shared" si="98"/>
        <v>0</v>
      </c>
      <c r="Y375" s="2" t="str">
        <f t="shared" si="103"/>
        <v/>
      </c>
      <c r="Z375" s="2" t="str">
        <f t="shared" si="104"/>
        <v/>
      </c>
      <c r="AA375" s="2" t="str">
        <f t="shared" si="105"/>
        <v/>
      </c>
      <c r="AB375" s="2">
        <f t="shared" si="99"/>
        <v>0</v>
      </c>
      <c r="AC375" s="759">
        <v>0</v>
      </c>
      <c r="AD375" s="741">
        <v>0</v>
      </c>
      <c r="AE375" s="741">
        <v>0</v>
      </c>
      <c r="AF375" s="741">
        <v>0</v>
      </c>
      <c r="AG375" s="741">
        <v>0</v>
      </c>
      <c r="AH375" s="741">
        <v>0</v>
      </c>
      <c r="AI375" s="741">
        <v>0</v>
      </c>
      <c r="AJ375" s="741">
        <v>0</v>
      </c>
      <c r="AK375" s="741">
        <v>0</v>
      </c>
      <c r="AL375" s="741">
        <v>0</v>
      </c>
      <c r="AM375" s="741">
        <v>0</v>
      </c>
      <c r="AN375" s="741">
        <v>0</v>
      </c>
      <c r="AO375" s="741">
        <v>0</v>
      </c>
      <c r="AP375" s="41" t="str">
        <f t="shared" si="95"/>
        <v>GLC</v>
      </c>
      <c r="AQ375" s="41" t="str">
        <f t="shared" si="96"/>
        <v>GLCC140</v>
      </c>
      <c r="AR375" s="41" t="str">
        <f t="shared" si="97"/>
        <v>C140</v>
      </c>
    </row>
    <row r="376" spans="1:44" s="41" customFormat="1" ht="12.75" customHeight="1">
      <c r="A376" s="25" t="s">
        <v>17</v>
      </c>
      <c r="B376" s="25" t="str">
        <f t="shared" si="107"/>
        <v>GL204030</v>
      </c>
      <c r="C376" s="638">
        <v>204030</v>
      </c>
      <c r="D376" s="735"/>
      <c r="F376" s="1" t="s">
        <v>367</v>
      </c>
      <c r="H376" s="736">
        <v>0</v>
      </c>
      <c r="I376" s="25"/>
      <c r="J376" s="25"/>
      <c r="K376" s="442" t="str">
        <f t="shared" si="106"/>
        <v/>
      </c>
      <c r="L376" s="736" t="s">
        <v>2402</v>
      </c>
      <c r="M376" s="25" t="str">
        <f t="shared" si="108"/>
        <v>C</v>
      </c>
      <c r="N376" s="25" t="str">
        <f>IF(L376&lt;&gt;"",VLOOKUP(L376,Categories!$B$2:$D$41,2,FALSE),IF(F376&lt;&gt;"","No Cat",""))</f>
        <v>Capitalization</v>
      </c>
      <c r="O376" s="25" t="str">
        <f>IF($L376&lt;&gt;"",VLOOKUP($L376,Categories!$B$2:$D$41,3,FALSE),IF($F376&lt;&gt;"","No Cat",""))</f>
        <v>Preferred Stock</v>
      </c>
      <c r="P376" s="736" t="s">
        <v>2468</v>
      </c>
      <c r="Q376" s="25" t="str">
        <f>VLOOKUP($P376,Allocators!$B$7:$F$19,5,FALSE)</f>
        <v>Not in Rate Base</v>
      </c>
      <c r="R376" s="737">
        <f>VLOOKUP($P376,Allocators!$B$7:$F$19,2,FALSE)</f>
        <v>0</v>
      </c>
      <c r="S376" s="737">
        <f>VLOOKUP($P376,Allocators!$B$7:$F$19,3,FALSE)</f>
        <v>0</v>
      </c>
      <c r="T376" s="737">
        <f t="shared" si="109"/>
        <v>1</v>
      </c>
      <c r="U376" s="2" t="str">
        <f t="shared" si="100"/>
        <v/>
      </c>
      <c r="V376" s="2" t="str">
        <f t="shared" si="101"/>
        <v/>
      </c>
      <c r="W376" s="2" t="str">
        <f t="shared" si="102"/>
        <v/>
      </c>
      <c r="X376" s="2">
        <f t="shared" si="98"/>
        <v>0</v>
      </c>
      <c r="Y376" s="2" t="str">
        <f t="shared" si="103"/>
        <v/>
      </c>
      <c r="Z376" s="2" t="str">
        <f t="shared" si="104"/>
        <v/>
      </c>
      <c r="AA376" s="2" t="str">
        <f t="shared" si="105"/>
        <v/>
      </c>
      <c r="AB376" s="2">
        <f t="shared" si="99"/>
        <v>0</v>
      </c>
      <c r="AC376" s="759">
        <v>0</v>
      </c>
      <c r="AD376" s="741">
        <v>0</v>
      </c>
      <c r="AE376" s="741">
        <v>0</v>
      </c>
      <c r="AF376" s="741">
        <v>0</v>
      </c>
      <c r="AG376" s="741">
        <v>0</v>
      </c>
      <c r="AH376" s="741">
        <v>0</v>
      </c>
      <c r="AI376" s="741">
        <v>0</v>
      </c>
      <c r="AJ376" s="741">
        <v>0</v>
      </c>
      <c r="AK376" s="741">
        <v>0</v>
      </c>
      <c r="AL376" s="741">
        <v>0</v>
      </c>
      <c r="AM376" s="741">
        <v>0</v>
      </c>
      <c r="AN376" s="741">
        <v>0</v>
      </c>
      <c r="AO376" s="741">
        <v>0</v>
      </c>
      <c r="AP376" s="41" t="str">
        <f t="shared" si="95"/>
        <v>GLC</v>
      </c>
      <c r="AQ376" s="41" t="str">
        <f t="shared" si="96"/>
        <v>GLCC140</v>
      </c>
      <c r="AR376" s="41" t="str">
        <f t="shared" si="97"/>
        <v>C140</v>
      </c>
    </row>
    <row r="377" spans="1:44" s="41" customFormat="1" ht="12.75" customHeight="1">
      <c r="A377" s="25" t="s">
        <v>17</v>
      </c>
      <c r="B377" s="25" t="str">
        <f t="shared" si="107"/>
        <v>GL204040</v>
      </c>
      <c r="C377" s="638">
        <v>204040</v>
      </c>
      <c r="D377" s="735"/>
      <c r="F377" s="1" t="s">
        <v>368</v>
      </c>
      <c r="H377" s="736">
        <v>0</v>
      </c>
      <c r="I377" s="25"/>
      <c r="J377" s="25"/>
      <c r="K377" s="442" t="str">
        <f t="shared" si="106"/>
        <v/>
      </c>
      <c r="L377" s="736" t="s">
        <v>2402</v>
      </c>
      <c r="M377" s="25" t="str">
        <f t="shared" si="108"/>
        <v>C</v>
      </c>
      <c r="N377" s="25" t="str">
        <f>IF(L377&lt;&gt;"",VLOOKUP(L377,Categories!$B$2:$D$41,2,FALSE),IF(F377&lt;&gt;"","No Cat",""))</f>
        <v>Capitalization</v>
      </c>
      <c r="O377" s="25" t="str">
        <f>IF($L377&lt;&gt;"",VLOOKUP($L377,Categories!$B$2:$D$41,3,FALSE),IF($F377&lt;&gt;"","No Cat",""))</f>
        <v>Preferred Stock</v>
      </c>
      <c r="P377" s="736" t="s">
        <v>2468</v>
      </c>
      <c r="Q377" s="25" t="str">
        <f>VLOOKUP($P377,Allocators!$B$7:$F$19,5,FALSE)</f>
        <v>Not in Rate Base</v>
      </c>
      <c r="R377" s="737">
        <f>VLOOKUP($P377,Allocators!$B$7:$F$19,2,FALSE)</f>
        <v>0</v>
      </c>
      <c r="S377" s="737">
        <f>VLOOKUP($P377,Allocators!$B$7:$F$19,3,FALSE)</f>
        <v>0</v>
      </c>
      <c r="T377" s="737">
        <f t="shared" si="109"/>
        <v>1</v>
      </c>
      <c r="U377" s="2" t="str">
        <f t="shared" si="100"/>
        <v/>
      </c>
      <c r="V377" s="2" t="str">
        <f t="shared" si="101"/>
        <v/>
      </c>
      <c r="W377" s="2" t="str">
        <f t="shared" si="102"/>
        <v/>
      </c>
      <c r="X377" s="2">
        <f t="shared" si="98"/>
        <v>0</v>
      </c>
      <c r="Y377" s="2" t="str">
        <f t="shared" si="103"/>
        <v/>
      </c>
      <c r="Z377" s="2" t="str">
        <f t="shared" si="104"/>
        <v/>
      </c>
      <c r="AA377" s="2" t="str">
        <f t="shared" si="105"/>
        <v/>
      </c>
      <c r="AB377" s="2">
        <f t="shared" si="99"/>
        <v>0</v>
      </c>
      <c r="AC377" s="759">
        <v>0</v>
      </c>
      <c r="AD377" s="741">
        <v>0</v>
      </c>
      <c r="AE377" s="741">
        <v>0</v>
      </c>
      <c r="AF377" s="741">
        <v>0</v>
      </c>
      <c r="AG377" s="741">
        <v>0</v>
      </c>
      <c r="AH377" s="741">
        <v>0</v>
      </c>
      <c r="AI377" s="741">
        <v>0</v>
      </c>
      <c r="AJ377" s="741">
        <v>0</v>
      </c>
      <c r="AK377" s="741">
        <v>0</v>
      </c>
      <c r="AL377" s="741">
        <v>0</v>
      </c>
      <c r="AM377" s="741">
        <v>0</v>
      </c>
      <c r="AN377" s="741">
        <v>0</v>
      </c>
      <c r="AO377" s="741">
        <v>0</v>
      </c>
      <c r="AP377" s="41" t="str">
        <f t="shared" si="95"/>
        <v>GLC</v>
      </c>
      <c r="AQ377" s="41" t="str">
        <f t="shared" si="96"/>
        <v>GLCC140</v>
      </c>
      <c r="AR377" s="41" t="str">
        <f t="shared" si="97"/>
        <v>C140</v>
      </c>
    </row>
    <row r="378" spans="1:44" s="41" customFormat="1" ht="12.75" customHeight="1">
      <c r="A378" s="25" t="s">
        <v>17</v>
      </c>
      <c r="B378" s="25" t="str">
        <f t="shared" si="107"/>
        <v>GL204050</v>
      </c>
      <c r="C378" s="638">
        <v>204050</v>
      </c>
      <c r="D378" s="735"/>
      <c r="F378" s="1" t="s">
        <v>369</v>
      </c>
      <c r="H378" s="736">
        <v>0</v>
      </c>
      <c r="I378" s="25"/>
      <c r="J378" s="25"/>
      <c r="K378" s="442" t="str">
        <f t="shared" si="106"/>
        <v/>
      </c>
      <c r="L378" s="736" t="s">
        <v>2402</v>
      </c>
      <c r="M378" s="25" t="str">
        <f t="shared" si="108"/>
        <v>C</v>
      </c>
      <c r="N378" s="25" t="str">
        <f>IF(L378&lt;&gt;"",VLOOKUP(L378,Categories!$B$2:$D$41,2,FALSE),IF(F378&lt;&gt;"","No Cat",""))</f>
        <v>Capitalization</v>
      </c>
      <c r="O378" s="25" t="str">
        <f>IF($L378&lt;&gt;"",VLOOKUP($L378,Categories!$B$2:$D$41,3,FALSE),IF($F378&lt;&gt;"","No Cat",""))</f>
        <v>Preferred Stock</v>
      </c>
      <c r="P378" s="736" t="s">
        <v>2468</v>
      </c>
      <c r="Q378" s="25" t="str">
        <f>VLOOKUP($P378,Allocators!$B$7:$F$19,5,FALSE)</f>
        <v>Not in Rate Base</v>
      </c>
      <c r="R378" s="737">
        <f>VLOOKUP($P378,Allocators!$B$7:$F$19,2,FALSE)</f>
        <v>0</v>
      </c>
      <c r="S378" s="737">
        <f>VLOOKUP($P378,Allocators!$B$7:$F$19,3,FALSE)</f>
        <v>0</v>
      </c>
      <c r="T378" s="737">
        <f t="shared" si="109"/>
        <v>1</v>
      </c>
      <c r="U378" s="2" t="str">
        <f t="shared" si="100"/>
        <v/>
      </c>
      <c r="V378" s="2" t="str">
        <f t="shared" si="101"/>
        <v/>
      </c>
      <c r="W378" s="2" t="str">
        <f t="shared" si="102"/>
        <v/>
      </c>
      <c r="X378" s="2">
        <f t="shared" si="98"/>
        <v>0</v>
      </c>
      <c r="Y378" s="2" t="str">
        <f t="shared" si="103"/>
        <v/>
      </c>
      <c r="Z378" s="2" t="str">
        <f t="shared" si="104"/>
        <v/>
      </c>
      <c r="AA378" s="2" t="str">
        <f t="shared" si="105"/>
        <v/>
      </c>
      <c r="AB378" s="2">
        <f t="shared" si="99"/>
        <v>0</v>
      </c>
      <c r="AC378" s="759">
        <v>0</v>
      </c>
      <c r="AD378" s="741">
        <v>0</v>
      </c>
      <c r="AE378" s="741">
        <v>0</v>
      </c>
      <c r="AF378" s="741">
        <v>0</v>
      </c>
      <c r="AG378" s="741">
        <v>0</v>
      </c>
      <c r="AH378" s="741">
        <v>0</v>
      </c>
      <c r="AI378" s="741">
        <v>0</v>
      </c>
      <c r="AJ378" s="741">
        <v>0</v>
      </c>
      <c r="AK378" s="741">
        <v>0</v>
      </c>
      <c r="AL378" s="741">
        <v>0</v>
      </c>
      <c r="AM378" s="741">
        <v>0</v>
      </c>
      <c r="AN378" s="741">
        <v>0</v>
      </c>
      <c r="AO378" s="741">
        <v>0</v>
      </c>
      <c r="AP378" s="41" t="str">
        <f t="shared" si="95"/>
        <v>GLC</v>
      </c>
      <c r="AQ378" s="41" t="str">
        <f t="shared" si="96"/>
        <v>GLCC140</v>
      </c>
      <c r="AR378" s="41" t="str">
        <f t="shared" si="97"/>
        <v>C140</v>
      </c>
    </row>
    <row r="379" spans="1:44" s="41" customFormat="1" ht="12.75" customHeight="1">
      <c r="A379" s="25" t="s">
        <v>17</v>
      </c>
      <c r="B379" s="25" t="str">
        <f t="shared" si="107"/>
        <v>GL204070</v>
      </c>
      <c r="C379" s="638">
        <v>204070</v>
      </c>
      <c r="D379" s="735"/>
      <c r="F379" s="1" t="s">
        <v>370</v>
      </c>
      <c r="H379" s="736">
        <v>0</v>
      </c>
      <c r="I379" s="25"/>
      <c r="J379" s="25"/>
      <c r="K379" s="442" t="str">
        <f t="shared" si="106"/>
        <v/>
      </c>
      <c r="L379" s="736" t="s">
        <v>2402</v>
      </c>
      <c r="M379" s="25" t="str">
        <f t="shared" si="108"/>
        <v>C</v>
      </c>
      <c r="N379" s="25" t="str">
        <f>IF(L379&lt;&gt;"",VLOOKUP(L379,Categories!$B$2:$D$41,2,FALSE),IF(F379&lt;&gt;"","No Cat",""))</f>
        <v>Capitalization</v>
      </c>
      <c r="O379" s="25" t="str">
        <f>IF($L379&lt;&gt;"",VLOOKUP($L379,Categories!$B$2:$D$41,3,FALSE),IF($F379&lt;&gt;"","No Cat",""))</f>
        <v>Preferred Stock</v>
      </c>
      <c r="P379" s="736" t="s">
        <v>2468</v>
      </c>
      <c r="Q379" s="25" t="str">
        <f>VLOOKUP($P379,Allocators!$B$7:$F$19,5,FALSE)</f>
        <v>Not in Rate Base</v>
      </c>
      <c r="R379" s="737">
        <f>VLOOKUP($P379,Allocators!$B$7:$F$19,2,FALSE)</f>
        <v>0</v>
      </c>
      <c r="S379" s="737">
        <f>VLOOKUP($P379,Allocators!$B$7:$F$19,3,FALSE)</f>
        <v>0</v>
      </c>
      <c r="T379" s="737">
        <f t="shared" si="109"/>
        <v>1</v>
      </c>
      <c r="U379" s="2" t="str">
        <f t="shared" si="100"/>
        <v/>
      </c>
      <c r="V379" s="2" t="str">
        <f t="shared" si="101"/>
        <v/>
      </c>
      <c r="W379" s="2" t="str">
        <f t="shared" si="102"/>
        <v/>
      </c>
      <c r="X379" s="2">
        <f t="shared" si="98"/>
        <v>0</v>
      </c>
      <c r="Y379" s="2" t="str">
        <f t="shared" si="103"/>
        <v/>
      </c>
      <c r="Z379" s="2" t="str">
        <f t="shared" si="104"/>
        <v/>
      </c>
      <c r="AA379" s="2" t="str">
        <f t="shared" si="105"/>
        <v/>
      </c>
      <c r="AB379" s="2">
        <f t="shared" si="99"/>
        <v>0</v>
      </c>
      <c r="AC379" s="759">
        <v>0</v>
      </c>
      <c r="AD379" s="741">
        <v>0</v>
      </c>
      <c r="AE379" s="741">
        <v>0</v>
      </c>
      <c r="AF379" s="741">
        <v>0</v>
      </c>
      <c r="AG379" s="741">
        <v>0</v>
      </c>
      <c r="AH379" s="741">
        <v>0</v>
      </c>
      <c r="AI379" s="741">
        <v>0</v>
      </c>
      <c r="AJ379" s="741">
        <v>0</v>
      </c>
      <c r="AK379" s="741">
        <v>0</v>
      </c>
      <c r="AL379" s="741">
        <v>0</v>
      </c>
      <c r="AM379" s="741">
        <v>0</v>
      </c>
      <c r="AN379" s="741">
        <v>0</v>
      </c>
      <c r="AO379" s="741">
        <v>0</v>
      </c>
      <c r="AP379" s="41" t="str">
        <f t="shared" si="95"/>
        <v>GLC</v>
      </c>
      <c r="AQ379" s="41" t="str">
        <f t="shared" si="96"/>
        <v>GLCC140</v>
      </c>
      <c r="AR379" s="41" t="str">
        <f t="shared" si="97"/>
        <v>C140</v>
      </c>
    </row>
    <row r="380" spans="1:44" s="41" customFormat="1" ht="12.75" customHeight="1">
      <c r="A380" s="25" t="s">
        <v>17</v>
      </c>
      <c r="B380" s="25" t="str">
        <f t="shared" si="107"/>
        <v>GL204160</v>
      </c>
      <c r="C380" s="638">
        <v>204160</v>
      </c>
      <c r="D380" s="735"/>
      <c r="F380" s="1" t="s">
        <v>371</v>
      </c>
      <c r="H380" s="736">
        <v>0</v>
      </c>
      <c r="I380" s="25"/>
      <c r="J380" s="25"/>
      <c r="K380" s="442" t="str">
        <f t="shared" si="106"/>
        <v/>
      </c>
      <c r="L380" s="736" t="s">
        <v>2402</v>
      </c>
      <c r="M380" s="25" t="str">
        <f t="shared" si="108"/>
        <v>C</v>
      </c>
      <c r="N380" s="25" t="str">
        <f>IF(L380&lt;&gt;"",VLOOKUP(L380,Categories!$B$2:$D$41,2,FALSE),IF(F380&lt;&gt;"","No Cat",""))</f>
        <v>Capitalization</v>
      </c>
      <c r="O380" s="25" t="str">
        <f>IF($L380&lt;&gt;"",VLOOKUP($L380,Categories!$B$2:$D$41,3,FALSE),IF($F380&lt;&gt;"","No Cat",""))</f>
        <v>Preferred Stock</v>
      </c>
      <c r="P380" s="736" t="s">
        <v>2468</v>
      </c>
      <c r="Q380" s="25" t="str">
        <f>VLOOKUP($P380,Allocators!$B$7:$F$19,5,FALSE)</f>
        <v>Not in Rate Base</v>
      </c>
      <c r="R380" s="737">
        <f>VLOOKUP($P380,Allocators!$B$7:$F$19,2,FALSE)</f>
        <v>0</v>
      </c>
      <c r="S380" s="737">
        <f>VLOOKUP($P380,Allocators!$B$7:$F$19,3,FALSE)</f>
        <v>0</v>
      </c>
      <c r="T380" s="737">
        <f t="shared" si="109"/>
        <v>1</v>
      </c>
      <c r="U380" s="2" t="str">
        <f t="shared" si="100"/>
        <v/>
      </c>
      <c r="V380" s="2" t="str">
        <f t="shared" si="101"/>
        <v/>
      </c>
      <c r="W380" s="2" t="str">
        <f t="shared" si="102"/>
        <v/>
      </c>
      <c r="X380" s="2">
        <f t="shared" si="98"/>
        <v>0</v>
      </c>
      <c r="Y380" s="2" t="str">
        <f t="shared" si="103"/>
        <v/>
      </c>
      <c r="Z380" s="2" t="str">
        <f t="shared" si="104"/>
        <v/>
      </c>
      <c r="AA380" s="2" t="str">
        <f t="shared" si="105"/>
        <v/>
      </c>
      <c r="AB380" s="2">
        <f t="shared" si="99"/>
        <v>0</v>
      </c>
      <c r="AC380" s="759">
        <v>0</v>
      </c>
      <c r="AD380" s="741">
        <v>0</v>
      </c>
      <c r="AE380" s="741">
        <v>0</v>
      </c>
      <c r="AF380" s="741">
        <v>0</v>
      </c>
      <c r="AG380" s="741">
        <v>0</v>
      </c>
      <c r="AH380" s="741">
        <v>0</v>
      </c>
      <c r="AI380" s="741">
        <v>0</v>
      </c>
      <c r="AJ380" s="741">
        <v>0</v>
      </c>
      <c r="AK380" s="741">
        <v>0</v>
      </c>
      <c r="AL380" s="741">
        <v>0</v>
      </c>
      <c r="AM380" s="741">
        <v>0</v>
      </c>
      <c r="AN380" s="741">
        <v>0</v>
      </c>
      <c r="AO380" s="741">
        <v>0</v>
      </c>
      <c r="AP380" s="41" t="str">
        <f t="shared" si="95"/>
        <v>GLC</v>
      </c>
      <c r="AQ380" s="41" t="str">
        <f t="shared" si="96"/>
        <v>GLCC140</v>
      </c>
      <c r="AR380" s="41" t="str">
        <f t="shared" si="97"/>
        <v>C140</v>
      </c>
    </row>
    <row r="381" spans="1:44" s="41" customFormat="1" ht="12.75" customHeight="1">
      <c r="A381" s="25" t="s">
        <v>17</v>
      </c>
      <c r="B381" s="25" t="str">
        <f t="shared" si="107"/>
        <v>GL204990</v>
      </c>
      <c r="C381" s="638">
        <v>204990</v>
      </c>
      <c r="D381" s="735"/>
      <c r="F381" s="1" t="s">
        <v>372</v>
      </c>
      <c r="H381" s="736">
        <v>0</v>
      </c>
      <c r="I381" s="25"/>
      <c r="J381" s="25"/>
      <c r="K381" s="442" t="str">
        <f t="shared" si="106"/>
        <v/>
      </c>
      <c r="L381" s="736" t="s">
        <v>2402</v>
      </c>
      <c r="M381" s="25" t="str">
        <f t="shared" si="108"/>
        <v>C</v>
      </c>
      <c r="N381" s="25" t="str">
        <f>IF(L381&lt;&gt;"",VLOOKUP(L381,Categories!$B$2:$D$41,2,FALSE),IF(F381&lt;&gt;"","No Cat",""))</f>
        <v>Capitalization</v>
      </c>
      <c r="O381" s="25" t="str">
        <f>IF($L381&lt;&gt;"",VLOOKUP($L381,Categories!$B$2:$D$41,3,FALSE),IF($F381&lt;&gt;"","No Cat",""))</f>
        <v>Preferred Stock</v>
      </c>
      <c r="P381" s="736" t="s">
        <v>2468</v>
      </c>
      <c r="Q381" s="25" t="str">
        <f>VLOOKUP($P381,Allocators!$B$7:$F$19,5,FALSE)</f>
        <v>Not in Rate Base</v>
      </c>
      <c r="R381" s="737">
        <f>VLOOKUP($P381,Allocators!$B$7:$F$19,2,FALSE)</f>
        <v>0</v>
      </c>
      <c r="S381" s="737">
        <f>VLOOKUP($P381,Allocators!$B$7:$F$19,3,FALSE)</f>
        <v>0</v>
      </c>
      <c r="T381" s="737">
        <f t="shared" si="109"/>
        <v>1</v>
      </c>
      <c r="U381" s="2" t="str">
        <f t="shared" si="100"/>
        <v/>
      </c>
      <c r="V381" s="2" t="str">
        <f t="shared" si="101"/>
        <v/>
      </c>
      <c r="W381" s="2" t="str">
        <f t="shared" si="102"/>
        <v/>
      </c>
      <c r="X381" s="2">
        <f t="shared" si="98"/>
        <v>0</v>
      </c>
      <c r="Y381" s="2" t="str">
        <f t="shared" si="103"/>
        <v/>
      </c>
      <c r="Z381" s="2" t="str">
        <f t="shared" si="104"/>
        <v/>
      </c>
      <c r="AA381" s="2" t="str">
        <f t="shared" si="105"/>
        <v/>
      </c>
      <c r="AB381" s="2">
        <f t="shared" si="99"/>
        <v>0</v>
      </c>
      <c r="AC381" s="759">
        <v>0</v>
      </c>
      <c r="AD381" s="741">
        <v>0</v>
      </c>
      <c r="AE381" s="741">
        <v>0</v>
      </c>
      <c r="AF381" s="741">
        <v>0</v>
      </c>
      <c r="AG381" s="741">
        <v>0</v>
      </c>
      <c r="AH381" s="741">
        <v>0</v>
      </c>
      <c r="AI381" s="741">
        <v>0</v>
      </c>
      <c r="AJ381" s="741">
        <v>0</v>
      </c>
      <c r="AK381" s="741">
        <v>0</v>
      </c>
      <c r="AL381" s="741">
        <v>0</v>
      </c>
      <c r="AM381" s="741">
        <v>0</v>
      </c>
      <c r="AN381" s="741">
        <v>0</v>
      </c>
      <c r="AO381" s="741">
        <v>0</v>
      </c>
      <c r="AP381" s="41" t="str">
        <f t="shared" si="95"/>
        <v>GLC</v>
      </c>
      <c r="AQ381" s="41" t="str">
        <f t="shared" si="96"/>
        <v>GLCC140</v>
      </c>
      <c r="AR381" s="41" t="str">
        <f t="shared" si="97"/>
        <v>C140</v>
      </c>
    </row>
    <row r="382" spans="1:44" s="41" customFormat="1" ht="12.75" customHeight="1">
      <c r="A382" s="25" t="s">
        <v>17</v>
      </c>
      <c r="B382" s="25" t="str">
        <f t="shared" si="107"/>
        <v>GL204991</v>
      </c>
      <c r="C382" s="638">
        <v>204991</v>
      </c>
      <c r="D382" s="735"/>
      <c r="F382" s="1" t="s">
        <v>372</v>
      </c>
      <c r="H382" s="736">
        <v>0</v>
      </c>
      <c r="I382" s="25"/>
      <c r="J382" s="25"/>
      <c r="K382" s="442" t="str">
        <f t="shared" si="106"/>
        <v/>
      </c>
      <c r="L382" s="736" t="s">
        <v>2402</v>
      </c>
      <c r="M382" s="25" t="str">
        <f t="shared" si="108"/>
        <v>C</v>
      </c>
      <c r="N382" s="25" t="str">
        <f>IF(L382&lt;&gt;"",VLOOKUP(L382,Categories!$B$2:$D$41,2,FALSE),IF(F382&lt;&gt;"","No Cat",""))</f>
        <v>Capitalization</v>
      </c>
      <c r="O382" s="25" t="str">
        <f>IF($L382&lt;&gt;"",VLOOKUP($L382,Categories!$B$2:$D$41,3,FALSE),IF($F382&lt;&gt;"","No Cat",""))</f>
        <v>Preferred Stock</v>
      </c>
      <c r="P382" s="736" t="s">
        <v>2468</v>
      </c>
      <c r="Q382" s="25" t="str">
        <f>VLOOKUP($P382,Allocators!$B$7:$F$19,5,FALSE)</f>
        <v>Not in Rate Base</v>
      </c>
      <c r="R382" s="737">
        <f>VLOOKUP($P382,Allocators!$B$7:$F$19,2,FALSE)</f>
        <v>0</v>
      </c>
      <c r="S382" s="737">
        <f>VLOOKUP($P382,Allocators!$B$7:$F$19,3,FALSE)</f>
        <v>0</v>
      </c>
      <c r="T382" s="737">
        <f t="shared" si="109"/>
        <v>1</v>
      </c>
      <c r="U382" s="2" t="str">
        <f t="shared" si="100"/>
        <v/>
      </c>
      <c r="V382" s="2" t="str">
        <f t="shared" si="101"/>
        <v/>
      </c>
      <c r="W382" s="2" t="str">
        <f t="shared" si="102"/>
        <v/>
      </c>
      <c r="X382" s="2">
        <f t="shared" si="98"/>
        <v>0</v>
      </c>
      <c r="Y382" s="2" t="str">
        <f t="shared" si="103"/>
        <v/>
      </c>
      <c r="Z382" s="2" t="str">
        <f t="shared" si="104"/>
        <v/>
      </c>
      <c r="AA382" s="2" t="str">
        <f t="shared" si="105"/>
        <v/>
      </c>
      <c r="AB382" s="2">
        <f t="shared" si="99"/>
        <v>0</v>
      </c>
      <c r="AC382" s="759">
        <v>0</v>
      </c>
      <c r="AD382" s="741">
        <v>0</v>
      </c>
      <c r="AE382" s="741">
        <v>0</v>
      </c>
      <c r="AF382" s="741">
        <v>0</v>
      </c>
      <c r="AG382" s="741">
        <v>0</v>
      </c>
      <c r="AH382" s="741">
        <v>0</v>
      </c>
      <c r="AI382" s="741">
        <v>0</v>
      </c>
      <c r="AJ382" s="741">
        <v>0</v>
      </c>
      <c r="AK382" s="741">
        <v>0</v>
      </c>
      <c r="AL382" s="741">
        <v>0</v>
      </c>
      <c r="AM382" s="741">
        <v>0</v>
      </c>
      <c r="AN382" s="741">
        <v>0</v>
      </c>
      <c r="AO382" s="741">
        <v>0</v>
      </c>
      <c r="AP382" s="41" t="str">
        <f t="shared" si="95"/>
        <v>GLC</v>
      </c>
      <c r="AQ382" s="41" t="str">
        <f t="shared" si="96"/>
        <v>GLCC140</v>
      </c>
      <c r="AR382" s="41" t="str">
        <f t="shared" si="97"/>
        <v>C140</v>
      </c>
    </row>
    <row r="383" spans="1:44" s="41" customFormat="1" ht="12.75" customHeight="1">
      <c r="A383" s="25" t="s">
        <v>17</v>
      </c>
      <c r="B383" s="25" t="str">
        <f t="shared" si="107"/>
        <v>GL207100</v>
      </c>
      <c r="C383" s="638">
        <v>207100</v>
      </c>
      <c r="D383" s="735"/>
      <c r="F383" s="1" t="s">
        <v>373</v>
      </c>
      <c r="H383" s="736">
        <v>0</v>
      </c>
      <c r="I383" s="25"/>
      <c r="J383" s="25"/>
      <c r="K383" s="442" t="str">
        <f t="shared" si="106"/>
        <v/>
      </c>
      <c r="L383" s="736" t="s">
        <v>2403</v>
      </c>
      <c r="M383" s="25" t="str">
        <f t="shared" si="108"/>
        <v>C</v>
      </c>
      <c r="N383" s="25" t="str">
        <f>IF(L383&lt;&gt;"",VLOOKUP(L383,Categories!$B$2:$D$41,2,FALSE),IF(F383&lt;&gt;"","No Cat",""))</f>
        <v>Capitalization</v>
      </c>
      <c r="O383" s="25" t="str">
        <f>IF($L383&lt;&gt;"",VLOOKUP($L383,Categories!$B$2:$D$41,3,FALSE),IF($F383&lt;&gt;"","No Cat",""))</f>
        <v>Common Equity</v>
      </c>
      <c r="P383" s="736" t="s">
        <v>2468</v>
      </c>
      <c r="Q383" s="25" t="str">
        <f>VLOOKUP($P383,Allocators!$B$7:$F$19,5,FALSE)</f>
        <v>Not in Rate Base</v>
      </c>
      <c r="R383" s="737">
        <f>VLOOKUP($P383,Allocators!$B$7:$F$19,2,FALSE)</f>
        <v>0</v>
      </c>
      <c r="S383" s="737">
        <f>VLOOKUP($P383,Allocators!$B$7:$F$19,3,FALSE)</f>
        <v>0</v>
      </c>
      <c r="T383" s="737">
        <f t="shared" si="109"/>
        <v>1</v>
      </c>
      <c r="U383" s="2" t="str">
        <f t="shared" si="100"/>
        <v/>
      </c>
      <c r="V383" s="2" t="str">
        <f t="shared" si="101"/>
        <v/>
      </c>
      <c r="W383" s="2" t="str">
        <f t="shared" si="102"/>
        <v/>
      </c>
      <c r="X383" s="2">
        <f t="shared" si="98"/>
        <v>0</v>
      </c>
      <c r="Y383" s="2" t="str">
        <f t="shared" si="103"/>
        <v/>
      </c>
      <c r="Z383" s="2" t="str">
        <f t="shared" si="104"/>
        <v/>
      </c>
      <c r="AA383" s="2" t="str">
        <f t="shared" si="105"/>
        <v/>
      </c>
      <c r="AB383" s="2">
        <f t="shared" si="99"/>
        <v>0</v>
      </c>
      <c r="AC383" s="759">
        <v>0</v>
      </c>
      <c r="AD383" s="741">
        <v>0</v>
      </c>
      <c r="AE383" s="741">
        <v>0</v>
      </c>
      <c r="AF383" s="741">
        <v>0</v>
      </c>
      <c r="AG383" s="741">
        <v>0</v>
      </c>
      <c r="AH383" s="741">
        <v>0</v>
      </c>
      <c r="AI383" s="741">
        <v>0</v>
      </c>
      <c r="AJ383" s="741">
        <v>0</v>
      </c>
      <c r="AK383" s="741">
        <v>0</v>
      </c>
      <c r="AL383" s="741">
        <v>0</v>
      </c>
      <c r="AM383" s="741">
        <v>0</v>
      </c>
      <c r="AN383" s="741">
        <v>0</v>
      </c>
      <c r="AO383" s="741">
        <v>0</v>
      </c>
      <c r="AP383" s="41" t="str">
        <f t="shared" si="95"/>
        <v>GLC</v>
      </c>
      <c r="AQ383" s="41" t="str">
        <f t="shared" si="96"/>
        <v>GLCC150</v>
      </c>
      <c r="AR383" s="41" t="str">
        <f t="shared" si="97"/>
        <v>C150</v>
      </c>
    </row>
    <row r="384" spans="1:44" s="41" customFormat="1" ht="12.75" customHeight="1">
      <c r="A384" s="25" t="s">
        <v>17</v>
      </c>
      <c r="B384" s="25" t="str">
        <f t="shared" si="107"/>
        <v>GL207200</v>
      </c>
      <c r="C384" s="638">
        <v>207200</v>
      </c>
      <c r="D384" s="735"/>
      <c r="F384" s="1" t="s">
        <v>374</v>
      </c>
      <c r="H384" s="736">
        <v>0</v>
      </c>
      <c r="I384" s="25"/>
      <c r="J384" s="25"/>
      <c r="K384" s="442" t="str">
        <f t="shared" si="106"/>
        <v/>
      </c>
      <c r="L384" s="736" t="s">
        <v>2403</v>
      </c>
      <c r="M384" s="25" t="str">
        <f t="shared" si="108"/>
        <v>C</v>
      </c>
      <c r="N384" s="25" t="str">
        <f>IF(L384&lt;&gt;"",VLOOKUP(L384,Categories!$B$2:$D$41,2,FALSE),IF(F384&lt;&gt;"","No Cat",""))</f>
        <v>Capitalization</v>
      </c>
      <c r="O384" s="25" t="str">
        <f>IF($L384&lt;&gt;"",VLOOKUP($L384,Categories!$B$2:$D$41,3,FALSE),IF($F384&lt;&gt;"","No Cat",""))</f>
        <v>Common Equity</v>
      </c>
      <c r="P384" s="736" t="s">
        <v>2468</v>
      </c>
      <c r="Q384" s="25" t="str">
        <f>VLOOKUP($P384,Allocators!$B$7:$F$19,5,FALSE)</f>
        <v>Not in Rate Base</v>
      </c>
      <c r="R384" s="737">
        <f>VLOOKUP($P384,Allocators!$B$7:$F$19,2,FALSE)</f>
        <v>0</v>
      </c>
      <c r="S384" s="737">
        <f>VLOOKUP($P384,Allocators!$B$7:$F$19,3,FALSE)</f>
        <v>0</v>
      </c>
      <c r="T384" s="737">
        <f t="shared" si="109"/>
        <v>1</v>
      </c>
      <c r="U384" s="2">
        <f t="shared" si="100"/>
        <v>0</v>
      </c>
      <c r="V384" s="2">
        <f t="shared" si="101"/>
        <v>0</v>
      </c>
      <c r="W384" s="2">
        <f t="shared" si="102"/>
        <v>-519192.26312000002</v>
      </c>
      <c r="X384" s="2">
        <f t="shared" si="98"/>
        <v>-519192.26312000002</v>
      </c>
      <c r="Y384" s="2">
        <f t="shared" si="103"/>
        <v>0</v>
      </c>
      <c r="Z384" s="2">
        <f t="shared" si="104"/>
        <v>0</v>
      </c>
      <c r="AA384" s="2">
        <f t="shared" si="105"/>
        <v>-519192.26312000002</v>
      </c>
      <c r="AB384" s="2">
        <f t="shared" si="99"/>
        <v>-519192.26312000002</v>
      </c>
      <c r="AC384" s="759">
        <v>-519192.26312000002</v>
      </c>
      <c r="AD384" s="741">
        <v>-519192.26312000002</v>
      </c>
      <c r="AE384" s="741">
        <v>-519192.26312000002</v>
      </c>
      <c r="AF384" s="741">
        <v>-519192.26312000002</v>
      </c>
      <c r="AG384" s="741">
        <v>-519192.26312000002</v>
      </c>
      <c r="AH384" s="741">
        <v>-519192.26312000002</v>
      </c>
      <c r="AI384" s="741">
        <v>-519192.26312000002</v>
      </c>
      <c r="AJ384" s="741">
        <v>-519192.26312000002</v>
      </c>
      <c r="AK384" s="741">
        <v>-519192.26312000002</v>
      </c>
      <c r="AL384" s="741">
        <v>-519192.26312000002</v>
      </c>
      <c r="AM384" s="741">
        <v>-519192.26312000002</v>
      </c>
      <c r="AN384" s="741">
        <v>-519192.26312000002</v>
      </c>
      <c r="AO384" s="741">
        <v>-519192.26312000002</v>
      </c>
      <c r="AP384" s="41" t="str">
        <f t="shared" si="95"/>
        <v>GLC</v>
      </c>
      <c r="AQ384" s="41" t="str">
        <f t="shared" si="96"/>
        <v>GLCC150</v>
      </c>
      <c r="AR384" s="41" t="str">
        <f t="shared" si="97"/>
        <v>C150</v>
      </c>
    </row>
    <row r="385" spans="1:44" s="41" customFormat="1" ht="12.75" customHeight="1">
      <c r="A385" s="25" t="s">
        <v>17</v>
      </c>
      <c r="B385" s="25" t="str">
        <f t="shared" si="107"/>
        <v>GL210010</v>
      </c>
      <c r="C385" s="638">
        <v>210010</v>
      </c>
      <c r="D385" s="735"/>
      <c r="F385" s="1" t="s">
        <v>375</v>
      </c>
      <c r="H385" s="736">
        <v>0</v>
      </c>
      <c r="I385" s="25"/>
      <c r="J385" s="25"/>
      <c r="K385" s="442" t="str">
        <f t="shared" si="106"/>
        <v/>
      </c>
      <c r="L385" s="736" t="s">
        <v>2403</v>
      </c>
      <c r="M385" s="25" t="str">
        <f t="shared" si="108"/>
        <v>C</v>
      </c>
      <c r="N385" s="25" t="str">
        <f>IF(L385&lt;&gt;"",VLOOKUP(L385,Categories!$B$2:$D$41,2,FALSE),IF(F385&lt;&gt;"","No Cat",""))</f>
        <v>Capitalization</v>
      </c>
      <c r="O385" s="25" t="str">
        <f>IF($L385&lt;&gt;"",VLOOKUP($L385,Categories!$B$2:$D$41,3,FALSE),IF($F385&lt;&gt;"","No Cat",""))</f>
        <v>Common Equity</v>
      </c>
      <c r="P385" s="736" t="s">
        <v>2468</v>
      </c>
      <c r="Q385" s="25" t="str">
        <f>VLOOKUP($P385,Allocators!$B$7:$F$19,5,FALSE)</f>
        <v>Not in Rate Base</v>
      </c>
      <c r="R385" s="737">
        <f>VLOOKUP($P385,Allocators!$B$7:$F$19,2,FALSE)</f>
        <v>0</v>
      </c>
      <c r="S385" s="737">
        <f>VLOOKUP($P385,Allocators!$B$7:$F$19,3,FALSE)</f>
        <v>0</v>
      </c>
      <c r="T385" s="737">
        <f t="shared" si="109"/>
        <v>1</v>
      </c>
      <c r="U385" s="2" t="str">
        <f t="shared" si="100"/>
        <v/>
      </c>
      <c r="V385" s="2" t="str">
        <f t="shared" si="101"/>
        <v/>
      </c>
      <c r="W385" s="2" t="str">
        <f t="shared" si="102"/>
        <v/>
      </c>
      <c r="X385" s="2">
        <f t="shared" si="98"/>
        <v>0</v>
      </c>
      <c r="Y385" s="2" t="str">
        <f t="shared" si="103"/>
        <v/>
      </c>
      <c r="Z385" s="2" t="str">
        <f t="shared" si="104"/>
        <v/>
      </c>
      <c r="AA385" s="2" t="str">
        <f t="shared" si="105"/>
        <v/>
      </c>
      <c r="AB385" s="2">
        <f t="shared" si="99"/>
        <v>0</v>
      </c>
      <c r="AC385" s="759">
        <v>0</v>
      </c>
      <c r="AD385" s="741">
        <v>0</v>
      </c>
      <c r="AE385" s="741">
        <v>0</v>
      </c>
      <c r="AF385" s="741">
        <v>0</v>
      </c>
      <c r="AG385" s="741">
        <v>0</v>
      </c>
      <c r="AH385" s="741">
        <v>0</v>
      </c>
      <c r="AI385" s="741">
        <v>0</v>
      </c>
      <c r="AJ385" s="741">
        <v>0</v>
      </c>
      <c r="AK385" s="741">
        <v>0</v>
      </c>
      <c r="AL385" s="741">
        <v>0</v>
      </c>
      <c r="AM385" s="741">
        <v>0</v>
      </c>
      <c r="AN385" s="741">
        <v>0</v>
      </c>
      <c r="AO385" s="741">
        <v>0</v>
      </c>
      <c r="AP385" s="41" t="str">
        <f t="shared" si="95"/>
        <v>GLC</v>
      </c>
      <c r="AQ385" s="41" t="str">
        <f t="shared" si="96"/>
        <v>GLCC150</v>
      </c>
      <c r="AR385" s="41" t="str">
        <f t="shared" si="97"/>
        <v>C150</v>
      </c>
    </row>
    <row r="386" spans="1:44" s="41" customFormat="1" ht="12.75" customHeight="1">
      <c r="A386" s="25" t="s">
        <v>17</v>
      </c>
      <c r="B386" s="25" t="str">
        <f t="shared" si="107"/>
        <v>GL210020</v>
      </c>
      <c r="C386" s="638">
        <v>210020</v>
      </c>
      <c r="D386" s="735"/>
      <c r="F386" s="1" t="s">
        <v>376</v>
      </c>
      <c r="H386" s="736">
        <v>0</v>
      </c>
      <c r="I386" s="25"/>
      <c r="J386" s="25"/>
      <c r="K386" s="442" t="str">
        <f t="shared" si="106"/>
        <v/>
      </c>
      <c r="L386" s="736" t="s">
        <v>2403</v>
      </c>
      <c r="M386" s="25" t="str">
        <f t="shared" si="108"/>
        <v>C</v>
      </c>
      <c r="N386" s="25" t="str">
        <f>IF(L386&lt;&gt;"",VLOOKUP(L386,Categories!$B$2:$D$41,2,FALSE),IF(F386&lt;&gt;"","No Cat",""))</f>
        <v>Capitalization</v>
      </c>
      <c r="O386" s="25" t="str">
        <f>IF($L386&lt;&gt;"",VLOOKUP($L386,Categories!$B$2:$D$41,3,FALSE),IF($F386&lt;&gt;"","No Cat",""))</f>
        <v>Common Equity</v>
      </c>
      <c r="P386" s="736" t="s">
        <v>2468</v>
      </c>
      <c r="Q386" s="25" t="str">
        <f>VLOOKUP($P386,Allocators!$B$7:$F$19,5,FALSE)</f>
        <v>Not in Rate Base</v>
      </c>
      <c r="R386" s="737">
        <f>VLOOKUP($P386,Allocators!$B$7:$F$19,2,FALSE)</f>
        <v>0</v>
      </c>
      <c r="S386" s="737">
        <f>VLOOKUP($P386,Allocators!$B$7:$F$19,3,FALSE)</f>
        <v>0</v>
      </c>
      <c r="T386" s="737">
        <f t="shared" si="109"/>
        <v>1</v>
      </c>
      <c r="U386" s="2" t="str">
        <f t="shared" si="100"/>
        <v/>
      </c>
      <c r="V386" s="2" t="str">
        <f t="shared" si="101"/>
        <v/>
      </c>
      <c r="W386" s="2" t="str">
        <f t="shared" si="102"/>
        <v/>
      </c>
      <c r="X386" s="2">
        <f t="shared" si="98"/>
        <v>0</v>
      </c>
      <c r="Y386" s="2" t="str">
        <f t="shared" si="103"/>
        <v/>
      </c>
      <c r="Z386" s="2" t="str">
        <f t="shared" si="104"/>
        <v/>
      </c>
      <c r="AA386" s="2" t="str">
        <f t="shared" si="105"/>
        <v/>
      </c>
      <c r="AB386" s="2">
        <f t="shared" si="99"/>
        <v>0</v>
      </c>
      <c r="AC386" s="759">
        <v>0</v>
      </c>
      <c r="AD386" s="741">
        <v>0</v>
      </c>
      <c r="AE386" s="741">
        <v>0</v>
      </c>
      <c r="AF386" s="741">
        <v>0</v>
      </c>
      <c r="AG386" s="741">
        <v>0</v>
      </c>
      <c r="AH386" s="741">
        <v>0</v>
      </c>
      <c r="AI386" s="741">
        <v>0</v>
      </c>
      <c r="AJ386" s="741">
        <v>0</v>
      </c>
      <c r="AK386" s="741">
        <v>0</v>
      </c>
      <c r="AL386" s="741">
        <v>0</v>
      </c>
      <c r="AM386" s="741">
        <v>0</v>
      </c>
      <c r="AN386" s="741">
        <v>0</v>
      </c>
      <c r="AO386" s="741">
        <v>0</v>
      </c>
      <c r="AP386" s="41" t="str">
        <f t="shared" si="95"/>
        <v>GLC</v>
      </c>
      <c r="AQ386" s="41" t="str">
        <f t="shared" si="96"/>
        <v>GLCC150</v>
      </c>
      <c r="AR386" s="41" t="str">
        <f t="shared" si="97"/>
        <v>C150</v>
      </c>
    </row>
    <row r="387" spans="1:44" s="41" customFormat="1" ht="12.75" customHeight="1">
      <c r="A387" s="25" t="s">
        <v>17</v>
      </c>
      <c r="B387" s="25" t="str">
        <f t="shared" si="107"/>
        <v>GL211000</v>
      </c>
      <c r="C387" s="638">
        <v>211000</v>
      </c>
      <c r="D387" s="735"/>
      <c r="F387" s="1" t="s">
        <v>377</v>
      </c>
      <c r="H387" s="736">
        <v>0</v>
      </c>
      <c r="I387" s="25"/>
      <c r="J387" s="25"/>
      <c r="K387" s="442" t="str">
        <f t="shared" si="106"/>
        <v/>
      </c>
      <c r="L387" s="736" t="s">
        <v>2403</v>
      </c>
      <c r="M387" s="25" t="str">
        <f t="shared" si="108"/>
        <v>C</v>
      </c>
      <c r="N387" s="25" t="str">
        <f>IF(L387&lt;&gt;"",VLOOKUP(L387,Categories!$B$2:$D$41,2,FALSE),IF(F387&lt;&gt;"","No Cat",""))</f>
        <v>Capitalization</v>
      </c>
      <c r="O387" s="25" t="str">
        <f>IF($L387&lt;&gt;"",VLOOKUP($L387,Categories!$B$2:$D$41,3,FALSE),IF($F387&lt;&gt;"","No Cat",""))</f>
        <v>Common Equity</v>
      </c>
      <c r="P387" s="736" t="s">
        <v>2468</v>
      </c>
      <c r="Q387" s="25" t="str">
        <f>VLOOKUP($P387,Allocators!$B$7:$F$19,5,FALSE)</f>
        <v>Not in Rate Base</v>
      </c>
      <c r="R387" s="737">
        <f>VLOOKUP($P387,Allocators!$B$7:$F$19,2,FALSE)</f>
        <v>0</v>
      </c>
      <c r="S387" s="737">
        <f>VLOOKUP($P387,Allocators!$B$7:$F$19,3,FALSE)</f>
        <v>0</v>
      </c>
      <c r="T387" s="737">
        <f t="shared" si="109"/>
        <v>1</v>
      </c>
      <c r="U387" s="2">
        <f t="shared" si="100"/>
        <v>0</v>
      </c>
      <c r="V387" s="2">
        <f t="shared" si="101"/>
        <v>0</v>
      </c>
      <c r="W387" s="2">
        <f t="shared" si="102"/>
        <v>-97983.184410000002</v>
      </c>
      <c r="X387" s="2">
        <f t="shared" si="98"/>
        <v>-97983.184410000002</v>
      </c>
      <c r="Y387" s="2">
        <f t="shared" si="103"/>
        <v>0</v>
      </c>
      <c r="Z387" s="2">
        <f t="shared" si="104"/>
        <v>0</v>
      </c>
      <c r="AA387" s="2">
        <f t="shared" si="105"/>
        <v>-97983.184410000002</v>
      </c>
      <c r="AB387" s="2">
        <f t="shared" si="99"/>
        <v>-97983.184410000002</v>
      </c>
      <c r="AC387" s="759">
        <v>-97983.184410000002</v>
      </c>
      <c r="AD387" s="741">
        <v>-97983.184410000002</v>
      </c>
      <c r="AE387" s="741">
        <v>-97983.184410000002</v>
      </c>
      <c r="AF387" s="741">
        <v>-97983.184410000002</v>
      </c>
      <c r="AG387" s="741">
        <v>-97983.184410000002</v>
      </c>
      <c r="AH387" s="741">
        <v>-97983.184410000002</v>
      </c>
      <c r="AI387" s="741">
        <v>-97983.184410000002</v>
      </c>
      <c r="AJ387" s="741">
        <v>-97983.184410000002</v>
      </c>
      <c r="AK387" s="741">
        <v>-97983.184410000002</v>
      </c>
      <c r="AL387" s="741">
        <v>-97983.184410000002</v>
      </c>
      <c r="AM387" s="741">
        <v>-97983.184410000002</v>
      </c>
      <c r="AN387" s="741">
        <v>-97983.184410000002</v>
      </c>
      <c r="AO387" s="741">
        <v>-97983.184410000002</v>
      </c>
      <c r="AP387" s="41" t="str">
        <f t="shared" si="95"/>
        <v>GLC</v>
      </c>
      <c r="AQ387" s="41" t="str">
        <f t="shared" si="96"/>
        <v>GLCC150</v>
      </c>
      <c r="AR387" s="41" t="str">
        <f t="shared" si="97"/>
        <v>C150</v>
      </c>
    </row>
    <row r="388" spans="1:44" s="41" customFormat="1" ht="12.75" customHeight="1">
      <c r="A388" s="25" t="s">
        <v>17</v>
      </c>
      <c r="B388" s="25" t="str">
        <f t="shared" si="107"/>
        <v>GL211300</v>
      </c>
      <c r="C388" s="638">
        <v>211300</v>
      </c>
      <c r="D388" s="735"/>
      <c r="F388" s="1" t="s">
        <v>378</v>
      </c>
      <c r="H388" s="736">
        <v>0</v>
      </c>
      <c r="I388" s="25"/>
      <c r="J388" s="25"/>
      <c r="K388" s="442" t="str">
        <f t="shared" si="106"/>
        <v/>
      </c>
      <c r="L388" s="736" t="s">
        <v>2403</v>
      </c>
      <c r="M388" s="25" t="str">
        <f t="shared" si="108"/>
        <v>C</v>
      </c>
      <c r="N388" s="25" t="str">
        <f>IF(L388&lt;&gt;"",VLOOKUP(L388,Categories!$B$2:$D$41,2,FALSE),IF(F388&lt;&gt;"","No Cat",""))</f>
        <v>Capitalization</v>
      </c>
      <c r="O388" s="25" t="str">
        <f>IF($L388&lt;&gt;"",VLOOKUP($L388,Categories!$B$2:$D$41,3,FALSE),IF($F388&lt;&gt;"","No Cat",""))</f>
        <v>Common Equity</v>
      </c>
      <c r="P388" s="736" t="s">
        <v>2468</v>
      </c>
      <c r="Q388" s="25" t="str">
        <f>VLOOKUP($P388,Allocators!$B$7:$F$19,5,FALSE)</f>
        <v>Not in Rate Base</v>
      </c>
      <c r="R388" s="737">
        <f>VLOOKUP($P388,Allocators!$B$7:$F$19,2,FALSE)</f>
        <v>0</v>
      </c>
      <c r="S388" s="737">
        <f>VLOOKUP($P388,Allocators!$B$7:$F$19,3,FALSE)</f>
        <v>0</v>
      </c>
      <c r="T388" s="737">
        <f t="shared" si="109"/>
        <v>1</v>
      </c>
      <c r="U388" s="2">
        <f t="shared" si="100"/>
        <v>0</v>
      </c>
      <c r="V388" s="2">
        <f t="shared" si="101"/>
        <v>0</v>
      </c>
      <c r="W388" s="2">
        <f t="shared" si="102"/>
        <v>75000</v>
      </c>
      <c r="X388" s="2">
        <f t="shared" si="98"/>
        <v>75000</v>
      </c>
      <c r="Y388" s="2">
        <f t="shared" si="103"/>
        <v>0</v>
      </c>
      <c r="Z388" s="2">
        <f t="shared" si="104"/>
        <v>0</v>
      </c>
      <c r="AA388" s="2">
        <f t="shared" si="105"/>
        <v>75000</v>
      </c>
      <c r="AB388" s="2">
        <f t="shared" si="99"/>
        <v>75000</v>
      </c>
      <c r="AC388" s="759">
        <v>75000</v>
      </c>
      <c r="AD388" s="741">
        <v>75000</v>
      </c>
      <c r="AE388" s="741">
        <v>75000</v>
      </c>
      <c r="AF388" s="741">
        <v>75000</v>
      </c>
      <c r="AG388" s="741">
        <v>75000</v>
      </c>
      <c r="AH388" s="741">
        <v>75000</v>
      </c>
      <c r="AI388" s="741">
        <v>75000</v>
      </c>
      <c r="AJ388" s="741">
        <v>75000</v>
      </c>
      <c r="AK388" s="741">
        <v>75000</v>
      </c>
      <c r="AL388" s="741">
        <v>75000</v>
      </c>
      <c r="AM388" s="741">
        <v>75000</v>
      </c>
      <c r="AN388" s="741">
        <v>75000</v>
      </c>
      <c r="AO388" s="741">
        <v>75000</v>
      </c>
      <c r="AP388" s="41" t="str">
        <f t="shared" si="95"/>
        <v>GLC</v>
      </c>
      <c r="AQ388" s="41" t="str">
        <f t="shared" si="96"/>
        <v>GLCC150</v>
      </c>
      <c r="AR388" s="41" t="str">
        <f t="shared" si="97"/>
        <v>C150</v>
      </c>
    </row>
    <row r="389" spans="1:44" s="41" customFormat="1" ht="12.75" customHeight="1">
      <c r="A389" s="25" t="s">
        <v>17</v>
      </c>
      <c r="B389" s="25" t="str">
        <f t="shared" si="107"/>
        <v>GL211320</v>
      </c>
      <c r="C389" s="638">
        <v>211320</v>
      </c>
      <c r="D389" s="735"/>
      <c r="F389" s="1" t="s">
        <v>379</v>
      </c>
      <c r="H389" s="736">
        <v>0</v>
      </c>
      <c r="I389" s="25"/>
      <c r="J389" s="25"/>
      <c r="K389" s="442" t="str">
        <f t="shared" si="106"/>
        <v/>
      </c>
      <c r="L389" s="736" t="s">
        <v>2403</v>
      </c>
      <c r="M389" s="25" t="str">
        <f t="shared" si="108"/>
        <v>C</v>
      </c>
      <c r="N389" s="25" t="str">
        <f>IF(L389&lt;&gt;"",VLOOKUP(L389,Categories!$B$2:$D$41,2,FALSE),IF(F389&lt;&gt;"","No Cat",""))</f>
        <v>Capitalization</v>
      </c>
      <c r="O389" s="25" t="str">
        <f>IF($L389&lt;&gt;"",VLOOKUP($L389,Categories!$B$2:$D$41,3,FALSE),IF($F389&lt;&gt;"","No Cat",""))</f>
        <v>Common Equity</v>
      </c>
      <c r="P389" s="736" t="s">
        <v>2468</v>
      </c>
      <c r="Q389" s="25" t="str">
        <f>VLOOKUP($P389,Allocators!$B$7:$F$19,5,FALSE)</f>
        <v>Not in Rate Base</v>
      </c>
      <c r="R389" s="737">
        <f>VLOOKUP($P389,Allocators!$B$7:$F$19,2,FALSE)</f>
        <v>0</v>
      </c>
      <c r="S389" s="737">
        <f>VLOOKUP($P389,Allocators!$B$7:$F$19,3,FALSE)</f>
        <v>0</v>
      </c>
      <c r="T389" s="737">
        <f t="shared" si="109"/>
        <v>1</v>
      </c>
      <c r="U389" s="2">
        <f t="shared" si="100"/>
        <v>0</v>
      </c>
      <c r="V389" s="2">
        <f t="shared" si="101"/>
        <v>0</v>
      </c>
      <c r="W389" s="2">
        <f t="shared" si="102"/>
        <v>-2886.17362</v>
      </c>
      <c r="X389" s="2">
        <f t="shared" si="98"/>
        <v>-2886.17362</v>
      </c>
      <c r="Y389" s="2">
        <f t="shared" si="103"/>
        <v>0</v>
      </c>
      <c r="Z389" s="2">
        <f t="shared" si="104"/>
        <v>0</v>
      </c>
      <c r="AA389" s="2">
        <f t="shared" si="105"/>
        <v>-2886.17362</v>
      </c>
      <c r="AB389" s="2">
        <f t="shared" si="99"/>
        <v>-2886.17362</v>
      </c>
      <c r="AC389" s="759">
        <v>-2886.17362</v>
      </c>
      <c r="AD389" s="741">
        <v>-2886.17362</v>
      </c>
      <c r="AE389" s="741">
        <v>-2886.17362</v>
      </c>
      <c r="AF389" s="741">
        <v>-2886.17362</v>
      </c>
      <c r="AG389" s="741">
        <v>-2886.17362</v>
      </c>
      <c r="AH389" s="741">
        <v>-2886.17362</v>
      </c>
      <c r="AI389" s="741">
        <v>-2886.17362</v>
      </c>
      <c r="AJ389" s="741">
        <v>-2886.17362</v>
      </c>
      <c r="AK389" s="741">
        <v>-2886.17362</v>
      </c>
      <c r="AL389" s="741">
        <v>-2886.17362</v>
      </c>
      <c r="AM389" s="741">
        <v>-2886.17362</v>
      </c>
      <c r="AN389" s="741">
        <v>-2886.17362</v>
      </c>
      <c r="AO389" s="741">
        <v>-2886.17362</v>
      </c>
      <c r="AP389" s="41" t="str">
        <f t="shared" si="95"/>
        <v>GLC</v>
      </c>
      <c r="AQ389" s="41" t="str">
        <f t="shared" si="96"/>
        <v>GLCC150</v>
      </c>
      <c r="AR389" s="41" t="str">
        <f t="shared" si="97"/>
        <v>C150</v>
      </c>
    </row>
    <row r="390" spans="1:44" s="41" customFormat="1" ht="12.75" customHeight="1">
      <c r="A390" s="25" t="s">
        <v>17</v>
      </c>
      <c r="B390" s="25" t="str">
        <f t="shared" si="107"/>
        <v>GL214000</v>
      </c>
      <c r="C390" s="638">
        <v>214000</v>
      </c>
      <c r="D390" s="735"/>
      <c r="F390" s="1" t="s">
        <v>380</v>
      </c>
      <c r="H390" s="736">
        <v>0</v>
      </c>
      <c r="I390" s="25"/>
      <c r="J390" s="25"/>
      <c r="K390" s="442" t="str">
        <f t="shared" si="106"/>
        <v/>
      </c>
      <c r="L390" s="736" t="s">
        <v>2403</v>
      </c>
      <c r="M390" s="25" t="str">
        <f t="shared" si="108"/>
        <v>C</v>
      </c>
      <c r="N390" s="25" t="str">
        <f>IF(L390&lt;&gt;"",VLOOKUP(L390,Categories!$B$2:$D$41,2,FALSE),IF(F390&lt;&gt;"","No Cat",""))</f>
        <v>Capitalization</v>
      </c>
      <c r="O390" s="25" t="str">
        <f>IF($L390&lt;&gt;"",VLOOKUP($L390,Categories!$B$2:$D$41,3,FALSE),IF($F390&lt;&gt;"","No Cat",""))</f>
        <v>Common Equity</v>
      </c>
      <c r="P390" s="736" t="s">
        <v>2468</v>
      </c>
      <c r="Q390" s="25" t="str">
        <f>VLOOKUP($P390,Allocators!$B$7:$F$19,5,FALSE)</f>
        <v>Not in Rate Base</v>
      </c>
      <c r="R390" s="737">
        <f>VLOOKUP($P390,Allocators!$B$7:$F$19,2,FALSE)</f>
        <v>0</v>
      </c>
      <c r="S390" s="737">
        <f>VLOOKUP($P390,Allocators!$B$7:$F$19,3,FALSE)</f>
        <v>0</v>
      </c>
      <c r="T390" s="737">
        <f t="shared" si="109"/>
        <v>1</v>
      </c>
      <c r="U390" s="2">
        <f t="shared" si="100"/>
        <v>0</v>
      </c>
      <c r="V390" s="2">
        <f t="shared" si="101"/>
        <v>0</v>
      </c>
      <c r="W390" s="2">
        <f t="shared" si="102"/>
        <v>15118.363939999999</v>
      </c>
      <c r="X390" s="2">
        <f t="shared" si="98"/>
        <v>15118.363939999999</v>
      </c>
      <c r="Y390" s="2">
        <f t="shared" si="103"/>
        <v>0</v>
      </c>
      <c r="Z390" s="2">
        <f t="shared" si="104"/>
        <v>0</v>
      </c>
      <c r="AA390" s="2">
        <f t="shared" si="105"/>
        <v>15118.363939999999</v>
      </c>
      <c r="AB390" s="2">
        <f t="shared" si="99"/>
        <v>15118.363939999999</v>
      </c>
      <c r="AC390" s="759">
        <v>15118.363939999999</v>
      </c>
      <c r="AD390" s="741">
        <v>15118.363939999999</v>
      </c>
      <c r="AE390" s="741">
        <v>15118.363939999999</v>
      </c>
      <c r="AF390" s="741">
        <v>15118.363939999999</v>
      </c>
      <c r="AG390" s="741">
        <v>15118.363939999999</v>
      </c>
      <c r="AH390" s="741">
        <v>15118.363939999999</v>
      </c>
      <c r="AI390" s="741">
        <v>15118.363939999999</v>
      </c>
      <c r="AJ390" s="741">
        <v>15118.363939999999</v>
      </c>
      <c r="AK390" s="741">
        <v>15118.363939999999</v>
      </c>
      <c r="AL390" s="741">
        <v>15118.363939999999</v>
      </c>
      <c r="AM390" s="741">
        <v>15118.363939999999</v>
      </c>
      <c r="AN390" s="741">
        <v>15118.363939999999</v>
      </c>
      <c r="AO390" s="741">
        <v>15118.363939999999</v>
      </c>
      <c r="AP390" s="41" t="str">
        <f t="shared" si="95"/>
        <v>GLC</v>
      </c>
      <c r="AQ390" s="41" t="str">
        <f t="shared" si="96"/>
        <v>GLCC150</v>
      </c>
      <c r="AR390" s="41" t="str">
        <f t="shared" si="97"/>
        <v>C150</v>
      </c>
    </row>
    <row r="391" spans="1:44" s="41" customFormat="1" ht="12.75" customHeight="1">
      <c r="A391" s="25" t="s">
        <v>17</v>
      </c>
      <c r="B391" s="25" t="str">
        <f t="shared" si="107"/>
        <v>GL215100</v>
      </c>
      <c r="C391" s="638">
        <v>215100</v>
      </c>
      <c r="D391" s="735"/>
      <c r="F391" s="1" t="s">
        <v>381</v>
      </c>
      <c r="H391" s="736">
        <v>0</v>
      </c>
      <c r="I391" s="25"/>
      <c r="J391" s="25"/>
      <c r="K391" s="442" t="str">
        <f t="shared" si="106"/>
        <v/>
      </c>
      <c r="L391" s="736" t="s">
        <v>2403</v>
      </c>
      <c r="M391" s="25" t="str">
        <f t="shared" si="108"/>
        <v>C</v>
      </c>
      <c r="N391" s="25" t="str">
        <f>IF(L391&lt;&gt;"",VLOOKUP(L391,Categories!$B$2:$D$41,2,FALSE),IF(F391&lt;&gt;"","No Cat",""))</f>
        <v>Capitalization</v>
      </c>
      <c r="O391" s="25" t="str">
        <f>IF($L391&lt;&gt;"",VLOOKUP($L391,Categories!$B$2:$D$41,3,FALSE),IF($F391&lt;&gt;"","No Cat",""))</f>
        <v>Common Equity</v>
      </c>
      <c r="P391" s="736" t="s">
        <v>2468</v>
      </c>
      <c r="Q391" s="25" t="str">
        <f>VLOOKUP($P391,Allocators!$B$7:$F$19,5,FALSE)</f>
        <v>Not in Rate Base</v>
      </c>
      <c r="R391" s="737">
        <f>VLOOKUP($P391,Allocators!$B$7:$F$19,2,FALSE)</f>
        <v>0</v>
      </c>
      <c r="S391" s="737">
        <f>VLOOKUP($P391,Allocators!$B$7:$F$19,3,FALSE)</f>
        <v>0</v>
      </c>
      <c r="T391" s="737">
        <f t="shared" si="109"/>
        <v>1</v>
      </c>
      <c r="U391" s="2">
        <f t="shared" si="100"/>
        <v>0</v>
      </c>
      <c r="V391" s="2">
        <f t="shared" si="101"/>
        <v>0</v>
      </c>
      <c r="W391" s="2">
        <f t="shared" si="102"/>
        <v>-235.98699999999999</v>
      </c>
      <c r="X391" s="2">
        <f t="shared" si="98"/>
        <v>-235.98699999999999</v>
      </c>
      <c r="Y391" s="2">
        <f t="shared" si="103"/>
        <v>0</v>
      </c>
      <c r="Z391" s="2">
        <f t="shared" si="104"/>
        <v>0</v>
      </c>
      <c r="AA391" s="2">
        <f t="shared" si="105"/>
        <v>-235.98699999999999</v>
      </c>
      <c r="AB391" s="2">
        <f t="shared" si="99"/>
        <v>-235.98699999999999</v>
      </c>
      <c r="AC391" s="759">
        <v>-235.98699999999999</v>
      </c>
      <c r="AD391" s="741">
        <v>-235.98699999999999</v>
      </c>
      <c r="AE391" s="741">
        <v>-235.98699999999999</v>
      </c>
      <c r="AF391" s="741">
        <v>-235.98699999999999</v>
      </c>
      <c r="AG391" s="741">
        <v>-235.98699999999999</v>
      </c>
      <c r="AH391" s="741">
        <v>-235.98699999999999</v>
      </c>
      <c r="AI391" s="741">
        <v>-235.98699999999999</v>
      </c>
      <c r="AJ391" s="741">
        <v>-235.98699999999999</v>
      </c>
      <c r="AK391" s="741">
        <v>-235.98699999999999</v>
      </c>
      <c r="AL391" s="741">
        <v>-235.98699999999999</v>
      </c>
      <c r="AM391" s="741">
        <v>-235.98699999999999</v>
      </c>
      <c r="AN391" s="741">
        <v>-235.98699999999999</v>
      </c>
      <c r="AO391" s="741">
        <v>-235.98699999999999</v>
      </c>
      <c r="AP391" s="41" t="str">
        <f t="shared" ref="AP391:AP454" si="110">CONCATENATE(A391,M391)</f>
        <v>GLC</v>
      </c>
      <c r="AQ391" s="41" t="str">
        <f t="shared" ref="AQ391:AQ454" si="111">CONCATENATE(AP391,L391,H391)</f>
        <v>GLCC150</v>
      </c>
      <c r="AR391" s="41" t="str">
        <f t="shared" ref="AR391:AR454" si="112">CONCATENATE(L391,H391,J391)</f>
        <v>C150</v>
      </c>
    </row>
    <row r="392" spans="1:44" s="41" customFormat="1" ht="12.75" customHeight="1">
      <c r="A392" s="25" t="s">
        <v>17</v>
      </c>
      <c r="B392" s="25" t="str">
        <f t="shared" si="107"/>
        <v>GL216000</v>
      </c>
      <c r="C392" s="638">
        <v>216000</v>
      </c>
      <c r="D392" s="735"/>
      <c r="F392" s="1" t="s">
        <v>382</v>
      </c>
      <c r="H392" s="736">
        <v>0</v>
      </c>
      <c r="I392" s="25"/>
      <c r="J392" s="25"/>
      <c r="K392" s="442" t="str">
        <f t="shared" si="106"/>
        <v/>
      </c>
      <c r="L392" s="736" t="s">
        <v>2403</v>
      </c>
      <c r="M392" s="25" t="str">
        <f t="shared" si="108"/>
        <v>C</v>
      </c>
      <c r="N392" s="25" t="str">
        <f>IF(L392&lt;&gt;"",VLOOKUP(L392,Categories!$B$2:$D$41,2,FALSE),IF(F392&lt;&gt;"","No Cat",""))</f>
        <v>Capitalization</v>
      </c>
      <c r="O392" s="25" t="str">
        <f>IF($L392&lt;&gt;"",VLOOKUP($L392,Categories!$B$2:$D$41,3,FALSE),IF($F392&lt;&gt;"","No Cat",""))</f>
        <v>Common Equity</v>
      </c>
      <c r="P392" s="736" t="s">
        <v>2468</v>
      </c>
      <c r="Q392" s="25" t="str">
        <f>VLOOKUP($P392,Allocators!$B$7:$F$19,5,FALSE)</f>
        <v>Not in Rate Base</v>
      </c>
      <c r="R392" s="737">
        <f>VLOOKUP($P392,Allocators!$B$7:$F$19,2,FALSE)</f>
        <v>0</v>
      </c>
      <c r="S392" s="737">
        <f>VLOOKUP($P392,Allocators!$B$7:$F$19,3,FALSE)</f>
        <v>0</v>
      </c>
      <c r="T392" s="737">
        <f t="shared" si="109"/>
        <v>1</v>
      </c>
      <c r="U392" s="2">
        <f t="shared" si="100"/>
        <v>0</v>
      </c>
      <c r="V392" s="2">
        <f t="shared" si="101"/>
        <v>0</v>
      </c>
      <c r="W392" s="2">
        <f t="shared" si="102"/>
        <v>-180247.95002958301</v>
      </c>
      <c r="X392" s="2">
        <f t="shared" ref="X392:X455" si="113">IF(ISERROR(ROUND((SUM(AC392:AO392)-((AC392+AO392))/2)/12,15)),"",ROUND((SUM(AC392:AO392)-((AC392+AO392))/2)/12,15))</f>
        <v>-180247.95002958301</v>
      </c>
      <c r="Y392" s="2">
        <f t="shared" si="103"/>
        <v>0</v>
      </c>
      <c r="Z392" s="2">
        <f t="shared" si="104"/>
        <v>0</v>
      </c>
      <c r="AA392" s="2">
        <f t="shared" si="105"/>
        <v>-180169.49924</v>
      </c>
      <c r="AB392" s="2">
        <f t="shared" ref="AB392:AB455" si="114">IF(AO392="",0,+AO392)</f>
        <v>-180169.49924</v>
      </c>
      <c r="AC392" s="759">
        <v>-182052.31818999999</v>
      </c>
      <c r="AD392" s="741">
        <v>-180169.49924</v>
      </c>
      <c r="AE392" s="741">
        <v>-180169.49924</v>
      </c>
      <c r="AF392" s="741">
        <v>-180169.49924</v>
      </c>
      <c r="AG392" s="741">
        <v>-180169.49924</v>
      </c>
      <c r="AH392" s="741">
        <v>-180169.49924</v>
      </c>
      <c r="AI392" s="741">
        <v>-180169.49924</v>
      </c>
      <c r="AJ392" s="741">
        <v>-180169.49924</v>
      </c>
      <c r="AK392" s="741">
        <v>-180169.49924</v>
      </c>
      <c r="AL392" s="741">
        <v>-180169.49924</v>
      </c>
      <c r="AM392" s="741">
        <v>-180169.49924</v>
      </c>
      <c r="AN392" s="741">
        <v>-180169.49924</v>
      </c>
      <c r="AO392" s="741">
        <v>-180169.49924</v>
      </c>
      <c r="AP392" s="41" t="str">
        <f t="shared" si="110"/>
        <v>GLC</v>
      </c>
      <c r="AQ392" s="41" t="str">
        <f t="shared" si="111"/>
        <v>GLCC150</v>
      </c>
      <c r="AR392" s="41" t="str">
        <f t="shared" si="112"/>
        <v>C150</v>
      </c>
    </row>
    <row r="393" spans="1:44" s="41" customFormat="1" ht="12.75" customHeight="1">
      <c r="A393" s="25" t="s">
        <v>17</v>
      </c>
      <c r="B393" s="25" t="str">
        <f t="shared" si="107"/>
        <v>GL216050</v>
      </c>
      <c r="C393" s="638">
        <v>216050</v>
      </c>
      <c r="D393" s="735"/>
      <c r="F393" s="1" t="s">
        <v>383</v>
      </c>
      <c r="H393" s="736">
        <v>0</v>
      </c>
      <c r="I393" s="25"/>
      <c r="J393" s="25"/>
      <c r="K393" s="442" t="str">
        <f t="shared" si="106"/>
        <v/>
      </c>
      <c r="L393" s="736" t="s">
        <v>2403</v>
      </c>
      <c r="M393" s="25" t="str">
        <f t="shared" si="108"/>
        <v>C</v>
      </c>
      <c r="N393" s="25" t="str">
        <f>IF(L393&lt;&gt;"",VLOOKUP(L393,Categories!$B$2:$D$41,2,FALSE),IF(F393&lt;&gt;"","No Cat",""))</f>
        <v>Capitalization</v>
      </c>
      <c r="O393" s="25" t="str">
        <f>IF($L393&lt;&gt;"",VLOOKUP($L393,Categories!$B$2:$D$41,3,FALSE),IF($F393&lt;&gt;"","No Cat",""))</f>
        <v>Common Equity</v>
      </c>
      <c r="P393" s="736" t="s">
        <v>2468</v>
      </c>
      <c r="Q393" s="25" t="str">
        <f>VLOOKUP($P393,Allocators!$B$7:$F$19,5,FALSE)</f>
        <v>Not in Rate Base</v>
      </c>
      <c r="R393" s="737">
        <f>VLOOKUP($P393,Allocators!$B$7:$F$19,2,FALSE)</f>
        <v>0</v>
      </c>
      <c r="S393" s="737">
        <f>VLOOKUP($P393,Allocators!$B$7:$F$19,3,FALSE)</f>
        <v>0</v>
      </c>
      <c r="T393" s="737">
        <f t="shared" si="109"/>
        <v>1</v>
      </c>
      <c r="U393" s="2">
        <f t="shared" ref="U393:U456" si="115">IF(ABS(X393)=0,"",IF($R393="NO ALLOC","NO ALLOC",ROUND($R393*X393,15)))</f>
        <v>0</v>
      </c>
      <c r="V393" s="2">
        <f t="shared" ref="V393:V456" si="116">IF(ABS(X393)=0,"",IF($S393="NO ALLOC","NO ALLOC",ROUND($S393*X393,15)))</f>
        <v>0</v>
      </c>
      <c r="W393" s="2">
        <f t="shared" ref="W393:W456" si="117">IF(ABS(X393)=0,"",IF($T393="NO ALLOC","NO ALLOC",ROUND($T393*X393,15)))</f>
        <v>7291.6666666666697</v>
      </c>
      <c r="X393" s="2">
        <f t="shared" si="113"/>
        <v>7291.6666666666697</v>
      </c>
      <c r="Y393" s="2">
        <f t="shared" ref="Y393:Y456" si="118">IF(ABS(AB393)=0,"",IF($R393="NO ALLOC","NO ALLOC",ROUND($R393*AB393,15)))</f>
        <v>0</v>
      </c>
      <c r="Z393" s="2">
        <f t="shared" ref="Z393:Z456" si="119">IF(ABS(AB393)=0,"",IF($S393="NO ALLOC","NO ALLOC",ROUND($S393*AB393,15)))</f>
        <v>0</v>
      </c>
      <c r="AA393" s="2">
        <f t="shared" ref="AA393:AA456" si="120">IF(ABS(AB393)=0,"",IF($T393="NO ALLOC","NO ALLOC",ROUND($T393*AB393,15)))</f>
        <v>100000</v>
      </c>
      <c r="AB393" s="2">
        <f t="shared" si="114"/>
        <v>100000</v>
      </c>
      <c r="AC393" s="759">
        <v>75000</v>
      </c>
      <c r="AD393" s="741">
        <v>0</v>
      </c>
      <c r="AE393" s="741">
        <v>0</v>
      </c>
      <c r="AF393" s="741">
        <v>0</v>
      </c>
      <c r="AG393" s="741">
        <v>0</v>
      </c>
      <c r="AH393" s="741">
        <v>0</v>
      </c>
      <c r="AI393" s="741">
        <v>0</v>
      </c>
      <c r="AJ393" s="741">
        <v>0</v>
      </c>
      <c r="AK393" s="741">
        <v>0</v>
      </c>
      <c r="AL393" s="741">
        <v>0</v>
      </c>
      <c r="AM393" s="741">
        <v>0</v>
      </c>
      <c r="AN393" s="741">
        <v>0</v>
      </c>
      <c r="AO393" s="741">
        <v>100000</v>
      </c>
      <c r="AP393" s="41" t="str">
        <f t="shared" si="110"/>
        <v>GLC</v>
      </c>
      <c r="AQ393" s="41" t="str">
        <f t="shared" si="111"/>
        <v>GLCC150</v>
      </c>
      <c r="AR393" s="41" t="str">
        <f t="shared" si="112"/>
        <v>C150</v>
      </c>
    </row>
    <row r="394" spans="1:44" s="41" customFormat="1" ht="12.75" customHeight="1">
      <c r="A394" s="25" t="s">
        <v>17</v>
      </c>
      <c r="B394" s="25" t="str">
        <f t="shared" si="107"/>
        <v>GL217000</v>
      </c>
      <c r="C394" s="638">
        <v>217000</v>
      </c>
      <c r="D394" s="735"/>
      <c r="F394" s="1" t="s">
        <v>384</v>
      </c>
      <c r="H394" s="736">
        <v>0</v>
      </c>
      <c r="I394" s="25"/>
      <c r="J394" s="25"/>
      <c r="K394" s="442" t="str">
        <f t="shared" si="106"/>
        <v/>
      </c>
      <c r="L394" s="736" t="s">
        <v>2403</v>
      </c>
      <c r="M394" s="25" t="str">
        <f t="shared" si="108"/>
        <v>C</v>
      </c>
      <c r="N394" s="25" t="str">
        <f>IF(L394&lt;&gt;"",VLOOKUP(L394,Categories!$B$2:$D$41,2,FALSE),IF(F394&lt;&gt;"","No Cat",""))</f>
        <v>Capitalization</v>
      </c>
      <c r="O394" s="25" t="str">
        <f>IF($L394&lt;&gt;"",VLOOKUP($L394,Categories!$B$2:$D$41,3,FALSE),IF($F394&lt;&gt;"","No Cat",""))</f>
        <v>Common Equity</v>
      </c>
      <c r="P394" s="736" t="s">
        <v>2468</v>
      </c>
      <c r="Q394" s="25" t="str">
        <f>VLOOKUP($P394,Allocators!$B$7:$F$19,5,FALSE)</f>
        <v>Not in Rate Base</v>
      </c>
      <c r="R394" s="737">
        <f>VLOOKUP($P394,Allocators!$B$7:$F$19,2,FALSE)</f>
        <v>0</v>
      </c>
      <c r="S394" s="737">
        <f>VLOOKUP($P394,Allocators!$B$7:$F$19,3,FALSE)</f>
        <v>0</v>
      </c>
      <c r="T394" s="737">
        <f t="shared" si="109"/>
        <v>1</v>
      </c>
      <c r="U394" s="2">
        <f t="shared" si="115"/>
        <v>0</v>
      </c>
      <c r="V394" s="2">
        <f t="shared" si="116"/>
        <v>0</v>
      </c>
      <c r="W394" s="2">
        <f t="shared" si="117"/>
        <v>117238.17053</v>
      </c>
      <c r="X394" s="2">
        <f t="shared" si="113"/>
        <v>117238.17053</v>
      </c>
      <c r="Y394" s="2">
        <f t="shared" si="118"/>
        <v>0</v>
      </c>
      <c r="Z394" s="2">
        <f t="shared" si="119"/>
        <v>0</v>
      </c>
      <c r="AA394" s="2">
        <f t="shared" si="120"/>
        <v>117238.17053</v>
      </c>
      <c r="AB394" s="2">
        <f t="shared" si="114"/>
        <v>117238.17053</v>
      </c>
      <c r="AC394" s="759">
        <v>117238.17053</v>
      </c>
      <c r="AD394" s="741">
        <v>117238.17053</v>
      </c>
      <c r="AE394" s="741">
        <v>117238.17053</v>
      </c>
      <c r="AF394" s="741">
        <v>117238.17053</v>
      </c>
      <c r="AG394" s="741">
        <v>117238.17053</v>
      </c>
      <c r="AH394" s="741">
        <v>117238.17053</v>
      </c>
      <c r="AI394" s="741">
        <v>117238.17053</v>
      </c>
      <c r="AJ394" s="741">
        <v>117238.17053</v>
      </c>
      <c r="AK394" s="741">
        <v>117238.17053</v>
      </c>
      <c r="AL394" s="741">
        <v>117238.17053</v>
      </c>
      <c r="AM394" s="741">
        <v>117238.17053</v>
      </c>
      <c r="AN394" s="741">
        <v>117238.17053</v>
      </c>
      <c r="AO394" s="741">
        <v>117238.17053</v>
      </c>
      <c r="AP394" s="41" t="str">
        <f t="shared" si="110"/>
        <v>GLC</v>
      </c>
      <c r="AQ394" s="41" t="str">
        <f t="shared" si="111"/>
        <v>GLCC150</v>
      </c>
      <c r="AR394" s="41" t="str">
        <f t="shared" si="112"/>
        <v>C150</v>
      </c>
    </row>
    <row r="395" spans="1:44" s="41" customFormat="1" ht="12.75" customHeight="1">
      <c r="A395" s="442" t="s">
        <v>17</v>
      </c>
      <c r="B395" s="442" t="str">
        <f t="shared" si="107"/>
        <v>GL219500</v>
      </c>
      <c r="C395" s="638">
        <v>219500</v>
      </c>
      <c r="D395" s="735"/>
      <c r="E395" s="626"/>
      <c r="F395" s="441" t="s">
        <v>385</v>
      </c>
      <c r="G395" s="626"/>
      <c r="H395" s="736" t="s">
        <v>1133</v>
      </c>
      <c r="I395" s="442"/>
      <c r="J395" s="442"/>
      <c r="K395" s="442" t="str">
        <f t="shared" si="106"/>
        <v/>
      </c>
      <c r="L395" s="736" t="s">
        <v>2427</v>
      </c>
      <c r="M395" s="442" t="str">
        <f t="shared" si="108"/>
        <v>N</v>
      </c>
      <c r="N395" s="442" t="str">
        <f>IF(L395&lt;&gt;"",VLOOKUP(L395,Categories!$B$2:$D$41,2,FALSE),IF(F395&lt;&gt;"","No Cat",""))</f>
        <v>NRBASE</v>
      </c>
      <c r="O395" s="442" t="str">
        <f>IF($L395&lt;&gt;"",VLOOKUP($L395,Categories!$B$2:$D$41,3,FALSE),IF($F395&lt;&gt;"","No Cat",""))</f>
        <v>Hedges &amp; OCI</v>
      </c>
      <c r="P395" s="736" t="s">
        <v>2468</v>
      </c>
      <c r="Q395" s="442" t="str">
        <f>VLOOKUP($P395,Allocators!$B$7:$F$19,5,FALSE)</f>
        <v>Not in Rate Base</v>
      </c>
      <c r="R395" s="737">
        <f>VLOOKUP($P395,Allocators!$B$7:$F$19,2,FALSE)</f>
        <v>0</v>
      </c>
      <c r="S395" s="737">
        <f>VLOOKUP($P395,Allocators!$B$7:$F$19,3,FALSE)</f>
        <v>0</v>
      </c>
      <c r="T395" s="737">
        <f t="shared" si="109"/>
        <v>1</v>
      </c>
      <c r="U395" s="2">
        <f t="shared" si="115"/>
        <v>0</v>
      </c>
      <c r="V395" s="2">
        <f t="shared" si="116"/>
        <v>0</v>
      </c>
      <c r="W395" s="2">
        <f t="shared" si="117"/>
        <v>1676.4526716666701</v>
      </c>
      <c r="X395" s="2">
        <f t="shared" si="113"/>
        <v>1676.4526716666701</v>
      </c>
      <c r="Y395" s="2">
        <f t="shared" si="118"/>
        <v>0</v>
      </c>
      <c r="Z395" s="2">
        <f t="shared" si="119"/>
        <v>0</v>
      </c>
      <c r="AA395" s="2">
        <f t="shared" si="120"/>
        <v>4188.8739999999998</v>
      </c>
      <c r="AB395" s="2">
        <f t="shared" si="114"/>
        <v>4188.8739999999998</v>
      </c>
      <c r="AC395" s="759">
        <v>1775.8979999999999</v>
      </c>
      <c r="AD395" s="741">
        <v>1739.5369099999998</v>
      </c>
      <c r="AE395" s="741">
        <v>1703.1758200000002</v>
      </c>
      <c r="AF395" s="741">
        <v>1666.8147300000001</v>
      </c>
      <c r="AG395" s="741">
        <v>1630.45364</v>
      </c>
      <c r="AH395" s="741">
        <v>1594.0925500000001</v>
      </c>
      <c r="AI395" s="741">
        <v>1557.73146</v>
      </c>
      <c r="AJ395" s="741">
        <v>1521.3703700000001</v>
      </c>
      <c r="AK395" s="741">
        <v>1485.00928</v>
      </c>
      <c r="AL395" s="741">
        <v>1448.6481899999999</v>
      </c>
      <c r="AM395" s="741">
        <v>1412.2871</v>
      </c>
      <c r="AN395" s="741">
        <v>1375.9260099999999</v>
      </c>
      <c r="AO395" s="741">
        <v>4188.8739999999998</v>
      </c>
      <c r="AP395" s="41" t="str">
        <f t="shared" si="110"/>
        <v>GLN</v>
      </c>
      <c r="AQ395" s="41" t="str">
        <f t="shared" si="111"/>
        <v>GLNN5FAS 133</v>
      </c>
      <c r="AR395" s="41" t="str">
        <f t="shared" si="112"/>
        <v>N5FAS 133</v>
      </c>
    </row>
    <row r="396" spans="1:44" s="41" customFormat="1" ht="12.75" customHeight="1">
      <c r="A396" s="442" t="s">
        <v>17</v>
      </c>
      <c r="B396" s="442" t="str">
        <f t="shared" si="107"/>
        <v>GL219510</v>
      </c>
      <c r="C396" s="638">
        <v>219510</v>
      </c>
      <c r="D396" s="735"/>
      <c r="E396" s="626"/>
      <c r="F396" s="441" t="s">
        <v>386</v>
      </c>
      <c r="G396" s="626"/>
      <c r="H396" s="736" t="s">
        <v>1133</v>
      </c>
      <c r="I396" s="442"/>
      <c r="J396" s="442"/>
      <c r="K396" s="442" t="str">
        <f t="shared" si="106"/>
        <v/>
      </c>
      <c r="L396" s="736" t="s">
        <v>2427</v>
      </c>
      <c r="M396" s="442" t="str">
        <f t="shared" si="108"/>
        <v>N</v>
      </c>
      <c r="N396" s="442" t="str">
        <f>IF(L396&lt;&gt;"",VLOOKUP(L396,Categories!$B$2:$D$41,2,FALSE),IF(F396&lt;&gt;"","No Cat",""))</f>
        <v>NRBASE</v>
      </c>
      <c r="O396" s="442" t="str">
        <f>IF($L396&lt;&gt;"",VLOOKUP($L396,Categories!$B$2:$D$41,3,FALSE),IF($F396&lt;&gt;"","No Cat",""))</f>
        <v>Hedges &amp; OCI</v>
      </c>
      <c r="P396" s="736" t="s">
        <v>2468</v>
      </c>
      <c r="Q396" s="442" t="str">
        <f>VLOOKUP($P396,Allocators!$B$7:$F$19,5,FALSE)</f>
        <v>Not in Rate Base</v>
      </c>
      <c r="R396" s="737">
        <f>VLOOKUP($P396,Allocators!$B$7:$F$19,2,FALSE)</f>
        <v>0</v>
      </c>
      <c r="S396" s="737">
        <f>VLOOKUP($P396,Allocators!$B$7:$F$19,3,FALSE)</f>
        <v>0</v>
      </c>
      <c r="T396" s="737">
        <f t="shared" si="109"/>
        <v>1</v>
      </c>
      <c r="U396" s="2">
        <f t="shared" si="115"/>
        <v>0</v>
      </c>
      <c r="V396" s="2">
        <f t="shared" si="116"/>
        <v>0</v>
      </c>
      <c r="W396" s="2">
        <f t="shared" si="117"/>
        <v>-545.09872625000003</v>
      </c>
      <c r="X396" s="2">
        <f t="shared" si="113"/>
        <v>-545.09872625000003</v>
      </c>
      <c r="Y396" s="2">
        <f t="shared" si="118"/>
        <v>0</v>
      </c>
      <c r="Z396" s="2">
        <f t="shared" si="119"/>
        <v>0</v>
      </c>
      <c r="AA396" s="2">
        <f t="shared" si="120"/>
        <v>-1362.01252</v>
      </c>
      <c r="AB396" s="2">
        <f t="shared" si="114"/>
        <v>-1362.01252</v>
      </c>
      <c r="AC396" s="759">
        <v>-577.43336999999997</v>
      </c>
      <c r="AD396" s="741">
        <v>-565.61056999999994</v>
      </c>
      <c r="AE396" s="741">
        <v>-553.78776000000005</v>
      </c>
      <c r="AF396" s="741">
        <v>-541.96494999999993</v>
      </c>
      <c r="AG396" s="741">
        <v>-530.14214000000004</v>
      </c>
      <c r="AH396" s="741">
        <v>-518.31933000000004</v>
      </c>
      <c r="AI396" s="741">
        <v>-506.49652000000003</v>
      </c>
      <c r="AJ396" s="741">
        <v>-494.67371999999995</v>
      </c>
      <c r="AK396" s="741">
        <v>-482.85091</v>
      </c>
      <c r="AL396" s="741">
        <v>-471.02809999999999</v>
      </c>
      <c r="AM396" s="741">
        <v>-459.20528999999999</v>
      </c>
      <c r="AN396" s="741">
        <v>-447.38247999999999</v>
      </c>
      <c r="AO396" s="741">
        <v>-1362.01252</v>
      </c>
      <c r="AP396" s="41" t="str">
        <f t="shared" si="110"/>
        <v>GLN</v>
      </c>
      <c r="AQ396" s="41" t="str">
        <f t="shared" si="111"/>
        <v>GLNN5FAS 133</v>
      </c>
      <c r="AR396" s="41" t="str">
        <f t="shared" si="112"/>
        <v>N5FAS 133</v>
      </c>
    </row>
    <row r="397" spans="1:44" s="41" customFormat="1" ht="12.75" customHeight="1">
      <c r="A397" s="442" t="s">
        <v>17</v>
      </c>
      <c r="B397" s="442" t="str">
        <f t="shared" si="107"/>
        <v>GL219530</v>
      </c>
      <c r="C397" s="638">
        <v>219530</v>
      </c>
      <c r="D397" s="735"/>
      <c r="E397" s="626"/>
      <c r="F397" s="441" t="s">
        <v>387</v>
      </c>
      <c r="G397" s="626"/>
      <c r="H397" s="736" t="s">
        <v>1133</v>
      </c>
      <c r="I397" s="442"/>
      <c r="J397" s="442"/>
      <c r="K397" s="442" t="str">
        <f t="shared" ref="K397:K460" si="121">IF(L397="N3","Y","")</f>
        <v/>
      </c>
      <c r="L397" s="736" t="s">
        <v>2427</v>
      </c>
      <c r="M397" s="442" t="str">
        <f t="shared" si="108"/>
        <v>N</v>
      </c>
      <c r="N397" s="442" t="str">
        <f>IF(L397&lt;&gt;"",VLOOKUP(L397,Categories!$B$2:$D$41,2,FALSE),IF(F397&lt;&gt;"","No Cat",""))</f>
        <v>NRBASE</v>
      </c>
      <c r="O397" s="442" t="str">
        <f>IF($L397&lt;&gt;"",VLOOKUP($L397,Categories!$B$2:$D$41,3,FALSE),IF($F397&lt;&gt;"","No Cat",""))</f>
        <v>Hedges &amp; OCI</v>
      </c>
      <c r="P397" s="736" t="s">
        <v>2468</v>
      </c>
      <c r="Q397" s="442" t="str">
        <f>VLOOKUP($P397,Allocators!$B$7:$F$19,5,FALSE)</f>
        <v>Not in Rate Base</v>
      </c>
      <c r="R397" s="737">
        <f>VLOOKUP($P397,Allocators!$B$7:$F$19,2,FALSE)</f>
        <v>0</v>
      </c>
      <c r="S397" s="737">
        <f>VLOOKUP($P397,Allocators!$B$7:$F$19,3,FALSE)</f>
        <v>0</v>
      </c>
      <c r="T397" s="737">
        <f t="shared" si="109"/>
        <v>1</v>
      </c>
      <c r="U397" s="2">
        <f t="shared" si="115"/>
        <v>0</v>
      </c>
      <c r="V397" s="2">
        <f t="shared" si="116"/>
        <v>0</v>
      </c>
      <c r="W397" s="2">
        <f t="shared" si="117"/>
        <v>241.649164583333</v>
      </c>
      <c r="X397" s="2">
        <f t="shared" si="113"/>
        <v>241.649164583333</v>
      </c>
      <c r="Y397" s="2">
        <f t="shared" si="118"/>
        <v>0</v>
      </c>
      <c r="Z397" s="2">
        <f t="shared" si="119"/>
        <v>0</v>
      </c>
      <c r="AA397" s="2">
        <f t="shared" si="120"/>
        <v>699.72623999999996</v>
      </c>
      <c r="AB397" s="2">
        <f t="shared" si="114"/>
        <v>699.72623999999996</v>
      </c>
      <c r="AC397" s="759">
        <v>184.20327</v>
      </c>
      <c r="AD397" s="741">
        <v>162.13442000000001</v>
      </c>
      <c r="AE397" s="741">
        <v>118.33256</v>
      </c>
      <c r="AF397" s="741">
        <v>142.72883999999999</v>
      </c>
      <c r="AG397" s="741">
        <v>143.33954</v>
      </c>
      <c r="AH397" s="741">
        <v>145.11562000000001</v>
      </c>
      <c r="AI397" s="741">
        <v>106.85961</v>
      </c>
      <c r="AJ397" s="741">
        <v>175.80698000000001</v>
      </c>
      <c r="AK397" s="741">
        <v>208.09560000000002</v>
      </c>
      <c r="AL397" s="741">
        <v>296.47032999999999</v>
      </c>
      <c r="AM397" s="741">
        <v>397.68518</v>
      </c>
      <c r="AN397" s="741">
        <v>561.25654000000009</v>
      </c>
      <c r="AO397" s="741">
        <v>699.72623999999996</v>
      </c>
      <c r="AP397" s="41" t="str">
        <f t="shared" si="110"/>
        <v>GLN</v>
      </c>
      <c r="AQ397" s="41" t="str">
        <f t="shared" si="111"/>
        <v>GLNN5FAS 133</v>
      </c>
      <c r="AR397" s="41" t="str">
        <f t="shared" si="112"/>
        <v>N5FAS 133</v>
      </c>
    </row>
    <row r="398" spans="1:44" s="41" customFormat="1" ht="12.75" customHeight="1">
      <c r="A398" s="442" t="s">
        <v>17</v>
      </c>
      <c r="B398" s="442" t="str">
        <f t="shared" si="107"/>
        <v>GL219532</v>
      </c>
      <c r="C398" s="638">
        <v>219532</v>
      </c>
      <c r="D398" s="735"/>
      <c r="E398" s="626"/>
      <c r="F398" s="441" t="s">
        <v>388</v>
      </c>
      <c r="G398" s="626"/>
      <c r="H398" s="736" t="s">
        <v>1133</v>
      </c>
      <c r="I398" s="442"/>
      <c r="J398" s="442"/>
      <c r="K398" s="442" t="str">
        <f t="shared" si="121"/>
        <v/>
      </c>
      <c r="L398" s="736" t="s">
        <v>2427</v>
      </c>
      <c r="M398" s="442" t="str">
        <f t="shared" si="108"/>
        <v>N</v>
      </c>
      <c r="N398" s="442" t="str">
        <f>IF(L398&lt;&gt;"",VLOOKUP(L398,Categories!$B$2:$D$41,2,FALSE),IF(F398&lt;&gt;"","No Cat",""))</f>
        <v>NRBASE</v>
      </c>
      <c r="O398" s="442" t="str">
        <f>IF($L398&lt;&gt;"",VLOOKUP($L398,Categories!$B$2:$D$41,3,FALSE),IF($F398&lt;&gt;"","No Cat",""))</f>
        <v>Hedges &amp; OCI</v>
      </c>
      <c r="P398" s="736" t="s">
        <v>2468</v>
      </c>
      <c r="Q398" s="442" t="str">
        <f>VLOOKUP($P398,Allocators!$B$7:$F$19,5,FALSE)</f>
        <v>Not in Rate Base</v>
      </c>
      <c r="R398" s="737">
        <f>VLOOKUP($P398,Allocators!$B$7:$F$19,2,FALSE)</f>
        <v>0</v>
      </c>
      <c r="S398" s="737">
        <f>VLOOKUP($P398,Allocators!$B$7:$F$19,3,FALSE)</f>
        <v>0</v>
      </c>
      <c r="T398" s="737">
        <f t="shared" si="109"/>
        <v>1</v>
      </c>
      <c r="U398" s="2" t="str">
        <f t="shared" si="115"/>
        <v/>
      </c>
      <c r="V398" s="2" t="str">
        <f t="shared" si="116"/>
        <v/>
      </c>
      <c r="W398" s="2" t="str">
        <f t="shared" si="117"/>
        <v/>
      </c>
      <c r="X398" s="2">
        <f t="shared" si="113"/>
        <v>0</v>
      </c>
      <c r="Y398" s="2" t="str">
        <f t="shared" si="118"/>
        <v/>
      </c>
      <c r="Z398" s="2" t="str">
        <f t="shared" si="119"/>
        <v/>
      </c>
      <c r="AA398" s="2" t="str">
        <f t="shared" si="120"/>
        <v/>
      </c>
      <c r="AB398" s="2">
        <f t="shared" si="114"/>
        <v>0</v>
      </c>
      <c r="AC398" s="759">
        <v>0</v>
      </c>
      <c r="AD398" s="741">
        <v>0</v>
      </c>
      <c r="AE398" s="741">
        <v>0</v>
      </c>
      <c r="AF398" s="741">
        <v>0</v>
      </c>
      <c r="AG398" s="741">
        <v>0</v>
      </c>
      <c r="AH398" s="741">
        <v>0</v>
      </c>
      <c r="AI398" s="741">
        <v>0</v>
      </c>
      <c r="AJ398" s="741">
        <v>0</v>
      </c>
      <c r="AK398" s="741">
        <v>0</v>
      </c>
      <c r="AL398" s="741">
        <v>0</v>
      </c>
      <c r="AM398" s="741">
        <v>0</v>
      </c>
      <c r="AN398" s="741">
        <v>0</v>
      </c>
      <c r="AO398" s="741">
        <v>0</v>
      </c>
      <c r="AP398" s="41" t="str">
        <f t="shared" si="110"/>
        <v>GLN</v>
      </c>
      <c r="AQ398" s="41" t="str">
        <f t="shared" si="111"/>
        <v>GLNN5FAS 133</v>
      </c>
      <c r="AR398" s="41" t="str">
        <f t="shared" si="112"/>
        <v>N5FAS 133</v>
      </c>
    </row>
    <row r="399" spans="1:44" s="41" customFormat="1" ht="12.75" customHeight="1">
      <c r="A399" s="25" t="s">
        <v>17</v>
      </c>
      <c r="B399" s="25" t="str">
        <f t="shared" si="107"/>
        <v>GL219533</v>
      </c>
      <c r="C399" s="638">
        <v>219533</v>
      </c>
      <c r="D399" s="735"/>
      <c r="F399" s="1" t="s">
        <v>389</v>
      </c>
      <c r="H399" s="736" t="s">
        <v>2541</v>
      </c>
      <c r="I399" s="25"/>
      <c r="J399" s="25"/>
      <c r="K399" s="442" t="str">
        <f t="shared" si="121"/>
        <v/>
      </c>
      <c r="L399" s="736" t="s">
        <v>2441</v>
      </c>
      <c r="M399" s="25" t="str">
        <f t="shared" si="108"/>
        <v>R</v>
      </c>
      <c r="N399" s="25" t="str">
        <f>IF(L399&lt;&gt;"",VLOOKUP(L399,Categories!$B$2:$D$41,2,FALSE),IF(F399&lt;&gt;"","No Cat",""))</f>
        <v>Rate Base</v>
      </c>
      <c r="O399" s="25" t="str">
        <f>IF($L399&lt;&gt;"",VLOOKUP($L399,Categories!$B$2:$D$41,3,FALSE),IF($F399&lt;&gt;"","No Cat",""))</f>
        <v>Deferred Debits &amp; Credits</v>
      </c>
      <c r="P399" s="736" t="s">
        <v>2486</v>
      </c>
      <c r="Q399" s="25" t="str">
        <f>VLOOKUP($P399,Allocators!$B$7:$F$19,5,FALSE)</f>
        <v>Net Plant</v>
      </c>
      <c r="R399" s="737">
        <f>VLOOKUP($P399,Allocators!$B$7:$F$19,2,FALSE)</f>
        <v>0.74150000000000005</v>
      </c>
      <c r="S399" s="737">
        <f>VLOOKUP($P399,Allocators!$B$7:$F$19,3,FALSE)</f>
        <v>0.25850000000000001</v>
      </c>
      <c r="T399" s="737" t="str">
        <f t="shared" si="109"/>
        <v>0.0%</v>
      </c>
      <c r="U399" s="2">
        <f t="shared" si="115"/>
        <v>63601.244760280002</v>
      </c>
      <c r="V399" s="2">
        <f t="shared" si="116"/>
        <v>22172.51755972</v>
      </c>
      <c r="W399" s="2">
        <f t="shared" si="117"/>
        <v>0</v>
      </c>
      <c r="X399" s="2">
        <f t="shared" si="113"/>
        <v>85773.762319999994</v>
      </c>
      <c r="Y399" s="2">
        <f t="shared" si="118"/>
        <v>63423.048718585</v>
      </c>
      <c r="Z399" s="2">
        <f t="shared" si="119"/>
        <v>22110.395271415</v>
      </c>
      <c r="AA399" s="2">
        <f t="shared" si="120"/>
        <v>0</v>
      </c>
      <c r="AB399" s="2">
        <f t="shared" si="114"/>
        <v>85533.44399</v>
      </c>
      <c r="AC399" s="759">
        <v>91301.083910000001</v>
      </c>
      <c r="AD399" s="741">
        <v>85533.44399</v>
      </c>
      <c r="AE399" s="741">
        <v>85533.44399</v>
      </c>
      <c r="AF399" s="741">
        <v>85533.44399</v>
      </c>
      <c r="AG399" s="741">
        <v>85533.44399</v>
      </c>
      <c r="AH399" s="741">
        <v>85533.44399</v>
      </c>
      <c r="AI399" s="741">
        <v>85533.44399</v>
      </c>
      <c r="AJ399" s="741">
        <v>85533.44399</v>
      </c>
      <c r="AK399" s="741">
        <v>85533.44399</v>
      </c>
      <c r="AL399" s="741">
        <v>85533.44399</v>
      </c>
      <c r="AM399" s="741">
        <v>85533.44399</v>
      </c>
      <c r="AN399" s="741">
        <v>85533.44399</v>
      </c>
      <c r="AO399" s="741">
        <v>85533.44399</v>
      </c>
      <c r="AP399" s="41" t="str">
        <f t="shared" si="110"/>
        <v>GLR</v>
      </c>
      <c r="AQ399" s="41" t="str">
        <f t="shared" si="111"/>
        <v>GLRR10Net (Gains) &amp; Losses on Hedges</v>
      </c>
      <c r="AR399" s="41" t="str">
        <f t="shared" si="112"/>
        <v>R10Net (Gains) &amp; Losses on Hedges</v>
      </c>
    </row>
    <row r="400" spans="1:44" s="41" customFormat="1" ht="12.75" customHeight="1">
      <c r="A400" s="442" t="s">
        <v>17</v>
      </c>
      <c r="B400" s="442" t="str">
        <f t="shared" si="107"/>
        <v>GL219535</v>
      </c>
      <c r="C400" s="638">
        <v>219535</v>
      </c>
      <c r="D400" s="735"/>
      <c r="E400" s="626"/>
      <c r="F400" s="441" t="s">
        <v>390</v>
      </c>
      <c r="G400" s="626"/>
      <c r="H400" s="736" t="s">
        <v>1133</v>
      </c>
      <c r="I400" s="442"/>
      <c r="J400" s="442"/>
      <c r="K400" s="442" t="str">
        <f t="shared" si="121"/>
        <v/>
      </c>
      <c r="L400" s="736" t="s">
        <v>2427</v>
      </c>
      <c r="M400" s="442" t="str">
        <f t="shared" si="108"/>
        <v>N</v>
      </c>
      <c r="N400" s="442" t="str">
        <f>IF(L400&lt;&gt;"",VLOOKUP(L400,Categories!$B$2:$D$41,2,FALSE),IF(F400&lt;&gt;"","No Cat",""))</f>
        <v>NRBASE</v>
      </c>
      <c r="O400" s="442" t="str">
        <f>IF($L400&lt;&gt;"",VLOOKUP($L400,Categories!$B$2:$D$41,3,FALSE),IF($F400&lt;&gt;"","No Cat",""))</f>
        <v>Hedges &amp; OCI</v>
      </c>
      <c r="P400" s="736" t="s">
        <v>2468</v>
      </c>
      <c r="Q400" s="442" t="str">
        <f>VLOOKUP($P400,Allocators!$B$7:$F$19,5,FALSE)</f>
        <v>Not in Rate Base</v>
      </c>
      <c r="R400" s="737">
        <f>VLOOKUP($P400,Allocators!$B$7:$F$19,2,FALSE)</f>
        <v>0</v>
      </c>
      <c r="S400" s="737">
        <f>VLOOKUP($P400,Allocators!$B$7:$F$19,3,FALSE)</f>
        <v>0</v>
      </c>
      <c r="T400" s="737">
        <f t="shared" si="109"/>
        <v>1</v>
      </c>
      <c r="U400" s="2">
        <f t="shared" si="115"/>
        <v>0</v>
      </c>
      <c r="V400" s="2">
        <f t="shared" si="116"/>
        <v>0</v>
      </c>
      <c r="W400" s="2">
        <f t="shared" si="117"/>
        <v>-52.416328333333297</v>
      </c>
      <c r="X400" s="2">
        <f t="shared" si="113"/>
        <v>-52.416328333333297</v>
      </c>
      <c r="Y400" s="2">
        <f t="shared" si="118"/>
        <v>0</v>
      </c>
      <c r="Z400" s="2">
        <f t="shared" si="119"/>
        <v>0</v>
      </c>
      <c r="AA400" s="2">
        <f t="shared" si="120"/>
        <v>-137.21578</v>
      </c>
      <c r="AB400" s="2">
        <f t="shared" si="114"/>
        <v>-137.21578</v>
      </c>
      <c r="AC400" s="759">
        <v>-92.134600000000006</v>
      </c>
      <c r="AD400" s="741">
        <v>-10.633100000000001</v>
      </c>
      <c r="AE400" s="741">
        <v>-19.1113</v>
      </c>
      <c r="AF400" s="741">
        <v>-26.7057</v>
      </c>
      <c r="AG400" s="741">
        <v>-30.440249999999999</v>
      </c>
      <c r="AH400" s="741">
        <v>-33.818889999999996</v>
      </c>
      <c r="AI400" s="741">
        <v>-36.362290000000002</v>
      </c>
      <c r="AJ400" s="741">
        <v>-43.788499999999999</v>
      </c>
      <c r="AK400" s="741">
        <v>-59.4328</v>
      </c>
      <c r="AL400" s="741">
        <v>-67.085220000000007</v>
      </c>
      <c r="AM400" s="741">
        <v>-82.223160000000007</v>
      </c>
      <c r="AN400" s="741">
        <v>-104.71953999999999</v>
      </c>
      <c r="AO400" s="741">
        <v>-137.21578</v>
      </c>
      <c r="AP400" s="41" t="str">
        <f t="shared" si="110"/>
        <v>GLN</v>
      </c>
      <c r="AQ400" s="41" t="str">
        <f t="shared" si="111"/>
        <v>GLNN5FAS 133</v>
      </c>
      <c r="AR400" s="41" t="str">
        <f t="shared" si="112"/>
        <v>N5FAS 133</v>
      </c>
    </row>
    <row r="401" spans="1:44" s="41" customFormat="1" ht="12.75" customHeight="1">
      <c r="A401" s="25" t="s">
        <v>17</v>
      </c>
      <c r="B401" s="25" t="str">
        <f t="shared" si="107"/>
        <v>GL219537</v>
      </c>
      <c r="C401" s="638">
        <v>219537</v>
      </c>
      <c r="D401" s="735"/>
      <c r="F401" s="1" t="s">
        <v>391</v>
      </c>
      <c r="H401" s="736" t="s">
        <v>2541</v>
      </c>
      <c r="I401" s="25"/>
      <c r="J401" s="25"/>
      <c r="K401" s="442" t="str">
        <f t="shared" si="121"/>
        <v/>
      </c>
      <c r="L401" s="736" t="s">
        <v>2441</v>
      </c>
      <c r="M401" s="25" t="str">
        <f t="shared" si="108"/>
        <v>R</v>
      </c>
      <c r="N401" s="25" t="str">
        <f>IF(L401&lt;&gt;"",VLOOKUP(L401,Categories!$B$2:$D$41,2,FALSE),IF(F401&lt;&gt;"","No Cat",""))</f>
        <v>Rate Base</v>
      </c>
      <c r="O401" s="25" t="str">
        <f>IF($L401&lt;&gt;"",VLOOKUP($L401,Categories!$B$2:$D$41,3,FALSE),IF($F401&lt;&gt;"","No Cat",""))</f>
        <v>Deferred Debits &amp; Credits</v>
      </c>
      <c r="P401" s="736" t="s">
        <v>2486</v>
      </c>
      <c r="Q401" s="25" t="str">
        <f>VLOOKUP($P401,Allocators!$B$7:$F$19,5,FALSE)</f>
        <v>Net Plant</v>
      </c>
      <c r="R401" s="737">
        <f>VLOOKUP($P401,Allocators!$B$7:$F$19,2,FALSE)</f>
        <v>0.74150000000000005</v>
      </c>
      <c r="S401" s="737">
        <f>VLOOKUP($P401,Allocators!$B$7:$F$19,3,FALSE)</f>
        <v>0.25850000000000001</v>
      </c>
      <c r="T401" s="737" t="str">
        <f t="shared" si="109"/>
        <v>0.0%</v>
      </c>
      <c r="U401" s="2">
        <f t="shared" si="115"/>
        <v>-2316.5485420350001</v>
      </c>
      <c r="V401" s="2">
        <f t="shared" si="116"/>
        <v>-807.58974796500002</v>
      </c>
      <c r="W401" s="2">
        <f t="shared" si="117"/>
        <v>0</v>
      </c>
      <c r="X401" s="2">
        <f t="shared" si="113"/>
        <v>-3124.1382899999999</v>
      </c>
      <c r="Y401" s="2">
        <f t="shared" si="118"/>
        <v>-4276.70500068</v>
      </c>
      <c r="Z401" s="2">
        <f t="shared" si="119"/>
        <v>-1490.9349193200001</v>
      </c>
      <c r="AA401" s="2">
        <f t="shared" si="120"/>
        <v>0</v>
      </c>
      <c r="AB401" s="2">
        <f t="shared" si="114"/>
        <v>-5767.6399199999996</v>
      </c>
      <c r="AC401" s="759">
        <v>-5767.6399199999996</v>
      </c>
      <c r="AD401" s="741">
        <v>-480.63665999999995</v>
      </c>
      <c r="AE401" s="741">
        <v>-961.2733199999999</v>
      </c>
      <c r="AF401" s="741">
        <v>-1441.9099799999999</v>
      </c>
      <c r="AG401" s="741">
        <v>-1922.5466399999998</v>
      </c>
      <c r="AH401" s="741">
        <v>-2403.1832999999997</v>
      </c>
      <c r="AI401" s="741">
        <v>-2883.8199599999998</v>
      </c>
      <c r="AJ401" s="741">
        <v>-3364.4566199999999</v>
      </c>
      <c r="AK401" s="741">
        <v>-3845.0932799999996</v>
      </c>
      <c r="AL401" s="741">
        <v>-4325.7299400000002</v>
      </c>
      <c r="AM401" s="741">
        <v>-4806.3665999999994</v>
      </c>
      <c r="AN401" s="741">
        <v>-5287.0032599999995</v>
      </c>
      <c r="AO401" s="741">
        <v>-5767.6399199999996</v>
      </c>
      <c r="AP401" s="41" t="str">
        <f t="shared" si="110"/>
        <v>GLR</v>
      </c>
      <c r="AQ401" s="41" t="str">
        <f t="shared" si="111"/>
        <v>GLRR10Net (Gains) &amp; Losses on Hedges</v>
      </c>
      <c r="AR401" s="41" t="str">
        <f t="shared" si="112"/>
        <v>R10Net (Gains) &amp; Losses on Hedges</v>
      </c>
    </row>
    <row r="402" spans="1:44" s="41" customFormat="1" ht="12.75" customHeight="1">
      <c r="A402" s="442" t="s">
        <v>17</v>
      </c>
      <c r="B402" s="442" t="str">
        <f t="shared" ref="B402:B465" si="122">CONCATENATE(A402,C402,D402,E402)</f>
        <v>GL219540</v>
      </c>
      <c r="C402" s="638">
        <v>219540</v>
      </c>
      <c r="D402" s="735"/>
      <c r="E402" s="626"/>
      <c r="F402" s="441" t="s">
        <v>392</v>
      </c>
      <c r="G402" s="626"/>
      <c r="H402" s="736" t="s">
        <v>1133</v>
      </c>
      <c r="I402" s="442"/>
      <c r="J402" s="442"/>
      <c r="K402" s="442" t="str">
        <f t="shared" si="121"/>
        <v/>
      </c>
      <c r="L402" s="736" t="s">
        <v>2427</v>
      </c>
      <c r="M402" s="442" t="str">
        <f t="shared" ref="M402:M465" si="123">LEFT(L402,1)</f>
        <v>N</v>
      </c>
      <c r="N402" s="442" t="str">
        <f>IF(L402&lt;&gt;"",VLOOKUP(L402,Categories!$B$2:$D$41,2,FALSE),IF(F402&lt;&gt;"","No Cat",""))</f>
        <v>NRBASE</v>
      </c>
      <c r="O402" s="442" t="str">
        <f>IF($L402&lt;&gt;"",VLOOKUP($L402,Categories!$B$2:$D$41,3,FALSE),IF($F402&lt;&gt;"","No Cat",""))</f>
        <v>Hedges &amp; OCI</v>
      </c>
      <c r="P402" s="736" t="s">
        <v>2468</v>
      </c>
      <c r="Q402" s="442" t="str">
        <f>VLOOKUP($P402,Allocators!$B$7:$F$19,5,FALSE)</f>
        <v>Not in Rate Base</v>
      </c>
      <c r="R402" s="737">
        <f>VLOOKUP($P402,Allocators!$B$7:$F$19,2,FALSE)</f>
        <v>0</v>
      </c>
      <c r="S402" s="737">
        <f>VLOOKUP($P402,Allocators!$B$7:$F$19,3,FALSE)</f>
        <v>0</v>
      </c>
      <c r="T402" s="737">
        <f t="shared" si="109"/>
        <v>1</v>
      </c>
      <c r="U402" s="2">
        <f t="shared" si="115"/>
        <v>0</v>
      </c>
      <c r="V402" s="2">
        <f t="shared" si="116"/>
        <v>0</v>
      </c>
      <c r="W402" s="2">
        <f t="shared" si="117"/>
        <v>-78.572232083333304</v>
      </c>
      <c r="X402" s="2">
        <f t="shared" si="113"/>
        <v>-78.572232083333304</v>
      </c>
      <c r="Y402" s="2">
        <f t="shared" si="118"/>
        <v>0</v>
      </c>
      <c r="Z402" s="2">
        <f t="shared" si="119"/>
        <v>0</v>
      </c>
      <c r="AA402" s="2">
        <f t="shared" si="120"/>
        <v>-227.51598999999999</v>
      </c>
      <c r="AB402" s="2">
        <f t="shared" si="114"/>
        <v>-227.51598999999999</v>
      </c>
      <c r="AC402" s="759">
        <v>-59.893699999999995</v>
      </c>
      <c r="AD402" s="741">
        <v>-52.71801</v>
      </c>
      <c r="AE402" s="741">
        <v>-38.475839999999998</v>
      </c>
      <c r="AF402" s="741">
        <v>-46.408290000000001</v>
      </c>
      <c r="AG402" s="741">
        <v>-46.606859999999998</v>
      </c>
      <c r="AH402" s="741">
        <v>-47.184350000000002</v>
      </c>
      <c r="AI402" s="741">
        <v>-34.745410000000007</v>
      </c>
      <c r="AJ402" s="741">
        <v>-57.163650000000004</v>
      </c>
      <c r="AK402" s="741">
        <v>-67.662289999999999</v>
      </c>
      <c r="AL402" s="741">
        <v>-96.397329999999997</v>
      </c>
      <c r="AM402" s="741">
        <v>-129.30734000000001</v>
      </c>
      <c r="AN402" s="741">
        <v>-182.49257</v>
      </c>
      <c r="AO402" s="741">
        <v>-227.51598999999999</v>
      </c>
      <c r="AP402" s="41" t="str">
        <f t="shared" si="110"/>
        <v>GLN</v>
      </c>
      <c r="AQ402" s="41" t="str">
        <f t="shared" si="111"/>
        <v>GLNN5FAS 133</v>
      </c>
      <c r="AR402" s="41" t="str">
        <f t="shared" si="112"/>
        <v>N5FAS 133</v>
      </c>
    </row>
    <row r="403" spans="1:44" s="41" customFormat="1" ht="12.75" customHeight="1">
      <c r="A403" s="442" t="s">
        <v>17</v>
      </c>
      <c r="B403" s="442" t="str">
        <f t="shared" si="122"/>
        <v>GL219542</v>
      </c>
      <c r="C403" s="638">
        <v>219542</v>
      </c>
      <c r="D403" s="735"/>
      <c r="E403" s="626"/>
      <c r="F403" s="441" t="s">
        <v>393</v>
      </c>
      <c r="G403" s="626"/>
      <c r="H403" s="736" t="s">
        <v>1133</v>
      </c>
      <c r="I403" s="442"/>
      <c r="J403" s="442"/>
      <c r="K403" s="442" t="str">
        <f t="shared" si="121"/>
        <v/>
      </c>
      <c r="L403" s="736" t="s">
        <v>2427</v>
      </c>
      <c r="M403" s="442" t="str">
        <f t="shared" si="123"/>
        <v>N</v>
      </c>
      <c r="N403" s="442" t="str">
        <f>IF(L403&lt;&gt;"",VLOOKUP(L403,Categories!$B$2:$D$41,2,FALSE),IF(F403&lt;&gt;"","No Cat",""))</f>
        <v>NRBASE</v>
      </c>
      <c r="O403" s="442" t="str">
        <f>IF($L403&lt;&gt;"",VLOOKUP($L403,Categories!$B$2:$D$41,3,FALSE),IF($F403&lt;&gt;"","No Cat",""))</f>
        <v>Hedges &amp; OCI</v>
      </c>
      <c r="P403" s="736" t="s">
        <v>2468</v>
      </c>
      <c r="Q403" s="442" t="str">
        <f>VLOOKUP($P403,Allocators!$B$7:$F$19,5,FALSE)</f>
        <v>Not in Rate Base</v>
      </c>
      <c r="R403" s="737">
        <f>VLOOKUP($P403,Allocators!$B$7:$F$19,2,FALSE)</f>
        <v>0</v>
      </c>
      <c r="S403" s="737">
        <f>VLOOKUP($P403,Allocators!$B$7:$F$19,3,FALSE)</f>
        <v>0</v>
      </c>
      <c r="T403" s="737">
        <f t="shared" si="109"/>
        <v>1</v>
      </c>
      <c r="U403" s="2">
        <f t="shared" si="115"/>
        <v>0</v>
      </c>
      <c r="V403" s="2">
        <f t="shared" si="116"/>
        <v>0</v>
      </c>
      <c r="W403" s="2">
        <f t="shared" si="117"/>
        <v>1.3999999999999999E-4</v>
      </c>
      <c r="X403" s="2">
        <f t="shared" si="113"/>
        <v>1.3999999999999999E-4</v>
      </c>
      <c r="Y403" s="2">
        <f t="shared" si="118"/>
        <v>0</v>
      </c>
      <c r="Z403" s="2">
        <f t="shared" si="119"/>
        <v>0</v>
      </c>
      <c r="AA403" s="2">
        <f t="shared" si="120"/>
        <v>1.3999999999999999E-4</v>
      </c>
      <c r="AB403" s="2">
        <f t="shared" si="114"/>
        <v>1.4000000000000001E-4</v>
      </c>
      <c r="AC403" s="759">
        <v>1.4000000000000001E-4</v>
      </c>
      <c r="AD403" s="741">
        <v>1.4000000000000001E-4</v>
      </c>
      <c r="AE403" s="741">
        <v>1.4000000000000001E-4</v>
      </c>
      <c r="AF403" s="741">
        <v>1.4000000000000001E-4</v>
      </c>
      <c r="AG403" s="741">
        <v>1.4000000000000001E-4</v>
      </c>
      <c r="AH403" s="741">
        <v>1.4000000000000001E-4</v>
      </c>
      <c r="AI403" s="741">
        <v>1.4000000000000001E-4</v>
      </c>
      <c r="AJ403" s="741">
        <v>1.4000000000000001E-4</v>
      </c>
      <c r="AK403" s="741">
        <v>1.4000000000000001E-4</v>
      </c>
      <c r="AL403" s="741">
        <v>1.4000000000000001E-4</v>
      </c>
      <c r="AM403" s="741">
        <v>1.4000000000000001E-4</v>
      </c>
      <c r="AN403" s="741">
        <v>1.4000000000000001E-4</v>
      </c>
      <c r="AO403" s="741">
        <v>1.4000000000000001E-4</v>
      </c>
      <c r="AP403" s="41" t="str">
        <f t="shared" si="110"/>
        <v>GLN</v>
      </c>
      <c r="AQ403" s="41" t="str">
        <f t="shared" si="111"/>
        <v>GLNN5FAS 133</v>
      </c>
      <c r="AR403" s="41" t="str">
        <f t="shared" si="112"/>
        <v>N5FAS 133</v>
      </c>
    </row>
    <row r="404" spans="1:44" s="41" customFormat="1" ht="12.75" customHeight="1">
      <c r="A404" s="442" t="s">
        <v>17</v>
      </c>
      <c r="B404" s="442" t="str">
        <f t="shared" si="122"/>
        <v>GL219543</v>
      </c>
      <c r="C404" s="638">
        <v>219543</v>
      </c>
      <c r="D404" s="735"/>
      <c r="E404" s="626"/>
      <c r="F404" s="441" t="s">
        <v>394</v>
      </c>
      <c r="G404" s="626"/>
      <c r="H404" s="736" t="s">
        <v>1133</v>
      </c>
      <c r="I404" s="442"/>
      <c r="J404" s="442"/>
      <c r="K404" s="442" t="str">
        <f t="shared" si="121"/>
        <v/>
      </c>
      <c r="L404" s="736" t="s">
        <v>2427</v>
      </c>
      <c r="M404" s="442" t="str">
        <f t="shared" si="123"/>
        <v>N</v>
      </c>
      <c r="N404" s="442" t="str">
        <f>IF(L404&lt;&gt;"",VLOOKUP(L404,Categories!$B$2:$D$41,2,FALSE),IF(F404&lt;&gt;"","No Cat",""))</f>
        <v>NRBASE</v>
      </c>
      <c r="O404" s="442" t="str">
        <f>IF($L404&lt;&gt;"",VLOOKUP($L404,Categories!$B$2:$D$41,3,FALSE),IF($F404&lt;&gt;"","No Cat",""))</f>
        <v>Hedges &amp; OCI</v>
      </c>
      <c r="P404" s="736" t="s">
        <v>2468</v>
      </c>
      <c r="Q404" s="442" t="str">
        <f>VLOOKUP($P404,Allocators!$B$7:$F$19,5,FALSE)</f>
        <v>Not in Rate Base</v>
      </c>
      <c r="R404" s="737">
        <f>VLOOKUP($P404,Allocators!$B$7:$F$19,2,FALSE)</f>
        <v>0</v>
      </c>
      <c r="S404" s="737">
        <f>VLOOKUP($P404,Allocators!$B$7:$F$19,3,FALSE)</f>
        <v>0</v>
      </c>
      <c r="T404" s="737">
        <f t="shared" si="109"/>
        <v>1</v>
      </c>
      <c r="U404" s="2">
        <f t="shared" si="115"/>
        <v>0</v>
      </c>
      <c r="V404" s="2">
        <f t="shared" si="116"/>
        <v>0</v>
      </c>
      <c r="W404" s="2">
        <f t="shared" si="117"/>
        <v>-27889.338814999999</v>
      </c>
      <c r="X404" s="2">
        <f t="shared" si="113"/>
        <v>-27889.338814999999</v>
      </c>
      <c r="Y404" s="2">
        <f t="shared" si="118"/>
        <v>0</v>
      </c>
      <c r="Z404" s="2">
        <f t="shared" si="119"/>
        <v>0</v>
      </c>
      <c r="AA404" s="2">
        <f t="shared" si="120"/>
        <v>-27811.19931</v>
      </c>
      <c r="AB404" s="2">
        <f t="shared" si="114"/>
        <v>-27811.19931</v>
      </c>
      <c r="AC404" s="759">
        <v>-29686.547429999999</v>
      </c>
      <c r="AD404" s="741">
        <v>-27811.19931</v>
      </c>
      <c r="AE404" s="741">
        <v>-27811.19931</v>
      </c>
      <c r="AF404" s="741">
        <v>-27811.19931</v>
      </c>
      <c r="AG404" s="741">
        <v>-27811.19931</v>
      </c>
      <c r="AH404" s="741">
        <v>-27811.19931</v>
      </c>
      <c r="AI404" s="741">
        <v>-27811.19931</v>
      </c>
      <c r="AJ404" s="741">
        <v>-27811.19931</v>
      </c>
      <c r="AK404" s="741">
        <v>-27811.19931</v>
      </c>
      <c r="AL404" s="741">
        <v>-27811.19931</v>
      </c>
      <c r="AM404" s="741">
        <v>-27811.19931</v>
      </c>
      <c r="AN404" s="741">
        <v>-27811.19931</v>
      </c>
      <c r="AO404" s="741">
        <v>-27811.19931</v>
      </c>
      <c r="AP404" s="41" t="str">
        <f t="shared" si="110"/>
        <v>GLN</v>
      </c>
      <c r="AQ404" s="41" t="str">
        <f t="shared" si="111"/>
        <v>GLNN5FAS 133</v>
      </c>
      <c r="AR404" s="41" t="str">
        <f t="shared" si="112"/>
        <v>N5FAS 133</v>
      </c>
    </row>
    <row r="405" spans="1:44" s="41" customFormat="1" ht="12.75" customHeight="1">
      <c r="A405" s="442" t="s">
        <v>17</v>
      </c>
      <c r="B405" s="442" t="str">
        <f t="shared" si="122"/>
        <v>GL219545</v>
      </c>
      <c r="C405" s="638">
        <v>219545</v>
      </c>
      <c r="D405" s="735"/>
      <c r="E405" s="626"/>
      <c r="F405" s="441" t="s">
        <v>395</v>
      </c>
      <c r="G405" s="626"/>
      <c r="H405" s="736" t="s">
        <v>1133</v>
      </c>
      <c r="I405" s="442"/>
      <c r="J405" s="442"/>
      <c r="K405" s="442" t="str">
        <f t="shared" si="121"/>
        <v/>
      </c>
      <c r="L405" s="736" t="s">
        <v>2427</v>
      </c>
      <c r="M405" s="442" t="str">
        <f t="shared" si="123"/>
        <v>N</v>
      </c>
      <c r="N405" s="442" t="str">
        <f>IF(L405&lt;&gt;"",VLOOKUP(L405,Categories!$B$2:$D$41,2,FALSE),IF(F405&lt;&gt;"","No Cat",""))</f>
        <v>NRBASE</v>
      </c>
      <c r="O405" s="442" t="str">
        <f>IF($L405&lt;&gt;"",VLOOKUP($L405,Categories!$B$2:$D$41,3,FALSE),IF($F405&lt;&gt;"","No Cat",""))</f>
        <v>Hedges &amp; OCI</v>
      </c>
      <c r="P405" s="736" t="s">
        <v>2468</v>
      </c>
      <c r="Q405" s="442" t="str">
        <f>VLOOKUP($P405,Allocators!$B$7:$F$19,5,FALSE)</f>
        <v>Not in Rate Base</v>
      </c>
      <c r="R405" s="737">
        <f>VLOOKUP($P405,Allocators!$B$7:$F$19,2,FALSE)</f>
        <v>0</v>
      </c>
      <c r="S405" s="737">
        <f>VLOOKUP($P405,Allocators!$B$7:$F$19,3,FALSE)</f>
        <v>0</v>
      </c>
      <c r="T405" s="737">
        <f t="shared" si="109"/>
        <v>1</v>
      </c>
      <c r="U405" s="2">
        <f t="shared" si="115"/>
        <v>0</v>
      </c>
      <c r="V405" s="2">
        <f t="shared" si="116"/>
        <v>0</v>
      </c>
      <c r="W405" s="2">
        <f t="shared" si="117"/>
        <v>17.043295416666702</v>
      </c>
      <c r="X405" s="2">
        <f t="shared" si="113"/>
        <v>17.043295416666702</v>
      </c>
      <c r="Y405" s="2">
        <f t="shared" si="118"/>
        <v>0</v>
      </c>
      <c r="Z405" s="2">
        <f t="shared" si="119"/>
        <v>0</v>
      </c>
      <c r="AA405" s="2">
        <f t="shared" si="120"/>
        <v>44.615839999999999</v>
      </c>
      <c r="AB405" s="2">
        <f t="shared" si="114"/>
        <v>44.615839999999999</v>
      </c>
      <c r="AC405" s="759">
        <v>29.957689999999999</v>
      </c>
      <c r="AD405" s="741">
        <v>3.4574799999999999</v>
      </c>
      <c r="AE405" s="741">
        <v>6.2141700000000002</v>
      </c>
      <c r="AF405" s="741">
        <v>8.6834799999999994</v>
      </c>
      <c r="AG405" s="741">
        <v>9.8977700000000013</v>
      </c>
      <c r="AH405" s="741">
        <v>10.99634</v>
      </c>
      <c r="AI405" s="741">
        <v>11.823319999999999</v>
      </c>
      <c r="AJ405" s="741">
        <v>14.237959999999999</v>
      </c>
      <c r="AK405" s="741">
        <v>19.3247</v>
      </c>
      <c r="AL405" s="741">
        <v>21.812889999999999</v>
      </c>
      <c r="AM405" s="741">
        <v>26.734990000000003</v>
      </c>
      <c r="AN405" s="741">
        <v>34.049680000000002</v>
      </c>
      <c r="AO405" s="741">
        <v>44.615839999999999</v>
      </c>
      <c r="AP405" s="41" t="str">
        <f t="shared" si="110"/>
        <v>GLN</v>
      </c>
      <c r="AQ405" s="41" t="str">
        <f t="shared" si="111"/>
        <v>GLNN5FAS 133</v>
      </c>
      <c r="AR405" s="41" t="str">
        <f t="shared" si="112"/>
        <v>N5FAS 133</v>
      </c>
    </row>
    <row r="406" spans="1:44" s="41" customFormat="1" ht="12.75" customHeight="1">
      <c r="A406" s="442" t="s">
        <v>17</v>
      </c>
      <c r="B406" s="442" t="str">
        <f t="shared" si="122"/>
        <v>GL219547</v>
      </c>
      <c r="C406" s="638">
        <v>219547</v>
      </c>
      <c r="D406" s="735"/>
      <c r="E406" s="626"/>
      <c r="F406" s="441" t="s">
        <v>396</v>
      </c>
      <c r="G406" s="626"/>
      <c r="H406" s="736" t="s">
        <v>1133</v>
      </c>
      <c r="I406" s="442"/>
      <c r="J406" s="442"/>
      <c r="K406" s="442" t="str">
        <f t="shared" si="121"/>
        <v/>
      </c>
      <c r="L406" s="736" t="s">
        <v>2427</v>
      </c>
      <c r="M406" s="442" t="str">
        <f t="shared" si="123"/>
        <v>N</v>
      </c>
      <c r="N406" s="442" t="str">
        <f>IF(L406&lt;&gt;"",VLOOKUP(L406,Categories!$B$2:$D$41,2,FALSE),IF(F406&lt;&gt;"","No Cat",""))</f>
        <v>NRBASE</v>
      </c>
      <c r="O406" s="442" t="str">
        <f>IF($L406&lt;&gt;"",VLOOKUP($L406,Categories!$B$2:$D$41,3,FALSE),IF($F406&lt;&gt;"","No Cat",""))</f>
        <v>Hedges &amp; OCI</v>
      </c>
      <c r="P406" s="736" t="s">
        <v>2468</v>
      </c>
      <c r="Q406" s="442" t="str">
        <f>VLOOKUP($P406,Allocators!$B$7:$F$19,5,FALSE)</f>
        <v>Not in Rate Base</v>
      </c>
      <c r="R406" s="737">
        <f>VLOOKUP($P406,Allocators!$B$7:$F$19,2,FALSE)</f>
        <v>0</v>
      </c>
      <c r="S406" s="737">
        <f>VLOOKUP($P406,Allocators!$B$7:$F$19,3,FALSE)</f>
        <v>0</v>
      </c>
      <c r="T406" s="737">
        <f t="shared" si="109"/>
        <v>1</v>
      </c>
      <c r="U406" s="2">
        <f t="shared" si="115"/>
        <v>0</v>
      </c>
      <c r="V406" s="2">
        <f t="shared" si="116"/>
        <v>0</v>
      </c>
      <c r="W406" s="2">
        <f t="shared" si="117"/>
        <v>1015.813565</v>
      </c>
      <c r="X406" s="2">
        <f t="shared" si="113"/>
        <v>1015.813565</v>
      </c>
      <c r="Y406" s="2">
        <f t="shared" si="118"/>
        <v>0</v>
      </c>
      <c r="Z406" s="2">
        <f t="shared" si="119"/>
        <v>0</v>
      </c>
      <c r="AA406" s="2">
        <f t="shared" si="120"/>
        <v>1875.3481200000001</v>
      </c>
      <c r="AB406" s="2">
        <f t="shared" si="114"/>
        <v>1875.3481200000001</v>
      </c>
      <c r="AC406" s="759">
        <v>1875.3481200000001</v>
      </c>
      <c r="AD406" s="741">
        <v>156.27901</v>
      </c>
      <c r="AE406" s="741">
        <v>312.55802</v>
      </c>
      <c r="AF406" s="741">
        <v>468.83703000000003</v>
      </c>
      <c r="AG406" s="741">
        <v>625.11604</v>
      </c>
      <c r="AH406" s="741">
        <v>781.39505000000008</v>
      </c>
      <c r="AI406" s="741">
        <v>937.67406000000005</v>
      </c>
      <c r="AJ406" s="741">
        <v>1093.95307</v>
      </c>
      <c r="AK406" s="741">
        <v>1250.23208</v>
      </c>
      <c r="AL406" s="741">
        <v>1406.5110900000002</v>
      </c>
      <c r="AM406" s="741">
        <v>1562.7901000000002</v>
      </c>
      <c r="AN406" s="741">
        <v>1719.0691100000001</v>
      </c>
      <c r="AO406" s="741">
        <v>1875.3481200000001</v>
      </c>
      <c r="AP406" s="41" t="str">
        <f t="shared" si="110"/>
        <v>GLN</v>
      </c>
      <c r="AQ406" s="41" t="str">
        <f t="shared" si="111"/>
        <v>GLNN5FAS 133</v>
      </c>
      <c r="AR406" s="41" t="str">
        <f t="shared" si="112"/>
        <v>N5FAS 133</v>
      </c>
    </row>
    <row r="407" spans="1:44" s="41" customFormat="1" ht="12.75" customHeight="1">
      <c r="A407" s="442" t="s">
        <v>17</v>
      </c>
      <c r="B407" s="442" t="str">
        <f t="shared" si="122"/>
        <v>GL219550</v>
      </c>
      <c r="C407" s="638">
        <v>219550</v>
      </c>
      <c r="D407" s="735"/>
      <c r="E407" s="626"/>
      <c r="F407" s="441" t="s">
        <v>397</v>
      </c>
      <c r="G407" s="626"/>
      <c r="H407" s="736" t="s">
        <v>1133</v>
      </c>
      <c r="I407" s="442"/>
      <c r="J407" s="442"/>
      <c r="K407" s="442" t="str">
        <f t="shared" si="121"/>
        <v/>
      </c>
      <c r="L407" s="736" t="s">
        <v>2427</v>
      </c>
      <c r="M407" s="442" t="str">
        <f t="shared" si="123"/>
        <v>N</v>
      </c>
      <c r="N407" s="442" t="str">
        <f>IF(L407&lt;&gt;"",VLOOKUP(L407,Categories!$B$2:$D$41,2,FALSE),IF(F407&lt;&gt;"","No Cat",""))</f>
        <v>NRBASE</v>
      </c>
      <c r="O407" s="442" t="str">
        <f>IF($L407&lt;&gt;"",VLOOKUP($L407,Categories!$B$2:$D$41,3,FALSE),IF($F407&lt;&gt;"","No Cat",""))</f>
        <v>Hedges &amp; OCI</v>
      </c>
      <c r="P407" s="736" t="s">
        <v>2468</v>
      </c>
      <c r="Q407" s="442" t="str">
        <f>VLOOKUP($P407,Allocators!$B$7:$F$19,5,FALSE)</f>
        <v>Not in Rate Base</v>
      </c>
      <c r="R407" s="737">
        <f>VLOOKUP($P407,Allocators!$B$7:$F$19,2,FALSE)</f>
        <v>0</v>
      </c>
      <c r="S407" s="737">
        <f>VLOOKUP($P407,Allocators!$B$7:$F$19,3,FALSE)</f>
        <v>0</v>
      </c>
      <c r="T407" s="737">
        <f t="shared" si="109"/>
        <v>1</v>
      </c>
      <c r="U407" s="2">
        <f t="shared" si="115"/>
        <v>0</v>
      </c>
      <c r="V407" s="2">
        <f t="shared" si="116"/>
        <v>0</v>
      </c>
      <c r="W407" s="2">
        <f t="shared" si="117"/>
        <v>-119.028059583333</v>
      </c>
      <c r="X407" s="2">
        <f t="shared" si="113"/>
        <v>-119.028059583333</v>
      </c>
      <c r="Y407" s="2">
        <f t="shared" si="118"/>
        <v>0</v>
      </c>
      <c r="Z407" s="2">
        <f t="shared" si="119"/>
        <v>0</v>
      </c>
      <c r="AA407" s="2">
        <f t="shared" si="120"/>
        <v>-297.40996999999999</v>
      </c>
      <c r="AB407" s="2">
        <f t="shared" si="114"/>
        <v>-297.40996999999999</v>
      </c>
      <c r="AC407" s="759">
        <v>-126.08868</v>
      </c>
      <c r="AD407" s="741">
        <v>-123.50703999999999</v>
      </c>
      <c r="AE407" s="741">
        <v>-120.9254</v>
      </c>
      <c r="AF407" s="741">
        <v>-118.34377000000001</v>
      </c>
      <c r="AG407" s="741">
        <v>-115.76213</v>
      </c>
      <c r="AH407" s="741">
        <v>-113.18049000000001</v>
      </c>
      <c r="AI407" s="741">
        <v>-110.59885</v>
      </c>
      <c r="AJ407" s="741">
        <v>-108.01721999999999</v>
      </c>
      <c r="AK407" s="741">
        <v>-105.43558</v>
      </c>
      <c r="AL407" s="741">
        <v>-102.85394000000001</v>
      </c>
      <c r="AM407" s="741">
        <v>-100.2723</v>
      </c>
      <c r="AN407" s="741">
        <v>-97.690669999999997</v>
      </c>
      <c r="AO407" s="741">
        <v>-297.40996999999999</v>
      </c>
      <c r="AP407" s="41" t="str">
        <f t="shared" si="110"/>
        <v>GLN</v>
      </c>
      <c r="AQ407" s="41" t="str">
        <f t="shared" si="111"/>
        <v>GLNN5FAS 133</v>
      </c>
      <c r="AR407" s="41" t="str">
        <f t="shared" si="112"/>
        <v>N5FAS 133</v>
      </c>
    </row>
    <row r="408" spans="1:44" s="41" customFormat="1" ht="12.75" customHeight="1">
      <c r="A408" s="442" t="s">
        <v>17</v>
      </c>
      <c r="B408" s="442" t="str">
        <f t="shared" si="122"/>
        <v>GL219553</v>
      </c>
      <c r="C408" s="638">
        <v>219553</v>
      </c>
      <c r="D408" s="735"/>
      <c r="E408" s="626"/>
      <c r="F408" s="441" t="s">
        <v>398</v>
      </c>
      <c r="G408" s="626"/>
      <c r="H408" s="736" t="s">
        <v>1133</v>
      </c>
      <c r="I408" s="442"/>
      <c r="J408" s="442"/>
      <c r="K408" s="442" t="str">
        <f t="shared" si="121"/>
        <v/>
      </c>
      <c r="L408" s="736" t="s">
        <v>2427</v>
      </c>
      <c r="M408" s="442" t="str">
        <f t="shared" si="123"/>
        <v>N</v>
      </c>
      <c r="N408" s="442" t="str">
        <f>IF(L408&lt;&gt;"",VLOOKUP(L408,Categories!$B$2:$D$41,2,FALSE),IF(F408&lt;&gt;"","No Cat",""))</f>
        <v>NRBASE</v>
      </c>
      <c r="O408" s="442" t="str">
        <f>IF($L408&lt;&gt;"",VLOOKUP($L408,Categories!$B$2:$D$41,3,FALSE),IF($F408&lt;&gt;"","No Cat",""))</f>
        <v>Hedges &amp; OCI</v>
      </c>
      <c r="P408" s="736" t="s">
        <v>2468</v>
      </c>
      <c r="Q408" s="442" t="str">
        <f>VLOOKUP($P408,Allocators!$B$7:$F$19,5,FALSE)</f>
        <v>Not in Rate Base</v>
      </c>
      <c r="R408" s="737">
        <f>VLOOKUP($P408,Allocators!$B$7:$F$19,2,FALSE)</f>
        <v>0</v>
      </c>
      <c r="S408" s="737">
        <f>VLOOKUP($P408,Allocators!$B$7:$F$19,3,FALSE)</f>
        <v>0</v>
      </c>
      <c r="T408" s="737">
        <f t="shared" si="109"/>
        <v>1</v>
      </c>
      <c r="U408" s="2">
        <f t="shared" si="115"/>
        <v>0</v>
      </c>
      <c r="V408" s="2">
        <f t="shared" si="116"/>
        <v>0</v>
      </c>
      <c r="W408" s="2">
        <f t="shared" si="117"/>
        <v>-6089.9371316666702</v>
      </c>
      <c r="X408" s="2">
        <f t="shared" si="113"/>
        <v>-6089.9371316666702</v>
      </c>
      <c r="Y408" s="2">
        <f t="shared" si="118"/>
        <v>0</v>
      </c>
      <c r="Z408" s="2">
        <f t="shared" si="119"/>
        <v>0</v>
      </c>
      <c r="AA408" s="2">
        <f t="shared" si="120"/>
        <v>-6072.87453</v>
      </c>
      <c r="AB408" s="2">
        <f t="shared" si="114"/>
        <v>-6072.87453</v>
      </c>
      <c r="AC408" s="759">
        <v>-6482.3769699999993</v>
      </c>
      <c r="AD408" s="741">
        <v>-6072.87453</v>
      </c>
      <c r="AE408" s="741">
        <v>-6072.87453</v>
      </c>
      <c r="AF408" s="741">
        <v>-6072.87453</v>
      </c>
      <c r="AG408" s="741">
        <v>-6072.87453</v>
      </c>
      <c r="AH408" s="741">
        <v>-6072.87453</v>
      </c>
      <c r="AI408" s="741">
        <v>-6072.87453</v>
      </c>
      <c r="AJ408" s="741">
        <v>-6072.87453</v>
      </c>
      <c r="AK408" s="741">
        <v>-6072.87453</v>
      </c>
      <c r="AL408" s="741">
        <v>-6072.87453</v>
      </c>
      <c r="AM408" s="741">
        <v>-6072.87453</v>
      </c>
      <c r="AN408" s="741">
        <v>-6072.87453</v>
      </c>
      <c r="AO408" s="741">
        <v>-6072.87453</v>
      </c>
      <c r="AP408" s="41" t="str">
        <f t="shared" si="110"/>
        <v>GLN</v>
      </c>
      <c r="AQ408" s="41" t="str">
        <f t="shared" si="111"/>
        <v>GLNN5FAS 133</v>
      </c>
      <c r="AR408" s="41" t="str">
        <f t="shared" si="112"/>
        <v>N5FAS 133</v>
      </c>
    </row>
    <row r="409" spans="1:44" s="41" customFormat="1" ht="12.75" customHeight="1">
      <c r="A409" s="442" t="s">
        <v>17</v>
      </c>
      <c r="B409" s="442" t="str">
        <f t="shared" si="122"/>
        <v>GL219565</v>
      </c>
      <c r="C409" s="638">
        <v>219565</v>
      </c>
      <c r="D409" s="735"/>
      <c r="E409" s="626"/>
      <c r="F409" s="441" t="s">
        <v>399</v>
      </c>
      <c r="G409" s="626"/>
      <c r="H409" s="736" t="s">
        <v>1133</v>
      </c>
      <c r="I409" s="442"/>
      <c r="J409" s="442"/>
      <c r="K409" s="442" t="str">
        <f t="shared" si="121"/>
        <v/>
      </c>
      <c r="L409" s="736" t="s">
        <v>2427</v>
      </c>
      <c r="M409" s="442" t="str">
        <f t="shared" si="123"/>
        <v>N</v>
      </c>
      <c r="N409" s="442" t="str">
        <f>IF(L409&lt;&gt;"",VLOOKUP(L409,Categories!$B$2:$D$41,2,FALSE),IF(F409&lt;&gt;"","No Cat",""))</f>
        <v>NRBASE</v>
      </c>
      <c r="O409" s="442" t="str">
        <f>IF($L409&lt;&gt;"",VLOOKUP($L409,Categories!$B$2:$D$41,3,FALSE),IF($F409&lt;&gt;"","No Cat",""))</f>
        <v>Hedges &amp; OCI</v>
      </c>
      <c r="P409" s="736" t="s">
        <v>2468</v>
      </c>
      <c r="Q409" s="442" t="str">
        <f>VLOOKUP($P409,Allocators!$B$7:$F$19,5,FALSE)</f>
        <v>Not in Rate Base</v>
      </c>
      <c r="R409" s="737">
        <f>VLOOKUP($P409,Allocators!$B$7:$F$19,2,FALSE)</f>
        <v>0</v>
      </c>
      <c r="S409" s="737">
        <f>VLOOKUP($P409,Allocators!$B$7:$F$19,3,FALSE)</f>
        <v>0</v>
      </c>
      <c r="T409" s="737">
        <f t="shared" si="109"/>
        <v>1</v>
      </c>
      <c r="U409" s="2">
        <f t="shared" si="115"/>
        <v>0</v>
      </c>
      <c r="V409" s="2">
        <f t="shared" si="116"/>
        <v>0</v>
      </c>
      <c r="W409" s="2">
        <f t="shared" si="117"/>
        <v>-17.157102083333299</v>
      </c>
      <c r="X409" s="2">
        <f t="shared" si="113"/>
        <v>-17.157102083333299</v>
      </c>
      <c r="Y409" s="2">
        <f t="shared" si="118"/>
        <v>0</v>
      </c>
      <c r="Z409" s="2">
        <f t="shared" si="119"/>
        <v>0</v>
      </c>
      <c r="AA409" s="2">
        <f t="shared" si="120"/>
        <v>-49.680570000000003</v>
      </c>
      <c r="AB409" s="2">
        <f t="shared" si="114"/>
        <v>-49.680570000000003</v>
      </c>
      <c r="AC409" s="759">
        <v>-13.078440000000001</v>
      </c>
      <c r="AD409" s="741">
        <v>-11.511559999999999</v>
      </c>
      <c r="AE409" s="741">
        <v>-8.4016200000000012</v>
      </c>
      <c r="AF409" s="741">
        <v>-10.133760000000001</v>
      </c>
      <c r="AG409" s="741">
        <v>-10.17712</v>
      </c>
      <c r="AH409" s="741">
        <v>-10.30322</v>
      </c>
      <c r="AI409" s="741">
        <v>-7.58704</v>
      </c>
      <c r="AJ409" s="741">
        <v>-12.48231</v>
      </c>
      <c r="AK409" s="741">
        <v>-14.774799999999999</v>
      </c>
      <c r="AL409" s="741">
        <v>-21.049400000000002</v>
      </c>
      <c r="AM409" s="741">
        <v>-28.235659999999999</v>
      </c>
      <c r="AN409" s="741">
        <v>-39.849230000000006</v>
      </c>
      <c r="AO409" s="741">
        <v>-49.680570000000003</v>
      </c>
      <c r="AP409" s="41" t="str">
        <f t="shared" si="110"/>
        <v>GLN</v>
      </c>
      <c r="AQ409" s="41" t="str">
        <f t="shared" si="111"/>
        <v>GLNN5FAS 133</v>
      </c>
      <c r="AR409" s="41" t="str">
        <f t="shared" si="112"/>
        <v>N5FAS 133</v>
      </c>
    </row>
    <row r="410" spans="1:44" s="41" customFormat="1" ht="12.75" customHeight="1">
      <c r="A410" s="442" t="s">
        <v>17</v>
      </c>
      <c r="B410" s="442" t="str">
        <f t="shared" si="122"/>
        <v>GL219567</v>
      </c>
      <c r="C410" s="638">
        <v>219567</v>
      </c>
      <c r="D410" s="735"/>
      <c r="E410" s="626"/>
      <c r="F410" s="441" t="s">
        <v>400</v>
      </c>
      <c r="G410" s="626"/>
      <c r="H410" s="736" t="s">
        <v>1133</v>
      </c>
      <c r="I410" s="442"/>
      <c r="J410" s="442"/>
      <c r="K410" s="442" t="str">
        <f t="shared" si="121"/>
        <v/>
      </c>
      <c r="L410" s="736" t="s">
        <v>2427</v>
      </c>
      <c r="M410" s="442" t="str">
        <f t="shared" si="123"/>
        <v>N</v>
      </c>
      <c r="N410" s="442" t="str">
        <f>IF(L410&lt;&gt;"",VLOOKUP(L410,Categories!$B$2:$D$41,2,FALSE),IF(F410&lt;&gt;"","No Cat",""))</f>
        <v>NRBASE</v>
      </c>
      <c r="O410" s="442" t="str">
        <f>IF($L410&lt;&gt;"",VLOOKUP($L410,Categories!$B$2:$D$41,3,FALSE),IF($F410&lt;&gt;"","No Cat",""))</f>
        <v>Hedges &amp; OCI</v>
      </c>
      <c r="P410" s="736" t="s">
        <v>2468</v>
      </c>
      <c r="Q410" s="442" t="str">
        <f>VLOOKUP($P410,Allocators!$B$7:$F$19,5,FALSE)</f>
        <v>Not in Rate Base</v>
      </c>
      <c r="R410" s="737">
        <f>VLOOKUP($P410,Allocators!$B$7:$F$19,2,FALSE)</f>
        <v>0</v>
      </c>
      <c r="S410" s="737">
        <f>VLOOKUP($P410,Allocators!$B$7:$F$19,3,FALSE)</f>
        <v>0</v>
      </c>
      <c r="T410" s="737">
        <f t="shared" ref="T410:T473" si="124">IF(P410="N",1,"0.0%")</f>
        <v>1</v>
      </c>
      <c r="U410" s="2">
        <f t="shared" si="115"/>
        <v>0</v>
      </c>
      <c r="V410" s="2">
        <f t="shared" si="116"/>
        <v>0</v>
      </c>
      <c r="W410" s="2">
        <f t="shared" si="117"/>
        <v>3.0000000000000001E-5</v>
      </c>
      <c r="X410" s="2">
        <f t="shared" si="113"/>
        <v>3.0000000000000001E-5</v>
      </c>
      <c r="Y410" s="2">
        <f t="shared" si="118"/>
        <v>0</v>
      </c>
      <c r="Z410" s="2">
        <f t="shared" si="119"/>
        <v>0</v>
      </c>
      <c r="AA410" s="2">
        <f t="shared" si="120"/>
        <v>3.0000000000000001E-5</v>
      </c>
      <c r="AB410" s="2">
        <f t="shared" si="114"/>
        <v>2.9999999999999997E-5</v>
      </c>
      <c r="AC410" s="759">
        <v>2.9999999999999997E-5</v>
      </c>
      <c r="AD410" s="741">
        <v>2.9999999999999997E-5</v>
      </c>
      <c r="AE410" s="741">
        <v>2.9999999999999997E-5</v>
      </c>
      <c r="AF410" s="741">
        <v>2.9999999999999997E-5</v>
      </c>
      <c r="AG410" s="741">
        <v>2.9999999999999997E-5</v>
      </c>
      <c r="AH410" s="741">
        <v>2.9999999999999997E-5</v>
      </c>
      <c r="AI410" s="741">
        <v>2.9999999999999997E-5</v>
      </c>
      <c r="AJ410" s="741">
        <v>2.9999999999999997E-5</v>
      </c>
      <c r="AK410" s="741">
        <v>2.9999999999999997E-5</v>
      </c>
      <c r="AL410" s="741">
        <v>2.9999999999999997E-5</v>
      </c>
      <c r="AM410" s="741">
        <v>2.9999999999999997E-5</v>
      </c>
      <c r="AN410" s="741">
        <v>2.9999999999999997E-5</v>
      </c>
      <c r="AO410" s="741">
        <v>2.9999999999999997E-5</v>
      </c>
      <c r="AP410" s="41" t="str">
        <f t="shared" si="110"/>
        <v>GLN</v>
      </c>
      <c r="AQ410" s="41" t="str">
        <f t="shared" si="111"/>
        <v>GLNN5FAS 133</v>
      </c>
      <c r="AR410" s="41" t="str">
        <f t="shared" si="112"/>
        <v>N5FAS 133</v>
      </c>
    </row>
    <row r="411" spans="1:44" s="41" customFormat="1" ht="12.75" customHeight="1">
      <c r="A411" s="442" t="s">
        <v>17</v>
      </c>
      <c r="B411" s="442" t="str">
        <f t="shared" si="122"/>
        <v>GL219570</v>
      </c>
      <c r="C411" s="638">
        <v>219570</v>
      </c>
      <c r="D411" s="735"/>
      <c r="E411" s="626"/>
      <c r="F411" s="441" t="s">
        <v>401</v>
      </c>
      <c r="G411" s="626"/>
      <c r="H411" s="736" t="s">
        <v>1133</v>
      </c>
      <c r="I411" s="442"/>
      <c r="J411" s="442"/>
      <c r="K411" s="442" t="str">
        <f t="shared" si="121"/>
        <v/>
      </c>
      <c r="L411" s="736" t="s">
        <v>2427</v>
      </c>
      <c r="M411" s="442" t="str">
        <f t="shared" si="123"/>
        <v>N</v>
      </c>
      <c r="N411" s="442" t="str">
        <f>IF(L411&lt;&gt;"",VLOOKUP(L411,Categories!$B$2:$D$41,2,FALSE),IF(F411&lt;&gt;"","No Cat",""))</f>
        <v>NRBASE</v>
      </c>
      <c r="O411" s="442" t="str">
        <f>IF($L411&lt;&gt;"",VLOOKUP($L411,Categories!$B$2:$D$41,3,FALSE),IF($F411&lt;&gt;"","No Cat",""))</f>
        <v>Hedges &amp; OCI</v>
      </c>
      <c r="P411" s="736" t="s">
        <v>2468</v>
      </c>
      <c r="Q411" s="442" t="str">
        <f>VLOOKUP($P411,Allocators!$B$7:$F$19,5,FALSE)</f>
        <v>Not in Rate Base</v>
      </c>
      <c r="R411" s="737">
        <f>VLOOKUP($P411,Allocators!$B$7:$F$19,2,FALSE)</f>
        <v>0</v>
      </c>
      <c r="S411" s="737">
        <f>VLOOKUP($P411,Allocators!$B$7:$F$19,3,FALSE)</f>
        <v>0</v>
      </c>
      <c r="T411" s="737">
        <f t="shared" si="124"/>
        <v>1</v>
      </c>
      <c r="U411" s="2">
        <f t="shared" si="115"/>
        <v>0</v>
      </c>
      <c r="V411" s="2">
        <f t="shared" si="116"/>
        <v>0</v>
      </c>
      <c r="W411" s="2">
        <f t="shared" si="117"/>
        <v>3.7215808333333298</v>
      </c>
      <c r="X411" s="2">
        <f t="shared" si="113"/>
        <v>3.7215808333333298</v>
      </c>
      <c r="Y411" s="2">
        <f t="shared" si="118"/>
        <v>0</v>
      </c>
      <c r="Z411" s="2">
        <f t="shared" si="119"/>
        <v>0</v>
      </c>
      <c r="AA411" s="2">
        <f t="shared" si="120"/>
        <v>9.7423400000000004</v>
      </c>
      <c r="AB411" s="2">
        <f t="shared" si="114"/>
        <v>9.7423400000000004</v>
      </c>
      <c r="AC411" s="759">
        <v>6.5415799999999997</v>
      </c>
      <c r="AD411" s="741">
        <v>0.75497000000000003</v>
      </c>
      <c r="AE411" s="741">
        <v>1.3569200000000001</v>
      </c>
      <c r="AF411" s="741">
        <v>1.8961300000000001</v>
      </c>
      <c r="AG411" s="741">
        <v>2.1612800000000001</v>
      </c>
      <c r="AH411" s="741">
        <v>2.40116</v>
      </c>
      <c r="AI411" s="741">
        <v>2.5817399999999999</v>
      </c>
      <c r="AJ411" s="741">
        <v>3.1090100000000001</v>
      </c>
      <c r="AK411" s="741">
        <v>4.2197500000000003</v>
      </c>
      <c r="AL411" s="741">
        <v>4.7630699999999999</v>
      </c>
      <c r="AM411" s="741">
        <v>5.8378699999999997</v>
      </c>
      <c r="AN411" s="741">
        <v>7.4351099999999999</v>
      </c>
      <c r="AO411" s="741">
        <v>9.7423400000000004</v>
      </c>
      <c r="AP411" s="41" t="str">
        <f t="shared" si="110"/>
        <v>GLN</v>
      </c>
      <c r="AQ411" s="41" t="str">
        <f t="shared" si="111"/>
        <v>GLNN5FAS 133</v>
      </c>
      <c r="AR411" s="41" t="str">
        <f t="shared" si="112"/>
        <v>N5FAS 133</v>
      </c>
    </row>
    <row r="412" spans="1:44" s="41" customFormat="1" ht="12.75" customHeight="1">
      <c r="A412" s="442" t="s">
        <v>17</v>
      </c>
      <c r="B412" s="442" t="str">
        <f t="shared" si="122"/>
        <v>GL219572</v>
      </c>
      <c r="C412" s="638">
        <v>219572</v>
      </c>
      <c r="D412" s="735"/>
      <c r="E412" s="626"/>
      <c r="F412" s="441" t="s">
        <v>402</v>
      </c>
      <c r="G412" s="626"/>
      <c r="H412" s="736" t="s">
        <v>1133</v>
      </c>
      <c r="I412" s="442"/>
      <c r="J412" s="442"/>
      <c r="K412" s="442" t="str">
        <f t="shared" si="121"/>
        <v/>
      </c>
      <c r="L412" s="736" t="s">
        <v>2427</v>
      </c>
      <c r="M412" s="442" t="str">
        <f t="shared" si="123"/>
        <v>N</v>
      </c>
      <c r="N412" s="442" t="str">
        <f>IF(L412&lt;&gt;"",VLOOKUP(L412,Categories!$B$2:$D$41,2,FALSE),IF(F412&lt;&gt;"","No Cat",""))</f>
        <v>NRBASE</v>
      </c>
      <c r="O412" s="442" t="str">
        <f>IF($L412&lt;&gt;"",VLOOKUP($L412,Categories!$B$2:$D$41,3,FALSE),IF($F412&lt;&gt;"","No Cat",""))</f>
        <v>Hedges &amp; OCI</v>
      </c>
      <c r="P412" s="736" t="s">
        <v>2468</v>
      </c>
      <c r="Q412" s="442" t="str">
        <f>VLOOKUP($P412,Allocators!$B$7:$F$19,5,FALSE)</f>
        <v>Not in Rate Base</v>
      </c>
      <c r="R412" s="737">
        <f>VLOOKUP($P412,Allocators!$B$7:$F$19,2,FALSE)</f>
        <v>0</v>
      </c>
      <c r="S412" s="737">
        <f>VLOOKUP($P412,Allocators!$B$7:$F$19,3,FALSE)</f>
        <v>0</v>
      </c>
      <c r="T412" s="737">
        <f t="shared" si="124"/>
        <v>1</v>
      </c>
      <c r="U412" s="2">
        <f t="shared" si="115"/>
        <v>0</v>
      </c>
      <c r="V412" s="2">
        <f t="shared" si="116"/>
        <v>0</v>
      </c>
      <c r="W412" s="2">
        <f t="shared" si="117"/>
        <v>221.81381833333299</v>
      </c>
      <c r="X412" s="2">
        <f t="shared" si="113"/>
        <v>221.81381833333299</v>
      </c>
      <c r="Y412" s="2">
        <f t="shared" si="118"/>
        <v>0</v>
      </c>
      <c r="Z412" s="2">
        <f t="shared" si="119"/>
        <v>0</v>
      </c>
      <c r="AA412" s="2">
        <f t="shared" si="120"/>
        <v>409.50243</v>
      </c>
      <c r="AB412" s="2">
        <f t="shared" si="114"/>
        <v>409.50243</v>
      </c>
      <c r="AC412" s="759">
        <v>409.50243</v>
      </c>
      <c r="AD412" s="741">
        <v>34.1252</v>
      </c>
      <c r="AE412" s="741">
        <v>68.250410000000002</v>
      </c>
      <c r="AF412" s="741">
        <v>102.37560999999999</v>
      </c>
      <c r="AG412" s="741">
        <v>136.50081</v>
      </c>
      <c r="AH412" s="741">
        <v>170.62601000000001</v>
      </c>
      <c r="AI412" s="741">
        <v>204.75121999999999</v>
      </c>
      <c r="AJ412" s="741">
        <v>238.87642000000002</v>
      </c>
      <c r="AK412" s="741">
        <v>273.00162</v>
      </c>
      <c r="AL412" s="741">
        <v>307.12683000000004</v>
      </c>
      <c r="AM412" s="741">
        <v>341.25203000000005</v>
      </c>
      <c r="AN412" s="741">
        <v>375.37723</v>
      </c>
      <c r="AO412" s="741">
        <v>409.50243</v>
      </c>
      <c r="AP412" s="41" t="str">
        <f t="shared" si="110"/>
        <v>GLN</v>
      </c>
      <c r="AQ412" s="41" t="str">
        <f t="shared" si="111"/>
        <v>GLNN5FAS 133</v>
      </c>
      <c r="AR412" s="41" t="str">
        <f t="shared" si="112"/>
        <v>N5FAS 133</v>
      </c>
    </row>
    <row r="413" spans="1:44" s="41" customFormat="1" ht="12.75" customHeight="1">
      <c r="A413" s="442" t="s">
        <v>17</v>
      </c>
      <c r="B413" s="442" t="str">
        <f t="shared" si="122"/>
        <v>GL219575</v>
      </c>
      <c r="C413" s="638">
        <v>219575</v>
      </c>
      <c r="D413" s="735"/>
      <c r="E413" s="626"/>
      <c r="F413" s="441" t="s">
        <v>403</v>
      </c>
      <c r="G413" s="626"/>
      <c r="H413" s="736" t="s">
        <v>1133</v>
      </c>
      <c r="I413" s="442"/>
      <c r="J413" s="442"/>
      <c r="K413" s="442" t="str">
        <f t="shared" si="121"/>
        <v/>
      </c>
      <c r="L413" s="736" t="s">
        <v>2427</v>
      </c>
      <c r="M413" s="442" t="str">
        <f t="shared" si="123"/>
        <v>N</v>
      </c>
      <c r="N413" s="442" t="str">
        <f>IF(L413&lt;&gt;"",VLOOKUP(L413,Categories!$B$2:$D$41,2,FALSE),IF(F413&lt;&gt;"","No Cat",""))</f>
        <v>NRBASE</v>
      </c>
      <c r="O413" s="442" t="str">
        <f>IF($L413&lt;&gt;"",VLOOKUP($L413,Categories!$B$2:$D$41,3,FALSE),IF($F413&lt;&gt;"","No Cat",""))</f>
        <v>Hedges &amp; OCI</v>
      </c>
      <c r="P413" s="736" t="s">
        <v>2468</v>
      </c>
      <c r="Q413" s="442" t="str">
        <f>VLOOKUP($P413,Allocators!$B$7:$F$19,5,FALSE)</f>
        <v>Not in Rate Base</v>
      </c>
      <c r="R413" s="737">
        <f>VLOOKUP($P413,Allocators!$B$7:$F$19,2,FALSE)</f>
        <v>0</v>
      </c>
      <c r="S413" s="737">
        <f>VLOOKUP($P413,Allocators!$B$7:$F$19,3,FALSE)</f>
        <v>0</v>
      </c>
      <c r="T413" s="737">
        <f t="shared" si="124"/>
        <v>1</v>
      </c>
      <c r="U413" s="2">
        <f t="shared" si="115"/>
        <v>0</v>
      </c>
      <c r="V413" s="2">
        <f t="shared" si="116"/>
        <v>0</v>
      </c>
      <c r="W413" s="2">
        <f t="shared" si="117"/>
        <v>-20.489953750000002</v>
      </c>
      <c r="X413" s="2">
        <f t="shared" si="113"/>
        <v>-20.489953750000002</v>
      </c>
      <c r="Y413" s="2">
        <f t="shared" si="118"/>
        <v>0</v>
      </c>
      <c r="Z413" s="2">
        <f t="shared" si="119"/>
        <v>0</v>
      </c>
      <c r="AA413" s="2">
        <f t="shared" si="120"/>
        <v>-26.853929999999998</v>
      </c>
      <c r="AB413" s="2">
        <f t="shared" si="114"/>
        <v>-26.853930000000002</v>
      </c>
      <c r="AC413" s="759">
        <v>0.59045999999999998</v>
      </c>
      <c r="AD413" s="741">
        <v>0.59045999999999998</v>
      </c>
      <c r="AE413" s="741">
        <v>0.59045999999999998</v>
      </c>
      <c r="AF413" s="741">
        <v>-25.161450000000002</v>
      </c>
      <c r="AG413" s="741">
        <v>-25.161450000000002</v>
      </c>
      <c r="AH413" s="741">
        <v>-25.161450000000002</v>
      </c>
      <c r="AI413" s="741">
        <v>-30.960830000000001</v>
      </c>
      <c r="AJ413" s="741">
        <v>-30.960830000000001</v>
      </c>
      <c r="AK413" s="741">
        <v>-30.960830000000001</v>
      </c>
      <c r="AL413" s="741">
        <v>-21.853930000000002</v>
      </c>
      <c r="AM413" s="741">
        <v>-21.853930000000002</v>
      </c>
      <c r="AN413" s="741">
        <v>-21.853930000000002</v>
      </c>
      <c r="AO413" s="741">
        <v>-26.853930000000002</v>
      </c>
      <c r="AP413" s="41" t="str">
        <f t="shared" si="110"/>
        <v>GLN</v>
      </c>
      <c r="AQ413" s="41" t="str">
        <f t="shared" si="111"/>
        <v>GLNN5FAS 133</v>
      </c>
      <c r="AR413" s="41" t="str">
        <f t="shared" si="112"/>
        <v>N5FAS 133</v>
      </c>
    </row>
    <row r="414" spans="1:44" s="41" customFormat="1" ht="12.75" customHeight="1">
      <c r="A414" s="442" t="s">
        <v>17</v>
      </c>
      <c r="B414" s="442" t="str">
        <f t="shared" si="122"/>
        <v>GL219580</v>
      </c>
      <c r="C414" s="638">
        <v>219580</v>
      </c>
      <c r="D414" s="735"/>
      <c r="E414" s="626"/>
      <c r="F414" s="441" t="s">
        <v>404</v>
      </c>
      <c r="G414" s="626"/>
      <c r="H414" s="736" t="s">
        <v>1133</v>
      </c>
      <c r="I414" s="442"/>
      <c r="J414" s="442"/>
      <c r="K414" s="442" t="str">
        <f t="shared" si="121"/>
        <v/>
      </c>
      <c r="L414" s="736" t="s">
        <v>2427</v>
      </c>
      <c r="M414" s="442" t="str">
        <f t="shared" si="123"/>
        <v>N</v>
      </c>
      <c r="N414" s="442" t="str">
        <f>IF(L414&lt;&gt;"",VLOOKUP(L414,Categories!$B$2:$D$41,2,FALSE),IF(F414&lt;&gt;"","No Cat",""))</f>
        <v>NRBASE</v>
      </c>
      <c r="O414" s="442" t="str">
        <f>IF($L414&lt;&gt;"",VLOOKUP($L414,Categories!$B$2:$D$41,3,FALSE),IF($F414&lt;&gt;"","No Cat",""))</f>
        <v>Hedges &amp; OCI</v>
      </c>
      <c r="P414" s="736" t="s">
        <v>2468</v>
      </c>
      <c r="Q414" s="442" t="str">
        <f>VLOOKUP($P414,Allocators!$B$7:$F$19,5,FALSE)</f>
        <v>Not in Rate Base</v>
      </c>
      <c r="R414" s="737">
        <f>VLOOKUP($P414,Allocators!$B$7:$F$19,2,FALSE)</f>
        <v>0</v>
      </c>
      <c r="S414" s="737">
        <f>VLOOKUP($P414,Allocators!$B$7:$F$19,3,FALSE)</f>
        <v>0</v>
      </c>
      <c r="T414" s="737">
        <f t="shared" si="124"/>
        <v>1</v>
      </c>
      <c r="U414" s="2">
        <f t="shared" si="115"/>
        <v>0</v>
      </c>
      <c r="V414" s="2">
        <f t="shared" si="116"/>
        <v>0</v>
      </c>
      <c r="W414" s="2">
        <f t="shared" si="117"/>
        <v>6.66244208333333</v>
      </c>
      <c r="X414" s="2">
        <f t="shared" si="113"/>
        <v>6.66244208333333</v>
      </c>
      <c r="Y414" s="2">
        <f t="shared" si="118"/>
        <v>0</v>
      </c>
      <c r="Z414" s="2">
        <f t="shared" si="119"/>
        <v>0</v>
      </c>
      <c r="AA414" s="2">
        <f t="shared" si="120"/>
        <v>8.7316900000000004</v>
      </c>
      <c r="AB414" s="2">
        <f t="shared" si="114"/>
        <v>8.7316900000000004</v>
      </c>
      <c r="AC414" s="759">
        <v>-0.19186</v>
      </c>
      <c r="AD414" s="741">
        <v>-0.19186</v>
      </c>
      <c r="AE414" s="741">
        <v>-0.19186</v>
      </c>
      <c r="AF414" s="741">
        <v>8.1813800000000008</v>
      </c>
      <c r="AG414" s="741">
        <v>8.1813800000000008</v>
      </c>
      <c r="AH414" s="741">
        <v>8.1813800000000008</v>
      </c>
      <c r="AI414" s="741">
        <v>10.06705</v>
      </c>
      <c r="AJ414" s="741">
        <v>10.06705</v>
      </c>
      <c r="AK414" s="741">
        <v>10.06705</v>
      </c>
      <c r="AL414" s="741">
        <v>7.1059399999999995</v>
      </c>
      <c r="AM414" s="741">
        <v>7.1059399999999995</v>
      </c>
      <c r="AN414" s="741">
        <v>7.1059399999999995</v>
      </c>
      <c r="AO414" s="741">
        <v>8.7316900000000004</v>
      </c>
      <c r="AP414" s="41" t="str">
        <f t="shared" si="110"/>
        <v>GLN</v>
      </c>
      <c r="AQ414" s="41" t="str">
        <f t="shared" si="111"/>
        <v>GLNN5FAS 133</v>
      </c>
      <c r="AR414" s="41" t="str">
        <f t="shared" si="112"/>
        <v>N5FAS 133</v>
      </c>
    </row>
    <row r="415" spans="1:44" s="41" customFormat="1" ht="12.75" customHeight="1">
      <c r="A415" s="442" t="s">
        <v>17</v>
      </c>
      <c r="B415" s="442" t="str">
        <f t="shared" si="122"/>
        <v>GL219582</v>
      </c>
      <c r="C415" s="638">
        <v>219582</v>
      </c>
      <c r="D415" s="735"/>
      <c r="E415" s="626"/>
      <c r="F415" s="441" t="s">
        <v>405</v>
      </c>
      <c r="G415" s="626"/>
      <c r="H415" s="736" t="s">
        <v>1133</v>
      </c>
      <c r="I415" s="442"/>
      <c r="J415" s="442"/>
      <c r="K415" s="442" t="str">
        <f t="shared" si="121"/>
        <v/>
      </c>
      <c r="L415" s="736" t="s">
        <v>2427</v>
      </c>
      <c r="M415" s="442" t="str">
        <f t="shared" si="123"/>
        <v>N</v>
      </c>
      <c r="N415" s="442" t="str">
        <f>IF(L415&lt;&gt;"",VLOOKUP(L415,Categories!$B$2:$D$41,2,FALSE),IF(F415&lt;&gt;"","No Cat",""))</f>
        <v>NRBASE</v>
      </c>
      <c r="O415" s="442" t="str">
        <f>IF($L415&lt;&gt;"",VLOOKUP($L415,Categories!$B$2:$D$41,3,FALSE),IF($F415&lt;&gt;"","No Cat",""))</f>
        <v>Hedges &amp; OCI</v>
      </c>
      <c r="P415" s="736" t="s">
        <v>2468</v>
      </c>
      <c r="Q415" s="442" t="str">
        <f>VLOOKUP($P415,Allocators!$B$7:$F$19,5,FALSE)</f>
        <v>Not in Rate Base</v>
      </c>
      <c r="R415" s="737">
        <f>VLOOKUP($P415,Allocators!$B$7:$F$19,2,FALSE)</f>
        <v>0</v>
      </c>
      <c r="S415" s="737">
        <f>VLOOKUP($P415,Allocators!$B$7:$F$19,3,FALSE)</f>
        <v>0</v>
      </c>
      <c r="T415" s="737">
        <f t="shared" si="124"/>
        <v>1</v>
      </c>
      <c r="U415" s="2">
        <f t="shared" si="115"/>
        <v>0</v>
      </c>
      <c r="V415" s="2">
        <f t="shared" si="116"/>
        <v>0</v>
      </c>
      <c r="W415" s="2">
        <f t="shared" si="117"/>
        <v>1.4548270833333301</v>
      </c>
      <c r="X415" s="2">
        <f t="shared" si="113"/>
        <v>1.4548270833333301</v>
      </c>
      <c r="Y415" s="2">
        <f t="shared" si="118"/>
        <v>0</v>
      </c>
      <c r="Z415" s="2">
        <f t="shared" si="119"/>
        <v>0</v>
      </c>
      <c r="AA415" s="2">
        <f t="shared" si="120"/>
        <v>1.9066700000000001</v>
      </c>
      <c r="AB415" s="2">
        <f t="shared" si="114"/>
        <v>1.9066700000000001</v>
      </c>
      <c r="AC415" s="759">
        <v>-4.1880000000000001E-2</v>
      </c>
      <c r="AD415" s="741">
        <v>-4.1880000000000001E-2</v>
      </c>
      <c r="AE415" s="741">
        <v>-4.1880000000000001E-2</v>
      </c>
      <c r="AF415" s="741">
        <v>1.7865</v>
      </c>
      <c r="AG415" s="741">
        <v>1.7865</v>
      </c>
      <c r="AH415" s="741">
        <v>1.7865</v>
      </c>
      <c r="AI415" s="741">
        <v>2.1982600000000003</v>
      </c>
      <c r="AJ415" s="741">
        <v>2.1982600000000003</v>
      </c>
      <c r="AK415" s="741">
        <v>2.1982600000000003</v>
      </c>
      <c r="AL415" s="741">
        <v>1.5516700000000001</v>
      </c>
      <c r="AM415" s="741">
        <v>1.5516700000000001</v>
      </c>
      <c r="AN415" s="741">
        <v>1.5516700000000001</v>
      </c>
      <c r="AO415" s="741">
        <v>1.9066700000000001</v>
      </c>
      <c r="AP415" s="41" t="str">
        <f t="shared" si="110"/>
        <v>GLN</v>
      </c>
      <c r="AQ415" s="41" t="str">
        <f t="shared" si="111"/>
        <v>GLNN5FAS 133</v>
      </c>
      <c r="AR415" s="41" t="str">
        <f t="shared" si="112"/>
        <v>N5FAS 133</v>
      </c>
    </row>
    <row r="416" spans="1:44" s="41" customFormat="1" ht="12.75" customHeight="1">
      <c r="A416" s="25" t="s">
        <v>17</v>
      </c>
      <c r="B416" s="25" t="str">
        <f t="shared" si="122"/>
        <v>GL221340</v>
      </c>
      <c r="C416" s="638">
        <v>221340</v>
      </c>
      <c r="D416" s="735"/>
      <c r="F416" s="1" t="s">
        <v>406</v>
      </c>
      <c r="H416" s="736">
        <v>0</v>
      </c>
      <c r="I416" s="25"/>
      <c r="J416" s="25"/>
      <c r="K416" s="442" t="str">
        <f t="shared" si="121"/>
        <v/>
      </c>
      <c r="L416" s="736" t="s">
        <v>2394</v>
      </c>
      <c r="M416" s="25" t="str">
        <f t="shared" si="123"/>
        <v>C</v>
      </c>
      <c r="N416" s="25" t="str">
        <f>IF(L416&lt;&gt;"",VLOOKUP(L416,Categories!$B$2:$D$41,2,FALSE),IF(F416&lt;&gt;"","No Cat",""))</f>
        <v>Capitalization</v>
      </c>
      <c r="O416" s="25" t="str">
        <f>IF($L416&lt;&gt;"",VLOOKUP($L416,Categories!$B$2:$D$41,3,FALSE),IF($F416&lt;&gt;"","No Cat",""))</f>
        <v>Long Term Debt</v>
      </c>
      <c r="P416" s="736" t="s">
        <v>2468</v>
      </c>
      <c r="Q416" s="25" t="str">
        <f>VLOOKUP($P416,Allocators!$B$7:$F$19,5,FALSE)</f>
        <v>Not in Rate Base</v>
      </c>
      <c r="R416" s="737">
        <f>VLOOKUP($P416,Allocators!$B$7:$F$19,2,FALSE)</f>
        <v>0</v>
      </c>
      <c r="S416" s="737">
        <f>VLOOKUP($P416,Allocators!$B$7:$F$19,3,FALSE)</f>
        <v>0</v>
      </c>
      <c r="T416" s="737">
        <f t="shared" si="124"/>
        <v>1</v>
      </c>
      <c r="U416" s="2" t="str">
        <f t="shared" si="115"/>
        <v/>
      </c>
      <c r="V416" s="2" t="str">
        <f t="shared" si="116"/>
        <v/>
      </c>
      <c r="W416" s="2" t="str">
        <f t="shared" si="117"/>
        <v/>
      </c>
      <c r="X416" s="2">
        <f t="shared" si="113"/>
        <v>0</v>
      </c>
      <c r="Y416" s="2" t="str">
        <f t="shared" si="118"/>
        <v/>
      </c>
      <c r="Z416" s="2" t="str">
        <f t="shared" si="119"/>
        <v/>
      </c>
      <c r="AA416" s="2" t="str">
        <f t="shared" si="120"/>
        <v/>
      </c>
      <c r="AB416" s="2">
        <f t="shared" si="114"/>
        <v>0</v>
      </c>
      <c r="AC416" s="759">
        <v>0</v>
      </c>
      <c r="AD416" s="741">
        <v>0</v>
      </c>
      <c r="AE416" s="741">
        <v>0</v>
      </c>
      <c r="AF416" s="741">
        <v>0</v>
      </c>
      <c r="AG416" s="741">
        <v>0</v>
      </c>
      <c r="AH416" s="741">
        <v>0</v>
      </c>
      <c r="AI416" s="741">
        <v>0</v>
      </c>
      <c r="AJ416" s="741">
        <v>0</v>
      </c>
      <c r="AK416" s="741">
        <v>0</v>
      </c>
      <c r="AL416" s="741">
        <v>0</v>
      </c>
      <c r="AM416" s="741">
        <v>0</v>
      </c>
      <c r="AN416" s="741">
        <v>0</v>
      </c>
      <c r="AO416" s="741">
        <v>0</v>
      </c>
      <c r="AP416" s="41" t="str">
        <f t="shared" si="110"/>
        <v>GLC</v>
      </c>
      <c r="AQ416" s="41" t="str">
        <f t="shared" si="111"/>
        <v>GLCC10</v>
      </c>
      <c r="AR416" s="41" t="str">
        <f t="shared" si="112"/>
        <v>C10</v>
      </c>
    </row>
    <row r="417" spans="1:44" s="41" customFormat="1" ht="12.75" customHeight="1">
      <c r="A417" s="25" t="s">
        <v>17</v>
      </c>
      <c r="B417" s="25" t="str">
        <f t="shared" si="122"/>
        <v>GL221350</v>
      </c>
      <c r="C417" s="638">
        <v>221350</v>
      </c>
      <c r="D417" s="735"/>
      <c r="F417" s="1" t="s">
        <v>407</v>
      </c>
      <c r="H417" s="736">
        <v>0</v>
      </c>
      <c r="I417" s="25"/>
      <c r="J417" s="25"/>
      <c r="K417" s="442" t="str">
        <f t="shared" si="121"/>
        <v/>
      </c>
      <c r="L417" s="736" t="s">
        <v>2394</v>
      </c>
      <c r="M417" s="25" t="str">
        <f t="shared" si="123"/>
        <v>C</v>
      </c>
      <c r="N417" s="25" t="str">
        <f>IF(L417&lt;&gt;"",VLOOKUP(L417,Categories!$B$2:$D$41,2,FALSE),IF(F417&lt;&gt;"","No Cat",""))</f>
        <v>Capitalization</v>
      </c>
      <c r="O417" s="25" t="str">
        <f>IF($L417&lt;&gt;"",VLOOKUP($L417,Categories!$B$2:$D$41,3,FALSE),IF($F417&lt;&gt;"","No Cat",""))</f>
        <v>Long Term Debt</v>
      </c>
      <c r="P417" s="736" t="s">
        <v>2468</v>
      </c>
      <c r="Q417" s="25" t="str">
        <f>VLOOKUP($P417,Allocators!$B$7:$F$19,5,FALSE)</f>
        <v>Not in Rate Base</v>
      </c>
      <c r="R417" s="737">
        <f>VLOOKUP($P417,Allocators!$B$7:$F$19,2,FALSE)</f>
        <v>0</v>
      </c>
      <c r="S417" s="737">
        <f>VLOOKUP($P417,Allocators!$B$7:$F$19,3,FALSE)</f>
        <v>0</v>
      </c>
      <c r="T417" s="737">
        <f t="shared" si="124"/>
        <v>1</v>
      </c>
      <c r="U417" s="2" t="str">
        <f t="shared" si="115"/>
        <v/>
      </c>
      <c r="V417" s="2" t="str">
        <f t="shared" si="116"/>
        <v/>
      </c>
      <c r="W417" s="2" t="str">
        <f t="shared" si="117"/>
        <v/>
      </c>
      <c r="X417" s="2">
        <f t="shared" si="113"/>
        <v>0</v>
      </c>
      <c r="Y417" s="2" t="str">
        <f t="shared" si="118"/>
        <v/>
      </c>
      <c r="Z417" s="2" t="str">
        <f t="shared" si="119"/>
        <v/>
      </c>
      <c r="AA417" s="2" t="str">
        <f t="shared" si="120"/>
        <v/>
      </c>
      <c r="AB417" s="2">
        <f t="shared" si="114"/>
        <v>0</v>
      </c>
      <c r="AC417" s="759">
        <v>0</v>
      </c>
      <c r="AD417" s="741">
        <v>0</v>
      </c>
      <c r="AE417" s="741">
        <v>0</v>
      </c>
      <c r="AF417" s="741">
        <v>0</v>
      </c>
      <c r="AG417" s="741">
        <v>0</v>
      </c>
      <c r="AH417" s="741">
        <v>0</v>
      </c>
      <c r="AI417" s="741">
        <v>0</v>
      </c>
      <c r="AJ417" s="741">
        <v>0</v>
      </c>
      <c r="AK417" s="741">
        <v>0</v>
      </c>
      <c r="AL417" s="741">
        <v>0</v>
      </c>
      <c r="AM417" s="741">
        <v>0</v>
      </c>
      <c r="AN417" s="741">
        <v>0</v>
      </c>
      <c r="AO417" s="741">
        <v>0</v>
      </c>
      <c r="AP417" s="41" t="str">
        <f t="shared" si="110"/>
        <v>GLC</v>
      </c>
      <c r="AQ417" s="41" t="str">
        <f t="shared" si="111"/>
        <v>GLCC10</v>
      </c>
      <c r="AR417" s="41" t="str">
        <f t="shared" si="112"/>
        <v>C10</v>
      </c>
    </row>
    <row r="418" spans="1:44" s="41" customFormat="1" ht="12.75" customHeight="1">
      <c r="A418" s="25" t="s">
        <v>17</v>
      </c>
      <c r="B418" s="25" t="str">
        <f t="shared" si="122"/>
        <v>GL221360</v>
      </c>
      <c r="C418" s="638">
        <v>221360</v>
      </c>
      <c r="D418" s="735"/>
      <c r="F418" s="1" t="s">
        <v>408</v>
      </c>
      <c r="H418" s="736">
        <v>0</v>
      </c>
      <c r="I418" s="25"/>
      <c r="J418" s="25"/>
      <c r="K418" s="442" t="str">
        <f t="shared" si="121"/>
        <v/>
      </c>
      <c r="L418" s="736" t="s">
        <v>2394</v>
      </c>
      <c r="M418" s="25" t="str">
        <f t="shared" si="123"/>
        <v>C</v>
      </c>
      <c r="N418" s="25" t="str">
        <f>IF(L418&lt;&gt;"",VLOOKUP(L418,Categories!$B$2:$D$41,2,FALSE),IF(F418&lt;&gt;"","No Cat",""))</f>
        <v>Capitalization</v>
      </c>
      <c r="O418" s="25" t="str">
        <f>IF($L418&lt;&gt;"",VLOOKUP($L418,Categories!$B$2:$D$41,3,FALSE),IF($F418&lt;&gt;"","No Cat",""))</f>
        <v>Long Term Debt</v>
      </c>
      <c r="P418" s="736" t="s">
        <v>2468</v>
      </c>
      <c r="Q418" s="25" t="str">
        <f>VLOOKUP($P418,Allocators!$B$7:$F$19,5,FALSE)</f>
        <v>Not in Rate Base</v>
      </c>
      <c r="R418" s="737">
        <f>VLOOKUP($P418,Allocators!$B$7:$F$19,2,FALSE)</f>
        <v>0</v>
      </c>
      <c r="S418" s="737">
        <f>VLOOKUP($P418,Allocators!$B$7:$F$19,3,FALSE)</f>
        <v>0</v>
      </c>
      <c r="T418" s="737">
        <f t="shared" si="124"/>
        <v>1</v>
      </c>
      <c r="U418" s="2" t="str">
        <f t="shared" si="115"/>
        <v/>
      </c>
      <c r="V418" s="2" t="str">
        <f t="shared" si="116"/>
        <v/>
      </c>
      <c r="W418" s="2" t="str">
        <f t="shared" si="117"/>
        <v/>
      </c>
      <c r="X418" s="2">
        <f t="shared" si="113"/>
        <v>0</v>
      </c>
      <c r="Y418" s="2" t="str">
        <f t="shared" si="118"/>
        <v/>
      </c>
      <c r="Z418" s="2" t="str">
        <f t="shared" si="119"/>
        <v/>
      </c>
      <c r="AA418" s="2" t="str">
        <f t="shared" si="120"/>
        <v/>
      </c>
      <c r="AB418" s="2">
        <f t="shared" si="114"/>
        <v>0</v>
      </c>
      <c r="AC418" s="759">
        <v>0</v>
      </c>
      <c r="AD418" s="741">
        <v>0</v>
      </c>
      <c r="AE418" s="741">
        <v>0</v>
      </c>
      <c r="AF418" s="741">
        <v>0</v>
      </c>
      <c r="AG418" s="741">
        <v>0</v>
      </c>
      <c r="AH418" s="741">
        <v>0</v>
      </c>
      <c r="AI418" s="741">
        <v>0</v>
      </c>
      <c r="AJ418" s="741">
        <v>0</v>
      </c>
      <c r="AK418" s="741">
        <v>0</v>
      </c>
      <c r="AL418" s="741">
        <v>0</v>
      </c>
      <c r="AM418" s="741">
        <v>0</v>
      </c>
      <c r="AN418" s="741">
        <v>0</v>
      </c>
      <c r="AO418" s="741">
        <v>0</v>
      </c>
      <c r="AP418" s="41" t="str">
        <f t="shared" si="110"/>
        <v>GLC</v>
      </c>
      <c r="AQ418" s="41" t="str">
        <f t="shared" si="111"/>
        <v>GLCC10</v>
      </c>
      <c r="AR418" s="41" t="str">
        <f t="shared" si="112"/>
        <v>C10</v>
      </c>
    </row>
    <row r="419" spans="1:44" s="41" customFormat="1" ht="12.75" customHeight="1">
      <c r="A419" s="25" t="s">
        <v>17</v>
      </c>
      <c r="B419" s="25" t="str">
        <f t="shared" si="122"/>
        <v>GL221370</v>
      </c>
      <c r="C419" s="638">
        <v>221370</v>
      </c>
      <c r="D419" s="735"/>
      <c r="F419" s="1" t="s">
        <v>409</v>
      </c>
      <c r="H419" s="736">
        <v>0</v>
      </c>
      <c r="I419" s="25"/>
      <c r="J419" s="25"/>
      <c r="K419" s="442" t="str">
        <f t="shared" si="121"/>
        <v/>
      </c>
      <c r="L419" s="736" t="s">
        <v>2394</v>
      </c>
      <c r="M419" s="25" t="str">
        <f t="shared" si="123"/>
        <v>C</v>
      </c>
      <c r="N419" s="25" t="str">
        <f>IF(L419&lt;&gt;"",VLOOKUP(L419,Categories!$B$2:$D$41,2,FALSE),IF(F419&lt;&gt;"","No Cat",""))</f>
        <v>Capitalization</v>
      </c>
      <c r="O419" s="25" t="str">
        <f>IF($L419&lt;&gt;"",VLOOKUP($L419,Categories!$B$2:$D$41,3,FALSE),IF($F419&lt;&gt;"","No Cat",""))</f>
        <v>Long Term Debt</v>
      </c>
      <c r="P419" s="736" t="s">
        <v>2468</v>
      </c>
      <c r="Q419" s="25" t="str">
        <f>VLOOKUP($P419,Allocators!$B$7:$F$19,5,FALSE)</f>
        <v>Not in Rate Base</v>
      </c>
      <c r="R419" s="737">
        <f>VLOOKUP($P419,Allocators!$B$7:$F$19,2,FALSE)</f>
        <v>0</v>
      </c>
      <c r="S419" s="737">
        <f>VLOOKUP($P419,Allocators!$B$7:$F$19,3,FALSE)</f>
        <v>0</v>
      </c>
      <c r="T419" s="737">
        <f t="shared" si="124"/>
        <v>1</v>
      </c>
      <c r="U419" s="2" t="str">
        <f t="shared" si="115"/>
        <v/>
      </c>
      <c r="V419" s="2" t="str">
        <f t="shared" si="116"/>
        <v/>
      </c>
      <c r="W419" s="2" t="str">
        <f t="shared" si="117"/>
        <v/>
      </c>
      <c r="X419" s="2">
        <f t="shared" si="113"/>
        <v>0</v>
      </c>
      <c r="Y419" s="2" t="str">
        <f t="shared" si="118"/>
        <v/>
      </c>
      <c r="Z419" s="2" t="str">
        <f t="shared" si="119"/>
        <v/>
      </c>
      <c r="AA419" s="2" t="str">
        <f t="shared" si="120"/>
        <v/>
      </c>
      <c r="AB419" s="2">
        <f t="shared" si="114"/>
        <v>0</v>
      </c>
      <c r="AC419" s="759">
        <v>0</v>
      </c>
      <c r="AD419" s="741">
        <v>0</v>
      </c>
      <c r="AE419" s="741">
        <v>0</v>
      </c>
      <c r="AF419" s="741">
        <v>0</v>
      </c>
      <c r="AG419" s="741">
        <v>0</v>
      </c>
      <c r="AH419" s="741">
        <v>0</v>
      </c>
      <c r="AI419" s="741">
        <v>0</v>
      </c>
      <c r="AJ419" s="741">
        <v>0</v>
      </c>
      <c r="AK419" s="741">
        <v>0</v>
      </c>
      <c r="AL419" s="741">
        <v>0</v>
      </c>
      <c r="AM419" s="741">
        <v>0</v>
      </c>
      <c r="AN419" s="741">
        <v>0</v>
      </c>
      <c r="AO419" s="741">
        <v>0</v>
      </c>
      <c r="AP419" s="41" t="str">
        <f t="shared" si="110"/>
        <v>GLC</v>
      </c>
      <c r="AQ419" s="41" t="str">
        <f t="shared" si="111"/>
        <v>GLCC10</v>
      </c>
      <c r="AR419" s="41" t="str">
        <f t="shared" si="112"/>
        <v>C10</v>
      </c>
    </row>
    <row r="420" spans="1:44" s="41" customFormat="1" ht="12.75" customHeight="1">
      <c r="A420" s="25" t="s">
        <v>17</v>
      </c>
      <c r="B420" s="25" t="str">
        <f t="shared" si="122"/>
        <v>GL221990</v>
      </c>
      <c r="C420" s="638">
        <v>221990</v>
      </c>
      <c r="D420" s="735"/>
      <c r="F420" s="1" t="s">
        <v>410</v>
      </c>
      <c r="H420" s="736">
        <v>0</v>
      </c>
      <c r="I420" s="25"/>
      <c r="J420" s="25"/>
      <c r="K420" s="442" t="str">
        <f t="shared" si="121"/>
        <v/>
      </c>
      <c r="L420" s="736" t="s">
        <v>2394</v>
      </c>
      <c r="M420" s="25" t="str">
        <f t="shared" si="123"/>
        <v>C</v>
      </c>
      <c r="N420" s="25" t="str">
        <f>IF(L420&lt;&gt;"",VLOOKUP(L420,Categories!$B$2:$D$41,2,FALSE),IF(F420&lt;&gt;"","No Cat",""))</f>
        <v>Capitalization</v>
      </c>
      <c r="O420" s="25" t="str">
        <f>IF($L420&lt;&gt;"",VLOOKUP($L420,Categories!$B$2:$D$41,3,FALSE),IF($F420&lt;&gt;"","No Cat",""))</f>
        <v>Long Term Debt</v>
      </c>
      <c r="P420" s="736" t="s">
        <v>2468</v>
      </c>
      <c r="Q420" s="25" t="str">
        <f>VLOOKUP($P420,Allocators!$B$7:$F$19,5,FALSE)</f>
        <v>Not in Rate Base</v>
      </c>
      <c r="R420" s="737">
        <f>VLOOKUP($P420,Allocators!$B$7:$F$19,2,FALSE)</f>
        <v>0</v>
      </c>
      <c r="S420" s="737">
        <f>VLOOKUP($P420,Allocators!$B$7:$F$19,3,FALSE)</f>
        <v>0</v>
      </c>
      <c r="T420" s="737">
        <f t="shared" si="124"/>
        <v>1</v>
      </c>
      <c r="U420" s="2" t="str">
        <f t="shared" si="115"/>
        <v/>
      </c>
      <c r="V420" s="2" t="str">
        <f t="shared" si="116"/>
        <v/>
      </c>
      <c r="W420" s="2" t="str">
        <f t="shared" si="117"/>
        <v/>
      </c>
      <c r="X420" s="2">
        <f t="shared" si="113"/>
        <v>0</v>
      </c>
      <c r="Y420" s="2" t="str">
        <f t="shared" si="118"/>
        <v/>
      </c>
      <c r="Z420" s="2" t="str">
        <f t="shared" si="119"/>
        <v/>
      </c>
      <c r="AA420" s="2" t="str">
        <f t="shared" si="120"/>
        <v/>
      </c>
      <c r="AB420" s="2">
        <f t="shared" si="114"/>
        <v>0</v>
      </c>
      <c r="AC420" s="759">
        <v>0</v>
      </c>
      <c r="AD420" s="741">
        <v>0</v>
      </c>
      <c r="AE420" s="741">
        <v>0</v>
      </c>
      <c r="AF420" s="741">
        <v>0</v>
      </c>
      <c r="AG420" s="741">
        <v>0</v>
      </c>
      <c r="AH420" s="741">
        <v>0</v>
      </c>
      <c r="AI420" s="741">
        <v>0</v>
      </c>
      <c r="AJ420" s="741">
        <v>0</v>
      </c>
      <c r="AK420" s="741">
        <v>0</v>
      </c>
      <c r="AL420" s="741">
        <v>0</v>
      </c>
      <c r="AM420" s="741">
        <v>0</v>
      </c>
      <c r="AN420" s="741">
        <v>0</v>
      </c>
      <c r="AO420" s="741">
        <v>0</v>
      </c>
      <c r="AP420" s="41" t="str">
        <f t="shared" si="110"/>
        <v>GLC</v>
      </c>
      <c r="AQ420" s="41" t="str">
        <f t="shared" si="111"/>
        <v>GLCC10</v>
      </c>
      <c r="AR420" s="41" t="str">
        <f t="shared" si="112"/>
        <v>C10</v>
      </c>
    </row>
    <row r="421" spans="1:44" s="41" customFormat="1" ht="12.75" customHeight="1">
      <c r="A421" s="25" t="s">
        <v>17</v>
      </c>
      <c r="B421" s="25" t="str">
        <f t="shared" si="122"/>
        <v>GL221991</v>
      </c>
      <c r="C421" s="638">
        <v>221991</v>
      </c>
      <c r="D421" s="735"/>
      <c r="F421" s="1" t="s">
        <v>411</v>
      </c>
      <c r="H421" s="736">
        <v>0</v>
      </c>
      <c r="I421" s="25"/>
      <c r="J421" s="25"/>
      <c r="K421" s="442" t="str">
        <f t="shared" si="121"/>
        <v/>
      </c>
      <c r="L421" s="736" t="s">
        <v>2394</v>
      </c>
      <c r="M421" s="25" t="str">
        <f t="shared" si="123"/>
        <v>C</v>
      </c>
      <c r="N421" s="25" t="str">
        <f>IF(L421&lt;&gt;"",VLOOKUP(L421,Categories!$B$2:$D$41,2,FALSE),IF(F421&lt;&gt;"","No Cat",""))</f>
        <v>Capitalization</v>
      </c>
      <c r="O421" s="25" t="str">
        <f>IF($L421&lt;&gt;"",VLOOKUP($L421,Categories!$B$2:$D$41,3,FALSE),IF($F421&lt;&gt;"","No Cat",""))</f>
        <v>Long Term Debt</v>
      </c>
      <c r="P421" s="736" t="s">
        <v>2468</v>
      </c>
      <c r="Q421" s="25" t="str">
        <f>VLOOKUP($P421,Allocators!$B$7:$F$19,5,FALSE)</f>
        <v>Not in Rate Base</v>
      </c>
      <c r="R421" s="737">
        <f>VLOOKUP($P421,Allocators!$B$7:$F$19,2,FALSE)</f>
        <v>0</v>
      </c>
      <c r="S421" s="737">
        <f>VLOOKUP($P421,Allocators!$B$7:$F$19,3,FALSE)</f>
        <v>0</v>
      </c>
      <c r="T421" s="737">
        <f t="shared" si="124"/>
        <v>1</v>
      </c>
      <c r="U421" s="2" t="str">
        <f t="shared" si="115"/>
        <v/>
      </c>
      <c r="V421" s="2" t="str">
        <f t="shared" si="116"/>
        <v/>
      </c>
      <c r="W421" s="2" t="str">
        <f t="shared" si="117"/>
        <v/>
      </c>
      <c r="X421" s="2">
        <f t="shared" si="113"/>
        <v>0</v>
      </c>
      <c r="Y421" s="2" t="str">
        <f t="shared" si="118"/>
        <v/>
      </c>
      <c r="Z421" s="2" t="str">
        <f t="shared" si="119"/>
        <v/>
      </c>
      <c r="AA421" s="2" t="str">
        <f t="shared" si="120"/>
        <v/>
      </c>
      <c r="AB421" s="2">
        <f t="shared" si="114"/>
        <v>0</v>
      </c>
      <c r="AC421" s="759">
        <v>0</v>
      </c>
      <c r="AD421" s="741">
        <v>0</v>
      </c>
      <c r="AE421" s="741">
        <v>0</v>
      </c>
      <c r="AF421" s="741">
        <v>0</v>
      </c>
      <c r="AG421" s="741">
        <v>0</v>
      </c>
      <c r="AH421" s="741">
        <v>0</v>
      </c>
      <c r="AI421" s="741">
        <v>0</v>
      </c>
      <c r="AJ421" s="741">
        <v>0</v>
      </c>
      <c r="AK421" s="741">
        <v>0</v>
      </c>
      <c r="AL421" s="741">
        <v>0</v>
      </c>
      <c r="AM421" s="741">
        <v>0</v>
      </c>
      <c r="AN421" s="741">
        <v>0</v>
      </c>
      <c r="AO421" s="741">
        <v>0</v>
      </c>
      <c r="AP421" s="41" t="str">
        <f t="shared" si="110"/>
        <v>GLC</v>
      </c>
      <c r="AQ421" s="41" t="str">
        <f t="shared" si="111"/>
        <v>GLCC10</v>
      </c>
      <c r="AR421" s="41" t="str">
        <f t="shared" si="112"/>
        <v>C10</v>
      </c>
    </row>
    <row r="422" spans="1:44" s="41" customFormat="1" ht="12.75" customHeight="1">
      <c r="A422" s="25" t="s">
        <v>17</v>
      </c>
      <c r="B422" s="25" t="str">
        <f t="shared" si="122"/>
        <v>GL224000</v>
      </c>
      <c r="C422" s="638">
        <v>224000</v>
      </c>
      <c r="D422" s="735"/>
      <c r="F422" s="1" t="s">
        <v>412</v>
      </c>
      <c r="H422" s="736">
        <v>0</v>
      </c>
      <c r="I422" s="25"/>
      <c r="J422" s="25"/>
      <c r="K422" s="442" t="str">
        <f t="shared" si="121"/>
        <v/>
      </c>
      <c r="L422" s="736" t="s">
        <v>2394</v>
      </c>
      <c r="M422" s="25" t="str">
        <f t="shared" si="123"/>
        <v>C</v>
      </c>
      <c r="N422" s="25" t="str">
        <f>IF(L422&lt;&gt;"",VLOOKUP(L422,Categories!$B$2:$D$41,2,FALSE),IF(F422&lt;&gt;"","No Cat",""))</f>
        <v>Capitalization</v>
      </c>
      <c r="O422" s="25" t="str">
        <f>IF($L422&lt;&gt;"",VLOOKUP($L422,Categories!$B$2:$D$41,3,FALSE),IF($F422&lt;&gt;"","No Cat",""))</f>
        <v>Long Term Debt</v>
      </c>
      <c r="P422" s="736" t="s">
        <v>2468</v>
      </c>
      <c r="Q422" s="25" t="str">
        <f>VLOOKUP($P422,Allocators!$B$7:$F$19,5,FALSE)</f>
        <v>Not in Rate Base</v>
      </c>
      <c r="R422" s="737">
        <f>VLOOKUP($P422,Allocators!$B$7:$F$19,2,FALSE)</f>
        <v>0</v>
      </c>
      <c r="S422" s="737">
        <f>VLOOKUP($P422,Allocators!$B$7:$F$19,3,FALSE)</f>
        <v>0</v>
      </c>
      <c r="T422" s="737">
        <f t="shared" si="124"/>
        <v>1</v>
      </c>
      <c r="U422" s="2">
        <f t="shared" si="115"/>
        <v>0</v>
      </c>
      <c r="V422" s="2">
        <f t="shared" si="116"/>
        <v>0</v>
      </c>
      <c r="W422" s="2">
        <f t="shared" si="117"/>
        <v>-757850</v>
      </c>
      <c r="X422" s="2">
        <f t="shared" si="113"/>
        <v>-757850</v>
      </c>
      <c r="Y422" s="2">
        <f t="shared" si="118"/>
        <v>0</v>
      </c>
      <c r="Z422" s="2">
        <f t="shared" si="119"/>
        <v>0</v>
      </c>
      <c r="AA422" s="2">
        <f t="shared" si="120"/>
        <v>-757850</v>
      </c>
      <c r="AB422" s="2">
        <f t="shared" si="114"/>
        <v>-757850</v>
      </c>
      <c r="AC422" s="759">
        <v>-757850</v>
      </c>
      <c r="AD422" s="741">
        <v>-757850</v>
      </c>
      <c r="AE422" s="741">
        <v>-757850</v>
      </c>
      <c r="AF422" s="741">
        <v>-757850</v>
      </c>
      <c r="AG422" s="741">
        <v>-757850</v>
      </c>
      <c r="AH422" s="741">
        <v>-757850</v>
      </c>
      <c r="AI422" s="741">
        <v>-757850</v>
      </c>
      <c r="AJ422" s="741">
        <v>-757850</v>
      </c>
      <c r="AK422" s="741">
        <v>-757850</v>
      </c>
      <c r="AL422" s="741">
        <v>-757850</v>
      </c>
      <c r="AM422" s="741">
        <v>-757850</v>
      </c>
      <c r="AN422" s="741">
        <v>-757850</v>
      </c>
      <c r="AO422" s="741">
        <v>-757850</v>
      </c>
      <c r="AP422" s="41" t="str">
        <f t="shared" si="110"/>
        <v>GLC</v>
      </c>
      <c r="AQ422" s="41" t="str">
        <f t="shared" si="111"/>
        <v>GLCC10</v>
      </c>
      <c r="AR422" s="41" t="str">
        <f t="shared" si="112"/>
        <v>C10</v>
      </c>
    </row>
    <row r="423" spans="1:44" s="41" customFormat="1" ht="12.75" customHeight="1">
      <c r="A423" s="25" t="s">
        <v>17</v>
      </c>
      <c r="B423" s="25" t="str">
        <f t="shared" si="122"/>
        <v>GL224530</v>
      </c>
      <c r="C423" s="638">
        <v>224530</v>
      </c>
      <c r="D423" s="735"/>
      <c r="F423" s="1" t="s">
        <v>413</v>
      </c>
      <c r="H423" s="736">
        <v>0</v>
      </c>
      <c r="I423" s="25"/>
      <c r="J423" s="25"/>
      <c r="K423" s="442" t="str">
        <f t="shared" si="121"/>
        <v/>
      </c>
      <c r="L423" s="736" t="s">
        <v>2394</v>
      </c>
      <c r="M423" s="25" t="str">
        <f t="shared" si="123"/>
        <v>C</v>
      </c>
      <c r="N423" s="25" t="str">
        <f>IF(L423&lt;&gt;"",VLOOKUP(L423,Categories!$B$2:$D$41,2,FALSE),IF(F423&lt;&gt;"","No Cat",""))</f>
        <v>Capitalization</v>
      </c>
      <c r="O423" s="25" t="str">
        <f>IF($L423&lt;&gt;"",VLOOKUP($L423,Categories!$B$2:$D$41,3,FALSE),IF($F423&lt;&gt;"","No Cat",""))</f>
        <v>Long Term Debt</v>
      </c>
      <c r="P423" s="736" t="s">
        <v>2468</v>
      </c>
      <c r="Q423" s="25" t="str">
        <f>VLOOKUP($P423,Allocators!$B$7:$F$19,5,FALSE)</f>
        <v>Not in Rate Base</v>
      </c>
      <c r="R423" s="737">
        <f>VLOOKUP($P423,Allocators!$B$7:$F$19,2,FALSE)</f>
        <v>0</v>
      </c>
      <c r="S423" s="737">
        <f>VLOOKUP($P423,Allocators!$B$7:$F$19,3,FALSE)</f>
        <v>0</v>
      </c>
      <c r="T423" s="737">
        <f t="shared" si="124"/>
        <v>1</v>
      </c>
      <c r="U423" s="2" t="str">
        <f t="shared" si="115"/>
        <v/>
      </c>
      <c r="V423" s="2" t="str">
        <f t="shared" si="116"/>
        <v/>
      </c>
      <c r="W423" s="2" t="str">
        <f t="shared" si="117"/>
        <v/>
      </c>
      <c r="X423" s="2">
        <f t="shared" si="113"/>
        <v>0</v>
      </c>
      <c r="Y423" s="2" t="str">
        <f t="shared" si="118"/>
        <v/>
      </c>
      <c r="Z423" s="2" t="str">
        <f t="shared" si="119"/>
        <v/>
      </c>
      <c r="AA423" s="2" t="str">
        <f t="shared" si="120"/>
        <v/>
      </c>
      <c r="AB423" s="2">
        <f t="shared" si="114"/>
        <v>0</v>
      </c>
      <c r="AC423" s="759">
        <v>0</v>
      </c>
      <c r="AD423" s="741">
        <v>0</v>
      </c>
      <c r="AE423" s="741">
        <v>0</v>
      </c>
      <c r="AF423" s="741">
        <v>0</v>
      </c>
      <c r="AG423" s="741">
        <v>0</v>
      </c>
      <c r="AH423" s="741">
        <v>0</v>
      </c>
      <c r="AI423" s="741">
        <v>0</v>
      </c>
      <c r="AJ423" s="741">
        <v>0</v>
      </c>
      <c r="AK423" s="741">
        <v>0</v>
      </c>
      <c r="AL423" s="741">
        <v>0</v>
      </c>
      <c r="AM423" s="741">
        <v>0</v>
      </c>
      <c r="AN423" s="741">
        <v>0</v>
      </c>
      <c r="AO423" s="741">
        <v>0</v>
      </c>
      <c r="AP423" s="41" t="str">
        <f t="shared" si="110"/>
        <v>GLC</v>
      </c>
      <c r="AQ423" s="41" t="str">
        <f t="shared" si="111"/>
        <v>GLCC10</v>
      </c>
      <c r="AR423" s="41" t="str">
        <f t="shared" si="112"/>
        <v>C10</v>
      </c>
    </row>
    <row r="424" spans="1:44" s="41" customFormat="1" ht="12.75" customHeight="1">
      <c r="A424" s="25" t="s">
        <v>17</v>
      </c>
      <c r="B424" s="25" t="str">
        <f t="shared" si="122"/>
        <v>GL224540</v>
      </c>
      <c r="C424" s="638">
        <v>224540</v>
      </c>
      <c r="D424" s="735"/>
      <c r="F424" s="1" t="s">
        <v>414</v>
      </c>
      <c r="H424" s="736">
        <v>0</v>
      </c>
      <c r="I424" s="25"/>
      <c r="J424" s="25"/>
      <c r="K424" s="442" t="str">
        <f t="shared" si="121"/>
        <v/>
      </c>
      <c r="L424" s="736" t="s">
        <v>2394</v>
      </c>
      <c r="M424" s="25" t="str">
        <f t="shared" si="123"/>
        <v>C</v>
      </c>
      <c r="N424" s="25" t="str">
        <f>IF(L424&lt;&gt;"",VLOOKUP(L424,Categories!$B$2:$D$41,2,FALSE),IF(F424&lt;&gt;"","No Cat",""))</f>
        <v>Capitalization</v>
      </c>
      <c r="O424" s="25" t="str">
        <f>IF($L424&lt;&gt;"",VLOOKUP($L424,Categories!$B$2:$D$41,3,FALSE),IF($F424&lt;&gt;"","No Cat",""))</f>
        <v>Long Term Debt</v>
      </c>
      <c r="P424" s="736" t="s">
        <v>2468</v>
      </c>
      <c r="Q424" s="25" t="str">
        <f>VLOOKUP($P424,Allocators!$B$7:$F$19,5,FALSE)</f>
        <v>Not in Rate Base</v>
      </c>
      <c r="R424" s="737">
        <f>VLOOKUP($P424,Allocators!$B$7:$F$19,2,FALSE)</f>
        <v>0</v>
      </c>
      <c r="S424" s="737">
        <f>VLOOKUP($P424,Allocators!$B$7:$F$19,3,FALSE)</f>
        <v>0</v>
      </c>
      <c r="T424" s="737">
        <f t="shared" si="124"/>
        <v>1</v>
      </c>
      <c r="U424" s="2" t="str">
        <f t="shared" si="115"/>
        <v/>
      </c>
      <c r="V424" s="2" t="str">
        <f t="shared" si="116"/>
        <v/>
      </c>
      <c r="W424" s="2" t="str">
        <f t="shared" si="117"/>
        <v/>
      </c>
      <c r="X424" s="2">
        <f t="shared" si="113"/>
        <v>0</v>
      </c>
      <c r="Y424" s="2" t="str">
        <f t="shared" si="118"/>
        <v/>
      </c>
      <c r="Z424" s="2" t="str">
        <f t="shared" si="119"/>
        <v/>
      </c>
      <c r="AA424" s="2" t="str">
        <f t="shared" si="120"/>
        <v/>
      </c>
      <c r="AB424" s="2">
        <f t="shared" si="114"/>
        <v>0</v>
      </c>
      <c r="AC424" s="759">
        <v>0</v>
      </c>
      <c r="AD424" s="741">
        <v>0</v>
      </c>
      <c r="AE424" s="741">
        <v>0</v>
      </c>
      <c r="AF424" s="741">
        <v>0</v>
      </c>
      <c r="AG424" s="741">
        <v>0</v>
      </c>
      <c r="AH424" s="741">
        <v>0</v>
      </c>
      <c r="AI424" s="741">
        <v>0</v>
      </c>
      <c r="AJ424" s="741">
        <v>0</v>
      </c>
      <c r="AK424" s="741">
        <v>0</v>
      </c>
      <c r="AL424" s="741">
        <v>0</v>
      </c>
      <c r="AM424" s="741">
        <v>0</v>
      </c>
      <c r="AN424" s="741">
        <v>0</v>
      </c>
      <c r="AO424" s="741">
        <v>0</v>
      </c>
      <c r="AP424" s="41" t="str">
        <f t="shared" si="110"/>
        <v>GLC</v>
      </c>
      <c r="AQ424" s="41" t="str">
        <f t="shared" si="111"/>
        <v>GLCC10</v>
      </c>
      <c r="AR424" s="41" t="str">
        <f t="shared" si="112"/>
        <v>C10</v>
      </c>
    </row>
    <row r="425" spans="1:44" s="41" customFormat="1" ht="12.75" customHeight="1">
      <c r="A425" s="25" t="s">
        <v>17</v>
      </c>
      <c r="B425" s="25" t="str">
        <f t="shared" si="122"/>
        <v>GL224550</v>
      </c>
      <c r="C425" s="638">
        <v>224550</v>
      </c>
      <c r="D425" s="735"/>
      <c r="F425" s="1" t="s">
        <v>415</v>
      </c>
      <c r="H425" s="736">
        <v>0</v>
      </c>
      <c r="I425" s="25"/>
      <c r="J425" s="25"/>
      <c r="K425" s="442" t="str">
        <f t="shared" si="121"/>
        <v/>
      </c>
      <c r="L425" s="736" t="s">
        <v>2394</v>
      </c>
      <c r="M425" s="25" t="str">
        <f t="shared" si="123"/>
        <v>C</v>
      </c>
      <c r="N425" s="25" t="str">
        <f>IF(L425&lt;&gt;"",VLOOKUP(L425,Categories!$B$2:$D$41,2,FALSE),IF(F425&lt;&gt;"","No Cat",""))</f>
        <v>Capitalization</v>
      </c>
      <c r="O425" s="25" t="str">
        <f>IF($L425&lt;&gt;"",VLOOKUP($L425,Categories!$B$2:$D$41,3,FALSE),IF($F425&lt;&gt;"","No Cat",""))</f>
        <v>Long Term Debt</v>
      </c>
      <c r="P425" s="736" t="s">
        <v>2468</v>
      </c>
      <c r="Q425" s="25" t="str">
        <f>VLOOKUP($P425,Allocators!$B$7:$F$19,5,FALSE)</f>
        <v>Not in Rate Base</v>
      </c>
      <c r="R425" s="737">
        <f>VLOOKUP($P425,Allocators!$B$7:$F$19,2,FALSE)</f>
        <v>0</v>
      </c>
      <c r="S425" s="737">
        <f>VLOOKUP($P425,Allocators!$B$7:$F$19,3,FALSE)</f>
        <v>0</v>
      </c>
      <c r="T425" s="737">
        <f t="shared" si="124"/>
        <v>1</v>
      </c>
      <c r="U425" s="2" t="str">
        <f t="shared" si="115"/>
        <v/>
      </c>
      <c r="V425" s="2" t="str">
        <f t="shared" si="116"/>
        <v/>
      </c>
      <c r="W425" s="2" t="str">
        <f t="shared" si="117"/>
        <v/>
      </c>
      <c r="X425" s="2">
        <f t="shared" si="113"/>
        <v>0</v>
      </c>
      <c r="Y425" s="2" t="str">
        <f t="shared" si="118"/>
        <v/>
      </c>
      <c r="Z425" s="2" t="str">
        <f t="shared" si="119"/>
        <v/>
      </c>
      <c r="AA425" s="2" t="str">
        <f t="shared" si="120"/>
        <v/>
      </c>
      <c r="AB425" s="2">
        <f t="shared" si="114"/>
        <v>0</v>
      </c>
      <c r="AC425" s="759">
        <v>0</v>
      </c>
      <c r="AD425" s="741">
        <v>0</v>
      </c>
      <c r="AE425" s="741">
        <v>0</v>
      </c>
      <c r="AF425" s="741">
        <v>0</v>
      </c>
      <c r="AG425" s="741">
        <v>0</v>
      </c>
      <c r="AH425" s="741">
        <v>0</v>
      </c>
      <c r="AI425" s="741">
        <v>0</v>
      </c>
      <c r="AJ425" s="741">
        <v>0</v>
      </c>
      <c r="AK425" s="741">
        <v>0</v>
      </c>
      <c r="AL425" s="741">
        <v>0</v>
      </c>
      <c r="AM425" s="741">
        <v>0</v>
      </c>
      <c r="AN425" s="741">
        <v>0</v>
      </c>
      <c r="AO425" s="741">
        <v>0</v>
      </c>
      <c r="AP425" s="41" t="str">
        <f t="shared" si="110"/>
        <v>GLC</v>
      </c>
      <c r="AQ425" s="41" t="str">
        <f t="shared" si="111"/>
        <v>GLCC10</v>
      </c>
      <c r="AR425" s="41" t="str">
        <f t="shared" si="112"/>
        <v>C10</v>
      </c>
    </row>
    <row r="426" spans="1:44" s="41" customFormat="1" ht="12.75" customHeight="1">
      <c r="A426" s="25" t="s">
        <v>17</v>
      </c>
      <c r="B426" s="25" t="str">
        <f t="shared" si="122"/>
        <v>GL224570</v>
      </c>
      <c r="C426" s="638">
        <v>224570</v>
      </c>
      <c r="D426" s="735"/>
      <c r="F426" s="1" t="s">
        <v>416</v>
      </c>
      <c r="H426" s="736">
        <v>0</v>
      </c>
      <c r="I426" s="25"/>
      <c r="J426" s="25"/>
      <c r="K426" s="442" t="str">
        <f t="shared" si="121"/>
        <v/>
      </c>
      <c r="L426" s="736" t="s">
        <v>2394</v>
      </c>
      <c r="M426" s="25" t="str">
        <f t="shared" si="123"/>
        <v>C</v>
      </c>
      <c r="N426" s="25" t="str">
        <f>IF(L426&lt;&gt;"",VLOOKUP(L426,Categories!$B$2:$D$41,2,FALSE),IF(F426&lt;&gt;"","No Cat",""))</f>
        <v>Capitalization</v>
      </c>
      <c r="O426" s="25" t="str">
        <f>IF($L426&lt;&gt;"",VLOOKUP($L426,Categories!$B$2:$D$41,3,FALSE),IF($F426&lt;&gt;"","No Cat",""))</f>
        <v>Long Term Debt</v>
      </c>
      <c r="P426" s="736" t="s">
        <v>2468</v>
      </c>
      <c r="Q426" s="25" t="str">
        <f>VLOOKUP($P426,Allocators!$B$7:$F$19,5,FALSE)</f>
        <v>Not in Rate Base</v>
      </c>
      <c r="R426" s="737">
        <f>VLOOKUP($P426,Allocators!$B$7:$F$19,2,FALSE)</f>
        <v>0</v>
      </c>
      <c r="S426" s="737">
        <f>VLOOKUP($P426,Allocators!$B$7:$F$19,3,FALSE)</f>
        <v>0</v>
      </c>
      <c r="T426" s="737">
        <f t="shared" si="124"/>
        <v>1</v>
      </c>
      <c r="U426" s="2" t="str">
        <f t="shared" si="115"/>
        <v/>
      </c>
      <c r="V426" s="2" t="str">
        <f t="shared" si="116"/>
        <v/>
      </c>
      <c r="W426" s="2" t="str">
        <f t="shared" si="117"/>
        <v/>
      </c>
      <c r="X426" s="2">
        <f t="shared" si="113"/>
        <v>0</v>
      </c>
      <c r="Y426" s="2" t="str">
        <f t="shared" si="118"/>
        <v/>
      </c>
      <c r="Z426" s="2" t="str">
        <f t="shared" si="119"/>
        <v/>
      </c>
      <c r="AA426" s="2" t="str">
        <f t="shared" si="120"/>
        <v/>
      </c>
      <c r="AB426" s="2">
        <f t="shared" si="114"/>
        <v>0</v>
      </c>
      <c r="AC426" s="759">
        <v>0</v>
      </c>
      <c r="AD426" s="741">
        <v>0</v>
      </c>
      <c r="AE426" s="741">
        <v>0</v>
      </c>
      <c r="AF426" s="741">
        <v>0</v>
      </c>
      <c r="AG426" s="741">
        <v>0</v>
      </c>
      <c r="AH426" s="741">
        <v>0</v>
      </c>
      <c r="AI426" s="741">
        <v>0</v>
      </c>
      <c r="AJ426" s="741">
        <v>0</v>
      </c>
      <c r="AK426" s="741">
        <v>0</v>
      </c>
      <c r="AL426" s="741">
        <v>0</v>
      </c>
      <c r="AM426" s="741">
        <v>0</v>
      </c>
      <c r="AN426" s="741">
        <v>0</v>
      </c>
      <c r="AO426" s="741">
        <v>0</v>
      </c>
      <c r="AP426" s="41" t="str">
        <f t="shared" si="110"/>
        <v>GLC</v>
      </c>
      <c r="AQ426" s="41" t="str">
        <f t="shared" si="111"/>
        <v>GLCC10</v>
      </c>
      <c r="AR426" s="41" t="str">
        <f t="shared" si="112"/>
        <v>C10</v>
      </c>
    </row>
    <row r="427" spans="1:44" s="41" customFormat="1" ht="12.75" customHeight="1">
      <c r="A427" s="25" t="s">
        <v>17</v>
      </c>
      <c r="B427" s="25" t="str">
        <f t="shared" si="122"/>
        <v>GL224580</v>
      </c>
      <c r="C427" s="638">
        <v>224580</v>
      </c>
      <c r="D427" s="735"/>
      <c r="F427" s="1" t="s">
        <v>417</v>
      </c>
      <c r="H427" s="736">
        <v>0</v>
      </c>
      <c r="I427" s="25"/>
      <c r="J427" s="25"/>
      <c r="K427" s="442" t="str">
        <f t="shared" si="121"/>
        <v/>
      </c>
      <c r="L427" s="736" t="s">
        <v>2394</v>
      </c>
      <c r="M427" s="25" t="str">
        <f t="shared" si="123"/>
        <v>C</v>
      </c>
      <c r="N427" s="25" t="str">
        <f>IF(L427&lt;&gt;"",VLOOKUP(L427,Categories!$B$2:$D$41,2,FALSE),IF(F427&lt;&gt;"","No Cat",""))</f>
        <v>Capitalization</v>
      </c>
      <c r="O427" s="25" t="str">
        <f>IF($L427&lt;&gt;"",VLOOKUP($L427,Categories!$B$2:$D$41,3,FALSE),IF($F427&lt;&gt;"","No Cat",""))</f>
        <v>Long Term Debt</v>
      </c>
      <c r="P427" s="736" t="s">
        <v>2468</v>
      </c>
      <c r="Q427" s="25" t="str">
        <f>VLOOKUP($P427,Allocators!$B$7:$F$19,5,FALSE)</f>
        <v>Not in Rate Base</v>
      </c>
      <c r="R427" s="737">
        <f>VLOOKUP($P427,Allocators!$B$7:$F$19,2,FALSE)</f>
        <v>0</v>
      </c>
      <c r="S427" s="737">
        <f>VLOOKUP($P427,Allocators!$B$7:$F$19,3,FALSE)</f>
        <v>0</v>
      </c>
      <c r="T427" s="737">
        <f t="shared" si="124"/>
        <v>1</v>
      </c>
      <c r="U427" s="2" t="str">
        <f t="shared" si="115"/>
        <v/>
      </c>
      <c r="V427" s="2" t="str">
        <f t="shared" si="116"/>
        <v/>
      </c>
      <c r="W427" s="2" t="str">
        <f t="shared" si="117"/>
        <v/>
      </c>
      <c r="X427" s="2">
        <f t="shared" si="113"/>
        <v>0</v>
      </c>
      <c r="Y427" s="2" t="str">
        <f t="shared" si="118"/>
        <v/>
      </c>
      <c r="Z427" s="2" t="str">
        <f t="shared" si="119"/>
        <v/>
      </c>
      <c r="AA427" s="2" t="str">
        <f t="shared" si="120"/>
        <v/>
      </c>
      <c r="AB427" s="2">
        <f t="shared" si="114"/>
        <v>0</v>
      </c>
      <c r="AC427" s="759">
        <v>0</v>
      </c>
      <c r="AD427" s="741">
        <v>0</v>
      </c>
      <c r="AE427" s="741">
        <v>0</v>
      </c>
      <c r="AF427" s="741">
        <v>0</v>
      </c>
      <c r="AG427" s="741">
        <v>0</v>
      </c>
      <c r="AH427" s="741">
        <v>0</v>
      </c>
      <c r="AI427" s="741">
        <v>0</v>
      </c>
      <c r="AJ427" s="741">
        <v>0</v>
      </c>
      <c r="AK427" s="741">
        <v>0</v>
      </c>
      <c r="AL427" s="741">
        <v>0</v>
      </c>
      <c r="AM427" s="741">
        <v>0</v>
      </c>
      <c r="AN427" s="741">
        <v>0</v>
      </c>
      <c r="AO427" s="741">
        <v>0</v>
      </c>
      <c r="AP427" s="41" t="str">
        <f t="shared" si="110"/>
        <v>GLC</v>
      </c>
      <c r="AQ427" s="41" t="str">
        <f t="shared" si="111"/>
        <v>GLCC10</v>
      </c>
      <c r="AR427" s="41" t="str">
        <f t="shared" si="112"/>
        <v>C10</v>
      </c>
    </row>
    <row r="428" spans="1:44" s="41" customFormat="1" ht="12.75" customHeight="1">
      <c r="A428" s="25" t="s">
        <v>17</v>
      </c>
      <c r="B428" s="25" t="str">
        <f t="shared" si="122"/>
        <v>GL224590</v>
      </c>
      <c r="C428" s="638">
        <v>224590</v>
      </c>
      <c r="D428" s="735"/>
      <c r="F428" s="1" t="s">
        <v>418</v>
      </c>
      <c r="H428" s="736">
        <v>0</v>
      </c>
      <c r="I428" s="25"/>
      <c r="J428" s="25"/>
      <c r="K428" s="442" t="str">
        <f t="shared" si="121"/>
        <v/>
      </c>
      <c r="L428" s="736" t="s">
        <v>2394</v>
      </c>
      <c r="M428" s="25" t="str">
        <f t="shared" si="123"/>
        <v>C</v>
      </c>
      <c r="N428" s="25" t="str">
        <f>IF(L428&lt;&gt;"",VLOOKUP(L428,Categories!$B$2:$D$41,2,FALSE),IF(F428&lt;&gt;"","No Cat",""))</f>
        <v>Capitalization</v>
      </c>
      <c r="O428" s="25" t="str">
        <f>IF($L428&lt;&gt;"",VLOOKUP($L428,Categories!$B$2:$D$41,3,FALSE),IF($F428&lt;&gt;"","No Cat",""))</f>
        <v>Long Term Debt</v>
      </c>
      <c r="P428" s="736" t="s">
        <v>2468</v>
      </c>
      <c r="Q428" s="25" t="str">
        <f>VLOOKUP($P428,Allocators!$B$7:$F$19,5,FALSE)</f>
        <v>Not in Rate Base</v>
      </c>
      <c r="R428" s="737">
        <f>VLOOKUP($P428,Allocators!$B$7:$F$19,2,FALSE)</f>
        <v>0</v>
      </c>
      <c r="S428" s="737">
        <f>VLOOKUP($P428,Allocators!$B$7:$F$19,3,FALSE)</f>
        <v>0</v>
      </c>
      <c r="T428" s="737">
        <f t="shared" si="124"/>
        <v>1</v>
      </c>
      <c r="U428" s="2" t="str">
        <f t="shared" si="115"/>
        <v/>
      </c>
      <c r="V428" s="2" t="str">
        <f t="shared" si="116"/>
        <v/>
      </c>
      <c r="W428" s="2" t="str">
        <f t="shared" si="117"/>
        <v/>
      </c>
      <c r="X428" s="2">
        <f t="shared" si="113"/>
        <v>0</v>
      </c>
      <c r="Y428" s="2" t="str">
        <f t="shared" si="118"/>
        <v/>
      </c>
      <c r="Z428" s="2" t="str">
        <f t="shared" si="119"/>
        <v/>
      </c>
      <c r="AA428" s="2" t="str">
        <f t="shared" si="120"/>
        <v/>
      </c>
      <c r="AB428" s="2">
        <f t="shared" si="114"/>
        <v>0</v>
      </c>
      <c r="AC428" s="759">
        <v>0</v>
      </c>
      <c r="AD428" s="741">
        <v>0</v>
      </c>
      <c r="AE428" s="741">
        <v>0</v>
      </c>
      <c r="AF428" s="741">
        <v>0</v>
      </c>
      <c r="AG428" s="741">
        <v>0</v>
      </c>
      <c r="AH428" s="741">
        <v>0</v>
      </c>
      <c r="AI428" s="741">
        <v>0</v>
      </c>
      <c r="AJ428" s="741">
        <v>0</v>
      </c>
      <c r="AK428" s="741">
        <v>0</v>
      </c>
      <c r="AL428" s="741">
        <v>0</v>
      </c>
      <c r="AM428" s="741">
        <v>0</v>
      </c>
      <c r="AN428" s="741">
        <v>0</v>
      </c>
      <c r="AO428" s="741">
        <v>0</v>
      </c>
      <c r="AP428" s="41" t="str">
        <f t="shared" si="110"/>
        <v>GLC</v>
      </c>
      <c r="AQ428" s="41" t="str">
        <f t="shared" si="111"/>
        <v>GLCC10</v>
      </c>
      <c r="AR428" s="41" t="str">
        <f t="shared" si="112"/>
        <v>C10</v>
      </c>
    </row>
    <row r="429" spans="1:44" s="41" customFormat="1" ht="12.75" customHeight="1">
      <c r="A429" s="25" t="s">
        <v>17</v>
      </c>
      <c r="B429" s="25" t="str">
        <f t="shared" si="122"/>
        <v>GL224990</v>
      </c>
      <c r="C429" s="638">
        <v>224990</v>
      </c>
      <c r="D429" s="735"/>
      <c r="F429" s="1" t="s">
        <v>419</v>
      </c>
      <c r="H429" s="736">
        <v>0</v>
      </c>
      <c r="I429" s="25"/>
      <c r="J429" s="25"/>
      <c r="K429" s="442" t="str">
        <f t="shared" si="121"/>
        <v/>
      </c>
      <c r="L429" s="736" t="s">
        <v>2394</v>
      </c>
      <c r="M429" s="25" t="str">
        <f t="shared" si="123"/>
        <v>C</v>
      </c>
      <c r="N429" s="25" t="str">
        <f>IF(L429&lt;&gt;"",VLOOKUP(L429,Categories!$B$2:$D$41,2,FALSE),IF(F429&lt;&gt;"","No Cat",""))</f>
        <v>Capitalization</v>
      </c>
      <c r="O429" s="25" t="str">
        <f>IF($L429&lt;&gt;"",VLOOKUP($L429,Categories!$B$2:$D$41,3,FALSE),IF($F429&lt;&gt;"","No Cat",""))</f>
        <v>Long Term Debt</v>
      </c>
      <c r="P429" s="736" t="s">
        <v>2468</v>
      </c>
      <c r="Q429" s="25" t="str">
        <f>VLOOKUP($P429,Allocators!$B$7:$F$19,5,FALSE)</f>
        <v>Not in Rate Base</v>
      </c>
      <c r="R429" s="737">
        <f>VLOOKUP($P429,Allocators!$B$7:$F$19,2,FALSE)</f>
        <v>0</v>
      </c>
      <c r="S429" s="737">
        <f>VLOOKUP($P429,Allocators!$B$7:$F$19,3,FALSE)</f>
        <v>0</v>
      </c>
      <c r="T429" s="737">
        <f t="shared" si="124"/>
        <v>1</v>
      </c>
      <c r="U429" s="2" t="str">
        <f t="shared" si="115"/>
        <v/>
      </c>
      <c r="V429" s="2" t="str">
        <f t="shared" si="116"/>
        <v/>
      </c>
      <c r="W429" s="2" t="str">
        <f t="shared" si="117"/>
        <v/>
      </c>
      <c r="X429" s="2">
        <f t="shared" si="113"/>
        <v>0</v>
      </c>
      <c r="Y429" s="2" t="str">
        <f t="shared" si="118"/>
        <v/>
      </c>
      <c r="Z429" s="2" t="str">
        <f t="shared" si="119"/>
        <v/>
      </c>
      <c r="AA429" s="2" t="str">
        <f t="shared" si="120"/>
        <v/>
      </c>
      <c r="AB429" s="2">
        <f t="shared" si="114"/>
        <v>0</v>
      </c>
      <c r="AC429" s="759">
        <v>0</v>
      </c>
      <c r="AD429" s="741">
        <v>0</v>
      </c>
      <c r="AE429" s="741">
        <v>0</v>
      </c>
      <c r="AF429" s="741">
        <v>0</v>
      </c>
      <c r="AG429" s="741">
        <v>0</v>
      </c>
      <c r="AH429" s="741">
        <v>0</v>
      </c>
      <c r="AI429" s="741">
        <v>0</v>
      </c>
      <c r="AJ429" s="741">
        <v>0</v>
      </c>
      <c r="AK429" s="741">
        <v>0</v>
      </c>
      <c r="AL429" s="741">
        <v>0</v>
      </c>
      <c r="AM429" s="741">
        <v>0</v>
      </c>
      <c r="AN429" s="741">
        <v>0</v>
      </c>
      <c r="AO429" s="741">
        <v>0</v>
      </c>
      <c r="AP429" s="41" t="str">
        <f t="shared" si="110"/>
        <v>GLC</v>
      </c>
      <c r="AQ429" s="41" t="str">
        <f t="shared" si="111"/>
        <v>GLCC10</v>
      </c>
      <c r="AR429" s="41" t="str">
        <f t="shared" si="112"/>
        <v>C10</v>
      </c>
    </row>
    <row r="430" spans="1:44" s="41" customFormat="1" ht="12.75" customHeight="1">
      <c r="A430" s="25" t="s">
        <v>17</v>
      </c>
      <c r="B430" s="25" t="str">
        <f t="shared" si="122"/>
        <v>GL224991</v>
      </c>
      <c r="C430" s="638">
        <v>224991</v>
      </c>
      <c r="D430" s="735"/>
      <c r="F430" s="1" t="s">
        <v>420</v>
      </c>
      <c r="H430" s="736">
        <v>0</v>
      </c>
      <c r="I430" s="25"/>
      <c r="J430" s="25"/>
      <c r="K430" s="442" t="str">
        <f t="shared" si="121"/>
        <v/>
      </c>
      <c r="L430" s="736" t="s">
        <v>2394</v>
      </c>
      <c r="M430" s="25" t="str">
        <f t="shared" si="123"/>
        <v>C</v>
      </c>
      <c r="N430" s="25" t="str">
        <f>IF(L430&lt;&gt;"",VLOOKUP(L430,Categories!$B$2:$D$41,2,FALSE),IF(F430&lt;&gt;"","No Cat",""))</f>
        <v>Capitalization</v>
      </c>
      <c r="O430" s="25" t="str">
        <f>IF($L430&lt;&gt;"",VLOOKUP($L430,Categories!$B$2:$D$41,3,FALSE),IF($F430&lt;&gt;"","No Cat",""))</f>
        <v>Long Term Debt</v>
      </c>
      <c r="P430" s="736" t="s">
        <v>2468</v>
      </c>
      <c r="Q430" s="25" t="str">
        <f>VLOOKUP($P430,Allocators!$B$7:$F$19,5,FALSE)</f>
        <v>Not in Rate Base</v>
      </c>
      <c r="R430" s="737">
        <f>VLOOKUP($P430,Allocators!$B$7:$F$19,2,FALSE)</f>
        <v>0</v>
      </c>
      <c r="S430" s="737">
        <f>VLOOKUP($P430,Allocators!$B$7:$F$19,3,FALSE)</f>
        <v>0</v>
      </c>
      <c r="T430" s="737">
        <f t="shared" si="124"/>
        <v>1</v>
      </c>
      <c r="U430" s="2" t="str">
        <f t="shared" si="115"/>
        <v/>
      </c>
      <c r="V430" s="2" t="str">
        <f t="shared" si="116"/>
        <v/>
      </c>
      <c r="W430" s="2" t="str">
        <f t="shared" si="117"/>
        <v/>
      </c>
      <c r="X430" s="2">
        <f t="shared" si="113"/>
        <v>0</v>
      </c>
      <c r="Y430" s="2" t="str">
        <f t="shared" si="118"/>
        <v/>
      </c>
      <c r="Z430" s="2" t="str">
        <f t="shared" si="119"/>
        <v/>
      </c>
      <c r="AA430" s="2" t="str">
        <f t="shared" si="120"/>
        <v/>
      </c>
      <c r="AB430" s="2">
        <f t="shared" si="114"/>
        <v>0</v>
      </c>
      <c r="AC430" s="759">
        <v>0</v>
      </c>
      <c r="AD430" s="741">
        <v>0</v>
      </c>
      <c r="AE430" s="741">
        <v>0</v>
      </c>
      <c r="AF430" s="741">
        <v>0</v>
      </c>
      <c r="AG430" s="741">
        <v>0</v>
      </c>
      <c r="AH430" s="741">
        <v>0</v>
      </c>
      <c r="AI430" s="741">
        <v>0</v>
      </c>
      <c r="AJ430" s="741">
        <v>0</v>
      </c>
      <c r="AK430" s="741">
        <v>0</v>
      </c>
      <c r="AL430" s="741">
        <v>0</v>
      </c>
      <c r="AM430" s="741">
        <v>0</v>
      </c>
      <c r="AN430" s="741">
        <v>0</v>
      </c>
      <c r="AO430" s="741">
        <v>0</v>
      </c>
      <c r="AP430" s="41" t="str">
        <f t="shared" si="110"/>
        <v>GLC</v>
      </c>
      <c r="AQ430" s="41" t="str">
        <f t="shared" si="111"/>
        <v>GLCC10</v>
      </c>
      <c r="AR430" s="41" t="str">
        <f t="shared" si="112"/>
        <v>C10</v>
      </c>
    </row>
    <row r="431" spans="1:44" s="41" customFormat="1" ht="12.75" customHeight="1">
      <c r="A431" s="25" t="s">
        <v>17</v>
      </c>
      <c r="B431" s="25" t="str">
        <f t="shared" si="122"/>
        <v>GL224992</v>
      </c>
      <c r="C431" s="638">
        <v>224992</v>
      </c>
      <c r="D431" s="735"/>
      <c r="F431" s="1" t="s">
        <v>421</v>
      </c>
      <c r="H431" s="736">
        <v>0</v>
      </c>
      <c r="I431" s="25"/>
      <c r="J431" s="25"/>
      <c r="K431" s="442" t="str">
        <f t="shared" si="121"/>
        <v/>
      </c>
      <c r="L431" s="736" t="s">
        <v>2394</v>
      </c>
      <c r="M431" s="25" t="str">
        <f t="shared" si="123"/>
        <v>C</v>
      </c>
      <c r="N431" s="25" t="str">
        <f>IF(L431&lt;&gt;"",VLOOKUP(L431,Categories!$B$2:$D$41,2,FALSE),IF(F431&lt;&gt;"","No Cat",""))</f>
        <v>Capitalization</v>
      </c>
      <c r="O431" s="25" t="str">
        <f>IF($L431&lt;&gt;"",VLOOKUP($L431,Categories!$B$2:$D$41,3,FALSE),IF($F431&lt;&gt;"","No Cat",""))</f>
        <v>Long Term Debt</v>
      </c>
      <c r="P431" s="736" t="s">
        <v>2468</v>
      </c>
      <c r="Q431" s="25" t="str">
        <f>VLOOKUP($P431,Allocators!$B$7:$F$19,5,FALSE)</f>
        <v>Not in Rate Base</v>
      </c>
      <c r="R431" s="737">
        <f>VLOOKUP($P431,Allocators!$B$7:$F$19,2,FALSE)</f>
        <v>0</v>
      </c>
      <c r="S431" s="737">
        <f>VLOOKUP($P431,Allocators!$B$7:$F$19,3,FALSE)</f>
        <v>0</v>
      </c>
      <c r="T431" s="737">
        <f t="shared" si="124"/>
        <v>1</v>
      </c>
      <c r="U431" s="2">
        <f t="shared" si="115"/>
        <v>0</v>
      </c>
      <c r="V431" s="2">
        <f t="shared" si="116"/>
        <v>0</v>
      </c>
      <c r="W431" s="2">
        <f t="shared" si="117"/>
        <v>50731.25</v>
      </c>
      <c r="X431" s="2">
        <f t="shared" si="113"/>
        <v>50731.25</v>
      </c>
      <c r="Y431" s="2">
        <f t="shared" si="118"/>
        <v>0</v>
      </c>
      <c r="Z431" s="2">
        <f t="shared" si="119"/>
        <v>0</v>
      </c>
      <c r="AA431" s="2">
        <f t="shared" si="120"/>
        <v>55850</v>
      </c>
      <c r="AB431" s="2">
        <f t="shared" si="114"/>
        <v>55850</v>
      </c>
      <c r="AC431" s="759">
        <v>50000</v>
      </c>
      <c r="AD431" s="741">
        <v>50000</v>
      </c>
      <c r="AE431" s="741">
        <v>50000</v>
      </c>
      <c r="AF431" s="741">
        <v>50000</v>
      </c>
      <c r="AG431" s="741">
        <v>50000</v>
      </c>
      <c r="AH431" s="741">
        <v>50000</v>
      </c>
      <c r="AI431" s="741">
        <v>50000</v>
      </c>
      <c r="AJ431" s="741">
        <v>50000</v>
      </c>
      <c r="AK431" s="741">
        <v>50000</v>
      </c>
      <c r="AL431" s="741">
        <v>50000</v>
      </c>
      <c r="AM431" s="741">
        <v>50000</v>
      </c>
      <c r="AN431" s="741">
        <v>55850</v>
      </c>
      <c r="AO431" s="741">
        <v>55850</v>
      </c>
      <c r="AP431" s="41" t="str">
        <f t="shared" si="110"/>
        <v>GLC</v>
      </c>
      <c r="AQ431" s="41" t="str">
        <f t="shared" si="111"/>
        <v>GLCC10</v>
      </c>
      <c r="AR431" s="41" t="str">
        <f t="shared" si="112"/>
        <v>C10</v>
      </c>
    </row>
    <row r="432" spans="1:44" s="41" customFormat="1" ht="12.75" customHeight="1">
      <c r="A432" s="25" t="s">
        <v>17</v>
      </c>
      <c r="B432" s="25" t="str">
        <f t="shared" si="122"/>
        <v>GL225000</v>
      </c>
      <c r="C432" s="638">
        <v>225000</v>
      </c>
      <c r="D432" s="735"/>
      <c r="F432" s="1" t="s">
        <v>422</v>
      </c>
      <c r="H432" s="736">
        <v>0</v>
      </c>
      <c r="I432" s="25"/>
      <c r="J432" s="25"/>
      <c r="K432" s="442" t="str">
        <f t="shared" si="121"/>
        <v/>
      </c>
      <c r="L432" s="736" t="s">
        <v>2411</v>
      </c>
      <c r="M432" s="25" t="str">
        <f t="shared" si="123"/>
        <v>C</v>
      </c>
      <c r="N432" s="25" t="str">
        <f>IF(L432&lt;&gt;"",VLOOKUP(L432,Categories!$B$2:$D$41,2,FALSE),IF(F432&lt;&gt;"","No Cat",""))</f>
        <v>Capitalization</v>
      </c>
      <c r="O432" s="25" t="str">
        <f>IF($L432&lt;&gt;"",VLOOKUP($L432,Categories!$B$2:$D$41,3,FALSE),IF($F432&lt;&gt;"","No Cat",""))</f>
        <v>Unamortized Premium &amp; Discount</v>
      </c>
      <c r="P432" s="736" t="s">
        <v>2468</v>
      </c>
      <c r="Q432" s="25" t="str">
        <f>VLOOKUP($P432,Allocators!$B$7:$F$19,5,FALSE)</f>
        <v>Not in Rate Base</v>
      </c>
      <c r="R432" s="737">
        <f>VLOOKUP($P432,Allocators!$B$7:$F$19,2,FALSE)</f>
        <v>0</v>
      </c>
      <c r="S432" s="737">
        <f>VLOOKUP($P432,Allocators!$B$7:$F$19,3,FALSE)</f>
        <v>0</v>
      </c>
      <c r="T432" s="737">
        <f t="shared" si="124"/>
        <v>1</v>
      </c>
      <c r="U432" s="2" t="str">
        <f t="shared" si="115"/>
        <v/>
      </c>
      <c r="V432" s="2" t="str">
        <f t="shared" si="116"/>
        <v/>
      </c>
      <c r="W432" s="2" t="str">
        <f t="shared" si="117"/>
        <v/>
      </c>
      <c r="X432" s="2">
        <f t="shared" si="113"/>
        <v>0</v>
      </c>
      <c r="Y432" s="2" t="str">
        <f t="shared" si="118"/>
        <v/>
      </c>
      <c r="Z432" s="2" t="str">
        <f t="shared" si="119"/>
        <v/>
      </c>
      <c r="AA432" s="2" t="str">
        <f t="shared" si="120"/>
        <v/>
      </c>
      <c r="AB432" s="2">
        <f t="shared" si="114"/>
        <v>0</v>
      </c>
      <c r="AC432" s="759">
        <v>0</v>
      </c>
      <c r="AD432" s="741">
        <v>0</v>
      </c>
      <c r="AE432" s="741">
        <v>0</v>
      </c>
      <c r="AF432" s="741">
        <v>0</v>
      </c>
      <c r="AG432" s="741">
        <v>0</v>
      </c>
      <c r="AH432" s="741">
        <v>0</v>
      </c>
      <c r="AI432" s="741">
        <v>0</v>
      </c>
      <c r="AJ432" s="741">
        <v>0</v>
      </c>
      <c r="AK432" s="741">
        <v>0</v>
      </c>
      <c r="AL432" s="741">
        <v>0</v>
      </c>
      <c r="AM432" s="741">
        <v>0</v>
      </c>
      <c r="AN432" s="741">
        <v>0</v>
      </c>
      <c r="AO432" s="741">
        <v>0</v>
      </c>
      <c r="AP432" s="41" t="str">
        <f t="shared" si="110"/>
        <v>GLC</v>
      </c>
      <c r="AQ432" s="41" t="str">
        <f t="shared" si="111"/>
        <v>GLCC30</v>
      </c>
      <c r="AR432" s="41" t="str">
        <f t="shared" si="112"/>
        <v>C30</v>
      </c>
    </row>
    <row r="433" spans="1:44" s="41" customFormat="1" ht="12.75" customHeight="1">
      <c r="A433" s="25" t="s">
        <v>17</v>
      </c>
      <c r="B433" s="25" t="str">
        <f t="shared" si="122"/>
        <v>GL226000</v>
      </c>
      <c r="C433" s="638">
        <v>226000</v>
      </c>
      <c r="D433" s="735"/>
      <c r="F433" s="1" t="s">
        <v>423</v>
      </c>
      <c r="H433" s="736">
        <v>0</v>
      </c>
      <c r="I433" s="25"/>
      <c r="J433" s="25"/>
      <c r="K433" s="442" t="str">
        <f t="shared" si="121"/>
        <v/>
      </c>
      <c r="L433" s="736" t="s">
        <v>2411</v>
      </c>
      <c r="M433" s="25" t="str">
        <f t="shared" si="123"/>
        <v>C</v>
      </c>
      <c r="N433" s="25" t="str">
        <f>IF(L433&lt;&gt;"",VLOOKUP(L433,Categories!$B$2:$D$41,2,FALSE),IF(F433&lt;&gt;"","No Cat",""))</f>
        <v>Capitalization</v>
      </c>
      <c r="O433" s="25" t="str">
        <f>IF($L433&lt;&gt;"",VLOOKUP($L433,Categories!$B$2:$D$41,3,FALSE),IF($F433&lt;&gt;"","No Cat",""))</f>
        <v>Unamortized Premium &amp; Discount</v>
      </c>
      <c r="P433" s="736" t="s">
        <v>2468</v>
      </c>
      <c r="Q433" s="25" t="str">
        <f>VLOOKUP($P433,Allocators!$B$7:$F$19,5,FALSE)</f>
        <v>Not in Rate Base</v>
      </c>
      <c r="R433" s="737">
        <f>VLOOKUP($P433,Allocators!$B$7:$F$19,2,FALSE)</f>
        <v>0</v>
      </c>
      <c r="S433" s="737">
        <f>VLOOKUP($P433,Allocators!$B$7:$F$19,3,FALSE)</f>
        <v>0</v>
      </c>
      <c r="T433" s="737">
        <f t="shared" si="124"/>
        <v>1</v>
      </c>
      <c r="U433" s="2">
        <f t="shared" si="115"/>
        <v>0</v>
      </c>
      <c r="V433" s="2">
        <f t="shared" si="116"/>
        <v>0</v>
      </c>
      <c r="W433" s="2">
        <f t="shared" si="117"/>
        <v>714.13432</v>
      </c>
      <c r="X433" s="2">
        <f t="shared" si="113"/>
        <v>714.13432</v>
      </c>
      <c r="Y433" s="2">
        <f t="shared" si="118"/>
        <v>0</v>
      </c>
      <c r="Z433" s="2">
        <f t="shared" si="119"/>
        <v>0</v>
      </c>
      <c r="AA433" s="2">
        <f t="shared" si="120"/>
        <v>687.80547999999999</v>
      </c>
      <c r="AB433" s="2">
        <f t="shared" si="114"/>
        <v>687.80547999999999</v>
      </c>
      <c r="AC433" s="759">
        <v>740.46316000000002</v>
      </c>
      <c r="AD433" s="741">
        <v>736.07501999999999</v>
      </c>
      <c r="AE433" s="741">
        <v>731.68687999999997</v>
      </c>
      <c r="AF433" s="741">
        <v>727.29873999999995</v>
      </c>
      <c r="AG433" s="741">
        <v>722.91059999999993</v>
      </c>
      <c r="AH433" s="741">
        <v>718.52245999999991</v>
      </c>
      <c r="AI433" s="741">
        <v>714.13432</v>
      </c>
      <c r="AJ433" s="741">
        <v>709.74618000000009</v>
      </c>
      <c r="AK433" s="741">
        <v>705.35804000000007</v>
      </c>
      <c r="AL433" s="741">
        <v>700.96990000000005</v>
      </c>
      <c r="AM433" s="741">
        <v>696.58176000000003</v>
      </c>
      <c r="AN433" s="741">
        <v>692.19362000000001</v>
      </c>
      <c r="AO433" s="741">
        <v>687.80547999999999</v>
      </c>
      <c r="AP433" s="41" t="str">
        <f t="shared" si="110"/>
        <v>GLC</v>
      </c>
      <c r="AQ433" s="41" t="str">
        <f t="shared" si="111"/>
        <v>GLCC30</v>
      </c>
      <c r="AR433" s="41" t="str">
        <f t="shared" si="112"/>
        <v>C30</v>
      </c>
    </row>
    <row r="434" spans="1:44" s="41" customFormat="1" ht="12.75" customHeight="1">
      <c r="A434" s="25" t="s">
        <v>17</v>
      </c>
      <c r="B434" s="25" t="str">
        <f t="shared" si="122"/>
        <v>GL228200</v>
      </c>
      <c r="C434" s="638">
        <v>228200</v>
      </c>
      <c r="D434" s="735"/>
      <c r="F434" s="1" t="s">
        <v>424</v>
      </c>
      <c r="H434" s="736" t="s">
        <v>2695</v>
      </c>
      <c r="I434" s="25"/>
      <c r="J434" s="25"/>
      <c r="K434" s="442" t="str">
        <f t="shared" si="121"/>
        <v/>
      </c>
      <c r="L434" s="736" t="s">
        <v>2441</v>
      </c>
      <c r="M434" s="25" t="str">
        <f t="shared" si="123"/>
        <v>R</v>
      </c>
      <c r="N434" s="25" t="str">
        <f>IF(L434&lt;&gt;"",VLOOKUP(L434,Categories!$B$2:$D$41,2,FALSE),IF(F434&lt;&gt;"","No Cat",""))</f>
        <v>Rate Base</v>
      </c>
      <c r="O434" s="25" t="str">
        <f>IF($L434&lt;&gt;"",VLOOKUP($L434,Categories!$B$2:$D$41,3,FALSE),IF($F434&lt;&gt;"","No Cat",""))</f>
        <v>Deferred Debits &amp; Credits</v>
      </c>
      <c r="P434" s="736" t="s">
        <v>2482</v>
      </c>
      <c r="Q434" s="25" t="str">
        <f>VLOOKUP($P434,Allocators!$B$7:$F$19,5,FALSE)</f>
        <v>Electric</v>
      </c>
      <c r="R434" s="737">
        <f>VLOOKUP($P434,Allocators!$B$7:$F$19,2,FALSE)</f>
        <v>1</v>
      </c>
      <c r="S434" s="737">
        <f>VLOOKUP($P434,Allocators!$B$7:$F$19,3,FALSE)</f>
        <v>0</v>
      </c>
      <c r="T434" s="737" t="str">
        <f t="shared" si="124"/>
        <v>0.0%</v>
      </c>
      <c r="U434" s="2">
        <f t="shared" si="115"/>
        <v>-2712.5</v>
      </c>
      <c r="V434" s="2">
        <f t="shared" si="116"/>
        <v>0</v>
      </c>
      <c r="W434" s="2">
        <f t="shared" si="117"/>
        <v>0</v>
      </c>
      <c r="X434" s="2">
        <f t="shared" si="113"/>
        <v>-2712.5</v>
      </c>
      <c r="Y434" s="2">
        <f t="shared" si="118"/>
        <v>-3000</v>
      </c>
      <c r="Z434" s="2">
        <f t="shared" si="119"/>
        <v>0</v>
      </c>
      <c r="AA434" s="2">
        <f t="shared" si="120"/>
        <v>0</v>
      </c>
      <c r="AB434" s="2">
        <f t="shared" si="114"/>
        <v>-3000</v>
      </c>
      <c r="AC434" s="759">
        <v>-2500</v>
      </c>
      <c r="AD434" s="741">
        <v>-2400</v>
      </c>
      <c r="AE434" s="741">
        <v>-2400</v>
      </c>
      <c r="AF434" s="741">
        <v>-2300</v>
      </c>
      <c r="AG434" s="741">
        <v>-2400</v>
      </c>
      <c r="AH434" s="741">
        <v>-2400</v>
      </c>
      <c r="AI434" s="741">
        <v>-3200</v>
      </c>
      <c r="AJ434" s="741">
        <v>-3000</v>
      </c>
      <c r="AK434" s="741">
        <v>-2900</v>
      </c>
      <c r="AL434" s="741">
        <v>-3000</v>
      </c>
      <c r="AM434" s="741">
        <v>-2900</v>
      </c>
      <c r="AN434" s="741">
        <v>-2900</v>
      </c>
      <c r="AO434" s="741">
        <v>-3000</v>
      </c>
      <c r="AP434" s="41" t="str">
        <f t="shared" si="110"/>
        <v>GLR</v>
      </c>
      <c r="AQ434" s="41" t="str">
        <f t="shared" si="111"/>
        <v>GLRR10Injury &amp; Damages Reserve</v>
      </c>
      <c r="AR434" s="41" t="str">
        <f t="shared" si="112"/>
        <v>R10Injury &amp; Damages Reserve</v>
      </c>
    </row>
    <row r="435" spans="1:44" s="41" customFormat="1" ht="12.75" customHeight="1">
      <c r="A435" s="25" t="s">
        <v>17</v>
      </c>
      <c r="B435" s="25" t="str">
        <f t="shared" si="122"/>
        <v>GL228300</v>
      </c>
      <c r="C435" s="638">
        <v>228300</v>
      </c>
      <c r="D435" s="735"/>
      <c r="F435" s="1" t="s">
        <v>425</v>
      </c>
      <c r="H435" s="736" t="s">
        <v>1724</v>
      </c>
      <c r="I435" s="25"/>
      <c r="J435" s="25"/>
      <c r="K435" s="442" t="str">
        <f t="shared" si="121"/>
        <v/>
      </c>
      <c r="L435" s="736" t="s">
        <v>2441</v>
      </c>
      <c r="M435" s="25" t="str">
        <f t="shared" si="123"/>
        <v>R</v>
      </c>
      <c r="N435" s="25" t="str">
        <f>IF(L435&lt;&gt;"",VLOOKUP(L435,Categories!$B$2:$D$41,2,FALSE),IF(F435&lt;&gt;"","No Cat",""))</f>
        <v>Rate Base</v>
      </c>
      <c r="O435" s="25" t="str">
        <f>IF($L435&lt;&gt;"",VLOOKUP($L435,Categories!$B$2:$D$41,3,FALSE),IF($F435&lt;&gt;"","No Cat",""))</f>
        <v>Deferred Debits &amp; Credits</v>
      </c>
      <c r="P435" s="736" t="s">
        <v>2487</v>
      </c>
      <c r="Q435" s="25" t="str">
        <f>VLOOKUP($P435,Allocators!$B$7:$F$19,5,FALSE)</f>
        <v>Payroll</v>
      </c>
      <c r="R435" s="737">
        <f>VLOOKUP($P435,Allocators!$B$7:$F$19,2,FALSE)</f>
        <v>0.61780000000000002</v>
      </c>
      <c r="S435" s="737">
        <f>VLOOKUP($P435,Allocators!$B$7:$F$19,3,FALSE)</f>
        <v>0.38219999999999998</v>
      </c>
      <c r="T435" s="737" t="str">
        <f t="shared" si="124"/>
        <v>0.0%</v>
      </c>
      <c r="U435" s="2">
        <f t="shared" si="115"/>
        <v>-2123.6875</v>
      </c>
      <c r="V435" s="2">
        <f t="shared" si="116"/>
        <v>-1313.8125</v>
      </c>
      <c r="W435" s="2">
        <f t="shared" si="117"/>
        <v>0</v>
      </c>
      <c r="X435" s="2">
        <f t="shared" si="113"/>
        <v>-3437.5</v>
      </c>
      <c r="Y435" s="2">
        <f t="shared" si="118"/>
        <v>-2162.3000000000002</v>
      </c>
      <c r="Z435" s="2">
        <f t="shared" si="119"/>
        <v>-1337.7</v>
      </c>
      <c r="AA435" s="2">
        <f t="shared" si="120"/>
        <v>0</v>
      </c>
      <c r="AB435" s="2">
        <f t="shared" si="114"/>
        <v>-3500</v>
      </c>
      <c r="AC435" s="759">
        <v>-3400</v>
      </c>
      <c r="AD435" s="741">
        <v>-3400</v>
      </c>
      <c r="AE435" s="741">
        <v>-3400</v>
      </c>
      <c r="AF435" s="741">
        <v>-3400</v>
      </c>
      <c r="AG435" s="741">
        <v>-3400</v>
      </c>
      <c r="AH435" s="741">
        <v>-3400</v>
      </c>
      <c r="AI435" s="741">
        <v>-3400</v>
      </c>
      <c r="AJ435" s="741">
        <v>-3400</v>
      </c>
      <c r="AK435" s="741">
        <v>-3500</v>
      </c>
      <c r="AL435" s="741">
        <v>-3500</v>
      </c>
      <c r="AM435" s="741">
        <v>-3500</v>
      </c>
      <c r="AN435" s="741">
        <v>-3500</v>
      </c>
      <c r="AO435" s="741">
        <v>-3500</v>
      </c>
      <c r="AP435" s="41" t="str">
        <f t="shared" si="110"/>
        <v>GLR</v>
      </c>
      <c r="AQ435" s="41" t="str">
        <f t="shared" si="111"/>
        <v>GLRR10Workers Comp Reserve</v>
      </c>
      <c r="AR435" s="41" t="str">
        <f t="shared" si="112"/>
        <v>R10Workers Comp Reserve</v>
      </c>
    </row>
    <row r="436" spans="1:44" s="41" customFormat="1" ht="12.75" customHeight="1">
      <c r="A436" s="25" t="s">
        <v>17</v>
      </c>
      <c r="B436" s="25" t="str">
        <f t="shared" si="122"/>
        <v>GL228305</v>
      </c>
      <c r="C436" s="638">
        <v>228305</v>
      </c>
      <c r="D436" s="735"/>
      <c r="F436" s="1" t="s">
        <v>2554</v>
      </c>
      <c r="H436" s="736" t="s">
        <v>1136</v>
      </c>
      <c r="I436" s="25"/>
      <c r="J436" s="25"/>
      <c r="K436" s="442" t="str">
        <f t="shared" si="121"/>
        <v/>
      </c>
      <c r="L436" s="736" t="s">
        <v>2441</v>
      </c>
      <c r="M436" s="25" t="str">
        <f t="shared" si="123"/>
        <v>R</v>
      </c>
      <c r="N436" s="25" t="str">
        <f>IF(L436&lt;&gt;"",VLOOKUP(L436,Categories!$B$2:$D$41,2,FALSE),IF(F436&lt;&gt;"","No Cat",""))</f>
        <v>Rate Base</v>
      </c>
      <c r="O436" s="25" t="str">
        <f>IF($L436&lt;&gt;"",VLOOKUP($L436,Categories!$B$2:$D$41,3,FALSE),IF($F436&lt;&gt;"","No Cat",""))</f>
        <v>Deferred Debits &amp; Credits</v>
      </c>
      <c r="P436" s="736" t="s">
        <v>2487</v>
      </c>
      <c r="Q436" s="25" t="str">
        <f>VLOOKUP($P436,Allocators!$B$7:$F$19,5,FALSE)</f>
        <v>Payroll</v>
      </c>
      <c r="R436" s="737">
        <f>VLOOKUP($P436,Allocators!$B$7:$F$19,2,FALSE)</f>
        <v>0.61780000000000002</v>
      </c>
      <c r="S436" s="737">
        <f>VLOOKUP($P436,Allocators!$B$7:$F$19,3,FALSE)</f>
        <v>0.38219999999999998</v>
      </c>
      <c r="T436" s="737" t="str">
        <f t="shared" si="124"/>
        <v>0.0%</v>
      </c>
      <c r="U436" s="2">
        <f t="shared" si="115"/>
        <v>-26614.528579108901</v>
      </c>
      <c r="V436" s="2">
        <f t="shared" si="116"/>
        <v>-16464.993238807801</v>
      </c>
      <c r="W436" s="2">
        <f t="shared" si="117"/>
        <v>0</v>
      </c>
      <c r="X436" s="2">
        <f t="shared" si="113"/>
        <v>-43079.521817916699</v>
      </c>
      <c r="Y436" s="2">
        <f t="shared" si="118"/>
        <v>-66173.716375000004</v>
      </c>
      <c r="Z436" s="2">
        <f t="shared" si="119"/>
        <v>-40938.158624999996</v>
      </c>
      <c r="AA436" s="2">
        <f t="shared" si="120"/>
        <v>0</v>
      </c>
      <c r="AB436" s="2">
        <f t="shared" si="114"/>
        <v>-107111.875</v>
      </c>
      <c r="AC436" s="759">
        <v>-41599.350810000004</v>
      </c>
      <c r="AD436" s="741">
        <v>-41372.165810000006</v>
      </c>
      <c r="AE436" s="741">
        <v>-41144.980810000001</v>
      </c>
      <c r="AF436" s="741">
        <v>-40917.795810000003</v>
      </c>
      <c r="AG436" s="741">
        <v>-40690.610810000006</v>
      </c>
      <c r="AH436" s="741">
        <v>-40463.425810000001</v>
      </c>
      <c r="AI436" s="741">
        <v>-40236.240810000003</v>
      </c>
      <c r="AJ436" s="741">
        <v>-40009.055810000005</v>
      </c>
      <c r="AK436" s="741">
        <v>-39781.87081</v>
      </c>
      <c r="AL436" s="741">
        <v>-39554.685810000003</v>
      </c>
      <c r="AM436" s="741">
        <v>-39327.500810000005</v>
      </c>
      <c r="AN436" s="741">
        <v>-39100.31581</v>
      </c>
      <c r="AO436" s="741">
        <v>-107111.875</v>
      </c>
      <c r="AP436" s="41" t="str">
        <f t="shared" si="110"/>
        <v>GLR</v>
      </c>
      <c r="AQ436" s="41" t="str">
        <f t="shared" si="111"/>
        <v>GLRR10Pension Asset</v>
      </c>
      <c r="AR436" s="41" t="str">
        <f t="shared" si="112"/>
        <v>R10Pension Asset</v>
      </c>
    </row>
    <row r="437" spans="1:44" s="41" customFormat="1" ht="12.75" customHeight="1">
      <c r="A437" s="25" t="s">
        <v>17</v>
      </c>
      <c r="B437" s="25" t="str">
        <f t="shared" si="122"/>
        <v>GL228310</v>
      </c>
      <c r="C437" s="638">
        <v>228310</v>
      </c>
      <c r="D437" s="735"/>
      <c r="F437" s="1" t="s">
        <v>426</v>
      </c>
      <c r="H437" s="736" t="s">
        <v>1135</v>
      </c>
      <c r="I437" s="25"/>
      <c r="J437" s="25"/>
      <c r="K437" s="442" t="str">
        <f t="shared" si="121"/>
        <v/>
      </c>
      <c r="L437" s="736" t="s">
        <v>2441</v>
      </c>
      <c r="M437" s="25" t="str">
        <f t="shared" si="123"/>
        <v>R</v>
      </c>
      <c r="N437" s="25" t="str">
        <f>IF(L437&lt;&gt;"",VLOOKUP(L437,Categories!$B$2:$D$41,2,FALSE),IF(F437&lt;&gt;"","No Cat",""))</f>
        <v>Rate Base</v>
      </c>
      <c r="O437" s="25" t="str">
        <f>IF($L437&lt;&gt;"",VLOOKUP($L437,Categories!$B$2:$D$41,3,FALSE),IF($F437&lt;&gt;"","No Cat",""))</f>
        <v>Deferred Debits &amp; Credits</v>
      </c>
      <c r="P437" s="736" t="s">
        <v>2487</v>
      </c>
      <c r="Q437" s="25" t="str">
        <f>VLOOKUP($P437,Allocators!$B$7:$F$19,5,FALSE)</f>
        <v>Payroll</v>
      </c>
      <c r="R437" s="737">
        <f>VLOOKUP($P437,Allocators!$B$7:$F$19,2,FALSE)</f>
        <v>0.61780000000000002</v>
      </c>
      <c r="S437" s="737">
        <f>VLOOKUP($P437,Allocators!$B$7:$F$19,3,FALSE)</f>
        <v>0.38219999999999998</v>
      </c>
      <c r="T437" s="737" t="str">
        <f t="shared" si="124"/>
        <v>0.0%</v>
      </c>
      <c r="U437" s="2">
        <f t="shared" si="115"/>
        <v>-43824.312713733998</v>
      </c>
      <c r="V437" s="2">
        <f t="shared" si="116"/>
        <v>-27111.771316266</v>
      </c>
      <c r="W437" s="2">
        <f t="shared" si="117"/>
        <v>0</v>
      </c>
      <c r="X437" s="2">
        <f t="shared" si="113"/>
        <v>-70936.084029999998</v>
      </c>
      <c r="Y437" s="2">
        <f t="shared" si="118"/>
        <v>-49149.713480600003</v>
      </c>
      <c r="Z437" s="2">
        <f t="shared" si="119"/>
        <v>-30406.313519399999</v>
      </c>
      <c r="AA437" s="2">
        <f t="shared" si="120"/>
        <v>0</v>
      </c>
      <c r="AB437" s="2">
        <f t="shared" si="114"/>
        <v>-79556.027000000002</v>
      </c>
      <c r="AC437" s="759">
        <v>-70514.837220000001</v>
      </c>
      <c r="AD437" s="741">
        <v>-70421.931900000011</v>
      </c>
      <c r="AE437" s="741">
        <v>-71496.525219999996</v>
      </c>
      <c r="AF437" s="741">
        <v>-71297.092239999998</v>
      </c>
      <c r="AG437" s="741">
        <v>-71006.038690000001</v>
      </c>
      <c r="AH437" s="741">
        <v>-70801.487260000009</v>
      </c>
      <c r="AI437" s="741">
        <v>-70226.885269999999</v>
      </c>
      <c r="AJ437" s="741">
        <v>-70117.097129999995</v>
      </c>
      <c r="AK437" s="741">
        <v>-69991.337349999987</v>
      </c>
      <c r="AL437" s="741">
        <v>-69839.761200000008</v>
      </c>
      <c r="AM437" s="741">
        <v>-69818.571519999998</v>
      </c>
      <c r="AN437" s="741">
        <v>-71180.848469999997</v>
      </c>
      <c r="AO437" s="741">
        <v>-79556.027000000002</v>
      </c>
      <c r="AP437" s="41" t="str">
        <f t="shared" si="110"/>
        <v>GLR</v>
      </c>
      <c r="AQ437" s="41" t="str">
        <f t="shared" si="111"/>
        <v>GLRR10OPEB Reserve</v>
      </c>
      <c r="AR437" s="41" t="str">
        <f t="shared" si="112"/>
        <v>R10OPEB Reserve</v>
      </c>
    </row>
    <row r="438" spans="1:44" s="41" customFormat="1" ht="12.75" customHeight="1">
      <c r="A438" s="25" t="s">
        <v>17</v>
      </c>
      <c r="B438" s="25" t="str">
        <f t="shared" si="122"/>
        <v>GL228400</v>
      </c>
      <c r="C438" s="638">
        <v>228400</v>
      </c>
      <c r="D438" s="735"/>
      <c r="F438" s="1" t="s">
        <v>427</v>
      </c>
      <c r="H438" s="736">
        <v>0</v>
      </c>
      <c r="I438" s="25"/>
      <c r="J438" s="25"/>
      <c r="K438" s="442" t="str">
        <f t="shared" si="121"/>
        <v/>
      </c>
      <c r="L438" s="736" t="s">
        <v>2441</v>
      </c>
      <c r="M438" s="25" t="str">
        <f t="shared" si="123"/>
        <v>R</v>
      </c>
      <c r="N438" s="25" t="str">
        <f>IF(L438&lt;&gt;"",VLOOKUP(L438,Categories!$B$2:$D$41,2,FALSE),IF(F438&lt;&gt;"","No Cat",""))</f>
        <v>Rate Base</v>
      </c>
      <c r="O438" s="25" t="str">
        <f>IF($L438&lt;&gt;"",VLOOKUP($L438,Categories!$B$2:$D$41,3,FALSE),IF($F438&lt;&gt;"","No Cat",""))</f>
        <v>Deferred Debits &amp; Credits</v>
      </c>
      <c r="P438" s="736" t="s">
        <v>2482</v>
      </c>
      <c r="Q438" s="25" t="str">
        <f>VLOOKUP($P438,Allocators!$B$7:$F$19,5,FALSE)</f>
        <v>Electric</v>
      </c>
      <c r="R438" s="737">
        <f>VLOOKUP($P438,Allocators!$B$7:$F$19,2,FALSE)</f>
        <v>1</v>
      </c>
      <c r="S438" s="737">
        <f>VLOOKUP($P438,Allocators!$B$7:$F$19,3,FALSE)</f>
        <v>0</v>
      </c>
      <c r="T438" s="737" t="str">
        <f t="shared" si="124"/>
        <v>0.0%</v>
      </c>
      <c r="U438" s="2" t="str">
        <f t="shared" si="115"/>
        <v/>
      </c>
      <c r="V438" s="2" t="str">
        <f t="shared" si="116"/>
        <v/>
      </c>
      <c r="W438" s="2" t="str">
        <f t="shared" si="117"/>
        <v/>
      </c>
      <c r="X438" s="2">
        <f t="shared" si="113"/>
        <v>0</v>
      </c>
      <c r="Y438" s="2" t="str">
        <f t="shared" si="118"/>
        <v/>
      </c>
      <c r="Z438" s="2" t="str">
        <f t="shared" si="119"/>
        <v/>
      </c>
      <c r="AA438" s="2" t="str">
        <f t="shared" si="120"/>
        <v/>
      </c>
      <c r="AB438" s="2">
        <f t="shared" si="114"/>
        <v>0</v>
      </c>
      <c r="AC438" s="759">
        <v>0</v>
      </c>
      <c r="AD438" s="741">
        <v>0</v>
      </c>
      <c r="AE438" s="741">
        <v>0</v>
      </c>
      <c r="AF438" s="741">
        <v>0</v>
      </c>
      <c r="AG438" s="741">
        <v>0</v>
      </c>
      <c r="AH438" s="741">
        <v>0</v>
      </c>
      <c r="AI438" s="741">
        <v>0</v>
      </c>
      <c r="AJ438" s="741">
        <v>0</v>
      </c>
      <c r="AK438" s="741">
        <v>0</v>
      </c>
      <c r="AL438" s="741">
        <v>0</v>
      </c>
      <c r="AM438" s="741">
        <v>0</v>
      </c>
      <c r="AN438" s="741">
        <v>0</v>
      </c>
      <c r="AO438" s="741">
        <v>0</v>
      </c>
      <c r="AP438" s="41" t="str">
        <f t="shared" si="110"/>
        <v>GLR</v>
      </c>
      <c r="AQ438" s="41" t="str">
        <f t="shared" si="111"/>
        <v>GLRR100</v>
      </c>
      <c r="AR438" s="41" t="str">
        <f t="shared" si="112"/>
        <v>R100</v>
      </c>
    </row>
    <row r="439" spans="1:44" s="41" customFormat="1" ht="12.75" customHeight="1">
      <c r="A439" s="25" t="s">
        <v>17</v>
      </c>
      <c r="B439" s="25" t="str">
        <f t="shared" si="122"/>
        <v>GL228420</v>
      </c>
      <c r="C439" s="638">
        <v>228420</v>
      </c>
      <c r="D439" s="735"/>
      <c r="F439" s="1" t="s">
        <v>428</v>
      </c>
      <c r="H439" s="736" t="s">
        <v>1134</v>
      </c>
      <c r="I439" s="25"/>
      <c r="J439" s="25"/>
      <c r="K439" s="442" t="str">
        <f t="shared" si="121"/>
        <v/>
      </c>
      <c r="L439" s="736" t="s">
        <v>2441</v>
      </c>
      <c r="M439" s="25" t="str">
        <f t="shared" si="123"/>
        <v>R</v>
      </c>
      <c r="N439" s="25" t="str">
        <f>IF(L439&lt;&gt;"",VLOOKUP(L439,Categories!$B$2:$D$41,2,FALSE),IF(F439&lt;&gt;"","No Cat",""))</f>
        <v>Rate Base</v>
      </c>
      <c r="O439" s="25" t="str">
        <f>IF($L439&lt;&gt;"",VLOOKUP($L439,Categories!$B$2:$D$41,3,FALSE),IF($F439&lt;&gt;"","No Cat",""))</f>
        <v>Deferred Debits &amp; Credits</v>
      </c>
      <c r="P439" s="736" t="s">
        <v>2486</v>
      </c>
      <c r="Q439" s="25" t="str">
        <f>VLOOKUP($P439,Allocators!$B$7:$F$19,5,FALSE)</f>
        <v>Net Plant</v>
      </c>
      <c r="R439" s="737">
        <f>VLOOKUP($P439,Allocators!$B$7:$F$19,2,FALSE)</f>
        <v>0.74150000000000005</v>
      </c>
      <c r="S439" s="737">
        <f>VLOOKUP($P439,Allocators!$B$7:$F$19,3,FALSE)</f>
        <v>0.25850000000000001</v>
      </c>
      <c r="T439" s="737" t="str">
        <f t="shared" si="124"/>
        <v>0.0%</v>
      </c>
      <c r="U439" s="2">
        <f t="shared" si="115"/>
        <v>-79201.130718687506</v>
      </c>
      <c r="V439" s="2">
        <f t="shared" si="116"/>
        <v>-27610.913406312498</v>
      </c>
      <c r="W439" s="2">
        <f t="shared" si="117"/>
        <v>0</v>
      </c>
      <c r="X439" s="2">
        <f t="shared" si="113"/>
        <v>-106812.044125</v>
      </c>
      <c r="Y439" s="2">
        <f t="shared" si="118"/>
        <v>-104037.19560000001</v>
      </c>
      <c r="Z439" s="2">
        <f t="shared" si="119"/>
        <v>-36269.204400000002</v>
      </c>
      <c r="AA439" s="2">
        <f t="shared" si="120"/>
        <v>0</v>
      </c>
      <c r="AB439" s="2">
        <f t="shared" si="114"/>
        <v>-140306.4</v>
      </c>
      <c r="AC439" s="759">
        <v>-102359.451</v>
      </c>
      <c r="AD439" s="741">
        <v>-102359.451</v>
      </c>
      <c r="AE439" s="741">
        <v>-102359.451</v>
      </c>
      <c r="AF439" s="741">
        <v>-102359.451</v>
      </c>
      <c r="AG439" s="741">
        <v>-102359.451</v>
      </c>
      <c r="AH439" s="741">
        <v>-101777.9</v>
      </c>
      <c r="AI439" s="741">
        <v>-101777.9</v>
      </c>
      <c r="AJ439" s="741">
        <v>-101777.9</v>
      </c>
      <c r="AK439" s="741">
        <v>-101777.9</v>
      </c>
      <c r="AL439" s="741">
        <v>-101777.9</v>
      </c>
      <c r="AM439" s="741">
        <v>-101777.9</v>
      </c>
      <c r="AN439" s="741">
        <v>-140306.4</v>
      </c>
      <c r="AO439" s="741">
        <v>-140306.4</v>
      </c>
      <c r="AP439" s="41" t="str">
        <f t="shared" si="110"/>
        <v>GLR</v>
      </c>
      <c r="AQ439" s="41" t="str">
        <f t="shared" si="111"/>
        <v>GLRR10Environmental</v>
      </c>
      <c r="AR439" s="41" t="str">
        <f t="shared" si="112"/>
        <v>R10Environmental</v>
      </c>
    </row>
    <row r="440" spans="1:44" s="41" customFormat="1" ht="12.75" customHeight="1">
      <c r="A440" s="25" t="s">
        <v>17</v>
      </c>
      <c r="B440" s="25" t="str">
        <f t="shared" si="122"/>
        <v>GL228430</v>
      </c>
      <c r="C440" s="638">
        <v>228430</v>
      </c>
      <c r="D440" s="735"/>
      <c r="F440" s="1" t="s">
        <v>429</v>
      </c>
      <c r="H440" s="736" t="s">
        <v>2607</v>
      </c>
      <c r="I440" s="25"/>
      <c r="J440" s="25"/>
      <c r="K440" s="442" t="str">
        <f t="shared" si="121"/>
        <v/>
      </c>
      <c r="L440" s="736" t="s">
        <v>2441</v>
      </c>
      <c r="M440" s="25" t="str">
        <f t="shared" si="123"/>
        <v>R</v>
      </c>
      <c r="N440" s="25" t="str">
        <f>IF(L440&lt;&gt;"",VLOOKUP(L440,Categories!$B$2:$D$41,2,FALSE),IF(F440&lt;&gt;"","No Cat",""))</f>
        <v>Rate Base</v>
      </c>
      <c r="O440" s="25" t="str">
        <f>IF($L440&lt;&gt;"",VLOOKUP($L440,Categories!$B$2:$D$41,3,FALSE),IF($F440&lt;&gt;"","No Cat",""))</f>
        <v>Deferred Debits &amp; Credits</v>
      </c>
      <c r="P440" s="736" t="s">
        <v>2482</v>
      </c>
      <c r="Q440" s="25" t="str">
        <f>VLOOKUP($P440,Allocators!$B$7:$F$19,5,FALSE)</f>
        <v>Electric</v>
      </c>
      <c r="R440" s="737">
        <f>VLOOKUP($P440,Allocators!$B$7:$F$19,2,FALSE)</f>
        <v>1</v>
      </c>
      <c r="S440" s="737">
        <f>VLOOKUP($P440,Allocators!$B$7:$F$19,3,FALSE)</f>
        <v>0</v>
      </c>
      <c r="T440" s="737" t="str">
        <f t="shared" si="124"/>
        <v>0.0%</v>
      </c>
      <c r="U440" s="2">
        <f t="shared" si="115"/>
        <v>-122222.08621749999</v>
      </c>
      <c r="V440" s="2">
        <f t="shared" si="116"/>
        <v>0</v>
      </c>
      <c r="W440" s="2">
        <f t="shared" si="117"/>
        <v>0</v>
      </c>
      <c r="X440" s="2">
        <f t="shared" si="113"/>
        <v>-122222.08621749999</v>
      </c>
      <c r="Y440" s="2">
        <f t="shared" si="118"/>
        <v>-122238.28006</v>
      </c>
      <c r="Z440" s="2">
        <f t="shared" si="119"/>
        <v>0</v>
      </c>
      <c r="AA440" s="2">
        <f t="shared" si="120"/>
        <v>0</v>
      </c>
      <c r="AB440" s="2">
        <f t="shared" si="114"/>
        <v>-122238.28006</v>
      </c>
      <c r="AC440" s="759">
        <v>-122191.84120000001</v>
      </c>
      <c r="AD440" s="741">
        <v>-122198.56174999999</v>
      </c>
      <c r="AE440" s="741">
        <v>-122205.28229999999</v>
      </c>
      <c r="AF440" s="741">
        <v>-122212.00284999999</v>
      </c>
      <c r="AG440" s="741">
        <v>-122216.68764</v>
      </c>
      <c r="AH440" s="741">
        <v>-122221.37243</v>
      </c>
      <c r="AI440" s="741">
        <v>-122226.05722</v>
      </c>
      <c r="AJ440" s="741">
        <v>-122229.11287000001</v>
      </c>
      <c r="AK440" s="741">
        <v>-122232.16851999999</v>
      </c>
      <c r="AL440" s="741">
        <v>-122235.22417</v>
      </c>
      <c r="AM440" s="741">
        <v>-122236.24279999999</v>
      </c>
      <c r="AN440" s="741">
        <v>-122237.26143000001</v>
      </c>
      <c r="AO440" s="741">
        <v>-122238.28006</v>
      </c>
      <c r="AP440" s="41" t="str">
        <f t="shared" si="110"/>
        <v>GLR</v>
      </c>
      <c r="AQ440" s="41" t="str">
        <f t="shared" si="111"/>
        <v>GLRR10DOE Liability</v>
      </c>
      <c r="AR440" s="41" t="str">
        <f t="shared" si="112"/>
        <v>R10DOE Liability</v>
      </c>
    </row>
    <row r="441" spans="1:44" s="41" customFormat="1" ht="12.75" customHeight="1">
      <c r="A441" s="25" t="s">
        <v>17</v>
      </c>
      <c r="B441" s="25" t="str">
        <f t="shared" si="122"/>
        <v>GL228440</v>
      </c>
      <c r="C441" s="638">
        <v>228440</v>
      </c>
      <c r="D441" s="735"/>
      <c r="F441" s="1" t="s">
        <v>430</v>
      </c>
      <c r="H441" s="736">
        <v>0</v>
      </c>
      <c r="I441" s="25"/>
      <c r="J441" s="25"/>
      <c r="K441" s="442" t="str">
        <f t="shared" si="121"/>
        <v/>
      </c>
      <c r="L441" s="736" t="s">
        <v>2441</v>
      </c>
      <c r="M441" s="25" t="str">
        <f t="shared" si="123"/>
        <v>R</v>
      </c>
      <c r="N441" s="25" t="str">
        <f>IF(L441&lt;&gt;"",VLOOKUP(L441,Categories!$B$2:$D$41,2,FALSE),IF(F441&lt;&gt;"","No Cat",""))</f>
        <v>Rate Base</v>
      </c>
      <c r="O441" s="25" t="str">
        <f>IF($L441&lt;&gt;"",VLOOKUP($L441,Categories!$B$2:$D$41,3,FALSE),IF($F441&lt;&gt;"","No Cat",""))</f>
        <v>Deferred Debits &amp; Credits</v>
      </c>
      <c r="P441" s="736" t="s">
        <v>2482</v>
      </c>
      <c r="Q441" s="25" t="str">
        <f>VLOOKUP($P441,Allocators!$B$7:$F$19,5,FALSE)</f>
        <v>Electric</v>
      </c>
      <c r="R441" s="737">
        <f>VLOOKUP($P441,Allocators!$B$7:$F$19,2,FALSE)</f>
        <v>1</v>
      </c>
      <c r="S441" s="737">
        <f>VLOOKUP($P441,Allocators!$B$7:$F$19,3,FALSE)</f>
        <v>0</v>
      </c>
      <c r="T441" s="737" t="str">
        <f t="shared" si="124"/>
        <v>0.0%</v>
      </c>
      <c r="U441" s="2" t="str">
        <f t="shared" si="115"/>
        <v/>
      </c>
      <c r="V441" s="2" t="str">
        <f t="shared" si="116"/>
        <v/>
      </c>
      <c r="W441" s="2" t="str">
        <f t="shared" si="117"/>
        <v/>
      </c>
      <c r="X441" s="2">
        <f t="shared" si="113"/>
        <v>0</v>
      </c>
      <c r="Y441" s="2" t="str">
        <f t="shared" si="118"/>
        <v/>
      </c>
      <c r="Z441" s="2" t="str">
        <f t="shared" si="119"/>
        <v/>
      </c>
      <c r="AA441" s="2" t="str">
        <f t="shared" si="120"/>
        <v/>
      </c>
      <c r="AB441" s="2">
        <f t="shared" si="114"/>
        <v>0</v>
      </c>
      <c r="AC441" s="759">
        <v>0</v>
      </c>
      <c r="AD441" s="741">
        <v>0</v>
      </c>
      <c r="AE441" s="741">
        <v>0</v>
      </c>
      <c r="AF441" s="741">
        <v>0</v>
      </c>
      <c r="AG441" s="741">
        <v>0</v>
      </c>
      <c r="AH441" s="741">
        <v>0</v>
      </c>
      <c r="AI441" s="741">
        <v>0</v>
      </c>
      <c r="AJ441" s="741">
        <v>0</v>
      </c>
      <c r="AK441" s="741">
        <v>0</v>
      </c>
      <c r="AL441" s="741">
        <v>0</v>
      </c>
      <c r="AM441" s="741">
        <v>0</v>
      </c>
      <c r="AN441" s="741">
        <v>0</v>
      </c>
      <c r="AO441" s="741">
        <v>0</v>
      </c>
      <c r="AP441" s="41" t="str">
        <f t="shared" si="110"/>
        <v>GLR</v>
      </c>
      <c r="AQ441" s="41" t="str">
        <f t="shared" si="111"/>
        <v>GLRR100</v>
      </c>
      <c r="AR441" s="41" t="str">
        <f t="shared" si="112"/>
        <v>R100</v>
      </c>
    </row>
    <row r="442" spans="1:44" s="41" customFormat="1" ht="12.75" customHeight="1">
      <c r="A442" s="442" t="s">
        <v>17</v>
      </c>
      <c r="B442" s="442" t="str">
        <f t="shared" si="122"/>
        <v>GL228450</v>
      </c>
      <c r="C442" s="638">
        <v>228450</v>
      </c>
      <c r="D442" s="735"/>
      <c r="E442" s="626"/>
      <c r="F442" s="441" t="s">
        <v>431</v>
      </c>
      <c r="G442" s="626"/>
      <c r="H442" s="736" t="s">
        <v>1138</v>
      </c>
      <c r="I442" s="442"/>
      <c r="J442" s="442"/>
      <c r="K442" s="442" t="str">
        <f t="shared" si="121"/>
        <v/>
      </c>
      <c r="L442" s="736" t="s">
        <v>2421</v>
      </c>
      <c r="M442" s="442" t="str">
        <f t="shared" si="123"/>
        <v>N</v>
      </c>
      <c r="N442" s="442" t="str">
        <f>IF(L442&lt;&gt;"",VLOOKUP(L442,Categories!$B$2:$D$41,2,FALSE),IF(F442&lt;&gt;"","No Cat",""))</f>
        <v>NRBASE</v>
      </c>
      <c r="O442" s="442" t="str">
        <f>IF($L442&lt;&gt;"",VLOOKUP($L442,Categories!$B$2:$D$41,3,FALSE),IF($F442&lt;&gt;"","No Cat",""))</f>
        <v>Direct Assign Items Not in RB</v>
      </c>
      <c r="P442" s="736" t="s">
        <v>2468</v>
      </c>
      <c r="Q442" s="442" t="str">
        <f>VLOOKUP($P442,Allocators!$B$7:$F$19,5,FALSE)</f>
        <v>Not in Rate Base</v>
      </c>
      <c r="R442" s="737">
        <f>VLOOKUP($P442,Allocators!$B$7:$F$19,2,FALSE)</f>
        <v>0</v>
      </c>
      <c r="S442" s="737">
        <f>VLOOKUP($P442,Allocators!$B$7:$F$19,3,FALSE)</f>
        <v>0</v>
      </c>
      <c r="T442" s="737">
        <f t="shared" si="124"/>
        <v>1</v>
      </c>
      <c r="U442" s="2" t="str">
        <f t="shared" si="115"/>
        <v/>
      </c>
      <c r="V442" s="2" t="str">
        <f t="shared" si="116"/>
        <v/>
      </c>
      <c r="W442" s="2" t="str">
        <f t="shared" si="117"/>
        <v/>
      </c>
      <c r="X442" s="2">
        <f t="shared" si="113"/>
        <v>0</v>
      </c>
      <c r="Y442" s="2" t="str">
        <f t="shared" si="118"/>
        <v/>
      </c>
      <c r="Z442" s="2" t="str">
        <f t="shared" si="119"/>
        <v/>
      </c>
      <c r="AA442" s="2" t="str">
        <f t="shared" si="120"/>
        <v/>
      </c>
      <c r="AB442" s="2">
        <f t="shared" si="114"/>
        <v>0</v>
      </c>
      <c r="AC442" s="759">
        <v>0</v>
      </c>
      <c r="AD442" s="741">
        <v>0</v>
      </c>
      <c r="AE442" s="741">
        <v>0</v>
      </c>
      <c r="AF442" s="741">
        <v>0</v>
      </c>
      <c r="AG442" s="741">
        <v>0</v>
      </c>
      <c r="AH442" s="741">
        <v>0</v>
      </c>
      <c r="AI442" s="741">
        <v>0</v>
      </c>
      <c r="AJ442" s="741">
        <v>0</v>
      </c>
      <c r="AK442" s="741">
        <v>0</v>
      </c>
      <c r="AL442" s="741">
        <v>0</v>
      </c>
      <c r="AM442" s="741">
        <v>0</v>
      </c>
      <c r="AN442" s="741">
        <v>0</v>
      </c>
      <c r="AO442" s="741">
        <v>0</v>
      </c>
      <c r="AP442" s="41" t="str">
        <f t="shared" si="110"/>
        <v>GLN</v>
      </c>
      <c r="AQ442" s="41" t="str">
        <f t="shared" si="111"/>
        <v>GLNN2Asset Retirement Obligation</v>
      </c>
      <c r="AR442" s="41" t="str">
        <f t="shared" si="112"/>
        <v>N2Asset Retirement Obligation</v>
      </c>
    </row>
    <row r="443" spans="1:44" s="41" customFormat="1" ht="12.75" customHeight="1">
      <c r="A443" s="442" t="s">
        <v>17</v>
      </c>
      <c r="B443" s="442" t="str">
        <f t="shared" si="122"/>
        <v>GL228460</v>
      </c>
      <c r="C443" s="638">
        <v>228460</v>
      </c>
      <c r="D443" s="735"/>
      <c r="E443" s="626"/>
      <c r="F443" s="441" t="s">
        <v>432</v>
      </c>
      <c r="G443" s="626"/>
      <c r="H443" s="736" t="s">
        <v>1138</v>
      </c>
      <c r="I443" s="442"/>
      <c r="J443" s="442"/>
      <c r="K443" s="442" t="str">
        <f t="shared" si="121"/>
        <v/>
      </c>
      <c r="L443" s="736" t="s">
        <v>2421</v>
      </c>
      <c r="M443" s="442" t="str">
        <f t="shared" si="123"/>
        <v>N</v>
      </c>
      <c r="N443" s="442" t="str">
        <f>IF(L443&lt;&gt;"",VLOOKUP(L443,Categories!$B$2:$D$41,2,FALSE),IF(F443&lt;&gt;"","No Cat",""))</f>
        <v>NRBASE</v>
      </c>
      <c r="O443" s="442" t="str">
        <f>IF($L443&lt;&gt;"",VLOOKUP($L443,Categories!$B$2:$D$41,3,FALSE),IF($F443&lt;&gt;"","No Cat",""))</f>
        <v>Direct Assign Items Not in RB</v>
      </c>
      <c r="P443" s="736" t="s">
        <v>2468</v>
      </c>
      <c r="Q443" s="442" t="str">
        <f>VLOOKUP($P443,Allocators!$B$7:$F$19,5,FALSE)</f>
        <v>Not in Rate Base</v>
      </c>
      <c r="R443" s="737">
        <f>VLOOKUP($P443,Allocators!$B$7:$F$19,2,FALSE)</f>
        <v>0</v>
      </c>
      <c r="S443" s="737">
        <f>VLOOKUP($P443,Allocators!$B$7:$F$19,3,FALSE)</f>
        <v>0</v>
      </c>
      <c r="T443" s="737">
        <f t="shared" si="124"/>
        <v>1</v>
      </c>
      <c r="U443" s="2">
        <f t="shared" si="115"/>
        <v>0</v>
      </c>
      <c r="V443" s="2">
        <f t="shared" si="116"/>
        <v>0</v>
      </c>
      <c r="W443" s="2">
        <f t="shared" si="117"/>
        <v>3706.2943725</v>
      </c>
      <c r="X443" s="2">
        <f t="shared" si="113"/>
        <v>3706.2943725</v>
      </c>
      <c r="Y443" s="2">
        <f t="shared" si="118"/>
        <v>0</v>
      </c>
      <c r="Z443" s="2">
        <f t="shared" si="119"/>
        <v>0</v>
      </c>
      <c r="AA443" s="2">
        <f t="shared" si="120"/>
        <v>3855.8832699999998</v>
      </c>
      <c r="AB443" s="2">
        <f t="shared" si="114"/>
        <v>3855.8832699999998</v>
      </c>
      <c r="AC443" s="759">
        <v>3684.9245299999998</v>
      </c>
      <c r="AD443" s="741">
        <v>3684.9245299999998</v>
      </c>
      <c r="AE443" s="741">
        <v>3684.9245299999998</v>
      </c>
      <c r="AF443" s="741">
        <v>3684.9245299999998</v>
      </c>
      <c r="AG443" s="741">
        <v>3684.9245299999998</v>
      </c>
      <c r="AH443" s="741">
        <v>3684.9245299999998</v>
      </c>
      <c r="AI443" s="741">
        <v>3684.9245299999998</v>
      </c>
      <c r="AJ443" s="741">
        <v>3684.9245299999998</v>
      </c>
      <c r="AK443" s="741">
        <v>3684.9245299999998</v>
      </c>
      <c r="AL443" s="741">
        <v>3684.9245299999998</v>
      </c>
      <c r="AM443" s="741">
        <v>3684.9245299999998</v>
      </c>
      <c r="AN443" s="741">
        <v>3855.8832699999998</v>
      </c>
      <c r="AO443" s="741">
        <v>3855.8832699999998</v>
      </c>
      <c r="AP443" s="41" t="str">
        <f t="shared" si="110"/>
        <v>GLN</v>
      </c>
      <c r="AQ443" s="41" t="str">
        <f t="shared" si="111"/>
        <v>GLNN2Asset Retirement Obligation</v>
      </c>
      <c r="AR443" s="41" t="str">
        <f t="shared" si="112"/>
        <v>N2Asset Retirement Obligation</v>
      </c>
    </row>
    <row r="444" spans="1:44" s="41" customFormat="1" ht="12.75" customHeight="1">
      <c r="A444" s="442" t="s">
        <v>17</v>
      </c>
      <c r="B444" s="442" t="str">
        <f t="shared" si="122"/>
        <v>GL228480</v>
      </c>
      <c r="C444" s="638">
        <v>228480</v>
      </c>
      <c r="D444" s="735"/>
      <c r="E444" s="626"/>
      <c r="F444" s="441" t="s">
        <v>433</v>
      </c>
      <c r="G444" s="626"/>
      <c r="H444" s="736">
        <v>0</v>
      </c>
      <c r="I444" s="442"/>
      <c r="J444" s="442"/>
      <c r="K444" s="442" t="str">
        <f t="shared" si="121"/>
        <v/>
      </c>
      <c r="L444" s="736" t="s">
        <v>2421</v>
      </c>
      <c r="M444" s="442" t="str">
        <f t="shared" si="123"/>
        <v>N</v>
      </c>
      <c r="N444" s="442" t="str">
        <f>IF(L444&lt;&gt;"",VLOOKUP(L444,Categories!$B$2:$D$41,2,FALSE),IF(F444&lt;&gt;"","No Cat",""))</f>
        <v>NRBASE</v>
      </c>
      <c r="O444" s="442" t="str">
        <f>IF($L444&lt;&gt;"",VLOOKUP($L444,Categories!$B$2:$D$41,3,FALSE),IF($F444&lt;&gt;"","No Cat",""))</f>
        <v>Direct Assign Items Not in RB</v>
      </c>
      <c r="P444" s="736" t="s">
        <v>2468</v>
      </c>
      <c r="Q444" s="442" t="str">
        <f>VLOOKUP($P444,Allocators!$B$7:$F$19,5,FALSE)</f>
        <v>Not in Rate Base</v>
      </c>
      <c r="R444" s="737">
        <f>VLOOKUP($P444,Allocators!$B$7:$F$19,2,FALSE)</f>
        <v>0</v>
      </c>
      <c r="S444" s="737">
        <f>VLOOKUP($P444,Allocators!$B$7:$F$19,3,FALSE)</f>
        <v>0</v>
      </c>
      <c r="T444" s="737">
        <f t="shared" si="124"/>
        <v>1</v>
      </c>
      <c r="U444" s="2" t="str">
        <f t="shared" si="115"/>
        <v/>
      </c>
      <c r="V444" s="2" t="str">
        <f t="shared" si="116"/>
        <v/>
      </c>
      <c r="W444" s="2" t="str">
        <f t="shared" si="117"/>
        <v/>
      </c>
      <c r="X444" s="2">
        <f t="shared" si="113"/>
        <v>0</v>
      </c>
      <c r="Y444" s="2" t="str">
        <f t="shared" si="118"/>
        <v/>
      </c>
      <c r="Z444" s="2" t="str">
        <f t="shared" si="119"/>
        <v/>
      </c>
      <c r="AA444" s="2" t="str">
        <f t="shared" si="120"/>
        <v/>
      </c>
      <c r="AB444" s="2">
        <f t="shared" si="114"/>
        <v>0</v>
      </c>
      <c r="AC444" s="759">
        <v>0</v>
      </c>
      <c r="AD444" s="741">
        <v>0</v>
      </c>
      <c r="AE444" s="741">
        <v>0</v>
      </c>
      <c r="AF444" s="741">
        <v>0</v>
      </c>
      <c r="AG444" s="741">
        <v>0</v>
      </c>
      <c r="AH444" s="741">
        <v>0</v>
      </c>
      <c r="AI444" s="741">
        <v>0</v>
      </c>
      <c r="AJ444" s="741">
        <v>0</v>
      </c>
      <c r="AK444" s="741">
        <v>0</v>
      </c>
      <c r="AL444" s="741">
        <v>0</v>
      </c>
      <c r="AM444" s="741">
        <v>0</v>
      </c>
      <c r="AN444" s="741">
        <v>0</v>
      </c>
      <c r="AO444" s="741">
        <v>0</v>
      </c>
      <c r="AP444" s="41" t="str">
        <f t="shared" si="110"/>
        <v>GLN</v>
      </c>
      <c r="AQ444" s="41" t="str">
        <f t="shared" si="111"/>
        <v>GLNN20</v>
      </c>
      <c r="AR444" s="41" t="str">
        <f t="shared" si="112"/>
        <v>N20</v>
      </c>
    </row>
    <row r="445" spans="1:44" s="41" customFormat="1" ht="12.75" customHeight="1">
      <c r="A445" s="442" t="s">
        <v>17</v>
      </c>
      <c r="B445" s="442" t="str">
        <f t="shared" si="122"/>
        <v>GL228490</v>
      </c>
      <c r="C445" s="638">
        <v>228490</v>
      </c>
      <c r="D445" s="735"/>
      <c r="E445" s="626"/>
      <c r="F445" s="441" t="s">
        <v>434</v>
      </c>
      <c r="G445" s="626"/>
      <c r="H445" s="736" t="s">
        <v>1325</v>
      </c>
      <c r="I445" s="442"/>
      <c r="J445" s="442" t="s">
        <v>7</v>
      </c>
      <c r="K445" s="442" t="str">
        <f t="shared" si="121"/>
        <v/>
      </c>
      <c r="L445" s="736" t="s">
        <v>2436</v>
      </c>
      <c r="M445" s="442" t="str">
        <f t="shared" si="123"/>
        <v>N</v>
      </c>
      <c r="N445" s="442" t="str">
        <f>IF(L445&lt;&gt;"",VLOOKUP(L445,Categories!$B$2:$D$41,2,FALSE),IF(F445&lt;&gt;"","No Cat",""))</f>
        <v>NRBASE</v>
      </c>
      <c r="O445" s="442" t="str">
        <f>IF($L445&lt;&gt;"",VLOOKUP($L445,Categories!$B$2:$D$41,3,FALSE),IF($F445&lt;&gt;"","No Cat",""))</f>
        <v>Deferrals Accruing Non-Cash Return   (other than ASGA)</v>
      </c>
      <c r="P445" s="736" t="s">
        <v>2468</v>
      </c>
      <c r="Q445" s="442" t="str">
        <f>VLOOKUP($P445,Allocators!$B$7:$F$19,5,FALSE)</f>
        <v>Not in Rate Base</v>
      </c>
      <c r="R445" s="737">
        <f>VLOOKUP($P445,Allocators!$B$7:$F$19,2,FALSE)</f>
        <v>0</v>
      </c>
      <c r="S445" s="737">
        <f>VLOOKUP($P445,Allocators!$B$7:$F$19,3,FALSE)</f>
        <v>0</v>
      </c>
      <c r="T445" s="737">
        <f t="shared" si="124"/>
        <v>1</v>
      </c>
      <c r="U445" s="2" t="str">
        <f t="shared" si="115"/>
        <v/>
      </c>
      <c r="V445" s="2" t="str">
        <f t="shared" si="116"/>
        <v/>
      </c>
      <c r="W445" s="2" t="str">
        <f t="shared" si="117"/>
        <v/>
      </c>
      <c r="X445" s="2">
        <f t="shared" si="113"/>
        <v>0</v>
      </c>
      <c r="Y445" s="2" t="str">
        <f t="shared" si="118"/>
        <v/>
      </c>
      <c r="Z445" s="2" t="str">
        <f t="shared" si="119"/>
        <v/>
      </c>
      <c r="AA445" s="2" t="str">
        <f t="shared" si="120"/>
        <v/>
      </c>
      <c r="AB445" s="2">
        <f t="shared" si="114"/>
        <v>0</v>
      </c>
      <c r="AC445" s="759">
        <v>0</v>
      </c>
      <c r="AD445" s="741">
        <v>0</v>
      </c>
      <c r="AE445" s="741">
        <v>0</v>
      </c>
      <c r="AF445" s="741">
        <v>0</v>
      </c>
      <c r="AG445" s="741">
        <v>0</v>
      </c>
      <c r="AH445" s="741">
        <v>0</v>
      </c>
      <c r="AI445" s="741">
        <v>0</v>
      </c>
      <c r="AJ445" s="741">
        <v>0</v>
      </c>
      <c r="AK445" s="741">
        <v>0</v>
      </c>
      <c r="AL445" s="741">
        <v>0</v>
      </c>
      <c r="AM445" s="741">
        <v>0</v>
      </c>
      <c r="AN445" s="741">
        <v>0</v>
      </c>
      <c r="AO445" s="741">
        <v>0</v>
      </c>
      <c r="AP445" s="41" t="str">
        <f t="shared" si="110"/>
        <v>GLN</v>
      </c>
      <c r="AQ445" s="41" t="str">
        <f t="shared" si="111"/>
        <v>GLNN10Major Storm Reserve</v>
      </c>
      <c r="AR445" s="41" t="str">
        <f t="shared" si="112"/>
        <v>N10Major Storm ReserveNCR</v>
      </c>
    </row>
    <row r="446" spans="1:44" s="41" customFormat="1" ht="12.75" customHeight="1">
      <c r="A446" s="442" t="s">
        <v>17</v>
      </c>
      <c r="B446" s="442" t="str">
        <f t="shared" si="122"/>
        <v>GL228550</v>
      </c>
      <c r="C446" s="638">
        <v>228550</v>
      </c>
      <c r="D446" s="735"/>
      <c r="E446" s="626"/>
      <c r="F446" s="441" t="s">
        <v>435</v>
      </c>
      <c r="G446" s="626"/>
      <c r="H446" s="736">
        <v>0</v>
      </c>
      <c r="I446" s="442"/>
      <c r="J446" s="442"/>
      <c r="K446" s="442" t="str">
        <f t="shared" si="121"/>
        <v/>
      </c>
      <c r="L446" s="736" t="s">
        <v>2421</v>
      </c>
      <c r="M446" s="442" t="str">
        <f t="shared" si="123"/>
        <v>N</v>
      </c>
      <c r="N446" s="442" t="str">
        <f>IF(L446&lt;&gt;"",VLOOKUP(L446,Categories!$B$2:$D$41,2,FALSE),IF(F446&lt;&gt;"","No Cat",""))</f>
        <v>NRBASE</v>
      </c>
      <c r="O446" s="442" t="str">
        <f>IF($L446&lt;&gt;"",VLOOKUP($L446,Categories!$B$2:$D$41,3,FALSE),IF($F446&lt;&gt;"","No Cat",""))</f>
        <v>Direct Assign Items Not in RB</v>
      </c>
      <c r="P446" s="736" t="s">
        <v>2468</v>
      </c>
      <c r="Q446" s="442" t="str">
        <f>VLOOKUP($P446,Allocators!$B$7:$F$19,5,FALSE)</f>
        <v>Not in Rate Base</v>
      </c>
      <c r="R446" s="737">
        <f>VLOOKUP($P446,Allocators!$B$7:$F$19,2,FALSE)</f>
        <v>0</v>
      </c>
      <c r="S446" s="737">
        <f>VLOOKUP($P446,Allocators!$B$7:$F$19,3,FALSE)</f>
        <v>0</v>
      </c>
      <c r="T446" s="737">
        <f t="shared" si="124"/>
        <v>1</v>
      </c>
      <c r="U446" s="2" t="str">
        <f t="shared" si="115"/>
        <v/>
      </c>
      <c r="V446" s="2" t="str">
        <f t="shared" si="116"/>
        <v/>
      </c>
      <c r="W446" s="2" t="str">
        <f t="shared" si="117"/>
        <v/>
      </c>
      <c r="X446" s="2">
        <f t="shared" si="113"/>
        <v>0</v>
      </c>
      <c r="Y446" s="2" t="str">
        <f t="shared" si="118"/>
        <v/>
      </c>
      <c r="Z446" s="2" t="str">
        <f t="shared" si="119"/>
        <v/>
      </c>
      <c r="AA446" s="2" t="str">
        <f t="shared" si="120"/>
        <v/>
      </c>
      <c r="AB446" s="2">
        <f t="shared" si="114"/>
        <v>0</v>
      </c>
      <c r="AC446" s="759">
        <v>0</v>
      </c>
      <c r="AD446" s="741">
        <v>0</v>
      </c>
      <c r="AE446" s="741">
        <v>0</v>
      </c>
      <c r="AF446" s="741">
        <v>0</v>
      </c>
      <c r="AG446" s="741">
        <v>0</v>
      </c>
      <c r="AH446" s="741">
        <v>0</v>
      </c>
      <c r="AI446" s="741">
        <v>0</v>
      </c>
      <c r="AJ446" s="741">
        <v>0</v>
      </c>
      <c r="AK446" s="741">
        <v>0</v>
      </c>
      <c r="AL446" s="741">
        <v>0</v>
      </c>
      <c r="AM446" s="741">
        <v>0</v>
      </c>
      <c r="AN446" s="741">
        <v>0</v>
      </c>
      <c r="AO446" s="741">
        <v>0</v>
      </c>
      <c r="AP446" s="41" t="str">
        <f t="shared" si="110"/>
        <v>GLN</v>
      </c>
      <c r="AQ446" s="41" t="str">
        <f t="shared" si="111"/>
        <v>GLNN20</v>
      </c>
      <c r="AR446" s="41" t="str">
        <f t="shared" si="112"/>
        <v>N20</v>
      </c>
    </row>
    <row r="447" spans="1:44" s="41" customFormat="1" ht="12.75" customHeight="1">
      <c r="A447" s="442" t="s">
        <v>17</v>
      </c>
      <c r="B447" s="442" t="str">
        <f t="shared" si="122"/>
        <v>GL228600</v>
      </c>
      <c r="C447" s="638">
        <v>228600</v>
      </c>
      <c r="D447" s="735"/>
      <c r="E447" s="626"/>
      <c r="F447" s="441" t="s">
        <v>436</v>
      </c>
      <c r="G447" s="626"/>
      <c r="H447" s="736">
        <v>0</v>
      </c>
      <c r="I447" s="442"/>
      <c r="J447" s="442"/>
      <c r="K447" s="442" t="str">
        <f t="shared" si="121"/>
        <v/>
      </c>
      <c r="L447" s="736" t="s">
        <v>2421</v>
      </c>
      <c r="M447" s="442" t="str">
        <f t="shared" si="123"/>
        <v>N</v>
      </c>
      <c r="N447" s="442" t="str">
        <f>IF(L447&lt;&gt;"",VLOOKUP(L447,Categories!$B$2:$D$41,2,FALSE),IF(F447&lt;&gt;"","No Cat",""))</f>
        <v>NRBASE</v>
      </c>
      <c r="O447" s="442" t="str">
        <f>IF($L447&lt;&gt;"",VLOOKUP($L447,Categories!$B$2:$D$41,3,FALSE),IF($F447&lt;&gt;"","No Cat",""))</f>
        <v>Direct Assign Items Not in RB</v>
      </c>
      <c r="P447" s="736" t="s">
        <v>2468</v>
      </c>
      <c r="Q447" s="442" t="str">
        <f>VLOOKUP($P447,Allocators!$B$7:$F$19,5,FALSE)</f>
        <v>Not in Rate Base</v>
      </c>
      <c r="R447" s="737">
        <f>VLOOKUP($P447,Allocators!$B$7:$F$19,2,FALSE)</f>
        <v>0</v>
      </c>
      <c r="S447" s="737">
        <f>VLOOKUP($P447,Allocators!$B$7:$F$19,3,FALSE)</f>
        <v>0</v>
      </c>
      <c r="T447" s="737">
        <f t="shared" si="124"/>
        <v>1</v>
      </c>
      <c r="U447" s="2" t="str">
        <f t="shared" si="115"/>
        <v/>
      </c>
      <c r="V447" s="2" t="str">
        <f t="shared" si="116"/>
        <v/>
      </c>
      <c r="W447" s="2" t="str">
        <f t="shared" si="117"/>
        <v/>
      </c>
      <c r="X447" s="2">
        <f t="shared" si="113"/>
        <v>0</v>
      </c>
      <c r="Y447" s="2" t="str">
        <f t="shared" si="118"/>
        <v/>
      </c>
      <c r="Z447" s="2" t="str">
        <f t="shared" si="119"/>
        <v/>
      </c>
      <c r="AA447" s="2" t="str">
        <f t="shared" si="120"/>
        <v/>
      </c>
      <c r="AB447" s="2">
        <f t="shared" si="114"/>
        <v>0</v>
      </c>
      <c r="AC447" s="759">
        <v>0</v>
      </c>
      <c r="AD447" s="741">
        <v>0</v>
      </c>
      <c r="AE447" s="741">
        <v>0</v>
      </c>
      <c r="AF447" s="741">
        <v>0</v>
      </c>
      <c r="AG447" s="741">
        <v>0</v>
      </c>
      <c r="AH447" s="741">
        <v>0</v>
      </c>
      <c r="AI447" s="741">
        <v>0</v>
      </c>
      <c r="AJ447" s="741">
        <v>0</v>
      </c>
      <c r="AK447" s="741">
        <v>0</v>
      </c>
      <c r="AL447" s="741">
        <v>0</v>
      </c>
      <c r="AM447" s="741">
        <v>0</v>
      </c>
      <c r="AN447" s="741">
        <v>0</v>
      </c>
      <c r="AO447" s="741">
        <v>0</v>
      </c>
      <c r="AP447" s="41" t="str">
        <f t="shared" si="110"/>
        <v>GLN</v>
      </c>
      <c r="AQ447" s="41" t="str">
        <f t="shared" si="111"/>
        <v>GLNN20</v>
      </c>
      <c r="AR447" s="41" t="str">
        <f t="shared" si="112"/>
        <v>N20</v>
      </c>
    </row>
    <row r="448" spans="1:44" s="41" customFormat="1" ht="12.75" customHeight="1">
      <c r="A448" s="442" t="s">
        <v>17</v>
      </c>
      <c r="B448" s="442" t="str">
        <f t="shared" si="122"/>
        <v>GL228610</v>
      </c>
      <c r="C448" s="638">
        <v>228610</v>
      </c>
      <c r="D448" s="735"/>
      <c r="E448" s="626"/>
      <c r="F448" s="441" t="s">
        <v>437</v>
      </c>
      <c r="G448" s="626"/>
      <c r="H448" s="736">
        <v>0</v>
      </c>
      <c r="I448" s="442"/>
      <c r="J448" s="442"/>
      <c r="K448" s="442" t="str">
        <f t="shared" si="121"/>
        <v/>
      </c>
      <c r="L448" s="736" t="s">
        <v>2421</v>
      </c>
      <c r="M448" s="442" t="str">
        <f t="shared" si="123"/>
        <v>N</v>
      </c>
      <c r="N448" s="442" t="str">
        <f>IF(L448&lt;&gt;"",VLOOKUP(L448,Categories!$B$2:$D$41,2,FALSE),IF(F448&lt;&gt;"","No Cat",""))</f>
        <v>NRBASE</v>
      </c>
      <c r="O448" s="442" t="str">
        <f>IF($L448&lt;&gt;"",VLOOKUP($L448,Categories!$B$2:$D$41,3,FALSE),IF($F448&lt;&gt;"","No Cat",""))</f>
        <v>Direct Assign Items Not in RB</v>
      </c>
      <c r="P448" s="736" t="s">
        <v>2468</v>
      </c>
      <c r="Q448" s="442" t="str">
        <f>VLOOKUP($P448,Allocators!$B$7:$F$19,5,FALSE)</f>
        <v>Not in Rate Base</v>
      </c>
      <c r="R448" s="737">
        <f>VLOOKUP($P448,Allocators!$B$7:$F$19,2,FALSE)</f>
        <v>0</v>
      </c>
      <c r="S448" s="737">
        <f>VLOOKUP($P448,Allocators!$B$7:$F$19,3,FALSE)</f>
        <v>0</v>
      </c>
      <c r="T448" s="737">
        <f t="shared" si="124"/>
        <v>1</v>
      </c>
      <c r="U448" s="2" t="str">
        <f t="shared" si="115"/>
        <v/>
      </c>
      <c r="V448" s="2" t="str">
        <f t="shared" si="116"/>
        <v/>
      </c>
      <c r="W448" s="2" t="str">
        <f t="shared" si="117"/>
        <v/>
      </c>
      <c r="X448" s="2">
        <f t="shared" si="113"/>
        <v>0</v>
      </c>
      <c r="Y448" s="2" t="str">
        <f t="shared" si="118"/>
        <v/>
      </c>
      <c r="Z448" s="2" t="str">
        <f t="shared" si="119"/>
        <v/>
      </c>
      <c r="AA448" s="2" t="str">
        <f t="shared" si="120"/>
        <v/>
      </c>
      <c r="AB448" s="2">
        <f t="shared" si="114"/>
        <v>0</v>
      </c>
      <c r="AC448" s="759">
        <v>0</v>
      </c>
      <c r="AD448" s="741">
        <v>0</v>
      </c>
      <c r="AE448" s="741">
        <v>0</v>
      </c>
      <c r="AF448" s="741">
        <v>0</v>
      </c>
      <c r="AG448" s="741">
        <v>0</v>
      </c>
      <c r="AH448" s="741">
        <v>0</v>
      </c>
      <c r="AI448" s="741">
        <v>0</v>
      </c>
      <c r="AJ448" s="741">
        <v>0</v>
      </c>
      <c r="AK448" s="741">
        <v>0</v>
      </c>
      <c r="AL448" s="741">
        <v>0</v>
      </c>
      <c r="AM448" s="741">
        <v>0</v>
      </c>
      <c r="AN448" s="741">
        <v>0</v>
      </c>
      <c r="AO448" s="741">
        <v>0</v>
      </c>
      <c r="AP448" s="41" t="str">
        <f t="shared" si="110"/>
        <v>GLN</v>
      </c>
      <c r="AQ448" s="41" t="str">
        <f t="shared" si="111"/>
        <v>GLNN20</v>
      </c>
      <c r="AR448" s="41" t="str">
        <f t="shared" si="112"/>
        <v>N20</v>
      </c>
    </row>
    <row r="449" spans="1:96" s="41" customFormat="1" ht="12.75" customHeight="1">
      <c r="A449" s="25" t="s">
        <v>17</v>
      </c>
      <c r="B449" s="25" t="str">
        <f t="shared" si="122"/>
        <v>GL228700</v>
      </c>
      <c r="C449" s="638">
        <v>228700</v>
      </c>
      <c r="D449" s="735"/>
      <c r="F449" s="1" t="s">
        <v>438</v>
      </c>
      <c r="H449" s="736">
        <v>0</v>
      </c>
      <c r="I449" s="25"/>
      <c r="J449" s="25"/>
      <c r="K449" s="442" t="str">
        <f t="shared" si="121"/>
        <v/>
      </c>
      <c r="L449" s="736" t="s">
        <v>2390</v>
      </c>
      <c r="M449" s="25" t="str">
        <f t="shared" si="123"/>
        <v>A</v>
      </c>
      <c r="N449" s="25" t="str">
        <f>IF(L449&lt;&gt;"",VLOOKUP(L449,Categories!$B$2:$D$41,2,FALSE),IF(F449&lt;&gt;"","No Cat",""))</f>
        <v>All Other</v>
      </c>
      <c r="O449" s="25" t="str">
        <f>IF($L449&lt;&gt;"",VLOOKUP($L449,Categories!$B$2:$D$41,3,FALSE),IF($F449&lt;&gt;"","No Cat",""))</f>
        <v>Unused Accounts</v>
      </c>
      <c r="P449" s="736" t="s">
        <v>2490</v>
      </c>
      <c r="Q449" s="25" t="str">
        <f>VLOOKUP($P449,Allocators!$B$7:$F$19,5,FALSE)</f>
        <v>Rate Base</v>
      </c>
      <c r="R449" s="737">
        <f>VLOOKUP($P449,Allocators!$B$7:$F$19,2,FALSE)</f>
        <v>0.70940000000000003</v>
      </c>
      <c r="S449" s="737">
        <f>VLOOKUP($P449,Allocators!$B$7:$F$19,3,FALSE)</f>
        <v>0.29060000000000002</v>
      </c>
      <c r="T449" s="737" t="str">
        <f t="shared" si="124"/>
        <v>0.0%</v>
      </c>
      <c r="U449" s="2" t="str">
        <f t="shared" si="115"/>
        <v/>
      </c>
      <c r="V449" s="2" t="str">
        <f t="shared" si="116"/>
        <v/>
      </c>
      <c r="W449" s="2" t="str">
        <f t="shared" si="117"/>
        <v/>
      </c>
      <c r="X449" s="2">
        <f t="shared" si="113"/>
        <v>0</v>
      </c>
      <c r="Y449" s="2" t="str">
        <f t="shared" si="118"/>
        <v/>
      </c>
      <c r="Z449" s="2" t="str">
        <f t="shared" si="119"/>
        <v/>
      </c>
      <c r="AA449" s="2" t="str">
        <f t="shared" si="120"/>
        <v/>
      </c>
      <c r="AB449" s="2">
        <f t="shared" si="114"/>
        <v>0</v>
      </c>
      <c r="AC449" s="759">
        <v>0</v>
      </c>
      <c r="AD449" s="741">
        <v>0</v>
      </c>
      <c r="AE449" s="741">
        <v>0</v>
      </c>
      <c r="AF449" s="741">
        <v>0</v>
      </c>
      <c r="AG449" s="741">
        <v>0</v>
      </c>
      <c r="AH449" s="741">
        <v>0</v>
      </c>
      <c r="AI449" s="741">
        <v>0</v>
      </c>
      <c r="AJ449" s="741">
        <v>0</v>
      </c>
      <c r="AK449" s="741">
        <v>0</v>
      </c>
      <c r="AL449" s="741">
        <v>0</v>
      </c>
      <c r="AM449" s="741">
        <v>0</v>
      </c>
      <c r="AN449" s="741">
        <v>0</v>
      </c>
      <c r="AO449" s="741">
        <v>0</v>
      </c>
      <c r="AP449" s="41" t="str">
        <f t="shared" si="110"/>
        <v>GLA</v>
      </c>
      <c r="AQ449" s="41" t="str">
        <f t="shared" si="111"/>
        <v>GLAA10</v>
      </c>
      <c r="AR449" s="41" t="str">
        <f t="shared" si="112"/>
        <v>A10</v>
      </c>
      <c r="CR449" s="625"/>
    </row>
    <row r="450" spans="1:96" s="41" customFormat="1" ht="12.75" customHeight="1">
      <c r="A450" s="442" t="s">
        <v>17</v>
      </c>
      <c r="B450" s="442" t="str">
        <f t="shared" si="122"/>
        <v>GL228992</v>
      </c>
      <c r="C450" s="638">
        <v>228992</v>
      </c>
      <c r="D450" s="735"/>
      <c r="E450" s="626"/>
      <c r="F450" s="441" t="s">
        <v>439</v>
      </c>
      <c r="G450" s="626"/>
      <c r="H450" s="736">
        <v>0</v>
      </c>
      <c r="I450" s="442"/>
      <c r="J450" s="442"/>
      <c r="K450" s="442" t="str">
        <f t="shared" si="121"/>
        <v/>
      </c>
      <c r="L450" s="736" t="s">
        <v>2421</v>
      </c>
      <c r="M450" s="442" t="str">
        <f t="shared" si="123"/>
        <v>N</v>
      </c>
      <c r="N450" s="442" t="str">
        <f>IF(L450&lt;&gt;"",VLOOKUP(L450,Categories!$B$2:$D$41,2,FALSE),IF(F450&lt;&gt;"","No Cat",""))</f>
        <v>NRBASE</v>
      </c>
      <c r="O450" s="442" t="str">
        <f>IF($L450&lt;&gt;"",VLOOKUP($L450,Categories!$B$2:$D$41,3,FALSE),IF($F450&lt;&gt;"","No Cat",""))</f>
        <v>Direct Assign Items Not in RB</v>
      </c>
      <c r="P450" s="736" t="s">
        <v>2468</v>
      </c>
      <c r="Q450" s="442" t="str">
        <f>VLOOKUP($P450,Allocators!$B$7:$F$19,5,FALSE)</f>
        <v>Not in Rate Base</v>
      </c>
      <c r="R450" s="737">
        <f>VLOOKUP($P450,Allocators!$B$7:$F$19,2,FALSE)</f>
        <v>0</v>
      </c>
      <c r="S450" s="737">
        <f>VLOOKUP($P450,Allocators!$B$7:$F$19,3,FALSE)</f>
        <v>0</v>
      </c>
      <c r="T450" s="737">
        <f t="shared" si="124"/>
        <v>1</v>
      </c>
      <c r="U450" s="2">
        <f t="shared" si="115"/>
        <v>0</v>
      </c>
      <c r="V450" s="2">
        <f t="shared" si="116"/>
        <v>0</v>
      </c>
      <c r="W450" s="2">
        <f t="shared" si="117"/>
        <v>-5237.8925141666696</v>
      </c>
      <c r="X450" s="2">
        <f t="shared" si="113"/>
        <v>-5237.8925141666696</v>
      </c>
      <c r="Y450" s="2">
        <f t="shared" si="118"/>
        <v>0</v>
      </c>
      <c r="Z450" s="2">
        <f t="shared" si="119"/>
        <v>0</v>
      </c>
      <c r="AA450" s="2">
        <f t="shared" si="120"/>
        <v>-6246.4</v>
      </c>
      <c r="AB450" s="2">
        <f t="shared" si="114"/>
        <v>-6246.4</v>
      </c>
      <c r="AC450" s="759">
        <v>-4481.1210000000001</v>
      </c>
      <c r="AD450" s="741">
        <v>-4481.1210000000001</v>
      </c>
      <c r="AE450" s="741">
        <v>-4481.1210000000001</v>
      </c>
      <c r="AF450" s="741">
        <v>-4481.1210000000001</v>
      </c>
      <c r="AG450" s="741">
        <v>-4928.5006700000004</v>
      </c>
      <c r="AH450" s="741">
        <v>-5478.7809999999999</v>
      </c>
      <c r="AI450" s="741">
        <v>-5478.7809999999999</v>
      </c>
      <c r="AJ450" s="741">
        <v>-5478.7809999999999</v>
      </c>
      <c r="AK450" s="741">
        <v>-5478.7809999999999</v>
      </c>
      <c r="AL450" s="741">
        <v>-5478.7809999999999</v>
      </c>
      <c r="AM450" s="741">
        <v>-5478.7809999999999</v>
      </c>
      <c r="AN450" s="741">
        <v>-6246.4</v>
      </c>
      <c r="AO450" s="741">
        <v>-6246.4</v>
      </c>
      <c r="AP450" s="41" t="str">
        <f t="shared" si="110"/>
        <v>GLN</v>
      </c>
      <c r="AQ450" s="41" t="str">
        <f t="shared" si="111"/>
        <v>GLNN20</v>
      </c>
      <c r="AR450" s="41" t="str">
        <f t="shared" si="112"/>
        <v>N20</v>
      </c>
    </row>
    <row r="451" spans="1:96" s="41" customFormat="1" ht="12.75" customHeight="1">
      <c r="A451" s="442" t="s">
        <v>17</v>
      </c>
      <c r="B451" s="442" t="str">
        <f t="shared" si="122"/>
        <v>GL228993</v>
      </c>
      <c r="C451" s="638">
        <v>228993</v>
      </c>
      <c r="D451" s="735"/>
      <c r="E451" s="626"/>
      <c r="F451" s="441" t="s">
        <v>440</v>
      </c>
      <c r="G451" s="626"/>
      <c r="H451" s="736">
        <v>0</v>
      </c>
      <c r="I451" s="442"/>
      <c r="J451" s="442"/>
      <c r="K451" s="442" t="str">
        <f t="shared" si="121"/>
        <v/>
      </c>
      <c r="L451" s="736" t="s">
        <v>2421</v>
      </c>
      <c r="M451" s="442" t="str">
        <f t="shared" si="123"/>
        <v>N</v>
      </c>
      <c r="N451" s="442" t="str">
        <f>IF(L451&lt;&gt;"",VLOOKUP(L451,Categories!$B$2:$D$41,2,FALSE),IF(F451&lt;&gt;"","No Cat",""))</f>
        <v>NRBASE</v>
      </c>
      <c r="O451" s="442" t="str">
        <f>IF($L451&lt;&gt;"",VLOOKUP($L451,Categories!$B$2:$D$41,3,FALSE),IF($F451&lt;&gt;"","No Cat",""))</f>
        <v>Direct Assign Items Not in RB</v>
      </c>
      <c r="P451" s="736" t="s">
        <v>2468</v>
      </c>
      <c r="Q451" s="442" t="str">
        <f>VLOOKUP($P451,Allocators!$B$7:$F$19,5,FALSE)</f>
        <v>Not in Rate Base</v>
      </c>
      <c r="R451" s="737">
        <f>VLOOKUP($P451,Allocators!$B$7:$F$19,2,FALSE)</f>
        <v>0</v>
      </c>
      <c r="S451" s="737">
        <f>VLOOKUP($P451,Allocators!$B$7:$F$19,3,FALSE)</f>
        <v>0</v>
      </c>
      <c r="T451" s="737">
        <f t="shared" si="124"/>
        <v>1</v>
      </c>
      <c r="U451" s="2">
        <f t="shared" si="115"/>
        <v>0</v>
      </c>
      <c r="V451" s="2">
        <f t="shared" si="116"/>
        <v>0</v>
      </c>
      <c r="W451" s="2">
        <f t="shared" si="117"/>
        <v>5237.8925141666696</v>
      </c>
      <c r="X451" s="2">
        <f t="shared" si="113"/>
        <v>5237.8925141666696</v>
      </c>
      <c r="Y451" s="2">
        <f t="shared" si="118"/>
        <v>0</v>
      </c>
      <c r="Z451" s="2">
        <f t="shared" si="119"/>
        <v>0</v>
      </c>
      <c r="AA451" s="2">
        <f t="shared" si="120"/>
        <v>6246.4</v>
      </c>
      <c r="AB451" s="2">
        <f t="shared" si="114"/>
        <v>6246.4</v>
      </c>
      <c r="AC451" s="759">
        <v>4481.1210000000001</v>
      </c>
      <c r="AD451" s="741">
        <v>4481.1210000000001</v>
      </c>
      <c r="AE451" s="741">
        <v>4481.1210000000001</v>
      </c>
      <c r="AF451" s="741">
        <v>4481.1210000000001</v>
      </c>
      <c r="AG451" s="741">
        <v>4928.5006700000004</v>
      </c>
      <c r="AH451" s="741">
        <v>5478.7809999999999</v>
      </c>
      <c r="AI451" s="741">
        <v>5478.7809999999999</v>
      </c>
      <c r="AJ451" s="741">
        <v>5478.7809999999999</v>
      </c>
      <c r="AK451" s="741">
        <v>5478.7809999999999</v>
      </c>
      <c r="AL451" s="741">
        <v>5478.7809999999999</v>
      </c>
      <c r="AM451" s="741">
        <v>5478.7809999999999</v>
      </c>
      <c r="AN451" s="741">
        <v>6246.4</v>
      </c>
      <c r="AO451" s="741">
        <v>6246.4</v>
      </c>
      <c r="AP451" s="41" t="str">
        <f t="shared" si="110"/>
        <v>GLN</v>
      </c>
      <c r="AQ451" s="41" t="str">
        <f t="shared" si="111"/>
        <v>GLNN20</v>
      </c>
      <c r="AR451" s="41" t="str">
        <f t="shared" si="112"/>
        <v>N20</v>
      </c>
    </row>
    <row r="452" spans="1:96" s="41" customFormat="1" ht="12.75" customHeight="1">
      <c r="A452" s="25" t="s">
        <v>17</v>
      </c>
      <c r="B452" s="25" t="str">
        <f t="shared" si="122"/>
        <v>GL229010</v>
      </c>
      <c r="C452" s="638">
        <v>229010</v>
      </c>
      <c r="D452" s="735"/>
      <c r="F452" s="1" t="s">
        <v>441</v>
      </c>
      <c r="H452" s="736">
        <v>0</v>
      </c>
      <c r="I452" s="25"/>
      <c r="J452" s="25"/>
      <c r="K452" s="442" t="str">
        <f t="shared" si="121"/>
        <v/>
      </c>
      <c r="L452" s="736" t="s">
        <v>2390</v>
      </c>
      <c r="M452" s="25" t="str">
        <f t="shared" si="123"/>
        <v>A</v>
      </c>
      <c r="N452" s="25" t="str">
        <f>IF(L452&lt;&gt;"",VLOOKUP(L452,Categories!$B$2:$D$41,2,FALSE),IF(F452&lt;&gt;"","No Cat",""))</f>
        <v>All Other</v>
      </c>
      <c r="O452" s="25" t="str">
        <f>IF($L452&lt;&gt;"",VLOOKUP($L452,Categories!$B$2:$D$41,3,FALSE),IF($F452&lt;&gt;"","No Cat",""))</f>
        <v>Unused Accounts</v>
      </c>
      <c r="P452" s="736" t="s">
        <v>2490</v>
      </c>
      <c r="Q452" s="25" t="str">
        <f>VLOOKUP($P452,Allocators!$B$7:$F$19,5,FALSE)</f>
        <v>Rate Base</v>
      </c>
      <c r="R452" s="737">
        <f>VLOOKUP($P452,Allocators!$B$7:$F$19,2,FALSE)</f>
        <v>0.70940000000000003</v>
      </c>
      <c r="S452" s="737">
        <f>VLOOKUP($P452,Allocators!$B$7:$F$19,3,FALSE)</f>
        <v>0.29060000000000002</v>
      </c>
      <c r="T452" s="737" t="str">
        <f t="shared" si="124"/>
        <v>0.0%</v>
      </c>
      <c r="U452" s="2" t="str">
        <f t="shared" si="115"/>
        <v/>
      </c>
      <c r="V452" s="2" t="str">
        <f t="shared" si="116"/>
        <v/>
      </c>
      <c r="W452" s="2" t="str">
        <f t="shared" si="117"/>
        <v/>
      </c>
      <c r="X452" s="2">
        <f t="shared" si="113"/>
        <v>0</v>
      </c>
      <c r="Y452" s="2" t="str">
        <f t="shared" si="118"/>
        <v/>
      </c>
      <c r="Z452" s="2" t="str">
        <f t="shared" si="119"/>
        <v/>
      </c>
      <c r="AA452" s="2" t="str">
        <f t="shared" si="120"/>
        <v/>
      </c>
      <c r="AB452" s="2">
        <f t="shared" si="114"/>
        <v>0</v>
      </c>
      <c r="AC452" s="759">
        <v>0</v>
      </c>
      <c r="AD452" s="741">
        <v>0</v>
      </c>
      <c r="AE452" s="741">
        <v>0</v>
      </c>
      <c r="AF452" s="741">
        <v>0</v>
      </c>
      <c r="AG452" s="741">
        <v>0</v>
      </c>
      <c r="AH452" s="741">
        <v>0</v>
      </c>
      <c r="AI452" s="741">
        <v>0</v>
      </c>
      <c r="AJ452" s="741">
        <v>0</v>
      </c>
      <c r="AK452" s="741">
        <v>0</v>
      </c>
      <c r="AL452" s="741">
        <v>0</v>
      </c>
      <c r="AM452" s="741">
        <v>0</v>
      </c>
      <c r="AN452" s="741">
        <v>0</v>
      </c>
      <c r="AO452" s="741">
        <v>0</v>
      </c>
      <c r="AP452" s="41" t="str">
        <f t="shared" si="110"/>
        <v>GLA</v>
      </c>
      <c r="AQ452" s="41" t="str">
        <f t="shared" si="111"/>
        <v>GLAA10</v>
      </c>
      <c r="AR452" s="41" t="str">
        <f t="shared" si="112"/>
        <v>A10</v>
      </c>
      <c r="CR452" s="625"/>
    </row>
    <row r="453" spans="1:96" s="41" customFormat="1" ht="12.75" customHeight="1">
      <c r="A453" s="442" t="s">
        <v>17</v>
      </c>
      <c r="B453" s="442" t="str">
        <f t="shared" si="122"/>
        <v>GL230010</v>
      </c>
      <c r="C453" s="638">
        <v>230010</v>
      </c>
      <c r="D453" s="735"/>
      <c r="E453" s="626"/>
      <c r="F453" s="441" t="s">
        <v>431</v>
      </c>
      <c r="G453" s="626"/>
      <c r="H453" s="736" t="s">
        <v>1138</v>
      </c>
      <c r="I453" s="442"/>
      <c r="J453" s="442"/>
      <c r="K453" s="442" t="str">
        <f t="shared" si="121"/>
        <v/>
      </c>
      <c r="L453" s="736" t="s">
        <v>2421</v>
      </c>
      <c r="M453" s="442" t="str">
        <f t="shared" si="123"/>
        <v>N</v>
      </c>
      <c r="N453" s="442" t="str">
        <f>IF(L453&lt;&gt;"",VLOOKUP(L453,Categories!$B$2:$D$41,2,FALSE),IF(F453&lt;&gt;"","No Cat",""))</f>
        <v>NRBASE</v>
      </c>
      <c r="O453" s="442" t="str">
        <f>IF($L453&lt;&gt;"",VLOOKUP($L453,Categories!$B$2:$D$41,3,FALSE),IF($F453&lt;&gt;"","No Cat",""))</f>
        <v>Direct Assign Items Not in RB</v>
      </c>
      <c r="P453" s="736" t="s">
        <v>2468</v>
      </c>
      <c r="Q453" s="442" t="str">
        <f>VLOOKUP($P453,Allocators!$B$7:$F$19,5,FALSE)</f>
        <v>Not in Rate Base</v>
      </c>
      <c r="R453" s="737">
        <f>VLOOKUP($P453,Allocators!$B$7:$F$19,2,FALSE)</f>
        <v>0</v>
      </c>
      <c r="S453" s="737">
        <f>VLOOKUP($P453,Allocators!$B$7:$F$19,3,FALSE)</f>
        <v>0</v>
      </c>
      <c r="T453" s="737">
        <f t="shared" si="124"/>
        <v>1</v>
      </c>
      <c r="U453" s="2">
        <f t="shared" si="115"/>
        <v>0</v>
      </c>
      <c r="V453" s="2">
        <f t="shared" si="116"/>
        <v>0</v>
      </c>
      <c r="W453" s="2">
        <f t="shared" si="117"/>
        <v>-17636.0684145833</v>
      </c>
      <c r="X453" s="2">
        <f t="shared" si="113"/>
        <v>-17636.0684145833</v>
      </c>
      <c r="Y453" s="2">
        <f t="shared" si="118"/>
        <v>0</v>
      </c>
      <c r="Z453" s="2">
        <f t="shared" si="119"/>
        <v>0</v>
      </c>
      <c r="AA453" s="2">
        <f t="shared" si="120"/>
        <v>-20773.47235</v>
      </c>
      <c r="AB453" s="2">
        <f t="shared" si="114"/>
        <v>-20773.47235</v>
      </c>
      <c r="AC453" s="759">
        <v>-13921.271699999999</v>
      </c>
      <c r="AD453" s="741">
        <v>-14017.638140000001</v>
      </c>
      <c r="AE453" s="741">
        <v>-14114.50921</v>
      </c>
      <c r="AF453" s="741">
        <v>-14212.145189999999</v>
      </c>
      <c r="AG453" s="741">
        <v>-14310.549570000001</v>
      </c>
      <c r="AH453" s="741">
        <v>-14409.728859999999</v>
      </c>
      <c r="AI453" s="741">
        <v>-20345.306860000001</v>
      </c>
      <c r="AJ453" s="741">
        <v>-20425.003089999998</v>
      </c>
      <c r="AK453" s="741">
        <v>-20505.375350000002</v>
      </c>
      <c r="AL453" s="741">
        <v>-20586.429800000002</v>
      </c>
      <c r="AM453" s="741">
        <v>-20668.172649999997</v>
      </c>
      <c r="AN453" s="741">
        <v>-20690.590230000002</v>
      </c>
      <c r="AO453" s="741">
        <v>-20773.47235</v>
      </c>
      <c r="AP453" s="41" t="str">
        <f t="shared" si="110"/>
        <v>GLN</v>
      </c>
      <c r="AQ453" s="41" t="str">
        <f t="shared" si="111"/>
        <v>GLNN2Asset Retirement Obligation</v>
      </c>
      <c r="AR453" s="41" t="str">
        <f t="shared" si="112"/>
        <v>N2Asset Retirement Obligation</v>
      </c>
    </row>
    <row r="454" spans="1:96" s="41" customFormat="1" ht="12.75" customHeight="1">
      <c r="A454" s="442" t="s">
        <v>17</v>
      </c>
      <c r="B454" s="442" t="str">
        <f t="shared" si="122"/>
        <v>GL230030</v>
      </c>
      <c r="C454" s="638">
        <v>230030</v>
      </c>
      <c r="D454" s="735"/>
      <c r="E454" s="626"/>
      <c r="F454" s="441" t="s">
        <v>432</v>
      </c>
      <c r="G454" s="626"/>
      <c r="H454" s="736" t="s">
        <v>1138</v>
      </c>
      <c r="I454" s="442"/>
      <c r="J454" s="442"/>
      <c r="K454" s="442" t="str">
        <f t="shared" si="121"/>
        <v/>
      </c>
      <c r="L454" s="736" t="s">
        <v>2421</v>
      </c>
      <c r="M454" s="442" t="str">
        <f t="shared" si="123"/>
        <v>N</v>
      </c>
      <c r="N454" s="442" t="str">
        <f>IF(L454&lt;&gt;"",VLOOKUP(L454,Categories!$B$2:$D$41,2,FALSE),IF(F454&lt;&gt;"","No Cat",""))</f>
        <v>NRBASE</v>
      </c>
      <c r="O454" s="442" t="str">
        <f>IF($L454&lt;&gt;"",VLOOKUP($L454,Categories!$B$2:$D$41,3,FALSE),IF($F454&lt;&gt;"","No Cat",""))</f>
        <v>Direct Assign Items Not in RB</v>
      </c>
      <c r="P454" s="736" t="s">
        <v>2468</v>
      </c>
      <c r="Q454" s="442" t="str">
        <f>VLOOKUP($P454,Allocators!$B$7:$F$19,5,FALSE)</f>
        <v>Not in Rate Base</v>
      </c>
      <c r="R454" s="737">
        <f>VLOOKUP($P454,Allocators!$B$7:$F$19,2,FALSE)</f>
        <v>0</v>
      </c>
      <c r="S454" s="737">
        <f>VLOOKUP($P454,Allocators!$B$7:$F$19,3,FALSE)</f>
        <v>0</v>
      </c>
      <c r="T454" s="737">
        <f t="shared" si="124"/>
        <v>1</v>
      </c>
      <c r="U454" s="2">
        <f t="shared" si="115"/>
        <v>0</v>
      </c>
      <c r="V454" s="2">
        <f t="shared" si="116"/>
        <v>0</v>
      </c>
      <c r="W454" s="2">
        <f t="shared" si="117"/>
        <v>-1954.6017325</v>
      </c>
      <c r="X454" s="2">
        <f t="shared" si="113"/>
        <v>-1954.6017325</v>
      </c>
      <c r="Y454" s="2">
        <f t="shared" si="118"/>
        <v>0</v>
      </c>
      <c r="Z454" s="2">
        <f t="shared" si="119"/>
        <v>0</v>
      </c>
      <c r="AA454" s="2">
        <f t="shared" si="120"/>
        <v>-1951.2618</v>
      </c>
      <c r="AB454" s="2">
        <f t="shared" si="114"/>
        <v>-1951.2618</v>
      </c>
      <c r="AC454" s="759">
        <v>-1912.0253600000001</v>
      </c>
      <c r="AD454" s="741">
        <v>-1920.28935</v>
      </c>
      <c r="AE454" s="741">
        <v>-1928.5890300000001</v>
      </c>
      <c r="AF454" s="741">
        <v>-1936.92454</v>
      </c>
      <c r="AG454" s="741">
        <v>-1945.2961299999999</v>
      </c>
      <c r="AH454" s="741">
        <v>-1953.7038600000001</v>
      </c>
      <c r="AI454" s="741">
        <v>-1962.14797</v>
      </c>
      <c r="AJ454" s="741">
        <v>-1970.6285399999999</v>
      </c>
      <c r="AK454" s="741">
        <v>-1979.14582</v>
      </c>
      <c r="AL454" s="741">
        <v>-1987.6998799999999</v>
      </c>
      <c r="AM454" s="741">
        <v>-1996.29096</v>
      </c>
      <c r="AN454" s="741">
        <v>-1942.8611299999998</v>
      </c>
      <c r="AO454" s="741">
        <v>-1951.2618</v>
      </c>
      <c r="AP454" s="41" t="str">
        <f t="shared" si="110"/>
        <v>GLN</v>
      </c>
      <c r="AQ454" s="41" t="str">
        <f t="shared" si="111"/>
        <v>GLNN2Asset Retirement Obligation</v>
      </c>
      <c r="AR454" s="41" t="str">
        <f t="shared" si="112"/>
        <v>N2Asset Retirement Obligation</v>
      </c>
    </row>
    <row r="455" spans="1:96" s="41" customFormat="1" ht="12.75" customHeight="1">
      <c r="A455" s="25" t="s">
        <v>17</v>
      </c>
      <c r="B455" s="25" t="str">
        <f t="shared" si="122"/>
        <v>GL231010</v>
      </c>
      <c r="C455" s="638">
        <v>231010</v>
      </c>
      <c r="D455" s="735"/>
      <c r="F455" s="1" t="s">
        <v>442</v>
      </c>
      <c r="H455" s="736">
        <v>0</v>
      </c>
      <c r="I455" s="25"/>
      <c r="J455" s="25"/>
      <c r="K455" s="442" t="str">
        <f t="shared" si="121"/>
        <v/>
      </c>
      <c r="L455" s="736" t="s">
        <v>2405</v>
      </c>
      <c r="M455" s="25" t="str">
        <f t="shared" si="123"/>
        <v>C</v>
      </c>
      <c r="N455" s="25" t="str">
        <f>IF(L455&lt;&gt;"",VLOOKUP(L455,Categories!$B$2:$D$41,2,FALSE),IF(F455&lt;&gt;"","No Cat",""))</f>
        <v>Capitalization</v>
      </c>
      <c r="O455" s="25" t="str">
        <f>IF($L455&lt;&gt;"",VLOOKUP($L455,Categories!$B$2:$D$41,3,FALSE),IF($F455&lt;&gt;"","No Cat",""))</f>
        <v>Short Term Notes</v>
      </c>
      <c r="P455" s="736" t="s">
        <v>2468</v>
      </c>
      <c r="Q455" s="25" t="str">
        <f>VLOOKUP($P455,Allocators!$B$7:$F$19,5,FALSE)</f>
        <v>Not in Rate Base</v>
      </c>
      <c r="R455" s="737">
        <f>VLOOKUP($P455,Allocators!$B$7:$F$19,2,FALSE)</f>
        <v>0</v>
      </c>
      <c r="S455" s="737">
        <f>VLOOKUP($P455,Allocators!$B$7:$F$19,3,FALSE)</f>
        <v>0</v>
      </c>
      <c r="T455" s="737">
        <f t="shared" si="124"/>
        <v>1</v>
      </c>
      <c r="U455" s="2">
        <f t="shared" si="115"/>
        <v>0</v>
      </c>
      <c r="V455" s="2">
        <f t="shared" si="116"/>
        <v>0</v>
      </c>
      <c r="W455" s="2">
        <f t="shared" si="117"/>
        <v>-75</v>
      </c>
      <c r="X455" s="2">
        <f t="shared" si="113"/>
        <v>-75</v>
      </c>
      <c r="Y455" s="2" t="str">
        <f t="shared" si="118"/>
        <v/>
      </c>
      <c r="Z455" s="2" t="str">
        <f t="shared" si="119"/>
        <v/>
      </c>
      <c r="AA455" s="2" t="str">
        <f t="shared" si="120"/>
        <v/>
      </c>
      <c r="AB455" s="2">
        <f t="shared" si="114"/>
        <v>0</v>
      </c>
      <c r="AC455" s="759">
        <v>0</v>
      </c>
      <c r="AD455" s="741">
        <v>0</v>
      </c>
      <c r="AE455" s="741">
        <v>0</v>
      </c>
      <c r="AF455" s="741">
        <v>0</v>
      </c>
      <c r="AG455" s="741">
        <v>0</v>
      </c>
      <c r="AH455" s="741">
        <v>0</v>
      </c>
      <c r="AI455" s="741">
        <v>0</v>
      </c>
      <c r="AJ455" s="741">
        <v>0</v>
      </c>
      <c r="AK455" s="741">
        <v>-900</v>
      </c>
      <c r="AL455" s="741">
        <v>0</v>
      </c>
      <c r="AM455" s="741">
        <v>0</v>
      </c>
      <c r="AN455" s="741">
        <v>0</v>
      </c>
      <c r="AO455" s="741">
        <v>0</v>
      </c>
      <c r="AP455" s="41" t="str">
        <f t="shared" ref="AP455:AP518" si="125">CONCATENATE(A455,M455)</f>
        <v>GLC</v>
      </c>
      <c r="AQ455" s="41" t="str">
        <f t="shared" ref="AQ455:AQ518" si="126">CONCATENATE(AP455,L455,H455)</f>
        <v>GLCC160</v>
      </c>
      <c r="AR455" s="41" t="str">
        <f t="shared" ref="AR455:AR518" si="127">CONCATENATE(L455,H455,J455)</f>
        <v>C160</v>
      </c>
    </row>
    <row r="456" spans="1:96" s="41" customFormat="1" ht="12.75" customHeight="1">
      <c r="A456" s="25" t="s">
        <v>17</v>
      </c>
      <c r="B456" s="25" t="str">
        <f t="shared" si="122"/>
        <v>GL231150</v>
      </c>
      <c r="C456" s="638">
        <v>231150</v>
      </c>
      <c r="D456" s="735"/>
      <c r="F456" s="1" t="s">
        <v>443</v>
      </c>
      <c r="H456" s="736">
        <v>0</v>
      </c>
      <c r="I456" s="25"/>
      <c r="J456" s="25"/>
      <c r="K456" s="442" t="str">
        <f t="shared" si="121"/>
        <v/>
      </c>
      <c r="L456" s="736" t="s">
        <v>2405</v>
      </c>
      <c r="M456" s="25" t="str">
        <f t="shared" si="123"/>
        <v>C</v>
      </c>
      <c r="N456" s="25" t="str">
        <f>IF(L456&lt;&gt;"",VLOOKUP(L456,Categories!$B$2:$D$41,2,FALSE),IF(F456&lt;&gt;"","No Cat",""))</f>
        <v>Capitalization</v>
      </c>
      <c r="O456" s="25" t="str">
        <f>IF($L456&lt;&gt;"",VLOOKUP($L456,Categories!$B$2:$D$41,3,FALSE),IF($F456&lt;&gt;"","No Cat",""))</f>
        <v>Short Term Notes</v>
      </c>
      <c r="P456" s="736" t="s">
        <v>2468</v>
      </c>
      <c r="Q456" s="25" t="str">
        <f>VLOOKUP($P456,Allocators!$B$7:$F$19,5,FALSE)</f>
        <v>Not in Rate Base</v>
      </c>
      <c r="R456" s="737">
        <f>VLOOKUP($P456,Allocators!$B$7:$F$19,2,FALSE)</f>
        <v>0</v>
      </c>
      <c r="S456" s="737">
        <f>VLOOKUP($P456,Allocators!$B$7:$F$19,3,FALSE)</f>
        <v>0</v>
      </c>
      <c r="T456" s="737">
        <f t="shared" si="124"/>
        <v>1</v>
      </c>
      <c r="U456" s="2">
        <f t="shared" si="115"/>
        <v>0</v>
      </c>
      <c r="V456" s="2">
        <f t="shared" si="116"/>
        <v>0</v>
      </c>
      <c r="W456" s="2">
        <f t="shared" si="117"/>
        <v>-59511.208333333299</v>
      </c>
      <c r="X456" s="2">
        <f t="shared" ref="X456:X519" si="128">IF(ISERROR(ROUND((SUM(AC456:AO456)-((AC456+AO456))/2)/12,15)),"",ROUND((SUM(AC456:AO456)-((AC456+AO456))/2)/12,15))</f>
        <v>-59511.208333333299</v>
      </c>
      <c r="Y456" s="2">
        <f t="shared" si="118"/>
        <v>0</v>
      </c>
      <c r="Z456" s="2">
        <f t="shared" si="119"/>
        <v>0</v>
      </c>
      <c r="AA456" s="2">
        <f t="shared" si="120"/>
        <v>-169737</v>
      </c>
      <c r="AB456" s="2">
        <f t="shared" ref="AB456:AB519" si="129">IF(AO456="",0,+AO456)</f>
        <v>-169737</v>
      </c>
      <c r="AC456" s="759">
        <v>-55080</v>
      </c>
      <c r="AD456" s="741">
        <v>-44930</v>
      </c>
      <c r="AE456" s="741">
        <v>-45130</v>
      </c>
      <c r="AF456" s="741">
        <v>-44780</v>
      </c>
      <c r="AG456" s="741">
        <v>-25750</v>
      </c>
      <c r="AH456" s="741">
        <v>-23200</v>
      </c>
      <c r="AI456" s="741">
        <v>-21900</v>
      </c>
      <c r="AJ456" s="741">
        <v>-76750</v>
      </c>
      <c r="AK456" s="741">
        <v>-52494</v>
      </c>
      <c r="AL456" s="741">
        <v>-94614</v>
      </c>
      <c r="AM456" s="741">
        <v>-91314</v>
      </c>
      <c r="AN456" s="741">
        <v>-80864</v>
      </c>
      <c r="AO456" s="741">
        <v>-169737</v>
      </c>
      <c r="AP456" s="41" t="str">
        <f t="shared" si="125"/>
        <v>GLC</v>
      </c>
      <c r="AQ456" s="41" t="str">
        <f t="shared" si="126"/>
        <v>GLCC160</v>
      </c>
      <c r="AR456" s="41" t="str">
        <f t="shared" si="127"/>
        <v>C160</v>
      </c>
    </row>
    <row r="457" spans="1:96" s="41" customFormat="1" ht="12.75" customHeight="1">
      <c r="A457" s="25" t="s">
        <v>17</v>
      </c>
      <c r="B457" s="25" t="str">
        <f t="shared" si="122"/>
        <v>GL232010</v>
      </c>
      <c r="C457" s="638">
        <v>232010</v>
      </c>
      <c r="D457" s="735"/>
      <c r="F457" s="1" t="s">
        <v>444</v>
      </c>
      <c r="H457" s="736" t="s">
        <v>2556</v>
      </c>
      <c r="I457" s="25"/>
      <c r="J457" s="25"/>
      <c r="K457" s="442" t="str">
        <f t="shared" si="121"/>
        <v/>
      </c>
      <c r="L457" s="736" t="s">
        <v>2393</v>
      </c>
      <c r="M457" s="25" t="str">
        <f t="shared" si="123"/>
        <v>A</v>
      </c>
      <c r="N457" s="25" t="str">
        <f>IF(L457&lt;&gt;"",VLOOKUP(L457,Categories!$B$2:$D$41,2,FALSE),IF(F457&lt;&gt;"","No Cat",""))</f>
        <v>All Other</v>
      </c>
      <c r="O457" s="25" t="str">
        <f>IF($L457&lt;&gt;"",VLOOKUP($L457,Categories!$B$2:$D$41,3,FALSE),IF($F457&lt;&gt;"","No Cat",""))</f>
        <v>EB-Cap</v>
      </c>
      <c r="P457" s="736" t="s">
        <v>2490</v>
      </c>
      <c r="Q457" s="25" t="str">
        <f>VLOOKUP($P457,Allocators!$B$7:$F$19,5,FALSE)</f>
        <v>Rate Base</v>
      </c>
      <c r="R457" s="737">
        <f>VLOOKUP($P457,Allocators!$B$7:$F$19,2,FALSE)</f>
        <v>0.70940000000000003</v>
      </c>
      <c r="S457" s="737">
        <f>VLOOKUP($P457,Allocators!$B$7:$F$19,3,FALSE)</f>
        <v>0.29060000000000002</v>
      </c>
      <c r="T457" s="737" t="str">
        <f t="shared" si="124"/>
        <v>0.0%</v>
      </c>
      <c r="U457" s="2">
        <f t="shared" ref="U457:U520" si="130">IF(ABS(X457)=0,"",IF($R457="NO ALLOC","NO ALLOC",ROUND($R457*X457,15)))</f>
        <v>-17906.297172487601</v>
      </c>
      <c r="V457" s="2">
        <f t="shared" ref="V457:V520" si="131">IF(ABS(X457)=0,"",IF($S457="NO ALLOC","NO ALLOC",ROUND($S457*X457,15)))</f>
        <v>-7335.1705079290896</v>
      </c>
      <c r="W457" s="2">
        <f t="shared" ref="W457:W520" si="132">IF(ABS(X457)=0,"",IF($T457="NO ALLOC","NO ALLOC",ROUND($T457*X457,15)))</f>
        <v>0</v>
      </c>
      <c r="X457" s="2">
        <f t="shared" si="128"/>
        <v>-25241.467680416699</v>
      </c>
      <c r="Y457" s="2">
        <f t="shared" ref="Y457:Y520" si="133">IF(ABS(AB457)=0,"",IF($R457="NO ALLOC","NO ALLOC",ROUND($R457*AB457,15)))</f>
        <v>-20909.167906256</v>
      </c>
      <c r="Z457" s="2">
        <f t="shared" ref="Z457:Z520" si="134">IF(ABS(AB457)=0,"",IF($S457="NO ALLOC","NO ALLOC",ROUND($S457*AB457,15)))</f>
        <v>-8565.2723337440002</v>
      </c>
      <c r="AA457" s="2">
        <f t="shared" ref="AA457:AA520" si="135">IF(ABS(AB457)=0,"",IF($T457="NO ALLOC","NO ALLOC",ROUND($T457*AB457,15)))</f>
        <v>0</v>
      </c>
      <c r="AB457" s="2">
        <f t="shared" si="129"/>
        <v>-29474.44024</v>
      </c>
      <c r="AC457" s="759">
        <v>-27510.58973</v>
      </c>
      <c r="AD457" s="741">
        <v>-31423.912399999997</v>
      </c>
      <c r="AE457" s="741">
        <v>-25248.748800000001</v>
      </c>
      <c r="AF457" s="741">
        <v>-27131.471980000002</v>
      </c>
      <c r="AG457" s="741">
        <v>-25425.747059999998</v>
      </c>
      <c r="AH457" s="741">
        <v>-24350.32847</v>
      </c>
      <c r="AI457" s="741">
        <v>-20701.670839999999</v>
      </c>
      <c r="AJ457" s="741">
        <v>-23695.267500000002</v>
      </c>
      <c r="AK457" s="741">
        <v>-23142.110850000001</v>
      </c>
      <c r="AL457" s="741">
        <v>-23057.46946</v>
      </c>
      <c r="AM457" s="741">
        <v>-25188.005249999998</v>
      </c>
      <c r="AN457" s="741">
        <v>-25040.364570000002</v>
      </c>
      <c r="AO457" s="741">
        <v>-29474.44024</v>
      </c>
      <c r="AP457" s="41" t="str">
        <f t="shared" si="125"/>
        <v>GLA</v>
      </c>
      <c r="AQ457" s="41" t="str">
        <f t="shared" si="126"/>
        <v>GLAA2Accounts Payable</v>
      </c>
      <c r="AR457" s="41" t="str">
        <f t="shared" si="127"/>
        <v>A2Accounts Payable</v>
      </c>
      <c r="CR457" s="625"/>
    </row>
    <row r="458" spans="1:96" s="41" customFormat="1" ht="12.75" customHeight="1">
      <c r="A458" s="25" t="s">
        <v>17</v>
      </c>
      <c r="B458" s="25" t="str">
        <f t="shared" si="122"/>
        <v>GL232011</v>
      </c>
      <c r="C458" s="638">
        <v>232011</v>
      </c>
      <c r="D458" s="735"/>
      <c r="F458" s="1" t="s">
        <v>445</v>
      </c>
      <c r="H458" s="736" t="s">
        <v>2556</v>
      </c>
      <c r="I458" s="25"/>
      <c r="J458" s="25"/>
      <c r="K458" s="442" t="str">
        <f t="shared" si="121"/>
        <v/>
      </c>
      <c r="L458" s="736" t="s">
        <v>2393</v>
      </c>
      <c r="M458" s="25" t="str">
        <f t="shared" si="123"/>
        <v>A</v>
      </c>
      <c r="N458" s="25" t="str">
        <f>IF(L458&lt;&gt;"",VLOOKUP(L458,Categories!$B$2:$D$41,2,FALSE),IF(F458&lt;&gt;"","No Cat",""))</f>
        <v>All Other</v>
      </c>
      <c r="O458" s="25" t="str">
        <f>IF($L458&lt;&gt;"",VLOOKUP($L458,Categories!$B$2:$D$41,3,FALSE),IF($F458&lt;&gt;"","No Cat",""))</f>
        <v>EB-Cap</v>
      </c>
      <c r="P458" s="736" t="s">
        <v>2490</v>
      </c>
      <c r="Q458" s="25" t="str">
        <f>VLOOKUP($P458,Allocators!$B$7:$F$19,5,FALSE)</f>
        <v>Rate Base</v>
      </c>
      <c r="R458" s="737">
        <f>VLOOKUP($P458,Allocators!$B$7:$F$19,2,FALSE)</f>
        <v>0.70940000000000003</v>
      </c>
      <c r="S458" s="737">
        <f>VLOOKUP($P458,Allocators!$B$7:$F$19,3,FALSE)</f>
        <v>0.29060000000000002</v>
      </c>
      <c r="T458" s="737" t="str">
        <f t="shared" si="124"/>
        <v>0.0%</v>
      </c>
      <c r="U458" s="2">
        <f t="shared" si="130"/>
        <v>-4.2483305749999999E-2</v>
      </c>
      <c r="V458" s="2">
        <f t="shared" si="131"/>
        <v>-1.740294425E-2</v>
      </c>
      <c r="W458" s="2">
        <f t="shared" si="132"/>
        <v>0</v>
      </c>
      <c r="X458" s="2">
        <f t="shared" si="128"/>
        <v>-5.9886250000000002E-2</v>
      </c>
      <c r="Y458" s="2" t="str">
        <f t="shared" si="133"/>
        <v/>
      </c>
      <c r="Z458" s="2" t="str">
        <f t="shared" si="134"/>
        <v/>
      </c>
      <c r="AA458" s="2" t="str">
        <f t="shared" si="135"/>
        <v/>
      </c>
      <c r="AB458" s="2">
        <f t="shared" si="129"/>
        <v>0</v>
      </c>
      <c r="AC458" s="759">
        <v>-6.2490000000000004E-2</v>
      </c>
      <c r="AD458" s="741">
        <v>-6.2490000000000004E-2</v>
      </c>
      <c r="AE458" s="741">
        <v>-6.2490000000000004E-2</v>
      </c>
      <c r="AF458" s="741">
        <v>-6.2490000000000004E-2</v>
      </c>
      <c r="AG458" s="741">
        <v>-6.2490000000000004E-2</v>
      </c>
      <c r="AH458" s="741">
        <v>-6.2490000000000004E-2</v>
      </c>
      <c r="AI458" s="741">
        <v>-6.2490000000000004E-2</v>
      </c>
      <c r="AJ458" s="741">
        <v>-6.2490000000000004E-2</v>
      </c>
      <c r="AK458" s="741">
        <v>-6.2490000000000004E-2</v>
      </c>
      <c r="AL458" s="741">
        <v>-6.2490000000000004E-2</v>
      </c>
      <c r="AM458" s="741">
        <v>-6.2490000000000004E-2</v>
      </c>
      <c r="AN458" s="741">
        <v>-6.2490000000000004E-2</v>
      </c>
      <c r="AO458" s="741">
        <v>0</v>
      </c>
      <c r="AP458" s="41" t="str">
        <f t="shared" si="125"/>
        <v>GLA</v>
      </c>
      <c r="AQ458" s="41" t="str">
        <f t="shared" si="126"/>
        <v>GLAA2Accounts Payable</v>
      </c>
      <c r="AR458" s="41" t="str">
        <f t="shared" si="127"/>
        <v>A2Accounts Payable</v>
      </c>
      <c r="CR458" s="625"/>
    </row>
    <row r="459" spans="1:96" s="41" customFormat="1" ht="12.75" customHeight="1">
      <c r="A459" s="25" t="s">
        <v>17</v>
      </c>
      <c r="B459" s="25" t="str">
        <f t="shared" si="122"/>
        <v>GL232012</v>
      </c>
      <c r="C459" s="638">
        <v>232012</v>
      </c>
      <c r="D459" s="735"/>
      <c r="F459" s="1" t="s">
        <v>446</v>
      </c>
      <c r="H459" s="736" t="s">
        <v>2556</v>
      </c>
      <c r="I459" s="25"/>
      <c r="J459" s="25"/>
      <c r="K459" s="442" t="str">
        <f t="shared" si="121"/>
        <v/>
      </c>
      <c r="L459" s="736" t="s">
        <v>2393</v>
      </c>
      <c r="M459" s="25" t="str">
        <f t="shared" si="123"/>
        <v>A</v>
      </c>
      <c r="N459" s="25" t="str">
        <f>IF(L459&lt;&gt;"",VLOOKUP(L459,Categories!$B$2:$D$41,2,FALSE),IF(F459&lt;&gt;"","No Cat",""))</f>
        <v>All Other</v>
      </c>
      <c r="O459" s="25" t="str">
        <f>IF($L459&lt;&gt;"",VLOOKUP($L459,Categories!$B$2:$D$41,3,FALSE),IF($F459&lt;&gt;"","No Cat",""))</f>
        <v>EB-Cap</v>
      </c>
      <c r="P459" s="736" t="s">
        <v>2490</v>
      </c>
      <c r="Q459" s="25" t="str">
        <f>VLOOKUP($P459,Allocators!$B$7:$F$19,5,FALSE)</f>
        <v>Rate Base</v>
      </c>
      <c r="R459" s="737">
        <f>VLOOKUP($P459,Allocators!$B$7:$F$19,2,FALSE)</f>
        <v>0.70940000000000003</v>
      </c>
      <c r="S459" s="737">
        <f>VLOOKUP($P459,Allocators!$B$7:$F$19,3,FALSE)</f>
        <v>0.29060000000000002</v>
      </c>
      <c r="T459" s="737" t="str">
        <f t="shared" si="124"/>
        <v>0.0%</v>
      </c>
      <c r="U459" s="2">
        <f t="shared" si="130"/>
        <v>8.8805056666665994E-2</v>
      </c>
      <c r="V459" s="2">
        <f t="shared" si="131"/>
        <v>3.6378276666667E-2</v>
      </c>
      <c r="W459" s="2">
        <f t="shared" si="132"/>
        <v>0</v>
      </c>
      <c r="X459" s="2">
        <f t="shared" si="128"/>
        <v>0.12518333333333301</v>
      </c>
      <c r="Y459" s="2" t="str">
        <f t="shared" si="133"/>
        <v/>
      </c>
      <c r="Z459" s="2" t="str">
        <f t="shared" si="134"/>
        <v/>
      </c>
      <c r="AA459" s="2" t="str">
        <f t="shared" si="135"/>
        <v/>
      </c>
      <c r="AB459" s="2">
        <f t="shared" si="129"/>
        <v>0</v>
      </c>
      <c r="AC459" s="759">
        <v>0</v>
      </c>
      <c r="AD459" s="741">
        <v>0</v>
      </c>
      <c r="AE459" s="741">
        <v>0</v>
      </c>
      <c r="AF459" s="741">
        <v>0</v>
      </c>
      <c r="AG459" s="741">
        <v>0</v>
      </c>
      <c r="AH459" s="741">
        <v>0</v>
      </c>
      <c r="AI459" s="741">
        <v>0</v>
      </c>
      <c r="AJ459" s="741">
        <v>0.75109999999999999</v>
      </c>
      <c r="AK459" s="741">
        <v>0.75109999999999999</v>
      </c>
      <c r="AL459" s="741">
        <v>0</v>
      </c>
      <c r="AM459" s="741">
        <v>0</v>
      </c>
      <c r="AN459" s="741">
        <v>0</v>
      </c>
      <c r="AO459" s="741">
        <v>0</v>
      </c>
      <c r="AP459" s="41" t="str">
        <f t="shared" si="125"/>
        <v>GLA</v>
      </c>
      <c r="AQ459" s="41" t="str">
        <f t="shared" si="126"/>
        <v>GLAA2Accounts Payable</v>
      </c>
      <c r="AR459" s="41" t="str">
        <f t="shared" si="127"/>
        <v>A2Accounts Payable</v>
      </c>
      <c r="CR459" s="625"/>
    </row>
    <row r="460" spans="1:96" s="41" customFormat="1" ht="12.75" customHeight="1">
      <c r="A460" s="25" t="s">
        <v>17</v>
      </c>
      <c r="B460" s="25" t="str">
        <f t="shared" si="122"/>
        <v>GL232014</v>
      </c>
      <c r="C460" s="638">
        <v>232014</v>
      </c>
      <c r="D460" s="735"/>
      <c r="F460" s="1" t="s">
        <v>447</v>
      </c>
      <c r="H460" s="736" t="s">
        <v>2556</v>
      </c>
      <c r="I460" s="25"/>
      <c r="J460" s="25"/>
      <c r="K460" s="442" t="str">
        <f t="shared" si="121"/>
        <v/>
      </c>
      <c r="L460" s="736" t="s">
        <v>2393</v>
      </c>
      <c r="M460" s="25" t="str">
        <f t="shared" si="123"/>
        <v>A</v>
      </c>
      <c r="N460" s="25" t="str">
        <f>IF(L460&lt;&gt;"",VLOOKUP(L460,Categories!$B$2:$D$41,2,FALSE),IF(F460&lt;&gt;"","No Cat",""))</f>
        <v>All Other</v>
      </c>
      <c r="O460" s="25" t="str">
        <f>IF($L460&lt;&gt;"",VLOOKUP($L460,Categories!$B$2:$D$41,3,FALSE),IF($F460&lt;&gt;"","No Cat",""))</f>
        <v>EB-Cap</v>
      </c>
      <c r="P460" s="736" t="s">
        <v>2490</v>
      </c>
      <c r="Q460" s="25" t="str">
        <f>VLOOKUP($P460,Allocators!$B$7:$F$19,5,FALSE)</f>
        <v>Rate Base</v>
      </c>
      <c r="R460" s="737">
        <f>VLOOKUP($P460,Allocators!$B$7:$F$19,2,FALSE)</f>
        <v>0.70940000000000003</v>
      </c>
      <c r="S460" s="737">
        <f>VLOOKUP($P460,Allocators!$B$7:$F$19,3,FALSE)</f>
        <v>0.29060000000000002</v>
      </c>
      <c r="T460" s="737" t="str">
        <f t="shared" si="124"/>
        <v>0.0%</v>
      </c>
      <c r="U460" s="2" t="str">
        <f t="shared" si="130"/>
        <v/>
      </c>
      <c r="V460" s="2" t="str">
        <f t="shared" si="131"/>
        <v/>
      </c>
      <c r="W460" s="2" t="str">
        <f t="shared" si="132"/>
        <v/>
      </c>
      <c r="X460" s="2">
        <f t="shared" si="128"/>
        <v>0</v>
      </c>
      <c r="Y460" s="2" t="str">
        <f t="shared" si="133"/>
        <v/>
      </c>
      <c r="Z460" s="2" t="str">
        <f t="shared" si="134"/>
        <v/>
      </c>
      <c r="AA460" s="2" t="str">
        <f t="shared" si="135"/>
        <v/>
      </c>
      <c r="AB460" s="2">
        <f t="shared" si="129"/>
        <v>0</v>
      </c>
      <c r="AC460" s="759">
        <v>0</v>
      </c>
      <c r="AD460" s="741">
        <v>0</v>
      </c>
      <c r="AE460" s="741">
        <v>0</v>
      </c>
      <c r="AF460" s="741">
        <v>0</v>
      </c>
      <c r="AG460" s="741">
        <v>0</v>
      </c>
      <c r="AH460" s="741">
        <v>0</v>
      </c>
      <c r="AI460" s="741">
        <v>0</v>
      </c>
      <c r="AJ460" s="741">
        <v>0</v>
      </c>
      <c r="AK460" s="741">
        <v>0</v>
      </c>
      <c r="AL460" s="741">
        <v>0</v>
      </c>
      <c r="AM460" s="741">
        <v>0</v>
      </c>
      <c r="AN460" s="741">
        <v>0</v>
      </c>
      <c r="AO460" s="741">
        <v>0</v>
      </c>
      <c r="AP460" s="41" t="str">
        <f t="shared" si="125"/>
        <v>GLA</v>
      </c>
      <c r="AQ460" s="41" t="str">
        <f t="shared" si="126"/>
        <v>GLAA2Accounts Payable</v>
      </c>
      <c r="AR460" s="41" t="str">
        <f t="shared" si="127"/>
        <v>A2Accounts Payable</v>
      </c>
      <c r="CR460" s="625"/>
    </row>
    <row r="461" spans="1:96" s="41" customFormat="1" ht="12.75" customHeight="1">
      <c r="A461" s="25" t="s">
        <v>17</v>
      </c>
      <c r="B461" s="25" t="str">
        <f t="shared" si="122"/>
        <v>GL232015</v>
      </c>
      <c r="C461" s="638">
        <v>232015</v>
      </c>
      <c r="D461" s="735"/>
      <c r="F461" s="1" t="s">
        <v>448</v>
      </c>
      <c r="H461" s="736" t="s">
        <v>2556</v>
      </c>
      <c r="I461" s="25"/>
      <c r="J461" s="25"/>
      <c r="K461" s="442" t="str">
        <f t="shared" ref="K461:K525" si="136">IF(L461="N3","Y","")</f>
        <v/>
      </c>
      <c r="L461" s="736" t="s">
        <v>2393</v>
      </c>
      <c r="M461" s="25" t="str">
        <f t="shared" si="123"/>
        <v>A</v>
      </c>
      <c r="N461" s="25" t="str">
        <f>IF(L461&lt;&gt;"",VLOOKUP(L461,Categories!$B$2:$D$41,2,FALSE),IF(F461&lt;&gt;"","No Cat",""))</f>
        <v>All Other</v>
      </c>
      <c r="O461" s="25" t="str">
        <f>IF($L461&lt;&gt;"",VLOOKUP($L461,Categories!$B$2:$D$41,3,FALSE),IF($F461&lt;&gt;"","No Cat",""))</f>
        <v>EB-Cap</v>
      </c>
      <c r="P461" s="736" t="s">
        <v>2490</v>
      </c>
      <c r="Q461" s="25" t="str">
        <f>VLOOKUP($P461,Allocators!$B$7:$F$19,5,FALSE)</f>
        <v>Rate Base</v>
      </c>
      <c r="R461" s="737">
        <f>VLOOKUP($P461,Allocators!$B$7:$F$19,2,FALSE)</f>
        <v>0.70940000000000003</v>
      </c>
      <c r="S461" s="737">
        <f>VLOOKUP($P461,Allocators!$B$7:$F$19,3,FALSE)</f>
        <v>0.29060000000000002</v>
      </c>
      <c r="T461" s="737" t="str">
        <f t="shared" si="124"/>
        <v>0.0%</v>
      </c>
      <c r="U461" s="2">
        <f t="shared" si="130"/>
        <v>2.3491922879999998</v>
      </c>
      <c r="V461" s="2">
        <f t="shared" si="131"/>
        <v>0.962327712</v>
      </c>
      <c r="W461" s="2">
        <f t="shared" si="132"/>
        <v>0</v>
      </c>
      <c r="X461" s="2">
        <f t="shared" si="128"/>
        <v>3.3115199999999998</v>
      </c>
      <c r="Y461" s="2">
        <f t="shared" si="133"/>
        <v>-48.545362851999997</v>
      </c>
      <c r="Z461" s="2">
        <f t="shared" si="134"/>
        <v>-19.886217148</v>
      </c>
      <c r="AA461" s="2">
        <f t="shared" si="135"/>
        <v>0</v>
      </c>
      <c r="AB461" s="2">
        <f t="shared" si="129"/>
        <v>-68.431579999999997</v>
      </c>
      <c r="AC461" s="759">
        <v>137.68261999999999</v>
      </c>
      <c r="AD461" s="741">
        <v>0</v>
      </c>
      <c r="AE461" s="741">
        <v>5.1127200000000004</v>
      </c>
      <c r="AF461" s="741">
        <v>0</v>
      </c>
      <c r="AG461" s="741">
        <v>0</v>
      </c>
      <c r="AH461" s="741">
        <v>0</v>
      </c>
      <c r="AI461" s="741">
        <v>0</v>
      </c>
      <c r="AJ461" s="741">
        <v>0</v>
      </c>
      <c r="AK461" s="741">
        <v>0</v>
      </c>
      <c r="AL461" s="741">
        <v>0</v>
      </c>
      <c r="AM461" s="741">
        <v>0</v>
      </c>
      <c r="AN461" s="741">
        <v>0</v>
      </c>
      <c r="AO461" s="741">
        <v>-68.431579999999997</v>
      </c>
      <c r="AP461" s="41" t="str">
        <f t="shared" si="125"/>
        <v>GLA</v>
      </c>
      <c r="AQ461" s="41" t="str">
        <f t="shared" si="126"/>
        <v>GLAA2Accounts Payable</v>
      </c>
      <c r="AR461" s="41" t="str">
        <f t="shared" si="127"/>
        <v>A2Accounts Payable</v>
      </c>
      <c r="CR461" s="625"/>
    </row>
    <row r="462" spans="1:96" s="41" customFormat="1" ht="12.75" customHeight="1">
      <c r="A462" s="25" t="s">
        <v>17</v>
      </c>
      <c r="B462" s="25" t="str">
        <f t="shared" si="122"/>
        <v>GL232020</v>
      </c>
      <c r="C462" s="638">
        <v>232020</v>
      </c>
      <c r="D462" s="735"/>
      <c r="F462" s="1" t="s">
        <v>449</v>
      </c>
      <c r="H462" s="736" t="s">
        <v>2556</v>
      </c>
      <c r="I462" s="25"/>
      <c r="J462" s="25"/>
      <c r="K462" s="442" t="str">
        <f t="shared" si="136"/>
        <v/>
      </c>
      <c r="L462" s="736" t="s">
        <v>2393</v>
      </c>
      <c r="M462" s="25" t="str">
        <f t="shared" si="123"/>
        <v>A</v>
      </c>
      <c r="N462" s="25" t="str">
        <f>IF(L462&lt;&gt;"",VLOOKUP(L462,Categories!$B$2:$D$41,2,FALSE),IF(F462&lt;&gt;"","No Cat",""))</f>
        <v>All Other</v>
      </c>
      <c r="O462" s="25" t="str">
        <f>IF($L462&lt;&gt;"",VLOOKUP($L462,Categories!$B$2:$D$41,3,FALSE),IF($F462&lt;&gt;"","No Cat",""))</f>
        <v>EB-Cap</v>
      </c>
      <c r="P462" s="736" t="s">
        <v>2490</v>
      </c>
      <c r="Q462" s="25" t="str">
        <f>VLOOKUP($P462,Allocators!$B$7:$F$19,5,FALSE)</f>
        <v>Rate Base</v>
      </c>
      <c r="R462" s="737">
        <f>VLOOKUP($P462,Allocators!$B$7:$F$19,2,FALSE)</f>
        <v>0.70940000000000003</v>
      </c>
      <c r="S462" s="737">
        <f>VLOOKUP($P462,Allocators!$B$7:$F$19,3,FALSE)</f>
        <v>0.29060000000000002</v>
      </c>
      <c r="T462" s="737" t="str">
        <f t="shared" si="124"/>
        <v>0.0%</v>
      </c>
      <c r="U462" s="2" t="str">
        <f t="shared" si="130"/>
        <v/>
      </c>
      <c r="V462" s="2" t="str">
        <f t="shared" si="131"/>
        <v/>
      </c>
      <c r="W462" s="2" t="str">
        <f t="shared" si="132"/>
        <v/>
      </c>
      <c r="X462" s="2">
        <f t="shared" si="128"/>
        <v>0</v>
      </c>
      <c r="Y462" s="2" t="str">
        <f t="shared" si="133"/>
        <v/>
      </c>
      <c r="Z462" s="2" t="str">
        <f t="shared" si="134"/>
        <v/>
      </c>
      <c r="AA462" s="2" t="str">
        <f t="shared" si="135"/>
        <v/>
      </c>
      <c r="AB462" s="2">
        <f t="shared" si="129"/>
        <v>0</v>
      </c>
      <c r="AC462" s="759">
        <v>0</v>
      </c>
      <c r="AD462" s="741">
        <v>0</v>
      </c>
      <c r="AE462" s="741">
        <v>0</v>
      </c>
      <c r="AF462" s="741">
        <v>0</v>
      </c>
      <c r="AG462" s="741">
        <v>0</v>
      </c>
      <c r="AH462" s="741">
        <v>0</v>
      </c>
      <c r="AI462" s="741">
        <v>0</v>
      </c>
      <c r="AJ462" s="741">
        <v>0</v>
      </c>
      <c r="AK462" s="741">
        <v>0</v>
      </c>
      <c r="AL462" s="741">
        <v>0</v>
      </c>
      <c r="AM462" s="741">
        <v>0</v>
      </c>
      <c r="AN462" s="741">
        <v>0</v>
      </c>
      <c r="AO462" s="741">
        <v>0</v>
      </c>
      <c r="AP462" s="41" t="str">
        <f t="shared" si="125"/>
        <v>GLA</v>
      </c>
      <c r="AQ462" s="41" t="str">
        <f t="shared" si="126"/>
        <v>GLAA2Accounts Payable</v>
      </c>
      <c r="AR462" s="41" t="str">
        <f t="shared" si="127"/>
        <v>A2Accounts Payable</v>
      </c>
      <c r="CR462" s="625"/>
    </row>
    <row r="463" spans="1:96" s="41" customFormat="1" ht="12.75" customHeight="1">
      <c r="A463" s="25" t="s">
        <v>17</v>
      </c>
      <c r="B463" s="25" t="str">
        <f t="shared" si="122"/>
        <v>GL232021</v>
      </c>
      <c r="C463" s="638">
        <v>232021</v>
      </c>
      <c r="D463" s="735"/>
      <c r="F463" s="1" t="s">
        <v>450</v>
      </c>
      <c r="H463" s="736" t="s">
        <v>2556</v>
      </c>
      <c r="I463" s="25"/>
      <c r="J463" s="25"/>
      <c r="K463" s="442" t="str">
        <f t="shared" si="136"/>
        <v/>
      </c>
      <c r="L463" s="736" t="s">
        <v>2393</v>
      </c>
      <c r="M463" s="25" t="str">
        <f t="shared" si="123"/>
        <v>A</v>
      </c>
      <c r="N463" s="25" t="str">
        <f>IF(L463&lt;&gt;"",VLOOKUP(L463,Categories!$B$2:$D$41,2,FALSE),IF(F463&lt;&gt;"","No Cat",""))</f>
        <v>All Other</v>
      </c>
      <c r="O463" s="25" t="str">
        <f>IF($L463&lt;&gt;"",VLOOKUP($L463,Categories!$B$2:$D$41,3,FALSE),IF($F463&lt;&gt;"","No Cat",""))</f>
        <v>EB-Cap</v>
      </c>
      <c r="P463" s="736" t="s">
        <v>2490</v>
      </c>
      <c r="Q463" s="25" t="str">
        <f>VLOOKUP($P463,Allocators!$B$7:$F$19,5,FALSE)</f>
        <v>Rate Base</v>
      </c>
      <c r="R463" s="737">
        <f>VLOOKUP($P463,Allocators!$B$7:$F$19,2,FALSE)</f>
        <v>0.70940000000000003</v>
      </c>
      <c r="S463" s="737">
        <f>VLOOKUP($P463,Allocators!$B$7:$F$19,3,FALSE)</f>
        <v>0.29060000000000002</v>
      </c>
      <c r="T463" s="737" t="str">
        <f t="shared" si="124"/>
        <v>0.0%</v>
      </c>
      <c r="U463" s="2">
        <f t="shared" si="130"/>
        <v>-7327.3428713556104</v>
      </c>
      <c r="V463" s="2">
        <f t="shared" si="131"/>
        <v>-3001.5870290610901</v>
      </c>
      <c r="W463" s="2">
        <f t="shared" si="132"/>
        <v>0</v>
      </c>
      <c r="X463" s="2">
        <f t="shared" si="128"/>
        <v>-10328.929900416701</v>
      </c>
      <c r="Y463" s="2">
        <f t="shared" si="133"/>
        <v>-2694.8378752879999</v>
      </c>
      <c r="Z463" s="2">
        <f t="shared" si="134"/>
        <v>-1103.9186447120001</v>
      </c>
      <c r="AA463" s="2">
        <f t="shared" si="135"/>
        <v>0</v>
      </c>
      <c r="AB463" s="2">
        <f t="shared" si="129"/>
        <v>-3798.7565199999999</v>
      </c>
      <c r="AC463" s="759">
        <v>-15637.159669999999</v>
      </c>
      <c r="AD463" s="741">
        <v>-17842.412960000001</v>
      </c>
      <c r="AE463" s="741">
        <v>-18044.759440000002</v>
      </c>
      <c r="AF463" s="741">
        <v>-17880.220859999998</v>
      </c>
      <c r="AG463" s="741">
        <v>-16068.676300000001</v>
      </c>
      <c r="AH463" s="741">
        <v>-5419.3110800000004</v>
      </c>
      <c r="AI463" s="741">
        <v>-18324.969989999998</v>
      </c>
      <c r="AJ463" s="741">
        <v>-3410.30708</v>
      </c>
      <c r="AK463" s="741">
        <v>-4292.3642699999991</v>
      </c>
      <c r="AL463" s="741">
        <v>-3984.9141199999999</v>
      </c>
      <c r="AM463" s="741">
        <v>-2858.1211600000001</v>
      </c>
      <c r="AN463" s="741">
        <v>-6103.1434500000005</v>
      </c>
      <c r="AO463" s="741">
        <v>-3798.7565199999999</v>
      </c>
      <c r="AP463" s="41" t="str">
        <f t="shared" si="125"/>
        <v>GLA</v>
      </c>
      <c r="AQ463" s="41" t="str">
        <f t="shared" si="126"/>
        <v>GLAA2Accounts Payable</v>
      </c>
      <c r="AR463" s="41" t="str">
        <f t="shared" si="127"/>
        <v>A2Accounts Payable</v>
      </c>
      <c r="CR463" s="625"/>
    </row>
    <row r="464" spans="1:96" s="41" customFormat="1" ht="12.75" customHeight="1">
      <c r="A464" s="25" t="s">
        <v>17</v>
      </c>
      <c r="B464" s="25" t="str">
        <f t="shared" si="122"/>
        <v>GL232022</v>
      </c>
      <c r="C464" s="638">
        <v>232022</v>
      </c>
      <c r="D464" s="735"/>
      <c r="F464" s="1" t="s">
        <v>451</v>
      </c>
      <c r="H464" s="736" t="s">
        <v>2556</v>
      </c>
      <c r="I464" s="25"/>
      <c r="J464" s="25"/>
      <c r="K464" s="442" t="str">
        <f t="shared" si="136"/>
        <v/>
      </c>
      <c r="L464" s="736" t="s">
        <v>2393</v>
      </c>
      <c r="M464" s="25" t="str">
        <f t="shared" si="123"/>
        <v>A</v>
      </c>
      <c r="N464" s="25" t="str">
        <f>IF(L464&lt;&gt;"",VLOOKUP(L464,Categories!$B$2:$D$41,2,FALSE),IF(F464&lt;&gt;"","No Cat",""))</f>
        <v>All Other</v>
      </c>
      <c r="O464" s="25" t="str">
        <f>IF($L464&lt;&gt;"",VLOOKUP($L464,Categories!$B$2:$D$41,3,FALSE),IF($F464&lt;&gt;"","No Cat",""))</f>
        <v>EB-Cap</v>
      </c>
      <c r="P464" s="736" t="s">
        <v>2490</v>
      </c>
      <c r="Q464" s="25" t="str">
        <f>VLOOKUP($P464,Allocators!$B$7:$F$19,5,FALSE)</f>
        <v>Rate Base</v>
      </c>
      <c r="R464" s="737">
        <f>VLOOKUP($P464,Allocators!$B$7:$F$19,2,FALSE)</f>
        <v>0.70940000000000003</v>
      </c>
      <c r="S464" s="737">
        <f>VLOOKUP($P464,Allocators!$B$7:$F$19,3,FALSE)</f>
        <v>0.29060000000000002</v>
      </c>
      <c r="T464" s="737" t="str">
        <f t="shared" si="124"/>
        <v>0.0%</v>
      </c>
      <c r="U464" s="2">
        <f t="shared" si="130"/>
        <v>-8437.2068313976397</v>
      </c>
      <c r="V464" s="2">
        <f t="shared" si="131"/>
        <v>-3456.23386693566</v>
      </c>
      <c r="W464" s="2">
        <f t="shared" si="132"/>
        <v>0</v>
      </c>
      <c r="X464" s="2">
        <f t="shared" si="128"/>
        <v>-11893.440698333299</v>
      </c>
      <c r="Y464" s="2">
        <f t="shared" si="133"/>
        <v>-6142.0661354459999</v>
      </c>
      <c r="Z464" s="2">
        <f t="shared" si="134"/>
        <v>-2516.0479545540002</v>
      </c>
      <c r="AA464" s="2">
        <f t="shared" si="135"/>
        <v>0</v>
      </c>
      <c r="AB464" s="2">
        <f t="shared" si="129"/>
        <v>-8658.1140899999991</v>
      </c>
      <c r="AC464" s="759">
        <v>-13066.58791</v>
      </c>
      <c r="AD464" s="741">
        <v>-18826.882300000001</v>
      </c>
      <c r="AE464" s="741">
        <v>-22514.86664</v>
      </c>
      <c r="AF464" s="741">
        <v>-20266.25173</v>
      </c>
      <c r="AG464" s="741">
        <v>-15060.98623</v>
      </c>
      <c r="AH464" s="741">
        <v>-10921.144380000002</v>
      </c>
      <c r="AI464" s="741">
        <v>-8515.206470000001</v>
      </c>
      <c r="AJ464" s="741">
        <v>-7378.3524200000002</v>
      </c>
      <c r="AK464" s="741">
        <v>-6645.3741</v>
      </c>
      <c r="AL464" s="741">
        <v>-6032.0818200000003</v>
      </c>
      <c r="AM464" s="741">
        <v>-6514.9011</v>
      </c>
      <c r="AN464" s="741">
        <v>-9182.8901900000001</v>
      </c>
      <c r="AO464" s="741">
        <v>-8658.1140899999991</v>
      </c>
      <c r="AP464" s="41" t="str">
        <f t="shared" si="125"/>
        <v>GLA</v>
      </c>
      <c r="AQ464" s="41" t="str">
        <f t="shared" si="126"/>
        <v>GLAA2Accounts Payable</v>
      </c>
      <c r="AR464" s="41" t="str">
        <f t="shared" si="127"/>
        <v>A2Accounts Payable</v>
      </c>
      <c r="CR464" s="625"/>
    </row>
    <row r="465" spans="1:96" s="41" customFormat="1" ht="12.75" customHeight="1">
      <c r="A465" s="25" t="s">
        <v>17</v>
      </c>
      <c r="B465" s="25" t="str">
        <f t="shared" si="122"/>
        <v>GL232023</v>
      </c>
      <c r="C465" s="638">
        <v>232023</v>
      </c>
      <c r="D465" s="735"/>
      <c r="F465" s="1" t="s">
        <v>452</v>
      </c>
      <c r="H465" s="736" t="s">
        <v>2556</v>
      </c>
      <c r="I465" s="25"/>
      <c r="J465" s="25"/>
      <c r="K465" s="442" t="str">
        <f t="shared" si="136"/>
        <v/>
      </c>
      <c r="L465" s="736" t="s">
        <v>2393</v>
      </c>
      <c r="M465" s="25" t="str">
        <f t="shared" si="123"/>
        <v>A</v>
      </c>
      <c r="N465" s="25" t="str">
        <f>IF(L465&lt;&gt;"",VLOOKUP(L465,Categories!$B$2:$D$41,2,FALSE),IF(F465&lt;&gt;"","No Cat",""))</f>
        <v>All Other</v>
      </c>
      <c r="O465" s="25" t="str">
        <f>IF($L465&lt;&gt;"",VLOOKUP($L465,Categories!$B$2:$D$41,3,FALSE),IF($F465&lt;&gt;"","No Cat",""))</f>
        <v>EB-Cap</v>
      </c>
      <c r="P465" s="736" t="s">
        <v>2490</v>
      </c>
      <c r="Q465" s="25" t="str">
        <f>VLOOKUP($P465,Allocators!$B$7:$F$19,5,FALSE)</f>
        <v>Rate Base</v>
      </c>
      <c r="R465" s="737">
        <f>VLOOKUP($P465,Allocators!$B$7:$F$19,2,FALSE)</f>
        <v>0.70940000000000003</v>
      </c>
      <c r="S465" s="737">
        <f>VLOOKUP($P465,Allocators!$B$7:$F$19,3,FALSE)</f>
        <v>0.29060000000000002</v>
      </c>
      <c r="T465" s="737" t="str">
        <f t="shared" si="124"/>
        <v>0.0%</v>
      </c>
      <c r="U465" s="2" t="str">
        <f t="shared" si="130"/>
        <v/>
      </c>
      <c r="V465" s="2" t="str">
        <f t="shared" si="131"/>
        <v/>
      </c>
      <c r="W465" s="2" t="str">
        <f t="shared" si="132"/>
        <v/>
      </c>
      <c r="X465" s="2">
        <f t="shared" si="128"/>
        <v>0</v>
      </c>
      <c r="Y465" s="2" t="str">
        <f t="shared" si="133"/>
        <v/>
      </c>
      <c r="Z465" s="2" t="str">
        <f t="shared" si="134"/>
        <v/>
      </c>
      <c r="AA465" s="2" t="str">
        <f t="shared" si="135"/>
        <v/>
      </c>
      <c r="AB465" s="2">
        <f t="shared" si="129"/>
        <v>0</v>
      </c>
      <c r="AC465" s="759">
        <v>0</v>
      </c>
      <c r="AD465" s="741">
        <v>0</v>
      </c>
      <c r="AE465" s="741">
        <v>0</v>
      </c>
      <c r="AF465" s="741">
        <v>0</v>
      </c>
      <c r="AG465" s="741">
        <v>0</v>
      </c>
      <c r="AH465" s="741">
        <v>0</v>
      </c>
      <c r="AI465" s="741">
        <v>0</v>
      </c>
      <c r="AJ465" s="741">
        <v>0</v>
      </c>
      <c r="AK465" s="741">
        <v>0</v>
      </c>
      <c r="AL465" s="741">
        <v>0</v>
      </c>
      <c r="AM465" s="741">
        <v>0</v>
      </c>
      <c r="AN465" s="741">
        <v>0</v>
      </c>
      <c r="AO465" s="741">
        <v>0</v>
      </c>
      <c r="AP465" s="41" t="str">
        <f t="shared" si="125"/>
        <v>GLA</v>
      </c>
      <c r="AQ465" s="41" t="str">
        <f t="shared" si="126"/>
        <v>GLAA2Accounts Payable</v>
      </c>
      <c r="AR465" s="41" t="str">
        <f t="shared" si="127"/>
        <v>A2Accounts Payable</v>
      </c>
      <c r="CR465" s="625"/>
    </row>
    <row r="466" spans="1:96" s="41" customFormat="1" ht="12.75" customHeight="1">
      <c r="A466" s="25" t="s">
        <v>17</v>
      </c>
      <c r="B466" s="25" t="str">
        <f t="shared" ref="B466:B530" si="137">CONCATENATE(A466,C466,D466,E466)</f>
        <v>GL232024</v>
      </c>
      <c r="C466" s="638">
        <v>232024</v>
      </c>
      <c r="D466" s="735"/>
      <c r="F466" s="1" t="s">
        <v>453</v>
      </c>
      <c r="H466" s="736" t="s">
        <v>2556</v>
      </c>
      <c r="I466" s="25"/>
      <c r="J466" s="25"/>
      <c r="K466" s="442" t="str">
        <f t="shared" si="136"/>
        <v/>
      </c>
      <c r="L466" s="736" t="s">
        <v>2393</v>
      </c>
      <c r="M466" s="25" t="str">
        <f t="shared" ref="M466:M530" si="138">LEFT(L466,1)</f>
        <v>A</v>
      </c>
      <c r="N466" s="25" t="str">
        <f>IF(L466&lt;&gt;"",VLOOKUP(L466,Categories!$B$2:$D$41,2,FALSE),IF(F466&lt;&gt;"","No Cat",""))</f>
        <v>All Other</v>
      </c>
      <c r="O466" s="25" t="str">
        <f>IF($L466&lt;&gt;"",VLOOKUP($L466,Categories!$B$2:$D$41,3,FALSE),IF($F466&lt;&gt;"","No Cat",""))</f>
        <v>EB-Cap</v>
      </c>
      <c r="P466" s="736" t="s">
        <v>2490</v>
      </c>
      <c r="Q466" s="25" t="str">
        <f>VLOOKUP($P466,Allocators!$B$7:$F$19,5,FALSE)</f>
        <v>Rate Base</v>
      </c>
      <c r="R466" s="737">
        <f>VLOOKUP($P466,Allocators!$B$7:$F$19,2,FALSE)</f>
        <v>0.70940000000000003</v>
      </c>
      <c r="S466" s="737">
        <f>VLOOKUP($P466,Allocators!$B$7:$F$19,3,FALSE)</f>
        <v>0.29060000000000002</v>
      </c>
      <c r="T466" s="737" t="str">
        <f t="shared" si="124"/>
        <v>0.0%</v>
      </c>
      <c r="U466" s="2">
        <f t="shared" si="130"/>
        <v>-2378.4339268471599</v>
      </c>
      <c r="V466" s="2">
        <f t="shared" si="131"/>
        <v>-974.30631398616595</v>
      </c>
      <c r="W466" s="2">
        <f t="shared" si="132"/>
        <v>0</v>
      </c>
      <c r="X466" s="2">
        <f t="shared" si="128"/>
        <v>-3352.7402408333301</v>
      </c>
      <c r="Y466" s="2">
        <f t="shared" si="133"/>
        <v>-5263.6410721379998</v>
      </c>
      <c r="Z466" s="2">
        <f t="shared" si="134"/>
        <v>-2156.2081978619999</v>
      </c>
      <c r="AA466" s="2">
        <f t="shared" si="135"/>
        <v>0</v>
      </c>
      <c r="AB466" s="2">
        <f t="shared" si="129"/>
        <v>-7419.8492699999997</v>
      </c>
      <c r="AC466" s="759">
        <v>-12141.241109999999</v>
      </c>
      <c r="AD466" s="741">
        <v>-7980.2032399999998</v>
      </c>
      <c r="AE466" s="741">
        <v>-2748.5324100000003</v>
      </c>
      <c r="AF466" s="741">
        <v>-2458.4643799999999</v>
      </c>
      <c r="AG466" s="741">
        <v>-2311.0709900000002</v>
      </c>
      <c r="AH466" s="741">
        <v>-2483.9771700000001</v>
      </c>
      <c r="AI466" s="741">
        <v>-2416.7803799999997</v>
      </c>
      <c r="AJ466" s="741">
        <v>-3264.96173</v>
      </c>
      <c r="AK466" s="741">
        <v>-2485.7796800000001</v>
      </c>
      <c r="AL466" s="741">
        <v>-2136.81927</v>
      </c>
      <c r="AM466" s="741">
        <v>-2075.1106199999999</v>
      </c>
      <c r="AN466" s="741">
        <v>-90.637830000000008</v>
      </c>
      <c r="AO466" s="741">
        <v>-7419.8492699999997</v>
      </c>
      <c r="AP466" s="41" t="str">
        <f t="shared" si="125"/>
        <v>GLA</v>
      </c>
      <c r="AQ466" s="41" t="str">
        <f t="shared" si="126"/>
        <v>GLAA2Accounts Payable</v>
      </c>
      <c r="AR466" s="41" t="str">
        <f t="shared" si="127"/>
        <v>A2Accounts Payable</v>
      </c>
      <c r="CR466" s="625"/>
    </row>
    <row r="467" spans="1:96" s="41" customFormat="1" ht="12.75" customHeight="1">
      <c r="A467" s="25" t="s">
        <v>17</v>
      </c>
      <c r="B467" s="25" t="str">
        <f t="shared" si="137"/>
        <v>GL232025</v>
      </c>
      <c r="C467" s="638">
        <v>232025</v>
      </c>
      <c r="D467" s="735"/>
      <c r="F467" s="1" t="s">
        <v>454</v>
      </c>
      <c r="H467" s="736" t="s">
        <v>2556</v>
      </c>
      <c r="I467" s="25"/>
      <c r="J467" s="25"/>
      <c r="K467" s="442" t="str">
        <f t="shared" si="136"/>
        <v/>
      </c>
      <c r="L467" s="736" t="s">
        <v>2393</v>
      </c>
      <c r="M467" s="25" t="str">
        <f t="shared" si="138"/>
        <v>A</v>
      </c>
      <c r="N467" s="25" t="str">
        <f>IF(L467&lt;&gt;"",VLOOKUP(L467,Categories!$B$2:$D$41,2,FALSE),IF(F467&lt;&gt;"","No Cat",""))</f>
        <v>All Other</v>
      </c>
      <c r="O467" s="25" t="str">
        <f>IF($L467&lt;&gt;"",VLOOKUP($L467,Categories!$B$2:$D$41,3,FALSE),IF($F467&lt;&gt;"","No Cat",""))</f>
        <v>EB-Cap</v>
      </c>
      <c r="P467" s="736" t="s">
        <v>2490</v>
      </c>
      <c r="Q467" s="25" t="str">
        <f>VLOOKUP($P467,Allocators!$B$7:$F$19,5,FALSE)</f>
        <v>Rate Base</v>
      </c>
      <c r="R467" s="737">
        <f>VLOOKUP($P467,Allocators!$B$7:$F$19,2,FALSE)</f>
        <v>0.70940000000000003</v>
      </c>
      <c r="S467" s="737">
        <f>VLOOKUP($P467,Allocators!$B$7:$F$19,3,FALSE)</f>
        <v>0.29060000000000002</v>
      </c>
      <c r="T467" s="737" t="str">
        <f t="shared" si="124"/>
        <v>0.0%</v>
      </c>
      <c r="U467" s="2">
        <f t="shared" si="130"/>
        <v>-1299.14664886334</v>
      </c>
      <c r="V467" s="2">
        <f t="shared" si="131"/>
        <v>-532.18496780333396</v>
      </c>
      <c r="W467" s="2">
        <f t="shared" si="132"/>
        <v>0</v>
      </c>
      <c r="X467" s="2">
        <f t="shared" si="128"/>
        <v>-1831.33161666667</v>
      </c>
      <c r="Y467" s="2">
        <f t="shared" si="133"/>
        <v>-1806.0303882799999</v>
      </c>
      <c r="Z467" s="2">
        <f t="shared" si="134"/>
        <v>-739.82581172000005</v>
      </c>
      <c r="AA467" s="2">
        <f t="shared" si="135"/>
        <v>0</v>
      </c>
      <c r="AB467" s="2">
        <f t="shared" si="129"/>
        <v>-2545.8562000000002</v>
      </c>
      <c r="AC467" s="759">
        <v>-2271.5791400000003</v>
      </c>
      <c r="AD467" s="741">
        <v>-1176.55078</v>
      </c>
      <c r="AE467" s="741">
        <v>-1165.9486100000001</v>
      </c>
      <c r="AF467" s="741">
        <v>-1618.8065900000001</v>
      </c>
      <c r="AG467" s="741">
        <v>-2036.3380099999999</v>
      </c>
      <c r="AH467" s="741">
        <v>-1769.92102</v>
      </c>
      <c r="AI467" s="741">
        <v>-2177.6199200000001</v>
      </c>
      <c r="AJ467" s="741">
        <v>-2748.2989700000003</v>
      </c>
      <c r="AK467" s="741">
        <v>-1427.2368100000001</v>
      </c>
      <c r="AL467" s="741">
        <v>-1848.9483700000001</v>
      </c>
      <c r="AM467" s="741">
        <v>-1675.3772900000001</v>
      </c>
      <c r="AN467" s="741">
        <v>-1922.2153600000001</v>
      </c>
      <c r="AO467" s="741">
        <v>-2545.8562000000002</v>
      </c>
      <c r="AP467" s="41" t="str">
        <f t="shared" si="125"/>
        <v>GLA</v>
      </c>
      <c r="AQ467" s="41" t="str">
        <f t="shared" si="126"/>
        <v>GLAA2Accounts Payable</v>
      </c>
      <c r="AR467" s="41" t="str">
        <f t="shared" si="127"/>
        <v>A2Accounts Payable</v>
      </c>
      <c r="CR467" s="625"/>
    </row>
    <row r="468" spans="1:96" s="41" customFormat="1" ht="12.75" customHeight="1">
      <c r="A468" s="25" t="s">
        <v>17</v>
      </c>
      <c r="B468" s="25" t="str">
        <f t="shared" si="137"/>
        <v>GL232026</v>
      </c>
      <c r="C468" s="638">
        <v>232026</v>
      </c>
      <c r="D468" s="735"/>
      <c r="F468" s="1" t="s">
        <v>455</v>
      </c>
      <c r="H468" s="736" t="s">
        <v>2556</v>
      </c>
      <c r="I468" s="25"/>
      <c r="J468" s="25"/>
      <c r="K468" s="442" t="str">
        <f t="shared" si="136"/>
        <v/>
      </c>
      <c r="L468" s="736" t="s">
        <v>2393</v>
      </c>
      <c r="M468" s="25" t="str">
        <f t="shared" si="138"/>
        <v>A</v>
      </c>
      <c r="N468" s="25" t="str">
        <f>IF(L468&lt;&gt;"",VLOOKUP(L468,Categories!$B$2:$D$41,2,FALSE),IF(F468&lt;&gt;"","No Cat",""))</f>
        <v>All Other</v>
      </c>
      <c r="O468" s="25" t="str">
        <f>IF($L468&lt;&gt;"",VLOOKUP($L468,Categories!$B$2:$D$41,3,FALSE),IF($F468&lt;&gt;"","No Cat",""))</f>
        <v>EB-Cap</v>
      </c>
      <c r="P468" s="736" t="s">
        <v>2490</v>
      </c>
      <c r="Q468" s="25" t="str">
        <f>VLOOKUP($P468,Allocators!$B$7:$F$19,5,FALSE)</f>
        <v>Rate Base</v>
      </c>
      <c r="R468" s="737">
        <f>VLOOKUP($P468,Allocators!$B$7:$F$19,2,FALSE)</f>
        <v>0.70940000000000003</v>
      </c>
      <c r="S468" s="737">
        <f>VLOOKUP($P468,Allocators!$B$7:$F$19,3,FALSE)</f>
        <v>0.29060000000000002</v>
      </c>
      <c r="T468" s="737" t="str">
        <f t="shared" si="124"/>
        <v>0.0%</v>
      </c>
      <c r="U468" s="2" t="str">
        <f t="shared" si="130"/>
        <v/>
      </c>
      <c r="V468" s="2" t="str">
        <f t="shared" si="131"/>
        <v/>
      </c>
      <c r="W468" s="2" t="str">
        <f t="shared" si="132"/>
        <v/>
      </c>
      <c r="X468" s="2">
        <f t="shared" si="128"/>
        <v>0</v>
      </c>
      <c r="Y468" s="2" t="str">
        <f t="shared" si="133"/>
        <v/>
      </c>
      <c r="Z468" s="2" t="str">
        <f t="shared" si="134"/>
        <v/>
      </c>
      <c r="AA468" s="2" t="str">
        <f t="shared" si="135"/>
        <v/>
      </c>
      <c r="AB468" s="2">
        <f t="shared" si="129"/>
        <v>0</v>
      </c>
      <c r="AC468" s="759">
        <v>0</v>
      </c>
      <c r="AD468" s="741">
        <v>0</v>
      </c>
      <c r="AE468" s="741">
        <v>0</v>
      </c>
      <c r="AF468" s="741">
        <v>0</v>
      </c>
      <c r="AG468" s="741">
        <v>0</v>
      </c>
      <c r="AH468" s="741">
        <v>0</v>
      </c>
      <c r="AI468" s="741">
        <v>0</v>
      </c>
      <c r="AJ468" s="741">
        <v>0</v>
      </c>
      <c r="AK468" s="741">
        <v>0</v>
      </c>
      <c r="AL468" s="741">
        <v>0</v>
      </c>
      <c r="AM468" s="741">
        <v>0</v>
      </c>
      <c r="AN468" s="741">
        <v>0</v>
      </c>
      <c r="AO468" s="741">
        <v>0</v>
      </c>
      <c r="AP468" s="41" t="str">
        <f t="shared" si="125"/>
        <v>GLA</v>
      </c>
      <c r="AQ468" s="41" t="str">
        <f t="shared" si="126"/>
        <v>GLAA2Accounts Payable</v>
      </c>
      <c r="AR468" s="41" t="str">
        <f t="shared" si="127"/>
        <v>A2Accounts Payable</v>
      </c>
      <c r="CR468" s="625"/>
    </row>
    <row r="469" spans="1:96" s="41" customFormat="1" ht="12.75" customHeight="1">
      <c r="A469" s="442" t="s">
        <v>17</v>
      </c>
      <c r="B469" s="442" t="str">
        <f t="shared" si="137"/>
        <v>GL232029</v>
      </c>
      <c r="C469" s="638">
        <v>232029</v>
      </c>
      <c r="D469" s="735"/>
      <c r="E469" s="626"/>
      <c r="F469" s="441" t="s">
        <v>456</v>
      </c>
      <c r="G469" s="626"/>
      <c r="H469" s="736" t="s">
        <v>2549</v>
      </c>
      <c r="I469" s="442"/>
      <c r="J469" s="442"/>
      <c r="K469" s="442" t="str">
        <f t="shared" si="136"/>
        <v/>
      </c>
      <c r="L469" s="736" t="s">
        <v>2421</v>
      </c>
      <c r="M469" s="442" t="str">
        <f t="shared" si="138"/>
        <v>N</v>
      </c>
      <c r="N469" s="442" t="str">
        <f>IF(L469&lt;&gt;"",VLOOKUP(L469,Categories!$B$2:$D$41,2,FALSE),IF(F469&lt;&gt;"","No Cat",""))</f>
        <v>NRBASE</v>
      </c>
      <c r="O469" s="442" t="str">
        <f>IF($L469&lt;&gt;"",VLOOKUP($L469,Categories!$B$2:$D$41,3,FALSE),IF($F469&lt;&gt;"","No Cat",""))</f>
        <v>Direct Assign Items Not in RB</v>
      </c>
      <c r="P469" s="736" t="s">
        <v>2468</v>
      </c>
      <c r="Q469" s="442" t="str">
        <f>VLOOKUP($P469,Allocators!$B$7:$F$19,5,FALSE)</f>
        <v>Not in Rate Base</v>
      </c>
      <c r="R469" s="737">
        <f>VLOOKUP($P469,Allocators!$B$7:$F$19,2,FALSE)</f>
        <v>0</v>
      </c>
      <c r="S469" s="737">
        <f>VLOOKUP($P469,Allocators!$B$7:$F$19,3,FALSE)</f>
        <v>0</v>
      </c>
      <c r="T469" s="737">
        <f t="shared" si="124"/>
        <v>1</v>
      </c>
      <c r="U469" s="2">
        <f t="shared" si="130"/>
        <v>0</v>
      </c>
      <c r="V469" s="2">
        <f t="shared" si="131"/>
        <v>0</v>
      </c>
      <c r="W469" s="2">
        <f t="shared" si="132"/>
        <v>-1634.2699691666701</v>
      </c>
      <c r="X469" s="2">
        <f t="shared" si="128"/>
        <v>-1634.2699691666701</v>
      </c>
      <c r="Y469" s="2" t="str">
        <f t="shared" si="133"/>
        <v/>
      </c>
      <c r="Z469" s="2" t="str">
        <f t="shared" si="134"/>
        <v/>
      </c>
      <c r="AA469" s="2" t="str">
        <f t="shared" si="135"/>
        <v/>
      </c>
      <c r="AB469" s="2">
        <f t="shared" si="129"/>
        <v>0</v>
      </c>
      <c r="AC469" s="759">
        <v>-12977.77082</v>
      </c>
      <c r="AD469" s="741">
        <v>0</v>
      </c>
      <c r="AE469" s="741">
        <v>0</v>
      </c>
      <c r="AF469" s="741">
        <v>-12977.77082</v>
      </c>
      <c r="AG469" s="741">
        <v>0</v>
      </c>
      <c r="AH469" s="741">
        <v>-72.291699999999992</v>
      </c>
      <c r="AI469" s="741">
        <v>-72.291699999999992</v>
      </c>
      <c r="AJ469" s="741">
        <v>0</v>
      </c>
      <c r="AK469" s="741">
        <v>0</v>
      </c>
      <c r="AL469" s="741">
        <v>0</v>
      </c>
      <c r="AM469" s="741">
        <v>0</v>
      </c>
      <c r="AN469" s="741">
        <v>0</v>
      </c>
      <c r="AO469" s="741">
        <v>0</v>
      </c>
      <c r="AP469" s="41" t="str">
        <f t="shared" si="125"/>
        <v>GLN</v>
      </c>
      <c r="AQ469" s="41" t="str">
        <f t="shared" si="126"/>
        <v>GLNN2Transfer Goods Receipt</v>
      </c>
      <c r="AR469" s="41" t="str">
        <f t="shared" si="127"/>
        <v>N2Transfer Goods Receipt</v>
      </c>
    </row>
    <row r="470" spans="1:96" s="41" customFormat="1" ht="12.75" customHeight="1">
      <c r="A470" s="25" t="s">
        <v>17</v>
      </c>
      <c r="B470" s="25" t="str">
        <f t="shared" si="137"/>
        <v>GL232030</v>
      </c>
      <c r="C470" s="638">
        <v>232030</v>
      </c>
      <c r="D470" s="735"/>
      <c r="F470" s="1" t="s">
        <v>457</v>
      </c>
      <c r="H470" s="736" t="s">
        <v>2556</v>
      </c>
      <c r="I470" s="25"/>
      <c r="J470" s="25"/>
      <c r="K470" s="442" t="str">
        <f t="shared" si="136"/>
        <v/>
      </c>
      <c r="L470" s="736" t="s">
        <v>2393</v>
      </c>
      <c r="M470" s="25" t="str">
        <f t="shared" si="138"/>
        <v>A</v>
      </c>
      <c r="N470" s="25" t="str">
        <f>IF(L470&lt;&gt;"",VLOOKUP(L470,Categories!$B$2:$D$41,2,FALSE),IF(F470&lt;&gt;"","No Cat",""))</f>
        <v>All Other</v>
      </c>
      <c r="O470" s="25" t="str">
        <f>IF($L470&lt;&gt;"",VLOOKUP($L470,Categories!$B$2:$D$41,3,FALSE),IF($F470&lt;&gt;"","No Cat",""))</f>
        <v>EB-Cap</v>
      </c>
      <c r="P470" s="736" t="s">
        <v>2490</v>
      </c>
      <c r="Q470" s="25" t="str">
        <f>VLOOKUP($P470,Allocators!$B$7:$F$19,5,FALSE)</f>
        <v>Rate Base</v>
      </c>
      <c r="R470" s="737">
        <f>VLOOKUP($P470,Allocators!$B$7:$F$19,2,FALSE)</f>
        <v>0.70940000000000003</v>
      </c>
      <c r="S470" s="737">
        <f>VLOOKUP($P470,Allocators!$B$7:$F$19,3,FALSE)</f>
        <v>0.29060000000000002</v>
      </c>
      <c r="T470" s="737" t="str">
        <f t="shared" si="124"/>
        <v>0.0%</v>
      </c>
      <c r="U470" s="2">
        <f t="shared" si="130"/>
        <v>35.246925327416598</v>
      </c>
      <c r="V470" s="2">
        <f t="shared" si="131"/>
        <v>14.4386192559167</v>
      </c>
      <c r="W470" s="2">
        <f t="shared" si="132"/>
        <v>0</v>
      </c>
      <c r="X470" s="2">
        <f t="shared" si="128"/>
        <v>49.685544583333296</v>
      </c>
      <c r="Y470" s="2" t="str">
        <f t="shared" si="133"/>
        <v/>
      </c>
      <c r="Z470" s="2" t="str">
        <f t="shared" si="134"/>
        <v/>
      </c>
      <c r="AA470" s="2" t="str">
        <f t="shared" si="135"/>
        <v/>
      </c>
      <c r="AB470" s="2">
        <f t="shared" si="129"/>
        <v>0</v>
      </c>
      <c r="AC470" s="759">
        <v>1193.6505500000001</v>
      </c>
      <c r="AD470" s="741">
        <v>-0.58374000000000004</v>
      </c>
      <c r="AE470" s="741">
        <v>0</v>
      </c>
      <c r="AF470" s="741">
        <v>0</v>
      </c>
      <c r="AG470" s="741">
        <v>0</v>
      </c>
      <c r="AH470" s="741">
        <v>0</v>
      </c>
      <c r="AI470" s="741">
        <v>-1.4999999999999999E-2</v>
      </c>
      <c r="AJ470" s="741">
        <v>0</v>
      </c>
      <c r="AK470" s="741">
        <v>0</v>
      </c>
      <c r="AL470" s="741">
        <v>0</v>
      </c>
      <c r="AM470" s="741">
        <v>0</v>
      </c>
      <c r="AN470" s="741">
        <v>0</v>
      </c>
      <c r="AO470" s="741">
        <v>0</v>
      </c>
      <c r="AP470" s="41" t="str">
        <f t="shared" si="125"/>
        <v>GLA</v>
      </c>
      <c r="AQ470" s="41" t="str">
        <f t="shared" si="126"/>
        <v>GLAA2Accounts Payable</v>
      </c>
      <c r="AR470" s="41" t="str">
        <f t="shared" si="127"/>
        <v>A2Accounts Payable</v>
      </c>
      <c r="CR470" s="625"/>
    </row>
    <row r="471" spans="1:96" s="41" customFormat="1" ht="12.75" customHeight="1">
      <c r="A471" s="25" t="s">
        <v>17</v>
      </c>
      <c r="B471" s="25" t="str">
        <f t="shared" si="137"/>
        <v>GL232040</v>
      </c>
      <c r="C471" s="638">
        <v>232040</v>
      </c>
      <c r="D471" s="735"/>
      <c r="F471" s="1" t="s">
        <v>458</v>
      </c>
      <c r="H471" s="736" t="s">
        <v>2556</v>
      </c>
      <c r="I471" s="25"/>
      <c r="J471" s="25"/>
      <c r="K471" s="442" t="str">
        <f t="shared" si="136"/>
        <v/>
      </c>
      <c r="L471" s="736" t="s">
        <v>2393</v>
      </c>
      <c r="M471" s="25" t="str">
        <f t="shared" si="138"/>
        <v>A</v>
      </c>
      <c r="N471" s="25" t="str">
        <f>IF(L471&lt;&gt;"",VLOOKUP(L471,Categories!$B$2:$D$41,2,FALSE),IF(F471&lt;&gt;"","No Cat",""))</f>
        <v>All Other</v>
      </c>
      <c r="O471" s="25" t="str">
        <f>IF($L471&lt;&gt;"",VLOOKUP($L471,Categories!$B$2:$D$41,3,FALSE),IF($F471&lt;&gt;"","No Cat",""))</f>
        <v>EB-Cap</v>
      </c>
      <c r="P471" s="736" t="s">
        <v>2490</v>
      </c>
      <c r="Q471" s="25" t="str">
        <f>VLOOKUP($P471,Allocators!$B$7:$F$19,5,FALSE)</f>
        <v>Rate Base</v>
      </c>
      <c r="R471" s="737">
        <f>VLOOKUP($P471,Allocators!$B$7:$F$19,2,FALSE)</f>
        <v>0.70940000000000003</v>
      </c>
      <c r="S471" s="737">
        <f>VLOOKUP($P471,Allocators!$B$7:$F$19,3,FALSE)</f>
        <v>0.29060000000000002</v>
      </c>
      <c r="T471" s="737" t="str">
        <f t="shared" si="124"/>
        <v>0.0%</v>
      </c>
      <c r="U471" s="2" t="str">
        <f t="shared" si="130"/>
        <v/>
      </c>
      <c r="V471" s="2" t="str">
        <f t="shared" si="131"/>
        <v/>
      </c>
      <c r="W471" s="2" t="str">
        <f t="shared" si="132"/>
        <v/>
      </c>
      <c r="X471" s="2">
        <f t="shared" si="128"/>
        <v>0</v>
      </c>
      <c r="Y471" s="2" t="str">
        <f t="shared" si="133"/>
        <v/>
      </c>
      <c r="Z471" s="2" t="str">
        <f t="shared" si="134"/>
        <v/>
      </c>
      <c r="AA471" s="2" t="str">
        <f t="shared" si="135"/>
        <v/>
      </c>
      <c r="AB471" s="2">
        <f t="shared" si="129"/>
        <v>0</v>
      </c>
      <c r="AC471" s="759">
        <v>0</v>
      </c>
      <c r="AD471" s="741">
        <v>0</v>
      </c>
      <c r="AE471" s="741">
        <v>0</v>
      </c>
      <c r="AF471" s="741">
        <v>0</v>
      </c>
      <c r="AG471" s="741">
        <v>0</v>
      </c>
      <c r="AH471" s="741">
        <v>0</v>
      </c>
      <c r="AI471" s="741">
        <v>0</v>
      </c>
      <c r="AJ471" s="741">
        <v>0</v>
      </c>
      <c r="AK471" s="741">
        <v>0</v>
      </c>
      <c r="AL471" s="741">
        <v>0</v>
      </c>
      <c r="AM471" s="741">
        <v>0</v>
      </c>
      <c r="AN471" s="741">
        <v>0</v>
      </c>
      <c r="AO471" s="741">
        <v>0</v>
      </c>
      <c r="AP471" s="41" t="str">
        <f t="shared" si="125"/>
        <v>GLA</v>
      </c>
      <c r="AQ471" s="41" t="str">
        <f t="shared" si="126"/>
        <v>GLAA2Accounts Payable</v>
      </c>
      <c r="AR471" s="41" t="str">
        <f t="shared" si="127"/>
        <v>A2Accounts Payable</v>
      </c>
      <c r="CR471" s="625"/>
    </row>
    <row r="472" spans="1:96" s="41" customFormat="1" ht="12.75" customHeight="1">
      <c r="A472" s="25" t="s">
        <v>17</v>
      </c>
      <c r="B472" s="25" t="str">
        <f t="shared" si="137"/>
        <v>GL232050</v>
      </c>
      <c r="C472" s="638">
        <v>232050</v>
      </c>
      <c r="D472" s="735"/>
      <c r="F472" s="1" t="s">
        <v>459</v>
      </c>
      <c r="H472" s="736" t="s">
        <v>2556</v>
      </c>
      <c r="I472" s="25"/>
      <c r="J472" s="25"/>
      <c r="K472" s="442" t="str">
        <f t="shared" si="136"/>
        <v/>
      </c>
      <c r="L472" s="736" t="s">
        <v>2393</v>
      </c>
      <c r="M472" s="25" t="str">
        <f t="shared" si="138"/>
        <v>A</v>
      </c>
      <c r="N472" s="25" t="str">
        <f>IF(L472&lt;&gt;"",VLOOKUP(L472,Categories!$B$2:$D$41,2,FALSE),IF(F472&lt;&gt;"","No Cat",""))</f>
        <v>All Other</v>
      </c>
      <c r="O472" s="25" t="str">
        <f>IF($L472&lt;&gt;"",VLOOKUP($L472,Categories!$B$2:$D$41,3,FALSE),IF($F472&lt;&gt;"","No Cat",""))</f>
        <v>EB-Cap</v>
      </c>
      <c r="P472" s="736" t="s">
        <v>2490</v>
      </c>
      <c r="Q472" s="25" t="str">
        <f>VLOOKUP($P472,Allocators!$B$7:$F$19,5,FALSE)</f>
        <v>Rate Base</v>
      </c>
      <c r="R472" s="737">
        <f>VLOOKUP($P472,Allocators!$B$7:$F$19,2,FALSE)</f>
        <v>0.70940000000000003</v>
      </c>
      <c r="S472" s="737">
        <f>VLOOKUP($P472,Allocators!$B$7:$F$19,3,FALSE)</f>
        <v>0.29060000000000002</v>
      </c>
      <c r="T472" s="737" t="str">
        <f t="shared" si="124"/>
        <v>0.0%</v>
      </c>
      <c r="U472" s="2" t="str">
        <f t="shared" si="130"/>
        <v/>
      </c>
      <c r="V472" s="2" t="str">
        <f t="shared" si="131"/>
        <v/>
      </c>
      <c r="W472" s="2" t="str">
        <f t="shared" si="132"/>
        <v/>
      </c>
      <c r="X472" s="2">
        <f t="shared" si="128"/>
        <v>0</v>
      </c>
      <c r="Y472" s="2" t="str">
        <f t="shared" si="133"/>
        <v/>
      </c>
      <c r="Z472" s="2" t="str">
        <f t="shared" si="134"/>
        <v/>
      </c>
      <c r="AA472" s="2" t="str">
        <f t="shared" si="135"/>
        <v/>
      </c>
      <c r="AB472" s="2">
        <f t="shared" si="129"/>
        <v>0</v>
      </c>
      <c r="AC472" s="759">
        <v>0</v>
      </c>
      <c r="AD472" s="741">
        <v>0</v>
      </c>
      <c r="AE472" s="741">
        <v>0</v>
      </c>
      <c r="AF472" s="741">
        <v>0</v>
      </c>
      <c r="AG472" s="741">
        <v>0</v>
      </c>
      <c r="AH472" s="741">
        <v>0</v>
      </c>
      <c r="AI472" s="741">
        <v>0</v>
      </c>
      <c r="AJ472" s="741">
        <v>0</v>
      </c>
      <c r="AK472" s="741">
        <v>0</v>
      </c>
      <c r="AL472" s="741">
        <v>0</v>
      </c>
      <c r="AM472" s="741">
        <v>0</v>
      </c>
      <c r="AN472" s="741">
        <v>0</v>
      </c>
      <c r="AO472" s="741">
        <v>0</v>
      </c>
      <c r="AP472" s="41" t="str">
        <f t="shared" si="125"/>
        <v>GLA</v>
      </c>
      <c r="AQ472" s="41" t="str">
        <f t="shared" si="126"/>
        <v>GLAA2Accounts Payable</v>
      </c>
      <c r="AR472" s="41" t="str">
        <f t="shared" si="127"/>
        <v>A2Accounts Payable</v>
      </c>
      <c r="CR472" s="625"/>
    </row>
    <row r="473" spans="1:96" s="41" customFormat="1" ht="12.75" customHeight="1">
      <c r="A473" s="25" t="s">
        <v>17</v>
      </c>
      <c r="B473" s="25" t="str">
        <f t="shared" si="137"/>
        <v>GL232060</v>
      </c>
      <c r="C473" s="638">
        <v>232060</v>
      </c>
      <c r="D473" s="735"/>
      <c r="F473" s="1" t="s">
        <v>460</v>
      </c>
      <c r="H473" s="736" t="s">
        <v>2556</v>
      </c>
      <c r="I473" s="25"/>
      <c r="J473" s="25"/>
      <c r="K473" s="442" t="str">
        <f t="shared" si="136"/>
        <v/>
      </c>
      <c r="L473" s="736" t="s">
        <v>2393</v>
      </c>
      <c r="M473" s="25" t="str">
        <f t="shared" si="138"/>
        <v>A</v>
      </c>
      <c r="N473" s="25" t="str">
        <f>IF(L473&lt;&gt;"",VLOOKUP(L473,Categories!$B$2:$D$41,2,FALSE),IF(F473&lt;&gt;"","No Cat",""))</f>
        <v>All Other</v>
      </c>
      <c r="O473" s="25" t="str">
        <f>IF($L473&lt;&gt;"",VLOOKUP($L473,Categories!$B$2:$D$41,3,FALSE),IF($F473&lt;&gt;"","No Cat",""))</f>
        <v>EB-Cap</v>
      </c>
      <c r="P473" s="736" t="s">
        <v>2490</v>
      </c>
      <c r="Q473" s="25" t="str">
        <f>VLOOKUP($P473,Allocators!$B$7:$F$19,5,FALSE)</f>
        <v>Rate Base</v>
      </c>
      <c r="R473" s="737">
        <f>VLOOKUP($P473,Allocators!$B$7:$F$19,2,FALSE)</f>
        <v>0.70940000000000003</v>
      </c>
      <c r="S473" s="737">
        <f>VLOOKUP($P473,Allocators!$B$7:$F$19,3,FALSE)</f>
        <v>0.29060000000000002</v>
      </c>
      <c r="T473" s="737" t="str">
        <f t="shared" si="124"/>
        <v>0.0%</v>
      </c>
      <c r="U473" s="2" t="str">
        <f t="shared" si="130"/>
        <v/>
      </c>
      <c r="V473" s="2" t="str">
        <f t="shared" si="131"/>
        <v/>
      </c>
      <c r="W473" s="2" t="str">
        <f t="shared" si="132"/>
        <v/>
      </c>
      <c r="X473" s="2">
        <f t="shared" si="128"/>
        <v>0</v>
      </c>
      <c r="Y473" s="2" t="str">
        <f t="shared" si="133"/>
        <v/>
      </c>
      <c r="Z473" s="2" t="str">
        <f t="shared" si="134"/>
        <v/>
      </c>
      <c r="AA473" s="2" t="str">
        <f t="shared" si="135"/>
        <v/>
      </c>
      <c r="AB473" s="2">
        <f t="shared" si="129"/>
        <v>0</v>
      </c>
      <c r="AC473" s="759">
        <v>0</v>
      </c>
      <c r="AD473" s="741">
        <v>0</v>
      </c>
      <c r="AE473" s="741">
        <v>0</v>
      </c>
      <c r="AF473" s="741">
        <v>0</v>
      </c>
      <c r="AG473" s="741">
        <v>0</v>
      </c>
      <c r="AH473" s="741">
        <v>0</v>
      </c>
      <c r="AI473" s="741">
        <v>0</v>
      </c>
      <c r="AJ473" s="741">
        <v>0</v>
      </c>
      <c r="AK473" s="741">
        <v>0</v>
      </c>
      <c r="AL473" s="741">
        <v>0</v>
      </c>
      <c r="AM473" s="741">
        <v>0</v>
      </c>
      <c r="AN473" s="741">
        <v>0</v>
      </c>
      <c r="AO473" s="741">
        <v>0</v>
      </c>
      <c r="AP473" s="41" t="str">
        <f t="shared" si="125"/>
        <v>GLA</v>
      </c>
      <c r="AQ473" s="41" t="str">
        <f t="shared" si="126"/>
        <v>GLAA2Accounts Payable</v>
      </c>
      <c r="AR473" s="41" t="str">
        <f t="shared" si="127"/>
        <v>A2Accounts Payable</v>
      </c>
      <c r="CR473" s="625"/>
    </row>
    <row r="474" spans="1:96" s="41" customFormat="1" ht="12.75" customHeight="1">
      <c r="A474" s="25" t="s">
        <v>17</v>
      </c>
      <c r="B474" s="25" t="str">
        <f t="shared" si="137"/>
        <v>GL232069</v>
      </c>
      <c r="C474" s="638">
        <v>232069</v>
      </c>
      <c r="D474" s="735"/>
      <c r="F474" s="1" t="s">
        <v>461</v>
      </c>
      <c r="H474" s="736" t="s">
        <v>2556</v>
      </c>
      <c r="I474" s="25"/>
      <c r="J474" s="25"/>
      <c r="K474" s="442" t="str">
        <f t="shared" si="136"/>
        <v/>
      </c>
      <c r="L474" s="736" t="s">
        <v>2393</v>
      </c>
      <c r="M474" s="25" t="str">
        <f t="shared" si="138"/>
        <v>A</v>
      </c>
      <c r="N474" s="25" t="str">
        <f>IF(L474&lt;&gt;"",VLOOKUP(L474,Categories!$B$2:$D$41,2,FALSE),IF(F474&lt;&gt;"","No Cat",""))</f>
        <v>All Other</v>
      </c>
      <c r="O474" s="25" t="str">
        <f>IF($L474&lt;&gt;"",VLOOKUP($L474,Categories!$B$2:$D$41,3,FALSE),IF($F474&lt;&gt;"","No Cat",""))</f>
        <v>EB-Cap</v>
      </c>
      <c r="P474" s="736" t="s">
        <v>2490</v>
      </c>
      <c r="Q474" s="25" t="str">
        <f>VLOOKUP($P474,Allocators!$B$7:$F$19,5,FALSE)</f>
        <v>Rate Base</v>
      </c>
      <c r="R474" s="737">
        <f>VLOOKUP($P474,Allocators!$B$7:$F$19,2,FALSE)</f>
        <v>0.70940000000000003</v>
      </c>
      <c r="S474" s="737">
        <f>VLOOKUP($P474,Allocators!$B$7:$F$19,3,FALSE)</f>
        <v>0.29060000000000002</v>
      </c>
      <c r="T474" s="737" t="str">
        <f t="shared" ref="T474:T538" si="139">IF(P474="N",1,"0.0%")</f>
        <v>0.0%</v>
      </c>
      <c r="U474" s="2">
        <f t="shared" si="130"/>
        <v>0.31222290149999998</v>
      </c>
      <c r="V474" s="2">
        <f t="shared" si="131"/>
        <v>0.12789959849999999</v>
      </c>
      <c r="W474" s="2">
        <f t="shared" si="132"/>
        <v>0</v>
      </c>
      <c r="X474" s="2">
        <f t="shared" si="128"/>
        <v>0.44012250000000003</v>
      </c>
      <c r="Y474" s="2" t="str">
        <f t="shared" si="133"/>
        <v/>
      </c>
      <c r="Z474" s="2" t="str">
        <f t="shared" si="134"/>
        <v/>
      </c>
      <c r="AA474" s="2" t="str">
        <f t="shared" si="135"/>
        <v/>
      </c>
      <c r="AB474" s="2">
        <f t="shared" si="129"/>
        <v>0</v>
      </c>
      <c r="AC474" s="759">
        <v>10.309559999999999</v>
      </c>
      <c r="AD474" s="741">
        <v>2.0000000000000001E-4</v>
      </c>
      <c r="AE474" s="741">
        <v>0</v>
      </c>
      <c r="AF474" s="741">
        <v>-0.11087999999999999</v>
      </c>
      <c r="AG474" s="741">
        <v>0.31644</v>
      </c>
      <c r="AH474" s="741">
        <v>0</v>
      </c>
      <c r="AI474" s="741">
        <v>-7.9069999999999988E-2</v>
      </c>
      <c r="AJ474" s="741">
        <v>0</v>
      </c>
      <c r="AK474" s="741">
        <v>0</v>
      </c>
      <c r="AL474" s="741">
        <v>0</v>
      </c>
      <c r="AM474" s="741">
        <v>0</v>
      </c>
      <c r="AN474" s="741">
        <v>0</v>
      </c>
      <c r="AO474" s="741">
        <v>0</v>
      </c>
      <c r="AP474" s="41" t="str">
        <f t="shared" si="125"/>
        <v>GLA</v>
      </c>
      <c r="AQ474" s="41" t="str">
        <f t="shared" si="126"/>
        <v>GLAA2Accounts Payable</v>
      </c>
      <c r="AR474" s="41" t="str">
        <f t="shared" si="127"/>
        <v>A2Accounts Payable</v>
      </c>
      <c r="CR474" s="625"/>
    </row>
    <row r="475" spans="1:96" s="41" customFormat="1" ht="12.75" customHeight="1">
      <c r="A475" s="25" t="s">
        <v>17</v>
      </c>
      <c r="B475" s="25" t="str">
        <f t="shared" si="137"/>
        <v>GL232070</v>
      </c>
      <c r="C475" s="638">
        <v>232070</v>
      </c>
      <c r="D475" s="735"/>
      <c r="F475" s="1" t="s">
        <v>462</v>
      </c>
      <c r="H475" s="736" t="s">
        <v>2556</v>
      </c>
      <c r="I475" s="25"/>
      <c r="J475" s="25"/>
      <c r="K475" s="442" t="str">
        <f t="shared" si="136"/>
        <v/>
      </c>
      <c r="L475" s="736" t="s">
        <v>2393</v>
      </c>
      <c r="M475" s="25" t="str">
        <f t="shared" si="138"/>
        <v>A</v>
      </c>
      <c r="N475" s="25" t="str">
        <f>IF(L475&lt;&gt;"",VLOOKUP(L475,Categories!$B$2:$D$41,2,FALSE),IF(F475&lt;&gt;"","No Cat",""))</f>
        <v>All Other</v>
      </c>
      <c r="O475" s="25" t="str">
        <f>IF($L475&lt;&gt;"",VLOOKUP($L475,Categories!$B$2:$D$41,3,FALSE),IF($F475&lt;&gt;"","No Cat",""))</f>
        <v>EB-Cap</v>
      </c>
      <c r="P475" s="736" t="s">
        <v>2490</v>
      </c>
      <c r="Q475" s="25" t="str">
        <f>VLOOKUP($P475,Allocators!$B$7:$F$19,5,FALSE)</f>
        <v>Rate Base</v>
      </c>
      <c r="R475" s="737">
        <f>VLOOKUP($P475,Allocators!$B$7:$F$19,2,FALSE)</f>
        <v>0.70940000000000003</v>
      </c>
      <c r="S475" s="737">
        <f>VLOOKUP($P475,Allocators!$B$7:$F$19,3,FALSE)</f>
        <v>0.29060000000000002</v>
      </c>
      <c r="T475" s="737" t="str">
        <f t="shared" si="139"/>
        <v>0.0%</v>
      </c>
      <c r="U475" s="2" t="str">
        <f t="shared" si="130"/>
        <v/>
      </c>
      <c r="V475" s="2" t="str">
        <f t="shared" si="131"/>
        <v/>
      </c>
      <c r="W475" s="2" t="str">
        <f t="shared" si="132"/>
        <v/>
      </c>
      <c r="X475" s="2">
        <f t="shared" si="128"/>
        <v>0</v>
      </c>
      <c r="Y475" s="2" t="str">
        <f t="shared" si="133"/>
        <v/>
      </c>
      <c r="Z475" s="2" t="str">
        <f t="shared" si="134"/>
        <v/>
      </c>
      <c r="AA475" s="2" t="str">
        <f t="shared" si="135"/>
        <v/>
      </c>
      <c r="AB475" s="2">
        <f t="shared" si="129"/>
        <v>0</v>
      </c>
      <c r="AC475" s="759">
        <v>0</v>
      </c>
      <c r="AD475" s="741">
        <v>0</v>
      </c>
      <c r="AE475" s="741">
        <v>0</v>
      </c>
      <c r="AF475" s="741">
        <v>0</v>
      </c>
      <c r="AG475" s="741">
        <v>0</v>
      </c>
      <c r="AH475" s="741">
        <v>0</v>
      </c>
      <c r="AI475" s="741">
        <v>0</v>
      </c>
      <c r="AJ475" s="741">
        <v>0</v>
      </c>
      <c r="AK475" s="741">
        <v>0</v>
      </c>
      <c r="AL475" s="741">
        <v>0</v>
      </c>
      <c r="AM475" s="741">
        <v>0</v>
      </c>
      <c r="AN475" s="741">
        <v>0</v>
      </c>
      <c r="AO475" s="741">
        <v>0</v>
      </c>
      <c r="AP475" s="41" t="str">
        <f t="shared" si="125"/>
        <v>GLA</v>
      </c>
      <c r="AQ475" s="41" t="str">
        <f t="shared" si="126"/>
        <v>GLAA2Accounts Payable</v>
      </c>
      <c r="AR475" s="41" t="str">
        <f t="shared" si="127"/>
        <v>A2Accounts Payable</v>
      </c>
      <c r="CR475" s="625"/>
    </row>
    <row r="476" spans="1:96" s="41" customFormat="1" ht="12.75" customHeight="1">
      <c r="A476" s="25" t="s">
        <v>17</v>
      </c>
      <c r="B476" s="25" t="str">
        <f t="shared" si="137"/>
        <v>GL232072</v>
      </c>
      <c r="C476" s="638">
        <v>232072</v>
      </c>
      <c r="D476" s="735"/>
      <c r="F476" s="1" t="s">
        <v>4324</v>
      </c>
      <c r="H476" s="736" t="s">
        <v>2556</v>
      </c>
      <c r="I476" s="25"/>
      <c r="J476" s="25"/>
      <c r="K476" s="442"/>
      <c r="L476" s="736" t="s">
        <v>2393</v>
      </c>
      <c r="M476" s="25" t="str">
        <f t="shared" si="138"/>
        <v>A</v>
      </c>
      <c r="N476" s="25" t="str">
        <f>IF(L476&lt;&gt;"",VLOOKUP(L476,Categories!$B$2:$D$41,2,FALSE),IF(F476&lt;&gt;"","No Cat",""))</f>
        <v>All Other</v>
      </c>
      <c r="O476" s="25" t="str">
        <f>IF($L476&lt;&gt;"",VLOOKUP($L476,Categories!$B$2:$D$41,3,FALSE),IF($F476&lt;&gt;"","No Cat",""))</f>
        <v>EB-Cap</v>
      </c>
      <c r="P476" s="736" t="s">
        <v>2490</v>
      </c>
      <c r="Q476" s="25" t="str">
        <f>VLOOKUP($P476,Allocators!$B$7:$F$19,5,FALSE)</f>
        <v>Rate Base</v>
      </c>
      <c r="R476" s="737">
        <f>VLOOKUP($P476,Allocators!$B$7:$F$19,2,FALSE)</f>
        <v>0.70940000000000003</v>
      </c>
      <c r="S476" s="737">
        <f>VLOOKUP($P476,Allocators!$B$7:$F$19,3,FALSE)</f>
        <v>0.29060000000000002</v>
      </c>
      <c r="T476" s="737" t="str">
        <f t="shared" si="139"/>
        <v>0.0%</v>
      </c>
      <c r="U476" s="2" t="str">
        <f t="shared" si="130"/>
        <v/>
      </c>
      <c r="V476" s="2" t="str">
        <f t="shared" si="131"/>
        <v/>
      </c>
      <c r="W476" s="2" t="str">
        <f t="shared" si="132"/>
        <v/>
      </c>
      <c r="X476" s="2">
        <f t="shared" si="128"/>
        <v>0</v>
      </c>
      <c r="Y476" s="2" t="str">
        <f t="shared" si="133"/>
        <v/>
      </c>
      <c r="Z476" s="2" t="str">
        <f t="shared" si="134"/>
        <v/>
      </c>
      <c r="AA476" s="2" t="str">
        <f t="shared" si="135"/>
        <v/>
      </c>
      <c r="AB476" s="2">
        <f t="shared" si="129"/>
        <v>0</v>
      </c>
      <c r="AC476" s="759">
        <v>0</v>
      </c>
      <c r="AD476" s="741">
        <v>0</v>
      </c>
      <c r="AE476" s="741">
        <v>0</v>
      </c>
      <c r="AF476" s="741">
        <v>0</v>
      </c>
      <c r="AG476" s="741">
        <v>0</v>
      </c>
      <c r="AH476" s="741">
        <v>0</v>
      </c>
      <c r="AI476" s="741">
        <v>0</v>
      </c>
      <c r="AJ476" s="741">
        <v>0</v>
      </c>
      <c r="AK476" s="741">
        <v>0</v>
      </c>
      <c r="AL476" s="741">
        <v>0</v>
      </c>
      <c r="AM476" s="741">
        <v>0</v>
      </c>
      <c r="AN476" s="741">
        <v>0</v>
      </c>
      <c r="AO476" s="741">
        <v>0</v>
      </c>
      <c r="AP476" s="41" t="str">
        <f t="shared" si="125"/>
        <v>GLA</v>
      </c>
      <c r="AQ476" s="41" t="str">
        <f t="shared" si="126"/>
        <v>GLAA2Accounts Payable</v>
      </c>
      <c r="AR476" s="41" t="str">
        <f t="shared" si="127"/>
        <v>A2Accounts Payable</v>
      </c>
      <c r="CR476" s="625"/>
    </row>
    <row r="477" spans="1:96" s="41" customFormat="1" ht="12.75" customHeight="1">
      <c r="A477" s="25" t="s">
        <v>17</v>
      </c>
      <c r="B477" s="25" t="str">
        <f t="shared" si="137"/>
        <v>GL232080</v>
      </c>
      <c r="C477" s="638">
        <v>232080</v>
      </c>
      <c r="D477" s="735"/>
      <c r="F477" s="1" t="s">
        <v>463</v>
      </c>
      <c r="H477" s="736" t="s">
        <v>2556</v>
      </c>
      <c r="I477" s="25"/>
      <c r="J477" s="25"/>
      <c r="K477" s="442" t="str">
        <f t="shared" si="136"/>
        <v/>
      </c>
      <c r="L477" s="736" t="s">
        <v>2393</v>
      </c>
      <c r="M477" s="25" t="str">
        <f t="shared" si="138"/>
        <v>A</v>
      </c>
      <c r="N477" s="25" t="str">
        <f>IF(L477&lt;&gt;"",VLOOKUP(L477,Categories!$B$2:$D$41,2,FALSE),IF(F477&lt;&gt;"","No Cat",""))</f>
        <v>All Other</v>
      </c>
      <c r="O477" s="25" t="str">
        <f>IF($L477&lt;&gt;"",VLOOKUP($L477,Categories!$B$2:$D$41,3,FALSE),IF($F477&lt;&gt;"","No Cat",""))</f>
        <v>EB-Cap</v>
      </c>
      <c r="P477" s="736" t="s">
        <v>2490</v>
      </c>
      <c r="Q477" s="25" t="str">
        <f>VLOOKUP($P477,Allocators!$B$7:$F$19,5,FALSE)</f>
        <v>Rate Base</v>
      </c>
      <c r="R477" s="737">
        <f>VLOOKUP($P477,Allocators!$B$7:$F$19,2,FALSE)</f>
        <v>0.70940000000000003</v>
      </c>
      <c r="S477" s="737">
        <f>VLOOKUP($P477,Allocators!$B$7:$F$19,3,FALSE)</f>
        <v>0.29060000000000002</v>
      </c>
      <c r="T477" s="737" t="str">
        <f t="shared" si="139"/>
        <v>0.0%</v>
      </c>
      <c r="U477" s="2" t="str">
        <f t="shared" si="130"/>
        <v/>
      </c>
      <c r="V477" s="2" t="str">
        <f t="shared" si="131"/>
        <v/>
      </c>
      <c r="W477" s="2" t="str">
        <f t="shared" si="132"/>
        <v/>
      </c>
      <c r="X477" s="2">
        <f t="shared" si="128"/>
        <v>0</v>
      </c>
      <c r="Y477" s="2" t="str">
        <f t="shared" si="133"/>
        <v/>
      </c>
      <c r="Z477" s="2" t="str">
        <f t="shared" si="134"/>
        <v/>
      </c>
      <c r="AA477" s="2" t="str">
        <f t="shared" si="135"/>
        <v/>
      </c>
      <c r="AB477" s="2">
        <f t="shared" si="129"/>
        <v>0</v>
      </c>
      <c r="AC477" s="759">
        <v>0</v>
      </c>
      <c r="AD477" s="741">
        <v>0</v>
      </c>
      <c r="AE477" s="741">
        <v>0</v>
      </c>
      <c r="AF477" s="741">
        <v>0</v>
      </c>
      <c r="AG477" s="741">
        <v>0</v>
      </c>
      <c r="AH477" s="741">
        <v>0</v>
      </c>
      <c r="AI477" s="741">
        <v>0</v>
      </c>
      <c r="AJ477" s="741">
        <v>0</v>
      </c>
      <c r="AK477" s="741">
        <v>0</v>
      </c>
      <c r="AL477" s="741">
        <v>0</v>
      </c>
      <c r="AM477" s="741">
        <v>0</v>
      </c>
      <c r="AN477" s="741">
        <v>0</v>
      </c>
      <c r="AO477" s="741">
        <v>0</v>
      </c>
      <c r="AP477" s="41" t="str">
        <f t="shared" si="125"/>
        <v>GLA</v>
      </c>
      <c r="AQ477" s="41" t="str">
        <f t="shared" si="126"/>
        <v>GLAA2Accounts Payable</v>
      </c>
      <c r="AR477" s="41" t="str">
        <f t="shared" si="127"/>
        <v>A2Accounts Payable</v>
      </c>
      <c r="CR477" s="625"/>
    </row>
    <row r="478" spans="1:96" s="41" customFormat="1" ht="12.75" customHeight="1">
      <c r="A478" s="25" t="s">
        <v>17</v>
      </c>
      <c r="B478" s="25" t="str">
        <f t="shared" si="137"/>
        <v>GL232081</v>
      </c>
      <c r="C478" s="638">
        <v>232081</v>
      </c>
      <c r="D478" s="735"/>
      <c r="F478" s="1" t="s">
        <v>464</v>
      </c>
      <c r="H478" s="736" t="s">
        <v>2556</v>
      </c>
      <c r="I478" s="25"/>
      <c r="J478" s="25"/>
      <c r="K478" s="442" t="str">
        <f t="shared" si="136"/>
        <v/>
      </c>
      <c r="L478" s="736" t="s">
        <v>2393</v>
      </c>
      <c r="M478" s="25" t="str">
        <f t="shared" si="138"/>
        <v>A</v>
      </c>
      <c r="N478" s="25" t="str">
        <f>IF(L478&lt;&gt;"",VLOOKUP(L478,Categories!$B$2:$D$41,2,FALSE),IF(F478&lt;&gt;"","No Cat",""))</f>
        <v>All Other</v>
      </c>
      <c r="O478" s="25" t="str">
        <f>IF($L478&lt;&gt;"",VLOOKUP($L478,Categories!$B$2:$D$41,3,FALSE),IF($F478&lt;&gt;"","No Cat",""))</f>
        <v>EB-Cap</v>
      </c>
      <c r="P478" s="736" t="s">
        <v>2490</v>
      </c>
      <c r="Q478" s="25" t="str">
        <f>VLOOKUP($P478,Allocators!$B$7:$F$19,5,FALSE)</f>
        <v>Rate Base</v>
      </c>
      <c r="R478" s="737">
        <f>VLOOKUP($P478,Allocators!$B$7:$F$19,2,FALSE)</f>
        <v>0.70940000000000003</v>
      </c>
      <c r="S478" s="737">
        <f>VLOOKUP($P478,Allocators!$B$7:$F$19,3,FALSE)</f>
        <v>0.29060000000000002</v>
      </c>
      <c r="T478" s="737" t="str">
        <f t="shared" si="139"/>
        <v>0.0%</v>
      </c>
      <c r="U478" s="2" t="str">
        <f t="shared" si="130"/>
        <v/>
      </c>
      <c r="V478" s="2" t="str">
        <f t="shared" si="131"/>
        <v/>
      </c>
      <c r="W478" s="2" t="str">
        <f t="shared" si="132"/>
        <v/>
      </c>
      <c r="X478" s="2">
        <f t="shared" si="128"/>
        <v>0</v>
      </c>
      <c r="Y478" s="2" t="str">
        <f t="shared" si="133"/>
        <v/>
      </c>
      <c r="Z478" s="2" t="str">
        <f t="shared" si="134"/>
        <v/>
      </c>
      <c r="AA478" s="2" t="str">
        <f t="shared" si="135"/>
        <v/>
      </c>
      <c r="AB478" s="2">
        <f t="shared" si="129"/>
        <v>0</v>
      </c>
      <c r="AC478" s="759">
        <v>0</v>
      </c>
      <c r="AD478" s="741">
        <v>0</v>
      </c>
      <c r="AE478" s="741">
        <v>0</v>
      </c>
      <c r="AF478" s="741">
        <v>0</v>
      </c>
      <c r="AG478" s="741">
        <v>0</v>
      </c>
      <c r="AH478" s="741">
        <v>0</v>
      </c>
      <c r="AI478" s="741">
        <v>0</v>
      </c>
      <c r="AJ478" s="741">
        <v>0</v>
      </c>
      <c r="AK478" s="741">
        <v>0</v>
      </c>
      <c r="AL478" s="741">
        <v>0</v>
      </c>
      <c r="AM478" s="741">
        <v>0</v>
      </c>
      <c r="AN478" s="741">
        <v>0</v>
      </c>
      <c r="AO478" s="741">
        <v>0</v>
      </c>
      <c r="AP478" s="41" t="str">
        <f t="shared" si="125"/>
        <v>GLA</v>
      </c>
      <c r="AQ478" s="41" t="str">
        <f t="shared" si="126"/>
        <v>GLAA2Accounts Payable</v>
      </c>
      <c r="AR478" s="41" t="str">
        <f t="shared" si="127"/>
        <v>A2Accounts Payable</v>
      </c>
      <c r="CR478" s="625"/>
    </row>
    <row r="479" spans="1:96" s="41" customFormat="1" ht="12.75" customHeight="1">
      <c r="A479" s="25" t="s">
        <v>17</v>
      </c>
      <c r="B479" s="25" t="str">
        <f t="shared" si="137"/>
        <v>GL232082</v>
      </c>
      <c r="C479" s="638">
        <v>232082</v>
      </c>
      <c r="D479" s="735"/>
      <c r="F479" s="1" t="s">
        <v>465</v>
      </c>
      <c r="H479" s="736" t="s">
        <v>2556</v>
      </c>
      <c r="I479" s="25"/>
      <c r="J479" s="25"/>
      <c r="K479" s="442" t="str">
        <f t="shared" si="136"/>
        <v/>
      </c>
      <c r="L479" s="736" t="s">
        <v>2393</v>
      </c>
      <c r="M479" s="25" t="str">
        <f t="shared" si="138"/>
        <v>A</v>
      </c>
      <c r="N479" s="25" t="str">
        <f>IF(L479&lt;&gt;"",VLOOKUP(L479,Categories!$B$2:$D$41,2,FALSE),IF(F479&lt;&gt;"","No Cat",""))</f>
        <v>All Other</v>
      </c>
      <c r="O479" s="25" t="str">
        <f>IF($L479&lt;&gt;"",VLOOKUP($L479,Categories!$B$2:$D$41,3,FALSE),IF($F479&lt;&gt;"","No Cat",""))</f>
        <v>EB-Cap</v>
      </c>
      <c r="P479" s="736" t="s">
        <v>2490</v>
      </c>
      <c r="Q479" s="25" t="str">
        <f>VLOOKUP($P479,Allocators!$B$7:$F$19,5,FALSE)</f>
        <v>Rate Base</v>
      </c>
      <c r="R479" s="737">
        <f>VLOOKUP($P479,Allocators!$B$7:$F$19,2,FALSE)</f>
        <v>0.70940000000000003</v>
      </c>
      <c r="S479" s="737">
        <f>VLOOKUP($P479,Allocators!$B$7:$F$19,3,FALSE)</f>
        <v>0.29060000000000002</v>
      </c>
      <c r="T479" s="737" t="str">
        <f t="shared" si="139"/>
        <v>0.0%</v>
      </c>
      <c r="U479" s="2" t="str">
        <f t="shared" si="130"/>
        <v/>
      </c>
      <c r="V479" s="2" t="str">
        <f t="shared" si="131"/>
        <v/>
      </c>
      <c r="W479" s="2" t="str">
        <f t="shared" si="132"/>
        <v/>
      </c>
      <c r="X479" s="2">
        <f t="shared" si="128"/>
        <v>0</v>
      </c>
      <c r="Y479" s="2" t="str">
        <f t="shared" si="133"/>
        <v/>
      </c>
      <c r="Z479" s="2" t="str">
        <f t="shared" si="134"/>
        <v/>
      </c>
      <c r="AA479" s="2" t="str">
        <f t="shared" si="135"/>
        <v/>
      </c>
      <c r="AB479" s="2">
        <f t="shared" si="129"/>
        <v>0</v>
      </c>
      <c r="AC479" s="759">
        <v>0</v>
      </c>
      <c r="AD479" s="741">
        <v>0</v>
      </c>
      <c r="AE479" s="741">
        <v>0</v>
      </c>
      <c r="AF479" s="741">
        <v>0</v>
      </c>
      <c r="AG479" s="741">
        <v>0</v>
      </c>
      <c r="AH479" s="741">
        <v>0</v>
      </c>
      <c r="AI479" s="741">
        <v>0</v>
      </c>
      <c r="AJ479" s="741">
        <v>0</v>
      </c>
      <c r="AK479" s="741">
        <v>0</v>
      </c>
      <c r="AL479" s="741">
        <v>0</v>
      </c>
      <c r="AM479" s="741">
        <v>0</v>
      </c>
      <c r="AN479" s="741">
        <v>0</v>
      </c>
      <c r="AO479" s="741">
        <v>0</v>
      </c>
      <c r="AP479" s="41" t="str">
        <f t="shared" si="125"/>
        <v>GLA</v>
      </c>
      <c r="AQ479" s="41" t="str">
        <f t="shared" si="126"/>
        <v>GLAA2Accounts Payable</v>
      </c>
      <c r="AR479" s="41" t="str">
        <f t="shared" si="127"/>
        <v>A2Accounts Payable</v>
      </c>
      <c r="CR479" s="625"/>
    </row>
    <row r="480" spans="1:96" s="41" customFormat="1" ht="12.75" customHeight="1">
      <c r="A480" s="25" t="s">
        <v>17</v>
      </c>
      <c r="B480" s="25" t="str">
        <f t="shared" si="137"/>
        <v>GL232083</v>
      </c>
      <c r="C480" s="638">
        <v>232083</v>
      </c>
      <c r="D480" s="735"/>
      <c r="F480" s="1" t="s">
        <v>466</v>
      </c>
      <c r="H480" s="736" t="s">
        <v>2556</v>
      </c>
      <c r="I480" s="25"/>
      <c r="J480" s="25"/>
      <c r="K480" s="442" t="str">
        <f t="shared" si="136"/>
        <v/>
      </c>
      <c r="L480" s="736" t="s">
        <v>2393</v>
      </c>
      <c r="M480" s="25" t="str">
        <f t="shared" si="138"/>
        <v>A</v>
      </c>
      <c r="N480" s="25" t="str">
        <f>IF(L480&lt;&gt;"",VLOOKUP(L480,Categories!$B$2:$D$41,2,FALSE),IF(F480&lt;&gt;"","No Cat",""))</f>
        <v>All Other</v>
      </c>
      <c r="O480" s="25" t="str">
        <f>IF($L480&lt;&gt;"",VLOOKUP($L480,Categories!$B$2:$D$41,3,FALSE),IF($F480&lt;&gt;"","No Cat",""))</f>
        <v>EB-Cap</v>
      </c>
      <c r="P480" s="736" t="s">
        <v>2490</v>
      </c>
      <c r="Q480" s="25" t="str">
        <f>VLOOKUP($P480,Allocators!$B$7:$F$19,5,FALSE)</f>
        <v>Rate Base</v>
      </c>
      <c r="R480" s="737">
        <f>VLOOKUP($P480,Allocators!$B$7:$F$19,2,FALSE)</f>
        <v>0.70940000000000003</v>
      </c>
      <c r="S480" s="737">
        <f>VLOOKUP($P480,Allocators!$B$7:$F$19,3,FALSE)</f>
        <v>0.29060000000000002</v>
      </c>
      <c r="T480" s="737" t="str">
        <f t="shared" si="139"/>
        <v>0.0%</v>
      </c>
      <c r="U480" s="2" t="str">
        <f t="shared" si="130"/>
        <v/>
      </c>
      <c r="V480" s="2" t="str">
        <f t="shared" si="131"/>
        <v/>
      </c>
      <c r="W480" s="2" t="str">
        <f t="shared" si="132"/>
        <v/>
      </c>
      <c r="X480" s="2">
        <f t="shared" si="128"/>
        <v>0</v>
      </c>
      <c r="Y480" s="2" t="str">
        <f t="shared" si="133"/>
        <v/>
      </c>
      <c r="Z480" s="2" t="str">
        <f t="shared" si="134"/>
        <v/>
      </c>
      <c r="AA480" s="2" t="str">
        <f t="shared" si="135"/>
        <v/>
      </c>
      <c r="AB480" s="2">
        <f t="shared" si="129"/>
        <v>0</v>
      </c>
      <c r="AC480" s="759">
        <v>0</v>
      </c>
      <c r="AD480" s="741">
        <v>0</v>
      </c>
      <c r="AE480" s="741">
        <v>0</v>
      </c>
      <c r="AF480" s="741">
        <v>0</v>
      </c>
      <c r="AG480" s="741">
        <v>0</v>
      </c>
      <c r="AH480" s="741">
        <v>0</v>
      </c>
      <c r="AI480" s="741">
        <v>0</v>
      </c>
      <c r="AJ480" s="741">
        <v>0</v>
      </c>
      <c r="AK480" s="741">
        <v>0</v>
      </c>
      <c r="AL480" s="741">
        <v>0</v>
      </c>
      <c r="AM480" s="741">
        <v>0</v>
      </c>
      <c r="AN480" s="741">
        <v>0</v>
      </c>
      <c r="AO480" s="741">
        <v>0</v>
      </c>
      <c r="AP480" s="41" t="str">
        <f t="shared" si="125"/>
        <v>GLA</v>
      </c>
      <c r="AQ480" s="41" t="str">
        <f t="shared" si="126"/>
        <v>GLAA2Accounts Payable</v>
      </c>
      <c r="AR480" s="41" t="str">
        <f t="shared" si="127"/>
        <v>A2Accounts Payable</v>
      </c>
      <c r="CR480" s="625"/>
    </row>
    <row r="481" spans="1:96" s="41" customFormat="1" ht="12.75" customHeight="1">
      <c r="A481" s="25" t="s">
        <v>17</v>
      </c>
      <c r="B481" s="25" t="str">
        <f t="shared" si="137"/>
        <v>GL232085</v>
      </c>
      <c r="C481" s="638">
        <v>232085</v>
      </c>
      <c r="D481" s="735"/>
      <c r="F481" s="1" t="s">
        <v>467</v>
      </c>
      <c r="H481" s="736" t="s">
        <v>2556</v>
      </c>
      <c r="I481" s="25"/>
      <c r="J481" s="25"/>
      <c r="K481" s="442" t="str">
        <f t="shared" si="136"/>
        <v/>
      </c>
      <c r="L481" s="736" t="s">
        <v>2393</v>
      </c>
      <c r="M481" s="25" t="str">
        <f t="shared" si="138"/>
        <v>A</v>
      </c>
      <c r="N481" s="25" t="str">
        <f>IF(L481&lt;&gt;"",VLOOKUP(L481,Categories!$B$2:$D$41,2,FALSE),IF(F481&lt;&gt;"","No Cat",""))</f>
        <v>All Other</v>
      </c>
      <c r="O481" s="25" t="str">
        <f>IF($L481&lt;&gt;"",VLOOKUP($L481,Categories!$B$2:$D$41,3,FALSE),IF($F481&lt;&gt;"","No Cat",""))</f>
        <v>EB-Cap</v>
      </c>
      <c r="P481" s="736" t="s">
        <v>2490</v>
      </c>
      <c r="Q481" s="25" t="str">
        <f>VLOOKUP($P481,Allocators!$B$7:$F$19,5,FALSE)</f>
        <v>Rate Base</v>
      </c>
      <c r="R481" s="737">
        <f>VLOOKUP($P481,Allocators!$B$7:$F$19,2,FALSE)</f>
        <v>0.70940000000000003</v>
      </c>
      <c r="S481" s="737">
        <f>VLOOKUP($P481,Allocators!$B$7:$F$19,3,FALSE)</f>
        <v>0.29060000000000002</v>
      </c>
      <c r="T481" s="737" t="str">
        <f t="shared" si="139"/>
        <v>0.0%</v>
      </c>
      <c r="U481" s="2" t="str">
        <f t="shared" si="130"/>
        <v/>
      </c>
      <c r="V481" s="2" t="str">
        <f t="shared" si="131"/>
        <v/>
      </c>
      <c r="W481" s="2" t="str">
        <f t="shared" si="132"/>
        <v/>
      </c>
      <c r="X481" s="2">
        <f t="shared" si="128"/>
        <v>0</v>
      </c>
      <c r="Y481" s="2" t="str">
        <f t="shared" si="133"/>
        <v/>
      </c>
      <c r="Z481" s="2" t="str">
        <f t="shared" si="134"/>
        <v/>
      </c>
      <c r="AA481" s="2" t="str">
        <f t="shared" si="135"/>
        <v/>
      </c>
      <c r="AB481" s="2">
        <f t="shared" si="129"/>
        <v>0</v>
      </c>
      <c r="AC481" s="759">
        <v>0</v>
      </c>
      <c r="AD481" s="741">
        <v>0</v>
      </c>
      <c r="AE481" s="741">
        <v>0</v>
      </c>
      <c r="AF481" s="741">
        <v>0</v>
      </c>
      <c r="AG481" s="741">
        <v>0</v>
      </c>
      <c r="AH481" s="741">
        <v>0</v>
      </c>
      <c r="AI481" s="741">
        <v>0</v>
      </c>
      <c r="AJ481" s="741">
        <v>0</v>
      </c>
      <c r="AK481" s="741">
        <v>0</v>
      </c>
      <c r="AL481" s="741">
        <v>0</v>
      </c>
      <c r="AM481" s="741">
        <v>0</v>
      </c>
      <c r="AN481" s="741">
        <v>0</v>
      </c>
      <c r="AO481" s="741">
        <v>0</v>
      </c>
      <c r="AP481" s="41" t="str">
        <f t="shared" si="125"/>
        <v>GLA</v>
      </c>
      <c r="AQ481" s="41" t="str">
        <f t="shared" si="126"/>
        <v>GLAA2Accounts Payable</v>
      </c>
      <c r="AR481" s="41" t="str">
        <f t="shared" si="127"/>
        <v>A2Accounts Payable</v>
      </c>
      <c r="CR481" s="625"/>
    </row>
    <row r="482" spans="1:96" s="41" customFormat="1" ht="12.75" customHeight="1">
      <c r="A482" s="25" t="s">
        <v>17</v>
      </c>
      <c r="B482" s="25" t="str">
        <f t="shared" si="137"/>
        <v>GL232087</v>
      </c>
      <c r="C482" s="638">
        <v>232087</v>
      </c>
      <c r="D482" s="735"/>
      <c r="F482" s="1" t="s">
        <v>468</v>
      </c>
      <c r="H482" s="736" t="s">
        <v>2556</v>
      </c>
      <c r="I482" s="25"/>
      <c r="J482" s="25"/>
      <c r="K482" s="442" t="str">
        <f t="shared" si="136"/>
        <v/>
      </c>
      <c r="L482" s="736" t="s">
        <v>2393</v>
      </c>
      <c r="M482" s="25" t="str">
        <f t="shared" si="138"/>
        <v>A</v>
      </c>
      <c r="N482" s="25" t="str">
        <f>IF(L482&lt;&gt;"",VLOOKUP(L482,Categories!$B$2:$D$41,2,FALSE),IF(F482&lt;&gt;"","No Cat",""))</f>
        <v>All Other</v>
      </c>
      <c r="O482" s="25" t="str">
        <f>IF($L482&lt;&gt;"",VLOOKUP($L482,Categories!$B$2:$D$41,3,FALSE),IF($F482&lt;&gt;"","No Cat",""))</f>
        <v>EB-Cap</v>
      </c>
      <c r="P482" s="736" t="s">
        <v>2490</v>
      </c>
      <c r="Q482" s="25" t="str">
        <f>VLOOKUP($P482,Allocators!$B$7:$F$19,5,FALSE)</f>
        <v>Rate Base</v>
      </c>
      <c r="R482" s="737">
        <f>VLOOKUP($P482,Allocators!$B$7:$F$19,2,FALSE)</f>
        <v>0.70940000000000003</v>
      </c>
      <c r="S482" s="737">
        <f>VLOOKUP($P482,Allocators!$B$7:$F$19,3,FALSE)</f>
        <v>0.29060000000000002</v>
      </c>
      <c r="T482" s="737" t="str">
        <f t="shared" si="139"/>
        <v>0.0%</v>
      </c>
      <c r="U482" s="2" t="str">
        <f t="shared" si="130"/>
        <v/>
      </c>
      <c r="V482" s="2" t="str">
        <f t="shared" si="131"/>
        <v/>
      </c>
      <c r="W482" s="2" t="str">
        <f t="shared" si="132"/>
        <v/>
      </c>
      <c r="X482" s="2">
        <f t="shared" si="128"/>
        <v>0</v>
      </c>
      <c r="Y482" s="2" t="str">
        <f t="shared" si="133"/>
        <v/>
      </c>
      <c r="Z482" s="2" t="str">
        <f t="shared" si="134"/>
        <v/>
      </c>
      <c r="AA482" s="2" t="str">
        <f t="shared" si="135"/>
        <v/>
      </c>
      <c r="AB482" s="2">
        <f t="shared" si="129"/>
        <v>0</v>
      </c>
      <c r="AC482" s="759">
        <v>0</v>
      </c>
      <c r="AD482" s="741">
        <v>0</v>
      </c>
      <c r="AE482" s="741">
        <v>0</v>
      </c>
      <c r="AF482" s="741">
        <v>0</v>
      </c>
      <c r="AG482" s="741">
        <v>0</v>
      </c>
      <c r="AH482" s="741">
        <v>0</v>
      </c>
      <c r="AI482" s="741">
        <v>0</v>
      </c>
      <c r="AJ482" s="741">
        <v>0</v>
      </c>
      <c r="AK482" s="741">
        <v>0</v>
      </c>
      <c r="AL482" s="741">
        <v>0</v>
      </c>
      <c r="AM482" s="741">
        <v>0</v>
      </c>
      <c r="AN482" s="741">
        <v>0</v>
      </c>
      <c r="AO482" s="741">
        <v>0</v>
      </c>
      <c r="AP482" s="41" t="str">
        <f t="shared" si="125"/>
        <v>GLA</v>
      </c>
      <c r="AQ482" s="41" t="str">
        <f t="shared" si="126"/>
        <v>GLAA2Accounts Payable</v>
      </c>
      <c r="AR482" s="41" t="str">
        <f t="shared" si="127"/>
        <v>A2Accounts Payable</v>
      </c>
      <c r="CR482" s="625"/>
    </row>
    <row r="483" spans="1:96" s="41" customFormat="1" ht="12.75" customHeight="1">
      <c r="A483" s="25" t="s">
        <v>17</v>
      </c>
      <c r="B483" s="25" t="str">
        <f t="shared" si="137"/>
        <v>GL232088</v>
      </c>
      <c r="C483" s="638">
        <v>232088</v>
      </c>
      <c r="D483" s="735"/>
      <c r="F483" s="1" t="s">
        <v>469</v>
      </c>
      <c r="H483" s="736" t="s">
        <v>2556</v>
      </c>
      <c r="I483" s="25"/>
      <c r="J483" s="25"/>
      <c r="K483" s="442" t="str">
        <f t="shared" si="136"/>
        <v/>
      </c>
      <c r="L483" s="736" t="s">
        <v>2393</v>
      </c>
      <c r="M483" s="25" t="str">
        <f t="shared" si="138"/>
        <v>A</v>
      </c>
      <c r="N483" s="25" t="str">
        <f>IF(L483&lt;&gt;"",VLOOKUP(L483,Categories!$B$2:$D$41,2,FALSE),IF(F483&lt;&gt;"","No Cat",""))</f>
        <v>All Other</v>
      </c>
      <c r="O483" s="25" t="str">
        <f>IF($L483&lt;&gt;"",VLOOKUP($L483,Categories!$B$2:$D$41,3,FALSE),IF($F483&lt;&gt;"","No Cat",""))</f>
        <v>EB-Cap</v>
      </c>
      <c r="P483" s="736" t="s">
        <v>2490</v>
      </c>
      <c r="Q483" s="25" t="str">
        <f>VLOOKUP($P483,Allocators!$B$7:$F$19,5,FALSE)</f>
        <v>Rate Base</v>
      </c>
      <c r="R483" s="737">
        <f>VLOOKUP($P483,Allocators!$B$7:$F$19,2,FALSE)</f>
        <v>0.70940000000000003</v>
      </c>
      <c r="S483" s="737">
        <f>VLOOKUP($P483,Allocators!$B$7:$F$19,3,FALSE)</f>
        <v>0.29060000000000002</v>
      </c>
      <c r="T483" s="737" t="str">
        <f t="shared" si="139"/>
        <v>0.0%</v>
      </c>
      <c r="U483" s="2" t="str">
        <f t="shared" si="130"/>
        <v/>
      </c>
      <c r="V483" s="2" t="str">
        <f t="shared" si="131"/>
        <v/>
      </c>
      <c r="W483" s="2" t="str">
        <f t="shared" si="132"/>
        <v/>
      </c>
      <c r="X483" s="2">
        <f t="shared" si="128"/>
        <v>0</v>
      </c>
      <c r="Y483" s="2" t="str">
        <f t="shared" si="133"/>
        <v/>
      </c>
      <c r="Z483" s="2" t="str">
        <f t="shared" si="134"/>
        <v/>
      </c>
      <c r="AA483" s="2" t="str">
        <f t="shared" si="135"/>
        <v/>
      </c>
      <c r="AB483" s="2">
        <f t="shared" si="129"/>
        <v>0</v>
      </c>
      <c r="AC483" s="759">
        <v>0</v>
      </c>
      <c r="AD483" s="741">
        <v>0</v>
      </c>
      <c r="AE483" s="741">
        <v>0</v>
      </c>
      <c r="AF483" s="741">
        <v>0</v>
      </c>
      <c r="AG483" s="741">
        <v>0</v>
      </c>
      <c r="AH483" s="741">
        <v>0</v>
      </c>
      <c r="AI483" s="741">
        <v>0</v>
      </c>
      <c r="AJ483" s="741">
        <v>0</v>
      </c>
      <c r="AK483" s="741">
        <v>0</v>
      </c>
      <c r="AL483" s="741">
        <v>0</v>
      </c>
      <c r="AM483" s="741">
        <v>0</v>
      </c>
      <c r="AN483" s="741">
        <v>0</v>
      </c>
      <c r="AO483" s="741">
        <v>0</v>
      </c>
      <c r="AP483" s="41" t="str">
        <f t="shared" si="125"/>
        <v>GLA</v>
      </c>
      <c r="AQ483" s="41" t="str">
        <f t="shared" si="126"/>
        <v>GLAA2Accounts Payable</v>
      </c>
      <c r="AR483" s="41" t="str">
        <f t="shared" si="127"/>
        <v>A2Accounts Payable</v>
      </c>
      <c r="CR483" s="625"/>
    </row>
    <row r="484" spans="1:96" s="41" customFormat="1" ht="12.75" customHeight="1">
      <c r="A484" s="25" t="s">
        <v>17</v>
      </c>
      <c r="B484" s="25" t="str">
        <f t="shared" si="137"/>
        <v>GL232090</v>
      </c>
      <c r="C484" s="638">
        <v>232090</v>
      </c>
      <c r="D484" s="735"/>
      <c r="F484" s="1" t="s">
        <v>470</v>
      </c>
      <c r="H484" s="736" t="s">
        <v>2556</v>
      </c>
      <c r="I484" s="25"/>
      <c r="J484" s="25"/>
      <c r="K484" s="442" t="str">
        <f t="shared" si="136"/>
        <v/>
      </c>
      <c r="L484" s="736" t="s">
        <v>2393</v>
      </c>
      <c r="M484" s="25" t="str">
        <f t="shared" si="138"/>
        <v>A</v>
      </c>
      <c r="N484" s="25" t="str">
        <f>IF(L484&lt;&gt;"",VLOOKUP(L484,Categories!$B$2:$D$41,2,FALSE),IF(F484&lt;&gt;"","No Cat",""))</f>
        <v>All Other</v>
      </c>
      <c r="O484" s="25" t="str">
        <f>IF($L484&lt;&gt;"",VLOOKUP($L484,Categories!$B$2:$D$41,3,FALSE),IF($F484&lt;&gt;"","No Cat",""))</f>
        <v>EB-Cap</v>
      </c>
      <c r="P484" s="736" t="s">
        <v>2490</v>
      </c>
      <c r="Q484" s="25" t="str">
        <f>VLOOKUP($P484,Allocators!$B$7:$F$19,5,FALSE)</f>
        <v>Rate Base</v>
      </c>
      <c r="R484" s="737">
        <f>VLOOKUP($P484,Allocators!$B$7:$F$19,2,FALSE)</f>
        <v>0.70940000000000003</v>
      </c>
      <c r="S484" s="737">
        <f>VLOOKUP($P484,Allocators!$B$7:$F$19,3,FALSE)</f>
        <v>0.29060000000000002</v>
      </c>
      <c r="T484" s="737" t="str">
        <f t="shared" si="139"/>
        <v>0.0%</v>
      </c>
      <c r="U484" s="2" t="str">
        <f t="shared" si="130"/>
        <v/>
      </c>
      <c r="V484" s="2" t="str">
        <f t="shared" si="131"/>
        <v/>
      </c>
      <c r="W484" s="2" t="str">
        <f t="shared" si="132"/>
        <v/>
      </c>
      <c r="X484" s="2">
        <f t="shared" si="128"/>
        <v>0</v>
      </c>
      <c r="Y484" s="2" t="str">
        <f t="shared" si="133"/>
        <v/>
      </c>
      <c r="Z484" s="2" t="str">
        <f t="shared" si="134"/>
        <v/>
      </c>
      <c r="AA484" s="2" t="str">
        <f t="shared" si="135"/>
        <v/>
      </c>
      <c r="AB484" s="2">
        <f t="shared" si="129"/>
        <v>0</v>
      </c>
      <c r="AC484" s="759">
        <v>0</v>
      </c>
      <c r="AD484" s="741">
        <v>0</v>
      </c>
      <c r="AE484" s="741">
        <v>0</v>
      </c>
      <c r="AF484" s="741">
        <v>0</v>
      </c>
      <c r="AG484" s="741">
        <v>0</v>
      </c>
      <c r="AH484" s="741">
        <v>0</v>
      </c>
      <c r="AI484" s="741">
        <v>0</v>
      </c>
      <c r="AJ484" s="741">
        <v>0</v>
      </c>
      <c r="AK484" s="741">
        <v>0</v>
      </c>
      <c r="AL484" s="741">
        <v>0</v>
      </c>
      <c r="AM484" s="741">
        <v>0</v>
      </c>
      <c r="AN484" s="741">
        <v>0</v>
      </c>
      <c r="AO484" s="741">
        <v>0</v>
      </c>
      <c r="AP484" s="41" t="str">
        <f t="shared" si="125"/>
        <v>GLA</v>
      </c>
      <c r="AQ484" s="41" t="str">
        <f t="shared" si="126"/>
        <v>GLAA2Accounts Payable</v>
      </c>
      <c r="AR484" s="41" t="str">
        <f t="shared" si="127"/>
        <v>A2Accounts Payable</v>
      </c>
      <c r="CR484" s="625"/>
    </row>
    <row r="485" spans="1:96" s="41" customFormat="1" ht="12.75" customHeight="1">
      <c r="A485" s="25" t="s">
        <v>17</v>
      </c>
      <c r="B485" s="25" t="str">
        <f t="shared" si="137"/>
        <v>GL232100</v>
      </c>
      <c r="C485" s="638">
        <v>232100</v>
      </c>
      <c r="D485" s="735"/>
      <c r="F485" s="1" t="s">
        <v>471</v>
      </c>
      <c r="H485" s="736" t="s">
        <v>2556</v>
      </c>
      <c r="I485" s="25"/>
      <c r="J485" s="25"/>
      <c r="K485" s="442" t="str">
        <f t="shared" si="136"/>
        <v/>
      </c>
      <c r="L485" s="736" t="s">
        <v>2393</v>
      </c>
      <c r="M485" s="25" t="str">
        <f t="shared" si="138"/>
        <v>A</v>
      </c>
      <c r="N485" s="25" t="str">
        <f>IF(L485&lt;&gt;"",VLOOKUP(L485,Categories!$B$2:$D$41,2,FALSE),IF(F485&lt;&gt;"","No Cat",""))</f>
        <v>All Other</v>
      </c>
      <c r="O485" s="25" t="str">
        <f>IF($L485&lt;&gt;"",VLOOKUP($L485,Categories!$B$2:$D$41,3,FALSE),IF($F485&lt;&gt;"","No Cat",""))</f>
        <v>EB-Cap</v>
      </c>
      <c r="P485" s="736" t="s">
        <v>2490</v>
      </c>
      <c r="Q485" s="25" t="str">
        <f>VLOOKUP($P485,Allocators!$B$7:$F$19,5,FALSE)</f>
        <v>Rate Base</v>
      </c>
      <c r="R485" s="737">
        <f>VLOOKUP($P485,Allocators!$B$7:$F$19,2,FALSE)</f>
        <v>0.70940000000000003</v>
      </c>
      <c r="S485" s="737">
        <f>VLOOKUP($P485,Allocators!$B$7:$F$19,3,FALSE)</f>
        <v>0.29060000000000002</v>
      </c>
      <c r="T485" s="737" t="str">
        <f t="shared" si="139"/>
        <v>0.0%</v>
      </c>
      <c r="U485" s="2" t="str">
        <f t="shared" si="130"/>
        <v/>
      </c>
      <c r="V485" s="2" t="str">
        <f t="shared" si="131"/>
        <v/>
      </c>
      <c r="W485" s="2" t="str">
        <f t="shared" si="132"/>
        <v/>
      </c>
      <c r="X485" s="2">
        <f t="shared" si="128"/>
        <v>0</v>
      </c>
      <c r="Y485" s="2" t="str">
        <f t="shared" si="133"/>
        <v/>
      </c>
      <c r="Z485" s="2" t="str">
        <f t="shared" si="134"/>
        <v/>
      </c>
      <c r="AA485" s="2" t="str">
        <f t="shared" si="135"/>
        <v/>
      </c>
      <c r="AB485" s="2">
        <f t="shared" si="129"/>
        <v>0</v>
      </c>
      <c r="AC485" s="759">
        <v>0</v>
      </c>
      <c r="AD485" s="741">
        <v>0</v>
      </c>
      <c r="AE485" s="741">
        <v>0</v>
      </c>
      <c r="AF485" s="741">
        <v>0</v>
      </c>
      <c r="AG485" s="741">
        <v>0</v>
      </c>
      <c r="AH485" s="741">
        <v>0</v>
      </c>
      <c r="AI485" s="741">
        <v>0</v>
      </c>
      <c r="AJ485" s="741">
        <v>0</v>
      </c>
      <c r="AK485" s="741">
        <v>0</v>
      </c>
      <c r="AL485" s="741">
        <v>0</v>
      </c>
      <c r="AM485" s="741">
        <v>0</v>
      </c>
      <c r="AN485" s="741">
        <v>0</v>
      </c>
      <c r="AO485" s="741">
        <v>0</v>
      </c>
      <c r="AP485" s="41" t="str">
        <f t="shared" si="125"/>
        <v>GLA</v>
      </c>
      <c r="AQ485" s="41" t="str">
        <f t="shared" si="126"/>
        <v>GLAA2Accounts Payable</v>
      </c>
      <c r="AR485" s="41" t="str">
        <f t="shared" si="127"/>
        <v>A2Accounts Payable</v>
      </c>
      <c r="CR485" s="625"/>
    </row>
    <row r="486" spans="1:96" s="41" customFormat="1" ht="12.75" customHeight="1">
      <c r="A486" s="25" t="s">
        <v>17</v>
      </c>
      <c r="B486" s="25" t="str">
        <f t="shared" si="137"/>
        <v>GL232101</v>
      </c>
      <c r="C486" s="638">
        <v>232101</v>
      </c>
      <c r="D486" s="735"/>
      <c r="F486" s="1" t="s">
        <v>472</v>
      </c>
      <c r="H486" s="736" t="s">
        <v>2556</v>
      </c>
      <c r="I486" s="25"/>
      <c r="J486" s="25"/>
      <c r="K486" s="442" t="str">
        <f t="shared" si="136"/>
        <v/>
      </c>
      <c r="L486" s="736" t="s">
        <v>2393</v>
      </c>
      <c r="M486" s="25" t="str">
        <f t="shared" si="138"/>
        <v>A</v>
      </c>
      <c r="N486" s="25" t="str">
        <f>IF(L486&lt;&gt;"",VLOOKUP(L486,Categories!$B$2:$D$41,2,FALSE),IF(F486&lt;&gt;"","No Cat",""))</f>
        <v>All Other</v>
      </c>
      <c r="O486" s="25" t="str">
        <f>IF($L486&lt;&gt;"",VLOOKUP($L486,Categories!$B$2:$D$41,3,FALSE),IF($F486&lt;&gt;"","No Cat",""))</f>
        <v>EB-Cap</v>
      </c>
      <c r="P486" s="736" t="s">
        <v>2490</v>
      </c>
      <c r="Q486" s="25" t="str">
        <f>VLOOKUP($P486,Allocators!$B$7:$F$19,5,FALSE)</f>
        <v>Rate Base</v>
      </c>
      <c r="R486" s="737">
        <f>VLOOKUP($P486,Allocators!$B$7:$F$19,2,FALSE)</f>
        <v>0.70940000000000003</v>
      </c>
      <c r="S486" s="737">
        <f>VLOOKUP($P486,Allocators!$B$7:$F$19,3,FALSE)</f>
        <v>0.29060000000000002</v>
      </c>
      <c r="T486" s="737" t="str">
        <f t="shared" si="139"/>
        <v>0.0%</v>
      </c>
      <c r="U486" s="2" t="str">
        <f t="shared" si="130"/>
        <v/>
      </c>
      <c r="V486" s="2" t="str">
        <f t="shared" si="131"/>
        <v/>
      </c>
      <c r="W486" s="2" t="str">
        <f t="shared" si="132"/>
        <v/>
      </c>
      <c r="X486" s="2">
        <f t="shared" si="128"/>
        <v>0</v>
      </c>
      <c r="Y486" s="2" t="str">
        <f t="shared" si="133"/>
        <v/>
      </c>
      <c r="Z486" s="2" t="str">
        <f t="shared" si="134"/>
        <v/>
      </c>
      <c r="AA486" s="2" t="str">
        <f t="shared" si="135"/>
        <v/>
      </c>
      <c r="AB486" s="2">
        <f t="shared" si="129"/>
        <v>0</v>
      </c>
      <c r="AC486" s="759">
        <v>0</v>
      </c>
      <c r="AD486" s="741">
        <v>0</v>
      </c>
      <c r="AE486" s="741">
        <v>0</v>
      </c>
      <c r="AF486" s="741">
        <v>0</v>
      </c>
      <c r="AG486" s="741">
        <v>0</v>
      </c>
      <c r="AH486" s="741">
        <v>0</v>
      </c>
      <c r="AI486" s="741">
        <v>0</v>
      </c>
      <c r="AJ486" s="741">
        <v>0</v>
      </c>
      <c r="AK486" s="741">
        <v>0</v>
      </c>
      <c r="AL486" s="741">
        <v>0</v>
      </c>
      <c r="AM486" s="741">
        <v>0</v>
      </c>
      <c r="AN486" s="741">
        <v>0</v>
      </c>
      <c r="AO486" s="741">
        <v>0</v>
      </c>
      <c r="AP486" s="41" t="str">
        <f t="shared" si="125"/>
        <v>GLA</v>
      </c>
      <c r="AQ486" s="41" t="str">
        <f t="shared" si="126"/>
        <v>GLAA2Accounts Payable</v>
      </c>
      <c r="AR486" s="41" t="str">
        <f t="shared" si="127"/>
        <v>A2Accounts Payable</v>
      </c>
      <c r="CR486" s="625"/>
    </row>
    <row r="487" spans="1:96" s="41" customFormat="1" ht="12.75" customHeight="1">
      <c r="A487" s="25" t="s">
        <v>17</v>
      </c>
      <c r="B487" s="25" t="str">
        <f t="shared" si="137"/>
        <v>GL232102</v>
      </c>
      <c r="C487" s="638">
        <v>232102</v>
      </c>
      <c r="D487" s="735"/>
      <c r="F487" s="1" t="s">
        <v>473</v>
      </c>
      <c r="H487" s="736" t="s">
        <v>2556</v>
      </c>
      <c r="I487" s="25"/>
      <c r="J487" s="25"/>
      <c r="K487" s="442" t="str">
        <f t="shared" si="136"/>
        <v/>
      </c>
      <c r="L487" s="736" t="s">
        <v>2393</v>
      </c>
      <c r="M487" s="25" t="str">
        <f t="shared" si="138"/>
        <v>A</v>
      </c>
      <c r="N487" s="25" t="str">
        <f>IF(L487&lt;&gt;"",VLOOKUP(L487,Categories!$B$2:$D$41,2,FALSE),IF(F487&lt;&gt;"","No Cat",""))</f>
        <v>All Other</v>
      </c>
      <c r="O487" s="25" t="str">
        <f>IF($L487&lt;&gt;"",VLOOKUP($L487,Categories!$B$2:$D$41,3,FALSE),IF($F487&lt;&gt;"","No Cat",""))</f>
        <v>EB-Cap</v>
      </c>
      <c r="P487" s="736" t="s">
        <v>2490</v>
      </c>
      <c r="Q487" s="25" t="str">
        <f>VLOOKUP($P487,Allocators!$B$7:$F$19,5,FALSE)</f>
        <v>Rate Base</v>
      </c>
      <c r="R487" s="737">
        <f>VLOOKUP($P487,Allocators!$B$7:$F$19,2,FALSE)</f>
        <v>0.70940000000000003</v>
      </c>
      <c r="S487" s="737">
        <f>VLOOKUP($P487,Allocators!$B$7:$F$19,3,FALSE)</f>
        <v>0.29060000000000002</v>
      </c>
      <c r="T487" s="737" t="str">
        <f t="shared" si="139"/>
        <v>0.0%</v>
      </c>
      <c r="U487" s="2">
        <f t="shared" si="130"/>
        <v>-5.9582506E-2</v>
      </c>
      <c r="V487" s="2">
        <f t="shared" si="131"/>
        <v>-2.4407493999999998E-2</v>
      </c>
      <c r="W487" s="2">
        <f t="shared" si="132"/>
        <v>0</v>
      </c>
      <c r="X487" s="2">
        <f t="shared" si="128"/>
        <v>-8.3989999999999995E-2</v>
      </c>
      <c r="Y487" s="2" t="str">
        <f t="shared" si="133"/>
        <v/>
      </c>
      <c r="Z487" s="2" t="str">
        <f t="shared" si="134"/>
        <v/>
      </c>
      <c r="AA487" s="2" t="str">
        <f t="shared" si="135"/>
        <v/>
      </c>
      <c r="AB487" s="2">
        <f t="shared" si="129"/>
        <v>0</v>
      </c>
      <c r="AC487" s="759">
        <v>-0.70823999999999998</v>
      </c>
      <c r="AD487" s="741">
        <v>-6.8099999999999994E-2</v>
      </c>
      <c r="AE487" s="741">
        <v>-5.4479999999999994E-2</v>
      </c>
      <c r="AF487" s="741">
        <v>-5.4479999999999994E-2</v>
      </c>
      <c r="AG487" s="741">
        <v>-5.4479999999999994E-2</v>
      </c>
      <c r="AH487" s="741">
        <v>-6.8099999999999994E-2</v>
      </c>
      <c r="AI487" s="741">
        <v>-5.4479999999999994E-2</v>
      </c>
      <c r="AJ487" s="741">
        <v>-5.4479999999999994E-2</v>
      </c>
      <c r="AK487" s="741">
        <v>-6.8099999999999994E-2</v>
      </c>
      <c r="AL487" s="741">
        <v>-5.4479999999999994E-2</v>
      </c>
      <c r="AM487" s="741">
        <v>-6.8099999999999994E-2</v>
      </c>
      <c r="AN487" s="741">
        <v>-5.4479999999999994E-2</v>
      </c>
      <c r="AO487" s="741">
        <v>0</v>
      </c>
      <c r="AP487" s="41" t="str">
        <f t="shared" si="125"/>
        <v>GLA</v>
      </c>
      <c r="AQ487" s="41" t="str">
        <f t="shared" si="126"/>
        <v>GLAA2Accounts Payable</v>
      </c>
      <c r="AR487" s="41" t="str">
        <f t="shared" si="127"/>
        <v>A2Accounts Payable</v>
      </c>
      <c r="CR487" s="625"/>
    </row>
    <row r="488" spans="1:96" s="41" customFormat="1" ht="12.75" customHeight="1">
      <c r="A488" s="25" t="s">
        <v>17</v>
      </c>
      <c r="B488" s="25" t="str">
        <f t="shared" si="137"/>
        <v>GL232104</v>
      </c>
      <c r="C488" s="638">
        <v>232104</v>
      </c>
      <c r="D488" s="735"/>
      <c r="F488" s="1" t="s">
        <v>474</v>
      </c>
      <c r="H488" s="736" t="s">
        <v>2556</v>
      </c>
      <c r="I488" s="25"/>
      <c r="J488" s="25"/>
      <c r="K488" s="442" t="str">
        <f t="shared" si="136"/>
        <v/>
      </c>
      <c r="L488" s="736" t="s">
        <v>2393</v>
      </c>
      <c r="M488" s="25" t="str">
        <f t="shared" si="138"/>
        <v>A</v>
      </c>
      <c r="N488" s="25" t="str">
        <f>IF(L488&lt;&gt;"",VLOOKUP(L488,Categories!$B$2:$D$41,2,FALSE),IF(F488&lt;&gt;"","No Cat",""))</f>
        <v>All Other</v>
      </c>
      <c r="O488" s="25" t="str">
        <f>IF($L488&lt;&gt;"",VLOOKUP($L488,Categories!$B$2:$D$41,3,FALSE),IF($F488&lt;&gt;"","No Cat",""))</f>
        <v>EB-Cap</v>
      </c>
      <c r="P488" s="736" t="s">
        <v>2490</v>
      </c>
      <c r="Q488" s="25" t="str">
        <f>VLOOKUP($P488,Allocators!$B$7:$F$19,5,FALSE)</f>
        <v>Rate Base</v>
      </c>
      <c r="R488" s="737">
        <f>VLOOKUP($P488,Allocators!$B$7:$F$19,2,FALSE)</f>
        <v>0.70940000000000003</v>
      </c>
      <c r="S488" s="737">
        <f>VLOOKUP($P488,Allocators!$B$7:$F$19,3,FALSE)</f>
        <v>0.29060000000000002</v>
      </c>
      <c r="T488" s="737" t="str">
        <f t="shared" si="139"/>
        <v>0.0%</v>
      </c>
      <c r="U488" s="2" t="str">
        <f t="shared" si="130"/>
        <v/>
      </c>
      <c r="V488" s="2" t="str">
        <f t="shared" si="131"/>
        <v/>
      </c>
      <c r="W488" s="2" t="str">
        <f t="shared" si="132"/>
        <v/>
      </c>
      <c r="X488" s="2">
        <f t="shared" si="128"/>
        <v>0</v>
      </c>
      <c r="Y488" s="2" t="str">
        <f t="shared" si="133"/>
        <v/>
      </c>
      <c r="Z488" s="2" t="str">
        <f t="shared" si="134"/>
        <v/>
      </c>
      <c r="AA488" s="2" t="str">
        <f t="shared" si="135"/>
        <v/>
      </c>
      <c r="AB488" s="2">
        <f t="shared" si="129"/>
        <v>0</v>
      </c>
      <c r="AC488" s="759">
        <v>0</v>
      </c>
      <c r="AD488" s="741">
        <v>0</v>
      </c>
      <c r="AE488" s="741">
        <v>0</v>
      </c>
      <c r="AF488" s="741">
        <v>0</v>
      </c>
      <c r="AG488" s="741">
        <v>0</v>
      </c>
      <c r="AH488" s="741">
        <v>0</v>
      </c>
      <c r="AI488" s="741">
        <v>0</v>
      </c>
      <c r="AJ488" s="741">
        <v>0</v>
      </c>
      <c r="AK488" s="741">
        <v>0</v>
      </c>
      <c r="AL488" s="741">
        <v>0</v>
      </c>
      <c r="AM488" s="741">
        <v>0</v>
      </c>
      <c r="AN488" s="741">
        <v>0</v>
      </c>
      <c r="AO488" s="741">
        <v>0</v>
      </c>
      <c r="AP488" s="41" t="str">
        <f t="shared" si="125"/>
        <v>GLA</v>
      </c>
      <c r="AQ488" s="41" t="str">
        <f t="shared" si="126"/>
        <v>GLAA2Accounts Payable</v>
      </c>
      <c r="AR488" s="41" t="str">
        <f t="shared" si="127"/>
        <v>A2Accounts Payable</v>
      </c>
      <c r="CR488" s="625"/>
    </row>
    <row r="489" spans="1:96" s="41" customFormat="1" ht="12.75" customHeight="1">
      <c r="A489" s="25" t="s">
        <v>17</v>
      </c>
      <c r="B489" s="25" t="str">
        <f t="shared" si="137"/>
        <v>GL232110</v>
      </c>
      <c r="C489" s="638">
        <v>232110</v>
      </c>
      <c r="D489" s="735"/>
      <c r="F489" s="1" t="s">
        <v>475</v>
      </c>
      <c r="H489" s="736" t="s">
        <v>2556</v>
      </c>
      <c r="I489" s="25"/>
      <c r="J489" s="25"/>
      <c r="K489" s="442" t="str">
        <f t="shared" si="136"/>
        <v/>
      </c>
      <c r="L489" s="736" t="s">
        <v>2393</v>
      </c>
      <c r="M489" s="25" t="str">
        <f t="shared" si="138"/>
        <v>A</v>
      </c>
      <c r="N489" s="25" t="str">
        <f>IF(L489&lt;&gt;"",VLOOKUP(L489,Categories!$B$2:$D$41,2,FALSE),IF(F489&lt;&gt;"","No Cat",""))</f>
        <v>All Other</v>
      </c>
      <c r="O489" s="25" t="str">
        <f>IF($L489&lt;&gt;"",VLOOKUP($L489,Categories!$B$2:$D$41,3,FALSE),IF($F489&lt;&gt;"","No Cat",""))</f>
        <v>EB-Cap</v>
      </c>
      <c r="P489" s="736" t="s">
        <v>2490</v>
      </c>
      <c r="Q489" s="25" t="str">
        <f>VLOOKUP($P489,Allocators!$B$7:$F$19,5,FALSE)</f>
        <v>Rate Base</v>
      </c>
      <c r="R489" s="737">
        <f>VLOOKUP($P489,Allocators!$B$7:$F$19,2,FALSE)</f>
        <v>0.70940000000000003</v>
      </c>
      <c r="S489" s="737">
        <f>VLOOKUP($P489,Allocators!$B$7:$F$19,3,FALSE)</f>
        <v>0.29060000000000002</v>
      </c>
      <c r="T489" s="737" t="str">
        <f t="shared" si="139"/>
        <v>0.0%</v>
      </c>
      <c r="U489" s="2" t="str">
        <f t="shared" si="130"/>
        <v/>
      </c>
      <c r="V489" s="2" t="str">
        <f t="shared" si="131"/>
        <v/>
      </c>
      <c r="W489" s="2" t="str">
        <f t="shared" si="132"/>
        <v/>
      </c>
      <c r="X489" s="2">
        <f t="shared" si="128"/>
        <v>0</v>
      </c>
      <c r="Y489" s="2" t="str">
        <f t="shared" si="133"/>
        <v/>
      </c>
      <c r="Z489" s="2" t="str">
        <f t="shared" si="134"/>
        <v/>
      </c>
      <c r="AA489" s="2" t="str">
        <f t="shared" si="135"/>
        <v/>
      </c>
      <c r="AB489" s="2">
        <f t="shared" si="129"/>
        <v>0</v>
      </c>
      <c r="AC489" s="759">
        <v>0</v>
      </c>
      <c r="AD489" s="741">
        <v>0</v>
      </c>
      <c r="AE489" s="741">
        <v>0</v>
      </c>
      <c r="AF489" s="741">
        <v>0</v>
      </c>
      <c r="AG489" s="741">
        <v>0</v>
      </c>
      <c r="AH489" s="741">
        <v>0</v>
      </c>
      <c r="AI489" s="741">
        <v>0</v>
      </c>
      <c r="AJ489" s="741">
        <v>0</v>
      </c>
      <c r="AK489" s="741">
        <v>0</v>
      </c>
      <c r="AL489" s="741">
        <v>0</v>
      </c>
      <c r="AM489" s="741">
        <v>0</v>
      </c>
      <c r="AN489" s="741">
        <v>0</v>
      </c>
      <c r="AO489" s="741">
        <v>0</v>
      </c>
      <c r="AP489" s="41" t="str">
        <f t="shared" si="125"/>
        <v>GLA</v>
      </c>
      <c r="AQ489" s="41" t="str">
        <f t="shared" si="126"/>
        <v>GLAA2Accounts Payable</v>
      </c>
      <c r="AR489" s="41" t="str">
        <f t="shared" si="127"/>
        <v>A2Accounts Payable</v>
      </c>
      <c r="CR489" s="625"/>
    </row>
    <row r="490" spans="1:96" s="41" customFormat="1" ht="12.75" customHeight="1">
      <c r="A490" s="25" t="s">
        <v>17</v>
      </c>
      <c r="B490" s="25" t="str">
        <f t="shared" si="137"/>
        <v>GL232115</v>
      </c>
      <c r="C490" s="638">
        <v>232115</v>
      </c>
      <c r="D490" s="735"/>
      <c r="F490" s="1" t="s">
        <v>476</v>
      </c>
      <c r="H490" s="736" t="s">
        <v>2556</v>
      </c>
      <c r="I490" s="25"/>
      <c r="J490" s="25"/>
      <c r="K490" s="442" t="str">
        <f t="shared" si="136"/>
        <v/>
      </c>
      <c r="L490" s="736" t="s">
        <v>2393</v>
      </c>
      <c r="M490" s="25" t="str">
        <f t="shared" si="138"/>
        <v>A</v>
      </c>
      <c r="N490" s="25" t="str">
        <f>IF(L490&lt;&gt;"",VLOOKUP(L490,Categories!$B$2:$D$41,2,FALSE),IF(F490&lt;&gt;"","No Cat",""))</f>
        <v>All Other</v>
      </c>
      <c r="O490" s="25" t="str">
        <f>IF($L490&lt;&gt;"",VLOOKUP($L490,Categories!$B$2:$D$41,3,FALSE),IF($F490&lt;&gt;"","No Cat",""))</f>
        <v>EB-Cap</v>
      </c>
      <c r="P490" s="736" t="s">
        <v>2490</v>
      </c>
      <c r="Q490" s="25" t="str">
        <f>VLOOKUP($P490,Allocators!$B$7:$F$19,5,FALSE)</f>
        <v>Rate Base</v>
      </c>
      <c r="R490" s="737">
        <f>VLOOKUP($P490,Allocators!$B$7:$F$19,2,FALSE)</f>
        <v>0.70940000000000003</v>
      </c>
      <c r="S490" s="737">
        <f>VLOOKUP($P490,Allocators!$B$7:$F$19,3,FALSE)</f>
        <v>0.29060000000000002</v>
      </c>
      <c r="T490" s="737" t="str">
        <f t="shared" si="139"/>
        <v>0.0%</v>
      </c>
      <c r="U490" s="2">
        <f t="shared" si="130"/>
        <v>-2.6602500000000002E-5</v>
      </c>
      <c r="V490" s="2">
        <f t="shared" si="131"/>
        <v>-1.08975E-5</v>
      </c>
      <c r="W490" s="2">
        <f t="shared" si="132"/>
        <v>0</v>
      </c>
      <c r="X490" s="2">
        <f t="shared" si="128"/>
        <v>-3.7499999999999997E-5</v>
      </c>
      <c r="Y490" s="2" t="str">
        <f t="shared" si="133"/>
        <v/>
      </c>
      <c r="Z490" s="2" t="str">
        <f t="shared" si="134"/>
        <v/>
      </c>
      <c r="AA490" s="2" t="str">
        <f t="shared" si="135"/>
        <v/>
      </c>
      <c r="AB490" s="2">
        <f t="shared" si="129"/>
        <v>0</v>
      </c>
      <c r="AC490" s="759">
        <v>0</v>
      </c>
      <c r="AD490" s="741">
        <v>0</v>
      </c>
      <c r="AE490" s="741">
        <v>0</v>
      </c>
      <c r="AF490" s="741">
        <v>0</v>
      </c>
      <c r="AG490" s="741">
        <v>0</v>
      </c>
      <c r="AH490" s="741">
        <v>0</v>
      </c>
      <c r="AI490" s="741">
        <v>0</v>
      </c>
      <c r="AJ490" s="741">
        <v>0</v>
      </c>
      <c r="AK490" s="741">
        <v>-4.4999999999999999E-4</v>
      </c>
      <c r="AL490" s="741">
        <v>0</v>
      </c>
      <c r="AM490" s="741">
        <v>0</v>
      </c>
      <c r="AN490" s="741">
        <v>0</v>
      </c>
      <c r="AO490" s="741">
        <v>0</v>
      </c>
      <c r="AP490" s="41" t="str">
        <f t="shared" si="125"/>
        <v>GLA</v>
      </c>
      <c r="AQ490" s="41" t="str">
        <f t="shared" si="126"/>
        <v>GLAA2Accounts Payable</v>
      </c>
      <c r="AR490" s="41" t="str">
        <f t="shared" si="127"/>
        <v>A2Accounts Payable</v>
      </c>
      <c r="CR490" s="625"/>
    </row>
    <row r="491" spans="1:96" s="41" customFormat="1" ht="12.75" customHeight="1">
      <c r="A491" s="25" t="s">
        <v>17</v>
      </c>
      <c r="B491" s="25" t="str">
        <f t="shared" si="137"/>
        <v>GL232120</v>
      </c>
      <c r="C491" s="638">
        <v>232120</v>
      </c>
      <c r="D491" s="735"/>
      <c r="F491" s="1" t="s">
        <v>477</v>
      </c>
      <c r="H491" s="736" t="s">
        <v>2556</v>
      </c>
      <c r="I491" s="25"/>
      <c r="J491" s="25"/>
      <c r="K491" s="442" t="str">
        <f t="shared" si="136"/>
        <v/>
      </c>
      <c r="L491" s="736" t="s">
        <v>2393</v>
      </c>
      <c r="M491" s="25" t="str">
        <f t="shared" si="138"/>
        <v>A</v>
      </c>
      <c r="N491" s="25" t="str">
        <f>IF(L491&lt;&gt;"",VLOOKUP(L491,Categories!$B$2:$D$41,2,FALSE),IF(F491&lt;&gt;"","No Cat",""))</f>
        <v>All Other</v>
      </c>
      <c r="O491" s="25" t="str">
        <f>IF($L491&lt;&gt;"",VLOOKUP($L491,Categories!$B$2:$D$41,3,FALSE),IF($F491&lt;&gt;"","No Cat",""))</f>
        <v>EB-Cap</v>
      </c>
      <c r="P491" s="736" t="s">
        <v>2490</v>
      </c>
      <c r="Q491" s="25" t="str">
        <f>VLOOKUP($P491,Allocators!$B$7:$F$19,5,FALSE)</f>
        <v>Rate Base</v>
      </c>
      <c r="R491" s="737">
        <f>VLOOKUP($P491,Allocators!$B$7:$F$19,2,FALSE)</f>
        <v>0.70940000000000003</v>
      </c>
      <c r="S491" s="737">
        <f>VLOOKUP($P491,Allocators!$B$7:$F$19,3,FALSE)</f>
        <v>0.29060000000000002</v>
      </c>
      <c r="T491" s="737" t="str">
        <f t="shared" si="139"/>
        <v>0.0%</v>
      </c>
      <c r="U491" s="2">
        <f t="shared" si="130"/>
        <v>-8.8675000000000001E-5</v>
      </c>
      <c r="V491" s="2">
        <f t="shared" si="131"/>
        <v>-3.6325000000000002E-5</v>
      </c>
      <c r="W491" s="2">
        <f t="shared" si="132"/>
        <v>0</v>
      </c>
      <c r="X491" s="2">
        <f t="shared" si="128"/>
        <v>-1.25E-4</v>
      </c>
      <c r="Y491" s="2" t="str">
        <f t="shared" si="133"/>
        <v/>
      </c>
      <c r="Z491" s="2" t="str">
        <f t="shared" si="134"/>
        <v/>
      </c>
      <c r="AA491" s="2" t="str">
        <f t="shared" si="135"/>
        <v/>
      </c>
      <c r="AB491" s="2">
        <f t="shared" si="129"/>
        <v>0</v>
      </c>
      <c r="AC491" s="759">
        <v>0</v>
      </c>
      <c r="AD491" s="741">
        <v>0</v>
      </c>
      <c r="AE491" s="741">
        <v>0</v>
      </c>
      <c r="AF491" s="741">
        <v>0</v>
      </c>
      <c r="AG491" s="741">
        <v>0</v>
      </c>
      <c r="AH491" s="741">
        <v>0</v>
      </c>
      <c r="AI491" s="741">
        <v>0</v>
      </c>
      <c r="AJ491" s="741">
        <v>0</v>
      </c>
      <c r="AK491" s="741">
        <v>-1.5E-3</v>
      </c>
      <c r="AL491" s="741">
        <v>0</v>
      </c>
      <c r="AM491" s="741">
        <v>0</v>
      </c>
      <c r="AN491" s="741">
        <v>0</v>
      </c>
      <c r="AO491" s="741">
        <v>0</v>
      </c>
      <c r="AP491" s="41" t="str">
        <f t="shared" si="125"/>
        <v>GLA</v>
      </c>
      <c r="AQ491" s="41" t="str">
        <f t="shared" si="126"/>
        <v>GLAA2Accounts Payable</v>
      </c>
      <c r="AR491" s="41" t="str">
        <f t="shared" si="127"/>
        <v>A2Accounts Payable</v>
      </c>
      <c r="CR491" s="625"/>
    </row>
    <row r="492" spans="1:96" s="41" customFormat="1" ht="12.75" customHeight="1">
      <c r="A492" s="25" t="s">
        <v>17</v>
      </c>
      <c r="B492" s="25" t="str">
        <f t="shared" si="137"/>
        <v>GL232130</v>
      </c>
      <c r="C492" s="638">
        <v>232130</v>
      </c>
      <c r="D492" s="735"/>
      <c r="F492" s="1" t="s">
        <v>478</v>
      </c>
      <c r="H492" s="736" t="s">
        <v>2556</v>
      </c>
      <c r="I492" s="25"/>
      <c r="J492" s="25"/>
      <c r="K492" s="442" t="str">
        <f t="shared" si="136"/>
        <v/>
      </c>
      <c r="L492" s="736" t="s">
        <v>2393</v>
      </c>
      <c r="M492" s="25" t="str">
        <f t="shared" si="138"/>
        <v>A</v>
      </c>
      <c r="N492" s="25" t="str">
        <f>IF(L492&lt;&gt;"",VLOOKUP(L492,Categories!$B$2:$D$41,2,FALSE),IF(F492&lt;&gt;"","No Cat",""))</f>
        <v>All Other</v>
      </c>
      <c r="O492" s="25" t="str">
        <f>IF($L492&lt;&gt;"",VLOOKUP($L492,Categories!$B$2:$D$41,3,FALSE),IF($F492&lt;&gt;"","No Cat",""))</f>
        <v>EB-Cap</v>
      </c>
      <c r="P492" s="736" t="s">
        <v>2490</v>
      </c>
      <c r="Q492" s="25" t="str">
        <f>VLOOKUP($P492,Allocators!$B$7:$F$19,5,FALSE)</f>
        <v>Rate Base</v>
      </c>
      <c r="R492" s="737">
        <f>VLOOKUP($P492,Allocators!$B$7:$F$19,2,FALSE)</f>
        <v>0.70940000000000003</v>
      </c>
      <c r="S492" s="737">
        <f>VLOOKUP($P492,Allocators!$B$7:$F$19,3,FALSE)</f>
        <v>0.29060000000000002</v>
      </c>
      <c r="T492" s="737" t="str">
        <f t="shared" si="139"/>
        <v>0.0%</v>
      </c>
      <c r="U492" s="2">
        <f t="shared" si="130"/>
        <v>-64.915128463666605</v>
      </c>
      <c r="V492" s="2">
        <f t="shared" si="131"/>
        <v>-26.591959869666699</v>
      </c>
      <c r="W492" s="2">
        <f t="shared" si="132"/>
        <v>0</v>
      </c>
      <c r="X492" s="2">
        <f t="shared" si="128"/>
        <v>-91.5070883333333</v>
      </c>
      <c r="Y492" s="2">
        <f t="shared" si="133"/>
        <v>-90.155354638000006</v>
      </c>
      <c r="Z492" s="2">
        <f t="shared" si="134"/>
        <v>-36.931415362000003</v>
      </c>
      <c r="AA492" s="2">
        <f t="shared" si="135"/>
        <v>0</v>
      </c>
      <c r="AB492" s="2">
        <f t="shared" si="129"/>
        <v>-127.08677</v>
      </c>
      <c r="AC492" s="759">
        <v>-104.64136999999999</v>
      </c>
      <c r="AD492" s="741">
        <v>-119.93658000000001</v>
      </c>
      <c r="AE492" s="741">
        <v>-88.416780000000003</v>
      </c>
      <c r="AF492" s="741">
        <v>-76.591839999999991</v>
      </c>
      <c r="AG492" s="741">
        <v>-61.760899999999999</v>
      </c>
      <c r="AH492" s="741">
        <v>-67.961600000000004</v>
      </c>
      <c r="AI492" s="741">
        <v>-71.901429999999991</v>
      </c>
      <c r="AJ492" s="741">
        <v>-76.571529999999996</v>
      </c>
      <c r="AK492" s="741">
        <v>-91.185289999999995</v>
      </c>
      <c r="AL492" s="741">
        <v>-100.83791000000001</v>
      </c>
      <c r="AM492" s="741">
        <v>-111.11167</v>
      </c>
      <c r="AN492" s="741">
        <v>-115.94546000000001</v>
      </c>
      <c r="AO492" s="741">
        <v>-127.08677</v>
      </c>
      <c r="AP492" s="41" t="str">
        <f t="shared" si="125"/>
        <v>GLA</v>
      </c>
      <c r="AQ492" s="41" t="str">
        <f t="shared" si="126"/>
        <v>GLAA2Accounts Payable</v>
      </c>
      <c r="AR492" s="41" t="str">
        <f t="shared" si="127"/>
        <v>A2Accounts Payable</v>
      </c>
      <c r="CR492" s="625"/>
    </row>
    <row r="493" spans="1:96" s="41" customFormat="1" ht="12.75" customHeight="1">
      <c r="A493" s="25" t="s">
        <v>17</v>
      </c>
      <c r="B493" s="25" t="str">
        <f t="shared" si="137"/>
        <v>GL232140</v>
      </c>
      <c r="C493" s="638">
        <v>232140</v>
      </c>
      <c r="D493" s="735"/>
      <c r="F493" s="1" t="s">
        <v>479</v>
      </c>
      <c r="H493" s="736" t="s">
        <v>2556</v>
      </c>
      <c r="I493" s="25"/>
      <c r="J493" s="25"/>
      <c r="K493" s="442" t="str">
        <f t="shared" si="136"/>
        <v/>
      </c>
      <c r="L493" s="736" t="s">
        <v>2393</v>
      </c>
      <c r="M493" s="25" t="str">
        <f t="shared" si="138"/>
        <v>A</v>
      </c>
      <c r="N493" s="25" t="str">
        <f>IF(L493&lt;&gt;"",VLOOKUP(L493,Categories!$B$2:$D$41,2,FALSE),IF(F493&lt;&gt;"","No Cat",""))</f>
        <v>All Other</v>
      </c>
      <c r="O493" s="25" t="str">
        <f>IF($L493&lt;&gt;"",VLOOKUP($L493,Categories!$B$2:$D$41,3,FALSE),IF($F493&lt;&gt;"","No Cat",""))</f>
        <v>EB-Cap</v>
      </c>
      <c r="P493" s="736" t="s">
        <v>2490</v>
      </c>
      <c r="Q493" s="25" t="str">
        <f>VLOOKUP($P493,Allocators!$B$7:$F$19,5,FALSE)</f>
        <v>Rate Base</v>
      </c>
      <c r="R493" s="737">
        <f>VLOOKUP($P493,Allocators!$B$7:$F$19,2,FALSE)</f>
        <v>0.70940000000000003</v>
      </c>
      <c r="S493" s="737">
        <f>VLOOKUP($P493,Allocators!$B$7:$F$19,3,FALSE)</f>
        <v>0.29060000000000002</v>
      </c>
      <c r="T493" s="737" t="str">
        <f t="shared" si="139"/>
        <v>0.0%</v>
      </c>
      <c r="U493" s="2">
        <f t="shared" si="130"/>
        <v>-4.6589845000000003E-3</v>
      </c>
      <c r="V493" s="2">
        <f t="shared" si="131"/>
        <v>-1.9085154999999999E-3</v>
      </c>
      <c r="W493" s="2">
        <f t="shared" si="132"/>
        <v>0</v>
      </c>
      <c r="X493" s="2">
        <f t="shared" si="128"/>
        <v>-6.5675000000000004E-3</v>
      </c>
      <c r="Y493" s="2" t="str">
        <f t="shared" si="133"/>
        <v/>
      </c>
      <c r="Z493" s="2" t="str">
        <f t="shared" si="134"/>
        <v/>
      </c>
      <c r="AA493" s="2" t="str">
        <f t="shared" si="135"/>
        <v/>
      </c>
      <c r="AB493" s="2">
        <f t="shared" si="129"/>
        <v>0</v>
      </c>
      <c r="AC493" s="759">
        <v>0</v>
      </c>
      <c r="AD493" s="741">
        <v>0</v>
      </c>
      <c r="AE493" s="741">
        <v>0</v>
      </c>
      <c r="AF493" s="741">
        <v>0</v>
      </c>
      <c r="AG493" s="741">
        <v>0</v>
      </c>
      <c r="AH493" s="741">
        <v>0</v>
      </c>
      <c r="AI493" s="741">
        <v>0</v>
      </c>
      <c r="AJ493" s="741">
        <v>0</v>
      </c>
      <c r="AK493" s="741">
        <v>-7.8810000000000005E-2</v>
      </c>
      <c r="AL493" s="741">
        <v>0</v>
      </c>
      <c r="AM493" s="741">
        <v>0</v>
      </c>
      <c r="AN493" s="741">
        <v>0</v>
      </c>
      <c r="AO493" s="741">
        <v>0</v>
      </c>
      <c r="AP493" s="41" t="str">
        <f t="shared" si="125"/>
        <v>GLA</v>
      </c>
      <c r="AQ493" s="41" t="str">
        <f t="shared" si="126"/>
        <v>GLAA2Accounts Payable</v>
      </c>
      <c r="AR493" s="41" t="str">
        <f t="shared" si="127"/>
        <v>A2Accounts Payable</v>
      </c>
      <c r="CR493" s="625"/>
    </row>
    <row r="494" spans="1:96" s="41" customFormat="1" ht="12.75" customHeight="1">
      <c r="A494" s="25" t="s">
        <v>17</v>
      </c>
      <c r="B494" s="25" t="str">
        <f t="shared" si="137"/>
        <v>GL232160</v>
      </c>
      <c r="C494" s="638">
        <v>232160</v>
      </c>
      <c r="D494" s="735"/>
      <c r="F494" s="1" t="s">
        <v>480</v>
      </c>
      <c r="H494" s="736" t="s">
        <v>2556</v>
      </c>
      <c r="I494" s="25"/>
      <c r="J494" s="25"/>
      <c r="K494" s="442" t="str">
        <f t="shared" si="136"/>
        <v/>
      </c>
      <c r="L494" s="736" t="s">
        <v>2393</v>
      </c>
      <c r="M494" s="25" t="str">
        <f t="shared" si="138"/>
        <v>A</v>
      </c>
      <c r="N494" s="25" t="str">
        <f>IF(L494&lt;&gt;"",VLOOKUP(L494,Categories!$B$2:$D$41,2,FALSE),IF(F494&lt;&gt;"","No Cat",""))</f>
        <v>All Other</v>
      </c>
      <c r="O494" s="25" t="str">
        <f>IF($L494&lt;&gt;"",VLOOKUP($L494,Categories!$B$2:$D$41,3,FALSE),IF($F494&lt;&gt;"","No Cat",""))</f>
        <v>EB-Cap</v>
      </c>
      <c r="P494" s="736" t="s">
        <v>2490</v>
      </c>
      <c r="Q494" s="25" t="str">
        <f>VLOOKUP($P494,Allocators!$B$7:$F$19,5,FALSE)</f>
        <v>Rate Base</v>
      </c>
      <c r="R494" s="737">
        <f>VLOOKUP($P494,Allocators!$B$7:$F$19,2,FALSE)</f>
        <v>0.70940000000000003</v>
      </c>
      <c r="S494" s="737">
        <f>VLOOKUP($P494,Allocators!$B$7:$F$19,3,FALSE)</f>
        <v>0.29060000000000002</v>
      </c>
      <c r="T494" s="737" t="str">
        <f t="shared" si="139"/>
        <v>0.0%</v>
      </c>
      <c r="U494" s="2" t="str">
        <f t="shared" si="130"/>
        <v/>
      </c>
      <c r="V494" s="2" t="str">
        <f t="shared" si="131"/>
        <v/>
      </c>
      <c r="W494" s="2" t="str">
        <f t="shared" si="132"/>
        <v/>
      </c>
      <c r="X494" s="2">
        <f t="shared" si="128"/>
        <v>0</v>
      </c>
      <c r="Y494" s="2" t="str">
        <f t="shared" si="133"/>
        <v/>
      </c>
      <c r="Z494" s="2" t="str">
        <f t="shared" si="134"/>
        <v/>
      </c>
      <c r="AA494" s="2" t="str">
        <f t="shared" si="135"/>
        <v/>
      </c>
      <c r="AB494" s="2">
        <f t="shared" si="129"/>
        <v>0</v>
      </c>
      <c r="AC494" s="759">
        <v>0</v>
      </c>
      <c r="AD494" s="741">
        <v>0</v>
      </c>
      <c r="AE494" s="741">
        <v>0</v>
      </c>
      <c r="AF494" s="741">
        <v>0</v>
      </c>
      <c r="AG494" s="741">
        <v>0</v>
      </c>
      <c r="AH494" s="741">
        <v>0</v>
      </c>
      <c r="AI494" s="741">
        <v>0</v>
      </c>
      <c r="AJ494" s="741">
        <v>0</v>
      </c>
      <c r="AK494" s="741">
        <v>0</v>
      </c>
      <c r="AL494" s="741">
        <v>0</v>
      </c>
      <c r="AM494" s="741">
        <v>0</v>
      </c>
      <c r="AN494" s="741">
        <v>0</v>
      </c>
      <c r="AO494" s="741">
        <v>0</v>
      </c>
      <c r="AP494" s="41" t="str">
        <f t="shared" si="125"/>
        <v>GLA</v>
      </c>
      <c r="AQ494" s="41" t="str">
        <f t="shared" si="126"/>
        <v>GLAA2Accounts Payable</v>
      </c>
      <c r="AR494" s="41" t="str">
        <f t="shared" si="127"/>
        <v>A2Accounts Payable</v>
      </c>
      <c r="CR494" s="625"/>
    </row>
    <row r="495" spans="1:96" s="41" customFormat="1" ht="12.75" customHeight="1">
      <c r="A495" s="25" t="s">
        <v>17</v>
      </c>
      <c r="B495" s="25" t="str">
        <f t="shared" si="137"/>
        <v>GL232170</v>
      </c>
      <c r="C495" s="638">
        <v>232170</v>
      </c>
      <c r="D495" s="735"/>
      <c r="F495" s="1" t="s">
        <v>481</v>
      </c>
      <c r="H495" s="736" t="s">
        <v>2556</v>
      </c>
      <c r="I495" s="25"/>
      <c r="J495" s="25"/>
      <c r="K495" s="442" t="str">
        <f t="shared" si="136"/>
        <v/>
      </c>
      <c r="L495" s="736" t="s">
        <v>2393</v>
      </c>
      <c r="M495" s="25" t="str">
        <f t="shared" si="138"/>
        <v>A</v>
      </c>
      <c r="N495" s="25" t="str">
        <f>IF(L495&lt;&gt;"",VLOOKUP(L495,Categories!$B$2:$D$41,2,FALSE),IF(F495&lt;&gt;"","No Cat",""))</f>
        <v>All Other</v>
      </c>
      <c r="O495" s="25" t="str">
        <f>IF($L495&lt;&gt;"",VLOOKUP($L495,Categories!$B$2:$D$41,3,FALSE),IF($F495&lt;&gt;"","No Cat",""))</f>
        <v>EB-Cap</v>
      </c>
      <c r="P495" s="736" t="s">
        <v>2490</v>
      </c>
      <c r="Q495" s="25" t="str">
        <f>VLOOKUP($P495,Allocators!$B$7:$F$19,5,FALSE)</f>
        <v>Rate Base</v>
      </c>
      <c r="R495" s="737">
        <f>VLOOKUP($P495,Allocators!$B$7:$F$19,2,FALSE)</f>
        <v>0.70940000000000003</v>
      </c>
      <c r="S495" s="737">
        <f>VLOOKUP($P495,Allocators!$B$7:$F$19,3,FALSE)</f>
        <v>0.29060000000000002</v>
      </c>
      <c r="T495" s="737" t="str">
        <f t="shared" si="139"/>
        <v>0.0%</v>
      </c>
      <c r="U495" s="2" t="str">
        <f t="shared" si="130"/>
        <v/>
      </c>
      <c r="V495" s="2" t="str">
        <f t="shared" si="131"/>
        <v/>
      </c>
      <c r="W495" s="2" t="str">
        <f t="shared" si="132"/>
        <v/>
      </c>
      <c r="X495" s="2">
        <f t="shared" si="128"/>
        <v>0</v>
      </c>
      <c r="Y495" s="2" t="str">
        <f t="shared" si="133"/>
        <v/>
      </c>
      <c r="Z495" s="2" t="str">
        <f t="shared" si="134"/>
        <v/>
      </c>
      <c r="AA495" s="2" t="str">
        <f t="shared" si="135"/>
        <v/>
      </c>
      <c r="AB495" s="2">
        <f t="shared" si="129"/>
        <v>0</v>
      </c>
      <c r="AC495" s="759">
        <v>0</v>
      </c>
      <c r="AD495" s="741">
        <v>0</v>
      </c>
      <c r="AE495" s="741">
        <v>0</v>
      </c>
      <c r="AF495" s="741">
        <v>0</v>
      </c>
      <c r="AG495" s="741">
        <v>0</v>
      </c>
      <c r="AH495" s="741">
        <v>0</v>
      </c>
      <c r="AI495" s="741">
        <v>0</v>
      </c>
      <c r="AJ495" s="741">
        <v>0</v>
      </c>
      <c r="AK495" s="741">
        <v>0</v>
      </c>
      <c r="AL495" s="741">
        <v>0</v>
      </c>
      <c r="AM495" s="741">
        <v>0</v>
      </c>
      <c r="AN495" s="741">
        <v>0</v>
      </c>
      <c r="AO495" s="741">
        <v>0</v>
      </c>
      <c r="AP495" s="41" t="str">
        <f t="shared" si="125"/>
        <v>GLA</v>
      </c>
      <c r="AQ495" s="41" t="str">
        <f t="shared" si="126"/>
        <v>GLAA2Accounts Payable</v>
      </c>
      <c r="AR495" s="41" t="str">
        <f t="shared" si="127"/>
        <v>A2Accounts Payable</v>
      </c>
      <c r="CR495" s="625"/>
    </row>
    <row r="496" spans="1:96" s="41" customFormat="1" ht="12.75" customHeight="1">
      <c r="A496" s="25" t="s">
        <v>17</v>
      </c>
      <c r="B496" s="25" t="str">
        <f t="shared" si="137"/>
        <v>GL232180</v>
      </c>
      <c r="C496" s="638">
        <v>232180</v>
      </c>
      <c r="D496" s="735"/>
      <c r="F496" s="1" t="s">
        <v>482</v>
      </c>
      <c r="H496" s="736" t="s">
        <v>2556</v>
      </c>
      <c r="I496" s="25"/>
      <c r="J496" s="25"/>
      <c r="K496" s="442" t="str">
        <f t="shared" si="136"/>
        <v/>
      </c>
      <c r="L496" s="736" t="s">
        <v>2393</v>
      </c>
      <c r="M496" s="25" t="str">
        <f t="shared" si="138"/>
        <v>A</v>
      </c>
      <c r="N496" s="25" t="str">
        <f>IF(L496&lt;&gt;"",VLOOKUP(L496,Categories!$B$2:$D$41,2,FALSE),IF(F496&lt;&gt;"","No Cat",""))</f>
        <v>All Other</v>
      </c>
      <c r="O496" s="25" t="str">
        <f>IF($L496&lt;&gt;"",VLOOKUP($L496,Categories!$B$2:$D$41,3,FALSE),IF($F496&lt;&gt;"","No Cat",""))</f>
        <v>EB-Cap</v>
      </c>
      <c r="P496" s="736" t="s">
        <v>2490</v>
      </c>
      <c r="Q496" s="25" t="str">
        <f>VLOOKUP($P496,Allocators!$B$7:$F$19,5,FALSE)</f>
        <v>Rate Base</v>
      </c>
      <c r="R496" s="737">
        <f>VLOOKUP($P496,Allocators!$B$7:$F$19,2,FALSE)</f>
        <v>0.70940000000000003</v>
      </c>
      <c r="S496" s="737">
        <f>VLOOKUP($P496,Allocators!$B$7:$F$19,3,FALSE)</f>
        <v>0.29060000000000002</v>
      </c>
      <c r="T496" s="737" t="str">
        <f t="shared" si="139"/>
        <v>0.0%</v>
      </c>
      <c r="U496" s="2" t="str">
        <f t="shared" si="130"/>
        <v/>
      </c>
      <c r="V496" s="2" t="str">
        <f t="shared" si="131"/>
        <v/>
      </c>
      <c r="W496" s="2" t="str">
        <f t="shared" si="132"/>
        <v/>
      </c>
      <c r="X496" s="2">
        <f t="shared" si="128"/>
        <v>0</v>
      </c>
      <c r="Y496" s="2" t="str">
        <f t="shared" si="133"/>
        <v/>
      </c>
      <c r="Z496" s="2" t="str">
        <f t="shared" si="134"/>
        <v/>
      </c>
      <c r="AA496" s="2" t="str">
        <f t="shared" si="135"/>
        <v/>
      </c>
      <c r="AB496" s="2">
        <f t="shared" si="129"/>
        <v>0</v>
      </c>
      <c r="AC496" s="759">
        <v>0</v>
      </c>
      <c r="AD496" s="741">
        <v>0</v>
      </c>
      <c r="AE496" s="741">
        <v>0</v>
      </c>
      <c r="AF496" s="741">
        <v>0</v>
      </c>
      <c r="AG496" s="741">
        <v>0</v>
      </c>
      <c r="AH496" s="741">
        <v>0</v>
      </c>
      <c r="AI496" s="741">
        <v>0</v>
      </c>
      <c r="AJ496" s="741">
        <v>0</v>
      </c>
      <c r="AK496" s="741">
        <v>0</v>
      </c>
      <c r="AL496" s="741">
        <v>0</v>
      </c>
      <c r="AM496" s="741">
        <v>0</v>
      </c>
      <c r="AN496" s="741">
        <v>0</v>
      </c>
      <c r="AO496" s="741">
        <v>0</v>
      </c>
      <c r="AP496" s="41" t="str">
        <f t="shared" si="125"/>
        <v>GLA</v>
      </c>
      <c r="AQ496" s="41" t="str">
        <f t="shared" si="126"/>
        <v>GLAA2Accounts Payable</v>
      </c>
      <c r="AR496" s="41" t="str">
        <f t="shared" si="127"/>
        <v>A2Accounts Payable</v>
      </c>
      <c r="CR496" s="625"/>
    </row>
    <row r="497" spans="1:96" s="41" customFormat="1" ht="12.75" customHeight="1">
      <c r="A497" s="25" t="s">
        <v>17</v>
      </c>
      <c r="B497" s="25" t="str">
        <f t="shared" si="137"/>
        <v>GL232190</v>
      </c>
      <c r="C497" s="638">
        <v>232190</v>
      </c>
      <c r="D497" s="735"/>
      <c r="F497" s="1" t="s">
        <v>483</v>
      </c>
      <c r="H497" s="736" t="s">
        <v>2556</v>
      </c>
      <c r="I497" s="25"/>
      <c r="J497" s="25"/>
      <c r="K497" s="442" t="str">
        <f t="shared" si="136"/>
        <v/>
      </c>
      <c r="L497" s="736" t="s">
        <v>2393</v>
      </c>
      <c r="M497" s="25" t="str">
        <f t="shared" si="138"/>
        <v>A</v>
      </c>
      <c r="N497" s="25" t="str">
        <f>IF(L497&lt;&gt;"",VLOOKUP(L497,Categories!$B$2:$D$41,2,FALSE),IF(F497&lt;&gt;"","No Cat",""))</f>
        <v>All Other</v>
      </c>
      <c r="O497" s="25" t="str">
        <f>IF($L497&lt;&gt;"",VLOOKUP($L497,Categories!$B$2:$D$41,3,FALSE),IF($F497&lt;&gt;"","No Cat",""))</f>
        <v>EB-Cap</v>
      </c>
      <c r="P497" s="736" t="s">
        <v>2490</v>
      </c>
      <c r="Q497" s="25" t="str">
        <f>VLOOKUP($P497,Allocators!$B$7:$F$19,5,FALSE)</f>
        <v>Rate Base</v>
      </c>
      <c r="R497" s="737">
        <f>VLOOKUP($P497,Allocators!$B$7:$F$19,2,FALSE)</f>
        <v>0.70940000000000003</v>
      </c>
      <c r="S497" s="737">
        <f>VLOOKUP($P497,Allocators!$B$7:$F$19,3,FALSE)</f>
        <v>0.29060000000000002</v>
      </c>
      <c r="T497" s="737" t="str">
        <f t="shared" si="139"/>
        <v>0.0%</v>
      </c>
      <c r="U497" s="2" t="str">
        <f t="shared" si="130"/>
        <v/>
      </c>
      <c r="V497" s="2" t="str">
        <f t="shared" si="131"/>
        <v/>
      </c>
      <c r="W497" s="2" t="str">
        <f t="shared" si="132"/>
        <v/>
      </c>
      <c r="X497" s="2">
        <f t="shared" si="128"/>
        <v>0</v>
      </c>
      <c r="Y497" s="2" t="str">
        <f t="shared" si="133"/>
        <v/>
      </c>
      <c r="Z497" s="2" t="str">
        <f t="shared" si="134"/>
        <v/>
      </c>
      <c r="AA497" s="2" t="str">
        <f t="shared" si="135"/>
        <v/>
      </c>
      <c r="AB497" s="2">
        <f t="shared" si="129"/>
        <v>0</v>
      </c>
      <c r="AC497" s="759">
        <v>0</v>
      </c>
      <c r="AD497" s="741">
        <v>0</v>
      </c>
      <c r="AE497" s="741">
        <v>0</v>
      </c>
      <c r="AF497" s="741">
        <v>0</v>
      </c>
      <c r="AG497" s="741">
        <v>0</v>
      </c>
      <c r="AH497" s="741">
        <v>0</v>
      </c>
      <c r="AI497" s="741">
        <v>0</v>
      </c>
      <c r="AJ497" s="741">
        <v>0</v>
      </c>
      <c r="AK497" s="741">
        <v>0</v>
      </c>
      <c r="AL497" s="741">
        <v>0</v>
      </c>
      <c r="AM497" s="741">
        <v>0</v>
      </c>
      <c r="AN497" s="741">
        <v>0</v>
      </c>
      <c r="AO497" s="741">
        <v>0</v>
      </c>
      <c r="AP497" s="41" t="str">
        <f t="shared" si="125"/>
        <v>GLA</v>
      </c>
      <c r="AQ497" s="41" t="str">
        <f t="shared" si="126"/>
        <v>GLAA2Accounts Payable</v>
      </c>
      <c r="AR497" s="41" t="str">
        <f t="shared" si="127"/>
        <v>A2Accounts Payable</v>
      </c>
      <c r="CR497" s="625"/>
    </row>
    <row r="498" spans="1:96" s="41" customFormat="1" ht="12.75" customHeight="1">
      <c r="A498" s="25" t="s">
        <v>17</v>
      </c>
      <c r="B498" s="25" t="str">
        <f t="shared" si="137"/>
        <v>GL232191</v>
      </c>
      <c r="C498" s="638">
        <v>232191</v>
      </c>
      <c r="D498" s="735"/>
      <c r="F498" s="1" t="s">
        <v>484</v>
      </c>
      <c r="H498" s="736" t="s">
        <v>2556</v>
      </c>
      <c r="I498" s="25"/>
      <c r="J498" s="25"/>
      <c r="K498" s="442" t="str">
        <f t="shared" si="136"/>
        <v/>
      </c>
      <c r="L498" s="736" t="s">
        <v>2393</v>
      </c>
      <c r="M498" s="25" t="str">
        <f t="shared" si="138"/>
        <v>A</v>
      </c>
      <c r="N498" s="25" t="str">
        <f>IF(L498&lt;&gt;"",VLOOKUP(L498,Categories!$B$2:$D$41,2,FALSE),IF(F498&lt;&gt;"","No Cat",""))</f>
        <v>All Other</v>
      </c>
      <c r="O498" s="25" t="str">
        <f>IF($L498&lt;&gt;"",VLOOKUP($L498,Categories!$B$2:$D$41,3,FALSE),IF($F498&lt;&gt;"","No Cat",""))</f>
        <v>EB-Cap</v>
      </c>
      <c r="P498" s="736" t="s">
        <v>2490</v>
      </c>
      <c r="Q498" s="25" t="str">
        <f>VLOOKUP($P498,Allocators!$B$7:$F$19,5,FALSE)</f>
        <v>Rate Base</v>
      </c>
      <c r="R498" s="737">
        <f>VLOOKUP($P498,Allocators!$B$7:$F$19,2,FALSE)</f>
        <v>0.70940000000000003</v>
      </c>
      <c r="S498" s="737">
        <f>VLOOKUP($P498,Allocators!$B$7:$F$19,3,FALSE)</f>
        <v>0.29060000000000002</v>
      </c>
      <c r="T498" s="737" t="str">
        <f t="shared" si="139"/>
        <v>0.0%</v>
      </c>
      <c r="U498" s="2" t="str">
        <f t="shared" si="130"/>
        <v/>
      </c>
      <c r="V498" s="2" t="str">
        <f t="shared" si="131"/>
        <v/>
      </c>
      <c r="W498" s="2" t="str">
        <f t="shared" si="132"/>
        <v/>
      </c>
      <c r="X498" s="2">
        <f t="shared" si="128"/>
        <v>0</v>
      </c>
      <c r="Y498" s="2" t="str">
        <f t="shared" si="133"/>
        <v/>
      </c>
      <c r="Z498" s="2" t="str">
        <f t="shared" si="134"/>
        <v/>
      </c>
      <c r="AA498" s="2" t="str">
        <f t="shared" si="135"/>
        <v/>
      </c>
      <c r="AB498" s="2">
        <f t="shared" si="129"/>
        <v>0</v>
      </c>
      <c r="AC498" s="759">
        <v>0</v>
      </c>
      <c r="AD498" s="741">
        <v>0</v>
      </c>
      <c r="AE498" s="741">
        <v>0</v>
      </c>
      <c r="AF498" s="741">
        <v>0</v>
      </c>
      <c r="AG498" s="741">
        <v>0</v>
      </c>
      <c r="AH498" s="741">
        <v>0</v>
      </c>
      <c r="AI498" s="741">
        <v>0</v>
      </c>
      <c r="AJ498" s="741">
        <v>0</v>
      </c>
      <c r="AK498" s="741">
        <v>0</v>
      </c>
      <c r="AL498" s="741">
        <v>0</v>
      </c>
      <c r="AM498" s="741">
        <v>0</v>
      </c>
      <c r="AN498" s="741">
        <v>0</v>
      </c>
      <c r="AO498" s="741">
        <v>0</v>
      </c>
      <c r="AP498" s="41" t="str">
        <f t="shared" si="125"/>
        <v>GLA</v>
      </c>
      <c r="AQ498" s="41" t="str">
        <f t="shared" si="126"/>
        <v>GLAA2Accounts Payable</v>
      </c>
      <c r="AR498" s="41" t="str">
        <f t="shared" si="127"/>
        <v>A2Accounts Payable</v>
      </c>
      <c r="CR498" s="625"/>
    </row>
    <row r="499" spans="1:96" s="41" customFormat="1" ht="12.75" customHeight="1">
      <c r="A499" s="25" t="s">
        <v>17</v>
      </c>
      <c r="B499" s="25" t="str">
        <f t="shared" si="137"/>
        <v>GL232192</v>
      </c>
      <c r="C499" s="638">
        <v>232192</v>
      </c>
      <c r="D499" s="735"/>
      <c r="F499" s="1" t="s">
        <v>485</v>
      </c>
      <c r="H499" s="736" t="s">
        <v>2556</v>
      </c>
      <c r="I499" s="25"/>
      <c r="J499" s="25"/>
      <c r="K499" s="442" t="str">
        <f t="shared" si="136"/>
        <v/>
      </c>
      <c r="L499" s="736" t="s">
        <v>2393</v>
      </c>
      <c r="M499" s="25" t="str">
        <f t="shared" si="138"/>
        <v>A</v>
      </c>
      <c r="N499" s="25" t="str">
        <f>IF(L499&lt;&gt;"",VLOOKUP(L499,Categories!$B$2:$D$41,2,FALSE),IF(F499&lt;&gt;"","No Cat",""))</f>
        <v>All Other</v>
      </c>
      <c r="O499" s="25" t="str">
        <f>IF($L499&lt;&gt;"",VLOOKUP($L499,Categories!$B$2:$D$41,3,FALSE),IF($F499&lt;&gt;"","No Cat",""))</f>
        <v>EB-Cap</v>
      </c>
      <c r="P499" s="736" t="s">
        <v>2490</v>
      </c>
      <c r="Q499" s="25" t="str">
        <f>VLOOKUP($P499,Allocators!$B$7:$F$19,5,FALSE)</f>
        <v>Rate Base</v>
      </c>
      <c r="R499" s="737">
        <f>VLOOKUP($P499,Allocators!$B$7:$F$19,2,FALSE)</f>
        <v>0.70940000000000003</v>
      </c>
      <c r="S499" s="737">
        <f>VLOOKUP($P499,Allocators!$B$7:$F$19,3,FALSE)</f>
        <v>0.29060000000000002</v>
      </c>
      <c r="T499" s="737" t="str">
        <f t="shared" si="139"/>
        <v>0.0%</v>
      </c>
      <c r="U499" s="2" t="str">
        <f t="shared" si="130"/>
        <v/>
      </c>
      <c r="V499" s="2" t="str">
        <f t="shared" si="131"/>
        <v/>
      </c>
      <c r="W499" s="2" t="str">
        <f t="shared" si="132"/>
        <v/>
      </c>
      <c r="X499" s="2">
        <f t="shared" si="128"/>
        <v>0</v>
      </c>
      <c r="Y499" s="2" t="str">
        <f t="shared" si="133"/>
        <v/>
      </c>
      <c r="Z499" s="2" t="str">
        <f t="shared" si="134"/>
        <v/>
      </c>
      <c r="AA499" s="2" t="str">
        <f t="shared" si="135"/>
        <v/>
      </c>
      <c r="AB499" s="2">
        <f t="shared" si="129"/>
        <v>0</v>
      </c>
      <c r="AC499" s="759">
        <v>0</v>
      </c>
      <c r="AD499" s="741">
        <v>0</v>
      </c>
      <c r="AE499" s="741">
        <v>0</v>
      </c>
      <c r="AF499" s="741">
        <v>0</v>
      </c>
      <c r="AG499" s="741">
        <v>0</v>
      </c>
      <c r="AH499" s="741">
        <v>0</v>
      </c>
      <c r="AI499" s="741">
        <v>0</v>
      </c>
      <c r="AJ499" s="741">
        <v>0</v>
      </c>
      <c r="AK499" s="741">
        <v>0</v>
      </c>
      <c r="AL499" s="741">
        <v>0</v>
      </c>
      <c r="AM499" s="741">
        <v>0</v>
      </c>
      <c r="AN499" s="741">
        <v>0</v>
      </c>
      <c r="AO499" s="741">
        <v>0</v>
      </c>
      <c r="AP499" s="41" t="str">
        <f t="shared" si="125"/>
        <v>GLA</v>
      </c>
      <c r="AQ499" s="41" t="str">
        <f t="shared" si="126"/>
        <v>GLAA2Accounts Payable</v>
      </c>
      <c r="AR499" s="41" t="str">
        <f t="shared" si="127"/>
        <v>A2Accounts Payable</v>
      </c>
      <c r="CR499" s="625"/>
    </row>
    <row r="500" spans="1:96" s="41" customFormat="1" ht="12.75" customHeight="1">
      <c r="A500" s="25" t="s">
        <v>17</v>
      </c>
      <c r="B500" s="25" t="str">
        <f t="shared" si="137"/>
        <v>GL232193</v>
      </c>
      <c r="C500" s="638">
        <v>232193</v>
      </c>
      <c r="D500" s="735"/>
      <c r="F500" s="1" t="s">
        <v>486</v>
      </c>
      <c r="H500" s="736" t="s">
        <v>2556</v>
      </c>
      <c r="I500" s="25"/>
      <c r="J500" s="25"/>
      <c r="K500" s="442" t="str">
        <f t="shared" si="136"/>
        <v/>
      </c>
      <c r="L500" s="736" t="s">
        <v>2393</v>
      </c>
      <c r="M500" s="25" t="str">
        <f t="shared" si="138"/>
        <v>A</v>
      </c>
      <c r="N500" s="25" t="str">
        <f>IF(L500&lt;&gt;"",VLOOKUP(L500,Categories!$B$2:$D$41,2,FALSE),IF(F500&lt;&gt;"","No Cat",""))</f>
        <v>All Other</v>
      </c>
      <c r="O500" s="25" t="str">
        <f>IF($L500&lt;&gt;"",VLOOKUP($L500,Categories!$B$2:$D$41,3,FALSE),IF($F500&lt;&gt;"","No Cat",""))</f>
        <v>EB-Cap</v>
      </c>
      <c r="P500" s="736" t="s">
        <v>2490</v>
      </c>
      <c r="Q500" s="25" t="str">
        <f>VLOOKUP($P500,Allocators!$B$7:$F$19,5,FALSE)</f>
        <v>Rate Base</v>
      </c>
      <c r="R500" s="737">
        <f>VLOOKUP($P500,Allocators!$B$7:$F$19,2,FALSE)</f>
        <v>0.70940000000000003</v>
      </c>
      <c r="S500" s="737">
        <f>VLOOKUP($P500,Allocators!$B$7:$F$19,3,FALSE)</f>
        <v>0.29060000000000002</v>
      </c>
      <c r="T500" s="737" t="str">
        <f t="shared" si="139"/>
        <v>0.0%</v>
      </c>
      <c r="U500" s="2" t="str">
        <f t="shared" si="130"/>
        <v/>
      </c>
      <c r="V500" s="2" t="str">
        <f t="shared" si="131"/>
        <v/>
      </c>
      <c r="W500" s="2" t="str">
        <f t="shared" si="132"/>
        <v/>
      </c>
      <c r="X500" s="2">
        <f t="shared" si="128"/>
        <v>0</v>
      </c>
      <c r="Y500" s="2" t="str">
        <f t="shared" si="133"/>
        <v/>
      </c>
      <c r="Z500" s="2" t="str">
        <f t="shared" si="134"/>
        <v/>
      </c>
      <c r="AA500" s="2" t="str">
        <f t="shared" si="135"/>
        <v/>
      </c>
      <c r="AB500" s="2">
        <f t="shared" si="129"/>
        <v>0</v>
      </c>
      <c r="AC500" s="759">
        <v>0</v>
      </c>
      <c r="AD500" s="741">
        <v>0</v>
      </c>
      <c r="AE500" s="741">
        <v>0</v>
      </c>
      <c r="AF500" s="741">
        <v>0</v>
      </c>
      <c r="AG500" s="741">
        <v>0</v>
      </c>
      <c r="AH500" s="741">
        <v>0</v>
      </c>
      <c r="AI500" s="741">
        <v>0</v>
      </c>
      <c r="AJ500" s="741">
        <v>0</v>
      </c>
      <c r="AK500" s="741">
        <v>0</v>
      </c>
      <c r="AL500" s="741">
        <v>0</v>
      </c>
      <c r="AM500" s="741">
        <v>0</v>
      </c>
      <c r="AN500" s="741">
        <v>0</v>
      </c>
      <c r="AO500" s="741">
        <v>0</v>
      </c>
      <c r="AP500" s="41" t="str">
        <f t="shared" si="125"/>
        <v>GLA</v>
      </c>
      <c r="AQ500" s="41" t="str">
        <f t="shared" si="126"/>
        <v>GLAA2Accounts Payable</v>
      </c>
      <c r="AR500" s="41" t="str">
        <f t="shared" si="127"/>
        <v>A2Accounts Payable</v>
      </c>
      <c r="CR500" s="625"/>
    </row>
    <row r="501" spans="1:96" s="41" customFormat="1" ht="12.75" customHeight="1">
      <c r="A501" s="25" t="s">
        <v>17</v>
      </c>
      <c r="B501" s="25" t="str">
        <f t="shared" si="137"/>
        <v>GL232197</v>
      </c>
      <c r="C501" s="638">
        <v>232197</v>
      </c>
      <c r="D501" s="735"/>
      <c r="F501" s="1" t="s">
        <v>487</v>
      </c>
      <c r="H501" s="736" t="s">
        <v>2556</v>
      </c>
      <c r="I501" s="25"/>
      <c r="J501" s="25"/>
      <c r="K501" s="442" t="str">
        <f t="shared" si="136"/>
        <v/>
      </c>
      <c r="L501" s="736" t="s">
        <v>2393</v>
      </c>
      <c r="M501" s="25" t="str">
        <f t="shared" si="138"/>
        <v>A</v>
      </c>
      <c r="N501" s="25" t="str">
        <f>IF(L501&lt;&gt;"",VLOOKUP(L501,Categories!$B$2:$D$41,2,FALSE),IF(F501&lt;&gt;"","No Cat",""))</f>
        <v>All Other</v>
      </c>
      <c r="O501" s="25" t="str">
        <f>IF($L501&lt;&gt;"",VLOOKUP($L501,Categories!$B$2:$D$41,3,FALSE),IF($F501&lt;&gt;"","No Cat",""))</f>
        <v>EB-Cap</v>
      </c>
      <c r="P501" s="736" t="s">
        <v>2490</v>
      </c>
      <c r="Q501" s="25" t="str">
        <f>VLOOKUP($P501,Allocators!$B$7:$F$19,5,FALSE)</f>
        <v>Rate Base</v>
      </c>
      <c r="R501" s="737">
        <f>VLOOKUP($P501,Allocators!$B$7:$F$19,2,FALSE)</f>
        <v>0.70940000000000003</v>
      </c>
      <c r="S501" s="737">
        <f>VLOOKUP($P501,Allocators!$B$7:$F$19,3,FALSE)</f>
        <v>0.29060000000000002</v>
      </c>
      <c r="T501" s="737" t="str">
        <f t="shared" si="139"/>
        <v>0.0%</v>
      </c>
      <c r="U501" s="2" t="str">
        <f t="shared" si="130"/>
        <v/>
      </c>
      <c r="V501" s="2" t="str">
        <f t="shared" si="131"/>
        <v/>
      </c>
      <c r="W501" s="2" t="str">
        <f t="shared" si="132"/>
        <v/>
      </c>
      <c r="X501" s="2">
        <f t="shared" si="128"/>
        <v>0</v>
      </c>
      <c r="Y501" s="2" t="str">
        <f t="shared" si="133"/>
        <v/>
      </c>
      <c r="Z501" s="2" t="str">
        <f t="shared" si="134"/>
        <v/>
      </c>
      <c r="AA501" s="2" t="str">
        <f t="shared" si="135"/>
        <v/>
      </c>
      <c r="AB501" s="2">
        <f t="shared" si="129"/>
        <v>0</v>
      </c>
      <c r="AC501" s="759">
        <v>0</v>
      </c>
      <c r="AD501" s="741">
        <v>0</v>
      </c>
      <c r="AE501" s="741">
        <v>0</v>
      </c>
      <c r="AF501" s="741">
        <v>0</v>
      </c>
      <c r="AG501" s="741">
        <v>0</v>
      </c>
      <c r="AH501" s="741">
        <v>0</v>
      </c>
      <c r="AI501" s="741">
        <v>0</v>
      </c>
      <c r="AJ501" s="741">
        <v>0</v>
      </c>
      <c r="AK501" s="741">
        <v>0</v>
      </c>
      <c r="AL501" s="741">
        <v>0</v>
      </c>
      <c r="AM501" s="741">
        <v>0</v>
      </c>
      <c r="AN501" s="741">
        <v>0</v>
      </c>
      <c r="AO501" s="741">
        <v>0</v>
      </c>
      <c r="AP501" s="41" t="str">
        <f t="shared" si="125"/>
        <v>GLA</v>
      </c>
      <c r="AQ501" s="41" t="str">
        <f t="shared" si="126"/>
        <v>GLAA2Accounts Payable</v>
      </c>
      <c r="AR501" s="41" t="str">
        <f t="shared" si="127"/>
        <v>A2Accounts Payable</v>
      </c>
      <c r="CR501" s="625"/>
    </row>
    <row r="502" spans="1:96" s="41" customFormat="1" ht="12.75" customHeight="1">
      <c r="A502" s="25" t="s">
        <v>17</v>
      </c>
      <c r="B502" s="25" t="str">
        <f t="shared" si="137"/>
        <v>GL232199</v>
      </c>
      <c r="C502" s="638">
        <v>232199</v>
      </c>
      <c r="D502" s="735"/>
      <c r="F502" s="1" t="s">
        <v>488</v>
      </c>
      <c r="H502" s="736" t="s">
        <v>2556</v>
      </c>
      <c r="I502" s="25"/>
      <c r="J502" s="25"/>
      <c r="K502" s="442" t="str">
        <f t="shared" si="136"/>
        <v/>
      </c>
      <c r="L502" s="736" t="s">
        <v>2393</v>
      </c>
      <c r="M502" s="25" t="str">
        <f t="shared" si="138"/>
        <v>A</v>
      </c>
      <c r="N502" s="25" t="str">
        <f>IF(L502&lt;&gt;"",VLOOKUP(L502,Categories!$B$2:$D$41,2,FALSE),IF(F502&lt;&gt;"","No Cat",""))</f>
        <v>All Other</v>
      </c>
      <c r="O502" s="25" t="str">
        <f>IF($L502&lt;&gt;"",VLOOKUP($L502,Categories!$B$2:$D$41,3,FALSE),IF($F502&lt;&gt;"","No Cat",""))</f>
        <v>EB-Cap</v>
      </c>
      <c r="P502" s="736" t="s">
        <v>2490</v>
      </c>
      <c r="Q502" s="25" t="str">
        <f>VLOOKUP($P502,Allocators!$B$7:$F$19,5,FALSE)</f>
        <v>Rate Base</v>
      </c>
      <c r="R502" s="737">
        <f>VLOOKUP($P502,Allocators!$B$7:$F$19,2,FALSE)</f>
        <v>0.70940000000000003</v>
      </c>
      <c r="S502" s="737">
        <f>VLOOKUP($P502,Allocators!$B$7:$F$19,3,FALSE)</f>
        <v>0.29060000000000002</v>
      </c>
      <c r="T502" s="737" t="str">
        <f t="shared" si="139"/>
        <v>0.0%</v>
      </c>
      <c r="U502" s="2" t="str">
        <f t="shared" si="130"/>
        <v/>
      </c>
      <c r="V502" s="2" t="str">
        <f t="shared" si="131"/>
        <v/>
      </c>
      <c r="W502" s="2" t="str">
        <f t="shared" si="132"/>
        <v/>
      </c>
      <c r="X502" s="2">
        <f t="shared" si="128"/>
        <v>0</v>
      </c>
      <c r="Y502" s="2" t="str">
        <f t="shared" si="133"/>
        <v/>
      </c>
      <c r="Z502" s="2" t="str">
        <f t="shared" si="134"/>
        <v/>
      </c>
      <c r="AA502" s="2" t="str">
        <f t="shared" si="135"/>
        <v/>
      </c>
      <c r="AB502" s="2">
        <f t="shared" si="129"/>
        <v>0</v>
      </c>
      <c r="AC502" s="759">
        <v>0</v>
      </c>
      <c r="AD502" s="741">
        <v>0</v>
      </c>
      <c r="AE502" s="741">
        <v>0</v>
      </c>
      <c r="AF502" s="741">
        <v>0</v>
      </c>
      <c r="AG502" s="741">
        <v>0</v>
      </c>
      <c r="AH502" s="741">
        <v>0</v>
      </c>
      <c r="AI502" s="741">
        <v>0</v>
      </c>
      <c r="AJ502" s="741">
        <v>0</v>
      </c>
      <c r="AK502" s="741">
        <v>0</v>
      </c>
      <c r="AL502" s="741">
        <v>0</v>
      </c>
      <c r="AM502" s="741">
        <v>0</v>
      </c>
      <c r="AN502" s="741">
        <v>0</v>
      </c>
      <c r="AO502" s="741">
        <v>0</v>
      </c>
      <c r="AP502" s="41" t="str">
        <f t="shared" si="125"/>
        <v>GLA</v>
      </c>
      <c r="AQ502" s="41" t="str">
        <f t="shared" si="126"/>
        <v>GLAA2Accounts Payable</v>
      </c>
      <c r="AR502" s="41" t="str">
        <f t="shared" si="127"/>
        <v>A2Accounts Payable</v>
      </c>
      <c r="CR502" s="625"/>
    </row>
    <row r="503" spans="1:96" s="41" customFormat="1" ht="12.75" customHeight="1">
      <c r="A503" s="25" t="s">
        <v>17</v>
      </c>
      <c r="B503" s="25" t="str">
        <f t="shared" si="137"/>
        <v>GL232200</v>
      </c>
      <c r="C503" s="638">
        <v>232200</v>
      </c>
      <c r="D503" s="735"/>
      <c r="F503" s="1" t="s">
        <v>489</v>
      </c>
      <c r="H503" s="736">
        <v>0</v>
      </c>
      <c r="I503" s="25"/>
      <c r="J503" s="25"/>
      <c r="K503" s="442" t="str">
        <f t="shared" si="136"/>
        <v/>
      </c>
      <c r="L503" s="736" t="s">
        <v>2393</v>
      </c>
      <c r="M503" s="25" t="str">
        <f t="shared" si="138"/>
        <v>A</v>
      </c>
      <c r="N503" s="25" t="str">
        <f>IF(L503&lt;&gt;"",VLOOKUP(L503,Categories!$B$2:$D$41,2,FALSE),IF(F503&lt;&gt;"","No Cat",""))</f>
        <v>All Other</v>
      </c>
      <c r="O503" s="25" t="str">
        <f>IF($L503&lt;&gt;"",VLOOKUP($L503,Categories!$B$2:$D$41,3,FALSE),IF($F503&lt;&gt;"","No Cat",""))</f>
        <v>EB-Cap</v>
      </c>
      <c r="P503" s="736" t="s">
        <v>2490</v>
      </c>
      <c r="Q503" s="25" t="str">
        <f>VLOOKUP($P503,Allocators!$B$7:$F$19,5,FALSE)</f>
        <v>Rate Base</v>
      </c>
      <c r="R503" s="737">
        <f>VLOOKUP($P503,Allocators!$B$7:$F$19,2,FALSE)</f>
        <v>0.70940000000000003</v>
      </c>
      <c r="S503" s="737">
        <f>VLOOKUP($P503,Allocators!$B$7:$F$19,3,FALSE)</f>
        <v>0.29060000000000002</v>
      </c>
      <c r="T503" s="737" t="str">
        <f t="shared" si="139"/>
        <v>0.0%</v>
      </c>
      <c r="U503" s="2" t="str">
        <f t="shared" si="130"/>
        <v/>
      </c>
      <c r="V503" s="2" t="str">
        <f t="shared" si="131"/>
        <v/>
      </c>
      <c r="W503" s="2" t="str">
        <f t="shared" si="132"/>
        <v/>
      </c>
      <c r="X503" s="2">
        <f t="shared" si="128"/>
        <v>0</v>
      </c>
      <c r="Y503" s="2" t="str">
        <f t="shared" si="133"/>
        <v/>
      </c>
      <c r="Z503" s="2" t="str">
        <f t="shared" si="134"/>
        <v/>
      </c>
      <c r="AA503" s="2" t="str">
        <f t="shared" si="135"/>
        <v/>
      </c>
      <c r="AB503" s="2">
        <f t="shared" si="129"/>
        <v>0</v>
      </c>
      <c r="AC503" s="759">
        <v>0</v>
      </c>
      <c r="AD503" s="741">
        <v>0</v>
      </c>
      <c r="AE503" s="741">
        <v>0</v>
      </c>
      <c r="AF503" s="741">
        <v>0</v>
      </c>
      <c r="AG503" s="741">
        <v>0</v>
      </c>
      <c r="AH503" s="741">
        <v>0</v>
      </c>
      <c r="AI503" s="741">
        <v>0</v>
      </c>
      <c r="AJ503" s="741">
        <v>0</v>
      </c>
      <c r="AK503" s="741">
        <v>0</v>
      </c>
      <c r="AL503" s="741">
        <v>0</v>
      </c>
      <c r="AM503" s="741">
        <v>0</v>
      </c>
      <c r="AN503" s="741">
        <v>0</v>
      </c>
      <c r="AO503" s="741">
        <v>0</v>
      </c>
      <c r="AP503" s="41" t="str">
        <f t="shared" si="125"/>
        <v>GLA</v>
      </c>
      <c r="AQ503" s="41" t="str">
        <f t="shared" si="126"/>
        <v>GLAA20</v>
      </c>
      <c r="AR503" s="41" t="str">
        <f t="shared" si="127"/>
        <v>A20</v>
      </c>
      <c r="CR503" s="625"/>
    </row>
    <row r="504" spans="1:96" s="41" customFormat="1" ht="12.75" customHeight="1">
      <c r="A504" s="25" t="s">
        <v>17</v>
      </c>
      <c r="B504" s="25" t="str">
        <f t="shared" si="137"/>
        <v>GL232210</v>
      </c>
      <c r="C504" s="638">
        <v>232210</v>
      </c>
      <c r="D504" s="735"/>
      <c r="F504" s="1" t="s">
        <v>490</v>
      </c>
      <c r="H504" s="736" t="s">
        <v>2556</v>
      </c>
      <c r="I504" s="25"/>
      <c r="J504" s="25"/>
      <c r="K504" s="442" t="str">
        <f t="shared" si="136"/>
        <v/>
      </c>
      <c r="L504" s="736" t="s">
        <v>2393</v>
      </c>
      <c r="M504" s="25" t="str">
        <f t="shared" si="138"/>
        <v>A</v>
      </c>
      <c r="N504" s="25" t="str">
        <f>IF(L504&lt;&gt;"",VLOOKUP(L504,Categories!$B$2:$D$41,2,FALSE),IF(F504&lt;&gt;"","No Cat",""))</f>
        <v>All Other</v>
      </c>
      <c r="O504" s="25" t="str">
        <f>IF($L504&lt;&gt;"",VLOOKUP($L504,Categories!$B$2:$D$41,3,FALSE),IF($F504&lt;&gt;"","No Cat",""))</f>
        <v>EB-Cap</v>
      </c>
      <c r="P504" s="736" t="s">
        <v>2490</v>
      </c>
      <c r="Q504" s="25" t="str">
        <f>VLOOKUP($P504,Allocators!$B$7:$F$19,5,FALSE)</f>
        <v>Rate Base</v>
      </c>
      <c r="R504" s="737">
        <f>VLOOKUP($P504,Allocators!$B$7:$F$19,2,FALSE)</f>
        <v>0.70940000000000003</v>
      </c>
      <c r="S504" s="737">
        <f>VLOOKUP($P504,Allocators!$B$7:$F$19,3,FALSE)</f>
        <v>0.29060000000000002</v>
      </c>
      <c r="T504" s="737" t="str">
        <f t="shared" si="139"/>
        <v>0.0%</v>
      </c>
      <c r="U504" s="2" t="str">
        <f t="shared" si="130"/>
        <v/>
      </c>
      <c r="V504" s="2" t="str">
        <f t="shared" si="131"/>
        <v/>
      </c>
      <c r="W504" s="2" t="str">
        <f t="shared" si="132"/>
        <v/>
      </c>
      <c r="X504" s="2">
        <f t="shared" si="128"/>
        <v>0</v>
      </c>
      <c r="Y504" s="2" t="str">
        <f t="shared" si="133"/>
        <v/>
      </c>
      <c r="Z504" s="2" t="str">
        <f t="shared" si="134"/>
        <v/>
      </c>
      <c r="AA504" s="2" t="str">
        <f t="shared" si="135"/>
        <v/>
      </c>
      <c r="AB504" s="2">
        <f t="shared" si="129"/>
        <v>0</v>
      </c>
      <c r="AC504" s="759">
        <v>0</v>
      </c>
      <c r="AD504" s="741">
        <v>0</v>
      </c>
      <c r="AE504" s="741">
        <v>0</v>
      </c>
      <c r="AF504" s="741">
        <v>0</v>
      </c>
      <c r="AG504" s="741">
        <v>0</v>
      </c>
      <c r="AH504" s="741">
        <v>0</v>
      </c>
      <c r="AI504" s="741">
        <v>0</v>
      </c>
      <c r="AJ504" s="741">
        <v>0</v>
      </c>
      <c r="AK504" s="741">
        <v>0</v>
      </c>
      <c r="AL504" s="741">
        <v>0</v>
      </c>
      <c r="AM504" s="741">
        <v>0</v>
      </c>
      <c r="AN504" s="741">
        <v>0</v>
      </c>
      <c r="AO504" s="741">
        <v>0</v>
      </c>
      <c r="AP504" s="41" t="str">
        <f t="shared" si="125"/>
        <v>GLA</v>
      </c>
      <c r="AQ504" s="41" t="str">
        <f t="shared" si="126"/>
        <v>GLAA2Accounts Payable</v>
      </c>
      <c r="AR504" s="41" t="str">
        <f t="shared" si="127"/>
        <v>A2Accounts Payable</v>
      </c>
      <c r="CR504" s="625"/>
    </row>
    <row r="505" spans="1:96" s="41" customFormat="1" ht="12.75" customHeight="1">
      <c r="A505" s="25" t="s">
        <v>17</v>
      </c>
      <c r="B505" s="25" t="str">
        <f t="shared" si="137"/>
        <v>GL232211</v>
      </c>
      <c r="C505" s="638">
        <v>232211</v>
      </c>
      <c r="D505" s="735"/>
      <c r="F505" s="1" t="s">
        <v>491</v>
      </c>
      <c r="H505" s="736" t="s">
        <v>2556</v>
      </c>
      <c r="I505" s="25"/>
      <c r="J505" s="25"/>
      <c r="K505" s="442" t="str">
        <f t="shared" si="136"/>
        <v/>
      </c>
      <c r="L505" s="736" t="s">
        <v>2393</v>
      </c>
      <c r="M505" s="25" t="str">
        <f t="shared" si="138"/>
        <v>A</v>
      </c>
      <c r="N505" s="25" t="str">
        <f>IF(L505&lt;&gt;"",VLOOKUP(L505,Categories!$B$2:$D$41,2,FALSE),IF(F505&lt;&gt;"","No Cat",""))</f>
        <v>All Other</v>
      </c>
      <c r="O505" s="25" t="str">
        <f>IF($L505&lt;&gt;"",VLOOKUP($L505,Categories!$B$2:$D$41,3,FALSE),IF($F505&lt;&gt;"","No Cat",""))</f>
        <v>EB-Cap</v>
      </c>
      <c r="P505" s="736" t="s">
        <v>2490</v>
      </c>
      <c r="Q505" s="25" t="str">
        <f>VLOOKUP($P505,Allocators!$B$7:$F$19,5,FALSE)</f>
        <v>Rate Base</v>
      </c>
      <c r="R505" s="737">
        <f>VLOOKUP($P505,Allocators!$B$7:$F$19,2,FALSE)</f>
        <v>0.70940000000000003</v>
      </c>
      <c r="S505" s="737">
        <f>VLOOKUP($P505,Allocators!$B$7:$F$19,3,FALSE)</f>
        <v>0.29060000000000002</v>
      </c>
      <c r="T505" s="737" t="str">
        <f t="shared" si="139"/>
        <v>0.0%</v>
      </c>
      <c r="U505" s="2" t="str">
        <f t="shared" si="130"/>
        <v/>
      </c>
      <c r="V505" s="2" t="str">
        <f t="shared" si="131"/>
        <v/>
      </c>
      <c r="W505" s="2" t="str">
        <f t="shared" si="132"/>
        <v/>
      </c>
      <c r="X505" s="2">
        <f t="shared" si="128"/>
        <v>0</v>
      </c>
      <c r="Y505" s="2" t="str">
        <f t="shared" si="133"/>
        <v/>
      </c>
      <c r="Z505" s="2" t="str">
        <f t="shared" si="134"/>
        <v/>
      </c>
      <c r="AA505" s="2" t="str">
        <f t="shared" si="135"/>
        <v/>
      </c>
      <c r="AB505" s="2">
        <f t="shared" si="129"/>
        <v>0</v>
      </c>
      <c r="AC505" s="759">
        <v>0</v>
      </c>
      <c r="AD505" s="741">
        <v>0</v>
      </c>
      <c r="AE505" s="741">
        <v>0</v>
      </c>
      <c r="AF505" s="741">
        <v>0</v>
      </c>
      <c r="AG505" s="741">
        <v>0</v>
      </c>
      <c r="AH505" s="741">
        <v>0</v>
      </c>
      <c r="AI505" s="741">
        <v>0</v>
      </c>
      <c r="AJ505" s="741">
        <v>0</v>
      </c>
      <c r="AK505" s="741">
        <v>0</v>
      </c>
      <c r="AL505" s="741">
        <v>0</v>
      </c>
      <c r="AM505" s="741">
        <v>0</v>
      </c>
      <c r="AN505" s="741">
        <v>0</v>
      </c>
      <c r="AO505" s="741">
        <v>0</v>
      </c>
      <c r="AP505" s="41" t="str">
        <f t="shared" si="125"/>
        <v>GLA</v>
      </c>
      <c r="AQ505" s="41" t="str">
        <f t="shared" si="126"/>
        <v>GLAA2Accounts Payable</v>
      </c>
      <c r="AR505" s="41" t="str">
        <f t="shared" si="127"/>
        <v>A2Accounts Payable</v>
      </c>
      <c r="CR505" s="625"/>
    </row>
    <row r="506" spans="1:96" s="41" customFormat="1" ht="12.75" customHeight="1">
      <c r="A506" s="25" t="s">
        <v>17</v>
      </c>
      <c r="B506" s="25" t="str">
        <f t="shared" si="137"/>
        <v>GL232212</v>
      </c>
      <c r="C506" s="638">
        <v>232212</v>
      </c>
      <c r="D506" s="735"/>
      <c r="F506" s="1" t="s">
        <v>492</v>
      </c>
      <c r="H506" s="736" t="s">
        <v>2558</v>
      </c>
      <c r="I506" s="25"/>
      <c r="J506" s="25"/>
      <c r="K506" s="442" t="str">
        <f t="shared" si="136"/>
        <v/>
      </c>
      <c r="L506" s="736" t="s">
        <v>2393</v>
      </c>
      <c r="M506" s="25" t="str">
        <f t="shared" si="138"/>
        <v>A</v>
      </c>
      <c r="N506" s="25" t="str">
        <f>IF(L506&lt;&gt;"",VLOOKUP(L506,Categories!$B$2:$D$41,2,FALSE),IF(F506&lt;&gt;"","No Cat",""))</f>
        <v>All Other</v>
      </c>
      <c r="O506" s="25" t="str">
        <f>IF($L506&lt;&gt;"",VLOOKUP($L506,Categories!$B$2:$D$41,3,FALSE),IF($F506&lt;&gt;"","No Cat",""))</f>
        <v>EB-Cap</v>
      </c>
      <c r="P506" s="736" t="s">
        <v>2490</v>
      </c>
      <c r="Q506" s="25" t="str">
        <f>VLOOKUP($P506,Allocators!$B$7:$F$19,5,FALSE)</f>
        <v>Rate Base</v>
      </c>
      <c r="R506" s="737">
        <f>VLOOKUP($P506,Allocators!$B$7:$F$19,2,FALSE)</f>
        <v>0.70940000000000003</v>
      </c>
      <c r="S506" s="737">
        <f>VLOOKUP($P506,Allocators!$B$7:$F$19,3,FALSE)</f>
        <v>0.29060000000000002</v>
      </c>
      <c r="T506" s="737" t="str">
        <f t="shared" si="139"/>
        <v>0.0%</v>
      </c>
      <c r="U506" s="2" t="str">
        <f t="shared" si="130"/>
        <v/>
      </c>
      <c r="V506" s="2" t="str">
        <f t="shared" si="131"/>
        <v/>
      </c>
      <c r="W506" s="2" t="str">
        <f t="shared" si="132"/>
        <v/>
      </c>
      <c r="X506" s="2">
        <f t="shared" si="128"/>
        <v>0</v>
      </c>
      <c r="Y506" s="2" t="str">
        <f t="shared" si="133"/>
        <v/>
      </c>
      <c r="Z506" s="2" t="str">
        <f t="shared" si="134"/>
        <v/>
      </c>
      <c r="AA506" s="2" t="str">
        <f t="shared" si="135"/>
        <v/>
      </c>
      <c r="AB506" s="2">
        <f t="shared" si="129"/>
        <v>0</v>
      </c>
      <c r="AC506" s="759">
        <v>0</v>
      </c>
      <c r="AD506" s="741">
        <v>0</v>
      </c>
      <c r="AE506" s="741">
        <v>0</v>
      </c>
      <c r="AF506" s="741">
        <v>0</v>
      </c>
      <c r="AG506" s="741">
        <v>0</v>
      </c>
      <c r="AH506" s="741">
        <v>0</v>
      </c>
      <c r="AI506" s="741">
        <v>0</v>
      </c>
      <c r="AJ506" s="741">
        <v>0</v>
      </c>
      <c r="AK506" s="741">
        <v>0</v>
      </c>
      <c r="AL506" s="741">
        <v>0</v>
      </c>
      <c r="AM506" s="741">
        <v>0</v>
      </c>
      <c r="AN506" s="741">
        <v>0</v>
      </c>
      <c r="AO506" s="741">
        <v>0</v>
      </c>
      <c r="AP506" s="41" t="str">
        <f t="shared" si="125"/>
        <v>GLA</v>
      </c>
      <c r="AQ506" s="41" t="str">
        <f t="shared" si="126"/>
        <v>GLAA2Deferred Comp - Putnam</v>
      </c>
      <c r="AR506" s="41" t="str">
        <f t="shared" si="127"/>
        <v>A2Deferred Comp - Putnam</v>
      </c>
      <c r="CR506" s="625"/>
    </row>
    <row r="507" spans="1:96" s="41" customFormat="1" ht="12.75" customHeight="1">
      <c r="A507" s="25" t="s">
        <v>17</v>
      </c>
      <c r="B507" s="25" t="str">
        <f t="shared" si="137"/>
        <v>GL232220</v>
      </c>
      <c r="C507" s="638">
        <v>232220</v>
      </c>
      <c r="D507" s="735"/>
      <c r="F507" s="1" t="s">
        <v>493</v>
      </c>
      <c r="H507" s="736">
        <v>0</v>
      </c>
      <c r="I507" s="25"/>
      <c r="J507" s="25"/>
      <c r="K507" s="442" t="str">
        <f t="shared" si="136"/>
        <v/>
      </c>
      <c r="L507" s="736" t="s">
        <v>2393</v>
      </c>
      <c r="M507" s="25" t="str">
        <f t="shared" si="138"/>
        <v>A</v>
      </c>
      <c r="N507" s="25" t="str">
        <f>IF(L507&lt;&gt;"",VLOOKUP(L507,Categories!$B$2:$D$41,2,FALSE),IF(F507&lt;&gt;"","No Cat",""))</f>
        <v>All Other</v>
      </c>
      <c r="O507" s="25" t="str">
        <f>IF($L507&lt;&gt;"",VLOOKUP($L507,Categories!$B$2:$D$41,3,FALSE),IF($F507&lt;&gt;"","No Cat",""))</f>
        <v>EB-Cap</v>
      </c>
      <c r="P507" s="736" t="s">
        <v>2490</v>
      </c>
      <c r="Q507" s="25" t="str">
        <f>VLOOKUP($P507,Allocators!$B$7:$F$19,5,FALSE)</f>
        <v>Rate Base</v>
      </c>
      <c r="R507" s="737">
        <f>VLOOKUP($P507,Allocators!$B$7:$F$19,2,FALSE)</f>
        <v>0.70940000000000003</v>
      </c>
      <c r="S507" s="737">
        <f>VLOOKUP($P507,Allocators!$B$7:$F$19,3,FALSE)</f>
        <v>0.29060000000000002</v>
      </c>
      <c r="T507" s="737" t="str">
        <f t="shared" si="139"/>
        <v>0.0%</v>
      </c>
      <c r="U507" s="2" t="str">
        <f t="shared" si="130"/>
        <v/>
      </c>
      <c r="V507" s="2" t="str">
        <f t="shared" si="131"/>
        <v/>
      </c>
      <c r="W507" s="2" t="str">
        <f t="shared" si="132"/>
        <v/>
      </c>
      <c r="X507" s="2">
        <f t="shared" si="128"/>
        <v>0</v>
      </c>
      <c r="Y507" s="2" t="str">
        <f t="shared" si="133"/>
        <v/>
      </c>
      <c r="Z507" s="2" t="str">
        <f t="shared" si="134"/>
        <v/>
      </c>
      <c r="AA507" s="2" t="str">
        <f t="shared" si="135"/>
        <v/>
      </c>
      <c r="AB507" s="2">
        <f t="shared" si="129"/>
        <v>0</v>
      </c>
      <c r="AC507" s="759">
        <v>0</v>
      </c>
      <c r="AD507" s="741">
        <v>0</v>
      </c>
      <c r="AE507" s="741">
        <v>0</v>
      </c>
      <c r="AF507" s="741">
        <v>0</v>
      </c>
      <c r="AG507" s="741">
        <v>0</v>
      </c>
      <c r="AH507" s="741">
        <v>0</v>
      </c>
      <c r="AI507" s="741">
        <v>0</v>
      </c>
      <c r="AJ507" s="741">
        <v>0</v>
      </c>
      <c r="AK507" s="741">
        <v>0</v>
      </c>
      <c r="AL507" s="741">
        <v>0</v>
      </c>
      <c r="AM507" s="741">
        <v>0</v>
      </c>
      <c r="AN507" s="741">
        <v>0</v>
      </c>
      <c r="AO507" s="741">
        <v>0</v>
      </c>
      <c r="AP507" s="41" t="str">
        <f t="shared" si="125"/>
        <v>GLA</v>
      </c>
      <c r="AQ507" s="41" t="str">
        <f t="shared" si="126"/>
        <v>GLAA20</v>
      </c>
      <c r="AR507" s="41" t="str">
        <f t="shared" si="127"/>
        <v>A20</v>
      </c>
      <c r="CR507" s="625"/>
    </row>
    <row r="508" spans="1:96" s="41" customFormat="1" ht="12.75" customHeight="1">
      <c r="A508" s="442" t="s">
        <v>17</v>
      </c>
      <c r="B508" s="442" t="str">
        <f t="shared" si="137"/>
        <v>GL232240</v>
      </c>
      <c r="C508" s="638">
        <v>232240</v>
      </c>
      <c r="D508" s="735"/>
      <c r="E508" s="626"/>
      <c r="F508" s="441" t="s">
        <v>494</v>
      </c>
      <c r="G508" s="626"/>
      <c r="H508" s="736">
        <v>0</v>
      </c>
      <c r="I508" s="442"/>
      <c r="J508" s="442"/>
      <c r="K508" s="442" t="str">
        <f t="shared" si="136"/>
        <v/>
      </c>
      <c r="L508" s="736" t="s">
        <v>2421</v>
      </c>
      <c r="M508" s="442" t="str">
        <f t="shared" si="138"/>
        <v>N</v>
      </c>
      <c r="N508" s="442" t="str">
        <f>IF(L508&lt;&gt;"",VLOOKUP(L508,Categories!$B$2:$D$41,2,FALSE),IF(F508&lt;&gt;"","No Cat",""))</f>
        <v>NRBASE</v>
      </c>
      <c r="O508" s="442" t="str">
        <f>IF($L508&lt;&gt;"",VLOOKUP($L508,Categories!$B$2:$D$41,3,FALSE),IF($F508&lt;&gt;"","No Cat",""))</f>
        <v>Direct Assign Items Not in RB</v>
      </c>
      <c r="P508" s="736" t="s">
        <v>2468</v>
      </c>
      <c r="Q508" s="442" t="str">
        <f>VLOOKUP($P508,Allocators!$B$7:$F$19,5,FALSE)</f>
        <v>Not in Rate Base</v>
      </c>
      <c r="R508" s="737">
        <f>VLOOKUP($P508,Allocators!$B$7:$F$19,2,FALSE)</f>
        <v>0</v>
      </c>
      <c r="S508" s="737">
        <f>VLOOKUP($P508,Allocators!$B$7:$F$19,3,FALSE)</f>
        <v>0</v>
      </c>
      <c r="T508" s="737">
        <f t="shared" si="139"/>
        <v>1</v>
      </c>
      <c r="U508" s="2" t="str">
        <f t="shared" si="130"/>
        <v/>
      </c>
      <c r="V508" s="2" t="str">
        <f t="shared" si="131"/>
        <v/>
      </c>
      <c r="W508" s="2" t="str">
        <f t="shared" si="132"/>
        <v/>
      </c>
      <c r="X508" s="2">
        <f t="shared" si="128"/>
        <v>0</v>
      </c>
      <c r="Y508" s="2" t="str">
        <f t="shared" si="133"/>
        <v/>
      </c>
      <c r="Z508" s="2" t="str">
        <f t="shared" si="134"/>
        <v/>
      </c>
      <c r="AA508" s="2" t="str">
        <f t="shared" si="135"/>
        <v/>
      </c>
      <c r="AB508" s="2">
        <f t="shared" si="129"/>
        <v>0</v>
      </c>
      <c r="AC508" s="759">
        <v>0</v>
      </c>
      <c r="AD508" s="741">
        <v>0</v>
      </c>
      <c r="AE508" s="741">
        <v>0</v>
      </c>
      <c r="AF508" s="741">
        <v>0</v>
      </c>
      <c r="AG508" s="741">
        <v>0</v>
      </c>
      <c r="AH508" s="741">
        <v>0</v>
      </c>
      <c r="AI508" s="741">
        <v>0</v>
      </c>
      <c r="AJ508" s="741">
        <v>0</v>
      </c>
      <c r="AK508" s="741">
        <v>0</v>
      </c>
      <c r="AL508" s="741">
        <v>0</v>
      </c>
      <c r="AM508" s="741">
        <v>0</v>
      </c>
      <c r="AN508" s="741">
        <v>0</v>
      </c>
      <c r="AO508" s="741">
        <v>0</v>
      </c>
      <c r="AP508" s="41" t="str">
        <f t="shared" si="125"/>
        <v>GLN</v>
      </c>
      <c r="AQ508" s="41" t="str">
        <f t="shared" si="126"/>
        <v>GLNN20</v>
      </c>
      <c r="AR508" s="41" t="str">
        <f t="shared" si="127"/>
        <v>N20</v>
      </c>
    </row>
    <row r="509" spans="1:96" s="41" customFormat="1" ht="12.75" customHeight="1">
      <c r="A509" s="25" t="s">
        <v>17</v>
      </c>
      <c r="B509" s="25" t="str">
        <f t="shared" si="137"/>
        <v>GL232260</v>
      </c>
      <c r="C509" s="638">
        <v>232260</v>
      </c>
      <c r="D509" s="735"/>
      <c r="F509" s="1" t="s">
        <v>495</v>
      </c>
      <c r="H509" s="736" t="s">
        <v>2556</v>
      </c>
      <c r="I509" s="25"/>
      <c r="J509" s="25"/>
      <c r="K509" s="442" t="str">
        <f t="shared" si="136"/>
        <v/>
      </c>
      <c r="L509" s="736" t="s">
        <v>2393</v>
      </c>
      <c r="M509" s="25" t="str">
        <f t="shared" si="138"/>
        <v>A</v>
      </c>
      <c r="N509" s="25" t="str">
        <f>IF(L509&lt;&gt;"",VLOOKUP(L509,Categories!$B$2:$D$41,2,FALSE),IF(F509&lt;&gt;"","No Cat",""))</f>
        <v>All Other</v>
      </c>
      <c r="O509" s="25" t="str">
        <f>IF($L509&lt;&gt;"",VLOOKUP($L509,Categories!$B$2:$D$41,3,FALSE),IF($F509&lt;&gt;"","No Cat",""))</f>
        <v>EB-Cap</v>
      </c>
      <c r="P509" s="736" t="s">
        <v>2490</v>
      </c>
      <c r="Q509" s="25" t="str">
        <f>VLOOKUP($P509,Allocators!$B$7:$F$19,5,FALSE)</f>
        <v>Rate Base</v>
      </c>
      <c r="R509" s="737">
        <f>VLOOKUP($P509,Allocators!$B$7:$F$19,2,FALSE)</f>
        <v>0.70940000000000003</v>
      </c>
      <c r="S509" s="737">
        <f>VLOOKUP($P509,Allocators!$B$7:$F$19,3,FALSE)</f>
        <v>0.29060000000000002</v>
      </c>
      <c r="T509" s="737" t="str">
        <f t="shared" si="139"/>
        <v>0.0%</v>
      </c>
      <c r="U509" s="2">
        <f t="shared" si="130"/>
        <v>32.369576463083398</v>
      </c>
      <c r="V509" s="2">
        <f t="shared" si="131"/>
        <v>13.2599364535833</v>
      </c>
      <c r="W509" s="2">
        <f t="shared" si="132"/>
        <v>0</v>
      </c>
      <c r="X509" s="2">
        <f t="shared" si="128"/>
        <v>45.629512916666698</v>
      </c>
      <c r="Y509" s="2" t="str">
        <f t="shared" si="133"/>
        <v/>
      </c>
      <c r="Z509" s="2" t="str">
        <f t="shared" si="134"/>
        <v/>
      </c>
      <c r="AA509" s="2" t="str">
        <f t="shared" si="135"/>
        <v/>
      </c>
      <c r="AB509" s="2">
        <f t="shared" si="129"/>
        <v>0</v>
      </c>
      <c r="AC509" s="759">
        <v>16.377929999999999</v>
      </c>
      <c r="AD509" s="741">
        <v>20.289000000000001</v>
      </c>
      <c r="AE509" s="741">
        <v>24.491499999999998</v>
      </c>
      <c r="AF509" s="741">
        <v>26.216999999999999</v>
      </c>
      <c r="AG509" s="741">
        <v>16.949000000000002</v>
      </c>
      <c r="AH509" s="741">
        <v>21.4085</v>
      </c>
      <c r="AI509" s="741">
        <v>15.1455</v>
      </c>
      <c r="AJ509" s="741">
        <v>49.024000000000001</v>
      </c>
      <c r="AK509" s="741">
        <v>32.791499999999999</v>
      </c>
      <c r="AL509" s="741">
        <v>26.766999999999999</v>
      </c>
      <c r="AM509" s="741">
        <v>15.006</v>
      </c>
      <c r="AN509" s="741">
        <v>291.27618999999999</v>
      </c>
      <c r="AO509" s="741">
        <v>0</v>
      </c>
      <c r="AP509" s="41" t="str">
        <f t="shared" si="125"/>
        <v>GLA</v>
      </c>
      <c r="AQ509" s="41" t="str">
        <f t="shared" si="126"/>
        <v>GLAA2Accounts Payable</v>
      </c>
      <c r="AR509" s="41" t="str">
        <f t="shared" si="127"/>
        <v>A2Accounts Payable</v>
      </c>
      <c r="CR509" s="625"/>
    </row>
    <row r="510" spans="1:96" s="41" customFormat="1" ht="12.75" customHeight="1">
      <c r="A510" s="25" t="s">
        <v>17</v>
      </c>
      <c r="B510" s="25" t="str">
        <f t="shared" si="137"/>
        <v>GL232270</v>
      </c>
      <c r="C510" s="638">
        <v>232270</v>
      </c>
      <c r="D510" s="735"/>
      <c r="F510" s="1" t="s">
        <v>496</v>
      </c>
      <c r="H510" s="736" t="s">
        <v>2556</v>
      </c>
      <c r="I510" s="25"/>
      <c r="J510" s="25"/>
      <c r="K510" s="442" t="str">
        <f t="shared" si="136"/>
        <v/>
      </c>
      <c r="L510" s="736" t="s">
        <v>2393</v>
      </c>
      <c r="M510" s="25" t="str">
        <f t="shared" si="138"/>
        <v>A</v>
      </c>
      <c r="N510" s="25" t="str">
        <f>IF(L510&lt;&gt;"",VLOOKUP(L510,Categories!$B$2:$D$41,2,FALSE),IF(F510&lt;&gt;"","No Cat",""))</f>
        <v>All Other</v>
      </c>
      <c r="O510" s="25" t="str">
        <f>IF($L510&lt;&gt;"",VLOOKUP($L510,Categories!$B$2:$D$41,3,FALSE),IF($F510&lt;&gt;"","No Cat",""))</f>
        <v>EB-Cap</v>
      </c>
      <c r="P510" s="736" t="s">
        <v>2490</v>
      </c>
      <c r="Q510" s="25" t="str">
        <f>VLOOKUP($P510,Allocators!$B$7:$F$19,5,FALSE)</f>
        <v>Rate Base</v>
      </c>
      <c r="R510" s="737">
        <f>VLOOKUP($P510,Allocators!$B$7:$F$19,2,FALSE)</f>
        <v>0.70940000000000003</v>
      </c>
      <c r="S510" s="737">
        <f>VLOOKUP($P510,Allocators!$B$7:$F$19,3,FALSE)</f>
        <v>0.29060000000000002</v>
      </c>
      <c r="T510" s="737" t="str">
        <f t="shared" si="139"/>
        <v>0.0%</v>
      </c>
      <c r="U510" s="2">
        <f t="shared" si="130"/>
        <v>-0.16971330900000001</v>
      </c>
      <c r="V510" s="2">
        <f t="shared" si="131"/>
        <v>-6.9521690999999997E-2</v>
      </c>
      <c r="W510" s="2">
        <f t="shared" si="132"/>
        <v>0</v>
      </c>
      <c r="X510" s="2">
        <f t="shared" si="128"/>
        <v>-0.239235</v>
      </c>
      <c r="Y510" s="2" t="str">
        <f t="shared" si="133"/>
        <v/>
      </c>
      <c r="Z510" s="2" t="str">
        <f t="shared" si="134"/>
        <v/>
      </c>
      <c r="AA510" s="2" t="str">
        <f t="shared" si="135"/>
        <v/>
      </c>
      <c r="AB510" s="2">
        <f t="shared" si="129"/>
        <v>0</v>
      </c>
      <c r="AC510" s="759">
        <v>0</v>
      </c>
      <c r="AD510" s="741">
        <v>-2.8708200000000001</v>
      </c>
      <c r="AE510" s="741">
        <v>0</v>
      </c>
      <c r="AF510" s="741">
        <v>0</v>
      </c>
      <c r="AG510" s="741">
        <v>0</v>
      </c>
      <c r="AH510" s="741">
        <v>0</v>
      </c>
      <c r="AI510" s="741">
        <v>0</v>
      </c>
      <c r="AJ510" s="741">
        <v>0</v>
      </c>
      <c r="AK510" s="741">
        <v>0</v>
      </c>
      <c r="AL510" s="741">
        <v>0</v>
      </c>
      <c r="AM510" s="741">
        <v>0</v>
      </c>
      <c r="AN510" s="741">
        <v>0</v>
      </c>
      <c r="AO510" s="741">
        <v>0</v>
      </c>
      <c r="AP510" s="41" t="str">
        <f t="shared" si="125"/>
        <v>GLA</v>
      </c>
      <c r="AQ510" s="41" t="str">
        <f t="shared" si="126"/>
        <v>GLAA2Accounts Payable</v>
      </c>
      <c r="AR510" s="41" t="str">
        <f t="shared" si="127"/>
        <v>A2Accounts Payable</v>
      </c>
      <c r="CR510" s="625"/>
    </row>
    <row r="511" spans="1:96" s="41" customFormat="1" ht="12.75" customHeight="1">
      <c r="A511" s="25" t="s">
        <v>17</v>
      </c>
      <c r="B511" s="25" t="str">
        <f t="shared" si="137"/>
        <v>GL232310</v>
      </c>
      <c r="C511" s="638">
        <v>232310</v>
      </c>
      <c r="D511" s="735"/>
      <c r="F511" s="1" t="s">
        <v>497</v>
      </c>
      <c r="H511" s="736">
        <v>0</v>
      </c>
      <c r="I511" s="25"/>
      <c r="J511" s="25"/>
      <c r="K511" s="442" t="str">
        <f t="shared" si="136"/>
        <v/>
      </c>
      <c r="L511" s="736" t="s">
        <v>2393</v>
      </c>
      <c r="M511" s="25" t="str">
        <f t="shared" si="138"/>
        <v>A</v>
      </c>
      <c r="N511" s="25" t="str">
        <f>IF(L511&lt;&gt;"",VLOOKUP(L511,Categories!$B$2:$D$41,2,FALSE),IF(F511&lt;&gt;"","No Cat",""))</f>
        <v>All Other</v>
      </c>
      <c r="O511" s="25" t="str">
        <f>IF($L511&lt;&gt;"",VLOOKUP($L511,Categories!$B$2:$D$41,3,FALSE),IF($F511&lt;&gt;"","No Cat",""))</f>
        <v>EB-Cap</v>
      </c>
      <c r="P511" s="736" t="s">
        <v>2490</v>
      </c>
      <c r="Q511" s="25" t="str">
        <f>VLOOKUP($P511,Allocators!$B$7:$F$19,5,FALSE)</f>
        <v>Rate Base</v>
      </c>
      <c r="R511" s="737">
        <f>VLOOKUP($P511,Allocators!$B$7:$F$19,2,FALSE)</f>
        <v>0.70940000000000003</v>
      </c>
      <c r="S511" s="737">
        <f>VLOOKUP($P511,Allocators!$B$7:$F$19,3,FALSE)</f>
        <v>0.29060000000000002</v>
      </c>
      <c r="T511" s="737" t="str">
        <f t="shared" si="139"/>
        <v>0.0%</v>
      </c>
      <c r="U511" s="2" t="str">
        <f t="shared" si="130"/>
        <v/>
      </c>
      <c r="V511" s="2" t="str">
        <f t="shared" si="131"/>
        <v/>
      </c>
      <c r="W511" s="2" t="str">
        <f t="shared" si="132"/>
        <v/>
      </c>
      <c r="X511" s="2">
        <f t="shared" si="128"/>
        <v>0</v>
      </c>
      <c r="Y511" s="2" t="str">
        <f t="shared" si="133"/>
        <v/>
      </c>
      <c r="Z511" s="2" t="str">
        <f t="shared" si="134"/>
        <v/>
      </c>
      <c r="AA511" s="2" t="str">
        <f t="shared" si="135"/>
        <v/>
      </c>
      <c r="AB511" s="2">
        <f t="shared" si="129"/>
        <v>0</v>
      </c>
      <c r="AC511" s="759">
        <v>0</v>
      </c>
      <c r="AD511" s="741">
        <v>0</v>
      </c>
      <c r="AE511" s="741">
        <v>0</v>
      </c>
      <c r="AF511" s="741">
        <v>0</v>
      </c>
      <c r="AG511" s="741">
        <v>0</v>
      </c>
      <c r="AH511" s="741">
        <v>0</v>
      </c>
      <c r="AI511" s="741">
        <v>0</v>
      </c>
      <c r="AJ511" s="741">
        <v>0</v>
      </c>
      <c r="AK511" s="741">
        <v>0</v>
      </c>
      <c r="AL511" s="741">
        <v>0</v>
      </c>
      <c r="AM511" s="741">
        <v>0</v>
      </c>
      <c r="AN511" s="741">
        <v>0</v>
      </c>
      <c r="AO511" s="741">
        <v>0</v>
      </c>
      <c r="AP511" s="41" t="str">
        <f t="shared" si="125"/>
        <v>GLA</v>
      </c>
      <c r="AQ511" s="41" t="str">
        <f t="shared" si="126"/>
        <v>GLAA20</v>
      </c>
      <c r="AR511" s="41" t="str">
        <f t="shared" si="127"/>
        <v>A20</v>
      </c>
      <c r="CR511" s="625"/>
    </row>
    <row r="512" spans="1:96" s="41" customFormat="1" ht="12.75" customHeight="1">
      <c r="A512" s="25" t="s">
        <v>17</v>
      </c>
      <c r="B512" s="25" t="str">
        <f t="shared" si="137"/>
        <v>GL232315</v>
      </c>
      <c r="C512" s="638">
        <v>232315</v>
      </c>
      <c r="D512" s="735"/>
      <c r="F512" s="1" t="s">
        <v>498</v>
      </c>
      <c r="H512" s="736">
        <v>0</v>
      </c>
      <c r="I512" s="25"/>
      <c r="J512" s="25"/>
      <c r="K512" s="442" t="str">
        <f t="shared" si="136"/>
        <v/>
      </c>
      <c r="L512" s="736" t="s">
        <v>2393</v>
      </c>
      <c r="M512" s="25" t="str">
        <f t="shared" si="138"/>
        <v>A</v>
      </c>
      <c r="N512" s="25" t="str">
        <f>IF(L512&lt;&gt;"",VLOOKUP(L512,Categories!$B$2:$D$41,2,FALSE),IF(F512&lt;&gt;"","No Cat",""))</f>
        <v>All Other</v>
      </c>
      <c r="O512" s="25" t="str">
        <f>IF($L512&lt;&gt;"",VLOOKUP($L512,Categories!$B$2:$D$41,3,FALSE),IF($F512&lt;&gt;"","No Cat",""))</f>
        <v>EB-Cap</v>
      </c>
      <c r="P512" s="736" t="s">
        <v>2490</v>
      </c>
      <c r="Q512" s="25" t="str">
        <f>VLOOKUP($P512,Allocators!$B$7:$F$19,5,FALSE)</f>
        <v>Rate Base</v>
      </c>
      <c r="R512" s="737">
        <f>VLOOKUP($P512,Allocators!$B$7:$F$19,2,FALSE)</f>
        <v>0.70940000000000003</v>
      </c>
      <c r="S512" s="737">
        <f>VLOOKUP($P512,Allocators!$B$7:$F$19,3,FALSE)</f>
        <v>0.29060000000000002</v>
      </c>
      <c r="T512" s="737" t="str">
        <f t="shared" si="139"/>
        <v>0.0%</v>
      </c>
      <c r="U512" s="2" t="str">
        <f t="shared" si="130"/>
        <v/>
      </c>
      <c r="V512" s="2" t="str">
        <f t="shared" si="131"/>
        <v/>
      </c>
      <c r="W512" s="2" t="str">
        <f t="shared" si="132"/>
        <v/>
      </c>
      <c r="X512" s="2">
        <f t="shared" si="128"/>
        <v>0</v>
      </c>
      <c r="Y512" s="2" t="str">
        <f t="shared" si="133"/>
        <v/>
      </c>
      <c r="Z512" s="2" t="str">
        <f t="shared" si="134"/>
        <v/>
      </c>
      <c r="AA512" s="2" t="str">
        <f t="shared" si="135"/>
        <v/>
      </c>
      <c r="AB512" s="2">
        <f t="shared" si="129"/>
        <v>0</v>
      </c>
      <c r="AC512" s="759">
        <v>0</v>
      </c>
      <c r="AD512" s="741">
        <v>0</v>
      </c>
      <c r="AE512" s="741">
        <v>0</v>
      </c>
      <c r="AF512" s="741">
        <v>0</v>
      </c>
      <c r="AG512" s="741">
        <v>0</v>
      </c>
      <c r="AH512" s="741">
        <v>0</v>
      </c>
      <c r="AI512" s="741">
        <v>0</v>
      </c>
      <c r="AJ512" s="741">
        <v>0</v>
      </c>
      <c r="AK512" s="741">
        <v>0</v>
      </c>
      <c r="AL512" s="741">
        <v>0</v>
      </c>
      <c r="AM512" s="741">
        <v>0</v>
      </c>
      <c r="AN512" s="741">
        <v>0</v>
      </c>
      <c r="AO512" s="741">
        <v>0</v>
      </c>
      <c r="AP512" s="41" t="str">
        <f t="shared" si="125"/>
        <v>GLA</v>
      </c>
      <c r="AQ512" s="41" t="str">
        <f t="shared" si="126"/>
        <v>GLAA20</v>
      </c>
      <c r="AR512" s="41" t="str">
        <f t="shared" si="127"/>
        <v>A20</v>
      </c>
      <c r="CR512" s="625"/>
    </row>
    <row r="513" spans="1:96" s="41" customFormat="1" ht="12.75" customHeight="1">
      <c r="A513" s="25" t="s">
        <v>17</v>
      </c>
      <c r="B513" s="25" t="str">
        <f t="shared" si="137"/>
        <v>GL232410</v>
      </c>
      <c r="C513" s="638">
        <v>232410</v>
      </c>
      <c r="D513" s="735"/>
      <c r="F513" s="1" t="s">
        <v>499</v>
      </c>
      <c r="H513" s="736">
        <v>0</v>
      </c>
      <c r="I513" s="25"/>
      <c r="J513" s="25"/>
      <c r="K513" s="442" t="str">
        <f t="shared" si="136"/>
        <v/>
      </c>
      <c r="L513" s="736" t="s">
        <v>2393</v>
      </c>
      <c r="M513" s="25" t="str">
        <f t="shared" si="138"/>
        <v>A</v>
      </c>
      <c r="N513" s="25" t="str">
        <f>IF(L513&lt;&gt;"",VLOOKUP(L513,Categories!$B$2:$D$41,2,FALSE),IF(F513&lt;&gt;"","No Cat",""))</f>
        <v>All Other</v>
      </c>
      <c r="O513" s="25" t="str">
        <f>IF($L513&lt;&gt;"",VLOOKUP($L513,Categories!$B$2:$D$41,3,FALSE),IF($F513&lt;&gt;"","No Cat",""))</f>
        <v>EB-Cap</v>
      </c>
      <c r="P513" s="736" t="s">
        <v>2490</v>
      </c>
      <c r="Q513" s="25" t="str">
        <f>VLOOKUP($P513,Allocators!$B$7:$F$19,5,FALSE)</f>
        <v>Rate Base</v>
      </c>
      <c r="R513" s="737">
        <f>VLOOKUP($P513,Allocators!$B$7:$F$19,2,FALSE)</f>
        <v>0.70940000000000003</v>
      </c>
      <c r="S513" s="737">
        <f>VLOOKUP($P513,Allocators!$B$7:$F$19,3,FALSE)</f>
        <v>0.29060000000000002</v>
      </c>
      <c r="T513" s="737" t="str">
        <f t="shared" si="139"/>
        <v>0.0%</v>
      </c>
      <c r="U513" s="2" t="str">
        <f t="shared" si="130"/>
        <v/>
      </c>
      <c r="V513" s="2" t="str">
        <f t="shared" si="131"/>
        <v/>
      </c>
      <c r="W513" s="2" t="str">
        <f t="shared" si="132"/>
        <v/>
      </c>
      <c r="X513" s="2">
        <f t="shared" si="128"/>
        <v>0</v>
      </c>
      <c r="Y513" s="2" t="str">
        <f t="shared" si="133"/>
        <v/>
      </c>
      <c r="Z513" s="2" t="str">
        <f t="shared" si="134"/>
        <v/>
      </c>
      <c r="AA513" s="2" t="str">
        <f t="shared" si="135"/>
        <v/>
      </c>
      <c r="AB513" s="2">
        <f t="shared" si="129"/>
        <v>0</v>
      </c>
      <c r="AC513" s="759">
        <v>0</v>
      </c>
      <c r="AD513" s="741">
        <v>0</v>
      </c>
      <c r="AE513" s="741">
        <v>0</v>
      </c>
      <c r="AF513" s="741">
        <v>0</v>
      </c>
      <c r="AG513" s="741">
        <v>0</v>
      </c>
      <c r="AH513" s="741">
        <v>0</v>
      </c>
      <c r="AI513" s="741">
        <v>0</v>
      </c>
      <c r="AJ513" s="741">
        <v>0</v>
      </c>
      <c r="AK513" s="741">
        <v>0</v>
      </c>
      <c r="AL513" s="741">
        <v>0</v>
      </c>
      <c r="AM513" s="741">
        <v>0</v>
      </c>
      <c r="AN513" s="741">
        <v>0</v>
      </c>
      <c r="AO513" s="741">
        <v>0</v>
      </c>
      <c r="AP513" s="41" t="str">
        <f t="shared" si="125"/>
        <v>GLA</v>
      </c>
      <c r="AQ513" s="41" t="str">
        <f t="shared" si="126"/>
        <v>GLAA20</v>
      </c>
      <c r="AR513" s="41" t="str">
        <f t="shared" si="127"/>
        <v>A20</v>
      </c>
      <c r="CR513" s="625"/>
    </row>
    <row r="514" spans="1:96" s="41" customFormat="1" ht="12.75" customHeight="1">
      <c r="A514" s="25" t="s">
        <v>17</v>
      </c>
      <c r="B514" s="25" t="str">
        <f t="shared" si="137"/>
        <v>GL232500</v>
      </c>
      <c r="C514" s="638">
        <v>232500</v>
      </c>
      <c r="D514" s="735"/>
      <c r="F514" s="1" t="s">
        <v>500</v>
      </c>
      <c r="H514" s="736" t="s">
        <v>2556</v>
      </c>
      <c r="I514" s="25"/>
      <c r="J514" s="25"/>
      <c r="K514" s="442" t="str">
        <f t="shared" si="136"/>
        <v/>
      </c>
      <c r="L514" s="736" t="s">
        <v>2393</v>
      </c>
      <c r="M514" s="25" t="str">
        <f t="shared" si="138"/>
        <v>A</v>
      </c>
      <c r="N514" s="25" t="str">
        <f>IF(L514&lt;&gt;"",VLOOKUP(L514,Categories!$B$2:$D$41,2,FALSE),IF(F514&lt;&gt;"","No Cat",""))</f>
        <v>All Other</v>
      </c>
      <c r="O514" s="25" t="str">
        <f>IF($L514&lt;&gt;"",VLOOKUP($L514,Categories!$B$2:$D$41,3,FALSE),IF($F514&lt;&gt;"","No Cat",""))</f>
        <v>EB-Cap</v>
      </c>
      <c r="P514" s="736" t="s">
        <v>2490</v>
      </c>
      <c r="Q514" s="25" t="str">
        <f>VLOOKUP($P514,Allocators!$B$7:$F$19,5,FALSE)</f>
        <v>Rate Base</v>
      </c>
      <c r="R514" s="737">
        <f>VLOOKUP($P514,Allocators!$B$7:$F$19,2,FALSE)</f>
        <v>0.70940000000000003</v>
      </c>
      <c r="S514" s="737">
        <f>VLOOKUP($P514,Allocators!$B$7:$F$19,3,FALSE)</f>
        <v>0.29060000000000002</v>
      </c>
      <c r="T514" s="737" t="str">
        <f t="shared" si="139"/>
        <v>0.0%</v>
      </c>
      <c r="U514" s="2" t="str">
        <f t="shared" si="130"/>
        <v/>
      </c>
      <c r="V514" s="2" t="str">
        <f t="shared" si="131"/>
        <v/>
      </c>
      <c r="W514" s="2" t="str">
        <f t="shared" si="132"/>
        <v/>
      </c>
      <c r="X514" s="2">
        <f t="shared" si="128"/>
        <v>0</v>
      </c>
      <c r="Y514" s="2" t="str">
        <f t="shared" si="133"/>
        <v/>
      </c>
      <c r="Z514" s="2" t="str">
        <f t="shared" si="134"/>
        <v/>
      </c>
      <c r="AA514" s="2" t="str">
        <f t="shared" si="135"/>
        <v/>
      </c>
      <c r="AB514" s="2">
        <f t="shared" si="129"/>
        <v>0</v>
      </c>
      <c r="AC514" s="759">
        <v>0</v>
      </c>
      <c r="AD514" s="741">
        <v>0</v>
      </c>
      <c r="AE514" s="741">
        <v>0</v>
      </c>
      <c r="AF514" s="741">
        <v>0</v>
      </c>
      <c r="AG514" s="741">
        <v>0</v>
      </c>
      <c r="AH514" s="741">
        <v>0</v>
      </c>
      <c r="AI514" s="741">
        <v>0</v>
      </c>
      <c r="AJ514" s="741">
        <v>0</v>
      </c>
      <c r="AK514" s="741">
        <v>0</v>
      </c>
      <c r="AL514" s="741">
        <v>0</v>
      </c>
      <c r="AM514" s="741">
        <v>0</v>
      </c>
      <c r="AN514" s="741">
        <v>0</v>
      </c>
      <c r="AO514" s="741">
        <v>0</v>
      </c>
      <c r="AP514" s="41" t="str">
        <f t="shared" si="125"/>
        <v>GLA</v>
      </c>
      <c r="AQ514" s="41" t="str">
        <f t="shared" si="126"/>
        <v>GLAA2Accounts Payable</v>
      </c>
      <c r="AR514" s="41" t="str">
        <f t="shared" si="127"/>
        <v>A2Accounts Payable</v>
      </c>
      <c r="CR514" s="625"/>
    </row>
    <row r="515" spans="1:96" s="41" customFormat="1" ht="12.75" customHeight="1">
      <c r="A515" s="25" t="s">
        <v>17</v>
      </c>
      <c r="B515" s="25" t="str">
        <f t="shared" si="137"/>
        <v>GL232507</v>
      </c>
      <c r="C515" s="638">
        <v>232507</v>
      </c>
      <c r="D515" s="735"/>
      <c r="F515" s="1" t="s">
        <v>501</v>
      </c>
      <c r="H515" s="736" t="s">
        <v>2556</v>
      </c>
      <c r="I515" s="25"/>
      <c r="J515" s="25"/>
      <c r="K515" s="442" t="str">
        <f t="shared" si="136"/>
        <v/>
      </c>
      <c r="L515" s="736" t="s">
        <v>2393</v>
      </c>
      <c r="M515" s="25" t="str">
        <f t="shared" si="138"/>
        <v>A</v>
      </c>
      <c r="N515" s="25" t="str">
        <f>IF(L515&lt;&gt;"",VLOOKUP(L515,Categories!$B$2:$D$41,2,FALSE),IF(F515&lt;&gt;"","No Cat",""))</f>
        <v>All Other</v>
      </c>
      <c r="O515" s="25" t="str">
        <f>IF($L515&lt;&gt;"",VLOOKUP($L515,Categories!$B$2:$D$41,3,FALSE),IF($F515&lt;&gt;"","No Cat",""))</f>
        <v>EB-Cap</v>
      </c>
      <c r="P515" s="736" t="s">
        <v>2490</v>
      </c>
      <c r="Q515" s="25" t="str">
        <f>VLOOKUP($P515,Allocators!$B$7:$F$19,5,FALSE)</f>
        <v>Rate Base</v>
      </c>
      <c r="R515" s="737">
        <f>VLOOKUP($P515,Allocators!$B$7:$F$19,2,FALSE)</f>
        <v>0.70940000000000003</v>
      </c>
      <c r="S515" s="737">
        <f>VLOOKUP($P515,Allocators!$B$7:$F$19,3,FALSE)</f>
        <v>0.29060000000000002</v>
      </c>
      <c r="T515" s="737" t="str">
        <f t="shared" si="139"/>
        <v>0.0%</v>
      </c>
      <c r="U515" s="2" t="str">
        <f t="shared" si="130"/>
        <v/>
      </c>
      <c r="V515" s="2" t="str">
        <f t="shared" si="131"/>
        <v/>
      </c>
      <c r="W515" s="2" t="str">
        <f t="shared" si="132"/>
        <v/>
      </c>
      <c r="X515" s="2">
        <f t="shared" si="128"/>
        <v>0</v>
      </c>
      <c r="Y515" s="2" t="str">
        <f t="shared" si="133"/>
        <v/>
      </c>
      <c r="Z515" s="2" t="str">
        <f t="shared" si="134"/>
        <v/>
      </c>
      <c r="AA515" s="2" t="str">
        <f t="shared" si="135"/>
        <v/>
      </c>
      <c r="AB515" s="2">
        <f t="shared" si="129"/>
        <v>0</v>
      </c>
      <c r="AC515" s="759">
        <v>0</v>
      </c>
      <c r="AD515" s="741">
        <v>0</v>
      </c>
      <c r="AE515" s="741">
        <v>0</v>
      </c>
      <c r="AF515" s="741">
        <v>0</v>
      </c>
      <c r="AG515" s="741">
        <v>0</v>
      </c>
      <c r="AH515" s="741">
        <v>0</v>
      </c>
      <c r="AI515" s="741">
        <v>0</v>
      </c>
      <c r="AJ515" s="741">
        <v>0</v>
      </c>
      <c r="AK515" s="741">
        <v>0</v>
      </c>
      <c r="AL515" s="741">
        <v>0</v>
      </c>
      <c r="AM515" s="741">
        <v>0</v>
      </c>
      <c r="AN515" s="741">
        <v>0</v>
      </c>
      <c r="AO515" s="741">
        <v>0</v>
      </c>
      <c r="AP515" s="41" t="str">
        <f t="shared" si="125"/>
        <v>GLA</v>
      </c>
      <c r="AQ515" s="41" t="str">
        <f t="shared" si="126"/>
        <v>GLAA2Accounts Payable</v>
      </c>
      <c r="AR515" s="41" t="str">
        <f t="shared" si="127"/>
        <v>A2Accounts Payable</v>
      </c>
      <c r="CR515" s="625"/>
    </row>
    <row r="516" spans="1:96" s="41" customFormat="1" ht="12.75" customHeight="1">
      <c r="A516" s="25" t="s">
        <v>17</v>
      </c>
      <c r="B516" s="25" t="str">
        <f t="shared" si="137"/>
        <v>GL232509</v>
      </c>
      <c r="C516" s="638">
        <v>232509</v>
      </c>
      <c r="D516" s="735"/>
      <c r="F516" s="1" t="s">
        <v>502</v>
      </c>
      <c r="H516" s="736" t="s">
        <v>2556</v>
      </c>
      <c r="I516" s="25"/>
      <c r="J516" s="25"/>
      <c r="K516" s="442" t="str">
        <f t="shared" si="136"/>
        <v/>
      </c>
      <c r="L516" s="736" t="s">
        <v>2393</v>
      </c>
      <c r="M516" s="25" t="str">
        <f t="shared" si="138"/>
        <v>A</v>
      </c>
      <c r="N516" s="25" t="str">
        <f>IF(L516&lt;&gt;"",VLOOKUP(L516,Categories!$B$2:$D$41,2,FALSE),IF(F516&lt;&gt;"","No Cat",""))</f>
        <v>All Other</v>
      </c>
      <c r="O516" s="25" t="str">
        <f>IF($L516&lt;&gt;"",VLOOKUP($L516,Categories!$B$2:$D$41,3,FALSE),IF($F516&lt;&gt;"","No Cat",""))</f>
        <v>EB-Cap</v>
      </c>
      <c r="P516" s="736" t="s">
        <v>2490</v>
      </c>
      <c r="Q516" s="25" t="str">
        <f>VLOOKUP($P516,Allocators!$B$7:$F$19,5,FALSE)</f>
        <v>Rate Base</v>
      </c>
      <c r="R516" s="737">
        <f>VLOOKUP($P516,Allocators!$B$7:$F$19,2,FALSE)</f>
        <v>0.70940000000000003</v>
      </c>
      <c r="S516" s="737">
        <f>VLOOKUP($P516,Allocators!$B$7:$F$19,3,FALSE)</f>
        <v>0.29060000000000002</v>
      </c>
      <c r="T516" s="737" t="str">
        <f t="shared" si="139"/>
        <v>0.0%</v>
      </c>
      <c r="U516" s="2" t="str">
        <f t="shared" si="130"/>
        <v/>
      </c>
      <c r="V516" s="2" t="str">
        <f t="shared" si="131"/>
        <v/>
      </c>
      <c r="W516" s="2" t="str">
        <f t="shared" si="132"/>
        <v/>
      </c>
      <c r="X516" s="2">
        <f t="shared" si="128"/>
        <v>0</v>
      </c>
      <c r="Y516" s="2" t="str">
        <f t="shared" si="133"/>
        <v/>
      </c>
      <c r="Z516" s="2" t="str">
        <f t="shared" si="134"/>
        <v/>
      </c>
      <c r="AA516" s="2" t="str">
        <f t="shared" si="135"/>
        <v/>
      </c>
      <c r="AB516" s="2">
        <f t="shared" si="129"/>
        <v>0</v>
      </c>
      <c r="AC516" s="759">
        <v>0</v>
      </c>
      <c r="AD516" s="741">
        <v>0</v>
      </c>
      <c r="AE516" s="741">
        <v>0</v>
      </c>
      <c r="AF516" s="741">
        <v>0</v>
      </c>
      <c r="AG516" s="741">
        <v>0</v>
      </c>
      <c r="AH516" s="741">
        <v>0</v>
      </c>
      <c r="AI516" s="741">
        <v>0</v>
      </c>
      <c r="AJ516" s="741">
        <v>0</v>
      </c>
      <c r="AK516" s="741">
        <v>0</v>
      </c>
      <c r="AL516" s="741">
        <v>0</v>
      </c>
      <c r="AM516" s="741">
        <v>0</v>
      </c>
      <c r="AN516" s="741">
        <v>0</v>
      </c>
      <c r="AO516" s="741">
        <v>0</v>
      </c>
      <c r="AP516" s="41" t="str">
        <f t="shared" si="125"/>
        <v>GLA</v>
      </c>
      <c r="AQ516" s="41" t="str">
        <f t="shared" si="126"/>
        <v>GLAA2Accounts Payable</v>
      </c>
      <c r="AR516" s="41" t="str">
        <f t="shared" si="127"/>
        <v>A2Accounts Payable</v>
      </c>
      <c r="CR516" s="625"/>
    </row>
    <row r="517" spans="1:96" s="41" customFormat="1" ht="12.75" customHeight="1">
      <c r="A517" s="25" t="s">
        <v>17</v>
      </c>
      <c r="B517" s="25" t="str">
        <f t="shared" si="137"/>
        <v>GL232515</v>
      </c>
      <c r="C517" s="638">
        <v>232515</v>
      </c>
      <c r="D517" s="735"/>
      <c r="F517" s="1" t="s">
        <v>503</v>
      </c>
      <c r="H517" s="736" t="s">
        <v>2556</v>
      </c>
      <c r="I517" s="25"/>
      <c r="J517" s="25"/>
      <c r="K517" s="442" t="str">
        <f t="shared" si="136"/>
        <v/>
      </c>
      <c r="L517" s="736" t="s">
        <v>2393</v>
      </c>
      <c r="M517" s="25" t="str">
        <f t="shared" si="138"/>
        <v>A</v>
      </c>
      <c r="N517" s="25" t="str">
        <f>IF(L517&lt;&gt;"",VLOOKUP(L517,Categories!$B$2:$D$41,2,FALSE),IF(F517&lt;&gt;"","No Cat",""))</f>
        <v>All Other</v>
      </c>
      <c r="O517" s="25" t="str">
        <f>IF($L517&lt;&gt;"",VLOOKUP($L517,Categories!$B$2:$D$41,3,FALSE),IF($F517&lt;&gt;"","No Cat",""))</f>
        <v>EB-Cap</v>
      </c>
      <c r="P517" s="736" t="s">
        <v>2490</v>
      </c>
      <c r="Q517" s="25" t="str">
        <f>VLOOKUP($P517,Allocators!$B$7:$F$19,5,FALSE)</f>
        <v>Rate Base</v>
      </c>
      <c r="R517" s="737">
        <f>VLOOKUP($P517,Allocators!$B$7:$F$19,2,FALSE)</f>
        <v>0.70940000000000003</v>
      </c>
      <c r="S517" s="737">
        <f>VLOOKUP($P517,Allocators!$B$7:$F$19,3,FALSE)</f>
        <v>0.29060000000000002</v>
      </c>
      <c r="T517" s="737" t="str">
        <f t="shared" si="139"/>
        <v>0.0%</v>
      </c>
      <c r="U517" s="2" t="str">
        <f t="shared" si="130"/>
        <v/>
      </c>
      <c r="V517" s="2" t="str">
        <f t="shared" si="131"/>
        <v/>
      </c>
      <c r="W517" s="2" t="str">
        <f t="shared" si="132"/>
        <v/>
      </c>
      <c r="X517" s="2">
        <f t="shared" si="128"/>
        <v>0</v>
      </c>
      <c r="Y517" s="2" t="str">
        <f t="shared" si="133"/>
        <v/>
      </c>
      <c r="Z517" s="2" t="str">
        <f t="shared" si="134"/>
        <v/>
      </c>
      <c r="AA517" s="2" t="str">
        <f t="shared" si="135"/>
        <v/>
      </c>
      <c r="AB517" s="2">
        <f t="shared" si="129"/>
        <v>0</v>
      </c>
      <c r="AC517" s="759">
        <v>0</v>
      </c>
      <c r="AD517" s="741">
        <v>0</v>
      </c>
      <c r="AE517" s="741">
        <v>0</v>
      </c>
      <c r="AF517" s="741">
        <v>0</v>
      </c>
      <c r="AG517" s="741">
        <v>0</v>
      </c>
      <c r="AH517" s="741">
        <v>0</v>
      </c>
      <c r="AI517" s="741">
        <v>0</v>
      </c>
      <c r="AJ517" s="741">
        <v>0</v>
      </c>
      <c r="AK517" s="741">
        <v>0</v>
      </c>
      <c r="AL517" s="741">
        <v>0</v>
      </c>
      <c r="AM517" s="741">
        <v>0</v>
      </c>
      <c r="AN517" s="741">
        <v>0</v>
      </c>
      <c r="AO517" s="741">
        <v>0</v>
      </c>
      <c r="AP517" s="41" t="str">
        <f t="shared" si="125"/>
        <v>GLA</v>
      </c>
      <c r="AQ517" s="41" t="str">
        <f t="shared" si="126"/>
        <v>GLAA2Accounts Payable</v>
      </c>
      <c r="AR517" s="41" t="str">
        <f t="shared" si="127"/>
        <v>A2Accounts Payable</v>
      </c>
      <c r="CR517" s="625"/>
    </row>
    <row r="518" spans="1:96" s="41" customFormat="1" ht="12.75" customHeight="1">
      <c r="A518" s="25" t="s">
        <v>17</v>
      </c>
      <c r="B518" s="25" t="str">
        <f t="shared" si="137"/>
        <v>GL232970</v>
      </c>
      <c r="C518" s="638">
        <v>232970</v>
      </c>
      <c r="D518" s="735"/>
      <c r="F518" s="1" t="s">
        <v>504</v>
      </c>
      <c r="H518" s="736">
        <v>0</v>
      </c>
      <c r="I518" s="25"/>
      <c r="J518" s="25"/>
      <c r="K518" s="442" t="str">
        <f t="shared" si="136"/>
        <v/>
      </c>
      <c r="L518" s="736" t="s">
        <v>2393</v>
      </c>
      <c r="M518" s="25" t="str">
        <f t="shared" si="138"/>
        <v>A</v>
      </c>
      <c r="N518" s="25" t="str">
        <f>IF(L518&lt;&gt;"",VLOOKUP(L518,Categories!$B$2:$D$41,2,FALSE),IF(F518&lt;&gt;"","No Cat",""))</f>
        <v>All Other</v>
      </c>
      <c r="O518" s="25" t="str">
        <f>IF($L518&lt;&gt;"",VLOOKUP($L518,Categories!$B$2:$D$41,3,FALSE),IF($F518&lt;&gt;"","No Cat",""))</f>
        <v>EB-Cap</v>
      </c>
      <c r="P518" s="736" t="s">
        <v>2490</v>
      </c>
      <c r="Q518" s="25" t="str">
        <f>VLOOKUP($P518,Allocators!$B$7:$F$19,5,FALSE)</f>
        <v>Rate Base</v>
      </c>
      <c r="R518" s="737">
        <f>VLOOKUP($P518,Allocators!$B$7:$F$19,2,FALSE)</f>
        <v>0.70940000000000003</v>
      </c>
      <c r="S518" s="737">
        <f>VLOOKUP($P518,Allocators!$B$7:$F$19,3,FALSE)</f>
        <v>0.29060000000000002</v>
      </c>
      <c r="T518" s="737" t="str">
        <f t="shared" si="139"/>
        <v>0.0%</v>
      </c>
      <c r="U518" s="2">
        <f t="shared" si="130"/>
        <v>-13351.376072761001</v>
      </c>
      <c r="V518" s="2">
        <f t="shared" si="131"/>
        <v>-5469.2837422390003</v>
      </c>
      <c r="W518" s="2">
        <f t="shared" si="132"/>
        <v>0</v>
      </c>
      <c r="X518" s="2">
        <f t="shared" si="128"/>
        <v>-18820.659814999999</v>
      </c>
      <c r="Y518" s="2">
        <f t="shared" si="133"/>
        <v>-14252.721917462</v>
      </c>
      <c r="Z518" s="2">
        <f t="shared" si="134"/>
        <v>-5838.5128125379997</v>
      </c>
      <c r="AA518" s="2">
        <f t="shared" si="135"/>
        <v>0</v>
      </c>
      <c r="AB518" s="2">
        <f t="shared" si="129"/>
        <v>-20091.23473</v>
      </c>
      <c r="AC518" s="759">
        <v>-27083.299609999998</v>
      </c>
      <c r="AD518" s="741">
        <v>-16047.333130000001</v>
      </c>
      <c r="AE518" s="741">
        <v>-13585.957640000001</v>
      </c>
      <c r="AF518" s="741">
        <v>-11411.27398</v>
      </c>
      <c r="AG518" s="741">
        <v>-25095.690870000002</v>
      </c>
      <c r="AH518" s="741">
        <v>-17262.796050000001</v>
      </c>
      <c r="AI518" s="741">
        <v>-19617.643949999998</v>
      </c>
      <c r="AJ518" s="741">
        <v>-22301.395489999999</v>
      </c>
      <c r="AK518" s="741">
        <v>-17815.710649999997</v>
      </c>
      <c r="AL518" s="741">
        <v>-21578.342100000002</v>
      </c>
      <c r="AM518" s="741">
        <v>-18370.896699999998</v>
      </c>
      <c r="AN518" s="741">
        <v>-19173.610049999999</v>
      </c>
      <c r="AO518" s="741">
        <v>-20091.23473</v>
      </c>
      <c r="AP518" s="41" t="str">
        <f t="shared" si="125"/>
        <v>GLA</v>
      </c>
      <c r="AQ518" s="41" t="str">
        <f t="shared" si="126"/>
        <v>GLAA20</v>
      </c>
      <c r="AR518" s="41" t="str">
        <f t="shared" si="127"/>
        <v>A20</v>
      </c>
      <c r="CR518" s="625"/>
    </row>
    <row r="519" spans="1:96" s="41" customFormat="1" ht="12.75" customHeight="1">
      <c r="A519" s="442" t="s">
        <v>17</v>
      </c>
      <c r="B519" s="442" t="str">
        <f t="shared" si="137"/>
        <v>GL234030</v>
      </c>
      <c r="C519" s="638">
        <v>234030</v>
      </c>
      <c r="D519" s="735"/>
      <c r="E519" s="626"/>
      <c r="F519" s="441" t="s">
        <v>505</v>
      </c>
      <c r="G519" s="626"/>
      <c r="H519" s="736">
        <v>0</v>
      </c>
      <c r="I519" s="442"/>
      <c r="J519" s="442"/>
      <c r="K519" s="442" t="str">
        <f t="shared" si="136"/>
        <v/>
      </c>
      <c r="L519" s="736" t="s">
        <v>2421</v>
      </c>
      <c r="M519" s="442" t="str">
        <f t="shared" si="138"/>
        <v>N</v>
      </c>
      <c r="N519" s="442" t="str">
        <f>IF(L519&lt;&gt;"",VLOOKUP(L519,Categories!$B$2:$D$41,2,FALSE),IF(F519&lt;&gt;"","No Cat",""))</f>
        <v>NRBASE</v>
      </c>
      <c r="O519" s="442" t="str">
        <f>IF($L519&lt;&gt;"",VLOOKUP($L519,Categories!$B$2:$D$41,3,FALSE),IF($F519&lt;&gt;"","No Cat",""))</f>
        <v>Direct Assign Items Not in RB</v>
      </c>
      <c r="P519" s="736" t="s">
        <v>2468</v>
      </c>
      <c r="Q519" s="442" t="str">
        <f>VLOOKUP($P519,Allocators!$B$7:$F$19,5,FALSE)</f>
        <v>Not in Rate Base</v>
      </c>
      <c r="R519" s="737">
        <f>VLOOKUP($P519,Allocators!$B$7:$F$19,2,FALSE)</f>
        <v>0</v>
      </c>
      <c r="S519" s="737">
        <f>VLOOKUP($P519,Allocators!$B$7:$F$19,3,FALSE)</f>
        <v>0</v>
      </c>
      <c r="T519" s="737">
        <f t="shared" si="139"/>
        <v>1</v>
      </c>
      <c r="U519" s="2" t="str">
        <f t="shared" si="130"/>
        <v/>
      </c>
      <c r="V519" s="2" t="str">
        <f t="shared" si="131"/>
        <v/>
      </c>
      <c r="W519" s="2" t="str">
        <f t="shared" si="132"/>
        <v/>
      </c>
      <c r="X519" s="2">
        <f t="shared" si="128"/>
        <v>0</v>
      </c>
      <c r="Y519" s="2" t="str">
        <f t="shared" si="133"/>
        <v/>
      </c>
      <c r="Z519" s="2" t="str">
        <f t="shared" si="134"/>
        <v/>
      </c>
      <c r="AA519" s="2" t="str">
        <f t="shared" si="135"/>
        <v/>
      </c>
      <c r="AB519" s="2">
        <f t="shared" si="129"/>
        <v>0</v>
      </c>
      <c r="AC519" s="759">
        <v>0</v>
      </c>
      <c r="AD519" s="741">
        <v>0</v>
      </c>
      <c r="AE519" s="741">
        <v>0</v>
      </c>
      <c r="AF519" s="741">
        <v>0</v>
      </c>
      <c r="AG519" s="741">
        <v>0</v>
      </c>
      <c r="AH519" s="741">
        <v>0</v>
      </c>
      <c r="AI519" s="741">
        <v>0</v>
      </c>
      <c r="AJ519" s="741">
        <v>0</v>
      </c>
      <c r="AK519" s="741">
        <v>0</v>
      </c>
      <c r="AL519" s="741">
        <v>0</v>
      </c>
      <c r="AM519" s="741">
        <v>0</v>
      </c>
      <c r="AN519" s="741">
        <v>0</v>
      </c>
      <c r="AO519" s="741">
        <v>0</v>
      </c>
      <c r="AP519" s="41" t="str">
        <f t="shared" ref="AP519:AP582" si="140">CONCATENATE(A519,M519)</f>
        <v>GLN</v>
      </c>
      <c r="AQ519" s="41" t="str">
        <f t="shared" ref="AQ519:AQ582" si="141">CONCATENATE(AP519,L519,H519)</f>
        <v>GLNN20</v>
      </c>
      <c r="AR519" s="41" t="str">
        <f t="shared" ref="AR519:AR582" si="142">CONCATENATE(L519,H519,J519)</f>
        <v>N20</v>
      </c>
    </row>
    <row r="520" spans="1:96" s="41" customFormat="1" ht="12.75" customHeight="1">
      <c r="A520" s="442" t="s">
        <v>17</v>
      </c>
      <c r="B520" s="442" t="str">
        <f t="shared" si="137"/>
        <v>GL234050</v>
      </c>
      <c r="C520" s="638">
        <v>234050</v>
      </c>
      <c r="D520" s="735"/>
      <c r="E520" s="626"/>
      <c r="F520" s="441" t="s">
        <v>506</v>
      </c>
      <c r="G520" s="626"/>
      <c r="H520" s="736" t="s">
        <v>2556</v>
      </c>
      <c r="I520" s="442"/>
      <c r="J520" s="442"/>
      <c r="K520" s="442" t="str">
        <f t="shared" si="136"/>
        <v/>
      </c>
      <c r="L520" s="736" t="s">
        <v>2393</v>
      </c>
      <c r="M520" s="442" t="str">
        <f t="shared" si="138"/>
        <v>A</v>
      </c>
      <c r="N520" s="442" t="str">
        <f>IF(L520&lt;&gt;"",VLOOKUP(L520,Categories!$B$2:$D$41,2,FALSE),IF(F520&lt;&gt;"","No Cat",""))</f>
        <v>All Other</v>
      </c>
      <c r="O520" s="442" t="str">
        <f>IF($L520&lt;&gt;"",VLOOKUP($L520,Categories!$B$2:$D$41,3,FALSE),IF($F520&lt;&gt;"","No Cat",""))</f>
        <v>EB-Cap</v>
      </c>
      <c r="P520" s="736" t="s">
        <v>2490</v>
      </c>
      <c r="Q520" s="442" t="str">
        <f>VLOOKUP($P520,Allocators!$B$7:$F$19,5,FALSE)</f>
        <v>Rate Base</v>
      </c>
      <c r="R520" s="737">
        <f>VLOOKUP($P520,Allocators!$B$7:$F$19,2,FALSE)</f>
        <v>0.70940000000000003</v>
      </c>
      <c r="S520" s="737">
        <f>VLOOKUP($P520,Allocators!$B$7:$F$19,3,FALSE)</f>
        <v>0.29060000000000002</v>
      </c>
      <c r="T520" s="737" t="str">
        <f t="shared" si="139"/>
        <v>0.0%</v>
      </c>
      <c r="U520" s="2" t="str">
        <f t="shared" si="130"/>
        <v/>
      </c>
      <c r="V520" s="2" t="str">
        <f t="shared" si="131"/>
        <v/>
      </c>
      <c r="W520" s="2" t="str">
        <f t="shared" si="132"/>
        <v/>
      </c>
      <c r="X520" s="2">
        <f t="shared" ref="X520:X583" si="143">IF(ISERROR(ROUND((SUM(AC520:AO520)-((AC520+AO520))/2)/12,15)),"",ROUND((SUM(AC520:AO520)-((AC520+AO520))/2)/12,15))</f>
        <v>0</v>
      </c>
      <c r="Y520" s="2" t="str">
        <f t="shared" si="133"/>
        <v/>
      </c>
      <c r="Z520" s="2" t="str">
        <f t="shared" si="134"/>
        <v/>
      </c>
      <c r="AA520" s="2" t="str">
        <f t="shared" si="135"/>
        <v/>
      </c>
      <c r="AB520" s="2">
        <f t="shared" ref="AB520:AB583" si="144">IF(AO520="",0,+AO520)</f>
        <v>0</v>
      </c>
      <c r="AC520" s="759">
        <v>0</v>
      </c>
      <c r="AD520" s="741">
        <v>0</v>
      </c>
      <c r="AE520" s="741">
        <v>0</v>
      </c>
      <c r="AF520" s="741">
        <v>0</v>
      </c>
      <c r="AG520" s="741">
        <v>0</v>
      </c>
      <c r="AH520" s="741">
        <v>0</v>
      </c>
      <c r="AI520" s="741">
        <v>0</v>
      </c>
      <c r="AJ520" s="741">
        <v>0</v>
      </c>
      <c r="AK520" s="741">
        <v>0</v>
      </c>
      <c r="AL520" s="741">
        <v>0</v>
      </c>
      <c r="AM520" s="741">
        <v>0</v>
      </c>
      <c r="AN520" s="741">
        <v>0</v>
      </c>
      <c r="AO520" s="741">
        <v>0</v>
      </c>
      <c r="AP520" s="41" t="str">
        <f t="shared" si="140"/>
        <v>GLA</v>
      </c>
      <c r="AQ520" s="41" t="str">
        <f t="shared" si="141"/>
        <v>GLAA2Accounts Payable</v>
      </c>
      <c r="AR520" s="41" t="str">
        <f t="shared" si="142"/>
        <v>A2Accounts Payable</v>
      </c>
    </row>
    <row r="521" spans="1:96" s="41" customFormat="1" ht="12.75" customHeight="1">
      <c r="A521" s="442" t="s">
        <v>17</v>
      </c>
      <c r="B521" s="442" t="str">
        <f t="shared" si="137"/>
        <v>GL234060</v>
      </c>
      <c r="C521" s="638">
        <v>234060</v>
      </c>
      <c r="D521" s="735"/>
      <c r="E521" s="626"/>
      <c r="F521" s="441" t="s">
        <v>507</v>
      </c>
      <c r="G521" s="626"/>
      <c r="H521" s="736" t="s">
        <v>2556</v>
      </c>
      <c r="I521" s="442"/>
      <c r="J521" s="442"/>
      <c r="K521" s="442" t="str">
        <f t="shared" si="136"/>
        <v/>
      </c>
      <c r="L521" s="736" t="s">
        <v>2393</v>
      </c>
      <c r="M521" s="442" t="str">
        <f t="shared" si="138"/>
        <v>A</v>
      </c>
      <c r="N521" s="442" t="str">
        <f>IF(L521&lt;&gt;"",VLOOKUP(L521,Categories!$B$2:$D$41,2,FALSE),IF(F521&lt;&gt;"","No Cat",""))</f>
        <v>All Other</v>
      </c>
      <c r="O521" s="442" t="str">
        <f>IF($L521&lt;&gt;"",VLOOKUP($L521,Categories!$B$2:$D$41,3,FALSE),IF($F521&lt;&gt;"","No Cat",""))</f>
        <v>EB-Cap</v>
      </c>
      <c r="P521" s="736" t="s">
        <v>2490</v>
      </c>
      <c r="Q521" s="442" t="str">
        <f>VLOOKUP($P521,Allocators!$B$7:$F$19,5,FALSE)</f>
        <v>Rate Base</v>
      </c>
      <c r="R521" s="737">
        <f>VLOOKUP($P521,Allocators!$B$7:$F$19,2,FALSE)</f>
        <v>0.70940000000000003</v>
      </c>
      <c r="S521" s="737">
        <f>VLOOKUP($P521,Allocators!$B$7:$F$19,3,FALSE)</f>
        <v>0.29060000000000002</v>
      </c>
      <c r="T521" s="737" t="str">
        <f t="shared" si="139"/>
        <v>0.0%</v>
      </c>
      <c r="U521" s="2">
        <f t="shared" ref="U521:U584" si="145">IF(ABS(X521)=0,"",IF($R521="NO ALLOC","NO ALLOC",ROUND($R521*X521,15)))</f>
        <v>-6994.2188960780004</v>
      </c>
      <c r="V521" s="2">
        <f t="shared" ref="V521:V584" si="146">IF(ABS(X521)=0,"",IF($S521="NO ALLOC","NO ALLOC",ROUND($S521*X521,15)))</f>
        <v>-2865.1254739219999</v>
      </c>
      <c r="W521" s="2">
        <f t="shared" ref="W521:W584" si="147">IF(ABS(X521)=0,"",IF($T521="NO ALLOC","NO ALLOC",ROUND($T521*X521,15)))</f>
        <v>0</v>
      </c>
      <c r="X521" s="2">
        <f t="shared" si="143"/>
        <v>-9859.3443700000007</v>
      </c>
      <c r="Y521" s="2">
        <f t="shared" ref="Y521:Y584" si="148">IF(ABS(AB521)=0,"",IF($R521="NO ALLOC","NO ALLOC",ROUND($R521*AB521,15)))</f>
        <v>-13214.831303452</v>
      </c>
      <c r="Z521" s="2">
        <f t="shared" ref="Z521:Z584" si="149">IF(ABS(AB521)=0,"",IF($S521="NO ALLOC","NO ALLOC",ROUND($S521*AB521,15)))</f>
        <v>-5413.3492765479996</v>
      </c>
      <c r="AA521" s="2">
        <f t="shared" ref="AA521:AA584" si="150">IF(ABS(AB521)=0,"",IF($T521="NO ALLOC","NO ALLOC",ROUND($T521*AB521,15)))</f>
        <v>0</v>
      </c>
      <c r="AB521" s="2">
        <f t="shared" si="144"/>
        <v>-18628.180579999997</v>
      </c>
      <c r="AC521" s="759">
        <v>-10843.911460000001</v>
      </c>
      <c r="AD521" s="741">
        <v>-12507.661810000001</v>
      </c>
      <c r="AE521" s="741">
        <v>-6456.2181900000005</v>
      </c>
      <c r="AF521" s="741">
        <v>-6745.4205700000002</v>
      </c>
      <c r="AG521" s="741">
        <v>-6704.4399599999997</v>
      </c>
      <c r="AH521" s="741">
        <v>-11469.283660000001</v>
      </c>
      <c r="AI521" s="741">
        <v>-14150.49984</v>
      </c>
      <c r="AJ521" s="741">
        <v>-7767.2520700000005</v>
      </c>
      <c r="AK521" s="741">
        <v>-13997.993910000001</v>
      </c>
      <c r="AL521" s="741">
        <v>-4013.6498300000003</v>
      </c>
      <c r="AM521" s="741">
        <v>-8358.1674999999996</v>
      </c>
      <c r="AN521" s="741">
        <v>-11405.49908</v>
      </c>
      <c r="AO521" s="741">
        <v>-18628.180579999997</v>
      </c>
      <c r="AP521" s="41" t="str">
        <f t="shared" si="140"/>
        <v>GLA</v>
      </c>
      <c r="AQ521" s="41" t="str">
        <f t="shared" si="141"/>
        <v>GLAA2Accounts Payable</v>
      </c>
      <c r="AR521" s="41" t="str">
        <f t="shared" si="142"/>
        <v>A2Accounts Payable</v>
      </c>
    </row>
    <row r="522" spans="1:96" s="41" customFormat="1" ht="12.75" customHeight="1">
      <c r="A522" s="442" t="s">
        <v>17</v>
      </c>
      <c r="B522" s="442" t="str">
        <f t="shared" si="137"/>
        <v>GL234070</v>
      </c>
      <c r="C522" s="638">
        <v>234070</v>
      </c>
      <c r="D522" s="735"/>
      <c r="E522" s="626"/>
      <c r="F522" s="441" t="s">
        <v>508</v>
      </c>
      <c r="G522" s="626"/>
      <c r="H522" s="736" t="s">
        <v>2556</v>
      </c>
      <c r="I522" s="442"/>
      <c r="J522" s="442"/>
      <c r="K522" s="442" t="str">
        <f t="shared" si="136"/>
        <v/>
      </c>
      <c r="L522" s="736" t="s">
        <v>2393</v>
      </c>
      <c r="M522" s="442" t="str">
        <f t="shared" si="138"/>
        <v>A</v>
      </c>
      <c r="N522" s="442" t="str">
        <f>IF(L522&lt;&gt;"",VLOOKUP(L522,Categories!$B$2:$D$41,2,FALSE),IF(F522&lt;&gt;"","No Cat",""))</f>
        <v>All Other</v>
      </c>
      <c r="O522" s="442" t="str">
        <f>IF($L522&lt;&gt;"",VLOOKUP($L522,Categories!$B$2:$D$41,3,FALSE),IF($F522&lt;&gt;"","No Cat",""))</f>
        <v>EB-Cap</v>
      </c>
      <c r="P522" s="736" t="s">
        <v>2490</v>
      </c>
      <c r="Q522" s="442" t="str">
        <f>VLOOKUP($P522,Allocators!$B$7:$F$19,5,FALSE)</f>
        <v>Rate Base</v>
      </c>
      <c r="R522" s="737">
        <f>VLOOKUP($P522,Allocators!$B$7:$F$19,2,FALSE)</f>
        <v>0.70940000000000003</v>
      </c>
      <c r="S522" s="737">
        <f>VLOOKUP($P522,Allocators!$B$7:$F$19,3,FALSE)</f>
        <v>0.29060000000000002</v>
      </c>
      <c r="T522" s="737" t="str">
        <f t="shared" si="139"/>
        <v>0.0%</v>
      </c>
      <c r="U522" s="2">
        <f t="shared" si="145"/>
        <v>-5.0521103333339996E-3</v>
      </c>
      <c r="V522" s="2">
        <f t="shared" si="146"/>
        <v>-2.0695563333329998E-3</v>
      </c>
      <c r="W522" s="2">
        <f t="shared" si="147"/>
        <v>0</v>
      </c>
      <c r="X522" s="2">
        <f t="shared" si="143"/>
        <v>-7.1216666666669998E-3</v>
      </c>
      <c r="Y522" s="2" t="str">
        <f t="shared" si="148"/>
        <v/>
      </c>
      <c r="Z522" s="2" t="str">
        <f t="shared" si="149"/>
        <v/>
      </c>
      <c r="AA522" s="2" t="str">
        <f t="shared" si="150"/>
        <v/>
      </c>
      <c r="AB522" s="2">
        <f t="shared" si="144"/>
        <v>0</v>
      </c>
      <c r="AC522" s="759">
        <v>0</v>
      </c>
      <c r="AD522" s="741">
        <v>-2.7899999999999998E-2</v>
      </c>
      <c r="AE522" s="741">
        <v>0</v>
      </c>
      <c r="AF522" s="741">
        <v>0</v>
      </c>
      <c r="AG522" s="741">
        <v>0</v>
      </c>
      <c r="AH522" s="741">
        <v>-3.0890000000000001E-2</v>
      </c>
      <c r="AI522" s="741">
        <v>0</v>
      </c>
      <c r="AJ522" s="741">
        <v>0</v>
      </c>
      <c r="AK522" s="741">
        <v>-2.6670000000000003E-2</v>
      </c>
      <c r="AL522" s="741">
        <v>0</v>
      </c>
      <c r="AM522" s="741">
        <v>0</v>
      </c>
      <c r="AN522" s="741">
        <v>0</v>
      </c>
      <c r="AO522" s="741">
        <v>0</v>
      </c>
      <c r="AP522" s="41" t="str">
        <f t="shared" si="140"/>
        <v>GLA</v>
      </c>
      <c r="AQ522" s="41" t="str">
        <f t="shared" si="141"/>
        <v>GLAA2Accounts Payable</v>
      </c>
      <c r="AR522" s="41" t="str">
        <f t="shared" si="142"/>
        <v>A2Accounts Payable</v>
      </c>
    </row>
    <row r="523" spans="1:96" s="41" customFormat="1" ht="12.75" customHeight="1">
      <c r="A523" s="442" t="s">
        <v>17</v>
      </c>
      <c r="B523" s="442" t="str">
        <f t="shared" si="137"/>
        <v>GL234440</v>
      </c>
      <c r="C523" s="638">
        <v>234440</v>
      </c>
      <c r="D523" s="735"/>
      <c r="E523" s="626"/>
      <c r="F523" s="441" t="s">
        <v>509</v>
      </c>
      <c r="G523" s="626"/>
      <c r="H523" s="736">
        <v>0</v>
      </c>
      <c r="I523" s="442"/>
      <c r="J523" s="442"/>
      <c r="K523" s="442" t="str">
        <f t="shared" si="136"/>
        <v/>
      </c>
      <c r="L523" s="736" t="s">
        <v>2421</v>
      </c>
      <c r="M523" s="442" t="str">
        <f t="shared" si="138"/>
        <v>N</v>
      </c>
      <c r="N523" s="442" t="str">
        <f>IF(L523&lt;&gt;"",VLOOKUP(L523,Categories!$B$2:$D$41,2,FALSE),IF(F523&lt;&gt;"","No Cat",""))</f>
        <v>NRBASE</v>
      </c>
      <c r="O523" s="442" t="str">
        <f>IF($L523&lt;&gt;"",VLOOKUP($L523,Categories!$B$2:$D$41,3,FALSE),IF($F523&lt;&gt;"","No Cat",""))</f>
        <v>Direct Assign Items Not in RB</v>
      </c>
      <c r="P523" s="736" t="s">
        <v>2468</v>
      </c>
      <c r="Q523" s="442" t="str">
        <f>VLOOKUP($P523,Allocators!$B$7:$F$19,5,FALSE)</f>
        <v>Not in Rate Base</v>
      </c>
      <c r="R523" s="737">
        <f>VLOOKUP($P523,Allocators!$B$7:$F$19,2,FALSE)</f>
        <v>0</v>
      </c>
      <c r="S523" s="737">
        <f>VLOOKUP($P523,Allocators!$B$7:$F$19,3,FALSE)</f>
        <v>0</v>
      </c>
      <c r="T523" s="737">
        <f t="shared" si="139"/>
        <v>1</v>
      </c>
      <c r="U523" s="2" t="str">
        <f t="shared" si="145"/>
        <v/>
      </c>
      <c r="V523" s="2" t="str">
        <f t="shared" si="146"/>
        <v/>
      </c>
      <c r="W523" s="2" t="str">
        <f t="shared" si="147"/>
        <v/>
      </c>
      <c r="X523" s="2">
        <f t="shared" si="143"/>
        <v>0</v>
      </c>
      <c r="Y523" s="2" t="str">
        <f t="shared" si="148"/>
        <v/>
      </c>
      <c r="Z523" s="2" t="str">
        <f t="shared" si="149"/>
        <v/>
      </c>
      <c r="AA523" s="2" t="str">
        <f t="shared" si="150"/>
        <v/>
      </c>
      <c r="AB523" s="2">
        <f t="shared" si="144"/>
        <v>0</v>
      </c>
      <c r="AC523" s="759">
        <v>0</v>
      </c>
      <c r="AD523" s="741">
        <v>0</v>
      </c>
      <c r="AE523" s="741">
        <v>0</v>
      </c>
      <c r="AF523" s="741">
        <v>0</v>
      </c>
      <c r="AG523" s="741">
        <v>0</v>
      </c>
      <c r="AH523" s="741">
        <v>0</v>
      </c>
      <c r="AI523" s="741">
        <v>0</v>
      </c>
      <c r="AJ523" s="741">
        <v>0</v>
      </c>
      <c r="AK523" s="741">
        <v>0</v>
      </c>
      <c r="AL523" s="741">
        <v>0</v>
      </c>
      <c r="AM523" s="741">
        <v>0</v>
      </c>
      <c r="AN523" s="741">
        <v>0</v>
      </c>
      <c r="AO523" s="741">
        <v>0</v>
      </c>
      <c r="AP523" s="41" t="str">
        <f t="shared" si="140"/>
        <v>GLN</v>
      </c>
      <c r="AQ523" s="41" t="str">
        <f t="shared" si="141"/>
        <v>GLNN20</v>
      </c>
      <c r="AR523" s="41" t="str">
        <f t="shared" si="142"/>
        <v>N20</v>
      </c>
    </row>
    <row r="524" spans="1:96" s="41" customFormat="1" ht="12.75" customHeight="1">
      <c r="A524" s="442" t="s">
        <v>17</v>
      </c>
      <c r="B524" s="442" t="str">
        <f t="shared" si="137"/>
        <v>GL234441</v>
      </c>
      <c r="C524" s="638">
        <v>234441</v>
      </c>
      <c r="D524" s="735"/>
      <c r="E524" s="626"/>
      <c r="F524" s="441" t="s">
        <v>510</v>
      </c>
      <c r="G524" s="626"/>
      <c r="H524" s="736">
        <v>0</v>
      </c>
      <c r="I524" s="442"/>
      <c r="J524" s="442"/>
      <c r="K524" s="442" t="str">
        <f t="shared" si="136"/>
        <v/>
      </c>
      <c r="L524" s="736" t="s">
        <v>2421</v>
      </c>
      <c r="M524" s="442" t="str">
        <f t="shared" si="138"/>
        <v>N</v>
      </c>
      <c r="N524" s="442" t="str">
        <f>IF(L524&lt;&gt;"",VLOOKUP(L524,Categories!$B$2:$D$41,2,FALSE),IF(F524&lt;&gt;"","No Cat",""))</f>
        <v>NRBASE</v>
      </c>
      <c r="O524" s="442" t="str">
        <f>IF($L524&lt;&gt;"",VLOOKUP($L524,Categories!$B$2:$D$41,3,FALSE),IF($F524&lt;&gt;"","No Cat",""))</f>
        <v>Direct Assign Items Not in RB</v>
      </c>
      <c r="P524" s="736" t="s">
        <v>2468</v>
      </c>
      <c r="Q524" s="442" t="str">
        <f>VLOOKUP($P524,Allocators!$B$7:$F$19,5,FALSE)</f>
        <v>Not in Rate Base</v>
      </c>
      <c r="R524" s="737">
        <f>VLOOKUP($P524,Allocators!$B$7:$F$19,2,FALSE)</f>
        <v>0</v>
      </c>
      <c r="S524" s="737">
        <f>VLOOKUP($P524,Allocators!$B$7:$F$19,3,FALSE)</f>
        <v>0</v>
      </c>
      <c r="T524" s="737">
        <f t="shared" si="139"/>
        <v>1</v>
      </c>
      <c r="U524" s="2" t="str">
        <f t="shared" si="145"/>
        <v/>
      </c>
      <c r="V524" s="2" t="str">
        <f t="shared" si="146"/>
        <v/>
      </c>
      <c r="W524" s="2" t="str">
        <f t="shared" si="147"/>
        <v/>
      </c>
      <c r="X524" s="2">
        <f t="shared" si="143"/>
        <v>0</v>
      </c>
      <c r="Y524" s="2" t="str">
        <f t="shared" si="148"/>
        <v/>
      </c>
      <c r="Z524" s="2" t="str">
        <f t="shared" si="149"/>
        <v/>
      </c>
      <c r="AA524" s="2" t="str">
        <f t="shared" si="150"/>
        <v/>
      </c>
      <c r="AB524" s="2">
        <f t="shared" si="144"/>
        <v>0</v>
      </c>
      <c r="AC524" s="759">
        <v>0</v>
      </c>
      <c r="AD524" s="741">
        <v>0</v>
      </c>
      <c r="AE524" s="741">
        <v>0</v>
      </c>
      <c r="AF524" s="741">
        <v>0</v>
      </c>
      <c r="AG524" s="741">
        <v>0</v>
      </c>
      <c r="AH524" s="741">
        <v>0</v>
      </c>
      <c r="AI524" s="741">
        <v>0</v>
      </c>
      <c r="AJ524" s="741">
        <v>0</v>
      </c>
      <c r="AK524" s="741">
        <v>0</v>
      </c>
      <c r="AL524" s="741">
        <v>0</v>
      </c>
      <c r="AM524" s="741">
        <v>0</v>
      </c>
      <c r="AN524" s="741">
        <v>0</v>
      </c>
      <c r="AO524" s="741">
        <v>0</v>
      </c>
      <c r="AP524" s="41" t="str">
        <f t="shared" si="140"/>
        <v>GLN</v>
      </c>
      <c r="AQ524" s="41" t="str">
        <f t="shared" si="141"/>
        <v>GLNN20</v>
      </c>
      <c r="AR524" s="41" t="str">
        <f t="shared" si="142"/>
        <v>N20</v>
      </c>
    </row>
    <row r="525" spans="1:96" s="41" customFormat="1" ht="12.75" customHeight="1">
      <c r="A525" s="442" t="s">
        <v>17</v>
      </c>
      <c r="B525" s="442" t="str">
        <f t="shared" si="137"/>
        <v>GL234460</v>
      </c>
      <c r="C525" s="638">
        <v>234460</v>
      </c>
      <c r="D525" s="735"/>
      <c r="E525" s="626"/>
      <c r="F525" s="441" t="s">
        <v>511</v>
      </c>
      <c r="G525" s="626"/>
      <c r="H525" s="736">
        <v>0</v>
      </c>
      <c r="I525" s="442"/>
      <c r="J525" s="442"/>
      <c r="K525" s="442" t="str">
        <f t="shared" si="136"/>
        <v/>
      </c>
      <c r="L525" s="736" t="s">
        <v>2421</v>
      </c>
      <c r="M525" s="442" t="str">
        <f t="shared" si="138"/>
        <v>N</v>
      </c>
      <c r="N525" s="442" t="str">
        <f>IF(L525&lt;&gt;"",VLOOKUP(L525,Categories!$B$2:$D$41,2,FALSE),IF(F525&lt;&gt;"","No Cat",""))</f>
        <v>NRBASE</v>
      </c>
      <c r="O525" s="442" t="str">
        <f>IF($L525&lt;&gt;"",VLOOKUP($L525,Categories!$B$2:$D$41,3,FALSE),IF($F525&lt;&gt;"","No Cat",""))</f>
        <v>Direct Assign Items Not in RB</v>
      </c>
      <c r="P525" s="736" t="s">
        <v>2468</v>
      </c>
      <c r="Q525" s="442" t="str">
        <f>VLOOKUP($P525,Allocators!$B$7:$F$19,5,FALSE)</f>
        <v>Not in Rate Base</v>
      </c>
      <c r="R525" s="737">
        <f>VLOOKUP($P525,Allocators!$B$7:$F$19,2,FALSE)</f>
        <v>0</v>
      </c>
      <c r="S525" s="737">
        <f>VLOOKUP($P525,Allocators!$B$7:$F$19,3,FALSE)</f>
        <v>0</v>
      </c>
      <c r="T525" s="737">
        <f t="shared" si="139"/>
        <v>1</v>
      </c>
      <c r="U525" s="2" t="str">
        <f t="shared" si="145"/>
        <v/>
      </c>
      <c r="V525" s="2" t="str">
        <f t="shared" si="146"/>
        <v/>
      </c>
      <c r="W525" s="2" t="str">
        <f t="shared" si="147"/>
        <v/>
      </c>
      <c r="X525" s="2">
        <f t="shared" si="143"/>
        <v>0</v>
      </c>
      <c r="Y525" s="2" t="str">
        <f t="shared" si="148"/>
        <v/>
      </c>
      <c r="Z525" s="2" t="str">
        <f t="shared" si="149"/>
        <v/>
      </c>
      <c r="AA525" s="2" t="str">
        <f t="shared" si="150"/>
        <v/>
      </c>
      <c r="AB525" s="2">
        <f t="shared" si="144"/>
        <v>0</v>
      </c>
      <c r="AC525" s="759">
        <v>0</v>
      </c>
      <c r="AD525" s="741">
        <v>0</v>
      </c>
      <c r="AE525" s="741">
        <v>0</v>
      </c>
      <c r="AF525" s="741">
        <v>0</v>
      </c>
      <c r="AG525" s="741">
        <v>0</v>
      </c>
      <c r="AH525" s="741">
        <v>0</v>
      </c>
      <c r="AI525" s="741">
        <v>0</v>
      </c>
      <c r="AJ525" s="741">
        <v>0</v>
      </c>
      <c r="AK525" s="741">
        <v>0</v>
      </c>
      <c r="AL525" s="741">
        <v>0</v>
      </c>
      <c r="AM525" s="741">
        <v>0</v>
      </c>
      <c r="AN525" s="741">
        <v>0</v>
      </c>
      <c r="AO525" s="741">
        <v>0</v>
      </c>
      <c r="AP525" s="41" t="str">
        <f t="shared" si="140"/>
        <v>GLN</v>
      </c>
      <c r="AQ525" s="41" t="str">
        <f t="shared" si="141"/>
        <v>GLNN20</v>
      </c>
      <c r="AR525" s="41" t="str">
        <f t="shared" si="142"/>
        <v>N20</v>
      </c>
    </row>
    <row r="526" spans="1:96" s="41" customFormat="1" ht="12.75" customHeight="1">
      <c r="A526" s="442" t="s">
        <v>17</v>
      </c>
      <c r="B526" s="442" t="str">
        <f t="shared" si="137"/>
        <v>GL234465</v>
      </c>
      <c r="C526" s="638">
        <v>234465</v>
      </c>
      <c r="D526" s="735"/>
      <c r="E526" s="626"/>
      <c r="F526" s="441" t="s">
        <v>512</v>
      </c>
      <c r="G526" s="626"/>
      <c r="H526" s="736">
        <v>0</v>
      </c>
      <c r="I526" s="442"/>
      <c r="J526" s="442"/>
      <c r="K526" s="442" t="str">
        <f t="shared" ref="K526:K589" si="151">IF(L526="N3","Y","")</f>
        <v/>
      </c>
      <c r="L526" s="736" t="s">
        <v>2421</v>
      </c>
      <c r="M526" s="442" t="str">
        <f t="shared" si="138"/>
        <v>N</v>
      </c>
      <c r="N526" s="442" t="str">
        <f>IF(L526&lt;&gt;"",VLOOKUP(L526,Categories!$B$2:$D$41,2,FALSE),IF(F526&lt;&gt;"","No Cat",""))</f>
        <v>NRBASE</v>
      </c>
      <c r="O526" s="442" t="str">
        <f>IF($L526&lt;&gt;"",VLOOKUP($L526,Categories!$B$2:$D$41,3,FALSE),IF($F526&lt;&gt;"","No Cat",""))</f>
        <v>Direct Assign Items Not in RB</v>
      </c>
      <c r="P526" s="736" t="s">
        <v>2468</v>
      </c>
      <c r="Q526" s="442" t="str">
        <f>VLOOKUP($P526,Allocators!$B$7:$F$19,5,FALSE)</f>
        <v>Not in Rate Base</v>
      </c>
      <c r="R526" s="737">
        <f>VLOOKUP($P526,Allocators!$B$7:$F$19,2,FALSE)</f>
        <v>0</v>
      </c>
      <c r="S526" s="737">
        <f>VLOOKUP($P526,Allocators!$B$7:$F$19,3,FALSE)</f>
        <v>0</v>
      </c>
      <c r="T526" s="737">
        <f t="shared" si="139"/>
        <v>1</v>
      </c>
      <c r="U526" s="2" t="str">
        <f t="shared" si="145"/>
        <v/>
      </c>
      <c r="V526" s="2" t="str">
        <f t="shared" si="146"/>
        <v/>
      </c>
      <c r="W526" s="2" t="str">
        <f t="shared" si="147"/>
        <v/>
      </c>
      <c r="X526" s="2">
        <f t="shared" si="143"/>
        <v>0</v>
      </c>
      <c r="Y526" s="2" t="str">
        <f t="shared" si="148"/>
        <v/>
      </c>
      <c r="Z526" s="2" t="str">
        <f t="shared" si="149"/>
        <v/>
      </c>
      <c r="AA526" s="2" t="str">
        <f t="shared" si="150"/>
        <v/>
      </c>
      <c r="AB526" s="2">
        <f t="shared" si="144"/>
        <v>0</v>
      </c>
      <c r="AC526" s="759">
        <v>0</v>
      </c>
      <c r="AD526" s="741">
        <v>0</v>
      </c>
      <c r="AE526" s="741">
        <v>0</v>
      </c>
      <c r="AF526" s="741">
        <v>0</v>
      </c>
      <c r="AG526" s="741">
        <v>0</v>
      </c>
      <c r="AH526" s="741">
        <v>0</v>
      </c>
      <c r="AI526" s="741">
        <v>0</v>
      </c>
      <c r="AJ526" s="741">
        <v>0</v>
      </c>
      <c r="AK526" s="741">
        <v>0</v>
      </c>
      <c r="AL526" s="741">
        <v>0</v>
      </c>
      <c r="AM526" s="741">
        <v>0</v>
      </c>
      <c r="AN526" s="741">
        <v>0</v>
      </c>
      <c r="AO526" s="741">
        <v>0</v>
      </c>
      <c r="AP526" s="41" t="str">
        <f t="shared" si="140"/>
        <v>GLN</v>
      </c>
      <c r="AQ526" s="41" t="str">
        <f t="shared" si="141"/>
        <v>GLNN20</v>
      </c>
      <c r="AR526" s="41" t="str">
        <f t="shared" si="142"/>
        <v>N20</v>
      </c>
    </row>
    <row r="527" spans="1:96" s="41" customFormat="1" ht="12.75" customHeight="1">
      <c r="A527" s="442" t="s">
        <v>17</v>
      </c>
      <c r="B527" s="442" t="str">
        <f t="shared" si="137"/>
        <v>GL234470</v>
      </c>
      <c r="C527" s="638">
        <v>234470</v>
      </c>
      <c r="D527" s="735"/>
      <c r="E527" s="626"/>
      <c r="F527" s="441" t="s">
        <v>513</v>
      </c>
      <c r="G527" s="626"/>
      <c r="H527" s="736">
        <v>0</v>
      </c>
      <c r="I527" s="442"/>
      <c r="J527" s="442"/>
      <c r="K527" s="442" t="str">
        <f t="shared" si="151"/>
        <v/>
      </c>
      <c r="L527" s="736" t="s">
        <v>2421</v>
      </c>
      <c r="M527" s="442" t="str">
        <f t="shared" si="138"/>
        <v>N</v>
      </c>
      <c r="N527" s="442" t="str">
        <f>IF(L527&lt;&gt;"",VLOOKUP(L527,Categories!$B$2:$D$41,2,FALSE),IF(F527&lt;&gt;"","No Cat",""))</f>
        <v>NRBASE</v>
      </c>
      <c r="O527" s="442" t="str">
        <f>IF($L527&lt;&gt;"",VLOOKUP($L527,Categories!$B$2:$D$41,3,FALSE),IF($F527&lt;&gt;"","No Cat",""))</f>
        <v>Direct Assign Items Not in RB</v>
      </c>
      <c r="P527" s="736" t="s">
        <v>2468</v>
      </c>
      <c r="Q527" s="442" t="str">
        <f>VLOOKUP($P527,Allocators!$B$7:$F$19,5,FALSE)</f>
        <v>Not in Rate Base</v>
      </c>
      <c r="R527" s="737">
        <f>VLOOKUP($P527,Allocators!$B$7:$F$19,2,FALSE)</f>
        <v>0</v>
      </c>
      <c r="S527" s="737">
        <f>VLOOKUP($P527,Allocators!$B$7:$F$19,3,FALSE)</f>
        <v>0</v>
      </c>
      <c r="T527" s="737">
        <f t="shared" si="139"/>
        <v>1</v>
      </c>
      <c r="U527" s="2" t="str">
        <f t="shared" si="145"/>
        <v/>
      </c>
      <c r="V527" s="2" t="str">
        <f t="shared" si="146"/>
        <v/>
      </c>
      <c r="W527" s="2" t="str">
        <f t="shared" si="147"/>
        <v/>
      </c>
      <c r="X527" s="2">
        <f t="shared" si="143"/>
        <v>0</v>
      </c>
      <c r="Y527" s="2" t="str">
        <f t="shared" si="148"/>
        <v/>
      </c>
      <c r="Z527" s="2" t="str">
        <f t="shared" si="149"/>
        <v/>
      </c>
      <c r="AA527" s="2" t="str">
        <f t="shared" si="150"/>
        <v/>
      </c>
      <c r="AB527" s="2">
        <f t="shared" si="144"/>
        <v>0</v>
      </c>
      <c r="AC527" s="759">
        <v>0</v>
      </c>
      <c r="AD527" s="741">
        <v>0</v>
      </c>
      <c r="AE527" s="741">
        <v>0</v>
      </c>
      <c r="AF527" s="741">
        <v>0</v>
      </c>
      <c r="AG527" s="741">
        <v>0</v>
      </c>
      <c r="AH527" s="741">
        <v>0</v>
      </c>
      <c r="AI527" s="741">
        <v>0</v>
      </c>
      <c r="AJ527" s="741">
        <v>0</v>
      </c>
      <c r="AK527" s="741">
        <v>0</v>
      </c>
      <c r="AL527" s="741">
        <v>0</v>
      </c>
      <c r="AM527" s="741">
        <v>0</v>
      </c>
      <c r="AN527" s="741">
        <v>0</v>
      </c>
      <c r="AO527" s="741">
        <v>0</v>
      </c>
      <c r="AP527" s="41" t="str">
        <f t="shared" si="140"/>
        <v>GLN</v>
      </c>
      <c r="AQ527" s="41" t="str">
        <f t="shared" si="141"/>
        <v>GLNN20</v>
      </c>
      <c r="AR527" s="41" t="str">
        <f t="shared" si="142"/>
        <v>N20</v>
      </c>
    </row>
    <row r="528" spans="1:96" s="41" customFormat="1" ht="12.75" customHeight="1">
      <c r="A528" s="442" t="s">
        <v>17</v>
      </c>
      <c r="B528" s="442" t="str">
        <f t="shared" si="137"/>
        <v>GL234471</v>
      </c>
      <c r="C528" s="638">
        <v>234471</v>
      </c>
      <c r="D528" s="735"/>
      <c r="E528" s="626"/>
      <c r="F528" s="441" t="s">
        <v>514</v>
      </c>
      <c r="G528" s="626"/>
      <c r="H528" s="736">
        <v>0</v>
      </c>
      <c r="I528" s="442"/>
      <c r="J528" s="442"/>
      <c r="K528" s="442" t="str">
        <f t="shared" si="151"/>
        <v/>
      </c>
      <c r="L528" s="736" t="s">
        <v>2421</v>
      </c>
      <c r="M528" s="442" t="str">
        <f t="shared" si="138"/>
        <v>N</v>
      </c>
      <c r="N528" s="442" t="str">
        <f>IF(L528&lt;&gt;"",VLOOKUP(L528,Categories!$B$2:$D$41,2,FALSE),IF(F528&lt;&gt;"","No Cat",""))</f>
        <v>NRBASE</v>
      </c>
      <c r="O528" s="442" t="str">
        <f>IF($L528&lt;&gt;"",VLOOKUP($L528,Categories!$B$2:$D$41,3,FALSE),IF($F528&lt;&gt;"","No Cat",""))</f>
        <v>Direct Assign Items Not in RB</v>
      </c>
      <c r="P528" s="736" t="s">
        <v>2468</v>
      </c>
      <c r="Q528" s="442" t="str">
        <f>VLOOKUP($P528,Allocators!$B$7:$F$19,5,FALSE)</f>
        <v>Not in Rate Base</v>
      </c>
      <c r="R528" s="737">
        <f>VLOOKUP($P528,Allocators!$B$7:$F$19,2,FALSE)</f>
        <v>0</v>
      </c>
      <c r="S528" s="737">
        <f>VLOOKUP($P528,Allocators!$B$7:$F$19,3,FALSE)</f>
        <v>0</v>
      </c>
      <c r="T528" s="737">
        <f t="shared" si="139"/>
        <v>1</v>
      </c>
      <c r="U528" s="2" t="str">
        <f t="shared" si="145"/>
        <v/>
      </c>
      <c r="V528" s="2" t="str">
        <f t="shared" si="146"/>
        <v/>
      </c>
      <c r="W528" s="2" t="str">
        <f t="shared" si="147"/>
        <v/>
      </c>
      <c r="X528" s="2">
        <f t="shared" si="143"/>
        <v>0</v>
      </c>
      <c r="Y528" s="2" t="str">
        <f t="shared" si="148"/>
        <v/>
      </c>
      <c r="Z528" s="2" t="str">
        <f t="shared" si="149"/>
        <v/>
      </c>
      <c r="AA528" s="2" t="str">
        <f t="shared" si="150"/>
        <v/>
      </c>
      <c r="AB528" s="2">
        <f t="shared" si="144"/>
        <v>0</v>
      </c>
      <c r="AC528" s="759">
        <v>0</v>
      </c>
      <c r="AD528" s="741">
        <v>0</v>
      </c>
      <c r="AE528" s="741">
        <v>0</v>
      </c>
      <c r="AF528" s="741">
        <v>0</v>
      </c>
      <c r="AG528" s="741">
        <v>0</v>
      </c>
      <c r="AH528" s="741">
        <v>0</v>
      </c>
      <c r="AI528" s="741">
        <v>0</v>
      </c>
      <c r="AJ528" s="741">
        <v>0</v>
      </c>
      <c r="AK528" s="741">
        <v>0</v>
      </c>
      <c r="AL528" s="741">
        <v>0</v>
      </c>
      <c r="AM528" s="741">
        <v>0</v>
      </c>
      <c r="AN528" s="741">
        <v>0</v>
      </c>
      <c r="AO528" s="741">
        <v>0</v>
      </c>
      <c r="AP528" s="41" t="str">
        <f t="shared" si="140"/>
        <v>GLN</v>
      </c>
      <c r="AQ528" s="41" t="str">
        <f t="shared" si="141"/>
        <v>GLNN20</v>
      </c>
      <c r="AR528" s="41" t="str">
        <f t="shared" si="142"/>
        <v>N20</v>
      </c>
    </row>
    <row r="529" spans="1:96" s="41" customFormat="1" ht="12.75" customHeight="1">
      <c r="A529" s="442" t="s">
        <v>17</v>
      </c>
      <c r="B529" s="442" t="str">
        <f t="shared" si="137"/>
        <v>GL234900</v>
      </c>
      <c r="C529" s="638">
        <v>234900</v>
      </c>
      <c r="D529" s="735"/>
      <c r="E529" s="626"/>
      <c r="F529" s="441" t="s">
        <v>515</v>
      </c>
      <c r="G529" s="626"/>
      <c r="H529" s="736">
        <v>0</v>
      </c>
      <c r="I529" s="442"/>
      <c r="J529" s="442"/>
      <c r="K529" s="442" t="str">
        <f t="shared" si="151"/>
        <v/>
      </c>
      <c r="L529" s="736" t="s">
        <v>2421</v>
      </c>
      <c r="M529" s="442" t="str">
        <f t="shared" si="138"/>
        <v>N</v>
      </c>
      <c r="N529" s="442" t="str">
        <f>IF(L529&lt;&gt;"",VLOOKUP(L529,Categories!$B$2:$D$41,2,FALSE),IF(F529&lt;&gt;"","No Cat",""))</f>
        <v>NRBASE</v>
      </c>
      <c r="O529" s="442" t="str">
        <f>IF($L529&lt;&gt;"",VLOOKUP($L529,Categories!$B$2:$D$41,3,FALSE),IF($F529&lt;&gt;"","No Cat",""))</f>
        <v>Direct Assign Items Not in RB</v>
      </c>
      <c r="P529" s="736" t="s">
        <v>2468</v>
      </c>
      <c r="Q529" s="442" t="str">
        <f>VLOOKUP($P529,Allocators!$B$7:$F$19,5,FALSE)</f>
        <v>Not in Rate Base</v>
      </c>
      <c r="R529" s="737">
        <f>VLOOKUP($P529,Allocators!$B$7:$F$19,2,FALSE)</f>
        <v>0</v>
      </c>
      <c r="S529" s="737">
        <f>VLOOKUP($P529,Allocators!$B$7:$F$19,3,FALSE)</f>
        <v>0</v>
      </c>
      <c r="T529" s="737">
        <f t="shared" si="139"/>
        <v>1</v>
      </c>
      <c r="U529" s="2" t="str">
        <f t="shared" si="145"/>
        <v/>
      </c>
      <c r="V529" s="2" t="str">
        <f t="shared" si="146"/>
        <v/>
      </c>
      <c r="W529" s="2" t="str">
        <f t="shared" si="147"/>
        <v/>
      </c>
      <c r="X529" s="2">
        <f t="shared" si="143"/>
        <v>0</v>
      </c>
      <c r="Y529" s="2" t="str">
        <f t="shared" si="148"/>
        <v/>
      </c>
      <c r="Z529" s="2" t="str">
        <f t="shared" si="149"/>
        <v/>
      </c>
      <c r="AA529" s="2" t="str">
        <f t="shared" si="150"/>
        <v/>
      </c>
      <c r="AB529" s="2">
        <f t="shared" si="144"/>
        <v>0</v>
      </c>
      <c r="AC529" s="759">
        <v>0</v>
      </c>
      <c r="AD529" s="741">
        <v>0</v>
      </c>
      <c r="AE529" s="741">
        <v>0</v>
      </c>
      <c r="AF529" s="741">
        <v>0</v>
      </c>
      <c r="AG529" s="741">
        <v>0</v>
      </c>
      <c r="AH529" s="741">
        <v>0</v>
      </c>
      <c r="AI529" s="741">
        <v>0</v>
      </c>
      <c r="AJ529" s="741">
        <v>0</v>
      </c>
      <c r="AK529" s="741">
        <v>0</v>
      </c>
      <c r="AL529" s="741">
        <v>0</v>
      </c>
      <c r="AM529" s="741">
        <v>0</v>
      </c>
      <c r="AN529" s="741">
        <v>0</v>
      </c>
      <c r="AO529" s="741">
        <v>0</v>
      </c>
      <c r="AP529" s="41" t="str">
        <f t="shared" si="140"/>
        <v>GLN</v>
      </c>
      <c r="AQ529" s="41" t="str">
        <f t="shared" si="141"/>
        <v>GLNN20</v>
      </c>
      <c r="AR529" s="41" t="str">
        <f t="shared" si="142"/>
        <v>N20</v>
      </c>
    </row>
    <row r="530" spans="1:96" s="41" customFormat="1" ht="12.75" customHeight="1">
      <c r="A530" s="442" t="s">
        <v>17</v>
      </c>
      <c r="B530" s="442" t="str">
        <f t="shared" si="137"/>
        <v>GL234910</v>
      </c>
      <c r="C530" s="638">
        <v>234910</v>
      </c>
      <c r="D530" s="735"/>
      <c r="E530" s="626"/>
      <c r="F530" s="441" t="s">
        <v>516</v>
      </c>
      <c r="G530" s="626"/>
      <c r="H530" s="736">
        <v>0</v>
      </c>
      <c r="I530" s="442"/>
      <c r="J530" s="442"/>
      <c r="K530" s="442" t="str">
        <f t="shared" si="151"/>
        <v/>
      </c>
      <c r="L530" s="736" t="s">
        <v>2421</v>
      </c>
      <c r="M530" s="442" t="str">
        <f t="shared" si="138"/>
        <v>N</v>
      </c>
      <c r="N530" s="442" t="str">
        <f>IF(L530&lt;&gt;"",VLOOKUP(L530,Categories!$B$2:$D$41,2,FALSE),IF(F530&lt;&gt;"","No Cat",""))</f>
        <v>NRBASE</v>
      </c>
      <c r="O530" s="442" t="str">
        <f>IF($L530&lt;&gt;"",VLOOKUP($L530,Categories!$B$2:$D$41,3,FALSE),IF($F530&lt;&gt;"","No Cat",""))</f>
        <v>Direct Assign Items Not in RB</v>
      </c>
      <c r="P530" s="736" t="s">
        <v>2468</v>
      </c>
      <c r="Q530" s="442" t="str">
        <f>VLOOKUP($P530,Allocators!$B$7:$F$19,5,FALSE)</f>
        <v>Not in Rate Base</v>
      </c>
      <c r="R530" s="737">
        <f>VLOOKUP($P530,Allocators!$B$7:$F$19,2,FALSE)</f>
        <v>0</v>
      </c>
      <c r="S530" s="737">
        <f>VLOOKUP($P530,Allocators!$B$7:$F$19,3,FALSE)</f>
        <v>0</v>
      </c>
      <c r="T530" s="737">
        <f t="shared" si="139"/>
        <v>1</v>
      </c>
      <c r="U530" s="2" t="str">
        <f t="shared" si="145"/>
        <v/>
      </c>
      <c r="V530" s="2" t="str">
        <f t="shared" si="146"/>
        <v/>
      </c>
      <c r="W530" s="2" t="str">
        <f t="shared" si="147"/>
        <v/>
      </c>
      <c r="X530" s="2">
        <f t="shared" si="143"/>
        <v>0</v>
      </c>
      <c r="Y530" s="2" t="str">
        <f t="shared" si="148"/>
        <v/>
      </c>
      <c r="Z530" s="2" t="str">
        <f t="shared" si="149"/>
        <v/>
      </c>
      <c r="AA530" s="2" t="str">
        <f t="shared" si="150"/>
        <v/>
      </c>
      <c r="AB530" s="2">
        <f t="shared" si="144"/>
        <v>0</v>
      </c>
      <c r="AC530" s="759">
        <v>0</v>
      </c>
      <c r="AD530" s="741">
        <v>0</v>
      </c>
      <c r="AE530" s="741">
        <v>0</v>
      </c>
      <c r="AF530" s="741">
        <v>0</v>
      </c>
      <c r="AG530" s="741">
        <v>0</v>
      </c>
      <c r="AH530" s="741">
        <v>0</v>
      </c>
      <c r="AI530" s="741">
        <v>0</v>
      </c>
      <c r="AJ530" s="741">
        <v>0</v>
      </c>
      <c r="AK530" s="741">
        <v>0</v>
      </c>
      <c r="AL530" s="741">
        <v>0</v>
      </c>
      <c r="AM530" s="741">
        <v>0</v>
      </c>
      <c r="AN530" s="741">
        <v>0</v>
      </c>
      <c r="AO530" s="741">
        <v>0</v>
      </c>
      <c r="AP530" s="41" t="str">
        <f t="shared" si="140"/>
        <v>GLN</v>
      </c>
      <c r="AQ530" s="41" t="str">
        <f t="shared" si="141"/>
        <v>GLNN20</v>
      </c>
      <c r="AR530" s="41" t="str">
        <f t="shared" si="142"/>
        <v>N20</v>
      </c>
    </row>
    <row r="531" spans="1:96" s="41" customFormat="1" ht="12.75" customHeight="1">
      <c r="A531" s="442" t="s">
        <v>17</v>
      </c>
      <c r="B531" s="442" t="str">
        <f t="shared" ref="B531:B594" si="152">CONCATENATE(A531,C531,D531,E531)</f>
        <v>GL234920</v>
      </c>
      <c r="C531" s="638">
        <v>234920</v>
      </c>
      <c r="D531" s="735"/>
      <c r="E531" s="626"/>
      <c r="F531" s="441" t="s">
        <v>517</v>
      </c>
      <c r="G531" s="626"/>
      <c r="H531" s="736">
        <v>0</v>
      </c>
      <c r="I531" s="442"/>
      <c r="J531" s="442"/>
      <c r="K531" s="442" t="str">
        <f t="shared" si="151"/>
        <v/>
      </c>
      <c r="L531" s="736" t="s">
        <v>2421</v>
      </c>
      <c r="M531" s="442" t="str">
        <f t="shared" ref="M531:M594" si="153">LEFT(L531,1)</f>
        <v>N</v>
      </c>
      <c r="N531" s="442" t="str">
        <f>IF(L531&lt;&gt;"",VLOOKUP(L531,Categories!$B$2:$D$41,2,FALSE),IF(F531&lt;&gt;"","No Cat",""))</f>
        <v>NRBASE</v>
      </c>
      <c r="O531" s="442" t="str">
        <f>IF($L531&lt;&gt;"",VLOOKUP($L531,Categories!$B$2:$D$41,3,FALSE),IF($F531&lt;&gt;"","No Cat",""))</f>
        <v>Direct Assign Items Not in RB</v>
      </c>
      <c r="P531" s="736" t="s">
        <v>2468</v>
      </c>
      <c r="Q531" s="442" t="str">
        <f>VLOOKUP($P531,Allocators!$B$7:$F$19,5,FALSE)</f>
        <v>Not in Rate Base</v>
      </c>
      <c r="R531" s="737">
        <f>VLOOKUP($P531,Allocators!$B$7:$F$19,2,FALSE)</f>
        <v>0</v>
      </c>
      <c r="S531" s="737">
        <f>VLOOKUP($P531,Allocators!$B$7:$F$19,3,FALSE)</f>
        <v>0</v>
      </c>
      <c r="T531" s="737">
        <f t="shared" si="139"/>
        <v>1</v>
      </c>
      <c r="U531" s="2" t="str">
        <f t="shared" si="145"/>
        <v/>
      </c>
      <c r="V531" s="2" t="str">
        <f t="shared" si="146"/>
        <v/>
      </c>
      <c r="W531" s="2" t="str">
        <f t="shared" si="147"/>
        <v/>
      </c>
      <c r="X531" s="2">
        <f t="shared" si="143"/>
        <v>0</v>
      </c>
      <c r="Y531" s="2" t="str">
        <f t="shared" si="148"/>
        <v/>
      </c>
      <c r="Z531" s="2" t="str">
        <f t="shared" si="149"/>
        <v/>
      </c>
      <c r="AA531" s="2" t="str">
        <f t="shared" si="150"/>
        <v/>
      </c>
      <c r="AB531" s="2">
        <f t="shared" si="144"/>
        <v>0</v>
      </c>
      <c r="AC531" s="759">
        <v>0</v>
      </c>
      <c r="AD531" s="741">
        <v>0</v>
      </c>
      <c r="AE531" s="741">
        <v>0</v>
      </c>
      <c r="AF531" s="741">
        <v>0</v>
      </c>
      <c r="AG531" s="741">
        <v>0</v>
      </c>
      <c r="AH531" s="741">
        <v>0</v>
      </c>
      <c r="AI531" s="741">
        <v>0</v>
      </c>
      <c r="AJ531" s="741">
        <v>0</v>
      </c>
      <c r="AK531" s="741">
        <v>0</v>
      </c>
      <c r="AL531" s="741">
        <v>0</v>
      </c>
      <c r="AM531" s="741">
        <v>0</v>
      </c>
      <c r="AN531" s="741">
        <v>0</v>
      </c>
      <c r="AO531" s="741">
        <v>0</v>
      </c>
      <c r="AP531" s="41" t="str">
        <f t="shared" si="140"/>
        <v>GLN</v>
      </c>
      <c r="AQ531" s="41" t="str">
        <f t="shared" si="141"/>
        <v>GLNN20</v>
      </c>
      <c r="AR531" s="41" t="str">
        <f t="shared" si="142"/>
        <v>N20</v>
      </c>
    </row>
    <row r="532" spans="1:96" s="41" customFormat="1" ht="12.75" customHeight="1">
      <c r="A532" s="25" t="s">
        <v>17</v>
      </c>
      <c r="B532" s="25" t="str">
        <f t="shared" si="152"/>
        <v>GL235000</v>
      </c>
      <c r="C532" s="638">
        <v>235000</v>
      </c>
      <c r="D532" s="735"/>
      <c r="F532" s="1" t="s">
        <v>518</v>
      </c>
      <c r="H532" s="736">
        <v>0</v>
      </c>
      <c r="I532" s="25"/>
      <c r="J532" s="25"/>
      <c r="K532" s="442" t="str">
        <f t="shared" si="151"/>
        <v/>
      </c>
      <c r="L532" s="736" t="s">
        <v>2397</v>
      </c>
      <c r="M532" s="25" t="str">
        <f t="shared" si="153"/>
        <v>C</v>
      </c>
      <c r="N532" s="25" t="str">
        <f>IF(L532&lt;&gt;"",VLOOKUP(L532,Categories!$B$2:$D$41,2,FALSE),IF(F532&lt;&gt;"","No Cat",""))</f>
        <v>Capitalization</v>
      </c>
      <c r="O532" s="25" t="str">
        <f>IF($L532&lt;&gt;"",VLOOKUP($L532,Categories!$B$2:$D$41,3,FALSE),IF($F532&lt;&gt;"","No Cat",""))</f>
        <v>Customer Deposits &amp; Advances</v>
      </c>
      <c r="P532" s="736" t="s">
        <v>2468</v>
      </c>
      <c r="Q532" s="25" t="str">
        <f>VLOOKUP($P532,Allocators!$B$7:$F$19,5,FALSE)</f>
        <v>Not in Rate Base</v>
      </c>
      <c r="R532" s="737">
        <f>VLOOKUP($P532,Allocators!$B$7:$F$19,2,FALSE)</f>
        <v>0</v>
      </c>
      <c r="S532" s="737">
        <f>VLOOKUP($P532,Allocators!$B$7:$F$19,3,FALSE)</f>
        <v>0</v>
      </c>
      <c r="T532" s="737">
        <f t="shared" si="139"/>
        <v>1</v>
      </c>
      <c r="U532" s="2" t="str">
        <f t="shared" si="145"/>
        <v/>
      </c>
      <c r="V532" s="2" t="str">
        <f t="shared" si="146"/>
        <v/>
      </c>
      <c r="W532" s="2" t="str">
        <f t="shared" si="147"/>
        <v/>
      </c>
      <c r="X532" s="2">
        <f t="shared" si="143"/>
        <v>0</v>
      </c>
      <c r="Y532" s="2" t="str">
        <f t="shared" si="148"/>
        <v/>
      </c>
      <c r="Z532" s="2" t="str">
        <f t="shared" si="149"/>
        <v/>
      </c>
      <c r="AA532" s="2" t="str">
        <f t="shared" si="150"/>
        <v/>
      </c>
      <c r="AB532" s="2">
        <f t="shared" si="144"/>
        <v>0</v>
      </c>
      <c r="AC532" s="759">
        <v>0</v>
      </c>
      <c r="AD532" s="741">
        <v>0</v>
      </c>
      <c r="AE532" s="741">
        <v>0</v>
      </c>
      <c r="AF532" s="741">
        <v>0</v>
      </c>
      <c r="AG532" s="741">
        <v>0</v>
      </c>
      <c r="AH532" s="741">
        <v>0</v>
      </c>
      <c r="AI532" s="741">
        <v>0</v>
      </c>
      <c r="AJ532" s="741">
        <v>0</v>
      </c>
      <c r="AK532" s="741">
        <v>0</v>
      </c>
      <c r="AL532" s="741">
        <v>0</v>
      </c>
      <c r="AM532" s="741">
        <v>0</v>
      </c>
      <c r="AN532" s="741">
        <v>0</v>
      </c>
      <c r="AO532" s="741">
        <v>0</v>
      </c>
      <c r="AP532" s="41" t="str">
        <f t="shared" si="140"/>
        <v>GLC</v>
      </c>
      <c r="AQ532" s="41" t="str">
        <f t="shared" si="141"/>
        <v>GLCC110</v>
      </c>
      <c r="AR532" s="41" t="str">
        <f t="shared" si="142"/>
        <v>C110</v>
      </c>
    </row>
    <row r="533" spans="1:96" s="41" customFormat="1" ht="12.75" customHeight="1">
      <c r="A533" s="25" t="s">
        <v>17</v>
      </c>
      <c r="B533" s="25" t="str">
        <f t="shared" si="152"/>
        <v>GL235010</v>
      </c>
      <c r="C533" s="638">
        <v>235010</v>
      </c>
      <c r="D533" s="735"/>
      <c r="F533" s="1" t="s">
        <v>519</v>
      </c>
      <c r="H533" s="736">
        <v>0</v>
      </c>
      <c r="I533" s="25"/>
      <c r="J533" s="25"/>
      <c r="K533" s="442" t="str">
        <f t="shared" si="151"/>
        <v/>
      </c>
      <c r="L533" s="736" t="s">
        <v>2397</v>
      </c>
      <c r="M533" s="25" t="str">
        <f t="shared" si="153"/>
        <v>C</v>
      </c>
      <c r="N533" s="25" t="str">
        <f>IF(L533&lt;&gt;"",VLOOKUP(L533,Categories!$B$2:$D$41,2,FALSE),IF(F533&lt;&gt;"","No Cat",""))</f>
        <v>Capitalization</v>
      </c>
      <c r="O533" s="25" t="str">
        <f>IF($L533&lt;&gt;"",VLOOKUP($L533,Categories!$B$2:$D$41,3,FALSE),IF($F533&lt;&gt;"","No Cat",""))</f>
        <v>Customer Deposits &amp; Advances</v>
      </c>
      <c r="P533" s="736" t="s">
        <v>2468</v>
      </c>
      <c r="Q533" s="25" t="str">
        <f>VLOOKUP($P533,Allocators!$B$7:$F$19,5,FALSE)</f>
        <v>Not in Rate Base</v>
      </c>
      <c r="R533" s="737">
        <f>VLOOKUP($P533,Allocators!$B$7:$F$19,2,FALSE)</f>
        <v>0</v>
      </c>
      <c r="S533" s="737">
        <f>VLOOKUP($P533,Allocators!$B$7:$F$19,3,FALSE)</f>
        <v>0</v>
      </c>
      <c r="T533" s="737">
        <f t="shared" si="139"/>
        <v>1</v>
      </c>
      <c r="U533" s="2">
        <f t="shared" si="145"/>
        <v>0</v>
      </c>
      <c r="V533" s="2">
        <f t="shared" si="146"/>
        <v>0</v>
      </c>
      <c r="W533" s="2">
        <f t="shared" si="147"/>
        <v>-4574.36796208333</v>
      </c>
      <c r="X533" s="2">
        <f t="shared" si="143"/>
        <v>-4574.36796208333</v>
      </c>
      <c r="Y533" s="2">
        <f t="shared" si="148"/>
        <v>0</v>
      </c>
      <c r="Z533" s="2">
        <f t="shared" si="149"/>
        <v>0</v>
      </c>
      <c r="AA533" s="2">
        <f t="shared" si="150"/>
        <v>-4435.6873900000001</v>
      </c>
      <c r="AB533" s="2">
        <f t="shared" si="144"/>
        <v>-4435.6873900000001</v>
      </c>
      <c r="AC533" s="759">
        <v>-4617.71054</v>
      </c>
      <c r="AD533" s="741">
        <v>-4598.2344699999994</v>
      </c>
      <c r="AE533" s="741">
        <v>-4657.3529100000005</v>
      </c>
      <c r="AF533" s="741">
        <v>-4861.5326299999997</v>
      </c>
      <c r="AG533" s="741">
        <v>-4863.9323299999996</v>
      </c>
      <c r="AH533" s="741">
        <v>-4866.6291700000002</v>
      </c>
      <c r="AI533" s="741">
        <v>-4468.4457899999998</v>
      </c>
      <c r="AJ533" s="741">
        <v>-4415.2838000000002</v>
      </c>
      <c r="AK533" s="741">
        <v>-4432.1991100000005</v>
      </c>
      <c r="AL533" s="741">
        <v>-4379.4879099999998</v>
      </c>
      <c r="AM533" s="741">
        <v>-4384.8143499999996</v>
      </c>
      <c r="AN533" s="741">
        <v>-4437.80411</v>
      </c>
      <c r="AO533" s="741">
        <v>-4435.6873900000001</v>
      </c>
      <c r="AP533" s="41" t="str">
        <f t="shared" si="140"/>
        <v>GLC</v>
      </c>
      <c r="AQ533" s="41" t="str">
        <f t="shared" si="141"/>
        <v>GLCC110</v>
      </c>
      <c r="AR533" s="41" t="str">
        <f t="shared" si="142"/>
        <v>C110</v>
      </c>
    </row>
    <row r="534" spans="1:96" s="41" customFormat="1" ht="12.75" customHeight="1">
      <c r="A534" s="25" t="s">
        <v>17</v>
      </c>
      <c r="B534" s="25" t="str">
        <f t="shared" si="152"/>
        <v>GL236005</v>
      </c>
      <c r="C534" s="638">
        <v>236005</v>
      </c>
      <c r="D534" s="735"/>
      <c r="F534" s="1" t="s">
        <v>520</v>
      </c>
      <c r="H534" s="736" t="s">
        <v>2556</v>
      </c>
      <c r="I534" s="25"/>
      <c r="J534" s="25"/>
      <c r="K534" s="442" t="str">
        <f t="shared" si="151"/>
        <v/>
      </c>
      <c r="L534" s="736" t="s">
        <v>2393</v>
      </c>
      <c r="M534" s="25" t="str">
        <f t="shared" si="153"/>
        <v>A</v>
      </c>
      <c r="N534" s="25" t="str">
        <f>IF(L534&lt;&gt;"",VLOOKUP(L534,Categories!$B$2:$D$41,2,FALSE),IF(F534&lt;&gt;"","No Cat",""))</f>
        <v>All Other</v>
      </c>
      <c r="O534" s="25" t="str">
        <f>IF($L534&lt;&gt;"",VLOOKUP($L534,Categories!$B$2:$D$41,3,FALSE),IF($F534&lt;&gt;"","No Cat",""))</f>
        <v>EB-Cap</v>
      </c>
      <c r="P534" s="736" t="s">
        <v>2490</v>
      </c>
      <c r="Q534" s="25" t="str">
        <f>VLOOKUP($P534,Allocators!$B$7:$F$19,5,FALSE)</f>
        <v>Rate Base</v>
      </c>
      <c r="R534" s="737">
        <f>VLOOKUP($P534,Allocators!$B$7:$F$19,2,FALSE)</f>
        <v>0.70940000000000003</v>
      </c>
      <c r="S534" s="737">
        <f>VLOOKUP($P534,Allocators!$B$7:$F$19,3,FALSE)</f>
        <v>0.29060000000000002</v>
      </c>
      <c r="T534" s="737" t="str">
        <f t="shared" si="139"/>
        <v>0.0%</v>
      </c>
      <c r="U534" s="2">
        <f t="shared" si="145"/>
        <v>-143.53526666666599</v>
      </c>
      <c r="V534" s="2">
        <f t="shared" si="146"/>
        <v>-58.7980666666666</v>
      </c>
      <c r="W534" s="2">
        <f t="shared" si="147"/>
        <v>0</v>
      </c>
      <c r="X534" s="2">
        <f t="shared" si="143"/>
        <v>-202.333333333333</v>
      </c>
      <c r="Y534" s="2">
        <f t="shared" si="148"/>
        <v>-187.2816</v>
      </c>
      <c r="Z534" s="2">
        <f t="shared" si="149"/>
        <v>-76.718400000000003</v>
      </c>
      <c r="AA534" s="2">
        <f t="shared" si="150"/>
        <v>0</v>
      </c>
      <c r="AB534" s="2">
        <f t="shared" si="144"/>
        <v>-264</v>
      </c>
      <c r="AC534" s="759">
        <v>8</v>
      </c>
      <c r="AD534" s="741">
        <v>8</v>
      </c>
      <c r="AE534" s="741">
        <v>8</v>
      </c>
      <c r="AF534" s="741">
        <v>-254</v>
      </c>
      <c r="AG534" s="741">
        <v>-254</v>
      </c>
      <c r="AH534" s="741">
        <v>-254</v>
      </c>
      <c r="AI534" s="741">
        <v>-257</v>
      </c>
      <c r="AJ534" s="741">
        <v>-257</v>
      </c>
      <c r="AK534" s="741">
        <v>-257</v>
      </c>
      <c r="AL534" s="741">
        <v>-261</v>
      </c>
      <c r="AM534" s="741">
        <v>-261</v>
      </c>
      <c r="AN534" s="741">
        <v>-261</v>
      </c>
      <c r="AO534" s="741">
        <v>-264</v>
      </c>
      <c r="AP534" s="41" t="str">
        <f t="shared" si="140"/>
        <v>GLA</v>
      </c>
      <c r="AQ534" s="41" t="str">
        <f t="shared" si="141"/>
        <v>GLAA2Accounts Payable</v>
      </c>
      <c r="AR534" s="41" t="str">
        <f t="shared" si="142"/>
        <v>A2Accounts Payable</v>
      </c>
      <c r="CR534" s="625"/>
    </row>
    <row r="535" spans="1:96" s="41" customFormat="1" ht="12.75" customHeight="1">
      <c r="A535" s="25" t="s">
        <v>17</v>
      </c>
      <c r="B535" s="25" t="str">
        <f t="shared" si="152"/>
        <v>GL236006</v>
      </c>
      <c r="C535" s="638">
        <v>236006</v>
      </c>
      <c r="D535" s="735"/>
      <c r="F535" s="1" t="s">
        <v>521</v>
      </c>
      <c r="H535" s="736" t="s">
        <v>2556</v>
      </c>
      <c r="I535" s="25"/>
      <c r="J535" s="25"/>
      <c r="K535" s="442" t="str">
        <f t="shared" si="151"/>
        <v/>
      </c>
      <c r="L535" s="736" t="s">
        <v>2393</v>
      </c>
      <c r="M535" s="25" t="str">
        <f t="shared" si="153"/>
        <v>A</v>
      </c>
      <c r="N535" s="25" t="str">
        <f>IF(L535&lt;&gt;"",VLOOKUP(L535,Categories!$B$2:$D$41,2,FALSE),IF(F535&lt;&gt;"","No Cat",""))</f>
        <v>All Other</v>
      </c>
      <c r="O535" s="25" t="str">
        <f>IF($L535&lt;&gt;"",VLOOKUP($L535,Categories!$B$2:$D$41,3,FALSE),IF($F535&lt;&gt;"","No Cat",""))</f>
        <v>EB-Cap</v>
      </c>
      <c r="P535" s="736" t="s">
        <v>2490</v>
      </c>
      <c r="Q535" s="25" t="str">
        <f>VLOOKUP($P535,Allocators!$B$7:$F$19,5,FALSE)</f>
        <v>Rate Base</v>
      </c>
      <c r="R535" s="737">
        <f>VLOOKUP($P535,Allocators!$B$7:$F$19,2,FALSE)</f>
        <v>0.70940000000000003</v>
      </c>
      <c r="S535" s="737">
        <f>VLOOKUP($P535,Allocators!$B$7:$F$19,3,FALSE)</f>
        <v>0.29060000000000002</v>
      </c>
      <c r="T535" s="737" t="str">
        <f t="shared" si="139"/>
        <v>0.0%</v>
      </c>
      <c r="U535" s="2">
        <f t="shared" si="145"/>
        <v>143.53526666666599</v>
      </c>
      <c r="V535" s="2">
        <f t="shared" si="146"/>
        <v>58.7980666666666</v>
      </c>
      <c r="W535" s="2">
        <f t="shared" si="147"/>
        <v>0</v>
      </c>
      <c r="X535" s="2">
        <f t="shared" si="143"/>
        <v>202.333333333333</v>
      </c>
      <c r="Y535" s="2">
        <f t="shared" si="148"/>
        <v>187.2816</v>
      </c>
      <c r="Z535" s="2">
        <f t="shared" si="149"/>
        <v>76.718400000000003</v>
      </c>
      <c r="AA535" s="2">
        <f t="shared" si="150"/>
        <v>0</v>
      </c>
      <c r="AB535" s="2">
        <f t="shared" si="144"/>
        <v>264</v>
      </c>
      <c r="AC535" s="759">
        <v>-8</v>
      </c>
      <c r="AD535" s="741">
        <v>-8</v>
      </c>
      <c r="AE535" s="741">
        <v>-8</v>
      </c>
      <c r="AF535" s="741">
        <v>254</v>
      </c>
      <c r="AG535" s="741">
        <v>254</v>
      </c>
      <c r="AH535" s="741">
        <v>254</v>
      </c>
      <c r="AI535" s="741">
        <v>257</v>
      </c>
      <c r="AJ535" s="741">
        <v>257</v>
      </c>
      <c r="AK535" s="741">
        <v>257</v>
      </c>
      <c r="AL535" s="741">
        <v>261</v>
      </c>
      <c r="AM535" s="741">
        <v>261</v>
      </c>
      <c r="AN535" s="741">
        <v>261</v>
      </c>
      <c r="AO535" s="741">
        <v>264</v>
      </c>
      <c r="AP535" s="41" t="str">
        <f t="shared" si="140"/>
        <v>GLA</v>
      </c>
      <c r="AQ535" s="41" t="str">
        <f t="shared" si="141"/>
        <v>GLAA2Accounts Payable</v>
      </c>
      <c r="AR535" s="41" t="str">
        <f t="shared" si="142"/>
        <v>A2Accounts Payable</v>
      </c>
      <c r="CR535" s="625"/>
    </row>
    <row r="536" spans="1:96" s="41" customFormat="1" ht="12.75" customHeight="1">
      <c r="A536" s="442" t="s">
        <v>17</v>
      </c>
      <c r="B536" s="442" t="str">
        <f t="shared" si="152"/>
        <v>GL236007</v>
      </c>
      <c r="C536" s="638">
        <v>236007</v>
      </c>
      <c r="D536" s="735"/>
      <c r="E536" s="626"/>
      <c r="F536" s="441" t="s">
        <v>522</v>
      </c>
      <c r="G536" s="626"/>
      <c r="H536" s="736" t="s">
        <v>2559</v>
      </c>
      <c r="I536" s="442"/>
      <c r="J536" s="442"/>
      <c r="K536" s="442" t="str">
        <f t="shared" si="151"/>
        <v/>
      </c>
      <c r="L536" s="736" t="s">
        <v>2421</v>
      </c>
      <c r="M536" s="442" t="str">
        <f t="shared" si="153"/>
        <v>N</v>
      </c>
      <c r="N536" s="442" t="str">
        <f>IF(L536&lt;&gt;"",VLOOKUP(L536,Categories!$B$2:$D$41,2,FALSE),IF(F536&lt;&gt;"","No Cat",""))</f>
        <v>NRBASE</v>
      </c>
      <c r="O536" s="442" t="str">
        <f>IF($L536&lt;&gt;"",VLOOKUP($L536,Categories!$B$2:$D$41,3,FALSE),IF($F536&lt;&gt;"","No Cat",""))</f>
        <v>Direct Assign Items Not in RB</v>
      </c>
      <c r="P536" s="736" t="s">
        <v>2468</v>
      </c>
      <c r="Q536" s="442" t="str">
        <f>VLOOKUP($P536,Allocators!$B$7:$F$19,5,FALSE)</f>
        <v>Not in Rate Base</v>
      </c>
      <c r="R536" s="737">
        <f>VLOOKUP($P536,Allocators!$B$7:$F$19,2,FALSE)</f>
        <v>0</v>
      </c>
      <c r="S536" s="737">
        <f>VLOOKUP($P536,Allocators!$B$7:$F$19,3,FALSE)</f>
        <v>0</v>
      </c>
      <c r="T536" s="737">
        <f t="shared" si="139"/>
        <v>1</v>
      </c>
      <c r="U536" s="2" t="str">
        <f t="shared" si="145"/>
        <v/>
      </c>
      <c r="V536" s="2" t="str">
        <f t="shared" si="146"/>
        <v/>
      </c>
      <c r="W536" s="2" t="str">
        <f t="shared" si="147"/>
        <v/>
      </c>
      <c r="X536" s="2">
        <f t="shared" si="143"/>
        <v>0</v>
      </c>
      <c r="Y536" s="2" t="str">
        <f t="shared" si="148"/>
        <v/>
      </c>
      <c r="Z536" s="2" t="str">
        <f t="shared" si="149"/>
        <v/>
      </c>
      <c r="AA536" s="2" t="str">
        <f t="shared" si="150"/>
        <v/>
      </c>
      <c r="AB536" s="2">
        <f t="shared" si="144"/>
        <v>0</v>
      </c>
      <c r="AC536" s="759">
        <v>0</v>
      </c>
      <c r="AD536" s="741">
        <v>0</v>
      </c>
      <c r="AE536" s="741">
        <v>0</v>
      </c>
      <c r="AF536" s="741">
        <v>0</v>
      </c>
      <c r="AG536" s="741">
        <v>0</v>
      </c>
      <c r="AH536" s="741">
        <v>0</v>
      </c>
      <c r="AI536" s="741">
        <v>0</v>
      </c>
      <c r="AJ536" s="741">
        <v>0</v>
      </c>
      <c r="AK536" s="741">
        <v>0</v>
      </c>
      <c r="AL536" s="741">
        <v>0</v>
      </c>
      <c r="AM536" s="741">
        <v>0</v>
      </c>
      <c r="AN536" s="741">
        <v>0</v>
      </c>
      <c r="AO536" s="741">
        <v>0</v>
      </c>
      <c r="AP536" s="41" t="str">
        <f t="shared" si="140"/>
        <v>GLN</v>
      </c>
      <c r="AQ536" s="41" t="str">
        <f t="shared" si="141"/>
        <v>GLNN2Fin 48 Reclass</v>
      </c>
      <c r="AR536" s="41" t="str">
        <f t="shared" si="142"/>
        <v>N2Fin 48 Reclass</v>
      </c>
    </row>
    <row r="537" spans="1:96" s="41" customFormat="1" ht="12.75" customHeight="1">
      <c r="A537" s="442" t="s">
        <v>17</v>
      </c>
      <c r="B537" s="442" t="str">
        <f t="shared" si="152"/>
        <v>GL236008</v>
      </c>
      <c r="C537" s="638">
        <v>236008</v>
      </c>
      <c r="D537" s="735"/>
      <c r="E537" s="626"/>
      <c r="F537" s="441" t="s">
        <v>523</v>
      </c>
      <c r="G537" s="626"/>
      <c r="H537" s="736" t="s">
        <v>2559</v>
      </c>
      <c r="I537" s="442"/>
      <c r="J537" s="442"/>
      <c r="K537" s="442" t="str">
        <f t="shared" si="151"/>
        <v/>
      </c>
      <c r="L537" s="736" t="s">
        <v>2421</v>
      </c>
      <c r="M537" s="442" t="str">
        <f t="shared" si="153"/>
        <v>N</v>
      </c>
      <c r="N537" s="442" t="str">
        <f>IF(L537&lt;&gt;"",VLOOKUP(L537,Categories!$B$2:$D$41,2,FALSE),IF(F537&lt;&gt;"","No Cat",""))</f>
        <v>NRBASE</v>
      </c>
      <c r="O537" s="442" t="str">
        <f>IF($L537&lt;&gt;"",VLOOKUP($L537,Categories!$B$2:$D$41,3,FALSE),IF($F537&lt;&gt;"","No Cat",""))</f>
        <v>Direct Assign Items Not in RB</v>
      </c>
      <c r="P537" s="736" t="s">
        <v>2468</v>
      </c>
      <c r="Q537" s="442" t="str">
        <f>VLOOKUP($P537,Allocators!$B$7:$F$19,5,FALSE)</f>
        <v>Not in Rate Base</v>
      </c>
      <c r="R537" s="737">
        <f>VLOOKUP($P537,Allocators!$B$7:$F$19,2,FALSE)</f>
        <v>0</v>
      </c>
      <c r="S537" s="737">
        <f>VLOOKUP($P537,Allocators!$B$7:$F$19,3,FALSE)</f>
        <v>0</v>
      </c>
      <c r="T537" s="737">
        <f t="shared" si="139"/>
        <v>1</v>
      </c>
      <c r="U537" s="2" t="str">
        <f t="shared" si="145"/>
        <v/>
      </c>
      <c r="V537" s="2" t="str">
        <f t="shared" si="146"/>
        <v/>
      </c>
      <c r="W537" s="2" t="str">
        <f t="shared" si="147"/>
        <v/>
      </c>
      <c r="X537" s="2">
        <f t="shared" si="143"/>
        <v>0</v>
      </c>
      <c r="Y537" s="2" t="str">
        <f t="shared" si="148"/>
        <v/>
      </c>
      <c r="Z537" s="2" t="str">
        <f t="shared" si="149"/>
        <v/>
      </c>
      <c r="AA537" s="2" t="str">
        <f t="shared" si="150"/>
        <v/>
      </c>
      <c r="AB537" s="2">
        <f t="shared" si="144"/>
        <v>0</v>
      </c>
      <c r="AC537" s="759">
        <v>0</v>
      </c>
      <c r="AD537" s="741">
        <v>0</v>
      </c>
      <c r="AE537" s="741">
        <v>0</v>
      </c>
      <c r="AF537" s="741">
        <v>0</v>
      </c>
      <c r="AG537" s="741">
        <v>0</v>
      </c>
      <c r="AH537" s="741">
        <v>0</v>
      </c>
      <c r="AI537" s="741">
        <v>0</v>
      </c>
      <c r="AJ537" s="741">
        <v>0</v>
      </c>
      <c r="AK537" s="741">
        <v>0</v>
      </c>
      <c r="AL537" s="741">
        <v>0</v>
      </c>
      <c r="AM537" s="741">
        <v>0</v>
      </c>
      <c r="AN537" s="741">
        <v>0</v>
      </c>
      <c r="AO537" s="741">
        <v>0</v>
      </c>
      <c r="AP537" s="41" t="str">
        <f t="shared" si="140"/>
        <v>GLN</v>
      </c>
      <c r="AQ537" s="41" t="str">
        <f t="shared" si="141"/>
        <v>GLNN2Fin 48 Reclass</v>
      </c>
      <c r="AR537" s="41" t="str">
        <f t="shared" si="142"/>
        <v>N2Fin 48 Reclass</v>
      </c>
    </row>
    <row r="538" spans="1:96" s="41" customFormat="1" ht="12.75" customHeight="1">
      <c r="A538" s="442" t="s">
        <v>17</v>
      </c>
      <c r="B538" s="442" t="str">
        <f t="shared" si="152"/>
        <v>GL236009</v>
      </c>
      <c r="C538" s="638">
        <v>236009</v>
      </c>
      <c r="D538" s="735"/>
      <c r="E538" s="626"/>
      <c r="F538" s="441" t="s">
        <v>524</v>
      </c>
      <c r="G538" s="626"/>
      <c r="H538" s="736" t="s">
        <v>2559</v>
      </c>
      <c r="I538" s="442"/>
      <c r="J538" s="442"/>
      <c r="K538" s="442" t="str">
        <f t="shared" si="151"/>
        <v/>
      </c>
      <c r="L538" s="736" t="s">
        <v>2421</v>
      </c>
      <c r="M538" s="442" t="str">
        <f t="shared" si="153"/>
        <v>N</v>
      </c>
      <c r="N538" s="442" t="str">
        <f>IF(L538&lt;&gt;"",VLOOKUP(L538,Categories!$B$2:$D$41,2,FALSE),IF(F538&lt;&gt;"","No Cat",""))</f>
        <v>NRBASE</v>
      </c>
      <c r="O538" s="442" t="str">
        <f>IF($L538&lt;&gt;"",VLOOKUP($L538,Categories!$B$2:$D$41,3,FALSE),IF($F538&lt;&gt;"","No Cat",""))</f>
        <v>Direct Assign Items Not in RB</v>
      </c>
      <c r="P538" s="736" t="s">
        <v>2468</v>
      </c>
      <c r="Q538" s="442" t="str">
        <f>VLOOKUP($P538,Allocators!$B$7:$F$19,5,FALSE)</f>
        <v>Not in Rate Base</v>
      </c>
      <c r="R538" s="737">
        <f>VLOOKUP($P538,Allocators!$B$7:$F$19,2,FALSE)</f>
        <v>0</v>
      </c>
      <c r="S538" s="737">
        <f>VLOOKUP($P538,Allocators!$B$7:$F$19,3,FALSE)</f>
        <v>0</v>
      </c>
      <c r="T538" s="737">
        <f t="shared" si="139"/>
        <v>1</v>
      </c>
      <c r="U538" s="2" t="str">
        <f t="shared" si="145"/>
        <v/>
      </c>
      <c r="V538" s="2" t="str">
        <f t="shared" si="146"/>
        <v/>
      </c>
      <c r="W538" s="2" t="str">
        <f t="shared" si="147"/>
        <v/>
      </c>
      <c r="X538" s="2">
        <f t="shared" si="143"/>
        <v>0</v>
      </c>
      <c r="Y538" s="2" t="str">
        <f t="shared" si="148"/>
        <v/>
      </c>
      <c r="Z538" s="2" t="str">
        <f t="shared" si="149"/>
        <v/>
      </c>
      <c r="AA538" s="2" t="str">
        <f t="shared" si="150"/>
        <v/>
      </c>
      <c r="AB538" s="2">
        <f t="shared" si="144"/>
        <v>0</v>
      </c>
      <c r="AC538" s="759">
        <v>0</v>
      </c>
      <c r="AD538" s="741">
        <v>0</v>
      </c>
      <c r="AE538" s="741">
        <v>0</v>
      </c>
      <c r="AF538" s="741">
        <v>0</v>
      </c>
      <c r="AG538" s="741">
        <v>0</v>
      </c>
      <c r="AH538" s="741">
        <v>0</v>
      </c>
      <c r="AI538" s="741">
        <v>0</v>
      </c>
      <c r="AJ538" s="741">
        <v>0</v>
      </c>
      <c r="AK538" s="741">
        <v>0</v>
      </c>
      <c r="AL538" s="741">
        <v>0</v>
      </c>
      <c r="AM538" s="741">
        <v>0</v>
      </c>
      <c r="AN538" s="741">
        <v>0</v>
      </c>
      <c r="AO538" s="741">
        <v>0</v>
      </c>
      <c r="AP538" s="41" t="str">
        <f t="shared" si="140"/>
        <v>GLN</v>
      </c>
      <c r="AQ538" s="41" t="str">
        <f t="shared" si="141"/>
        <v>GLNN2Fin 48 Reclass</v>
      </c>
      <c r="AR538" s="41" t="str">
        <f t="shared" si="142"/>
        <v>N2Fin 48 Reclass</v>
      </c>
    </row>
    <row r="539" spans="1:96" s="41" customFormat="1" ht="12.75" customHeight="1">
      <c r="A539" s="25" t="s">
        <v>17</v>
      </c>
      <c r="B539" s="25" t="str">
        <f t="shared" si="152"/>
        <v>GL236010</v>
      </c>
      <c r="C539" s="638">
        <v>236010</v>
      </c>
      <c r="D539" s="735"/>
      <c r="F539" s="1" t="s">
        <v>525</v>
      </c>
      <c r="H539" s="736" t="s">
        <v>2556</v>
      </c>
      <c r="I539" s="25"/>
      <c r="J539" s="25"/>
      <c r="K539" s="442" t="str">
        <f t="shared" si="151"/>
        <v/>
      </c>
      <c r="L539" s="736" t="s">
        <v>2393</v>
      </c>
      <c r="M539" s="25" t="str">
        <f t="shared" si="153"/>
        <v>A</v>
      </c>
      <c r="N539" s="25" t="str">
        <f>IF(L539&lt;&gt;"",VLOOKUP(L539,Categories!$B$2:$D$41,2,FALSE),IF(F539&lt;&gt;"","No Cat",""))</f>
        <v>All Other</v>
      </c>
      <c r="O539" s="25" t="str">
        <f>IF($L539&lt;&gt;"",VLOOKUP($L539,Categories!$B$2:$D$41,3,FALSE),IF($F539&lt;&gt;"","No Cat",""))</f>
        <v>EB-Cap</v>
      </c>
      <c r="P539" s="736" t="s">
        <v>2490</v>
      </c>
      <c r="Q539" s="25" t="str">
        <f>VLOOKUP($P539,Allocators!$B$7:$F$19,5,FALSE)</f>
        <v>Rate Base</v>
      </c>
      <c r="R539" s="737">
        <f>VLOOKUP($P539,Allocators!$B$7:$F$19,2,FALSE)</f>
        <v>0.70940000000000003</v>
      </c>
      <c r="S539" s="737">
        <f>VLOOKUP($P539,Allocators!$B$7:$F$19,3,FALSE)</f>
        <v>0.29060000000000002</v>
      </c>
      <c r="T539" s="737" t="str">
        <f t="shared" ref="T539:T602" si="154">IF(P539="N",1,"0.0%")</f>
        <v>0.0%</v>
      </c>
      <c r="U539" s="2" t="str">
        <f t="shared" si="145"/>
        <v/>
      </c>
      <c r="V539" s="2" t="str">
        <f t="shared" si="146"/>
        <v/>
      </c>
      <c r="W539" s="2" t="str">
        <f t="shared" si="147"/>
        <v/>
      </c>
      <c r="X539" s="2">
        <f t="shared" si="143"/>
        <v>0</v>
      </c>
      <c r="Y539" s="2" t="str">
        <f t="shared" si="148"/>
        <v/>
      </c>
      <c r="Z539" s="2" t="str">
        <f t="shared" si="149"/>
        <v/>
      </c>
      <c r="AA539" s="2" t="str">
        <f t="shared" si="150"/>
        <v/>
      </c>
      <c r="AB539" s="2">
        <f t="shared" si="144"/>
        <v>0</v>
      </c>
      <c r="AC539" s="759">
        <v>0</v>
      </c>
      <c r="AD539" s="741">
        <v>0</v>
      </c>
      <c r="AE539" s="741">
        <v>0</v>
      </c>
      <c r="AF539" s="741">
        <v>0</v>
      </c>
      <c r="AG539" s="741">
        <v>0</v>
      </c>
      <c r="AH539" s="741">
        <v>0</v>
      </c>
      <c r="AI539" s="741">
        <v>0</v>
      </c>
      <c r="AJ539" s="741">
        <v>0</v>
      </c>
      <c r="AK539" s="741">
        <v>0</v>
      </c>
      <c r="AL539" s="741">
        <v>0</v>
      </c>
      <c r="AM539" s="741">
        <v>0</v>
      </c>
      <c r="AN539" s="741">
        <v>0</v>
      </c>
      <c r="AO539" s="741">
        <v>0</v>
      </c>
      <c r="AP539" s="41" t="str">
        <f t="shared" si="140"/>
        <v>GLA</v>
      </c>
      <c r="AQ539" s="41" t="str">
        <f t="shared" si="141"/>
        <v>GLAA2Accounts Payable</v>
      </c>
      <c r="AR539" s="41" t="str">
        <f t="shared" si="142"/>
        <v>A2Accounts Payable</v>
      </c>
      <c r="CR539" s="625"/>
    </row>
    <row r="540" spans="1:96" s="41" customFormat="1" ht="12.75" customHeight="1">
      <c r="A540" s="25" t="s">
        <v>17</v>
      </c>
      <c r="B540" s="25" t="str">
        <f t="shared" si="152"/>
        <v>GL236020</v>
      </c>
      <c r="C540" s="638">
        <v>236020</v>
      </c>
      <c r="D540" s="735"/>
      <c r="F540" s="1" t="s">
        <v>526</v>
      </c>
      <c r="H540" s="736" t="s">
        <v>2556</v>
      </c>
      <c r="I540" s="25"/>
      <c r="J540" s="25"/>
      <c r="K540" s="442" t="str">
        <f t="shared" si="151"/>
        <v/>
      </c>
      <c r="L540" s="736" t="s">
        <v>2393</v>
      </c>
      <c r="M540" s="25" t="str">
        <f t="shared" si="153"/>
        <v>A</v>
      </c>
      <c r="N540" s="25" t="str">
        <f>IF(L540&lt;&gt;"",VLOOKUP(L540,Categories!$B$2:$D$41,2,FALSE),IF(F540&lt;&gt;"","No Cat",""))</f>
        <v>All Other</v>
      </c>
      <c r="O540" s="25" t="str">
        <f>IF($L540&lt;&gt;"",VLOOKUP($L540,Categories!$B$2:$D$41,3,FALSE),IF($F540&lt;&gt;"","No Cat",""))</f>
        <v>EB-Cap</v>
      </c>
      <c r="P540" s="736" t="s">
        <v>2490</v>
      </c>
      <c r="Q540" s="25" t="str">
        <f>VLOOKUP($P540,Allocators!$B$7:$F$19,5,FALSE)</f>
        <v>Rate Base</v>
      </c>
      <c r="R540" s="737">
        <f>VLOOKUP($P540,Allocators!$B$7:$F$19,2,FALSE)</f>
        <v>0.70940000000000003</v>
      </c>
      <c r="S540" s="737">
        <f>VLOOKUP($P540,Allocators!$B$7:$F$19,3,FALSE)</f>
        <v>0.29060000000000002</v>
      </c>
      <c r="T540" s="737" t="str">
        <f t="shared" si="154"/>
        <v>0.0%</v>
      </c>
      <c r="U540" s="2">
        <f t="shared" si="145"/>
        <v>-33.007341546666602</v>
      </c>
      <c r="V540" s="2">
        <f t="shared" si="146"/>
        <v>-13.5211917866667</v>
      </c>
      <c r="W540" s="2">
        <f t="shared" si="147"/>
        <v>0</v>
      </c>
      <c r="X540" s="2">
        <f t="shared" si="143"/>
        <v>-46.5285333333333</v>
      </c>
      <c r="Y540" s="2" t="str">
        <f t="shared" si="148"/>
        <v/>
      </c>
      <c r="Z540" s="2" t="str">
        <f t="shared" si="149"/>
        <v/>
      </c>
      <c r="AA540" s="2" t="str">
        <f t="shared" si="150"/>
        <v/>
      </c>
      <c r="AB540" s="2">
        <f t="shared" si="144"/>
        <v>0</v>
      </c>
      <c r="AC540" s="759">
        <v>-101.5168</v>
      </c>
      <c r="AD540" s="741">
        <v>-101.5168</v>
      </c>
      <c r="AE540" s="741">
        <v>-101.5168</v>
      </c>
      <c r="AF540" s="741">
        <v>-101.5168</v>
      </c>
      <c r="AG540" s="741">
        <v>-101.5168</v>
      </c>
      <c r="AH540" s="741">
        <v>-101.5168</v>
      </c>
      <c r="AI540" s="741">
        <v>0</v>
      </c>
      <c r="AJ540" s="741">
        <v>0</v>
      </c>
      <c r="AK540" s="741">
        <v>0</v>
      </c>
      <c r="AL540" s="741">
        <v>0</v>
      </c>
      <c r="AM540" s="741">
        <v>0</v>
      </c>
      <c r="AN540" s="741">
        <v>0</v>
      </c>
      <c r="AO540" s="741">
        <v>0</v>
      </c>
      <c r="AP540" s="41" t="str">
        <f t="shared" si="140"/>
        <v>GLA</v>
      </c>
      <c r="AQ540" s="41" t="str">
        <f t="shared" si="141"/>
        <v>GLAA2Accounts Payable</v>
      </c>
      <c r="AR540" s="41" t="str">
        <f t="shared" si="142"/>
        <v>A2Accounts Payable</v>
      </c>
      <c r="CR540" s="625"/>
    </row>
    <row r="541" spans="1:96" s="41" customFormat="1" ht="12.75" customHeight="1">
      <c r="A541" s="25" t="s">
        <v>17</v>
      </c>
      <c r="B541" s="25" t="str">
        <f t="shared" si="152"/>
        <v>GL236030</v>
      </c>
      <c r="C541" s="638">
        <v>236030</v>
      </c>
      <c r="D541" s="735"/>
      <c r="F541" s="1" t="s">
        <v>527</v>
      </c>
      <c r="H541" s="736" t="s">
        <v>2556</v>
      </c>
      <c r="I541" s="25"/>
      <c r="J541" s="25"/>
      <c r="K541" s="442" t="str">
        <f t="shared" si="151"/>
        <v/>
      </c>
      <c r="L541" s="736" t="s">
        <v>2393</v>
      </c>
      <c r="M541" s="25" t="str">
        <f t="shared" si="153"/>
        <v>A</v>
      </c>
      <c r="N541" s="25" t="str">
        <f>IF(L541&lt;&gt;"",VLOOKUP(L541,Categories!$B$2:$D$41,2,FALSE),IF(F541&lt;&gt;"","No Cat",""))</f>
        <v>All Other</v>
      </c>
      <c r="O541" s="25" t="str">
        <f>IF($L541&lt;&gt;"",VLOOKUP($L541,Categories!$B$2:$D$41,3,FALSE),IF($F541&lt;&gt;"","No Cat",""))</f>
        <v>EB-Cap</v>
      </c>
      <c r="P541" s="736" t="s">
        <v>2490</v>
      </c>
      <c r="Q541" s="25" t="str">
        <f>VLOOKUP($P541,Allocators!$B$7:$F$19,5,FALSE)</f>
        <v>Rate Base</v>
      </c>
      <c r="R541" s="737">
        <f>VLOOKUP($P541,Allocators!$B$7:$F$19,2,FALSE)</f>
        <v>0.70940000000000003</v>
      </c>
      <c r="S541" s="737">
        <f>VLOOKUP($P541,Allocators!$B$7:$F$19,3,FALSE)</f>
        <v>0.29060000000000002</v>
      </c>
      <c r="T541" s="737" t="str">
        <f t="shared" si="154"/>
        <v>0.0%</v>
      </c>
      <c r="U541" s="2">
        <f t="shared" si="145"/>
        <v>1.672687166</v>
      </c>
      <c r="V541" s="2">
        <f t="shared" si="146"/>
        <v>0.68520283400000004</v>
      </c>
      <c r="W541" s="2">
        <f t="shared" si="147"/>
        <v>0</v>
      </c>
      <c r="X541" s="2">
        <f t="shared" si="143"/>
        <v>2.3578899999999998</v>
      </c>
      <c r="Y541" s="2" t="str">
        <f t="shared" si="148"/>
        <v/>
      </c>
      <c r="Z541" s="2" t="str">
        <f t="shared" si="149"/>
        <v/>
      </c>
      <c r="AA541" s="2" t="str">
        <f t="shared" si="150"/>
        <v/>
      </c>
      <c r="AB541" s="2">
        <f t="shared" si="144"/>
        <v>0</v>
      </c>
      <c r="AC541" s="759">
        <v>0</v>
      </c>
      <c r="AD541" s="741">
        <v>0</v>
      </c>
      <c r="AE541" s="741">
        <v>0</v>
      </c>
      <c r="AF541" s="741">
        <v>0</v>
      </c>
      <c r="AG541" s="741">
        <v>0</v>
      </c>
      <c r="AH541" s="741">
        <v>0</v>
      </c>
      <c r="AI541" s="741">
        <v>0</v>
      </c>
      <c r="AJ541" s="741">
        <v>0</v>
      </c>
      <c r="AK541" s="741">
        <v>14.14734</v>
      </c>
      <c r="AL541" s="741">
        <v>14.14734</v>
      </c>
      <c r="AM541" s="741">
        <v>0</v>
      </c>
      <c r="AN541" s="741">
        <v>0</v>
      </c>
      <c r="AO541" s="741">
        <v>0</v>
      </c>
      <c r="AP541" s="41" t="str">
        <f t="shared" si="140"/>
        <v>GLA</v>
      </c>
      <c r="AQ541" s="41" t="str">
        <f t="shared" si="141"/>
        <v>GLAA2Accounts Payable</v>
      </c>
      <c r="AR541" s="41" t="str">
        <f t="shared" si="142"/>
        <v>A2Accounts Payable</v>
      </c>
      <c r="CR541" s="625"/>
    </row>
    <row r="542" spans="1:96" s="41" customFormat="1" ht="12.75" customHeight="1">
      <c r="A542" s="25" t="s">
        <v>17</v>
      </c>
      <c r="B542" s="25" t="str">
        <f t="shared" si="152"/>
        <v>GL236048</v>
      </c>
      <c r="C542" s="638">
        <v>236048</v>
      </c>
      <c r="D542" s="735"/>
      <c r="F542" s="1" t="s">
        <v>528</v>
      </c>
      <c r="H542" s="736" t="s">
        <v>2556</v>
      </c>
      <c r="I542" s="25"/>
      <c r="J542" s="25"/>
      <c r="K542" s="442" t="str">
        <f t="shared" si="151"/>
        <v/>
      </c>
      <c r="L542" s="736" t="s">
        <v>2393</v>
      </c>
      <c r="M542" s="25" t="str">
        <f t="shared" si="153"/>
        <v>A</v>
      </c>
      <c r="N542" s="25" t="str">
        <f>IF(L542&lt;&gt;"",VLOOKUP(L542,Categories!$B$2:$D$41,2,FALSE),IF(F542&lt;&gt;"","No Cat",""))</f>
        <v>All Other</v>
      </c>
      <c r="O542" s="25" t="str">
        <f>IF($L542&lt;&gt;"",VLOOKUP($L542,Categories!$B$2:$D$41,3,FALSE),IF($F542&lt;&gt;"","No Cat",""))</f>
        <v>EB-Cap</v>
      </c>
      <c r="P542" s="736" t="s">
        <v>2490</v>
      </c>
      <c r="Q542" s="25" t="str">
        <f>VLOOKUP($P542,Allocators!$B$7:$F$19,5,FALSE)</f>
        <v>Rate Base</v>
      </c>
      <c r="R542" s="737">
        <f>VLOOKUP($P542,Allocators!$B$7:$F$19,2,FALSE)</f>
        <v>0.70940000000000003</v>
      </c>
      <c r="S542" s="737">
        <f>VLOOKUP($P542,Allocators!$B$7:$F$19,3,FALSE)</f>
        <v>0.29060000000000002</v>
      </c>
      <c r="T542" s="737" t="str">
        <f t="shared" si="154"/>
        <v>0.0%</v>
      </c>
      <c r="U542" s="2" t="str">
        <f t="shared" si="145"/>
        <v/>
      </c>
      <c r="V542" s="2" t="str">
        <f t="shared" si="146"/>
        <v/>
      </c>
      <c r="W542" s="2" t="str">
        <f t="shared" si="147"/>
        <v/>
      </c>
      <c r="X542" s="2">
        <f t="shared" si="143"/>
        <v>0</v>
      </c>
      <c r="Y542" s="2" t="str">
        <f t="shared" si="148"/>
        <v/>
      </c>
      <c r="Z542" s="2" t="str">
        <f t="shared" si="149"/>
        <v/>
      </c>
      <c r="AA542" s="2" t="str">
        <f t="shared" si="150"/>
        <v/>
      </c>
      <c r="AB542" s="2">
        <f t="shared" si="144"/>
        <v>0</v>
      </c>
      <c r="AC542" s="759">
        <v>0</v>
      </c>
      <c r="AD542" s="741">
        <v>0</v>
      </c>
      <c r="AE542" s="741">
        <v>0</v>
      </c>
      <c r="AF542" s="741">
        <v>0</v>
      </c>
      <c r="AG542" s="741">
        <v>0</v>
      </c>
      <c r="AH542" s="741">
        <v>0</v>
      </c>
      <c r="AI542" s="741">
        <v>0</v>
      </c>
      <c r="AJ542" s="741">
        <v>0</v>
      </c>
      <c r="AK542" s="741">
        <v>0</v>
      </c>
      <c r="AL542" s="741">
        <v>0</v>
      </c>
      <c r="AM542" s="741">
        <v>0</v>
      </c>
      <c r="AN542" s="741">
        <v>0</v>
      </c>
      <c r="AO542" s="741">
        <v>0</v>
      </c>
      <c r="AP542" s="41" t="str">
        <f t="shared" si="140"/>
        <v>GLA</v>
      </c>
      <c r="AQ542" s="41" t="str">
        <f t="shared" si="141"/>
        <v>GLAA2Accounts Payable</v>
      </c>
      <c r="AR542" s="41" t="str">
        <f t="shared" si="142"/>
        <v>A2Accounts Payable</v>
      </c>
      <c r="CR542" s="625"/>
    </row>
    <row r="543" spans="1:96" s="41" customFormat="1" ht="12.75" customHeight="1">
      <c r="A543" s="25" t="s">
        <v>17</v>
      </c>
      <c r="B543" s="25" t="str">
        <f t="shared" si="152"/>
        <v>GL236060</v>
      </c>
      <c r="C543" s="638">
        <v>236060</v>
      </c>
      <c r="D543" s="735"/>
      <c r="F543" s="1" t="s">
        <v>529</v>
      </c>
      <c r="H543" s="736" t="s">
        <v>2556</v>
      </c>
      <c r="I543" s="25"/>
      <c r="J543" s="25"/>
      <c r="K543" s="442" t="str">
        <f t="shared" si="151"/>
        <v/>
      </c>
      <c r="L543" s="736" t="s">
        <v>2393</v>
      </c>
      <c r="M543" s="25" t="str">
        <f t="shared" si="153"/>
        <v>A</v>
      </c>
      <c r="N543" s="25" t="str">
        <f>IF(L543&lt;&gt;"",VLOOKUP(L543,Categories!$B$2:$D$41,2,FALSE),IF(F543&lt;&gt;"","No Cat",""))</f>
        <v>All Other</v>
      </c>
      <c r="O543" s="25" t="str">
        <f>IF($L543&lt;&gt;"",VLOOKUP($L543,Categories!$B$2:$D$41,3,FALSE),IF($F543&lt;&gt;"","No Cat",""))</f>
        <v>EB-Cap</v>
      </c>
      <c r="P543" s="736" t="s">
        <v>2490</v>
      </c>
      <c r="Q543" s="25" t="str">
        <f>VLOOKUP($P543,Allocators!$B$7:$F$19,5,FALSE)</f>
        <v>Rate Base</v>
      </c>
      <c r="R543" s="737">
        <f>VLOOKUP($P543,Allocators!$B$7:$F$19,2,FALSE)</f>
        <v>0.70940000000000003</v>
      </c>
      <c r="S543" s="737">
        <f>VLOOKUP($P543,Allocators!$B$7:$F$19,3,FALSE)</f>
        <v>0.29060000000000002</v>
      </c>
      <c r="T543" s="737" t="str">
        <f t="shared" si="154"/>
        <v>0.0%</v>
      </c>
      <c r="U543" s="2" t="str">
        <f t="shared" si="145"/>
        <v/>
      </c>
      <c r="V543" s="2" t="str">
        <f t="shared" si="146"/>
        <v/>
      </c>
      <c r="W543" s="2" t="str">
        <f t="shared" si="147"/>
        <v/>
      </c>
      <c r="X543" s="2">
        <f t="shared" si="143"/>
        <v>0</v>
      </c>
      <c r="Y543" s="2" t="str">
        <f t="shared" si="148"/>
        <v/>
      </c>
      <c r="Z543" s="2" t="str">
        <f t="shared" si="149"/>
        <v/>
      </c>
      <c r="AA543" s="2" t="str">
        <f t="shared" si="150"/>
        <v/>
      </c>
      <c r="AB543" s="2">
        <f t="shared" si="144"/>
        <v>0</v>
      </c>
      <c r="AC543" s="759">
        <v>0</v>
      </c>
      <c r="AD543" s="741">
        <v>0</v>
      </c>
      <c r="AE543" s="741">
        <v>0</v>
      </c>
      <c r="AF543" s="741">
        <v>0</v>
      </c>
      <c r="AG543" s="741">
        <v>0</v>
      </c>
      <c r="AH543" s="741">
        <v>0</v>
      </c>
      <c r="AI543" s="741">
        <v>0</v>
      </c>
      <c r="AJ543" s="741">
        <v>0</v>
      </c>
      <c r="AK543" s="741">
        <v>0</v>
      </c>
      <c r="AL543" s="741">
        <v>0</v>
      </c>
      <c r="AM543" s="741">
        <v>0</v>
      </c>
      <c r="AN543" s="741">
        <v>0</v>
      </c>
      <c r="AO543" s="741">
        <v>0</v>
      </c>
      <c r="AP543" s="41" t="str">
        <f t="shared" si="140"/>
        <v>GLA</v>
      </c>
      <c r="AQ543" s="41" t="str">
        <f t="shared" si="141"/>
        <v>GLAA2Accounts Payable</v>
      </c>
      <c r="AR543" s="41" t="str">
        <f t="shared" si="142"/>
        <v>A2Accounts Payable</v>
      </c>
      <c r="CR543" s="625"/>
    </row>
    <row r="544" spans="1:96" s="41" customFormat="1" ht="12.75" customHeight="1">
      <c r="A544" s="25" t="s">
        <v>17</v>
      </c>
      <c r="B544" s="25" t="str">
        <f t="shared" si="152"/>
        <v>GL236070</v>
      </c>
      <c r="C544" s="638">
        <v>236070</v>
      </c>
      <c r="D544" s="735"/>
      <c r="F544" s="1" t="s">
        <v>530</v>
      </c>
      <c r="H544" s="736" t="s">
        <v>2556</v>
      </c>
      <c r="I544" s="25"/>
      <c r="J544" s="25"/>
      <c r="K544" s="442" t="str">
        <f t="shared" si="151"/>
        <v/>
      </c>
      <c r="L544" s="736" t="s">
        <v>2393</v>
      </c>
      <c r="M544" s="25" t="str">
        <f t="shared" si="153"/>
        <v>A</v>
      </c>
      <c r="N544" s="25" t="str">
        <f>IF(L544&lt;&gt;"",VLOOKUP(L544,Categories!$B$2:$D$41,2,FALSE),IF(F544&lt;&gt;"","No Cat",""))</f>
        <v>All Other</v>
      </c>
      <c r="O544" s="25" t="str">
        <f>IF($L544&lt;&gt;"",VLOOKUP($L544,Categories!$B$2:$D$41,3,FALSE),IF($F544&lt;&gt;"","No Cat",""))</f>
        <v>EB-Cap</v>
      </c>
      <c r="P544" s="736" t="s">
        <v>2490</v>
      </c>
      <c r="Q544" s="25" t="str">
        <f>VLOOKUP($P544,Allocators!$B$7:$F$19,5,FALSE)</f>
        <v>Rate Base</v>
      </c>
      <c r="R544" s="737">
        <f>VLOOKUP($P544,Allocators!$B$7:$F$19,2,FALSE)</f>
        <v>0.70940000000000003</v>
      </c>
      <c r="S544" s="737">
        <f>VLOOKUP($P544,Allocators!$B$7:$F$19,3,FALSE)</f>
        <v>0.29060000000000002</v>
      </c>
      <c r="T544" s="737" t="str">
        <f t="shared" si="154"/>
        <v>0.0%</v>
      </c>
      <c r="U544" s="2" t="str">
        <f t="shared" si="145"/>
        <v/>
      </c>
      <c r="V544" s="2" t="str">
        <f t="shared" si="146"/>
        <v/>
      </c>
      <c r="W544" s="2" t="str">
        <f t="shared" si="147"/>
        <v/>
      </c>
      <c r="X544" s="2">
        <f t="shared" si="143"/>
        <v>0</v>
      </c>
      <c r="Y544" s="2" t="str">
        <f t="shared" si="148"/>
        <v/>
      </c>
      <c r="Z544" s="2" t="str">
        <f t="shared" si="149"/>
        <v/>
      </c>
      <c r="AA544" s="2" t="str">
        <f t="shared" si="150"/>
        <v/>
      </c>
      <c r="AB544" s="2">
        <f t="shared" si="144"/>
        <v>0</v>
      </c>
      <c r="AC544" s="759">
        <v>0</v>
      </c>
      <c r="AD544" s="741">
        <v>0</v>
      </c>
      <c r="AE544" s="741">
        <v>0</v>
      </c>
      <c r="AF544" s="741">
        <v>0</v>
      </c>
      <c r="AG544" s="741">
        <v>0</v>
      </c>
      <c r="AH544" s="741">
        <v>0</v>
      </c>
      <c r="AI544" s="741">
        <v>0</v>
      </c>
      <c r="AJ544" s="741">
        <v>0</v>
      </c>
      <c r="AK544" s="741">
        <v>0</v>
      </c>
      <c r="AL544" s="741">
        <v>0</v>
      </c>
      <c r="AM544" s="741">
        <v>0</v>
      </c>
      <c r="AN544" s="741">
        <v>0</v>
      </c>
      <c r="AO544" s="741">
        <v>0</v>
      </c>
      <c r="AP544" s="41" t="str">
        <f t="shared" si="140"/>
        <v>GLA</v>
      </c>
      <c r="AQ544" s="41" t="str">
        <f t="shared" si="141"/>
        <v>GLAA2Accounts Payable</v>
      </c>
      <c r="AR544" s="41" t="str">
        <f t="shared" si="142"/>
        <v>A2Accounts Payable</v>
      </c>
      <c r="CR544" s="625"/>
    </row>
    <row r="545" spans="1:96" s="41" customFormat="1" ht="12.75" customHeight="1">
      <c r="A545" s="25" t="s">
        <v>17</v>
      </c>
      <c r="B545" s="25" t="str">
        <f t="shared" si="152"/>
        <v>GL236110</v>
      </c>
      <c r="C545" s="638">
        <v>236110</v>
      </c>
      <c r="D545" s="735"/>
      <c r="F545" s="1" t="s">
        <v>531</v>
      </c>
      <c r="H545" s="736" t="s">
        <v>2556</v>
      </c>
      <c r="I545" s="25"/>
      <c r="J545" s="25"/>
      <c r="K545" s="442" t="str">
        <f t="shared" si="151"/>
        <v/>
      </c>
      <c r="L545" s="736" t="s">
        <v>2393</v>
      </c>
      <c r="M545" s="25" t="str">
        <f t="shared" si="153"/>
        <v>A</v>
      </c>
      <c r="N545" s="25" t="str">
        <f>IF(L545&lt;&gt;"",VLOOKUP(L545,Categories!$B$2:$D$41,2,FALSE),IF(F545&lt;&gt;"","No Cat",""))</f>
        <v>All Other</v>
      </c>
      <c r="O545" s="25" t="str">
        <f>IF($L545&lt;&gt;"",VLOOKUP($L545,Categories!$B$2:$D$41,3,FALSE),IF($F545&lt;&gt;"","No Cat",""))</f>
        <v>EB-Cap</v>
      </c>
      <c r="P545" s="736" t="s">
        <v>2490</v>
      </c>
      <c r="Q545" s="25" t="str">
        <f>VLOOKUP($P545,Allocators!$B$7:$F$19,5,FALSE)</f>
        <v>Rate Base</v>
      </c>
      <c r="R545" s="737">
        <f>VLOOKUP($P545,Allocators!$B$7:$F$19,2,FALSE)</f>
        <v>0.70940000000000003</v>
      </c>
      <c r="S545" s="737">
        <f>VLOOKUP($P545,Allocators!$B$7:$F$19,3,FALSE)</f>
        <v>0.29060000000000002</v>
      </c>
      <c r="T545" s="737" t="str">
        <f t="shared" si="154"/>
        <v>0.0%</v>
      </c>
      <c r="U545" s="2">
        <f t="shared" si="145"/>
        <v>-418.41416037466598</v>
      </c>
      <c r="V545" s="2">
        <f t="shared" si="146"/>
        <v>-171.39999295866701</v>
      </c>
      <c r="W545" s="2">
        <f t="shared" si="147"/>
        <v>0</v>
      </c>
      <c r="X545" s="2">
        <f t="shared" si="143"/>
        <v>-589.81415333333302</v>
      </c>
      <c r="Y545" s="2" t="str">
        <f t="shared" si="148"/>
        <v/>
      </c>
      <c r="Z545" s="2" t="str">
        <f t="shared" si="149"/>
        <v/>
      </c>
      <c r="AA545" s="2" t="str">
        <f t="shared" si="150"/>
        <v/>
      </c>
      <c r="AB545" s="2">
        <f t="shared" si="144"/>
        <v>0</v>
      </c>
      <c r="AC545" s="759">
        <v>0</v>
      </c>
      <c r="AD545" s="741">
        <v>-9.8017700000000012</v>
      </c>
      <c r="AE545" s="741">
        <v>-11.98202</v>
      </c>
      <c r="AF545" s="741">
        <v>-17.974040000000002</v>
      </c>
      <c r="AG545" s="741">
        <v>-23.963360000000002</v>
      </c>
      <c r="AH545" s="741">
        <v>-1.0500000000000002E-3</v>
      </c>
      <c r="AI545" s="741">
        <v>0</v>
      </c>
      <c r="AJ545" s="741">
        <v>-2279.6673100000003</v>
      </c>
      <c r="AK545" s="741">
        <v>-4559.3349100000005</v>
      </c>
      <c r="AL545" s="741">
        <v>-175.04451</v>
      </c>
      <c r="AM545" s="741">
        <v>-8.7000000000000001E-4</v>
      </c>
      <c r="AN545" s="741">
        <v>0</v>
      </c>
      <c r="AO545" s="741">
        <v>0</v>
      </c>
      <c r="AP545" s="41" t="str">
        <f t="shared" si="140"/>
        <v>GLA</v>
      </c>
      <c r="AQ545" s="41" t="str">
        <f t="shared" si="141"/>
        <v>GLAA2Accounts Payable</v>
      </c>
      <c r="AR545" s="41" t="str">
        <f t="shared" si="142"/>
        <v>A2Accounts Payable</v>
      </c>
      <c r="CR545" s="625"/>
    </row>
    <row r="546" spans="1:96" s="41" customFormat="1" ht="12.75" customHeight="1">
      <c r="A546" s="25" t="s">
        <v>17</v>
      </c>
      <c r="B546" s="25" t="str">
        <f t="shared" si="152"/>
        <v>GL236120</v>
      </c>
      <c r="C546" s="638">
        <v>236120</v>
      </c>
      <c r="D546" s="735"/>
      <c r="F546" s="1" t="s">
        <v>532</v>
      </c>
      <c r="H546" s="736">
        <v>0</v>
      </c>
      <c r="I546" s="25"/>
      <c r="J546" s="25"/>
      <c r="K546" s="442" t="str">
        <f t="shared" si="151"/>
        <v/>
      </c>
      <c r="L546" s="736" t="s">
        <v>2393</v>
      </c>
      <c r="M546" s="25" t="str">
        <f t="shared" si="153"/>
        <v>A</v>
      </c>
      <c r="N546" s="25" t="str">
        <f>IF(L546&lt;&gt;"",VLOOKUP(L546,Categories!$B$2:$D$41,2,FALSE),IF(F546&lt;&gt;"","No Cat",""))</f>
        <v>All Other</v>
      </c>
      <c r="O546" s="25" t="str">
        <f>IF($L546&lt;&gt;"",VLOOKUP($L546,Categories!$B$2:$D$41,3,FALSE),IF($F546&lt;&gt;"","No Cat",""))</f>
        <v>EB-Cap</v>
      </c>
      <c r="P546" s="736" t="s">
        <v>2490</v>
      </c>
      <c r="Q546" s="25" t="str">
        <f>VLOOKUP($P546,Allocators!$B$7:$F$19,5,FALSE)</f>
        <v>Rate Base</v>
      </c>
      <c r="R546" s="737">
        <f>VLOOKUP($P546,Allocators!$B$7:$F$19,2,FALSE)</f>
        <v>0.70940000000000003</v>
      </c>
      <c r="S546" s="737">
        <f>VLOOKUP($P546,Allocators!$B$7:$F$19,3,FALSE)</f>
        <v>0.29060000000000002</v>
      </c>
      <c r="T546" s="737" t="str">
        <f t="shared" si="154"/>
        <v>0.0%</v>
      </c>
      <c r="U546" s="2" t="str">
        <f t="shared" si="145"/>
        <v/>
      </c>
      <c r="V546" s="2" t="str">
        <f t="shared" si="146"/>
        <v/>
      </c>
      <c r="W546" s="2" t="str">
        <f t="shared" si="147"/>
        <v/>
      </c>
      <c r="X546" s="2">
        <f t="shared" si="143"/>
        <v>0</v>
      </c>
      <c r="Y546" s="2" t="str">
        <f t="shared" si="148"/>
        <v/>
      </c>
      <c r="Z546" s="2" t="str">
        <f t="shared" si="149"/>
        <v/>
      </c>
      <c r="AA546" s="2" t="str">
        <f t="shared" si="150"/>
        <v/>
      </c>
      <c r="AB546" s="2">
        <f t="shared" si="144"/>
        <v>0</v>
      </c>
      <c r="AC546" s="759">
        <v>0</v>
      </c>
      <c r="AD546" s="741">
        <v>0</v>
      </c>
      <c r="AE546" s="741">
        <v>0</v>
      </c>
      <c r="AF546" s="741">
        <v>0</v>
      </c>
      <c r="AG546" s="741">
        <v>0</v>
      </c>
      <c r="AH546" s="741">
        <v>0</v>
      </c>
      <c r="AI546" s="741">
        <v>0</v>
      </c>
      <c r="AJ546" s="741">
        <v>0</v>
      </c>
      <c r="AK546" s="741">
        <v>0</v>
      </c>
      <c r="AL546" s="741">
        <v>0</v>
      </c>
      <c r="AM546" s="741">
        <v>0</v>
      </c>
      <c r="AN546" s="741">
        <v>0</v>
      </c>
      <c r="AO546" s="741">
        <v>0</v>
      </c>
      <c r="AP546" s="41" t="str">
        <f t="shared" si="140"/>
        <v>GLA</v>
      </c>
      <c r="AQ546" s="41" t="str">
        <f t="shared" si="141"/>
        <v>GLAA20</v>
      </c>
      <c r="AR546" s="41" t="str">
        <f t="shared" si="142"/>
        <v>A20</v>
      </c>
      <c r="CR546" s="625"/>
    </row>
    <row r="547" spans="1:96" s="41" customFormat="1" ht="12.75" customHeight="1">
      <c r="A547" s="25" t="s">
        <v>17</v>
      </c>
      <c r="B547" s="25" t="str">
        <f t="shared" si="152"/>
        <v>GL236130</v>
      </c>
      <c r="C547" s="638">
        <v>236130</v>
      </c>
      <c r="D547" s="735"/>
      <c r="F547" s="1" t="s">
        <v>533</v>
      </c>
      <c r="H547" s="736">
        <v>0</v>
      </c>
      <c r="I547" s="25"/>
      <c r="J547" s="25"/>
      <c r="K547" s="442" t="str">
        <f t="shared" si="151"/>
        <v/>
      </c>
      <c r="L547" s="736" t="s">
        <v>2393</v>
      </c>
      <c r="M547" s="25" t="str">
        <f t="shared" si="153"/>
        <v>A</v>
      </c>
      <c r="N547" s="25" t="str">
        <f>IF(L547&lt;&gt;"",VLOOKUP(L547,Categories!$B$2:$D$41,2,FALSE),IF(F547&lt;&gt;"","No Cat",""))</f>
        <v>All Other</v>
      </c>
      <c r="O547" s="25" t="str">
        <f>IF($L547&lt;&gt;"",VLOOKUP($L547,Categories!$B$2:$D$41,3,FALSE),IF($F547&lt;&gt;"","No Cat",""))</f>
        <v>EB-Cap</v>
      </c>
      <c r="P547" s="736" t="s">
        <v>2490</v>
      </c>
      <c r="Q547" s="25" t="str">
        <f>VLOOKUP($P547,Allocators!$B$7:$F$19,5,FALSE)</f>
        <v>Rate Base</v>
      </c>
      <c r="R547" s="737">
        <f>VLOOKUP($P547,Allocators!$B$7:$F$19,2,FALSE)</f>
        <v>0.70940000000000003</v>
      </c>
      <c r="S547" s="737">
        <f>VLOOKUP($P547,Allocators!$B$7:$F$19,3,FALSE)</f>
        <v>0.29060000000000002</v>
      </c>
      <c r="T547" s="737" t="str">
        <f t="shared" si="154"/>
        <v>0.0%</v>
      </c>
      <c r="U547" s="2">
        <f t="shared" si="145"/>
        <v>-3.5075023815000002</v>
      </c>
      <c r="V547" s="2">
        <f t="shared" si="146"/>
        <v>-1.4368201185</v>
      </c>
      <c r="W547" s="2">
        <f t="shared" si="147"/>
        <v>0</v>
      </c>
      <c r="X547" s="2">
        <f t="shared" si="143"/>
        <v>-4.9443225000000002</v>
      </c>
      <c r="Y547" s="2">
        <f t="shared" si="148"/>
        <v>-4.7415586599999999</v>
      </c>
      <c r="Z547" s="2">
        <f t="shared" si="149"/>
        <v>-1.94234134</v>
      </c>
      <c r="AA547" s="2">
        <f t="shared" si="150"/>
        <v>0</v>
      </c>
      <c r="AB547" s="2">
        <f t="shared" si="144"/>
        <v>-6.6838999999999995</v>
      </c>
      <c r="AC547" s="759">
        <v>-6.0979399999999995</v>
      </c>
      <c r="AD547" s="741">
        <v>-6.8623199999999995</v>
      </c>
      <c r="AE547" s="741">
        <v>-0.99432000000000009</v>
      </c>
      <c r="AF547" s="741">
        <v>-2.19489</v>
      </c>
      <c r="AG547" s="741">
        <v>-3.4939100000000001</v>
      </c>
      <c r="AH547" s="741">
        <v>-4.5349200000000005</v>
      </c>
      <c r="AI547" s="741">
        <v>-5.1831300000000002</v>
      </c>
      <c r="AJ547" s="741">
        <v>-5.5255799999999997</v>
      </c>
      <c r="AK547" s="741">
        <v>-5.7298999999999998</v>
      </c>
      <c r="AL547" s="741">
        <v>-5.9425600000000003</v>
      </c>
      <c r="AM547" s="741">
        <v>-6.1302099999999999</v>
      </c>
      <c r="AN547" s="741">
        <v>-6.3492100000000002</v>
      </c>
      <c r="AO547" s="741">
        <v>-6.6838999999999995</v>
      </c>
      <c r="AP547" s="41" t="str">
        <f t="shared" si="140"/>
        <v>GLA</v>
      </c>
      <c r="AQ547" s="41" t="str">
        <f t="shared" si="141"/>
        <v>GLAA20</v>
      </c>
      <c r="AR547" s="41" t="str">
        <f t="shared" si="142"/>
        <v>A20</v>
      </c>
      <c r="CR547" s="625"/>
    </row>
    <row r="548" spans="1:96" s="41" customFormat="1" ht="12.75" customHeight="1">
      <c r="A548" s="25" t="s">
        <v>17</v>
      </c>
      <c r="B548" s="25" t="str">
        <f t="shared" si="152"/>
        <v>GL236140</v>
      </c>
      <c r="C548" s="638">
        <v>236140</v>
      </c>
      <c r="D548" s="735"/>
      <c r="F548" s="1" t="s">
        <v>534</v>
      </c>
      <c r="H548" s="736">
        <v>0</v>
      </c>
      <c r="I548" s="25"/>
      <c r="J548" s="25"/>
      <c r="K548" s="442" t="str">
        <f t="shared" si="151"/>
        <v/>
      </c>
      <c r="L548" s="736" t="s">
        <v>2393</v>
      </c>
      <c r="M548" s="25" t="str">
        <f t="shared" si="153"/>
        <v>A</v>
      </c>
      <c r="N548" s="25" t="str">
        <f>IF(L548&lt;&gt;"",VLOOKUP(L548,Categories!$B$2:$D$41,2,FALSE),IF(F548&lt;&gt;"","No Cat",""))</f>
        <v>All Other</v>
      </c>
      <c r="O548" s="25" t="str">
        <f>IF($L548&lt;&gt;"",VLOOKUP($L548,Categories!$B$2:$D$41,3,FALSE),IF($F548&lt;&gt;"","No Cat",""))</f>
        <v>EB-Cap</v>
      </c>
      <c r="P548" s="736" t="s">
        <v>2490</v>
      </c>
      <c r="Q548" s="25" t="str">
        <f>VLOOKUP($P548,Allocators!$B$7:$F$19,5,FALSE)</f>
        <v>Rate Base</v>
      </c>
      <c r="R548" s="737">
        <f>VLOOKUP($P548,Allocators!$B$7:$F$19,2,FALSE)</f>
        <v>0.70940000000000003</v>
      </c>
      <c r="S548" s="737">
        <f>VLOOKUP($P548,Allocators!$B$7:$F$19,3,FALSE)</f>
        <v>0.29060000000000002</v>
      </c>
      <c r="T548" s="737" t="str">
        <f t="shared" si="154"/>
        <v>0.0%</v>
      </c>
      <c r="U548" s="2">
        <f t="shared" si="145"/>
        <v>-4.34012841291666</v>
      </c>
      <c r="V548" s="2">
        <f t="shared" si="146"/>
        <v>-1.7778986704166699</v>
      </c>
      <c r="W548" s="2">
        <f t="shared" si="147"/>
        <v>0</v>
      </c>
      <c r="X548" s="2">
        <f t="shared" si="143"/>
        <v>-6.1180270833333301</v>
      </c>
      <c r="Y548" s="2">
        <f t="shared" si="148"/>
        <v>-5.4296624720000004</v>
      </c>
      <c r="Z548" s="2">
        <f t="shared" si="149"/>
        <v>-2.2242175280000001</v>
      </c>
      <c r="AA548" s="2">
        <f t="shared" si="150"/>
        <v>0</v>
      </c>
      <c r="AB548" s="2">
        <f t="shared" si="144"/>
        <v>-7.65388</v>
      </c>
      <c r="AC548" s="759">
        <v>-7.1037700000000008</v>
      </c>
      <c r="AD548" s="741">
        <v>-8.9070999999999998</v>
      </c>
      <c r="AE548" s="741">
        <v>-10.660270000000001</v>
      </c>
      <c r="AF548" s="741">
        <v>-0.64046000000000003</v>
      </c>
      <c r="AG548" s="741">
        <v>-2.7236400000000001</v>
      </c>
      <c r="AH548" s="741">
        <v>-4.3968400000000001</v>
      </c>
      <c r="AI548" s="741">
        <v>-5.5889300000000004</v>
      </c>
      <c r="AJ548" s="741">
        <v>-5.9195699999999993</v>
      </c>
      <c r="AK548" s="741">
        <v>-6.2879899999999997</v>
      </c>
      <c r="AL548" s="741">
        <v>-6.5798900000000007</v>
      </c>
      <c r="AM548" s="741">
        <v>-6.9322100000000004</v>
      </c>
      <c r="AN548" s="741">
        <v>-7.4006000000000007</v>
      </c>
      <c r="AO548" s="741">
        <v>-7.65388</v>
      </c>
      <c r="AP548" s="41" t="str">
        <f t="shared" si="140"/>
        <v>GLA</v>
      </c>
      <c r="AQ548" s="41" t="str">
        <f t="shared" si="141"/>
        <v>GLAA20</v>
      </c>
      <c r="AR548" s="41" t="str">
        <f t="shared" si="142"/>
        <v>A20</v>
      </c>
      <c r="CR548" s="625"/>
    </row>
    <row r="549" spans="1:96" s="41" customFormat="1" ht="12.75" customHeight="1">
      <c r="A549" s="25" t="s">
        <v>17</v>
      </c>
      <c r="B549" s="25" t="str">
        <f t="shared" si="152"/>
        <v>GL236150</v>
      </c>
      <c r="C549" s="638">
        <v>236150</v>
      </c>
      <c r="D549" s="735"/>
      <c r="F549" s="1" t="s">
        <v>535</v>
      </c>
      <c r="H549" s="736">
        <v>0</v>
      </c>
      <c r="I549" s="25"/>
      <c r="J549" s="25"/>
      <c r="K549" s="442" t="str">
        <f t="shared" si="151"/>
        <v/>
      </c>
      <c r="L549" s="736" t="s">
        <v>2393</v>
      </c>
      <c r="M549" s="25" t="str">
        <f t="shared" si="153"/>
        <v>A</v>
      </c>
      <c r="N549" s="25" t="str">
        <f>IF(L549&lt;&gt;"",VLOOKUP(L549,Categories!$B$2:$D$41,2,FALSE),IF(F549&lt;&gt;"","No Cat",""))</f>
        <v>All Other</v>
      </c>
      <c r="O549" s="25" t="str">
        <f>IF($L549&lt;&gt;"",VLOOKUP($L549,Categories!$B$2:$D$41,3,FALSE),IF($F549&lt;&gt;"","No Cat",""))</f>
        <v>EB-Cap</v>
      </c>
      <c r="P549" s="736" t="s">
        <v>2490</v>
      </c>
      <c r="Q549" s="25" t="str">
        <f>VLOOKUP($P549,Allocators!$B$7:$F$19,5,FALSE)</f>
        <v>Rate Base</v>
      </c>
      <c r="R549" s="737">
        <f>VLOOKUP($P549,Allocators!$B$7:$F$19,2,FALSE)</f>
        <v>0.70940000000000003</v>
      </c>
      <c r="S549" s="737">
        <f>VLOOKUP($P549,Allocators!$B$7:$F$19,3,FALSE)</f>
        <v>0.29060000000000002</v>
      </c>
      <c r="T549" s="737" t="str">
        <f t="shared" si="154"/>
        <v>0.0%</v>
      </c>
      <c r="U549" s="2">
        <f t="shared" si="145"/>
        <v>-0.11790287116666601</v>
      </c>
      <c r="V549" s="2">
        <f t="shared" si="146"/>
        <v>-4.8297962166666999E-2</v>
      </c>
      <c r="W549" s="2">
        <f t="shared" si="147"/>
        <v>0</v>
      </c>
      <c r="X549" s="2">
        <f t="shared" si="143"/>
        <v>-0.16620083333333299</v>
      </c>
      <c r="Y549" s="2" t="str">
        <f t="shared" si="148"/>
        <v/>
      </c>
      <c r="Z549" s="2" t="str">
        <f t="shared" si="149"/>
        <v/>
      </c>
      <c r="AA549" s="2" t="str">
        <f t="shared" si="150"/>
        <v/>
      </c>
      <c r="AB549" s="2">
        <f t="shared" si="144"/>
        <v>0</v>
      </c>
      <c r="AC549" s="759">
        <v>0</v>
      </c>
      <c r="AD549" s="741">
        <v>-0.15622</v>
      </c>
      <c r="AE549" s="741">
        <v>-0.36651999999999996</v>
      </c>
      <c r="AF549" s="741">
        <v>-3.2750000000000001E-2</v>
      </c>
      <c r="AG549" s="741">
        <v>-0.19875999999999999</v>
      </c>
      <c r="AH549" s="741">
        <v>-0.33423999999999998</v>
      </c>
      <c r="AI549" s="741">
        <v>-3.2750000000000001E-2</v>
      </c>
      <c r="AJ549" s="741">
        <v>-0.16281000000000001</v>
      </c>
      <c r="AK549" s="741">
        <v>-0.28427999999999998</v>
      </c>
      <c r="AL549" s="741">
        <v>-3.2750000000000001E-2</v>
      </c>
      <c r="AM549" s="741">
        <v>-0.14235</v>
      </c>
      <c r="AN549" s="741">
        <v>-0.25097999999999998</v>
      </c>
      <c r="AO549" s="741">
        <v>0</v>
      </c>
      <c r="AP549" s="41" t="str">
        <f t="shared" si="140"/>
        <v>GLA</v>
      </c>
      <c r="AQ549" s="41" t="str">
        <f t="shared" si="141"/>
        <v>GLAA20</v>
      </c>
      <c r="AR549" s="41" t="str">
        <f t="shared" si="142"/>
        <v>A20</v>
      </c>
      <c r="CR549" s="625"/>
    </row>
    <row r="550" spans="1:96" s="41" customFormat="1" ht="12.75" customHeight="1">
      <c r="A550" s="25" t="s">
        <v>17</v>
      </c>
      <c r="B550" s="25" t="str">
        <f t="shared" si="152"/>
        <v>GL236160</v>
      </c>
      <c r="C550" s="638">
        <v>236160</v>
      </c>
      <c r="D550" s="735"/>
      <c r="F550" s="1" t="s">
        <v>536</v>
      </c>
      <c r="H550" s="736">
        <v>0</v>
      </c>
      <c r="I550" s="25"/>
      <c r="J550" s="25"/>
      <c r="K550" s="442" t="str">
        <f t="shared" si="151"/>
        <v/>
      </c>
      <c r="L550" s="736" t="s">
        <v>2393</v>
      </c>
      <c r="M550" s="25" t="str">
        <f t="shared" si="153"/>
        <v>A</v>
      </c>
      <c r="N550" s="25" t="str">
        <f>IF(L550&lt;&gt;"",VLOOKUP(L550,Categories!$B$2:$D$41,2,FALSE),IF(F550&lt;&gt;"","No Cat",""))</f>
        <v>All Other</v>
      </c>
      <c r="O550" s="25" t="str">
        <f>IF($L550&lt;&gt;"",VLOOKUP($L550,Categories!$B$2:$D$41,3,FALSE),IF($F550&lt;&gt;"","No Cat",""))</f>
        <v>EB-Cap</v>
      </c>
      <c r="P550" s="736" t="s">
        <v>2490</v>
      </c>
      <c r="Q550" s="25" t="str">
        <f>VLOOKUP($P550,Allocators!$B$7:$F$19,5,FALSE)</f>
        <v>Rate Base</v>
      </c>
      <c r="R550" s="737">
        <f>VLOOKUP($P550,Allocators!$B$7:$F$19,2,FALSE)</f>
        <v>0.70940000000000003</v>
      </c>
      <c r="S550" s="737">
        <f>VLOOKUP($P550,Allocators!$B$7:$F$19,3,FALSE)</f>
        <v>0.29060000000000002</v>
      </c>
      <c r="T550" s="737" t="str">
        <f t="shared" si="154"/>
        <v>0.0%</v>
      </c>
      <c r="U550" s="2">
        <f t="shared" si="145"/>
        <v>-4.9106039506666601</v>
      </c>
      <c r="V550" s="2">
        <f t="shared" si="146"/>
        <v>-2.0115893826666702</v>
      </c>
      <c r="W550" s="2">
        <f t="shared" si="147"/>
        <v>0</v>
      </c>
      <c r="X550" s="2">
        <f t="shared" si="143"/>
        <v>-6.9221933333333299</v>
      </c>
      <c r="Y550" s="2">
        <f t="shared" si="148"/>
        <v>-6.1876350899999997</v>
      </c>
      <c r="Z550" s="2">
        <f t="shared" si="149"/>
        <v>-2.5347149099999999</v>
      </c>
      <c r="AA550" s="2">
        <f t="shared" si="150"/>
        <v>0</v>
      </c>
      <c r="AB550" s="2">
        <f t="shared" si="144"/>
        <v>-8.7223500000000005</v>
      </c>
      <c r="AC550" s="759">
        <v>-8.6490899999999993</v>
      </c>
      <c r="AD550" s="741">
        <v>-10.115209999999999</v>
      </c>
      <c r="AE550" s="741">
        <v>-12.85566</v>
      </c>
      <c r="AF550" s="741">
        <v>-0.30829000000000001</v>
      </c>
      <c r="AG550" s="741">
        <v>-3.0249299999999999</v>
      </c>
      <c r="AH550" s="741">
        <v>-5.0542600000000002</v>
      </c>
      <c r="AI550" s="741">
        <v>-5.9992900000000002</v>
      </c>
      <c r="AJ550" s="741">
        <v>-6.7343700000000002</v>
      </c>
      <c r="AK550" s="741">
        <v>-6.9958800000000005</v>
      </c>
      <c r="AL550" s="741">
        <v>-7.3652499999999996</v>
      </c>
      <c r="AM550" s="741">
        <v>-7.7015399999999996</v>
      </c>
      <c r="AN550" s="741">
        <v>-8.2259200000000003</v>
      </c>
      <c r="AO550" s="741">
        <v>-8.7223500000000005</v>
      </c>
      <c r="AP550" s="41" t="str">
        <f t="shared" si="140"/>
        <v>GLA</v>
      </c>
      <c r="AQ550" s="41" t="str">
        <f t="shared" si="141"/>
        <v>GLAA20</v>
      </c>
      <c r="AR550" s="41" t="str">
        <f t="shared" si="142"/>
        <v>A20</v>
      </c>
      <c r="CR550" s="625"/>
    </row>
    <row r="551" spans="1:96" s="41" customFormat="1" ht="12.75" customHeight="1">
      <c r="A551" s="25" t="s">
        <v>17</v>
      </c>
      <c r="B551" s="25" t="str">
        <f t="shared" si="152"/>
        <v>GL236180</v>
      </c>
      <c r="C551" s="638">
        <v>236180</v>
      </c>
      <c r="D551" s="735"/>
      <c r="F551" s="1" t="s">
        <v>537</v>
      </c>
      <c r="H551" s="736">
        <v>0</v>
      </c>
      <c r="I551" s="25"/>
      <c r="J551" s="25"/>
      <c r="K551" s="442" t="str">
        <f t="shared" si="151"/>
        <v/>
      </c>
      <c r="L551" s="736" t="s">
        <v>2393</v>
      </c>
      <c r="M551" s="25" t="str">
        <f t="shared" si="153"/>
        <v>A</v>
      </c>
      <c r="N551" s="25" t="str">
        <f>IF(L551&lt;&gt;"",VLOOKUP(L551,Categories!$B$2:$D$41,2,FALSE),IF(F551&lt;&gt;"","No Cat",""))</f>
        <v>All Other</v>
      </c>
      <c r="O551" s="25" t="str">
        <f>IF($L551&lt;&gt;"",VLOOKUP($L551,Categories!$B$2:$D$41,3,FALSE),IF($F551&lt;&gt;"","No Cat",""))</f>
        <v>EB-Cap</v>
      </c>
      <c r="P551" s="736" t="s">
        <v>2490</v>
      </c>
      <c r="Q551" s="25" t="str">
        <f>VLOOKUP($P551,Allocators!$B$7:$F$19,5,FALSE)</f>
        <v>Rate Base</v>
      </c>
      <c r="R551" s="737">
        <f>VLOOKUP($P551,Allocators!$B$7:$F$19,2,FALSE)</f>
        <v>0.70940000000000003</v>
      </c>
      <c r="S551" s="737">
        <f>VLOOKUP($P551,Allocators!$B$7:$F$19,3,FALSE)</f>
        <v>0.29060000000000002</v>
      </c>
      <c r="T551" s="737" t="str">
        <f t="shared" si="154"/>
        <v>0.0%</v>
      </c>
      <c r="U551" s="2">
        <f t="shared" si="145"/>
        <v>-3.7226087185833401</v>
      </c>
      <c r="V551" s="2">
        <f t="shared" si="146"/>
        <v>-1.5249366980833301</v>
      </c>
      <c r="W551" s="2">
        <f t="shared" si="147"/>
        <v>0</v>
      </c>
      <c r="X551" s="2">
        <f t="shared" si="143"/>
        <v>-5.2475454166666697</v>
      </c>
      <c r="Y551" s="2">
        <f t="shared" si="148"/>
        <v>-4.7389125979999998</v>
      </c>
      <c r="Z551" s="2">
        <f t="shared" si="149"/>
        <v>-1.941257402</v>
      </c>
      <c r="AA551" s="2">
        <f t="shared" si="150"/>
        <v>0</v>
      </c>
      <c r="AB551" s="2">
        <f t="shared" si="144"/>
        <v>-6.6801700000000004</v>
      </c>
      <c r="AC551" s="759">
        <v>-6.5464200000000003</v>
      </c>
      <c r="AD551" s="741">
        <v>-7.8562599999999998</v>
      </c>
      <c r="AE551" s="741">
        <v>-9.5331799999999998</v>
      </c>
      <c r="AF551" s="741">
        <v>-0.29922000000000004</v>
      </c>
      <c r="AG551" s="741">
        <v>-2.2608299999999999</v>
      </c>
      <c r="AH551" s="741">
        <v>-3.59816</v>
      </c>
      <c r="AI551" s="741">
        <v>-4.5790699999999998</v>
      </c>
      <c r="AJ551" s="741">
        <v>-5.0195299999999996</v>
      </c>
      <c r="AK551" s="741">
        <v>-5.3182799999999997</v>
      </c>
      <c r="AL551" s="741">
        <v>-5.6160399999999999</v>
      </c>
      <c r="AM551" s="741">
        <v>-5.9211</v>
      </c>
      <c r="AN551" s="741">
        <v>-6.3555799999999998</v>
      </c>
      <c r="AO551" s="741">
        <v>-6.6801700000000004</v>
      </c>
      <c r="AP551" s="41" t="str">
        <f t="shared" si="140"/>
        <v>GLA</v>
      </c>
      <c r="AQ551" s="41" t="str">
        <f t="shared" si="141"/>
        <v>GLAA20</v>
      </c>
      <c r="AR551" s="41" t="str">
        <f t="shared" si="142"/>
        <v>A20</v>
      </c>
      <c r="CR551" s="625"/>
    </row>
    <row r="552" spans="1:96" s="41" customFormat="1" ht="12.75" customHeight="1">
      <c r="A552" s="25" t="s">
        <v>17</v>
      </c>
      <c r="B552" s="25" t="str">
        <f t="shared" si="152"/>
        <v>GL236190</v>
      </c>
      <c r="C552" s="638">
        <v>236190</v>
      </c>
      <c r="D552" s="735"/>
      <c r="F552" s="1" t="s">
        <v>538</v>
      </c>
      <c r="H552" s="736" t="s">
        <v>2556</v>
      </c>
      <c r="I552" s="25"/>
      <c r="J552" s="25"/>
      <c r="K552" s="442" t="str">
        <f t="shared" si="151"/>
        <v/>
      </c>
      <c r="L552" s="736" t="s">
        <v>2393</v>
      </c>
      <c r="M552" s="25" t="str">
        <f t="shared" si="153"/>
        <v>A</v>
      </c>
      <c r="N552" s="25" t="str">
        <f>IF(L552&lt;&gt;"",VLOOKUP(L552,Categories!$B$2:$D$41,2,FALSE),IF(F552&lt;&gt;"","No Cat",""))</f>
        <v>All Other</v>
      </c>
      <c r="O552" s="25" t="str">
        <f>IF($L552&lt;&gt;"",VLOOKUP($L552,Categories!$B$2:$D$41,3,FALSE),IF($F552&lt;&gt;"","No Cat",""))</f>
        <v>EB-Cap</v>
      </c>
      <c r="P552" s="736" t="s">
        <v>2490</v>
      </c>
      <c r="Q552" s="25" t="str">
        <f>VLOOKUP($P552,Allocators!$B$7:$F$19,5,FALSE)</f>
        <v>Rate Base</v>
      </c>
      <c r="R552" s="737">
        <f>VLOOKUP($P552,Allocators!$B$7:$F$19,2,FALSE)</f>
        <v>0.70940000000000003</v>
      </c>
      <c r="S552" s="737">
        <f>VLOOKUP($P552,Allocators!$B$7:$F$19,3,FALSE)</f>
        <v>0.29060000000000002</v>
      </c>
      <c r="T552" s="737" t="str">
        <f t="shared" si="154"/>
        <v>0.0%</v>
      </c>
      <c r="U552" s="2">
        <f t="shared" si="145"/>
        <v>-513.43293913399998</v>
      </c>
      <c r="V552" s="2">
        <f t="shared" si="146"/>
        <v>-210.32367086599999</v>
      </c>
      <c r="W552" s="2">
        <f t="shared" si="147"/>
        <v>0</v>
      </c>
      <c r="X552" s="2">
        <f t="shared" si="143"/>
        <v>-723.75661000000002</v>
      </c>
      <c r="Y552" s="2">
        <f t="shared" si="148"/>
        <v>-606.15945022599999</v>
      </c>
      <c r="Z552" s="2">
        <f t="shared" si="149"/>
        <v>-248.30833977399999</v>
      </c>
      <c r="AA552" s="2">
        <f t="shared" si="150"/>
        <v>0</v>
      </c>
      <c r="AB552" s="2">
        <f t="shared" si="144"/>
        <v>-854.46779000000004</v>
      </c>
      <c r="AC552" s="759">
        <v>-836.45389</v>
      </c>
      <c r="AD552" s="741">
        <v>-1043.17851</v>
      </c>
      <c r="AE552" s="741">
        <v>-885.04847999999993</v>
      </c>
      <c r="AF552" s="741">
        <v>-882.07586000000003</v>
      </c>
      <c r="AG552" s="741">
        <v>-769.28850999999997</v>
      </c>
      <c r="AH552" s="741">
        <v>-752.02661000000001</v>
      </c>
      <c r="AI552" s="741">
        <v>-633.52418999999998</v>
      </c>
      <c r="AJ552" s="741">
        <v>-609.29078000000004</v>
      </c>
      <c r="AK552" s="741">
        <v>-543.64274</v>
      </c>
      <c r="AL552" s="741">
        <v>-520.04999999999995</v>
      </c>
      <c r="AM552" s="741">
        <v>-503.00292999999999</v>
      </c>
      <c r="AN552" s="741">
        <v>-698.48987</v>
      </c>
      <c r="AO552" s="741">
        <v>-854.46779000000004</v>
      </c>
      <c r="AP552" s="41" t="str">
        <f t="shared" si="140"/>
        <v>GLA</v>
      </c>
      <c r="AQ552" s="41" t="str">
        <f t="shared" si="141"/>
        <v>GLAA2Accounts Payable</v>
      </c>
      <c r="AR552" s="41" t="str">
        <f t="shared" si="142"/>
        <v>A2Accounts Payable</v>
      </c>
      <c r="CR552" s="625"/>
    </row>
    <row r="553" spans="1:96" s="41" customFormat="1" ht="12.75" customHeight="1">
      <c r="A553" s="25" t="s">
        <v>17</v>
      </c>
      <c r="B553" s="25" t="str">
        <f t="shared" si="152"/>
        <v>GL236200</v>
      </c>
      <c r="C553" s="638">
        <v>236200</v>
      </c>
      <c r="D553" s="735"/>
      <c r="F553" s="1" t="s">
        <v>539</v>
      </c>
      <c r="H553" s="736" t="s">
        <v>2556</v>
      </c>
      <c r="I553" s="25"/>
      <c r="J553" s="25"/>
      <c r="K553" s="442" t="str">
        <f t="shared" si="151"/>
        <v/>
      </c>
      <c r="L553" s="736" t="s">
        <v>2393</v>
      </c>
      <c r="M553" s="25" t="str">
        <f t="shared" si="153"/>
        <v>A</v>
      </c>
      <c r="N553" s="25" t="str">
        <f>IF(L553&lt;&gt;"",VLOOKUP(L553,Categories!$B$2:$D$41,2,FALSE),IF(F553&lt;&gt;"","No Cat",""))</f>
        <v>All Other</v>
      </c>
      <c r="O553" s="25" t="str">
        <f>IF($L553&lt;&gt;"",VLOOKUP($L553,Categories!$B$2:$D$41,3,FALSE),IF($F553&lt;&gt;"","No Cat",""))</f>
        <v>EB-Cap</v>
      </c>
      <c r="P553" s="736" t="s">
        <v>2490</v>
      </c>
      <c r="Q553" s="25" t="str">
        <f>VLOOKUP($P553,Allocators!$B$7:$F$19,5,FALSE)</f>
        <v>Rate Base</v>
      </c>
      <c r="R553" s="737">
        <f>VLOOKUP($P553,Allocators!$B$7:$F$19,2,FALSE)</f>
        <v>0.70940000000000003</v>
      </c>
      <c r="S553" s="737">
        <f>VLOOKUP($P553,Allocators!$B$7:$F$19,3,FALSE)</f>
        <v>0.29060000000000002</v>
      </c>
      <c r="T553" s="737" t="str">
        <f t="shared" si="154"/>
        <v>0.0%</v>
      </c>
      <c r="U553" s="2">
        <f t="shared" si="145"/>
        <v>-12695.4816567731</v>
      </c>
      <c r="V553" s="2">
        <f t="shared" si="146"/>
        <v>-5200.6018740601603</v>
      </c>
      <c r="W553" s="2">
        <f t="shared" si="147"/>
        <v>0</v>
      </c>
      <c r="X553" s="2">
        <f t="shared" si="143"/>
        <v>-17896.083530833301</v>
      </c>
      <c r="Y553" s="2">
        <f t="shared" si="148"/>
        <v>-3638.9261872940001</v>
      </c>
      <c r="Z553" s="2">
        <f t="shared" si="149"/>
        <v>-1490.656822706</v>
      </c>
      <c r="AA553" s="2">
        <f t="shared" si="150"/>
        <v>0</v>
      </c>
      <c r="AB553" s="2">
        <f t="shared" si="144"/>
        <v>-5129.5830099999994</v>
      </c>
      <c r="AC553" s="759">
        <v>-21345.338070000002</v>
      </c>
      <c r="AD553" s="741">
        <v>-31747.771379999998</v>
      </c>
      <c r="AE553" s="741">
        <v>-39250.828259999995</v>
      </c>
      <c r="AF553" s="741">
        <v>-36036.654259999996</v>
      </c>
      <c r="AG553" s="741">
        <v>-16553.871769999998</v>
      </c>
      <c r="AH553" s="741">
        <v>-28247.576420000001</v>
      </c>
      <c r="AI553" s="741">
        <v>-16036.671249999999</v>
      </c>
      <c r="AJ553" s="741">
        <v>-19381.06208</v>
      </c>
      <c r="AK553" s="741">
        <v>-18601.912929999999</v>
      </c>
      <c r="AL553" s="741">
        <v>-5070.6141399999997</v>
      </c>
      <c r="AM553" s="741">
        <v>6713.7739000000001</v>
      </c>
      <c r="AN553" s="741">
        <v>2697.6467599999996</v>
      </c>
      <c r="AO553" s="741">
        <v>-5129.5830099999994</v>
      </c>
      <c r="AP553" s="41" t="str">
        <f t="shared" si="140"/>
        <v>GLA</v>
      </c>
      <c r="AQ553" s="41" t="str">
        <f t="shared" si="141"/>
        <v>GLAA2Accounts Payable</v>
      </c>
      <c r="AR553" s="41" t="str">
        <f t="shared" si="142"/>
        <v>A2Accounts Payable</v>
      </c>
      <c r="CR553" s="625"/>
    </row>
    <row r="554" spans="1:96" s="41" customFormat="1" ht="12.75" customHeight="1">
      <c r="A554" s="25" t="s">
        <v>17</v>
      </c>
      <c r="B554" s="25" t="str">
        <f t="shared" si="152"/>
        <v>GL236210</v>
      </c>
      <c r="C554" s="638">
        <v>236210</v>
      </c>
      <c r="D554" s="735"/>
      <c r="F554" s="1" t="s">
        <v>540</v>
      </c>
      <c r="H554" s="736" t="s">
        <v>2556</v>
      </c>
      <c r="I554" s="25"/>
      <c r="J554" s="25"/>
      <c r="K554" s="442" t="str">
        <f t="shared" si="151"/>
        <v/>
      </c>
      <c r="L554" s="736" t="s">
        <v>2393</v>
      </c>
      <c r="M554" s="25" t="str">
        <f t="shared" si="153"/>
        <v>A</v>
      </c>
      <c r="N554" s="25" t="str">
        <f>IF(L554&lt;&gt;"",VLOOKUP(L554,Categories!$B$2:$D$41,2,FALSE),IF(F554&lt;&gt;"","No Cat",""))</f>
        <v>All Other</v>
      </c>
      <c r="O554" s="25" t="str">
        <f>IF($L554&lt;&gt;"",VLOOKUP($L554,Categories!$B$2:$D$41,3,FALSE),IF($F554&lt;&gt;"","No Cat",""))</f>
        <v>EB-Cap</v>
      </c>
      <c r="P554" s="736" t="s">
        <v>2490</v>
      </c>
      <c r="Q554" s="25" t="str">
        <f>VLOOKUP($P554,Allocators!$B$7:$F$19,5,FALSE)</f>
        <v>Rate Base</v>
      </c>
      <c r="R554" s="737">
        <f>VLOOKUP($P554,Allocators!$B$7:$F$19,2,FALSE)</f>
        <v>0.70940000000000003</v>
      </c>
      <c r="S554" s="737">
        <f>VLOOKUP($P554,Allocators!$B$7:$F$19,3,FALSE)</f>
        <v>0.29060000000000002</v>
      </c>
      <c r="T554" s="737" t="str">
        <f t="shared" si="154"/>
        <v>0.0%</v>
      </c>
      <c r="U554" s="2">
        <f t="shared" si="145"/>
        <v>-313.55545767291602</v>
      </c>
      <c r="V554" s="2">
        <f t="shared" si="146"/>
        <v>-128.44546941041699</v>
      </c>
      <c r="W554" s="2">
        <f t="shared" si="147"/>
        <v>0</v>
      </c>
      <c r="X554" s="2">
        <f t="shared" si="143"/>
        <v>-442.00092708333301</v>
      </c>
      <c r="Y554" s="2">
        <f t="shared" si="148"/>
        <v>13.601900814</v>
      </c>
      <c r="Z554" s="2">
        <f t="shared" si="149"/>
        <v>5.5719091860000001</v>
      </c>
      <c r="AA554" s="2">
        <f t="shared" si="150"/>
        <v>0</v>
      </c>
      <c r="AB554" s="2">
        <f t="shared" si="144"/>
        <v>19.17381</v>
      </c>
      <c r="AC554" s="759">
        <v>-1113.77718</v>
      </c>
      <c r="AD554" s="741">
        <v>-1759.31104</v>
      </c>
      <c r="AE554" s="741">
        <v>-2427.1309100000003</v>
      </c>
      <c r="AF554" s="741">
        <v>589.7863000000001</v>
      </c>
      <c r="AG554" s="741">
        <v>223.78721999999999</v>
      </c>
      <c r="AH554" s="741">
        <v>-71.942399999999992</v>
      </c>
      <c r="AI554" s="741">
        <v>272.87395000000004</v>
      </c>
      <c r="AJ554" s="741">
        <v>-122.31933000000001</v>
      </c>
      <c r="AK554" s="741">
        <v>-558.76585999999998</v>
      </c>
      <c r="AL554" s="741">
        <v>141.03670000000002</v>
      </c>
      <c r="AM554" s="741">
        <v>-279.47343000000001</v>
      </c>
      <c r="AN554" s="741">
        <v>-765.25063999999998</v>
      </c>
      <c r="AO554" s="741">
        <v>19.17381</v>
      </c>
      <c r="AP554" s="41" t="str">
        <f t="shared" si="140"/>
        <v>GLA</v>
      </c>
      <c r="AQ554" s="41" t="str">
        <f t="shared" si="141"/>
        <v>GLAA2Accounts Payable</v>
      </c>
      <c r="AR554" s="41" t="str">
        <f t="shared" si="142"/>
        <v>A2Accounts Payable</v>
      </c>
      <c r="CR554" s="625"/>
    </row>
    <row r="555" spans="1:96" s="41" customFormat="1" ht="12.75" customHeight="1">
      <c r="A555" s="25" t="s">
        <v>17</v>
      </c>
      <c r="B555" s="25" t="str">
        <f t="shared" si="152"/>
        <v>GL236220</v>
      </c>
      <c r="C555" s="638">
        <v>236220</v>
      </c>
      <c r="D555" s="735"/>
      <c r="F555" s="1" t="s">
        <v>541</v>
      </c>
      <c r="H555" s="736">
        <v>0</v>
      </c>
      <c r="I555" s="25"/>
      <c r="J555" s="25"/>
      <c r="K555" s="442" t="str">
        <f t="shared" si="151"/>
        <v/>
      </c>
      <c r="L555" s="736" t="s">
        <v>2393</v>
      </c>
      <c r="M555" s="25" t="str">
        <f t="shared" si="153"/>
        <v>A</v>
      </c>
      <c r="N555" s="25" t="str">
        <f>IF(L555&lt;&gt;"",VLOOKUP(L555,Categories!$B$2:$D$41,2,FALSE),IF(F555&lt;&gt;"","No Cat",""))</f>
        <v>All Other</v>
      </c>
      <c r="O555" s="25" t="str">
        <f>IF($L555&lt;&gt;"",VLOOKUP($L555,Categories!$B$2:$D$41,3,FALSE),IF($F555&lt;&gt;"","No Cat",""))</f>
        <v>EB-Cap</v>
      </c>
      <c r="P555" s="736" t="s">
        <v>2490</v>
      </c>
      <c r="Q555" s="25" t="str">
        <f>VLOOKUP($P555,Allocators!$B$7:$F$19,5,FALSE)</f>
        <v>Rate Base</v>
      </c>
      <c r="R555" s="737">
        <f>VLOOKUP($P555,Allocators!$B$7:$F$19,2,FALSE)</f>
        <v>0.70940000000000003</v>
      </c>
      <c r="S555" s="737">
        <f>VLOOKUP($P555,Allocators!$B$7:$F$19,3,FALSE)</f>
        <v>0.29060000000000002</v>
      </c>
      <c r="T555" s="737" t="str">
        <f t="shared" si="154"/>
        <v>0.0%</v>
      </c>
      <c r="U555" s="2">
        <f t="shared" si="145"/>
        <v>-302.219560173584</v>
      </c>
      <c r="V555" s="2">
        <f t="shared" si="146"/>
        <v>-123.801810243083</v>
      </c>
      <c r="W555" s="2">
        <f t="shared" si="147"/>
        <v>0</v>
      </c>
      <c r="X555" s="2">
        <f t="shared" si="143"/>
        <v>-426.02137041666703</v>
      </c>
      <c r="Y555" s="2">
        <f t="shared" si="148"/>
        <v>-234.69959856</v>
      </c>
      <c r="Z555" s="2">
        <f t="shared" si="149"/>
        <v>-96.14280144</v>
      </c>
      <c r="AA555" s="2">
        <f t="shared" si="150"/>
        <v>0</v>
      </c>
      <c r="AB555" s="2">
        <f t="shared" si="144"/>
        <v>-330.8424</v>
      </c>
      <c r="AC555" s="759">
        <v>-373.94916999999998</v>
      </c>
      <c r="AD555" s="741">
        <v>-491.47665000000001</v>
      </c>
      <c r="AE555" s="741">
        <v>-597.17577000000006</v>
      </c>
      <c r="AF555" s="741">
        <v>-674.46900000000005</v>
      </c>
      <c r="AG555" s="741">
        <v>-623.30369999999994</v>
      </c>
      <c r="AH555" s="741">
        <v>-508.86617000000001</v>
      </c>
      <c r="AI555" s="741">
        <v>-397.55146000000002</v>
      </c>
      <c r="AJ555" s="741">
        <v>-339.57085999999998</v>
      </c>
      <c r="AK555" s="741">
        <v>-302.57947999999999</v>
      </c>
      <c r="AL555" s="741">
        <v>-273.36619000000002</v>
      </c>
      <c r="AM555" s="741">
        <v>-271.30865999999997</v>
      </c>
      <c r="AN555" s="741">
        <v>-280.19271999999995</v>
      </c>
      <c r="AO555" s="741">
        <v>-330.8424</v>
      </c>
      <c r="AP555" s="41" t="str">
        <f t="shared" si="140"/>
        <v>GLA</v>
      </c>
      <c r="AQ555" s="41" t="str">
        <f t="shared" si="141"/>
        <v>GLAA20</v>
      </c>
      <c r="AR555" s="41" t="str">
        <f t="shared" si="142"/>
        <v>A20</v>
      </c>
      <c r="CR555" s="625"/>
    </row>
    <row r="556" spans="1:96" s="41" customFormat="1" ht="12.75" customHeight="1">
      <c r="A556" s="25" t="s">
        <v>17</v>
      </c>
      <c r="B556" s="25" t="str">
        <f t="shared" si="152"/>
        <v>GL236240</v>
      </c>
      <c r="C556" s="638">
        <v>236240</v>
      </c>
      <c r="D556" s="735"/>
      <c r="F556" s="1" t="s">
        <v>542</v>
      </c>
      <c r="H556" s="736" t="s">
        <v>2556</v>
      </c>
      <c r="I556" s="25"/>
      <c r="J556" s="25"/>
      <c r="K556" s="442" t="str">
        <f t="shared" si="151"/>
        <v/>
      </c>
      <c r="L556" s="736" t="s">
        <v>2393</v>
      </c>
      <c r="M556" s="25" t="str">
        <f t="shared" si="153"/>
        <v>A</v>
      </c>
      <c r="N556" s="25" t="str">
        <f>IF(L556&lt;&gt;"",VLOOKUP(L556,Categories!$B$2:$D$41,2,FALSE),IF(F556&lt;&gt;"","No Cat",""))</f>
        <v>All Other</v>
      </c>
      <c r="O556" s="25" t="str">
        <f>IF($L556&lt;&gt;"",VLOOKUP($L556,Categories!$B$2:$D$41,3,FALSE),IF($F556&lt;&gt;"","No Cat",""))</f>
        <v>EB-Cap</v>
      </c>
      <c r="P556" s="736" t="s">
        <v>2490</v>
      </c>
      <c r="Q556" s="25" t="str">
        <f>VLOOKUP($P556,Allocators!$B$7:$F$19,5,FALSE)</f>
        <v>Rate Base</v>
      </c>
      <c r="R556" s="737">
        <f>VLOOKUP($P556,Allocators!$B$7:$F$19,2,FALSE)</f>
        <v>0.70940000000000003</v>
      </c>
      <c r="S556" s="737">
        <f>VLOOKUP($P556,Allocators!$B$7:$F$19,3,FALSE)</f>
        <v>0.29060000000000002</v>
      </c>
      <c r="T556" s="737" t="str">
        <f t="shared" si="154"/>
        <v>0.0%</v>
      </c>
      <c r="U556" s="2" t="str">
        <f t="shared" si="145"/>
        <v/>
      </c>
      <c r="V556" s="2" t="str">
        <f t="shared" si="146"/>
        <v/>
      </c>
      <c r="W556" s="2" t="str">
        <f t="shared" si="147"/>
        <v/>
      </c>
      <c r="X556" s="2">
        <f t="shared" si="143"/>
        <v>0</v>
      </c>
      <c r="Y556" s="2" t="str">
        <f t="shared" si="148"/>
        <v/>
      </c>
      <c r="Z556" s="2" t="str">
        <f t="shared" si="149"/>
        <v/>
      </c>
      <c r="AA556" s="2" t="str">
        <f t="shared" si="150"/>
        <v/>
      </c>
      <c r="AB556" s="2">
        <f t="shared" si="144"/>
        <v>0</v>
      </c>
      <c r="AC556" s="759">
        <v>0</v>
      </c>
      <c r="AD556" s="741">
        <v>0</v>
      </c>
      <c r="AE556" s="741">
        <v>0</v>
      </c>
      <c r="AF556" s="741">
        <v>0</v>
      </c>
      <c r="AG556" s="741">
        <v>0</v>
      </c>
      <c r="AH556" s="741">
        <v>0</v>
      </c>
      <c r="AI556" s="741">
        <v>0</v>
      </c>
      <c r="AJ556" s="741">
        <v>0</v>
      </c>
      <c r="AK556" s="741">
        <v>0</v>
      </c>
      <c r="AL556" s="741">
        <v>0</v>
      </c>
      <c r="AM556" s="741">
        <v>0</v>
      </c>
      <c r="AN556" s="741">
        <v>0</v>
      </c>
      <c r="AO556" s="741">
        <v>0</v>
      </c>
      <c r="AP556" s="41" t="str">
        <f t="shared" si="140"/>
        <v>GLA</v>
      </c>
      <c r="AQ556" s="41" t="str">
        <f t="shared" si="141"/>
        <v>GLAA2Accounts Payable</v>
      </c>
      <c r="AR556" s="41" t="str">
        <f t="shared" si="142"/>
        <v>A2Accounts Payable</v>
      </c>
      <c r="CR556" s="625"/>
    </row>
    <row r="557" spans="1:96" s="41" customFormat="1" ht="12.75" customHeight="1">
      <c r="A557" s="25" t="s">
        <v>17</v>
      </c>
      <c r="B557" s="25" t="str">
        <f t="shared" si="152"/>
        <v>GL236250</v>
      </c>
      <c r="C557" s="638">
        <v>236250</v>
      </c>
      <c r="D557" s="735"/>
      <c r="F557" s="1" t="s">
        <v>543</v>
      </c>
      <c r="H557" s="736" t="s">
        <v>2556</v>
      </c>
      <c r="I557" s="25"/>
      <c r="J557" s="25"/>
      <c r="K557" s="442" t="str">
        <f t="shared" si="151"/>
        <v/>
      </c>
      <c r="L557" s="736" t="s">
        <v>2393</v>
      </c>
      <c r="M557" s="25" t="str">
        <f t="shared" si="153"/>
        <v>A</v>
      </c>
      <c r="N557" s="25" t="str">
        <f>IF(L557&lt;&gt;"",VLOOKUP(L557,Categories!$B$2:$D$41,2,FALSE),IF(F557&lt;&gt;"","No Cat",""))</f>
        <v>All Other</v>
      </c>
      <c r="O557" s="25" t="str">
        <f>IF($L557&lt;&gt;"",VLOOKUP($L557,Categories!$B$2:$D$41,3,FALSE),IF($F557&lt;&gt;"","No Cat",""))</f>
        <v>EB-Cap</v>
      </c>
      <c r="P557" s="736" t="s">
        <v>2490</v>
      </c>
      <c r="Q557" s="25" t="str">
        <f>VLOOKUP($P557,Allocators!$B$7:$F$19,5,FALSE)</f>
        <v>Rate Base</v>
      </c>
      <c r="R557" s="737">
        <f>VLOOKUP($P557,Allocators!$B$7:$F$19,2,FALSE)</f>
        <v>0.70940000000000003</v>
      </c>
      <c r="S557" s="737">
        <f>VLOOKUP($P557,Allocators!$B$7:$F$19,3,FALSE)</f>
        <v>0.29060000000000002</v>
      </c>
      <c r="T557" s="737" t="str">
        <f t="shared" si="154"/>
        <v>0.0%</v>
      </c>
      <c r="U557" s="2" t="str">
        <f t="shared" si="145"/>
        <v/>
      </c>
      <c r="V557" s="2" t="str">
        <f t="shared" si="146"/>
        <v/>
      </c>
      <c r="W557" s="2" t="str">
        <f t="shared" si="147"/>
        <v/>
      </c>
      <c r="X557" s="2">
        <f t="shared" si="143"/>
        <v>0</v>
      </c>
      <c r="Y557" s="2" t="str">
        <f t="shared" si="148"/>
        <v/>
      </c>
      <c r="Z557" s="2" t="str">
        <f t="shared" si="149"/>
        <v/>
      </c>
      <c r="AA557" s="2" t="str">
        <f t="shared" si="150"/>
        <v/>
      </c>
      <c r="AB557" s="2">
        <f t="shared" si="144"/>
        <v>0</v>
      </c>
      <c r="AC557" s="759">
        <v>0</v>
      </c>
      <c r="AD557" s="741">
        <v>0</v>
      </c>
      <c r="AE557" s="741">
        <v>0</v>
      </c>
      <c r="AF557" s="741">
        <v>0</v>
      </c>
      <c r="AG557" s="741">
        <v>0</v>
      </c>
      <c r="AH557" s="741">
        <v>0</v>
      </c>
      <c r="AI557" s="741">
        <v>0</v>
      </c>
      <c r="AJ557" s="741">
        <v>0</v>
      </c>
      <c r="AK557" s="741">
        <v>0</v>
      </c>
      <c r="AL557" s="741">
        <v>0</v>
      </c>
      <c r="AM557" s="741">
        <v>0</v>
      </c>
      <c r="AN557" s="741">
        <v>0</v>
      </c>
      <c r="AO557" s="741">
        <v>0</v>
      </c>
      <c r="AP557" s="41" t="str">
        <f t="shared" si="140"/>
        <v>GLA</v>
      </c>
      <c r="AQ557" s="41" t="str">
        <f t="shared" si="141"/>
        <v>GLAA2Accounts Payable</v>
      </c>
      <c r="AR557" s="41" t="str">
        <f t="shared" si="142"/>
        <v>A2Accounts Payable</v>
      </c>
      <c r="CR557" s="625"/>
    </row>
    <row r="558" spans="1:96" s="41" customFormat="1" ht="12.75" customHeight="1">
      <c r="A558" s="25" t="s">
        <v>17</v>
      </c>
      <c r="B558" s="25" t="str">
        <f t="shared" si="152"/>
        <v>GL236260</v>
      </c>
      <c r="C558" s="638">
        <v>236260</v>
      </c>
      <c r="D558" s="735"/>
      <c r="F558" s="1" t="s">
        <v>544</v>
      </c>
      <c r="H558" s="736" t="s">
        <v>2556</v>
      </c>
      <c r="I558" s="25"/>
      <c r="J558" s="25"/>
      <c r="K558" s="442" t="str">
        <f t="shared" si="151"/>
        <v/>
      </c>
      <c r="L558" s="736" t="s">
        <v>2393</v>
      </c>
      <c r="M558" s="25" t="str">
        <f t="shared" si="153"/>
        <v>A</v>
      </c>
      <c r="N558" s="25" t="str">
        <f>IF(L558&lt;&gt;"",VLOOKUP(L558,Categories!$B$2:$D$41,2,FALSE),IF(F558&lt;&gt;"","No Cat",""))</f>
        <v>All Other</v>
      </c>
      <c r="O558" s="25" t="str">
        <f>IF($L558&lt;&gt;"",VLOOKUP($L558,Categories!$B$2:$D$41,3,FALSE),IF($F558&lt;&gt;"","No Cat",""))</f>
        <v>EB-Cap</v>
      </c>
      <c r="P558" s="736" t="s">
        <v>2490</v>
      </c>
      <c r="Q558" s="25" t="str">
        <f>VLOOKUP($P558,Allocators!$B$7:$F$19,5,FALSE)</f>
        <v>Rate Base</v>
      </c>
      <c r="R558" s="737">
        <f>VLOOKUP($P558,Allocators!$B$7:$F$19,2,FALSE)</f>
        <v>0.70940000000000003</v>
      </c>
      <c r="S558" s="737">
        <f>VLOOKUP($P558,Allocators!$B$7:$F$19,3,FALSE)</f>
        <v>0.29060000000000002</v>
      </c>
      <c r="T558" s="737" t="str">
        <f t="shared" si="154"/>
        <v>0.0%</v>
      </c>
      <c r="U558" s="2">
        <f t="shared" si="145"/>
        <v>1204.49699663975</v>
      </c>
      <c r="V558" s="2">
        <f t="shared" si="146"/>
        <v>493.41249961024999</v>
      </c>
      <c r="W558" s="2">
        <f t="shared" si="147"/>
        <v>0</v>
      </c>
      <c r="X558" s="2">
        <f t="shared" si="143"/>
        <v>1697.9094962500001</v>
      </c>
      <c r="Y558" s="2">
        <f t="shared" si="148"/>
        <v>2479.2113682899999</v>
      </c>
      <c r="Z558" s="2">
        <f t="shared" si="149"/>
        <v>1015.58898171</v>
      </c>
      <c r="AA558" s="2">
        <f t="shared" si="150"/>
        <v>0</v>
      </c>
      <c r="AB558" s="2">
        <f t="shared" si="144"/>
        <v>3494.80035</v>
      </c>
      <c r="AC558" s="759">
        <v>1186.24126</v>
      </c>
      <c r="AD558" s="741">
        <v>-1159.04421</v>
      </c>
      <c r="AE558" s="741">
        <v>-2955.6235200000001</v>
      </c>
      <c r="AF558" s="741">
        <v>290.23759999999999</v>
      </c>
      <c r="AG558" s="741">
        <v>3244.1791699999999</v>
      </c>
      <c r="AH558" s="741">
        <v>581.7726899999999</v>
      </c>
      <c r="AI558" s="741">
        <v>1683.1512299999999</v>
      </c>
      <c r="AJ558" s="741">
        <v>1389.19028</v>
      </c>
      <c r="AK558" s="741">
        <v>1701.3738999999998</v>
      </c>
      <c r="AL558" s="741">
        <v>3536.88285</v>
      </c>
      <c r="AM558" s="741">
        <v>5243.8662100000001</v>
      </c>
      <c r="AN558" s="741">
        <v>4478.4069500000005</v>
      </c>
      <c r="AO558" s="741">
        <v>3494.80035</v>
      </c>
      <c r="AP558" s="41" t="str">
        <f t="shared" si="140"/>
        <v>GLA</v>
      </c>
      <c r="AQ558" s="41" t="str">
        <f t="shared" si="141"/>
        <v>GLAA2Accounts Payable</v>
      </c>
      <c r="AR558" s="41" t="str">
        <f t="shared" si="142"/>
        <v>A2Accounts Payable</v>
      </c>
      <c r="CR558" s="625"/>
    </row>
    <row r="559" spans="1:96" s="41" customFormat="1" ht="12.75" customHeight="1">
      <c r="A559" s="25" t="s">
        <v>17</v>
      </c>
      <c r="B559" s="25" t="str">
        <f t="shared" si="152"/>
        <v>GL236310</v>
      </c>
      <c r="C559" s="638">
        <v>236310</v>
      </c>
      <c r="D559" s="735"/>
      <c r="F559" s="1" t="s">
        <v>545</v>
      </c>
      <c r="H559" s="736">
        <v>0</v>
      </c>
      <c r="I559" s="25"/>
      <c r="J559" s="25"/>
      <c r="K559" s="442" t="str">
        <f t="shared" si="151"/>
        <v/>
      </c>
      <c r="L559" s="736" t="s">
        <v>2393</v>
      </c>
      <c r="M559" s="25" t="str">
        <f t="shared" si="153"/>
        <v>A</v>
      </c>
      <c r="N559" s="25" t="str">
        <f>IF(L559&lt;&gt;"",VLOOKUP(L559,Categories!$B$2:$D$41,2,FALSE),IF(F559&lt;&gt;"","No Cat",""))</f>
        <v>All Other</v>
      </c>
      <c r="O559" s="25" t="str">
        <f>IF($L559&lt;&gt;"",VLOOKUP($L559,Categories!$B$2:$D$41,3,FALSE),IF($F559&lt;&gt;"","No Cat",""))</f>
        <v>EB-Cap</v>
      </c>
      <c r="P559" s="736" t="s">
        <v>2490</v>
      </c>
      <c r="Q559" s="25" t="str">
        <f>VLOOKUP($P559,Allocators!$B$7:$F$19,5,FALSE)</f>
        <v>Rate Base</v>
      </c>
      <c r="R559" s="737">
        <f>VLOOKUP($P559,Allocators!$B$7:$F$19,2,FALSE)</f>
        <v>0.70940000000000003</v>
      </c>
      <c r="S559" s="737">
        <f>VLOOKUP($P559,Allocators!$B$7:$F$19,3,FALSE)</f>
        <v>0.29060000000000002</v>
      </c>
      <c r="T559" s="737" t="str">
        <f t="shared" si="154"/>
        <v>0.0%</v>
      </c>
      <c r="U559" s="2">
        <f t="shared" si="145"/>
        <v>-418.411151336334</v>
      </c>
      <c r="V559" s="2">
        <f t="shared" si="146"/>
        <v>-171.398760330333</v>
      </c>
      <c r="W559" s="2">
        <f t="shared" si="147"/>
        <v>0</v>
      </c>
      <c r="X559" s="2">
        <f t="shared" si="143"/>
        <v>-589.80991166666695</v>
      </c>
      <c r="Y559" s="2" t="str">
        <f t="shared" si="148"/>
        <v/>
      </c>
      <c r="Z559" s="2" t="str">
        <f t="shared" si="149"/>
        <v/>
      </c>
      <c r="AA559" s="2" t="str">
        <f t="shared" si="150"/>
        <v/>
      </c>
      <c r="AB559" s="2">
        <f t="shared" si="144"/>
        <v>0</v>
      </c>
      <c r="AC559" s="759">
        <v>0</v>
      </c>
      <c r="AD559" s="741">
        <v>-442.83871999999997</v>
      </c>
      <c r="AE559" s="741">
        <v>-982.94929000000002</v>
      </c>
      <c r="AF559" s="741">
        <v>-273.03161</v>
      </c>
      <c r="AG559" s="741">
        <v>-836.48081999999999</v>
      </c>
      <c r="AH559" s="741">
        <v>-1296.24181</v>
      </c>
      <c r="AI559" s="741">
        <v>-273.03161</v>
      </c>
      <c r="AJ559" s="741">
        <v>-577.18678</v>
      </c>
      <c r="AK559" s="741">
        <v>-846.24527999999998</v>
      </c>
      <c r="AL559" s="741">
        <v>-273.03161</v>
      </c>
      <c r="AM559" s="741">
        <v>-513.84675000000004</v>
      </c>
      <c r="AN559" s="741">
        <v>-762.83465999999999</v>
      </c>
      <c r="AO559" s="741">
        <v>0</v>
      </c>
      <c r="AP559" s="41" t="str">
        <f t="shared" si="140"/>
        <v>GLA</v>
      </c>
      <c r="AQ559" s="41" t="str">
        <f t="shared" si="141"/>
        <v>GLAA20</v>
      </c>
      <c r="AR559" s="41" t="str">
        <f t="shared" si="142"/>
        <v>A20</v>
      </c>
      <c r="CR559" s="625"/>
    </row>
    <row r="560" spans="1:96" s="41" customFormat="1" ht="12.75" customHeight="1">
      <c r="A560" s="25" t="s">
        <v>17</v>
      </c>
      <c r="B560" s="25" t="str">
        <f t="shared" si="152"/>
        <v>GL236330</v>
      </c>
      <c r="C560" s="638">
        <v>236330</v>
      </c>
      <c r="D560" s="735"/>
      <c r="F560" s="1" t="s">
        <v>546</v>
      </c>
      <c r="H560" s="736">
        <v>0</v>
      </c>
      <c r="I560" s="25"/>
      <c r="J560" s="25"/>
      <c r="K560" s="442" t="str">
        <f t="shared" si="151"/>
        <v/>
      </c>
      <c r="L560" s="736" t="s">
        <v>2393</v>
      </c>
      <c r="M560" s="25" t="str">
        <f t="shared" si="153"/>
        <v>A</v>
      </c>
      <c r="N560" s="25" t="str">
        <f>IF(L560&lt;&gt;"",VLOOKUP(L560,Categories!$B$2:$D$41,2,FALSE),IF(F560&lt;&gt;"","No Cat",""))</f>
        <v>All Other</v>
      </c>
      <c r="O560" s="25" t="str">
        <f>IF($L560&lt;&gt;"",VLOOKUP($L560,Categories!$B$2:$D$41,3,FALSE),IF($F560&lt;&gt;"","No Cat",""))</f>
        <v>EB-Cap</v>
      </c>
      <c r="P560" s="736" t="s">
        <v>2490</v>
      </c>
      <c r="Q560" s="25" t="str">
        <f>VLOOKUP($P560,Allocators!$B$7:$F$19,5,FALSE)</f>
        <v>Rate Base</v>
      </c>
      <c r="R560" s="737">
        <f>VLOOKUP($P560,Allocators!$B$7:$F$19,2,FALSE)</f>
        <v>0.70940000000000003</v>
      </c>
      <c r="S560" s="737">
        <f>VLOOKUP($P560,Allocators!$B$7:$F$19,3,FALSE)</f>
        <v>0.29060000000000002</v>
      </c>
      <c r="T560" s="737" t="str">
        <f t="shared" si="154"/>
        <v>0.0%</v>
      </c>
      <c r="U560" s="2" t="str">
        <f t="shared" si="145"/>
        <v/>
      </c>
      <c r="V560" s="2" t="str">
        <f t="shared" si="146"/>
        <v/>
      </c>
      <c r="W560" s="2" t="str">
        <f t="shared" si="147"/>
        <v/>
      </c>
      <c r="X560" s="2">
        <f t="shared" si="143"/>
        <v>0</v>
      </c>
      <c r="Y560" s="2" t="str">
        <f t="shared" si="148"/>
        <v/>
      </c>
      <c r="Z560" s="2" t="str">
        <f t="shared" si="149"/>
        <v/>
      </c>
      <c r="AA560" s="2" t="str">
        <f t="shared" si="150"/>
        <v/>
      </c>
      <c r="AB560" s="2">
        <f t="shared" si="144"/>
        <v>0</v>
      </c>
      <c r="AC560" s="759">
        <v>0</v>
      </c>
      <c r="AD560" s="741">
        <v>0</v>
      </c>
      <c r="AE560" s="741">
        <v>0</v>
      </c>
      <c r="AF560" s="741">
        <v>0</v>
      </c>
      <c r="AG560" s="741">
        <v>0</v>
      </c>
      <c r="AH560" s="741">
        <v>0</v>
      </c>
      <c r="AI560" s="741">
        <v>0</v>
      </c>
      <c r="AJ560" s="741">
        <v>0</v>
      </c>
      <c r="AK560" s="741">
        <v>0</v>
      </c>
      <c r="AL560" s="741">
        <v>0</v>
      </c>
      <c r="AM560" s="741">
        <v>0</v>
      </c>
      <c r="AN560" s="741">
        <v>0</v>
      </c>
      <c r="AO560" s="741">
        <v>0</v>
      </c>
      <c r="AP560" s="41" t="str">
        <f t="shared" si="140"/>
        <v>GLA</v>
      </c>
      <c r="AQ560" s="41" t="str">
        <f t="shared" si="141"/>
        <v>GLAA20</v>
      </c>
      <c r="AR560" s="41" t="str">
        <f t="shared" si="142"/>
        <v>A20</v>
      </c>
      <c r="CR560" s="625"/>
    </row>
    <row r="561" spans="1:96" s="41" customFormat="1" ht="12.75" customHeight="1">
      <c r="A561" s="25" t="s">
        <v>17</v>
      </c>
      <c r="B561" s="25" t="str">
        <f t="shared" si="152"/>
        <v>GL236340</v>
      </c>
      <c r="C561" s="638">
        <v>236340</v>
      </c>
      <c r="D561" s="735"/>
      <c r="F561" s="1" t="s">
        <v>547</v>
      </c>
      <c r="H561" s="736">
        <v>0</v>
      </c>
      <c r="I561" s="25"/>
      <c r="J561" s="25"/>
      <c r="K561" s="442" t="str">
        <f t="shared" si="151"/>
        <v/>
      </c>
      <c r="L561" s="736" t="s">
        <v>2393</v>
      </c>
      <c r="M561" s="25" t="str">
        <f t="shared" si="153"/>
        <v>A</v>
      </c>
      <c r="N561" s="25" t="str">
        <f>IF(L561&lt;&gt;"",VLOOKUP(L561,Categories!$B$2:$D$41,2,FALSE),IF(F561&lt;&gt;"","No Cat",""))</f>
        <v>All Other</v>
      </c>
      <c r="O561" s="25" t="str">
        <f>IF($L561&lt;&gt;"",VLOOKUP($L561,Categories!$B$2:$D$41,3,FALSE),IF($F561&lt;&gt;"","No Cat",""))</f>
        <v>EB-Cap</v>
      </c>
      <c r="P561" s="736" t="s">
        <v>2490</v>
      </c>
      <c r="Q561" s="25" t="str">
        <f>VLOOKUP($P561,Allocators!$B$7:$F$19,5,FALSE)</f>
        <v>Rate Base</v>
      </c>
      <c r="R561" s="737">
        <f>VLOOKUP($P561,Allocators!$B$7:$F$19,2,FALSE)</f>
        <v>0.70940000000000003</v>
      </c>
      <c r="S561" s="737">
        <f>VLOOKUP($P561,Allocators!$B$7:$F$19,3,FALSE)</f>
        <v>0.29060000000000002</v>
      </c>
      <c r="T561" s="737" t="str">
        <f t="shared" si="154"/>
        <v>0.0%</v>
      </c>
      <c r="U561" s="2" t="str">
        <f t="shared" si="145"/>
        <v/>
      </c>
      <c r="V561" s="2" t="str">
        <f t="shared" si="146"/>
        <v/>
      </c>
      <c r="W561" s="2" t="str">
        <f t="shared" si="147"/>
        <v/>
      </c>
      <c r="X561" s="2">
        <f t="shared" si="143"/>
        <v>0</v>
      </c>
      <c r="Y561" s="2" t="str">
        <f t="shared" si="148"/>
        <v/>
      </c>
      <c r="Z561" s="2" t="str">
        <f t="shared" si="149"/>
        <v/>
      </c>
      <c r="AA561" s="2" t="str">
        <f t="shared" si="150"/>
        <v/>
      </c>
      <c r="AB561" s="2">
        <f t="shared" si="144"/>
        <v>0</v>
      </c>
      <c r="AC561" s="759">
        <v>0</v>
      </c>
      <c r="AD561" s="741">
        <v>0</v>
      </c>
      <c r="AE561" s="741">
        <v>0</v>
      </c>
      <c r="AF561" s="741">
        <v>0</v>
      </c>
      <c r="AG561" s="741">
        <v>0</v>
      </c>
      <c r="AH561" s="741">
        <v>0</v>
      </c>
      <c r="AI561" s="741">
        <v>0</v>
      </c>
      <c r="AJ561" s="741">
        <v>0</v>
      </c>
      <c r="AK561" s="741">
        <v>0</v>
      </c>
      <c r="AL561" s="741">
        <v>0</v>
      </c>
      <c r="AM561" s="741">
        <v>0</v>
      </c>
      <c r="AN561" s="741">
        <v>0</v>
      </c>
      <c r="AO561" s="741">
        <v>0</v>
      </c>
      <c r="AP561" s="41" t="str">
        <f t="shared" si="140"/>
        <v>GLA</v>
      </c>
      <c r="AQ561" s="41" t="str">
        <f t="shared" si="141"/>
        <v>GLAA20</v>
      </c>
      <c r="AR561" s="41" t="str">
        <f t="shared" si="142"/>
        <v>A20</v>
      </c>
      <c r="CR561" s="625"/>
    </row>
    <row r="562" spans="1:96" s="41" customFormat="1" ht="12.75" customHeight="1">
      <c r="A562" s="25" t="s">
        <v>17</v>
      </c>
      <c r="B562" s="25" t="str">
        <f t="shared" si="152"/>
        <v>GL236410</v>
      </c>
      <c r="C562" s="638">
        <v>236410</v>
      </c>
      <c r="D562" s="735"/>
      <c r="F562" s="1" t="s">
        <v>548</v>
      </c>
      <c r="H562" s="736">
        <v>0</v>
      </c>
      <c r="I562" s="25"/>
      <c r="J562" s="25"/>
      <c r="K562" s="442" t="str">
        <f t="shared" si="151"/>
        <v/>
      </c>
      <c r="L562" s="736" t="s">
        <v>2393</v>
      </c>
      <c r="M562" s="25" t="str">
        <f t="shared" si="153"/>
        <v>A</v>
      </c>
      <c r="N562" s="25" t="str">
        <f>IF(L562&lt;&gt;"",VLOOKUP(L562,Categories!$B$2:$D$41,2,FALSE),IF(F562&lt;&gt;"","No Cat",""))</f>
        <v>All Other</v>
      </c>
      <c r="O562" s="25" t="str">
        <f>IF($L562&lt;&gt;"",VLOOKUP($L562,Categories!$B$2:$D$41,3,FALSE),IF($F562&lt;&gt;"","No Cat",""))</f>
        <v>EB-Cap</v>
      </c>
      <c r="P562" s="736" t="s">
        <v>2490</v>
      </c>
      <c r="Q562" s="25" t="str">
        <f>VLOOKUP($P562,Allocators!$B$7:$F$19,5,FALSE)</f>
        <v>Rate Base</v>
      </c>
      <c r="R562" s="737">
        <f>VLOOKUP($P562,Allocators!$B$7:$F$19,2,FALSE)</f>
        <v>0.70940000000000003</v>
      </c>
      <c r="S562" s="737">
        <f>VLOOKUP($P562,Allocators!$B$7:$F$19,3,FALSE)</f>
        <v>0.29060000000000002</v>
      </c>
      <c r="T562" s="737" t="str">
        <f t="shared" si="154"/>
        <v>0.0%</v>
      </c>
      <c r="U562" s="2">
        <f t="shared" si="145"/>
        <v>-4.5273630151666602</v>
      </c>
      <c r="V562" s="2">
        <f t="shared" si="146"/>
        <v>-1.85459781816667</v>
      </c>
      <c r="W562" s="2">
        <f t="shared" si="147"/>
        <v>0</v>
      </c>
      <c r="X562" s="2">
        <f t="shared" si="143"/>
        <v>-6.3819608333333298</v>
      </c>
      <c r="Y562" s="2" t="str">
        <f t="shared" si="148"/>
        <v/>
      </c>
      <c r="Z562" s="2" t="str">
        <f t="shared" si="149"/>
        <v/>
      </c>
      <c r="AA562" s="2" t="str">
        <f t="shared" si="150"/>
        <v/>
      </c>
      <c r="AB562" s="2">
        <f t="shared" si="144"/>
        <v>0</v>
      </c>
      <c r="AC562" s="759">
        <v>0</v>
      </c>
      <c r="AD562" s="741">
        <v>-4.6741999999999999</v>
      </c>
      <c r="AE562" s="741">
        <v>-10.286049999999999</v>
      </c>
      <c r="AF562" s="741">
        <v>-1.9462600000000001</v>
      </c>
      <c r="AG562" s="741">
        <v>-7.5398900000000006</v>
      </c>
      <c r="AH562" s="741">
        <v>-12.283520000000001</v>
      </c>
      <c r="AI562" s="741">
        <v>-1.9462600000000001</v>
      </c>
      <c r="AJ562" s="741">
        <v>-7.0598700000000001</v>
      </c>
      <c r="AK562" s="741">
        <v>-12.16037</v>
      </c>
      <c r="AL562" s="741">
        <v>-1.9462600000000001</v>
      </c>
      <c r="AM562" s="741">
        <v>-6.2814199999999998</v>
      </c>
      <c r="AN562" s="741">
        <v>-10.459430000000001</v>
      </c>
      <c r="AO562" s="741">
        <v>0</v>
      </c>
      <c r="AP562" s="41" t="str">
        <f t="shared" si="140"/>
        <v>GLA</v>
      </c>
      <c r="AQ562" s="41" t="str">
        <f t="shared" si="141"/>
        <v>GLAA20</v>
      </c>
      <c r="AR562" s="41" t="str">
        <f t="shared" si="142"/>
        <v>A20</v>
      </c>
      <c r="CR562" s="625"/>
    </row>
    <row r="563" spans="1:96" s="41" customFormat="1" ht="12.75" customHeight="1">
      <c r="A563" s="25" t="s">
        <v>17</v>
      </c>
      <c r="B563" s="25" t="str">
        <f t="shared" si="152"/>
        <v>GL236420</v>
      </c>
      <c r="C563" s="638">
        <v>236420</v>
      </c>
      <c r="D563" s="735"/>
      <c r="F563" s="1" t="s">
        <v>549</v>
      </c>
      <c r="H563" s="736">
        <v>0</v>
      </c>
      <c r="I563" s="25"/>
      <c r="J563" s="25"/>
      <c r="K563" s="442" t="str">
        <f t="shared" si="151"/>
        <v/>
      </c>
      <c r="L563" s="736" t="s">
        <v>2393</v>
      </c>
      <c r="M563" s="25" t="str">
        <f t="shared" si="153"/>
        <v>A</v>
      </c>
      <c r="N563" s="25" t="str">
        <f>IF(L563&lt;&gt;"",VLOOKUP(L563,Categories!$B$2:$D$41,2,FALSE),IF(F563&lt;&gt;"","No Cat",""))</f>
        <v>All Other</v>
      </c>
      <c r="O563" s="25" t="str">
        <f>IF($L563&lt;&gt;"",VLOOKUP($L563,Categories!$B$2:$D$41,3,FALSE),IF($F563&lt;&gt;"","No Cat",""))</f>
        <v>EB-Cap</v>
      </c>
      <c r="P563" s="736" t="s">
        <v>2490</v>
      </c>
      <c r="Q563" s="25" t="str">
        <f>VLOOKUP($P563,Allocators!$B$7:$F$19,5,FALSE)</f>
        <v>Rate Base</v>
      </c>
      <c r="R563" s="737">
        <f>VLOOKUP($P563,Allocators!$B$7:$F$19,2,FALSE)</f>
        <v>0.70940000000000003</v>
      </c>
      <c r="S563" s="737">
        <f>VLOOKUP($P563,Allocators!$B$7:$F$19,3,FALSE)</f>
        <v>0.29060000000000002</v>
      </c>
      <c r="T563" s="737" t="str">
        <f t="shared" si="154"/>
        <v>0.0%</v>
      </c>
      <c r="U563" s="2">
        <f t="shared" si="145"/>
        <v>-4.2702717258333402</v>
      </c>
      <c r="V563" s="2">
        <f t="shared" si="146"/>
        <v>-1.7492824408333301</v>
      </c>
      <c r="W563" s="2">
        <f t="shared" si="147"/>
        <v>0</v>
      </c>
      <c r="X563" s="2">
        <f t="shared" si="143"/>
        <v>-6.0195541666666701</v>
      </c>
      <c r="Y563" s="2" t="str">
        <f t="shared" si="148"/>
        <v/>
      </c>
      <c r="Z563" s="2" t="str">
        <f t="shared" si="149"/>
        <v/>
      </c>
      <c r="AA563" s="2" t="str">
        <f t="shared" si="150"/>
        <v/>
      </c>
      <c r="AB563" s="2">
        <f t="shared" si="144"/>
        <v>0</v>
      </c>
      <c r="AC563" s="759">
        <v>0</v>
      </c>
      <c r="AD563" s="741">
        <v>-4.7061299999999999</v>
      </c>
      <c r="AE563" s="741">
        <v>-10.09225</v>
      </c>
      <c r="AF563" s="741">
        <v>-2.63354</v>
      </c>
      <c r="AG563" s="741">
        <v>-8.2264400000000002</v>
      </c>
      <c r="AH563" s="741">
        <v>-12.63176</v>
      </c>
      <c r="AI563" s="741">
        <v>-2.63354</v>
      </c>
      <c r="AJ563" s="741">
        <v>-5.9659300000000002</v>
      </c>
      <c r="AK563" s="741">
        <v>-9.0688600000000008</v>
      </c>
      <c r="AL563" s="741">
        <v>-2.63354</v>
      </c>
      <c r="AM563" s="741">
        <v>-5.4312100000000001</v>
      </c>
      <c r="AN563" s="741">
        <v>-8.211450000000001</v>
      </c>
      <c r="AO563" s="741">
        <v>0</v>
      </c>
      <c r="AP563" s="41" t="str">
        <f t="shared" si="140"/>
        <v>GLA</v>
      </c>
      <c r="AQ563" s="41" t="str">
        <f t="shared" si="141"/>
        <v>GLAA20</v>
      </c>
      <c r="AR563" s="41" t="str">
        <f t="shared" si="142"/>
        <v>A20</v>
      </c>
      <c r="CR563" s="625"/>
    </row>
    <row r="564" spans="1:96" s="41" customFormat="1" ht="12.75" customHeight="1">
      <c r="A564" s="25" t="s">
        <v>17</v>
      </c>
      <c r="B564" s="25" t="str">
        <f t="shared" si="152"/>
        <v>GL236430</v>
      </c>
      <c r="C564" s="638">
        <v>236430</v>
      </c>
      <c r="D564" s="735"/>
      <c r="F564" s="1" t="s">
        <v>550</v>
      </c>
      <c r="H564" s="736">
        <v>0</v>
      </c>
      <c r="I564" s="25"/>
      <c r="J564" s="25"/>
      <c r="K564" s="442" t="str">
        <f t="shared" si="151"/>
        <v/>
      </c>
      <c r="L564" s="736" t="s">
        <v>2393</v>
      </c>
      <c r="M564" s="25" t="str">
        <f t="shared" si="153"/>
        <v>A</v>
      </c>
      <c r="N564" s="25" t="str">
        <f>IF(L564&lt;&gt;"",VLOOKUP(L564,Categories!$B$2:$D$41,2,FALSE),IF(F564&lt;&gt;"","No Cat",""))</f>
        <v>All Other</v>
      </c>
      <c r="O564" s="25" t="str">
        <f>IF($L564&lt;&gt;"",VLOOKUP($L564,Categories!$B$2:$D$41,3,FALSE),IF($F564&lt;&gt;"","No Cat",""))</f>
        <v>EB-Cap</v>
      </c>
      <c r="P564" s="736" t="s">
        <v>2490</v>
      </c>
      <c r="Q564" s="25" t="str">
        <f>VLOOKUP($P564,Allocators!$B$7:$F$19,5,FALSE)</f>
        <v>Rate Base</v>
      </c>
      <c r="R564" s="737">
        <f>VLOOKUP($P564,Allocators!$B$7:$F$19,2,FALSE)</f>
        <v>0.70940000000000003</v>
      </c>
      <c r="S564" s="737">
        <f>VLOOKUP($P564,Allocators!$B$7:$F$19,3,FALSE)</f>
        <v>0.29060000000000002</v>
      </c>
      <c r="T564" s="737" t="str">
        <f t="shared" si="154"/>
        <v>0.0%</v>
      </c>
      <c r="U564" s="2">
        <f t="shared" si="145"/>
        <v>-1.6591884663333401</v>
      </c>
      <c r="V564" s="2">
        <f t="shared" si="146"/>
        <v>-0.679673200333334</v>
      </c>
      <c r="W564" s="2">
        <f t="shared" si="147"/>
        <v>0</v>
      </c>
      <c r="X564" s="2">
        <f t="shared" si="143"/>
        <v>-2.3388616666666699</v>
      </c>
      <c r="Y564" s="2" t="str">
        <f t="shared" si="148"/>
        <v/>
      </c>
      <c r="Z564" s="2" t="str">
        <f t="shared" si="149"/>
        <v/>
      </c>
      <c r="AA564" s="2" t="str">
        <f t="shared" si="150"/>
        <v/>
      </c>
      <c r="AB564" s="2">
        <f t="shared" si="144"/>
        <v>0</v>
      </c>
      <c r="AC564" s="759">
        <v>0</v>
      </c>
      <c r="AD564" s="741">
        <v>-1.802</v>
      </c>
      <c r="AE564" s="741">
        <v>-4.0315900000000005</v>
      </c>
      <c r="AF564" s="741">
        <v>-1.4473099999999999</v>
      </c>
      <c r="AG564" s="741">
        <v>-3.6388499999999997</v>
      </c>
      <c r="AH564" s="741">
        <v>-5.2916499999999997</v>
      </c>
      <c r="AI564" s="741">
        <v>-1.4473099999999999</v>
      </c>
      <c r="AJ564" s="741">
        <v>-2.0059300000000002</v>
      </c>
      <c r="AK564" s="741">
        <v>-2.4729800000000002</v>
      </c>
      <c r="AL564" s="741">
        <v>-1.4473099999999999</v>
      </c>
      <c r="AM564" s="741">
        <v>-1.9271199999999999</v>
      </c>
      <c r="AN564" s="741">
        <v>-2.5542899999999999</v>
      </c>
      <c r="AO564" s="741">
        <v>0</v>
      </c>
      <c r="AP564" s="41" t="str">
        <f t="shared" si="140"/>
        <v>GLA</v>
      </c>
      <c r="AQ564" s="41" t="str">
        <f t="shared" si="141"/>
        <v>GLAA20</v>
      </c>
      <c r="AR564" s="41" t="str">
        <f t="shared" si="142"/>
        <v>A20</v>
      </c>
      <c r="CR564" s="625"/>
    </row>
    <row r="565" spans="1:96" s="41" customFormat="1" ht="12.75" customHeight="1">
      <c r="A565" s="25" t="s">
        <v>17</v>
      </c>
      <c r="B565" s="25" t="str">
        <f t="shared" si="152"/>
        <v>GL236440</v>
      </c>
      <c r="C565" s="638">
        <v>236440</v>
      </c>
      <c r="D565" s="735"/>
      <c r="F565" s="1" t="s">
        <v>551</v>
      </c>
      <c r="H565" s="736">
        <v>0</v>
      </c>
      <c r="I565" s="25"/>
      <c r="J565" s="25"/>
      <c r="K565" s="442" t="str">
        <f t="shared" si="151"/>
        <v/>
      </c>
      <c r="L565" s="736" t="s">
        <v>2393</v>
      </c>
      <c r="M565" s="25" t="str">
        <f t="shared" si="153"/>
        <v>A</v>
      </c>
      <c r="N565" s="25" t="str">
        <f>IF(L565&lt;&gt;"",VLOOKUP(L565,Categories!$B$2:$D$41,2,FALSE),IF(F565&lt;&gt;"","No Cat",""))</f>
        <v>All Other</v>
      </c>
      <c r="O565" s="25" t="str">
        <f>IF($L565&lt;&gt;"",VLOOKUP($L565,Categories!$B$2:$D$41,3,FALSE),IF($F565&lt;&gt;"","No Cat",""))</f>
        <v>EB-Cap</v>
      </c>
      <c r="P565" s="736" t="s">
        <v>2490</v>
      </c>
      <c r="Q565" s="25" t="str">
        <f>VLOOKUP($P565,Allocators!$B$7:$F$19,5,FALSE)</f>
        <v>Rate Base</v>
      </c>
      <c r="R565" s="737">
        <f>VLOOKUP($P565,Allocators!$B$7:$F$19,2,FALSE)</f>
        <v>0.70940000000000003</v>
      </c>
      <c r="S565" s="737">
        <f>VLOOKUP($P565,Allocators!$B$7:$F$19,3,FALSE)</f>
        <v>0.29060000000000002</v>
      </c>
      <c r="T565" s="737" t="str">
        <f t="shared" si="154"/>
        <v>0.0%</v>
      </c>
      <c r="U565" s="2">
        <f t="shared" si="145"/>
        <v>-1.8341460148333399</v>
      </c>
      <c r="V565" s="2">
        <f t="shared" si="146"/>
        <v>-0.751343151833334</v>
      </c>
      <c r="W565" s="2">
        <f t="shared" si="147"/>
        <v>0</v>
      </c>
      <c r="X565" s="2">
        <f t="shared" si="143"/>
        <v>-2.5854891666666702</v>
      </c>
      <c r="Y565" s="2" t="str">
        <f t="shared" si="148"/>
        <v/>
      </c>
      <c r="Z565" s="2" t="str">
        <f t="shared" si="149"/>
        <v/>
      </c>
      <c r="AA565" s="2" t="str">
        <f t="shared" si="150"/>
        <v/>
      </c>
      <c r="AB565" s="2">
        <f t="shared" si="144"/>
        <v>0</v>
      </c>
      <c r="AC565" s="759">
        <v>0</v>
      </c>
      <c r="AD565" s="741">
        <v>-1.7889000000000002</v>
      </c>
      <c r="AE565" s="741">
        <v>-4.0496300000000005</v>
      </c>
      <c r="AF565" s="741">
        <v>-1.59074</v>
      </c>
      <c r="AG565" s="741">
        <v>-4.2969999999999997</v>
      </c>
      <c r="AH565" s="741">
        <v>-6.54575</v>
      </c>
      <c r="AI565" s="741">
        <v>-1.59074</v>
      </c>
      <c r="AJ565" s="741">
        <v>-2.2763200000000001</v>
      </c>
      <c r="AK565" s="741">
        <v>-2.68866</v>
      </c>
      <c r="AL565" s="741">
        <v>-1.59074</v>
      </c>
      <c r="AM565" s="741">
        <v>-2.0421499999999999</v>
      </c>
      <c r="AN565" s="741">
        <v>-2.5652399999999997</v>
      </c>
      <c r="AO565" s="741">
        <v>0</v>
      </c>
      <c r="AP565" s="41" t="str">
        <f t="shared" si="140"/>
        <v>GLA</v>
      </c>
      <c r="AQ565" s="41" t="str">
        <f t="shared" si="141"/>
        <v>GLAA20</v>
      </c>
      <c r="AR565" s="41" t="str">
        <f t="shared" si="142"/>
        <v>A20</v>
      </c>
      <c r="CR565" s="625"/>
    </row>
    <row r="566" spans="1:96" s="41" customFormat="1" ht="12.75" customHeight="1">
      <c r="A566" s="25" t="s">
        <v>17</v>
      </c>
      <c r="B566" s="25" t="str">
        <f t="shared" si="152"/>
        <v>GL236450</v>
      </c>
      <c r="C566" s="638">
        <v>236450</v>
      </c>
      <c r="D566" s="735"/>
      <c r="F566" s="1" t="s">
        <v>552</v>
      </c>
      <c r="H566" s="736">
        <v>0</v>
      </c>
      <c r="I566" s="25"/>
      <c r="J566" s="25"/>
      <c r="K566" s="442" t="str">
        <f t="shared" si="151"/>
        <v/>
      </c>
      <c r="L566" s="736" t="s">
        <v>2393</v>
      </c>
      <c r="M566" s="25" t="str">
        <f t="shared" si="153"/>
        <v>A</v>
      </c>
      <c r="N566" s="25" t="str">
        <f>IF(L566&lt;&gt;"",VLOOKUP(L566,Categories!$B$2:$D$41,2,FALSE),IF(F566&lt;&gt;"","No Cat",""))</f>
        <v>All Other</v>
      </c>
      <c r="O566" s="25" t="str">
        <f>IF($L566&lt;&gt;"",VLOOKUP($L566,Categories!$B$2:$D$41,3,FALSE),IF($F566&lt;&gt;"","No Cat",""))</f>
        <v>EB-Cap</v>
      </c>
      <c r="P566" s="736" t="s">
        <v>2490</v>
      </c>
      <c r="Q566" s="25" t="str">
        <f>VLOOKUP($P566,Allocators!$B$7:$F$19,5,FALSE)</f>
        <v>Rate Base</v>
      </c>
      <c r="R566" s="737">
        <f>VLOOKUP($P566,Allocators!$B$7:$F$19,2,FALSE)</f>
        <v>0.70940000000000003</v>
      </c>
      <c r="S566" s="737">
        <f>VLOOKUP($P566,Allocators!$B$7:$F$19,3,FALSE)</f>
        <v>0.29060000000000002</v>
      </c>
      <c r="T566" s="737" t="str">
        <f t="shared" si="154"/>
        <v>0.0%</v>
      </c>
      <c r="U566" s="2">
        <f t="shared" si="145"/>
        <v>-5.0702857525000002</v>
      </c>
      <c r="V566" s="2">
        <f t="shared" si="146"/>
        <v>-2.0770017475000002</v>
      </c>
      <c r="W566" s="2">
        <f t="shared" si="147"/>
        <v>0</v>
      </c>
      <c r="X566" s="2">
        <f t="shared" si="143"/>
        <v>-7.1472875</v>
      </c>
      <c r="Y566" s="2">
        <f t="shared" si="148"/>
        <v>-7.4492107680000004</v>
      </c>
      <c r="Z566" s="2">
        <f t="shared" si="149"/>
        <v>-3.0515092319999999</v>
      </c>
      <c r="AA566" s="2">
        <f t="shared" si="150"/>
        <v>0</v>
      </c>
      <c r="AB566" s="2">
        <f t="shared" si="144"/>
        <v>-10.500719999999999</v>
      </c>
      <c r="AC566" s="759">
        <v>-10.22556</v>
      </c>
      <c r="AD566" s="741">
        <v>-11.900919999999999</v>
      </c>
      <c r="AE566" s="741">
        <v>-13.82544</v>
      </c>
      <c r="AF566" s="741">
        <v>-0.41261999999999999</v>
      </c>
      <c r="AG566" s="741">
        <v>-2.2070700000000003</v>
      </c>
      <c r="AH566" s="741">
        <v>-3.5495399999999999</v>
      </c>
      <c r="AI566" s="741">
        <v>-4.7539499999999997</v>
      </c>
      <c r="AJ566" s="741">
        <v>-5.8481899999999998</v>
      </c>
      <c r="AK566" s="741">
        <v>-6.8548299999999998</v>
      </c>
      <c r="AL566" s="741">
        <v>-7.7395399999999999</v>
      </c>
      <c r="AM566" s="741">
        <v>-8.6887699999999999</v>
      </c>
      <c r="AN566" s="741">
        <v>-9.6234400000000004</v>
      </c>
      <c r="AO566" s="741">
        <v>-10.500719999999999</v>
      </c>
      <c r="AP566" s="41" t="str">
        <f t="shared" si="140"/>
        <v>GLA</v>
      </c>
      <c r="AQ566" s="41" t="str">
        <f t="shared" si="141"/>
        <v>GLAA20</v>
      </c>
      <c r="AR566" s="41" t="str">
        <f t="shared" si="142"/>
        <v>A20</v>
      </c>
      <c r="CR566" s="625"/>
    </row>
    <row r="567" spans="1:96" s="41" customFormat="1" ht="12.75" customHeight="1">
      <c r="A567" s="25" t="s">
        <v>17</v>
      </c>
      <c r="B567" s="25" t="str">
        <f t="shared" si="152"/>
        <v>GL236460</v>
      </c>
      <c r="C567" s="638">
        <v>236460</v>
      </c>
      <c r="D567" s="735"/>
      <c r="F567" s="1" t="s">
        <v>553</v>
      </c>
      <c r="H567" s="736">
        <v>0</v>
      </c>
      <c r="I567" s="25"/>
      <c r="J567" s="25"/>
      <c r="K567" s="442" t="str">
        <f t="shared" si="151"/>
        <v/>
      </c>
      <c r="L567" s="736" t="s">
        <v>2393</v>
      </c>
      <c r="M567" s="25" t="str">
        <f t="shared" si="153"/>
        <v>A</v>
      </c>
      <c r="N567" s="25" t="str">
        <f>IF(L567&lt;&gt;"",VLOOKUP(L567,Categories!$B$2:$D$41,2,FALSE),IF(F567&lt;&gt;"","No Cat",""))</f>
        <v>All Other</v>
      </c>
      <c r="O567" s="25" t="str">
        <f>IF($L567&lt;&gt;"",VLOOKUP($L567,Categories!$B$2:$D$41,3,FALSE),IF($F567&lt;&gt;"","No Cat",""))</f>
        <v>EB-Cap</v>
      </c>
      <c r="P567" s="736" t="s">
        <v>2490</v>
      </c>
      <c r="Q567" s="25" t="str">
        <f>VLOOKUP($P567,Allocators!$B$7:$F$19,5,FALSE)</f>
        <v>Rate Base</v>
      </c>
      <c r="R567" s="737">
        <f>VLOOKUP($P567,Allocators!$B$7:$F$19,2,FALSE)</f>
        <v>0.70940000000000003</v>
      </c>
      <c r="S567" s="737">
        <f>VLOOKUP($P567,Allocators!$B$7:$F$19,3,FALSE)</f>
        <v>0.29060000000000002</v>
      </c>
      <c r="T567" s="737" t="str">
        <f t="shared" si="154"/>
        <v>0.0%</v>
      </c>
      <c r="U567" s="2">
        <f t="shared" si="145"/>
        <v>-11.530237629333399</v>
      </c>
      <c r="V567" s="2">
        <f t="shared" si="146"/>
        <v>-4.7232690373333401</v>
      </c>
      <c r="W567" s="2">
        <f t="shared" si="147"/>
        <v>0</v>
      </c>
      <c r="X567" s="2">
        <f t="shared" si="143"/>
        <v>-16.253506666666699</v>
      </c>
      <c r="Y567" s="2">
        <f t="shared" si="148"/>
        <v>-19.009259749999998</v>
      </c>
      <c r="Z567" s="2">
        <f t="shared" si="149"/>
        <v>-7.7869902499999997</v>
      </c>
      <c r="AA567" s="2">
        <f t="shared" si="150"/>
        <v>0</v>
      </c>
      <c r="AB567" s="2">
        <f t="shared" si="144"/>
        <v>-26.796250000000001</v>
      </c>
      <c r="AC567" s="759">
        <v>-19.851669999999999</v>
      </c>
      <c r="AD567" s="741">
        <v>-22.678380000000001</v>
      </c>
      <c r="AE567" s="741">
        <v>-26.28237</v>
      </c>
      <c r="AF567" s="741">
        <v>-0.54704999999999993</v>
      </c>
      <c r="AG567" s="741">
        <v>-4.1213699999999998</v>
      </c>
      <c r="AH567" s="741">
        <v>-7.2248799999999997</v>
      </c>
      <c r="AI567" s="741">
        <v>-10.93177</v>
      </c>
      <c r="AJ567" s="741">
        <v>-14.305069999999999</v>
      </c>
      <c r="AK567" s="741">
        <v>-17.789709999999999</v>
      </c>
      <c r="AL567" s="741">
        <v>-20.26932</v>
      </c>
      <c r="AM567" s="741">
        <v>-22.604509999999998</v>
      </c>
      <c r="AN567" s="741">
        <v>-24.96369</v>
      </c>
      <c r="AO567" s="741">
        <v>-26.796250000000001</v>
      </c>
      <c r="AP567" s="41" t="str">
        <f t="shared" si="140"/>
        <v>GLA</v>
      </c>
      <c r="AQ567" s="41" t="str">
        <f t="shared" si="141"/>
        <v>GLAA20</v>
      </c>
      <c r="AR567" s="41" t="str">
        <f t="shared" si="142"/>
        <v>A20</v>
      </c>
      <c r="CR567" s="625"/>
    </row>
    <row r="568" spans="1:96" s="41" customFormat="1" ht="12.75" customHeight="1">
      <c r="A568" s="25" t="s">
        <v>17</v>
      </c>
      <c r="B568" s="25" t="str">
        <f t="shared" si="152"/>
        <v>GL236470</v>
      </c>
      <c r="C568" s="638">
        <v>236470</v>
      </c>
      <c r="D568" s="735"/>
      <c r="F568" s="1" t="s">
        <v>554</v>
      </c>
      <c r="H568" s="736">
        <v>0</v>
      </c>
      <c r="I568" s="25"/>
      <c r="J568" s="25"/>
      <c r="K568" s="442" t="str">
        <f t="shared" si="151"/>
        <v/>
      </c>
      <c r="L568" s="736" t="s">
        <v>2393</v>
      </c>
      <c r="M568" s="25" t="str">
        <f t="shared" si="153"/>
        <v>A</v>
      </c>
      <c r="N568" s="25" t="str">
        <f>IF(L568&lt;&gt;"",VLOOKUP(L568,Categories!$B$2:$D$41,2,FALSE),IF(F568&lt;&gt;"","No Cat",""))</f>
        <v>All Other</v>
      </c>
      <c r="O568" s="25" t="str">
        <f>IF($L568&lt;&gt;"",VLOOKUP($L568,Categories!$B$2:$D$41,3,FALSE),IF($F568&lt;&gt;"","No Cat",""))</f>
        <v>EB-Cap</v>
      </c>
      <c r="P568" s="736" t="s">
        <v>2490</v>
      </c>
      <c r="Q568" s="25" t="str">
        <f>VLOOKUP($P568,Allocators!$B$7:$F$19,5,FALSE)</f>
        <v>Rate Base</v>
      </c>
      <c r="R568" s="737">
        <f>VLOOKUP($P568,Allocators!$B$7:$F$19,2,FALSE)</f>
        <v>0.70940000000000003</v>
      </c>
      <c r="S568" s="737">
        <f>VLOOKUP($P568,Allocators!$B$7:$F$19,3,FALSE)</f>
        <v>0.29060000000000002</v>
      </c>
      <c r="T568" s="737" t="str">
        <f t="shared" si="154"/>
        <v>0.0%</v>
      </c>
      <c r="U568" s="2">
        <f t="shared" si="145"/>
        <v>-10.0872500451666</v>
      </c>
      <c r="V568" s="2">
        <f t="shared" si="146"/>
        <v>-4.1321607881666598</v>
      </c>
      <c r="W568" s="2">
        <f t="shared" si="147"/>
        <v>0</v>
      </c>
      <c r="X568" s="2">
        <f t="shared" si="143"/>
        <v>-14.219410833333299</v>
      </c>
      <c r="Y568" s="2">
        <f t="shared" si="148"/>
        <v>-14.893824624000001</v>
      </c>
      <c r="Z568" s="2">
        <f t="shared" si="149"/>
        <v>-6.1011353760000002</v>
      </c>
      <c r="AA568" s="2">
        <f t="shared" si="150"/>
        <v>0</v>
      </c>
      <c r="AB568" s="2">
        <f t="shared" si="144"/>
        <v>-20.994959999999999</v>
      </c>
      <c r="AC568" s="759">
        <v>-21.56944</v>
      </c>
      <c r="AD568" s="741">
        <v>-24.380860000000002</v>
      </c>
      <c r="AE568" s="741">
        <v>-3.0025200000000001</v>
      </c>
      <c r="AF568" s="741">
        <v>-6.1506499999999997</v>
      </c>
      <c r="AG568" s="741">
        <v>-8.7975899999999996</v>
      </c>
      <c r="AH568" s="741">
        <v>-11.006969999999999</v>
      </c>
      <c r="AI568" s="741">
        <v>-12.688940000000001</v>
      </c>
      <c r="AJ568" s="741">
        <v>-14.108690000000001</v>
      </c>
      <c r="AK568" s="741">
        <v>-15.545719999999999</v>
      </c>
      <c r="AL568" s="741">
        <v>-16.628810000000001</v>
      </c>
      <c r="AM568" s="741">
        <v>-17.855599999999999</v>
      </c>
      <c r="AN568" s="741">
        <v>-19.184380000000001</v>
      </c>
      <c r="AO568" s="741">
        <v>-20.994959999999999</v>
      </c>
      <c r="AP568" s="41" t="str">
        <f t="shared" si="140"/>
        <v>GLA</v>
      </c>
      <c r="AQ568" s="41" t="str">
        <f t="shared" si="141"/>
        <v>GLAA20</v>
      </c>
      <c r="AR568" s="41" t="str">
        <f t="shared" si="142"/>
        <v>A20</v>
      </c>
      <c r="CR568" s="625"/>
    </row>
    <row r="569" spans="1:96" s="41" customFormat="1" ht="12.75" customHeight="1">
      <c r="A569" s="25" t="s">
        <v>17</v>
      </c>
      <c r="B569" s="25" t="str">
        <f t="shared" si="152"/>
        <v>GL236490</v>
      </c>
      <c r="C569" s="638">
        <v>236490</v>
      </c>
      <c r="D569" s="735"/>
      <c r="F569" s="1" t="s">
        <v>555</v>
      </c>
      <c r="H569" s="736">
        <v>0</v>
      </c>
      <c r="I569" s="25"/>
      <c r="J569" s="25"/>
      <c r="K569" s="442" t="str">
        <f t="shared" si="151"/>
        <v/>
      </c>
      <c r="L569" s="736" t="s">
        <v>2393</v>
      </c>
      <c r="M569" s="25" t="str">
        <f t="shared" si="153"/>
        <v>A</v>
      </c>
      <c r="N569" s="25" t="str">
        <f>IF(L569&lt;&gt;"",VLOOKUP(L569,Categories!$B$2:$D$41,2,FALSE),IF(F569&lt;&gt;"","No Cat",""))</f>
        <v>All Other</v>
      </c>
      <c r="O569" s="25" t="str">
        <f>IF($L569&lt;&gt;"",VLOOKUP($L569,Categories!$B$2:$D$41,3,FALSE),IF($F569&lt;&gt;"","No Cat",""))</f>
        <v>EB-Cap</v>
      </c>
      <c r="P569" s="736" t="s">
        <v>2490</v>
      </c>
      <c r="Q569" s="25" t="str">
        <f>VLOOKUP($P569,Allocators!$B$7:$F$19,5,FALSE)</f>
        <v>Rate Base</v>
      </c>
      <c r="R569" s="737">
        <f>VLOOKUP($P569,Allocators!$B$7:$F$19,2,FALSE)</f>
        <v>0.70940000000000003</v>
      </c>
      <c r="S569" s="737">
        <f>VLOOKUP($P569,Allocators!$B$7:$F$19,3,FALSE)</f>
        <v>0.29060000000000002</v>
      </c>
      <c r="T569" s="737" t="str">
        <f t="shared" si="154"/>
        <v>0.0%</v>
      </c>
      <c r="U569" s="2">
        <f t="shared" si="145"/>
        <v>-2.8320731828333399</v>
      </c>
      <c r="V569" s="2">
        <f t="shared" si="146"/>
        <v>-1.1601359838333301</v>
      </c>
      <c r="W569" s="2">
        <f t="shared" si="147"/>
        <v>0</v>
      </c>
      <c r="X569" s="2">
        <f t="shared" si="143"/>
        <v>-3.9922091666666701</v>
      </c>
      <c r="Y569" s="2">
        <f t="shared" si="148"/>
        <v>-4.5531065499999999</v>
      </c>
      <c r="Z569" s="2">
        <f t="shared" si="149"/>
        <v>-1.8651434499999999</v>
      </c>
      <c r="AA569" s="2">
        <f t="shared" si="150"/>
        <v>0</v>
      </c>
      <c r="AB569" s="2">
        <f t="shared" si="144"/>
        <v>-6.4182499999999996</v>
      </c>
      <c r="AC569" s="759">
        <v>-5.9376899999999999</v>
      </c>
      <c r="AD569" s="741">
        <v>-6.48841</v>
      </c>
      <c r="AE569" s="741">
        <v>-0.6603</v>
      </c>
      <c r="AF569" s="741">
        <v>-1.39297</v>
      </c>
      <c r="AG569" s="741">
        <v>-2.1559299999999997</v>
      </c>
      <c r="AH569" s="741">
        <v>-2.7469800000000002</v>
      </c>
      <c r="AI569" s="741">
        <v>-3.3312300000000001</v>
      </c>
      <c r="AJ569" s="741">
        <v>-3.9601500000000001</v>
      </c>
      <c r="AK569" s="741">
        <v>-4.4734300000000005</v>
      </c>
      <c r="AL569" s="741">
        <v>-5.0332799999999995</v>
      </c>
      <c r="AM569" s="741">
        <v>-5.5119600000000002</v>
      </c>
      <c r="AN569" s="741">
        <v>-5.9738999999999995</v>
      </c>
      <c r="AO569" s="741">
        <v>-6.4182499999999996</v>
      </c>
      <c r="AP569" s="41" t="str">
        <f t="shared" si="140"/>
        <v>GLA</v>
      </c>
      <c r="AQ569" s="41" t="str">
        <f t="shared" si="141"/>
        <v>GLAA20</v>
      </c>
      <c r="AR569" s="41" t="str">
        <f t="shared" si="142"/>
        <v>A20</v>
      </c>
      <c r="CR569" s="625"/>
    </row>
    <row r="570" spans="1:96" s="41" customFormat="1" ht="12.75" customHeight="1">
      <c r="A570" s="25" t="s">
        <v>17</v>
      </c>
      <c r="B570" s="25" t="str">
        <f t="shared" si="152"/>
        <v>GL236510</v>
      </c>
      <c r="C570" s="638">
        <v>236510</v>
      </c>
      <c r="D570" s="735"/>
      <c r="F570" s="1" t="s">
        <v>556</v>
      </c>
      <c r="H570" s="736">
        <v>0</v>
      </c>
      <c r="I570" s="25"/>
      <c r="J570" s="25"/>
      <c r="K570" s="442" t="str">
        <f t="shared" si="151"/>
        <v/>
      </c>
      <c r="L570" s="736" t="s">
        <v>2393</v>
      </c>
      <c r="M570" s="25" t="str">
        <f t="shared" si="153"/>
        <v>A</v>
      </c>
      <c r="N570" s="25" t="str">
        <f>IF(L570&lt;&gt;"",VLOOKUP(L570,Categories!$B$2:$D$41,2,FALSE),IF(F570&lt;&gt;"","No Cat",""))</f>
        <v>All Other</v>
      </c>
      <c r="O570" s="25" t="str">
        <f>IF($L570&lt;&gt;"",VLOOKUP($L570,Categories!$B$2:$D$41,3,FALSE),IF($F570&lt;&gt;"","No Cat",""))</f>
        <v>EB-Cap</v>
      </c>
      <c r="P570" s="736" t="s">
        <v>2490</v>
      </c>
      <c r="Q570" s="25" t="str">
        <f>VLOOKUP($P570,Allocators!$B$7:$F$19,5,FALSE)</f>
        <v>Rate Base</v>
      </c>
      <c r="R570" s="737">
        <f>VLOOKUP($P570,Allocators!$B$7:$F$19,2,FALSE)</f>
        <v>0.70940000000000003</v>
      </c>
      <c r="S570" s="737">
        <f>VLOOKUP($P570,Allocators!$B$7:$F$19,3,FALSE)</f>
        <v>0.29060000000000002</v>
      </c>
      <c r="T570" s="737" t="str">
        <f t="shared" si="154"/>
        <v>0.0%</v>
      </c>
      <c r="U570" s="2">
        <f t="shared" si="145"/>
        <v>-0.73882827666666395</v>
      </c>
      <c r="V570" s="2">
        <f t="shared" si="146"/>
        <v>-0.30265505666666598</v>
      </c>
      <c r="W570" s="2">
        <f t="shared" si="147"/>
        <v>0</v>
      </c>
      <c r="X570" s="2">
        <f t="shared" si="143"/>
        <v>-1.04148333333333</v>
      </c>
      <c r="Y570" s="2" t="str">
        <f t="shared" si="148"/>
        <v/>
      </c>
      <c r="Z570" s="2" t="str">
        <f t="shared" si="149"/>
        <v/>
      </c>
      <c r="AA570" s="2" t="str">
        <f t="shared" si="150"/>
        <v/>
      </c>
      <c r="AB570" s="2">
        <f t="shared" si="144"/>
        <v>0</v>
      </c>
      <c r="AC570" s="759">
        <v>0</v>
      </c>
      <c r="AD570" s="741">
        <v>-0.65482000000000007</v>
      </c>
      <c r="AE570" s="741">
        <v>-1.4962500000000001</v>
      </c>
      <c r="AF570" s="741">
        <v>-0.65255999999999992</v>
      </c>
      <c r="AG570" s="741">
        <v>-1.75671</v>
      </c>
      <c r="AH570" s="741">
        <v>-2.63286</v>
      </c>
      <c r="AI570" s="741">
        <v>-0.65255999999999992</v>
      </c>
      <c r="AJ570" s="741">
        <v>-0.96838999999999997</v>
      </c>
      <c r="AK570" s="741">
        <v>-1.16659</v>
      </c>
      <c r="AL570" s="741">
        <v>-0.65255999999999992</v>
      </c>
      <c r="AM570" s="741">
        <v>-0.83365</v>
      </c>
      <c r="AN570" s="741">
        <v>-1.0308499999999998</v>
      </c>
      <c r="AO570" s="741">
        <v>0</v>
      </c>
      <c r="AP570" s="41" t="str">
        <f t="shared" si="140"/>
        <v>GLA</v>
      </c>
      <c r="AQ570" s="41" t="str">
        <f t="shared" si="141"/>
        <v>GLAA20</v>
      </c>
      <c r="AR570" s="41" t="str">
        <f t="shared" si="142"/>
        <v>A20</v>
      </c>
      <c r="CR570" s="625"/>
    </row>
    <row r="571" spans="1:96" s="41" customFormat="1" ht="12.75" customHeight="1">
      <c r="A571" s="25" t="s">
        <v>17</v>
      </c>
      <c r="B571" s="25" t="str">
        <f t="shared" si="152"/>
        <v>GL236520</v>
      </c>
      <c r="C571" s="638">
        <v>236520</v>
      </c>
      <c r="D571" s="735"/>
      <c r="F571" s="1" t="s">
        <v>557</v>
      </c>
      <c r="H571" s="736">
        <v>0</v>
      </c>
      <c r="I571" s="25"/>
      <c r="J571" s="25"/>
      <c r="K571" s="442" t="str">
        <f t="shared" si="151"/>
        <v/>
      </c>
      <c r="L571" s="736" t="s">
        <v>2393</v>
      </c>
      <c r="M571" s="25" t="str">
        <f t="shared" si="153"/>
        <v>A</v>
      </c>
      <c r="N571" s="25" t="str">
        <f>IF(L571&lt;&gt;"",VLOOKUP(L571,Categories!$B$2:$D$41,2,FALSE),IF(F571&lt;&gt;"","No Cat",""))</f>
        <v>All Other</v>
      </c>
      <c r="O571" s="25" t="str">
        <f>IF($L571&lt;&gt;"",VLOOKUP($L571,Categories!$B$2:$D$41,3,FALSE),IF($F571&lt;&gt;"","No Cat",""))</f>
        <v>EB-Cap</v>
      </c>
      <c r="P571" s="736" t="s">
        <v>2490</v>
      </c>
      <c r="Q571" s="25" t="str">
        <f>VLOOKUP($P571,Allocators!$B$7:$F$19,5,FALSE)</f>
        <v>Rate Base</v>
      </c>
      <c r="R571" s="737">
        <f>VLOOKUP($P571,Allocators!$B$7:$F$19,2,FALSE)</f>
        <v>0.70940000000000003</v>
      </c>
      <c r="S571" s="737">
        <f>VLOOKUP($P571,Allocators!$B$7:$F$19,3,FALSE)</f>
        <v>0.29060000000000002</v>
      </c>
      <c r="T571" s="737" t="str">
        <f t="shared" si="154"/>
        <v>0.0%</v>
      </c>
      <c r="U571" s="2">
        <f t="shared" si="145"/>
        <v>-5.2643441915833398</v>
      </c>
      <c r="V571" s="2">
        <f t="shared" si="146"/>
        <v>-2.1564962250833299</v>
      </c>
      <c r="W571" s="2">
        <f t="shared" si="147"/>
        <v>0</v>
      </c>
      <c r="X571" s="2">
        <f t="shared" si="143"/>
        <v>-7.4208404166666702</v>
      </c>
      <c r="Y571" s="2">
        <f t="shared" si="148"/>
        <v>-7.8266683199999996</v>
      </c>
      <c r="Z571" s="2">
        <f t="shared" si="149"/>
        <v>-3.2061316799999999</v>
      </c>
      <c r="AA571" s="2">
        <f t="shared" si="150"/>
        <v>0</v>
      </c>
      <c r="AB571" s="2">
        <f t="shared" si="144"/>
        <v>-11.0328</v>
      </c>
      <c r="AC571" s="759">
        <v>-11.068149999999999</v>
      </c>
      <c r="AD571" s="741">
        <v>-12.35261</v>
      </c>
      <c r="AE571" s="741">
        <v>-1.50434</v>
      </c>
      <c r="AF571" s="741">
        <v>-3.1328499999999999</v>
      </c>
      <c r="AG571" s="741">
        <v>-4.5560799999999997</v>
      </c>
      <c r="AH571" s="741">
        <v>-5.71197</v>
      </c>
      <c r="AI571" s="741">
        <v>-6.6870600000000007</v>
      </c>
      <c r="AJ571" s="741">
        <v>-7.4804399999999998</v>
      </c>
      <c r="AK571" s="741">
        <v>-8.1928799999999988</v>
      </c>
      <c r="AL571" s="741">
        <v>-8.7938700000000001</v>
      </c>
      <c r="AM571" s="741">
        <v>-9.4446399999999997</v>
      </c>
      <c r="AN571" s="741">
        <v>-10.14287</v>
      </c>
      <c r="AO571" s="741">
        <v>-11.0328</v>
      </c>
      <c r="AP571" s="41" t="str">
        <f t="shared" si="140"/>
        <v>GLA</v>
      </c>
      <c r="AQ571" s="41" t="str">
        <f t="shared" si="141"/>
        <v>GLAA20</v>
      </c>
      <c r="AR571" s="41" t="str">
        <f t="shared" si="142"/>
        <v>A20</v>
      </c>
      <c r="CR571" s="625"/>
    </row>
    <row r="572" spans="1:96" s="41" customFormat="1" ht="12.75" customHeight="1">
      <c r="A572" s="25" t="s">
        <v>17</v>
      </c>
      <c r="B572" s="25" t="str">
        <f t="shared" si="152"/>
        <v>GL236530</v>
      </c>
      <c r="C572" s="638">
        <v>236530</v>
      </c>
      <c r="D572" s="735"/>
      <c r="F572" s="1" t="s">
        <v>558</v>
      </c>
      <c r="H572" s="736">
        <v>0</v>
      </c>
      <c r="I572" s="25"/>
      <c r="J572" s="25"/>
      <c r="K572" s="442" t="str">
        <f t="shared" si="151"/>
        <v/>
      </c>
      <c r="L572" s="736" t="s">
        <v>2393</v>
      </c>
      <c r="M572" s="25" t="str">
        <f t="shared" si="153"/>
        <v>A</v>
      </c>
      <c r="N572" s="25" t="str">
        <f>IF(L572&lt;&gt;"",VLOOKUP(L572,Categories!$B$2:$D$41,2,FALSE),IF(F572&lt;&gt;"","No Cat",""))</f>
        <v>All Other</v>
      </c>
      <c r="O572" s="25" t="str">
        <f>IF($L572&lt;&gt;"",VLOOKUP($L572,Categories!$B$2:$D$41,3,FALSE),IF($F572&lt;&gt;"","No Cat",""))</f>
        <v>EB-Cap</v>
      </c>
      <c r="P572" s="736" t="s">
        <v>2490</v>
      </c>
      <c r="Q572" s="25" t="str">
        <f>VLOOKUP($P572,Allocators!$B$7:$F$19,5,FALSE)</f>
        <v>Rate Base</v>
      </c>
      <c r="R572" s="737">
        <f>VLOOKUP($P572,Allocators!$B$7:$F$19,2,FALSE)</f>
        <v>0.70940000000000003</v>
      </c>
      <c r="S572" s="737">
        <f>VLOOKUP($P572,Allocators!$B$7:$F$19,3,FALSE)</f>
        <v>0.29060000000000002</v>
      </c>
      <c r="T572" s="737" t="str">
        <f t="shared" si="154"/>
        <v>0.0%</v>
      </c>
      <c r="U572" s="2">
        <f t="shared" si="145"/>
        <v>-5.2735344685833399</v>
      </c>
      <c r="V572" s="2">
        <f t="shared" si="146"/>
        <v>-2.1602609480833301</v>
      </c>
      <c r="W572" s="2">
        <f t="shared" si="147"/>
        <v>0</v>
      </c>
      <c r="X572" s="2">
        <f t="shared" si="143"/>
        <v>-7.43379541666667</v>
      </c>
      <c r="Y572" s="2">
        <f t="shared" si="148"/>
        <v>-8.2866078099999996</v>
      </c>
      <c r="Z572" s="2">
        <f t="shared" si="149"/>
        <v>-3.3945421900000001</v>
      </c>
      <c r="AA572" s="2">
        <f t="shared" si="150"/>
        <v>0</v>
      </c>
      <c r="AB572" s="2">
        <f t="shared" si="144"/>
        <v>-11.681149999999999</v>
      </c>
      <c r="AC572" s="759">
        <v>-11.211739999999999</v>
      </c>
      <c r="AD572" s="741">
        <v>-12.365969999999999</v>
      </c>
      <c r="AE572" s="741">
        <v>-1.2724500000000001</v>
      </c>
      <c r="AF572" s="741">
        <v>-2.8321499999999999</v>
      </c>
      <c r="AG572" s="741">
        <v>-4.0910700000000002</v>
      </c>
      <c r="AH572" s="741">
        <v>-5.3496899999999998</v>
      </c>
      <c r="AI572" s="741">
        <v>-6.2798500000000006</v>
      </c>
      <c r="AJ572" s="741">
        <v>-7.2791600000000001</v>
      </c>
      <c r="AK572" s="741">
        <v>-8.2956599999999998</v>
      </c>
      <c r="AL572" s="741">
        <v>-9.1644799999999993</v>
      </c>
      <c r="AM572" s="741">
        <v>-10.0181</v>
      </c>
      <c r="AN572" s="741">
        <v>-10.81052</v>
      </c>
      <c r="AO572" s="741">
        <v>-11.681149999999999</v>
      </c>
      <c r="AP572" s="41" t="str">
        <f t="shared" si="140"/>
        <v>GLA</v>
      </c>
      <c r="AQ572" s="41" t="str">
        <f t="shared" si="141"/>
        <v>GLAA20</v>
      </c>
      <c r="AR572" s="41" t="str">
        <f t="shared" si="142"/>
        <v>A20</v>
      </c>
      <c r="CR572" s="625"/>
    </row>
    <row r="573" spans="1:96" s="41" customFormat="1" ht="12.75" customHeight="1">
      <c r="A573" s="25" t="s">
        <v>17</v>
      </c>
      <c r="B573" s="25" t="str">
        <f t="shared" si="152"/>
        <v>GL236540</v>
      </c>
      <c r="C573" s="638">
        <v>236540</v>
      </c>
      <c r="D573" s="735"/>
      <c r="F573" s="1" t="s">
        <v>559</v>
      </c>
      <c r="H573" s="736">
        <v>0</v>
      </c>
      <c r="I573" s="25"/>
      <c r="J573" s="25"/>
      <c r="K573" s="442" t="str">
        <f t="shared" si="151"/>
        <v/>
      </c>
      <c r="L573" s="736" t="s">
        <v>2393</v>
      </c>
      <c r="M573" s="25" t="str">
        <f t="shared" si="153"/>
        <v>A</v>
      </c>
      <c r="N573" s="25" t="str">
        <f>IF(L573&lt;&gt;"",VLOOKUP(L573,Categories!$B$2:$D$41,2,FALSE),IF(F573&lt;&gt;"","No Cat",""))</f>
        <v>All Other</v>
      </c>
      <c r="O573" s="25" t="str">
        <f>IF($L573&lt;&gt;"",VLOOKUP($L573,Categories!$B$2:$D$41,3,FALSE),IF($F573&lt;&gt;"","No Cat",""))</f>
        <v>EB-Cap</v>
      </c>
      <c r="P573" s="736" t="s">
        <v>2490</v>
      </c>
      <c r="Q573" s="25" t="str">
        <f>VLOOKUP($P573,Allocators!$B$7:$F$19,5,FALSE)</f>
        <v>Rate Base</v>
      </c>
      <c r="R573" s="737">
        <f>VLOOKUP($P573,Allocators!$B$7:$F$19,2,FALSE)</f>
        <v>0.70940000000000003</v>
      </c>
      <c r="S573" s="737">
        <f>VLOOKUP($P573,Allocators!$B$7:$F$19,3,FALSE)</f>
        <v>0.29060000000000002</v>
      </c>
      <c r="T573" s="737" t="str">
        <f t="shared" si="154"/>
        <v>0.0%</v>
      </c>
      <c r="U573" s="2">
        <f t="shared" si="145"/>
        <v>-2.2756479032499999</v>
      </c>
      <c r="V573" s="2">
        <f t="shared" si="146"/>
        <v>-0.93220084675000003</v>
      </c>
      <c r="W573" s="2">
        <f t="shared" si="147"/>
        <v>0</v>
      </c>
      <c r="X573" s="2">
        <f t="shared" si="143"/>
        <v>-3.2078487500000001</v>
      </c>
      <c r="Y573" s="2">
        <f t="shared" si="148"/>
        <v>-3.54941196</v>
      </c>
      <c r="Z573" s="2">
        <f t="shared" si="149"/>
        <v>-1.45398804</v>
      </c>
      <c r="AA573" s="2">
        <f t="shared" si="150"/>
        <v>0</v>
      </c>
      <c r="AB573" s="2">
        <f t="shared" si="144"/>
        <v>-5.0034000000000001</v>
      </c>
      <c r="AC573" s="759">
        <v>-4.7786899999999992</v>
      </c>
      <c r="AD573" s="741">
        <v>-5.4026899999999998</v>
      </c>
      <c r="AE573" s="741">
        <v>-6.1173199999999994</v>
      </c>
      <c r="AF573" s="741">
        <v>-0.13183</v>
      </c>
      <c r="AG573" s="741">
        <v>-0.71677000000000002</v>
      </c>
      <c r="AH573" s="741">
        <v>-1.2937700000000001</v>
      </c>
      <c r="AI573" s="741">
        <v>-1.9191099999999999</v>
      </c>
      <c r="AJ573" s="741">
        <v>-2.5122399999999998</v>
      </c>
      <c r="AK573" s="741">
        <v>-3.1241699999999999</v>
      </c>
      <c r="AL573" s="741">
        <v>-3.6327699999999998</v>
      </c>
      <c r="AM573" s="741">
        <v>-4.1317700000000004</v>
      </c>
      <c r="AN573" s="741">
        <v>-4.6207000000000003</v>
      </c>
      <c r="AO573" s="741">
        <v>-5.0034000000000001</v>
      </c>
      <c r="AP573" s="41" t="str">
        <f t="shared" si="140"/>
        <v>GLA</v>
      </c>
      <c r="AQ573" s="41" t="str">
        <f t="shared" si="141"/>
        <v>GLAA20</v>
      </c>
      <c r="AR573" s="41" t="str">
        <f t="shared" si="142"/>
        <v>A20</v>
      </c>
      <c r="CR573" s="625"/>
    </row>
    <row r="574" spans="1:96" s="41" customFormat="1" ht="12.75" customHeight="1">
      <c r="A574" s="25" t="s">
        <v>17</v>
      </c>
      <c r="B574" s="25" t="str">
        <f t="shared" si="152"/>
        <v>GL236550</v>
      </c>
      <c r="C574" s="638">
        <v>236550</v>
      </c>
      <c r="D574" s="735"/>
      <c r="F574" s="1" t="s">
        <v>560</v>
      </c>
      <c r="H574" s="736">
        <v>0</v>
      </c>
      <c r="I574" s="25"/>
      <c r="J574" s="25"/>
      <c r="K574" s="442" t="str">
        <f t="shared" si="151"/>
        <v/>
      </c>
      <c r="L574" s="736" t="s">
        <v>2393</v>
      </c>
      <c r="M574" s="25" t="str">
        <f t="shared" si="153"/>
        <v>A</v>
      </c>
      <c r="N574" s="25" t="str">
        <f>IF(L574&lt;&gt;"",VLOOKUP(L574,Categories!$B$2:$D$41,2,FALSE),IF(F574&lt;&gt;"","No Cat",""))</f>
        <v>All Other</v>
      </c>
      <c r="O574" s="25" t="str">
        <f>IF($L574&lt;&gt;"",VLOOKUP($L574,Categories!$B$2:$D$41,3,FALSE),IF($F574&lt;&gt;"","No Cat",""))</f>
        <v>EB-Cap</v>
      </c>
      <c r="P574" s="736" t="s">
        <v>2490</v>
      </c>
      <c r="Q574" s="25" t="str">
        <f>VLOOKUP($P574,Allocators!$B$7:$F$19,5,FALSE)</f>
        <v>Rate Base</v>
      </c>
      <c r="R574" s="737">
        <f>VLOOKUP($P574,Allocators!$B$7:$F$19,2,FALSE)</f>
        <v>0.70940000000000003</v>
      </c>
      <c r="S574" s="737">
        <f>VLOOKUP($P574,Allocators!$B$7:$F$19,3,FALSE)</f>
        <v>0.29060000000000002</v>
      </c>
      <c r="T574" s="737" t="str">
        <f t="shared" si="154"/>
        <v>0.0%</v>
      </c>
      <c r="U574" s="2">
        <f t="shared" si="145"/>
        <v>-2.47520330558334</v>
      </c>
      <c r="V574" s="2">
        <f t="shared" si="146"/>
        <v>-1.01394711108333</v>
      </c>
      <c r="W574" s="2">
        <f t="shared" si="147"/>
        <v>0</v>
      </c>
      <c r="X574" s="2">
        <f t="shared" si="143"/>
        <v>-3.48915041666667</v>
      </c>
      <c r="Y574" s="2">
        <f t="shared" si="148"/>
        <v>-3.8612641999999999</v>
      </c>
      <c r="Z574" s="2">
        <f t="shared" si="149"/>
        <v>-1.5817357999999999</v>
      </c>
      <c r="AA574" s="2">
        <f t="shared" si="150"/>
        <v>0</v>
      </c>
      <c r="AB574" s="2">
        <f t="shared" si="144"/>
        <v>-5.4429999999999996</v>
      </c>
      <c r="AC574" s="759">
        <v>-5.3461099999999995</v>
      </c>
      <c r="AD574" s="741">
        <v>-5.9567100000000002</v>
      </c>
      <c r="AE574" s="741">
        <v>-6.6516400000000004</v>
      </c>
      <c r="AF574" s="741">
        <v>-6.9819999999999993E-2</v>
      </c>
      <c r="AG574" s="741">
        <v>-0.73409000000000002</v>
      </c>
      <c r="AH574" s="741">
        <v>-1.3621300000000001</v>
      </c>
      <c r="AI574" s="741">
        <v>-2.0177299999999998</v>
      </c>
      <c r="AJ574" s="741">
        <v>-2.7672399999999997</v>
      </c>
      <c r="AK574" s="741">
        <v>-3.4123299999999999</v>
      </c>
      <c r="AL574" s="741">
        <v>-3.9814000000000003</v>
      </c>
      <c r="AM574" s="741">
        <v>-4.5093000000000005</v>
      </c>
      <c r="AN574" s="741">
        <v>-5.0128599999999999</v>
      </c>
      <c r="AO574" s="741">
        <v>-5.4429999999999996</v>
      </c>
      <c r="AP574" s="41" t="str">
        <f t="shared" si="140"/>
        <v>GLA</v>
      </c>
      <c r="AQ574" s="41" t="str">
        <f t="shared" si="141"/>
        <v>GLAA20</v>
      </c>
      <c r="AR574" s="41" t="str">
        <f t="shared" si="142"/>
        <v>A20</v>
      </c>
      <c r="CR574" s="625"/>
    </row>
    <row r="575" spans="1:96" s="41" customFormat="1" ht="12.75" customHeight="1">
      <c r="A575" s="25" t="s">
        <v>17</v>
      </c>
      <c r="B575" s="25" t="str">
        <f t="shared" si="152"/>
        <v>GL236560</v>
      </c>
      <c r="C575" s="638">
        <v>236560</v>
      </c>
      <c r="D575" s="735"/>
      <c r="F575" s="1" t="s">
        <v>561</v>
      </c>
      <c r="H575" s="736">
        <v>0</v>
      </c>
      <c r="I575" s="25"/>
      <c r="J575" s="25"/>
      <c r="K575" s="442" t="str">
        <f t="shared" si="151"/>
        <v/>
      </c>
      <c r="L575" s="736" t="s">
        <v>2393</v>
      </c>
      <c r="M575" s="25" t="str">
        <f t="shared" si="153"/>
        <v>A</v>
      </c>
      <c r="N575" s="25" t="str">
        <f>IF(L575&lt;&gt;"",VLOOKUP(L575,Categories!$B$2:$D$41,2,FALSE),IF(F575&lt;&gt;"","No Cat",""))</f>
        <v>All Other</v>
      </c>
      <c r="O575" s="25" t="str">
        <f>IF($L575&lt;&gt;"",VLOOKUP($L575,Categories!$B$2:$D$41,3,FALSE),IF($F575&lt;&gt;"","No Cat",""))</f>
        <v>EB-Cap</v>
      </c>
      <c r="P575" s="736" t="s">
        <v>2490</v>
      </c>
      <c r="Q575" s="25" t="str">
        <f>VLOOKUP($P575,Allocators!$B$7:$F$19,5,FALSE)</f>
        <v>Rate Base</v>
      </c>
      <c r="R575" s="737">
        <f>VLOOKUP($P575,Allocators!$B$7:$F$19,2,FALSE)</f>
        <v>0.70940000000000003</v>
      </c>
      <c r="S575" s="737">
        <f>VLOOKUP($P575,Allocators!$B$7:$F$19,3,FALSE)</f>
        <v>0.29060000000000002</v>
      </c>
      <c r="T575" s="737" t="str">
        <f t="shared" si="154"/>
        <v>0.0%</v>
      </c>
      <c r="U575" s="2">
        <f t="shared" si="145"/>
        <v>-22.9978278490834</v>
      </c>
      <c r="V575" s="2">
        <f t="shared" si="146"/>
        <v>-9.4208750675833404</v>
      </c>
      <c r="W575" s="2">
        <f t="shared" si="147"/>
        <v>0</v>
      </c>
      <c r="X575" s="2">
        <f t="shared" si="143"/>
        <v>-32.418702916666703</v>
      </c>
      <c r="Y575" s="2">
        <f t="shared" si="148"/>
        <v>-36.226220400000003</v>
      </c>
      <c r="Z575" s="2">
        <f t="shared" si="149"/>
        <v>-14.8397796</v>
      </c>
      <c r="AA575" s="2">
        <f t="shared" si="150"/>
        <v>0</v>
      </c>
      <c r="AB575" s="2">
        <f t="shared" si="144"/>
        <v>-51.066000000000003</v>
      </c>
      <c r="AC575" s="759">
        <v>-39.48471</v>
      </c>
      <c r="AD575" s="741">
        <v>-44.392580000000002</v>
      </c>
      <c r="AE575" s="741">
        <v>-5.9416499999999992</v>
      </c>
      <c r="AF575" s="741">
        <v>-13.87664</v>
      </c>
      <c r="AG575" s="741">
        <v>-21.150659999999998</v>
      </c>
      <c r="AH575" s="741">
        <v>-26.259270000000001</v>
      </c>
      <c r="AI575" s="741">
        <v>-30.02976</v>
      </c>
      <c r="AJ575" s="741">
        <v>-33.53293</v>
      </c>
      <c r="AK575" s="741">
        <v>-36.92989</v>
      </c>
      <c r="AL575" s="741">
        <v>-40.2239</v>
      </c>
      <c r="AM575" s="741">
        <v>-43.882400000000004</v>
      </c>
      <c r="AN575" s="741">
        <v>-47.529400000000003</v>
      </c>
      <c r="AO575" s="741">
        <v>-51.066000000000003</v>
      </c>
      <c r="AP575" s="41" t="str">
        <f t="shared" si="140"/>
        <v>GLA</v>
      </c>
      <c r="AQ575" s="41" t="str">
        <f t="shared" si="141"/>
        <v>GLAA20</v>
      </c>
      <c r="AR575" s="41" t="str">
        <f t="shared" si="142"/>
        <v>A20</v>
      </c>
      <c r="CR575" s="625"/>
    </row>
    <row r="576" spans="1:96" s="41" customFormat="1" ht="12.75" customHeight="1">
      <c r="A576" s="25" t="s">
        <v>17</v>
      </c>
      <c r="B576" s="25" t="str">
        <f t="shared" si="152"/>
        <v>GL236570</v>
      </c>
      <c r="C576" s="638">
        <v>236570</v>
      </c>
      <c r="D576" s="735"/>
      <c r="F576" s="1" t="s">
        <v>562</v>
      </c>
      <c r="H576" s="736">
        <v>0</v>
      </c>
      <c r="I576" s="25"/>
      <c r="J576" s="25"/>
      <c r="K576" s="442" t="str">
        <f t="shared" si="151"/>
        <v/>
      </c>
      <c r="L576" s="736" t="s">
        <v>2393</v>
      </c>
      <c r="M576" s="25" t="str">
        <f t="shared" si="153"/>
        <v>A</v>
      </c>
      <c r="N576" s="25" t="str">
        <f>IF(L576&lt;&gt;"",VLOOKUP(L576,Categories!$B$2:$D$41,2,FALSE),IF(F576&lt;&gt;"","No Cat",""))</f>
        <v>All Other</v>
      </c>
      <c r="O576" s="25" t="str">
        <f>IF($L576&lt;&gt;"",VLOOKUP($L576,Categories!$B$2:$D$41,3,FALSE),IF($F576&lt;&gt;"","No Cat",""))</f>
        <v>EB-Cap</v>
      </c>
      <c r="P576" s="736" t="s">
        <v>2490</v>
      </c>
      <c r="Q576" s="25" t="str">
        <f>VLOOKUP($P576,Allocators!$B$7:$F$19,5,FALSE)</f>
        <v>Rate Base</v>
      </c>
      <c r="R576" s="737">
        <f>VLOOKUP($P576,Allocators!$B$7:$F$19,2,FALSE)</f>
        <v>0.70940000000000003</v>
      </c>
      <c r="S576" s="737">
        <f>VLOOKUP($P576,Allocators!$B$7:$F$19,3,FALSE)</f>
        <v>0.29060000000000002</v>
      </c>
      <c r="T576" s="737" t="str">
        <f t="shared" si="154"/>
        <v>0.0%</v>
      </c>
      <c r="U576" s="2">
        <f t="shared" si="145"/>
        <v>-1.40967031758334</v>
      </c>
      <c r="V576" s="2">
        <f t="shared" si="146"/>
        <v>-0.57746009908333396</v>
      </c>
      <c r="W576" s="2">
        <f t="shared" si="147"/>
        <v>0</v>
      </c>
      <c r="X576" s="2">
        <f t="shared" si="143"/>
        <v>-1.9871304166666699</v>
      </c>
      <c r="Y576" s="2">
        <f t="shared" si="148"/>
        <v>-1.3847133300000001</v>
      </c>
      <c r="Z576" s="2">
        <f t="shared" si="149"/>
        <v>-0.56723667</v>
      </c>
      <c r="AA576" s="2">
        <f t="shared" si="150"/>
        <v>0</v>
      </c>
      <c r="AB576" s="2">
        <f t="shared" si="144"/>
        <v>-1.9519500000000001</v>
      </c>
      <c r="AC576" s="759">
        <v>0</v>
      </c>
      <c r="AD576" s="741">
        <v>-0.53813999999999995</v>
      </c>
      <c r="AE576" s="741">
        <v>-1.0900999999999998</v>
      </c>
      <c r="AF576" s="741">
        <v>-1.9519500000000001</v>
      </c>
      <c r="AG576" s="741">
        <v>-2.6110000000000002</v>
      </c>
      <c r="AH576" s="741">
        <v>-3.1704499999999998</v>
      </c>
      <c r="AI576" s="741">
        <v>-1.9519500000000001</v>
      </c>
      <c r="AJ576" s="741">
        <v>-2.0361700000000003</v>
      </c>
      <c r="AK576" s="741">
        <v>-2.1750799999999999</v>
      </c>
      <c r="AL576" s="741">
        <v>-2.3143699999999998</v>
      </c>
      <c r="AM576" s="741">
        <v>-2.4384399999999999</v>
      </c>
      <c r="AN576" s="741">
        <v>-2.5919400000000001</v>
      </c>
      <c r="AO576" s="741">
        <v>-1.9519500000000001</v>
      </c>
      <c r="AP576" s="41" t="str">
        <f t="shared" si="140"/>
        <v>GLA</v>
      </c>
      <c r="AQ576" s="41" t="str">
        <f t="shared" si="141"/>
        <v>GLAA20</v>
      </c>
      <c r="AR576" s="41" t="str">
        <f t="shared" si="142"/>
        <v>A20</v>
      </c>
      <c r="CR576" s="625"/>
    </row>
    <row r="577" spans="1:96" s="41" customFormat="1" ht="12.75" customHeight="1">
      <c r="A577" s="25" t="s">
        <v>17</v>
      </c>
      <c r="B577" s="25" t="str">
        <f t="shared" si="152"/>
        <v>GL236580</v>
      </c>
      <c r="C577" s="638">
        <v>236580</v>
      </c>
      <c r="D577" s="735"/>
      <c r="F577" s="1" t="s">
        <v>563</v>
      </c>
      <c r="H577" s="736">
        <v>0</v>
      </c>
      <c r="I577" s="25"/>
      <c r="J577" s="25"/>
      <c r="K577" s="442" t="str">
        <f t="shared" si="151"/>
        <v/>
      </c>
      <c r="L577" s="736" t="s">
        <v>2393</v>
      </c>
      <c r="M577" s="25" t="str">
        <f t="shared" si="153"/>
        <v>A</v>
      </c>
      <c r="N577" s="25" t="str">
        <f>IF(L577&lt;&gt;"",VLOOKUP(L577,Categories!$B$2:$D$41,2,FALSE),IF(F577&lt;&gt;"","No Cat",""))</f>
        <v>All Other</v>
      </c>
      <c r="O577" s="25" t="str">
        <f>IF($L577&lt;&gt;"",VLOOKUP($L577,Categories!$B$2:$D$41,3,FALSE),IF($F577&lt;&gt;"","No Cat",""))</f>
        <v>EB-Cap</v>
      </c>
      <c r="P577" s="736" t="s">
        <v>2490</v>
      </c>
      <c r="Q577" s="25" t="str">
        <f>VLOOKUP($P577,Allocators!$B$7:$F$19,5,FALSE)</f>
        <v>Rate Base</v>
      </c>
      <c r="R577" s="737">
        <f>VLOOKUP($P577,Allocators!$B$7:$F$19,2,FALSE)</f>
        <v>0.70940000000000003</v>
      </c>
      <c r="S577" s="737">
        <f>VLOOKUP($P577,Allocators!$B$7:$F$19,3,FALSE)</f>
        <v>0.29060000000000002</v>
      </c>
      <c r="T577" s="737" t="str">
        <f t="shared" si="154"/>
        <v>0.0%</v>
      </c>
      <c r="U577" s="2">
        <f t="shared" si="145"/>
        <v>-5.0268686990000004</v>
      </c>
      <c r="V577" s="2">
        <f t="shared" si="146"/>
        <v>-2.0592163010000002</v>
      </c>
      <c r="W577" s="2">
        <f t="shared" si="147"/>
        <v>0</v>
      </c>
      <c r="X577" s="2">
        <f t="shared" si="143"/>
        <v>-7.0860849999999997</v>
      </c>
      <c r="Y577" s="2">
        <f t="shared" si="148"/>
        <v>-6.829549868</v>
      </c>
      <c r="Z577" s="2">
        <f t="shared" si="149"/>
        <v>-2.7976701319999999</v>
      </c>
      <c r="AA577" s="2">
        <f t="shared" si="150"/>
        <v>0</v>
      </c>
      <c r="AB577" s="2">
        <f t="shared" si="144"/>
        <v>-9.6272199999999994</v>
      </c>
      <c r="AC577" s="759">
        <v>-8.8475400000000004</v>
      </c>
      <c r="AD577" s="741">
        <v>-10.124879999999999</v>
      </c>
      <c r="AE577" s="741">
        <v>-1.3379000000000001</v>
      </c>
      <c r="AF577" s="741">
        <v>-3.3683200000000002</v>
      </c>
      <c r="AG577" s="741">
        <v>-5.0678900000000002</v>
      </c>
      <c r="AH577" s="741">
        <v>-6.4868900000000007</v>
      </c>
      <c r="AI577" s="741">
        <v>-7.4800800000000001</v>
      </c>
      <c r="AJ577" s="741">
        <v>-7.7780200000000006</v>
      </c>
      <c r="AK577" s="741">
        <v>-8.0841600000000007</v>
      </c>
      <c r="AL577" s="741">
        <v>-8.3796599999999994</v>
      </c>
      <c r="AM577" s="741">
        <v>-8.6594300000000004</v>
      </c>
      <c r="AN577" s="741">
        <v>-9.0284099999999992</v>
      </c>
      <c r="AO577" s="741">
        <v>-9.6272199999999994</v>
      </c>
      <c r="AP577" s="41" t="str">
        <f t="shared" si="140"/>
        <v>GLA</v>
      </c>
      <c r="AQ577" s="41" t="str">
        <f t="shared" si="141"/>
        <v>GLAA20</v>
      </c>
      <c r="AR577" s="41" t="str">
        <f t="shared" si="142"/>
        <v>A20</v>
      </c>
      <c r="CR577" s="625"/>
    </row>
    <row r="578" spans="1:96" s="41" customFormat="1" ht="12.75" customHeight="1">
      <c r="A578" s="25" t="s">
        <v>17</v>
      </c>
      <c r="B578" s="25" t="str">
        <f t="shared" si="152"/>
        <v>GL236590</v>
      </c>
      <c r="C578" s="638">
        <v>236590</v>
      </c>
      <c r="D578" s="735"/>
      <c r="F578" s="1" t="s">
        <v>564</v>
      </c>
      <c r="H578" s="736">
        <v>0</v>
      </c>
      <c r="I578" s="25"/>
      <c r="J578" s="25"/>
      <c r="K578" s="442" t="str">
        <f t="shared" si="151"/>
        <v/>
      </c>
      <c r="L578" s="736" t="s">
        <v>2393</v>
      </c>
      <c r="M578" s="25" t="str">
        <f t="shared" si="153"/>
        <v>A</v>
      </c>
      <c r="N578" s="25" t="str">
        <f>IF(L578&lt;&gt;"",VLOOKUP(L578,Categories!$B$2:$D$41,2,FALSE),IF(F578&lt;&gt;"","No Cat",""))</f>
        <v>All Other</v>
      </c>
      <c r="O578" s="25" t="str">
        <f>IF($L578&lt;&gt;"",VLOOKUP($L578,Categories!$B$2:$D$41,3,FALSE),IF($F578&lt;&gt;"","No Cat",""))</f>
        <v>EB-Cap</v>
      </c>
      <c r="P578" s="736" t="s">
        <v>2490</v>
      </c>
      <c r="Q578" s="25" t="str">
        <f>VLOOKUP($P578,Allocators!$B$7:$F$19,5,FALSE)</f>
        <v>Rate Base</v>
      </c>
      <c r="R578" s="737">
        <f>VLOOKUP($P578,Allocators!$B$7:$F$19,2,FALSE)</f>
        <v>0.70940000000000003</v>
      </c>
      <c r="S578" s="737">
        <f>VLOOKUP($P578,Allocators!$B$7:$F$19,3,FALSE)</f>
        <v>0.29060000000000002</v>
      </c>
      <c r="T578" s="737" t="str">
        <f t="shared" si="154"/>
        <v>0.0%</v>
      </c>
      <c r="U578" s="2">
        <f t="shared" si="145"/>
        <v>-3.6797890390000001</v>
      </c>
      <c r="V578" s="2">
        <f t="shared" si="146"/>
        <v>-1.5073959610000001</v>
      </c>
      <c r="W578" s="2">
        <f t="shared" si="147"/>
        <v>0</v>
      </c>
      <c r="X578" s="2">
        <f t="shared" si="143"/>
        <v>-5.1871850000000004</v>
      </c>
      <c r="Y578" s="2">
        <f t="shared" si="148"/>
        <v>-3.1717415880000002</v>
      </c>
      <c r="Z578" s="2">
        <f t="shared" si="149"/>
        <v>-1.299278412</v>
      </c>
      <c r="AA578" s="2">
        <f t="shared" si="150"/>
        <v>0</v>
      </c>
      <c r="AB578" s="2">
        <f t="shared" si="144"/>
        <v>-4.4710200000000002</v>
      </c>
      <c r="AC578" s="759">
        <v>0</v>
      </c>
      <c r="AD578" s="741">
        <v>-1.2168299999999999</v>
      </c>
      <c r="AE578" s="741">
        <v>-2.7951299999999999</v>
      </c>
      <c r="AF578" s="741">
        <v>-4.4710200000000002</v>
      </c>
      <c r="AG578" s="741">
        <v>-6.0899899999999993</v>
      </c>
      <c r="AH578" s="741">
        <v>-7.3352200000000005</v>
      </c>
      <c r="AI578" s="741">
        <v>-4.4710200000000002</v>
      </c>
      <c r="AJ578" s="741">
        <v>-5.2835600000000005</v>
      </c>
      <c r="AK578" s="741">
        <v>-6.0808900000000001</v>
      </c>
      <c r="AL578" s="741">
        <v>-6.7360600000000002</v>
      </c>
      <c r="AM578" s="741">
        <v>-7.4050099999999999</v>
      </c>
      <c r="AN578" s="741">
        <v>-8.1259800000000002</v>
      </c>
      <c r="AO578" s="741">
        <v>-4.4710200000000002</v>
      </c>
      <c r="AP578" s="41" t="str">
        <f t="shared" si="140"/>
        <v>GLA</v>
      </c>
      <c r="AQ578" s="41" t="str">
        <f t="shared" si="141"/>
        <v>GLAA20</v>
      </c>
      <c r="AR578" s="41" t="str">
        <f t="shared" si="142"/>
        <v>A20</v>
      </c>
      <c r="CR578" s="625"/>
    </row>
    <row r="579" spans="1:96" s="41" customFormat="1" ht="12.75" customHeight="1">
      <c r="A579" s="25" t="s">
        <v>17</v>
      </c>
      <c r="B579" s="25" t="str">
        <f t="shared" si="152"/>
        <v>GL236610</v>
      </c>
      <c r="C579" s="638">
        <v>236610</v>
      </c>
      <c r="D579" s="735"/>
      <c r="F579" s="1" t="s">
        <v>565</v>
      </c>
      <c r="H579" s="736">
        <v>0</v>
      </c>
      <c r="I579" s="25"/>
      <c r="J579" s="25"/>
      <c r="K579" s="442" t="str">
        <f t="shared" si="151"/>
        <v/>
      </c>
      <c r="L579" s="736" t="s">
        <v>2393</v>
      </c>
      <c r="M579" s="25" t="str">
        <f t="shared" si="153"/>
        <v>A</v>
      </c>
      <c r="N579" s="25" t="str">
        <f>IF(L579&lt;&gt;"",VLOOKUP(L579,Categories!$B$2:$D$41,2,FALSE),IF(F579&lt;&gt;"","No Cat",""))</f>
        <v>All Other</v>
      </c>
      <c r="O579" s="25" t="str">
        <f>IF($L579&lt;&gt;"",VLOOKUP($L579,Categories!$B$2:$D$41,3,FALSE),IF($F579&lt;&gt;"","No Cat",""))</f>
        <v>EB-Cap</v>
      </c>
      <c r="P579" s="736" t="s">
        <v>2490</v>
      </c>
      <c r="Q579" s="25" t="str">
        <f>VLOOKUP($P579,Allocators!$B$7:$F$19,5,FALSE)</f>
        <v>Rate Base</v>
      </c>
      <c r="R579" s="737">
        <f>VLOOKUP($P579,Allocators!$B$7:$F$19,2,FALSE)</f>
        <v>0.70940000000000003</v>
      </c>
      <c r="S579" s="737">
        <f>VLOOKUP($P579,Allocators!$B$7:$F$19,3,FALSE)</f>
        <v>0.29060000000000002</v>
      </c>
      <c r="T579" s="737" t="str">
        <f t="shared" si="154"/>
        <v>0.0%</v>
      </c>
      <c r="U579" s="2">
        <f t="shared" si="145"/>
        <v>-13.3149053588334</v>
      </c>
      <c r="V579" s="2">
        <f t="shared" si="146"/>
        <v>-5.4543438078333404</v>
      </c>
      <c r="W579" s="2">
        <f t="shared" si="147"/>
        <v>0</v>
      </c>
      <c r="X579" s="2">
        <f t="shared" si="143"/>
        <v>-18.7692491666667</v>
      </c>
      <c r="Y579" s="2">
        <f t="shared" si="148"/>
        <v>-20.308674824000001</v>
      </c>
      <c r="Z579" s="2">
        <f t="shared" si="149"/>
        <v>-8.3192851759999993</v>
      </c>
      <c r="AA579" s="2">
        <f t="shared" si="150"/>
        <v>0</v>
      </c>
      <c r="AB579" s="2">
        <f t="shared" si="144"/>
        <v>-28.627959999999998</v>
      </c>
      <c r="AC579" s="759">
        <v>-27.557759999999998</v>
      </c>
      <c r="AD579" s="741">
        <v>-30.53575</v>
      </c>
      <c r="AE579" s="741">
        <v>-3.55579</v>
      </c>
      <c r="AF579" s="741">
        <v>-7.7721800000000005</v>
      </c>
      <c r="AG579" s="741">
        <v>-11.21116</v>
      </c>
      <c r="AH579" s="741">
        <v>-14.032120000000001</v>
      </c>
      <c r="AI579" s="741">
        <v>-16.460630000000002</v>
      </c>
      <c r="AJ579" s="741">
        <v>-18.751609999999999</v>
      </c>
      <c r="AK579" s="741">
        <v>-20.86543</v>
      </c>
      <c r="AL579" s="741">
        <v>-22.769629999999999</v>
      </c>
      <c r="AM579" s="741">
        <v>-24.664939999999998</v>
      </c>
      <c r="AN579" s="741">
        <v>-26.518889999999999</v>
      </c>
      <c r="AO579" s="741">
        <v>-28.627959999999998</v>
      </c>
      <c r="AP579" s="41" t="str">
        <f t="shared" si="140"/>
        <v>GLA</v>
      </c>
      <c r="AQ579" s="41" t="str">
        <f t="shared" si="141"/>
        <v>GLAA20</v>
      </c>
      <c r="AR579" s="41" t="str">
        <f t="shared" si="142"/>
        <v>A20</v>
      </c>
      <c r="CR579" s="625"/>
    </row>
    <row r="580" spans="1:96" s="41" customFormat="1" ht="12.75" customHeight="1">
      <c r="A580" s="25" t="s">
        <v>17</v>
      </c>
      <c r="B580" s="25" t="str">
        <f t="shared" si="152"/>
        <v>GL236650</v>
      </c>
      <c r="C580" s="638">
        <v>236650</v>
      </c>
      <c r="D580" s="735"/>
      <c r="F580" s="1" t="s">
        <v>566</v>
      </c>
      <c r="H580" s="736">
        <v>0</v>
      </c>
      <c r="I580" s="25"/>
      <c r="J580" s="25"/>
      <c r="K580" s="442" t="str">
        <f t="shared" si="151"/>
        <v/>
      </c>
      <c r="L580" s="736" t="s">
        <v>2393</v>
      </c>
      <c r="M580" s="25" t="str">
        <f t="shared" si="153"/>
        <v>A</v>
      </c>
      <c r="N580" s="25" t="str">
        <f>IF(L580&lt;&gt;"",VLOOKUP(L580,Categories!$B$2:$D$41,2,FALSE),IF(F580&lt;&gt;"","No Cat",""))</f>
        <v>All Other</v>
      </c>
      <c r="O580" s="25" t="str">
        <f>IF($L580&lt;&gt;"",VLOOKUP($L580,Categories!$B$2:$D$41,3,FALSE),IF($F580&lt;&gt;"","No Cat",""))</f>
        <v>EB-Cap</v>
      </c>
      <c r="P580" s="736" t="s">
        <v>2490</v>
      </c>
      <c r="Q580" s="25" t="str">
        <f>VLOOKUP($P580,Allocators!$B$7:$F$19,5,FALSE)</f>
        <v>Rate Base</v>
      </c>
      <c r="R580" s="737">
        <f>VLOOKUP($P580,Allocators!$B$7:$F$19,2,FALSE)</f>
        <v>0.70940000000000003</v>
      </c>
      <c r="S580" s="737">
        <f>VLOOKUP($P580,Allocators!$B$7:$F$19,3,FALSE)</f>
        <v>0.29060000000000002</v>
      </c>
      <c r="T580" s="737" t="str">
        <f t="shared" si="154"/>
        <v>0.0%</v>
      </c>
      <c r="U580" s="2">
        <f t="shared" si="145"/>
        <v>-0.832658841166664</v>
      </c>
      <c r="V580" s="2">
        <f t="shared" si="146"/>
        <v>-0.34109199216666602</v>
      </c>
      <c r="W580" s="2">
        <f t="shared" si="147"/>
        <v>0</v>
      </c>
      <c r="X580" s="2">
        <f t="shared" si="143"/>
        <v>-1.17375083333333</v>
      </c>
      <c r="Y580" s="2">
        <f t="shared" si="148"/>
        <v>-1.155938924</v>
      </c>
      <c r="Z580" s="2">
        <f t="shared" si="149"/>
        <v>-0.47352107599999999</v>
      </c>
      <c r="AA580" s="2">
        <f t="shared" si="150"/>
        <v>0</v>
      </c>
      <c r="AB580" s="2">
        <f t="shared" si="144"/>
        <v>-1.6294600000000001</v>
      </c>
      <c r="AC580" s="759">
        <v>-1.4085799999999999</v>
      </c>
      <c r="AD580" s="741">
        <v>-1.7067300000000001</v>
      </c>
      <c r="AE580" s="741">
        <v>-0.25886999999999999</v>
      </c>
      <c r="AF580" s="741">
        <v>-0.63328999999999991</v>
      </c>
      <c r="AG580" s="741">
        <v>-0.91404999999999992</v>
      </c>
      <c r="AH580" s="741">
        <v>-1.0988499999999999</v>
      </c>
      <c r="AI580" s="741">
        <v>-1.21313</v>
      </c>
      <c r="AJ580" s="741">
        <v>-1.2455399999999999</v>
      </c>
      <c r="AK580" s="741">
        <v>-1.2921500000000001</v>
      </c>
      <c r="AL580" s="741">
        <v>-1.3421400000000001</v>
      </c>
      <c r="AM580" s="741">
        <v>-1.3936500000000001</v>
      </c>
      <c r="AN580" s="741">
        <v>-1.46759</v>
      </c>
      <c r="AO580" s="741">
        <v>-1.6294600000000001</v>
      </c>
      <c r="AP580" s="41" t="str">
        <f t="shared" si="140"/>
        <v>GLA</v>
      </c>
      <c r="AQ580" s="41" t="str">
        <f t="shared" si="141"/>
        <v>GLAA20</v>
      </c>
      <c r="AR580" s="41" t="str">
        <f t="shared" si="142"/>
        <v>A20</v>
      </c>
      <c r="CR580" s="625"/>
    </row>
    <row r="581" spans="1:96" s="41" customFormat="1" ht="12.75" customHeight="1">
      <c r="A581" s="25" t="s">
        <v>17</v>
      </c>
      <c r="B581" s="25" t="str">
        <f t="shared" si="152"/>
        <v>GL236730</v>
      </c>
      <c r="C581" s="638">
        <v>236730</v>
      </c>
      <c r="D581" s="735"/>
      <c r="F581" s="1" t="s">
        <v>567</v>
      </c>
      <c r="H581" s="736">
        <v>0</v>
      </c>
      <c r="I581" s="25"/>
      <c r="J581" s="25"/>
      <c r="K581" s="442" t="str">
        <f t="shared" si="151"/>
        <v/>
      </c>
      <c r="L581" s="736" t="s">
        <v>2393</v>
      </c>
      <c r="M581" s="25" t="str">
        <f t="shared" si="153"/>
        <v>A</v>
      </c>
      <c r="N581" s="25" t="str">
        <f>IF(L581&lt;&gt;"",VLOOKUP(L581,Categories!$B$2:$D$41,2,FALSE),IF(F581&lt;&gt;"","No Cat",""))</f>
        <v>All Other</v>
      </c>
      <c r="O581" s="25" t="str">
        <f>IF($L581&lt;&gt;"",VLOOKUP($L581,Categories!$B$2:$D$41,3,FALSE),IF($F581&lt;&gt;"","No Cat",""))</f>
        <v>EB-Cap</v>
      </c>
      <c r="P581" s="736" t="s">
        <v>2490</v>
      </c>
      <c r="Q581" s="25" t="str">
        <f>VLOOKUP($P581,Allocators!$B$7:$F$19,5,FALSE)</f>
        <v>Rate Base</v>
      </c>
      <c r="R581" s="737">
        <f>VLOOKUP($P581,Allocators!$B$7:$F$19,2,FALSE)</f>
        <v>0.70940000000000003</v>
      </c>
      <c r="S581" s="737">
        <f>VLOOKUP($P581,Allocators!$B$7:$F$19,3,FALSE)</f>
        <v>0.29060000000000002</v>
      </c>
      <c r="T581" s="737" t="str">
        <f t="shared" si="154"/>
        <v>0.0%</v>
      </c>
      <c r="U581" s="2" t="str">
        <f t="shared" si="145"/>
        <v/>
      </c>
      <c r="V581" s="2" t="str">
        <f t="shared" si="146"/>
        <v/>
      </c>
      <c r="W581" s="2" t="str">
        <f t="shared" si="147"/>
        <v/>
      </c>
      <c r="X581" s="2">
        <f t="shared" si="143"/>
        <v>0</v>
      </c>
      <c r="Y581" s="2" t="str">
        <f t="shared" si="148"/>
        <v/>
      </c>
      <c r="Z581" s="2" t="str">
        <f t="shared" si="149"/>
        <v/>
      </c>
      <c r="AA581" s="2" t="str">
        <f t="shared" si="150"/>
        <v/>
      </c>
      <c r="AB581" s="2">
        <f t="shared" si="144"/>
        <v>0</v>
      </c>
      <c r="AC581" s="759">
        <v>0</v>
      </c>
      <c r="AD581" s="741">
        <v>0</v>
      </c>
      <c r="AE581" s="741">
        <v>0</v>
      </c>
      <c r="AF581" s="741">
        <v>0</v>
      </c>
      <c r="AG581" s="741">
        <v>0</v>
      </c>
      <c r="AH581" s="741">
        <v>0</v>
      </c>
      <c r="AI581" s="741">
        <v>0</v>
      </c>
      <c r="AJ581" s="741">
        <v>0</v>
      </c>
      <c r="AK581" s="741">
        <v>0</v>
      </c>
      <c r="AL581" s="741">
        <v>0</v>
      </c>
      <c r="AM581" s="741">
        <v>0</v>
      </c>
      <c r="AN581" s="741">
        <v>0</v>
      </c>
      <c r="AO581" s="741">
        <v>0</v>
      </c>
      <c r="AP581" s="41" t="str">
        <f t="shared" si="140"/>
        <v>GLA</v>
      </c>
      <c r="AQ581" s="41" t="str">
        <f t="shared" si="141"/>
        <v>GLAA20</v>
      </c>
      <c r="AR581" s="41" t="str">
        <f t="shared" si="142"/>
        <v>A20</v>
      </c>
      <c r="CR581" s="625"/>
    </row>
    <row r="582" spans="1:96" s="41" customFormat="1" ht="12.75" customHeight="1">
      <c r="A582" s="25" t="s">
        <v>17</v>
      </c>
      <c r="B582" s="25" t="str">
        <f t="shared" si="152"/>
        <v>GL236740</v>
      </c>
      <c r="C582" s="638">
        <v>236740</v>
      </c>
      <c r="D582" s="735"/>
      <c r="F582" s="1" t="s">
        <v>568</v>
      </c>
      <c r="H582" s="736" t="s">
        <v>2556</v>
      </c>
      <c r="I582" s="25"/>
      <c r="J582" s="25"/>
      <c r="K582" s="442" t="str">
        <f t="shared" si="151"/>
        <v/>
      </c>
      <c r="L582" s="736" t="s">
        <v>2393</v>
      </c>
      <c r="M582" s="25" t="str">
        <f t="shared" si="153"/>
        <v>A</v>
      </c>
      <c r="N582" s="25" t="str">
        <f>IF(L582&lt;&gt;"",VLOOKUP(L582,Categories!$B$2:$D$41,2,FALSE),IF(F582&lt;&gt;"","No Cat",""))</f>
        <v>All Other</v>
      </c>
      <c r="O582" s="25" t="str">
        <f>IF($L582&lt;&gt;"",VLOOKUP($L582,Categories!$B$2:$D$41,3,FALSE),IF($F582&lt;&gt;"","No Cat",""))</f>
        <v>EB-Cap</v>
      </c>
      <c r="P582" s="736" t="s">
        <v>2490</v>
      </c>
      <c r="Q582" s="25" t="str">
        <f>VLOOKUP($P582,Allocators!$B$7:$F$19,5,FALSE)</f>
        <v>Rate Base</v>
      </c>
      <c r="R582" s="737">
        <f>VLOOKUP($P582,Allocators!$B$7:$F$19,2,FALSE)</f>
        <v>0.70940000000000003</v>
      </c>
      <c r="S582" s="737">
        <f>VLOOKUP($P582,Allocators!$B$7:$F$19,3,FALSE)</f>
        <v>0.29060000000000002</v>
      </c>
      <c r="T582" s="737" t="str">
        <f t="shared" si="154"/>
        <v>0.0%</v>
      </c>
      <c r="U582" s="2" t="str">
        <f t="shared" si="145"/>
        <v/>
      </c>
      <c r="V582" s="2" t="str">
        <f t="shared" si="146"/>
        <v/>
      </c>
      <c r="W582" s="2" t="str">
        <f t="shared" si="147"/>
        <v/>
      </c>
      <c r="X582" s="2">
        <f t="shared" si="143"/>
        <v>0</v>
      </c>
      <c r="Y582" s="2" t="str">
        <f t="shared" si="148"/>
        <v/>
      </c>
      <c r="Z582" s="2" t="str">
        <f t="shared" si="149"/>
        <v/>
      </c>
      <c r="AA582" s="2" t="str">
        <f t="shared" si="150"/>
        <v/>
      </c>
      <c r="AB582" s="2">
        <f t="shared" si="144"/>
        <v>0</v>
      </c>
      <c r="AC582" s="759">
        <v>0</v>
      </c>
      <c r="AD582" s="741">
        <v>0</v>
      </c>
      <c r="AE582" s="741">
        <v>0</v>
      </c>
      <c r="AF582" s="741">
        <v>0</v>
      </c>
      <c r="AG582" s="741">
        <v>0</v>
      </c>
      <c r="AH582" s="741">
        <v>0</v>
      </c>
      <c r="AI582" s="741">
        <v>0</v>
      </c>
      <c r="AJ582" s="741">
        <v>0</v>
      </c>
      <c r="AK582" s="741">
        <v>0</v>
      </c>
      <c r="AL582" s="741">
        <v>0</v>
      </c>
      <c r="AM582" s="741">
        <v>0</v>
      </c>
      <c r="AN582" s="741">
        <v>0</v>
      </c>
      <c r="AO582" s="741">
        <v>0</v>
      </c>
      <c r="AP582" s="41" t="str">
        <f t="shared" si="140"/>
        <v>GLA</v>
      </c>
      <c r="AQ582" s="41" t="str">
        <f t="shared" si="141"/>
        <v>GLAA2Accounts Payable</v>
      </c>
      <c r="AR582" s="41" t="str">
        <f t="shared" si="142"/>
        <v>A2Accounts Payable</v>
      </c>
      <c r="CR582" s="625"/>
    </row>
    <row r="583" spans="1:96" s="41" customFormat="1" ht="12.75" customHeight="1">
      <c r="A583" s="25" t="s">
        <v>17</v>
      </c>
      <c r="B583" s="25" t="str">
        <f t="shared" si="152"/>
        <v>GL236810</v>
      </c>
      <c r="C583" s="638">
        <v>236810</v>
      </c>
      <c r="D583" s="735"/>
      <c r="F583" s="1" t="s">
        <v>569</v>
      </c>
      <c r="H583" s="736">
        <v>0</v>
      </c>
      <c r="I583" s="25"/>
      <c r="J583" s="25"/>
      <c r="K583" s="442" t="str">
        <f t="shared" si="151"/>
        <v/>
      </c>
      <c r="L583" s="736" t="s">
        <v>2393</v>
      </c>
      <c r="M583" s="25" t="str">
        <f t="shared" si="153"/>
        <v>A</v>
      </c>
      <c r="N583" s="25" t="str">
        <f>IF(L583&lt;&gt;"",VLOOKUP(L583,Categories!$B$2:$D$41,2,FALSE),IF(F583&lt;&gt;"","No Cat",""))</f>
        <v>All Other</v>
      </c>
      <c r="O583" s="25" t="str">
        <f>IF($L583&lt;&gt;"",VLOOKUP($L583,Categories!$B$2:$D$41,3,FALSE),IF($F583&lt;&gt;"","No Cat",""))</f>
        <v>EB-Cap</v>
      </c>
      <c r="P583" s="736" t="s">
        <v>2490</v>
      </c>
      <c r="Q583" s="25" t="str">
        <f>VLOOKUP($P583,Allocators!$B$7:$F$19,5,FALSE)</f>
        <v>Rate Base</v>
      </c>
      <c r="R583" s="737">
        <f>VLOOKUP($P583,Allocators!$B$7:$F$19,2,FALSE)</f>
        <v>0.70940000000000003</v>
      </c>
      <c r="S583" s="737">
        <f>VLOOKUP($P583,Allocators!$B$7:$F$19,3,FALSE)</f>
        <v>0.29060000000000002</v>
      </c>
      <c r="T583" s="737" t="str">
        <f t="shared" si="154"/>
        <v>0.0%</v>
      </c>
      <c r="U583" s="2" t="str">
        <f t="shared" si="145"/>
        <v/>
      </c>
      <c r="V583" s="2" t="str">
        <f t="shared" si="146"/>
        <v/>
      </c>
      <c r="W583" s="2" t="str">
        <f t="shared" si="147"/>
        <v/>
      </c>
      <c r="X583" s="2">
        <f t="shared" si="143"/>
        <v>0</v>
      </c>
      <c r="Y583" s="2" t="str">
        <f t="shared" si="148"/>
        <v/>
      </c>
      <c r="Z583" s="2" t="str">
        <f t="shared" si="149"/>
        <v/>
      </c>
      <c r="AA583" s="2" t="str">
        <f t="shared" si="150"/>
        <v/>
      </c>
      <c r="AB583" s="2">
        <f t="shared" si="144"/>
        <v>0</v>
      </c>
      <c r="AC583" s="759">
        <v>0</v>
      </c>
      <c r="AD583" s="741">
        <v>0</v>
      </c>
      <c r="AE583" s="741">
        <v>0</v>
      </c>
      <c r="AF583" s="741">
        <v>0</v>
      </c>
      <c r="AG583" s="741">
        <v>0</v>
      </c>
      <c r="AH583" s="741">
        <v>0</v>
      </c>
      <c r="AI583" s="741">
        <v>0</v>
      </c>
      <c r="AJ583" s="741">
        <v>0</v>
      </c>
      <c r="AK583" s="741">
        <v>0</v>
      </c>
      <c r="AL583" s="741">
        <v>0</v>
      </c>
      <c r="AM583" s="741">
        <v>0</v>
      </c>
      <c r="AN583" s="741">
        <v>0</v>
      </c>
      <c r="AO583" s="741">
        <v>0</v>
      </c>
      <c r="AP583" s="41" t="str">
        <f t="shared" ref="AP583:AP646" si="155">CONCATENATE(A583,M583)</f>
        <v>GLA</v>
      </c>
      <c r="AQ583" s="41" t="str">
        <f t="shared" ref="AQ583:AQ646" si="156">CONCATENATE(AP583,L583,H583)</f>
        <v>GLAA20</v>
      </c>
      <c r="AR583" s="41" t="str">
        <f t="shared" ref="AR583:AR646" si="157">CONCATENATE(L583,H583,J583)</f>
        <v>A20</v>
      </c>
      <c r="CR583" s="625"/>
    </row>
    <row r="584" spans="1:96" s="41" customFormat="1" ht="12.75" customHeight="1">
      <c r="A584" s="25" t="s">
        <v>17</v>
      </c>
      <c r="B584" s="25" t="str">
        <f t="shared" si="152"/>
        <v>GL236905</v>
      </c>
      <c r="C584" s="638">
        <v>236905</v>
      </c>
      <c r="D584" s="735"/>
      <c r="F584" s="1" t="s">
        <v>570</v>
      </c>
      <c r="H584" s="736" t="s">
        <v>2556</v>
      </c>
      <c r="I584" s="25"/>
      <c r="J584" s="25"/>
      <c r="K584" s="442" t="str">
        <f t="shared" si="151"/>
        <v/>
      </c>
      <c r="L584" s="736" t="s">
        <v>2393</v>
      </c>
      <c r="M584" s="25" t="str">
        <f t="shared" si="153"/>
        <v>A</v>
      </c>
      <c r="N584" s="25" t="str">
        <f>IF(L584&lt;&gt;"",VLOOKUP(L584,Categories!$B$2:$D$41,2,FALSE),IF(F584&lt;&gt;"","No Cat",""))</f>
        <v>All Other</v>
      </c>
      <c r="O584" s="25" t="str">
        <f>IF($L584&lt;&gt;"",VLOOKUP($L584,Categories!$B$2:$D$41,3,FALSE),IF($F584&lt;&gt;"","No Cat",""))</f>
        <v>EB-Cap</v>
      </c>
      <c r="P584" s="736" t="s">
        <v>2490</v>
      </c>
      <c r="Q584" s="25" t="str">
        <f>VLOOKUP($P584,Allocators!$B$7:$F$19,5,FALSE)</f>
        <v>Rate Base</v>
      </c>
      <c r="R584" s="737">
        <f>VLOOKUP($P584,Allocators!$B$7:$F$19,2,FALSE)</f>
        <v>0.70940000000000003</v>
      </c>
      <c r="S584" s="737">
        <f>VLOOKUP($P584,Allocators!$B$7:$F$19,3,FALSE)</f>
        <v>0.29060000000000002</v>
      </c>
      <c r="T584" s="737" t="str">
        <f t="shared" si="154"/>
        <v>0.0%</v>
      </c>
      <c r="U584" s="2">
        <f t="shared" si="145"/>
        <v>-6.6240068340833398</v>
      </c>
      <c r="V584" s="2">
        <f t="shared" si="146"/>
        <v>-2.7134710825833301</v>
      </c>
      <c r="W584" s="2">
        <f t="shared" si="147"/>
        <v>0</v>
      </c>
      <c r="X584" s="2">
        <f t="shared" ref="X584:X647" si="158">IF(ISERROR(ROUND((SUM(AC584:AO584)-((AC584+AO584))/2)/12,15)),"",ROUND((SUM(AC584:AO584)-((AC584+AO584))/2)/12,15))</f>
        <v>-9.3374779166666695</v>
      </c>
      <c r="Y584" s="2">
        <f t="shared" si="148"/>
        <v>-7.8940542259999997</v>
      </c>
      <c r="Z584" s="2">
        <f t="shared" si="149"/>
        <v>-3.2337357739999999</v>
      </c>
      <c r="AA584" s="2">
        <f t="shared" si="150"/>
        <v>0</v>
      </c>
      <c r="AB584" s="2">
        <f t="shared" ref="AB584:AB647" si="159">IF(AO584="",0,+AO584)</f>
        <v>-11.127790000000001</v>
      </c>
      <c r="AC584" s="759">
        <v>-19.451779999999999</v>
      </c>
      <c r="AD584" s="741">
        <v>-29.993209999999998</v>
      </c>
      <c r="AE584" s="741">
        <v>0</v>
      </c>
      <c r="AF584" s="741">
        <v>0</v>
      </c>
      <c r="AG584" s="741">
        <v>0</v>
      </c>
      <c r="AH584" s="741">
        <v>0</v>
      </c>
      <c r="AI584" s="741">
        <v>0</v>
      </c>
      <c r="AJ584" s="741">
        <v>-22.255580000000002</v>
      </c>
      <c r="AK584" s="741">
        <v>-11.127790000000001</v>
      </c>
      <c r="AL584" s="741">
        <v>-11.127790000000001</v>
      </c>
      <c r="AM584" s="741">
        <v>-11.127790000000001</v>
      </c>
      <c r="AN584" s="741">
        <v>-11.127790000000001</v>
      </c>
      <c r="AO584" s="741">
        <v>-11.127790000000001</v>
      </c>
      <c r="AP584" s="41" t="str">
        <f t="shared" si="155"/>
        <v>GLA</v>
      </c>
      <c r="AQ584" s="41" t="str">
        <f t="shared" si="156"/>
        <v>GLAA2Accounts Payable</v>
      </c>
      <c r="AR584" s="41" t="str">
        <f t="shared" si="157"/>
        <v>A2Accounts Payable</v>
      </c>
      <c r="CR584" s="625"/>
    </row>
    <row r="585" spans="1:96" s="41" customFormat="1" ht="12.75" customHeight="1">
      <c r="A585" s="25" t="s">
        <v>17</v>
      </c>
      <c r="B585" s="25" t="str">
        <f t="shared" si="152"/>
        <v>GL236910</v>
      </c>
      <c r="C585" s="638">
        <v>236910</v>
      </c>
      <c r="D585" s="735"/>
      <c r="F585" s="1" t="s">
        <v>571</v>
      </c>
      <c r="H585" s="736" t="s">
        <v>2556</v>
      </c>
      <c r="I585" s="25"/>
      <c r="J585" s="25"/>
      <c r="K585" s="442" t="str">
        <f t="shared" si="151"/>
        <v/>
      </c>
      <c r="L585" s="736" t="s">
        <v>2393</v>
      </c>
      <c r="M585" s="25" t="str">
        <f t="shared" si="153"/>
        <v>A</v>
      </c>
      <c r="N585" s="25" t="str">
        <f>IF(L585&lt;&gt;"",VLOOKUP(L585,Categories!$B$2:$D$41,2,FALSE),IF(F585&lt;&gt;"","No Cat",""))</f>
        <v>All Other</v>
      </c>
      <c r="O585" s="25" t="str">
        <f>IF($L585&lt;&gt;"",VLOOKUP($L585,Categories!$B$2:$D$41,3,FALSE),IF($F585&lt;&gt;"","No Cat",""))</f>
        <v>EB-Cap</v>
      </c>
      <c r="P585" s="736" t="s">
        <v>2490</v>
      </c>
      <c r="Q585" s="25" t="str">
        <f>VLOOKUP($P585,Allocators!$B$7:$F$19,5,FALSE)</f>
        <v>Rate Base</v>
      </c>
      <c r="R585" s="737">
        <f>VLOOKUP($P585,Allocators!$B$7:$F$19,2,FALSE)</f>
        <v>0.70940000000000003</v>
      </c>
      <c r="S585" s="737">
        <f>VLOOKUP($P585,Allocators!$B$7:$F$19,3,FALSE)</f>
        <v>0.29060000000000002</v>
      </c>
      <c r="T585" s="737" t="str">
        <f t="shared" si="154"/>
        <v>0.0%</v>
      </c>
      <c r="U585" s="2">
        <f t="shared" ref="U585:U650" si="160">IF(ABS(X585)=0,"",IF($R585="NO ALLOC","NO ALLOC",ROUND($R585*X585,15)))</f>
        <v>-435.88957909133399</v>
      </c>
      <c r="V585" s="2">
        <f t="shared" ref="V585:V650" si="161">IF(ABS(X585)=0,"",IF($S585="NO ALLOC","NO ALLOC",ROUND($S585*X585,15)))</f>
        <v>-178.558657575333</v>
      </c>
      <c r="W585" s="2">
        <f t="shared" ref="W585:W650" si="162">IF(ABS(X585)=0,"",IF($T585="NO ALLOC","NO ALLOC",ROUND($T585*X585,15)))</f>
        <v>0</v>
      </c>
      <c r="X585" s="2">
        <f t="shared" si="158"/>
        <v>-614.44823666666696</v>
      </c>
      <c r="Y585" s="2">
        <f t="shared" ref="Y585:Y650" si="163">IF(ABS(AB585)=0,"",IF($R585="NO ALLOC","NO ALLOC",ROUND($R585*AB585,15)))</f>
        <v>-413.07679557199998</v>
      </c>
      <c r="Z585" s="2">
        <f t="shared" ref="Z585:Z650" si="164">IF(ABS(AB585)=0,"",IF($S585="NO ALLOC","NO ALLOC",ROUND($S585*AB585,15)))</f>
        <v>-169.21358442799999</v>
      </c>
      <c r="AA585" s="2">
        <f t="shared" ref="AA585:AA650" si="165">IF(ABS(AB585)=0,"",IF($T585="NO ALLOC","NO ALLOC",ROUND($T585*AB585,15)))</f>
        <v>0</v>
      </c>
      <c r="AB585" s="2">
        <f t="shared" si="159"/>
        <v>-582.29038000000003</v>
      </c>
      <c r="AC585" s="759">
        <v>-917.45884000000001</v>
      </c>
      <c r="AD585" s="741">
        <v>-1063.3414299999999</v>
      </c>
      <c r="AE585" s="741">
        <v>-557.70826999999997</v>
      </c>
      <c r="AF585" s="741">
        <v>-413.56151</v>
      </c>
      <c r="AG585" s="741">
        <v>-570.65743999999995</v>
      </c>
      <c r="AH585" s="741">
        <v>-535.53877</v>
      </c>
      <c r="AI585" s="741">
        <v>-464.91859000000005</v>
      </c>
      <c r="AJ585" s="741">
        <v>-453.36655999999999</v>
      </c>
      <c r="AK585" s="741">
        <v>-694.95182999999997</v>
      </c>
      <c r="AL585" s="741">
        <v>-566.81517000000008</v>
      </c>
      <c r="AM585" s="741">
        <v>-604.77972999999997</v>
      </c>
      <c r="AN585" s="741">
        <v>-697.86493000000007</v>
      </c>
      <c r="AO585" s="741">
        <v>-582.29038000000003</v>
      </c>
      <c r="AP585" s="41" t="str">
        <f t="shared" si="155"/>
        <v>GLA</v>
      </c>
      <c r="AQ585" s="41" t="str">
        <f t="shared" si="156"/>
        <v>GLAA2Accounts Payable</v>
      </c>
      <c r="AR585" s="41" t="str">
        <f t="shared" si="157"/>
        <v>A2Accounts Payable</v>
      </c>
      <c r="CR585" s="625"/>
    </row>
    <row r="586" spans="1:96" s="41" customFormat="1" ht="12.75" customHeight="1">
      <c r="A586" s="25" t="s">
        <v>17</v>
      </c>
      <c r="B586" s="25" t="str">
        <f t="shared" si="152"/>
        <v>GL236920</v>
      </c>
      <c r="C586" s="638">
        <v>236920</v>
      </c>
      <c r="D586" s="735"/>
      <c r="F586" s="1" t="s">
        <v>572</v>
      </c>
      <c r="H586" s="736">
        <v>0</v>
      </c>
      <c r="I586" s="25"/>
      <c r="J586" s="25"/>
      <c r="K586" s="442" t="str">
        <f t="shared" si="151"/>
        <v/>
      </c>
      <c r="L586" s="736" t="s">
        <v>2393</v>
      </c>
      <c r="M586" s="25" t="str">
        <f t="shared" si="153"/>
        <v>A</v>
      </c>
      <c r="N586" s="25" t="str">
        <f>IF(L586&lt;&gt;"",VLOOKUP(L586,Categories!$B$2:$D$41,2,FALSE),IF(F586&lt;&gt;"","No Cat",""))</f>
        <v>All Other</v>
      </c>
      <c r="O586" s="25" t="str">
        <f>IF($L586&lt;&gt;"",VLOOKUP($L586,Categories!$B$2:$D$41,3,FALSE),IF($F586&lt;&gt;"","No Cat",""))</f>
        <v>EB-Cap</v>
      </c>
      <c r="P586" s="736" t="s">
        <v>2490</v>
      </c>
      <c r="Q586" s="25" t="str">
        <f>VLOOKUP($P586,Allocators!$B$7:$F$19,5,FALSE)</f>
        <v>Rate Base</v>
      </c>
      <c r="R586" s="737">
        <f>VLOOKUP($P586,Allocators!$B$7:$F$19,2,FALSE)</f>
        <v>0.70940000000000003</v>
      </c>
      <c r="S586" s="737">
        <f>VLOOKUP($P586,Allocators!$B$7:$F$19,3,FALSE)</f>
        <v>0.29060000000000002</v>
      </c>
      <c r="T586" s="737" t="str">
        <f t="shared" si="154"/>
        <v>0.0%</v>
      </c>
      <c r="U586" s="2" t="str">
        <f t="shared" si="160"/>
        <v/>
      </c>
      <c r="V586" s="2" t="str">
        <f t="shared" si="161"/>
        <v/>
      </c>
      <c r="W586" s="2" t="str">
        <f t="shared" si="162"/>
        <v/>
      </c>
      <c r="X586" s="2">
        <f t="shared" si="158"/>
        <v>0</v>
      </c>
      <c r="Y586" s="2" t="str">
        <f t="shared" si="163"/>
        <v/>
      </c>
      <c r="Z586" s="2" t="str">
        <f t="shared" si="164"/>
        <v/>
      </c>
      <c r="AA586" s="2" t="str">
        <f t="shared" si="165"/>
        <v/>
      </c>
      <c r="AB586" s="2">
        <f t="shared" si="159"/>
        <v>0</v>
      </c>
      <c r="AC586" s="759">
        <v>0</v>
      </c>
      <c r="AD586" s="741">
        <v>0</v>
      </c>
      <c r="AE586" s="741">
        <v>0</v>
      </c>
      <c r="AF586" s="741">
        <v>0</v>
      </c>
      <c r="AG586" s="741">
        <v>0</v>
      </c>
      <c r="AH586" s="741">
        <v>0</v>
      </c>
      <c r="AI586" s="741">
        <v>0</v>
      </c>
      <c r="AJ586" s="741">
        <v>0</v>
      </c>
      <c r="AK586" s="741">
        <v>0</v>
      </c>
      <c r="AL586" s="741">
        <v>0</v>
      </c>
      <c r="AM586" s="741">
        <v>0</v>
      </c>
      <c r="AN586" s="741">
        <v>0</v>
      </c>
      <c r="AO586" s="741">
        <v>0</v>
      </c>
      <c r="AP586" s="41" t="str">
        <f t="shared" si="155"/>
        <v>GLA</v>
      </c>
      <c r="AQ586" s="41" t="str">
        <f t="shared" si="156"/>
        <v>GLAA20</v>
      </c>
      <c r="AR586" s="41" t="str">
        <f t="shared" si="157"/>
        <v>A20</v>
      </c>
      <c r="CR586" s="625"/>
    </row>
    <row r="587" spans="1:96" s="41" customFormat="1" ht="12.75" customHeight="1">
      <c r="A587" s="25" t="s">
        <v>17</v>
      </c>
      <c r="B587" s="25" t="str">
        <f t="shared" si="152"/>
        <v>GL236951</v>
      </c>
      <c r="C587" s="638">
        <v>236951</v>
      </c>
      <c r="D587" s="735"/>
      <c r="F587" s="1" t="s">
        <v>573</v>
      </c>
      <c r="H587" s="736">
        <v>0</v>
      </c>
      <c r="I587" s="25"/>
      <c r="J587" s="25"/>
      <c r="K587" s="442" t="str">
        <f t="shared" si="151"/>
        <v/>
      </c>
      <c r="L587" s="736" t="s">
        <v>2393</v>
      </c>
      <c r="M587" s="25" t="str">
        <f t="shared" si="153"/>
        <v>A</v>
      </c>
      <c r="N587" s="25" t="str">
        <f>IF(L587&lt;&gt;"",VLOOKUP(L587,Categories!$B$2:$D$41,2,FALSE),IF(F587&lt;&gt;"","No Cat",""))</f>
        <v>All Other</v>
      </c>
      <c r="O587" s="25" t="str">
        <f>IF($L587&lt;&gt;"",VLOOKUP($L587,Categories!$B$2:$D$41,3,FALSE),IF($F587&lt;&gt;"","No Cat",""))</f>
        <v>EB-Cap</v>
      </c>
      <c r="P587" s="736" t="s">
        <v>2490</v>
      </c>
      <c r="Q587" s="25" t="str">
        <f>VLOOKUP($P587,Allocators!$B$7:$F$19,5,FALSE)</f>
        <v>Rate Base</v>
      </c>
      <c r="R587" s="737">
        <f>VLOOKUP($P587,Allocators!$B$7:$F$19,2,FALSE)</f>
        <v>0.70940000000000003</v>
      </c>
      <c r="S587" s="737">
        <f>VLOOKUP($P587,Allocators!$B$7:$F$19,3,FALSE)</f>
        <v>0.29060000000000002</v>
      </c>
      <c r="T587" s="737" t="str">
        <f t="shared" si="154"/>
        <v>0.0%</v>
      </c>
      <c r="U587" s="2">
        <f t="shared" si="160"/>
        <v>-1443.88985938566</v>
      </c>
      <c r="V587" s="2">
        <f t="shared" si="161"/>
        <v>-591.47785894766605</v>
      </c>
      <c r="W587" s="2">
        <f t="shared" si="162"/>
        <v>0</v>
      </c>
      <c r="X587" s="2">
        <f t="shared" si="158"/>
        <v>-2035.36771833333</v>
      </c>
      <c r="Y587" s="2" t="str">
        <f t="shared" si="163"/>
        <v/>
      </c>
      <c r="Z587" s="2" t="str">
        <f t="shared" si="164"/>
        <v/>
      </c>
      <c r="AA587" s="2" t="str">
        <f t="shared" si="165"/>
        <v/>
      </c>
      <c r="AB587" s="2">
        <f t="shared" si="159"/>
        <v>0</v>
      </c>
      <c r="AC587" s="759">
        <v>0</v>
      </c>
      <c r="AD587" s="741">
        <v>0</v>
      </c>
      <c r="AE587" s="741">
        <v>0</v>
      </c>
      <c r="AF587" s="741">
        <v>0</v>
      </c>
      <c r="AG587" s="741">
        <v>0</v>
      </c>
      <c r="AH587" s="741">
        <v>0</v>
      </c>
      <c r="AI587" s="741">
        <v>0</v>
      </c>
      <c r="AJ587" s="741">
        <v>0</v>
      </c>
      <c r="AK587" s="741">
        <v>0</v>
      </c>
      <c r="AL587" s="741">
        <v>0</v>
      </c>
      <c r="AM587" s="741">
        <v>-9821.4131099999995</v>
      </c>
      <c r="AN587" s="741">
        <v>-14602.99951</v>
      </c>
      <c r="AO587" s="741">
        <v>0</v>
      </c>
      <c r="AP587" s="41" t="str">
        <f t="shared" si="155"/>
        <v>GLA</v>
      </c>
      <c r="AQ587" s="41" t="str">
        <f t="shared" si="156"/>
        <v>GLAA20</v>
      </c>
      <c r="AR587" s="41" t="str">
        <f t="shared" si="157"/>
        <v>A20</v>
      </c>
      <c r="CR587" s="625"/>
    </row>
    <row r="588" spans="1:96" s="41" customFormat="1" ht="12.75" customHeight="1">
      <c r="A588" s="25" t="s">
        <v>17</v>
      </c>
      <c r="B588" s="25" t="str">
        <f t="shared" si="152"/>
        <v>GL236954</v>
      </c>
      <c r="C588" s="638">
        <v>236954</v>
      </c>
      <c r="D588" s="735"/>
      <c r="F588" s="1" t="s">
        <v>574</v>
      </c>
      <c r="H588" s="736">
        <v>0</v>
      </c>
      <c r="I588" s="25"/>
      <c r="J588" s="25"/>
      <c r="K588" s="442" t="str">
        <f t="shared" si="151"/>
        <v/>
      </c>
      <c r="L588" s="736" t="s">
        <v>2393</v>
      </c>
      <c r="M588" s="25" t="str">
        <f t="shared" si="153"/>
        <v>A</v>
      </c>
      <c r="N588" s="25" t="str">
        <f>IF(L588&lt;&gt;"",VLOOKUP(L588,Categories!$B$2:$D$41,2,FALSE),IF(F588&lt;&gt;"","No Cat",""))</f>
        <v>All Other</v>
      </c>
      <c r="O588" s="25" t="str">
        <f>IF($L588&lt;&gt;"",VLOOKUP($L588,Categories!$B$2:$D$41,3,FALSE),IF($F588&lt;&gt;"","No Cat",""))</f>
        <v>EB-Cap</v>
      </c>
      <c r="P588" s="736" t="s">
        <v>2490</v>
      </c>
      <c r="Q588" s="25" t="str">
        <f>VLOOKUP($P588,Allocators!$B$7:$F$19,5,FALSE)</f>
        <v>Rate Base</v>
      </c>
      <c r="R588" s="737">
        <f>VLOOKUP($P588,Allocators!$B$7:$F$19,2,FALSE)</f>
        <v>0.70940000000000003</v>
      </c>
      <c r="S588" s="737">
        <f>VLOOKUP($P588,Allocators!$B$7:$F$19,3,FALSE)</f>
        <v>0.29060000000000002</v>
      </c>
      <c r="T588" s="737" t="str">
        <f t="shared" si="154"/>
        <v>0.0%</v>
      </c>
      <c r="U588" s="2">
        <f t="shared" si="160"/>
        <v>1443.88985938566</v>
      </c>
      <c r="V588" s="2">
        <f t="shared" si="161"/>
        <v>591.47785894766605</v>
      </c>
      <c r="W588" s="2">
        <f t="shared" si="162"/>
        <v>0</v>
      </c>
      <c r="X588" s="2">
        <f t="shared" si="158"/>
        <v>2035.36771833333</v>
      </c>
      <c r="Y588" s="2" t="str">
        <f t="shared" si="163"/>
        <v/>
      </c>
      <c r="Z588" s="2" t="str">
        <f t="shared" si="164"/>
        <v/>
      </c>
      <c r="AA588" s="2" t="str">
        <f t="shared" si="165"/>
        <v/>
      </c>
      <c r="AB588" s="2">
        <f t="shared" si="159"/>
        <v>0</v>
      </c>
      <c r="AC588" s="759">
        <v>0</v>
      </c>
      <c r="AD588" s="741">
        <v>0</v>
      </c>
      <c r="AE588" s="741">
        <v>0</v>
      </c>
      <c r="AF588" s="741">
        <v>0</v>
      </c>
      <c r="AG588" s="741">
        <v>0</v>
      </c>
      <c r="AH588" s="741">
        <v>0</v>
      </c>
      <c r="AI588" s="741">
        <v>0</v>
      </c>
      <c r="AJ588" s="741">
        <v>0</v>
      </c>
      <c r="AK588" s="741">
        <v>0</v>
      </c>
      <c r="AL588" s="741">
        <v>0</v>
      </c>
      <c r="AM588" s="741">
        <v>9821.4131099999995</v>
      </c>
      <c r="AN588" s="741">
        <v>14602.99951</v>
      </c>
      <c r="AO588" s="741">
        <v>0</v>
      </c>
      <c r="AP588" s="41" t="str">
        <f t="shared" si="155"/>
        <v>GLA</v>
      </c>
      <c r="AQ588" s="41" t="str">
        <f t="shared" si="156"/>
        <v>GLAA20</v>
      </c>
      <c r="AR588" s="41" t="str">
        <f t="shared" si="157"/>
        <v>A20</v>
      </c>
      <c r="CR588" s="625"/>
    </row>
    <row r="589" spans="1:96" s="41" customFormat="1" ht="12.75" customHeight="1">
      <c r="A589" s="25" t="s">
        <v>17</v>
      </c>
      <c r="B589" s="25" t="str">
        <f t="shared" si="152"/>
        <v>GL236960</v>
      </c>
      <c r="C589" s="638">
        <v>236960</v>
      </c>
      <c r="D589" s="735"/>
      <c r="F589" s="1" t="s">
        <v>575</v>
      </c>
      <c r="H589" s="736" t="s">
        <v>2556</v>
      </c>
      <c r="I589" s="25"/>
      <c r="J589" s="25"/>
      <c r="K589" s="442" t="str">
        <f t="shared" si="151"/>
        <v/>
      </c>
      <c r="L589" s="736" t="s">
        <v>2393</v>
      </c>
      <c r="M589" s="25" t="str">
        <f t="shared" si="153"/>
        <v>A</v>
      </c>
      <c r="N589" s="25" t="str">
        <f>IF(L589&lt;&gt;"",VLOOKUP(L589,Categories!$B$2:$D$41,2,FALSE),IF(F589&lt;&gt;"","No Cat",""))</f>
        <v>All Other</v>
      </c>
      <c r="O589" s="25" t="str">
        <f>IF($L589&lt;&gt;"",VLOOKUP($L589,Categories!$B$2:$D$41,3,FALSE),IF($F589&lt;&gt;"","No Cat",""))</f>
        <v>EB-Cap</v>
      </c>
      <c r="P589" s="736" t="s">
        <v>2490</v>
      </c>
      <c r="Q589" s="25" t="str">
        <f>VLOOKUP($P589,Allocators!$B$7:$F$19,5,FALSE)</f>
        <v>Rate Base</v>
      </c>
      <c r="R589" s="737">
        <f>VLOOKUP($P589,Allocators!$B$7:$F$19,2,FALSE)</f>
        <v>0.70940000000000003</v>
      </c>
      <c r="S589" s="737">
        <f>VLOOKUP($P589,Allocators!$B$7:$F$19,3,FALSE)</f>
        <v>0.29060000000000002</v>
      </c>
      <c r="T589" s="737" t="str">
        <f t="shared" si="154"/>
        <v>0.0%</v>
      </c>
      <c r="U589" s="2" t="str">
        <f t="shared" si="160"/>
        <v/>
      </c>
      <c r="V589" s="2" t="str">
        <f t="shared" si="161"/>
        <v/>
      </c>
      <c r="W589" s="2" t="str">
        <f t="shared" si="162"/>
        <v/>
      </c>
      <c r="X589" s="2">
        <f t="shared" si="158"/>
        <v>0</v>
      </c>
      <c r="Y589" s="2" t="str">
        <f t="shared" si="163"/>
        <v/>
      </c>
      <c r="Z589" s="2" t="str">
        <f t="shared" si="164"/>
        <v/>
      </c>
      <c r="AA589" s="2" t="str">
        <f t="shared" si="165"/>
        <v/>
      </c>
      <c r="AB589" s="2">
        <f t="shared" si="159"/>
        <v>0</v>
      </c>
      <c r="AC589" s="759">
        <v>0</v>
      </c>
      <c r="AD589" s="741">
        <v>0</v>
      </c>
      <c r="AE589" s="741">
        <v>0</v>
      </c>
      <c r="AF589" s="741">
        <v>0</v>
      </c>
      <c r="AG589" s="741">
        <v>0</v>
      </c>
      <c r="AH589" s="741">
        <v>0</v>
      </c>
      <c r="AI589" s="741">
        <v>0</v>
      </c>
      <c r="AJ589" s="741">
        <v>0</v>
      </c>
      <c r="AK589" s="741">
        <v>0</v>
      </c>
      <c r="AL589" s="741">
        <v>0</v>
      </c>
      <c r="AM589" s="741">
        <v>0</v>
      </c>
      <c r="AN589" s="741">
        <v>0</v>
      </c>
      <c r="AO589" s="741">
        <v>0</v>
      </c>
      <c r="AP589" s="41" t="str">
        <f t="shared" si="155"/>
        <v>GLA</v>
      </c>
      <c r="AQ589" s="41" t="str">
        <f t="shared" si="156"/>
        <v>GLAA2Accounts Payable</v>
      </c>
      <c r="AR589" s="41" t="str">
        <f t="shared" si="157"/>
        <v>A2Accounts Payable</v>
      </c>
      <c r="CR589" s="625"/>
    </row>
    <row r="590" spans="1:96" s="41" customFormat="1" ht="12.75" customHeight="1">
      <c r="A590" s="25" t="s">
        <v>17</v>
      </c>
      <c r="B590" s="25" t="str">
        <f t="shared" si="152"/>
        <v>GL237007</v>
      </c>
      <c r="C590" s="638">
        <v>237007</v>
      </c>
      <c r="D590" s="735"/>
      <c r="F590" s="1" t="s">
        <v>522</v>
      </c>
      <c r="H590" s="736" t="s">
        <v>2559</v>
      </c>
      <c r="I590" s="25"/>
      <c r="J590" s="25"/>
      <c r="K590" s="442" t="str">
        <f t="shared" ref="K590:K657" si="166">IF(L590="N3","Y","")</f>
        <v/>
      </c>
      <c r="L590" s="736" t="s">
        <v>2393</v>
      </c>
      <c r="M590" s="25" t="str">
        <f t="shared" si="153"/>
        <v>A</v>
      </c>
      <c r="N590" s="25" t="str">
        <f>IF(L590&lt;&gt;"",VLOOKUP(L590,Categories!$B$2:$D$41,2,FALSE),IF(F590&lt;&gt;"","No Cat",""))</f>
        <v>All Other</v>
      </c>
      <c r="O590" s="25" t="str">
        <f>IF($L590&lt;&gt;"",VLOOKUP($L590,Categories!$B$2:$D$41,3,FALSE),IF($F590&lt;&gt;"","No Cat",""))</f>
        <v>EB-Cap</v>
      </c>
      <c r="P590" s="736" t="s">
        <v>2490</v>
      </c>
      <c r="Q590" s="25" t="str">
        <f>VLOOKUP($P590,Allocators!$B$7:$F$19,5,FALSE)</f>
        <v>Rate Base</v>
      </c>
      <c r="R590" s="737">
        <f>VLOOKUP($P590,Allocators!$B$7:$F$19,2,FALSE)</f>
        <v>0.70940000000000003</v>
      </c>
      <c r="S590" s="737">
        <f>VLOOKUP($P590,Allocators!$B$7:$F$19,3,FALSE)</f>
        <v>0.29060000000000002</v>
      </c>
      <c r="T590" s="737" t="str">
        <f t="shared" si="154"/>
        <v>0.0%</v>
      </c>
      <c r="U590" s="2">
        <f t="shared" si="160"/>
        <v>-536.04037500000004</v>
      </c>
      <c r="V590" s="2">
        <f t="shared" si="161"/>
        <v>-219.58462499999999</v>
      </c>
      <c r="W590" s="2">
        <f t="shared" si="162"/>
        <v>0</v>
      </c>
      <c r="X590" s="2">
        <f t="shared" si="158"/>
        <v>-755.625</v>
      </c>
      <c r="Y590" s="2">
        <f t="shared" si="163"/>
        <v>-384.4948</v>
      </c>
      <c r="Z590" s="2">
        <f t="shared" si="164"/>
        <v>-157.5052</v>
      </c>
      <c r="AA590" s="2">
        <f t="shared" si="165"/>
        <v>0</v>
      </c>
      <c r="AB590" s="2">
        <f t="shared" si="159"/>
        <v>-542</v>
      </c>
      <c r="AC590" s="759">
        <v>-991</v>
      </c>
      <c r="AD590" s="741">
        <v>-1006</v>
      </c>
      <c r="AE590" s="741">
        <v>-1014</v>
      </c>
      <c r="AF590" s="741">
        <v>-1028</v>
      </c>
      <c r="AG590" s="741">
        <v>-1028</v>
      </c>
      <c r="AH590" s="741">
        <v>-1055</v>
      </c>
      <c r="AI590" s="741">
        <v>-516</v>
      </c>
      <c r="AJ590" s="741">
        <v>-516</v>
      </c>
      <c r="AK590" s="741">
        <v>-525</v>
      </c>
      <c r="AL590" s="741">
        <v>-532</v>
      </c>
      <c r="AM590" s="741">
        <v>-538</v>
      </c>
      <c r="AN590" s="741">
        <v>-543</v>
      </c>
      <c r="AO590" s="741">
        <v>-542</v>
      </c>
      <c r="AP590" s="41" t="str">
        <f t="shared" si="155"/>
        <v>GLA</v>
      </c>
      <c r="AQ590" s="41" t="str">
        <f t="shared" si="156"/>
        <v>GLAA2Fin 48 Reclass</v>
      </c>
      <c r="AR590" s="41" t="str">
        <f t="shared" si="157"/>
        <v>A2Fin 48 Reclass</v>
      </c>
      <c r="CR590" s="625"/>
    </row>
    <row r="591" spans="1:96" s="41" customFormat="1" ht="12.75" customHeight="1">
      <c r="A591" s="25" t="s">
        <v>17</v>
      </c>
      <c r="B591" s="25" t="str">
        <f t="shared" si="152"/>
        <v>GL237008</v>
      </c>
      <c r="C591" s="638">
        <v>237008</v>
      </c>
      <c r="D591" s="735"/>
      <c r="F591" s="1" t="s">
        <v>523</v>
      </c>
      <c r="H591" s="736" t="s">
        <v>2559</v>
      </c>
      <c r="I591" s="25"/>
      <c r="J591" s="25"/>
      <c r="K591" s="442" t="str">
        <f t="shared" si="166"/>
        <v/>
      </c>
      <c r="L591" s="736" t="s">
        <v>2393</v>
      </c>
      <c r="M591" s="25" t="str">
        <f t="shared" si="153"/>
        <v>A</v>
      </c>
      <c r="N591" s="25" t="str">
        <f>IF(L591&lt;&gt;"",VLOOKUP(L591,Categories!$B$2:$D$41,2,FALSE),IF(F591&lt;&gt;"","No Cat",""))</f>
        <v>All Other</v>
      </c>
      <c r="O591" s="25" t="str">
        <f>IF($L591&lt;&gt;"",VLOOKUP($L591,Categories!$B$2:$D$41,3,FALSE),IF($F591&lt;&gt;"","No Cat",""))</f>
        <v>EB-Cap</v>
      </c>
      <c r="P591" s="736" t="s">
        <v>2490</v>
      </c>
      <c r="Q591" s="25" t="str">
        <f>VLOOKUP($P591,Allocators!$B$7:$F$19,5,FALSE)</f>
        <v>Rate Base</v>
      </c>
      <c r="R591" s="737">
        <f>VLOOKUP($P591,Allocators!$B$7:$F$19,2,FALSE)</f>
        <v>0.70940000000000003</v>
      </c>
      <c r="S591" s="737">
        <f>VLOOKUP($P591,Allocators!$B$7:$F$19,3,FALSE)</f>
        <v>0.29060000000000002</v>
      </c>
      <c r="T591" s="737" t="str">
        <f t="shared" si="154"/>
        <v>0.0%</v>
      </c>
      <c r="U591" s="2">
        <f t="shared" si="160"/>
        <v>-276.045275</v>
      </c>
      <c r="V591" s="2">
        <f t="shared" si="161"/>
        <v>-113.079725</v>
      </c>
      <c r="W591" s="2">
        <f t="shared" si="162"/>
        <v>0</v>
      </c>
      <c r="X591" s="2">
        <f t="shared" si="158"/>
        <v>-389.125</v>
      </c>
      <c r="Y591" s="2">
        <f t="shared" si="163"/>
        <v>-294.40100000000001</v>
      </c>
      <c r="Z591" s="2">
        <f t="shared" si="164"/>
        <v>-120.599</v>
      </c>
      <c r="AA591" s="2">
        <f t="shared" si="165"/>
        <v>0</v>
      </c>
      <c r="AB591" s="2">
        <f t="shared" si="159"/>
        <v>-415</v>
      </c>
      <c r="AC591" s="759">
        <v>-362</v>
      </c>
      <c r="AD591" s="741">
        <v>-364</v>
      </c>
      <c r="AE591" s="741">
        <v>-371</v>
      </c>
      <c r="AF591" s="741">
        <v>-375</v>
      </c>
      <c r="AG591" s="741">
        <v>-375</v>
      </c>
      <c r="AH591" s="741">
        <v>-386</v>
      </c>
      <c r="AI591" s="741">
        <v>-390</v>
      </c>
      <c r="AJ591" s="741">
        <v>-390</v>
      </c>
      <c r="AK591" s="741">
        <v>-400</v>
      </c>
      <c r="AL591" s="741">
        <v>-404</v>
      </c>
      <c r="AM591" s="741">
        <v>-410</v>
      </c>
      <c r="AN591" s="741">
        <v>-416</v>
      </c>
      <c r="AO591" s="741">
        <v>-415</v>
      </c>
      <c r="AP591" s="41" t="str">
        <f t="shared" si="155"/>
        <v>GLA</v>
      </c>
      <c r="AQ591" s="41" t="str">
        <f t="shared" si="156"/>
        <v>GLAA2Fin 48 Reclass</v>
      </c>
      <c r="AR591" s="41" t="str">
        <f t="shared" si="157"/>
        <v>A2Fin 48 Reclass</v>
      </c>
      <c r="CR591" s="625"/>
    </row>
    <row r="592" spans="1:96" s="41" customFormat="1" ht="12.75" customHeight="1">
      <c r="A592" s="25" t="s">
        <v>17</v>
      </c>
      <c r="B592" s="25" t="str">
        <f t="shared" si="152"/>
        <v>GL237099</v>
      </c>
      <c r="C592" s="638">
        <v>237099</v>
      </c>
      <c r="D592" s="735"/>
      <c r="F592" s="1" t="s">
        <v>576</v>
      </c>
      <c r="H592" s="736">
        <v>0</v>
      </c>
      <c r="I592" s="25"/>
      <c r="J592" s="25"/>
      <c r="K592" s="442" t="str">
        <f t="shared" si="166"/>
        <v/>
      </c>
      <c r="L592" s="736" t="s">
        <v>2393</v>
      </c>
      <c r="M592" s="25" t="str">
        <f t="shared" si="153"/>
        <v>A</v>
      </c>
      <c r="N592" s="25" t="str">
        <f>IF(L592&lt;&gt;"",VLOOKUP(L592,Categories!$B$2:$D$41,2,FALSE),IF(F592&lt;&gt;"","No Cat",""))</f>
        <v>All Other</v>
      </c>
      <c r="O592" s="25" t="str">
        <f>IF($L592&lt;&gt;"",VLOOKUP($L592,Categories!$B$2:$D$41,3,FALSE),IF($F592&lt;&gt;"","No Cat",""))</f>
        <v>EB-Cap</v>
      </c>
      <c r="P592" s="736" t="s">
        <v>2490</v>
      </c>
      <c r="Q592" s="25" t="str">
        <f>VLOOKUP($P592,Allocators!$B$7:$F$19,5,FALSE)</f>
        <v>Rate Base</v>
      </c>
      <c r="R592" s="737">
        <f>VLOOKUP($P592,Allocators!$B$7:$F$19,2,FALSE)</f>
        <v>0.70940000000000003</v>
      </c>
      <c r="S592" s="737">
        <f>VLOOKUP($P592,Allocators!$B$7:$F$19,3,FALSE)</f>
        <v>0.29060000000000002</v>
      </c>
      <c r="T592" s="737" t="str">
        <f t="shared" si="154"/>
        <v>0.0%</v>
      </c>
      <c r="U592" s="2">
        <f t="shared" si="160"/>
        <v>-17.431145062666602</v>
      </c>
      <c r="V592" s="2">
        <f t="shared" si="161"/>
        <v>-7.1405282706666604</v>
      </c>
      <c r="W592" s="2">
        <f t="shared" si="162"/>
        <v>0</v>
      </c>
      <c r="X592" s="2">
        <f t="shared" si="158"/>
        <v>-24.571673333333301</v>
      </c>
      <c r="Y592" s="2">
        <f t="shared" si="163"/>
        <v>-13.839854856000001</v>
      </c>
      <c r="Z592" s="2">
        <f t="shared" si="164"/>
        <v>-5.6693851439999996</v>
      </c>
      <c r="AA592" s="2">
        <f t="shared" si="165"/>
        <v>0</v>
      </c>
      <c r="AB592" s="2">
        <f t="shared" si="159"/>
        <v>-19.509240000000002</v>
      </c>
      <c r="AC592" s="759">
        <v>-10.703899999999999</v>
      </c>
      <c r="AD592" s="741">
        <v>-8.4718700000000009</v>
      </c>
      <c r="AE592" s="741">
        <v>-8.1128</v>
      </c>
      <c r="AF592" s="741">
        <v>-6.4133999999999993</v>
      </c>
      <c r="AG592" s="741">
        <v>-2.8494999999999999</v>
      </c>
      <c r="AH592" s="741">
        <v>-2.50135</v>
      </c>
      <c r="AI592" s="741">
        <v>-1.7869699999999999</v>
      </c>
      <c r="AJ592" s="741">
        <v>-6.8573399999999998</v>
      </c>
      <c r="AK592" s="741">
        <v>-68.778800000000004</v>
      </c>
      <c r="AL592" s="741">
        <v>-57.192329999999998</v>
      </c>
      <c r="AM592" s="741">
        <v>-98.574470000000005</v>
      </c>
      <c r="AN592" s="741">
        <v>-18.214680000000001</v>
      </c>
      <c r="AO592" s="741">
        <v>-19.509240000000002</v>
      </c>
      <c r="AP592" s="41" t="str">
        <f t="shared" si="155"/>
        <v>GLA</v>
      </c>
      <c r="AQ592" s="41" t="str">
        <f t="shared" si="156"/>
        <v>GLAA20</v>
      </c>
      <c r="AR592" s="41" t="str">
        <f t="shared" si="157"/>
        <v>A20</v>
      </c>
      <c r="CR592" s="625"/>
    </row>
    <row r="593" spans="1:96" s="41" customFormat="1" ht="12.75" customHeight="1">
      <c r="A593" s="25" t="s">
        <v>17</v>
      </c>
      <c r="B593" s="25" t="str">
        <f t="shared" si="152"/>
        <v>GL237100</v>
      </c>
      <c r="C593" s="638">
        <v>237100</v>
      </c>
      <c r="D593" s="735"/>
      <c r="F593" s="1" t="s">
        <v>577</v>
      </c>
      <c r="H593" s="736" t="s">
        <v>2702</v>
      </c>
      <c r="I593" s="25"/>
      <c r="J593" s="25"/>
      <c r="K593" s="442" t="str">
        <f t="shared" si="166"/>
        <v/>
      </c>
      <c r="L593" s="736" t="s">
        <v>2393</v>
      </c>
      <c r="M593" s="25" t="str">
        <f t="shared" si="153"/>
        <v>A</v>
      </c>
      <c r="N593" s="25" t="str">
        <f>IF(L593&lt;&gt;"",VLOOKUP(L593,Categories!$B$2:$D$41,2,FALSE),IF(F593&lt;&gt;"","No Cat",""))</f>
        <v>All Other</v>
      </c>
      <c r="O593" s="25" t="str">
        <f>IF($L593&lt;&gt;"",VLOOKUP($L593,Categories!$B$2:$D$41,3,FALSE),IF($F593&lt;&gt;"","No Cat",""))</f>
        <v>EB-Cap</v>
      </c>
      <c r="P593" s="736" t="s">
        <v>2490</v>
      </c>
      <c r="Q593" s="25" t="str">
        <f>VLOOKUP($P593,Allocators!$B$7:$F$19,5,FALSE)</f>
        <v>Rate Base</v>
      </c>
      <c r="R593" s="737">
        <f>VLOOKUP($P593,Allocators!$B$7:$F$19,2,FALSE)</f>
        <v>0.70940000000000003</v>
      </c>
      <c r="S593" s="737">
        <f>VLOOKUP($P593,Allocators!$B$7:$F$19,3,FALSE)</f>
        <v>0.29060000000000002</v>
      </c>
      <c r="T593" s="737" t="str">
        <f t="shared" si="154"/>
        <v>0.0%</v>
      </c>
      <c r="U593" s="2">
        <f t="shared" si="160"/>
        <v>-7236.9819169316397</v>
      </c>
      <c r="V593" s="2">
        <f t="shared" si="161"/>
        <v>-2964.5713914016601</v>
      </c>
      <c r="W593" s="2">
        <f t="shared" si="162"/>
        <v>0</v>
      </c>
      <c r="X593" s="2">
        <f t="shared" si="158"/>
        <v>-10201.553308333299</v>
      </c>
      <c r="Y593" s="2">
        <f t="shared" si="163"/>
        <v>-8809.5065074360009</v>
      </c>
      <c r="Z593" s="2">
        <f t="shared" si="164"/>
        <v>-3608.7434325640002</v>
      </c>
      <c r="AA593" s="2">
        <f t="shared" si="165"/>
        <v>0</v>
      </c>
      <c r="AB593" s="2">
        <f t="shared" si="159"/>
        <v>-12418.24994</v>
      </c>
      <c r="AC593" s="759">
        <v>-12423.713519999999</v>
      </c>
      <c r="AD593" s="741">
        <v>-5238.0738600000004</v>
      </c>
      <c r="AE593" s="741">
        <v>-7787.93055</v>
      </c>
      <c r="AF593" s="741">
        <v>-8637.0416600000008</v>
      </c>
      <c r="AG593" s="741">
        <v>-11904.147789999999</v>
      </c>
      <c r="AH593" s="741">
        <v>-15186.807210000001</v>
      </c>
      <c r="AI593" s="741">
        <v>-12417.184439999999</v>
      </c>
      <c r="AJ593" s="741">
        <v>-5236.2911100000001</v>
      </c>
      <c r="AK593" s="741">
        <v>-7810.0538899999992</v>
      </c>
      <c r="AL593" s="741">
        <v>-8622.686099999999</v>
      </c>
      <c r="AM593" s="741">
        <v>-11921.48302</v>
      </c>
      <c r="AN593" s="741">
        <v>-15235.958339999999</v>
      </c>
      <c r="AO593" s="741">
        <v>-12418.24994</v>
      </c>
      <c r="AP593" s="41" t="str">
        <f t="shared" si="155"/>
        <v>GLA</v>
      </c>
      <c r="AQ593" s="41" t="str">
        <f t="shared" si="156"/>
        <v>GLAA2Interest Payable</v>
      </c>
      <c r="AR593" s="41" t="str">
        <f t="shared" si="157"/>
        <v>A2Interest Payable</v>
      </c>
      <c r="CR593" s="625"/>
    </row>
    <row r="594" spans="1:96" s="41" customFormat="1" ht="12.75" customHeight="1">
      <c r="A594" s="25" t="s">
        <v>17</v>
      </c>
      <c r="B594" s="25" t="str">
        <f t="shared" si="152"/>
        <v>GL237210</v>
      </c>
      <c r="C594" s="638">
        <v>237210</v>
      </c>
      <c r="D594" s="735"/>
      <c r="F594" s="1" t="s">
        <v>578</v>
      </c>
      <c r="H594" s="736" t="s">
        <v>2702</v>
      </c>
      <c r="I594" s="25"/>
      <c r="J594" s="25"/>
      <c r="K594" s="442" t="str">
        <f t="shared" si="166"/>
        <v/>
      </c>
      <c r="L594" s="736" t="s">
        <v>2393</v>
      </c>
      <c r="M594" s="25" t="str">
        <f t="shared" si="153"/>
        <v>A</v>
      </c>
      <c r="N594" s="25" t="str">
        <f>IF(L594&lt;&gt;"",VLOOKUP(L594,Categories!$B$2:$D$41,2,FALSE),IF(F594&lt;&gt;"","No Cat",""))</f>
        <v>All Other</v>
      </c>
      <c r="O594" s="25" t="str">
        <f>IF($L594&lt;&gt;"",VLOOKUP($L594,Categories!$B$2:$D$41,3,FALSE),IF($F594&lt;&gt;"","No Cat",""))</f>
        <v>EB-Cap</v>
      </c>
      <c r="P594" s="736" t="s">
        <v>2490</v>
      </c>
      <c r="Q594" s="25" t="str">
        <f>VLOOKUP($P594,Allocators!$B$7:$F$19,5,FALSE)</f>
        <v>Rate Base</v>
      </c>
      <c r="R594" s="737">
        <f>VLOOKUP($P594,Allocators!$B$7:$F$19,2,FALSE)</f>
        <v>0.70940000000000003</v>
      </c>
      <c r="S594" s="737">
        <f>VLOOKUP($P594,Allocators!$B$7:$F$19,3,FALSE)</f>
        <v>0.29060000000000002</v>
      </c>
      <c r="T594" s="737" t="str">
        <f t="shared" si="154"/>
        <v>0.0%</v>
      </c>
      <c r="U594" s="2">
        <f t="shared" si="160"/>
        <v>-1.3634668000000001E-2</v>
      </c>
      <c r="V594" s="2">
        <f t="shared" si="161"/>
        <v>-5.5853320000000001E-3</v>
      </c>
      <c r="W594" s="2">
        <f t="shared" si="162"/>
        <v>0</v>
      </c>
      <c r="X594" s="2">
        <f t="shared" si="158"/>
        <v>-1.9220000000000001E-2</v>
      </c>
      <c r="Y594" s="2" t="str">
        <f t="shared" si="163"/>
        <v/>
      </c>
      <c r="Z594" s="2" t="str">
        <f t="shared" si="164"/>
        <v/>
      </c>
      <c r="AA594" s="2" t="str">
        <f t="shared" si="165"/>
        <v/>
      </c>
      <c r="AB594" s="2">
        <f t="shared" si="159"/>
        <v>0</v>
      </c>
      <c r="AC594" s="759">
        <v>0</v>
      </c>
      <c r="AD594" s="741">
        <v>0</v>
      </c>
      <c r="AE594" s="741">
        <v>0</v>
      </c>
      <c r="AF594" s="741">
        <v>0</v>
      </c>
      <c r="AG594" s="741">
        <v>0</v>
      </c>
      <c r="AH594" s="741">
        <v>0</v>
      </c>
      <c r="AI594" s="741">
        <v>0</v>
      </c>
      <c r="AJ594" s="741">
        <v>-7.0150000000000004E-2</v>
      </c>
      <c r="AK594" s="741">
        <v>-0.16049000000000002</v>
      </c>
      <c r="AL594" s="741">
        <v>0</v>
      </c>
      <c r="AM594" s="741">
        <v>0</v>
      </c>
      <c r="AN594" s="741">
        <v>0</v>
      </c>
      <c r="AO594" s="741">
        <v>0</v>
      </c>
      <c r="AP594" s="41" t="str">
        <f t="shared" si="155"/>
        <v>GLA</v>
      </c>
      <c r="AQ594" s="41" t="str">
        <f t="shared" si="156"/>
        <v>GLAA2Interest Payable</v>
      </c>
      <c r="AR594" s="41" t="str">
        <f t="shared" si="157"/>
        <v>A2Interest Payable</v>
      </c>
      <c r="CR594" s="625"/>
    </row>
    <row r="595" spans="1:96" s="41" customFormat="1" ht="12.75" customHeight="1">
      <c r="A595" s="25" t="s">
        <v>17</v>
      </c>
      <c r="B595" s="25" t="str">
        <f t="shared" ref="B595:B663" si="167">CONCATENATE(A595,C595,D595,E595)</f>
        <v>GL237300</v>
      </c>
      <c r="C595" s="638">
        <v>237300</v>
      </c>
      <c r="D595" s="735"/>
      <c r="F595" s="1" t="s">
        <v>579</v>
      </c>
      <c r="H595" s="736" t="s">
        <v>2702</v>
      </c>
      <c r="I595" s="25"/>
      <c r="J595" s="25"/>
      <c r="K595" s="442" t="str">
        <f t="shared" si="166"/>
        <v/>
      </c>
      <c r="L595" s="736" t="s">
        <v>2393</v>
      </c>
      <c r="M595" s="25" t="str">
        <f t="shared" ref="M595:M663" si="168">LEFT(L595,1)</f>
        <v>A</v>
      </c>
      <c r="N595" s="25" t="str">
        <f>IF(L595&lt;&gt;"",VLOOKUP(L595,Categories!$B$2:$D$41,2,FALSE),IF(F595&lt;&gt;"","No Cat",""))</f>
        <v>All Other</v>
      </c>
      <c r="O595" s="25" t="str">
        <f>IF($L595&lt;&gt;"",VLOOKUP($L595,Categories!$B$2:$D$41,3,FALSE),IF($F595&lt;&gt;"","No Cat",""))</f>
        <v>EB-Cap</v>
      </c>
      <c r="P595" s="736" t="s">
        <v>2490</v>
      </c>
      <c r="Q595" s="25" t="str">
        <f>VLOOKUP($P595,Allocators!$B$7:$F$19,5,FALSE)</f>
        <v>Rate Base</v>
      </c>
      <c r="R595" s="737">
        <f>VLOOKUP($P595,Allocators!$B$7:$F$19,2,FALSE)</f>
        <v>0.70940000000000003</v>
      </c>
      <c r="S595" s="737">
        <f>VLOOKUP($P595,Allocators!$B$7:$F$19,3,FALSE)</f>
        <v>0.29060000000000002</v>
      </c>
      <c r="T595" s="737" t="str">
        <f t="shared" si="154"/>
        <v>0.0%</v>
      </c>
      <c r="U595" s="2">
        <f t="shared" si="160"/>
        <v>-12.4585105848334</v>
      </c>
      <c r="V595" s="2">
        <f t="shared" si="161"/>
        <v>-5.1035285818333396</v>
      </c>
      <c r="W595" s="2">
        <f t="shared" si="162"/>
        <v>0</v>
      </c>
      <c r="X595" s="2">
        <f t="shared" si="158"/>
        <v>-17.5620391666667</v>
      </c>
      <c r="Y595" s="2">
        <f t="shared" si="163"/>
        <v>-6.5571402680000004</v>
      </c>
      <c r="Z595" s="2">
        <f t="shared" si="164"/>
        <v>-2.6860797320000001</v>
      </c>
      <c r="AA595" s="2">
        <f t="shared" si="165"/>
        <v>0</v>
      </c>
      <c r="AB595" s="2">
        <f t="shared" si="159"/>
        <v>-9.2432199999999991</v>
      </c>
      <c r="AC595" s="759">
        <v>-2.6612199999999997</v>
      </c>
      <c r="AD595" s="741">
        <v>-2.6612199999999997</v>
      </c>
      <c r="AE595" s="741">
        <v>-7.5126299999999997</v>
      </c>
      <c r="AF595" s="741">
        <v>-12.57673</v>
      </c>
      <c r="AG595" s="741">
        <v>-17.643319999999999</v>
      </c>
      <c r="AH595" s="741">
        <v>-22.712730000000001</v>
      </c>
      <c r="AI595" s="741">
        <v>-27.367360000000001</v>
      </c>
      <c r="AJ595" s="741">
        <v>-31.966609999999999</v>
      </c>
      <c r="AK595" s="741">
        <v>-36.583489999999998</v>
      </c>
      <c r="AL595" s="741">
        <v>-41.145449999999997</v>
      </c>
      <c r="AM595" s="741">
        <v>0</v>
      </c>
      <c r="AN595" s="741">
        <v>-4.6227099999999997</v>
      </c>
      <c r="AO595" s="741">
        <v>-9.2432199999999991</v>
      </c>
      <c r="AP595" s="41" t="str">
        <f t="shared" si="155"/>
        <v>GLA</v>
      </c>
      <c r="AQ595" s="41" t="str">
        <f t="shared" si="156"/>
        <v>GLAA2Interest Payable</v>
      </c>
      <c r="AR595" s="41" t="str">
        <f t="shared" si="157"/>
        <v>A2Interest Payable</v>
      </c>
      <c r="CR595" s="625"/>
    </row>
    <row r="596" spans="1:96" s="41" customFormat="1" ht="12.75" customHeight="1">
      <c r="A596" s="25" t="s">
        <v>17</v>
      </c>
      <c r="B596" s="25" t="str">
        <f t="shared" si="167"/>
        <v>GL237400</v>
      </c>
      <c r="C596" s="638">
        <v>237400</v>
      </c>
      <c r="D596" s="735"/>
      <c r="F596" s="1" t="s">
        <v>580</v>
      </c>
      <c r="H596" s="736" t="s">
        <v>2702</v>
      </c>
      <c r="I596" s="25"/>
      <c r="J596" s="25"/>
      <c r="K596" s="442" t="str">
        <f t="shared" si="166"/>
        <v/>
      </c>
      <c r="L596" s="736" t="s">
        <v>2393</v>
      </c>
      <c r="M596" s="25" t="str">
        <f t="shared" si="168"/>
        <v>A</v>
      </c>
      <c r="N596" s="25" t="str">
        <f>IF(L596&lt;&gt;"",VLOOKUP(L596,Categories!$B$2:$D$41,2,FALSE),IF(F596&lt;&gt;"","No Cat",""))</f>
        <v>All Other</v>
      </c>
      <c r="O596" s="25" t="str">
        <f>IF($L596&lt;&gt;"",VLOOKUP($L596,Categories!$B$2:$D$41,3,FALSE),IF($F596&lt;&gt;"","No Cat",""))</f>
        <v>EB-Cap</v>
      </c>
      <c r="P596" s="736" t="s">
        <v>2490</v>
      </c>
      <c r="Q596" s="25" t="str">
        <f>VLOOKUP($P596,Allocators!$B$7:$F$19,5,FALSE)</f>
        <v>Rate Base</v>
      </c>
      <c r="R596" s="737">
        <f>VLOOKUP($P596,Allocators!$B$7:$F$19,2,FALSE)</f>
        <v>0.70940000000000003</v>
      </c>
      <c r="S596" s="737">
        <f>VLOOKUP($P596,Allocators!$B$7:$F$19,3,FALSE)</f>
        <v>0.29060000000000002</v>
      </c>
      <c r="T596" s="737" t="str">
        <f t="shared" si="154"/>
        <v>0.0%</v>
      </c>
      <c r="U596" s="2">
        <f t="shared" si="160"/>
        <v>-73.894857908333606</v>
      </c>
      <c r="V596" s="2">
        <f t="shared" si="161"/>
        <v>-30.2704337583334</v>
      </c>
      <c r="W596" s="2">
        <f t="shared" si="162"/>
        <v>0</v>
      </c>
      <c r="X596" s="2">
        <f t="shared" si="158"/>
        <v>-104.165291666667</v>
      </c>
      <c r="Y596" s="2">
        <f t="shared" si="163"/>
        <v>-405.01277620000002</v>
      </c>
      <c r="Z596" s="2">
        <f t="shared" si="164"/>
        <v>-165.91022380000001</v>
      </c>
      <c r="AA596" s="2">
        <f t="shared" si="165"/>
        <v>0</v>
      </c>
      <c r="AB596" s="2">
        <f t="shared" si="159"/>
        <v>-570.923</v>
      </c>
      <c r="AC596" s="759">
        <v>-263.29199999999997</v>
      </c>
      <c r="AD596" s="741">
        <v>-272.29199999999997</v>
      </c>
      <c r="AE596" s="741">
        <v>-280.29199999999997</v>
      </c>
      <c r="AF596" s="741">
        <v>-280.29199999999997</v>
      </c>
      <c r="AG596" s="741">
        <v>0</v>
      </c>
      <c r="AH596" s="741">
        <v>0</v>
      </c>
      <c r="AI596" s="741">
        <v>0</v>
      </c>
      <c r="AJ596" s="741">
        <v>0</v>
      </c>
      <c r="AK596" s="741">
        <v>0</v>
      </c>
      <c r="AL596" s="741">
        <v>0</v>
      </c>
      <c r="AM596" s="741">
        <v>0</v>
      </c>
      <c r="AN596" s="741">
        <v>0</v>
      </c>
      <c r="AO596" s="741">
        <v>-570.923</v>
      </c>
      <c r="AP596" s="41" t="str">
        <f t="shared" si="155"/>
        <v>GLA</v>
      </c>
      <c r="AQ596" s="41" t="str">
        <f t="shared" si="156"/>
        <v>GLAA2Interest Payable</v>
      </c>
      <c r="AR596" s="41" t="str">
        <f t="shared" si="157"/>
        <v>A2Interest Payable</v>
      </c>
      <c r="CR596" s="625"/>
    </row>
    <row r="597" spans="1:96" s="41" customFormat="1" ht="12.75" customHeight="1">
      <c r="A597" s="25" t="s">
        <v>17</v>
      </c>
      <c r="B597" s="25" t="str">
        <f t="shared" si="167"/>
        <v>GL237401</v>
      </c>
      <c r="C597" s="638">
        <v>237401</v>
      </c>
      <c r="D597" s="735"/>
      <c r="F597" s="1" t="s">
        <v>581</v>
      </c>
      <c r="H597" s="736" t="s">
        <v>2702</v>
      </c>
      <c r="I597" s="25"/>
      <c r="J597" s="25"/>
      <c r="K597" s="442" t="str">
        <f t="shared" si="166"/>
        <v/>
      </c>
      <c r="L597" s="736" t="s">
        <v>2393</v>
      </c>
      <c r="M597" s="25" t="str">
        <f t="shared" si="168"/>
        <v>A</v>
      </c>
      <c r="N597" s="25" t="str">
        <f>IF(L597&lt;&gt;"",VLOOKUP(L597,Categories!$B$2:$D$41,2,FALSE),IF(F597&lt;&gt;"","No Cat",""))</f>
        <v>All Other</v>
      </c>
      <c r="O597" s="25" t="str">
        <f>IF($L597&lt;&gt;"",VLOOKUP($L597,Categories!$B$2:$D$41,3,FALSE),IF($F597&lt;&gt;"","No Cat",""))</f>
        <v>EB-Cap</v>
      </c>
      <c r="P597" s="736" t="s">
        <v>2490</v>
      </c>
      <c r="Q597" s="25" t="str">
        <f>VLOOKUP($P597,Allocators!$B$7:$F$19,5,FALSE)</f>
        <v>Rate Base</v>
      </c>
      <c r="R597" s="737">
        <f>VLOOKUP($P597,Allocators!$B$7:$F$19,2,FALSE)</f>
        <v>0.70940000000000003</v>
      </c>
      <c r="S597" s="737">
        <f>VLOOKUP($P597,Allocators!$B$7:$F$19,3,FALSE)</f>
        <v>0.29060000000000002</v>
      </c>
      <c r="T597" s="737" t="str">
        <f t="shared" si="154"/>
        <v>0.0%</v>
      </c>
      <c r="U597" s="2" t="str">
        <f t="shared" si="160"/>
        <v/>
      </c>
      <c r="V597" s="2" t="str">
        <f t="shared" si="161"/>
        <v/>
      </c>
      <c r="W597" s="2" t="str">
        <f t="shared" si="162"/>
        <v/>
      </c>
      <c r="X597" s="2">
        <f t="shared" si="158"/>
        <v>0</v>
      </c>
      <c r="Y597" s="2" t="str">
        <f t="shared" si="163"/>
        <v/>
      </c>
      <c r="Z597" s="2" t="str">
        <f t="shared" si="164"/>
        <v/>
      </c>
      <c r="AA597" s="2" t="str">
        <f t="shared" si="165"/>
        <v/>
      </c>
      <c r="AB597" s="2">
        <f t="shared" si="159"/>
        <v>0</v>
      </c>
      <c r="AC597" s="759">
        <v>0</v>
      </c>
      <c r="AD597" s="741">
        <v>0</v>
      </c>
      <c r="AE597" s="741">
        <v>0</v>
      </c>
      <c r="AF597" s="741">
        <v>0</v>
      </c>
      <c r="AG597" s="741">
        <v>0</v>
      </c>
      <c r="AH597" s="741">
        <v>0</v>
      </c>
      <c r="AI597" s="741">
        <v>0</v>
      </c>
      <c r="AJ597" s="741">
        <v>0</v>
      </c>
      <c r="AK597" s="741">
        <v>0</v>
      </c>
      <c r="AL597" s="741">
        <v>0</v>
      </c>
      <c r="AM597" s="741">
        <v>0</v>
      </c>
      <c r="AN597" s="741">
        <v>0</v>
      </c>
      <c r="AO597" s="741">
        <v>0</v>
      </c>
      <c r="AP597" s="41" t="str">
        <f t="shared" si="155"/>
        <v>GLA</v>
      </c>
      <c r="AQ597" s="41" t="str">
        <f t="shared" si="156"/>
        <v>GLAA2Interest Payable</v>
      </c>
      <c r="AR597" s="41" t="str">
        <f t="shared" si="157"/>
        <v>A2Interest Payable</v>
      </c>
      <c r="CR597" s="625"/>
    </row>
    <row r="598" spans="1:96" s="41" customFormat="1" ht="12.75" customHeight="1">
      <c r="A598" s="25" t="s">
        <v>17</v>
      </c>
      <c r="B598" s="25" t="str">
        <f t="shared" si="167"/>
        <v>GL237430</v>
      </c>
      <c r="C598" s="638">
        <v>237430</v>
      </c>
      <c r="D598" s="735"/>
      <c r="F598" s="1" t="s">
        <v>582</v>
      </c>
      <c r="H598" s="736" t="s">
        <v>2702</v>
      </c>
      <c r="I598" s="25"/>
      <c r="J598" s="25"/>
      <c r="K598" s="442" t="str">
        <f t="shared" si="166"/>
        <v/>
      </c>
      <c r="L598" s="736" t="s">
        <v>2393</v>
      </c>
      <c r="M598" s="25" t="str">
        <f t="shared" si="168"/>
        <v>A</v>
      </c>
      <c r="N598" s="25" t="str">
        <f>IF(L598&lt;&gt;"",VLOOKUP(L598,Categories!$B$2:$D$41,2,FALSE),IF(F598&lt;&gt;"","No Cat",""))</f>
        <v>All Other</v>
      </c>
      <c r="O598" s="25" t="str">
        <f>IF($L598&lt;&gt;"",VLOOKUP($L598,Categories!$B$2:$D$41,3,FALSE),IF($F598&lt;&gt;"","No Cat",""))</f>
        <v>EB-Cap</v>
      </c>
      <c r="P598" s="736" t="s">
        <v>2490</v>
      </c>
      <c r="Q598" s="25" t="str">
        <f>VLOOKUP($P598,Allocators!$B$7:$F$19,5,FALSE)</f>
        <v>Rate Base</v>
      </c>
      <c r="R598" s="737">
        <f>VLOOKUP($P598,Allocators!$B$7:$F$19,2,FALSE)</f>
        <v>0.70940000000000003</v>
      </c>
      <c r="S598" s="737">
        <f>VLOOKUP($P598,Allocators!$B$7:$F$19,3,FALSE)</f>
        <v>0.29060000000000002</v>
      </c>
      <c r="T598" s="737" t="str">
        <f t="shared" si="154"/>
        <v>0.0%</v>
      </c>
      <c r="U598" s="2">
        <f t="shared" si="160"/>
        <v>-0.35719797474999998</v>
      </c>
      <c r="V598" s="2">
        <f t="shared" si="161"/>
        <v>-0.14632327525</v>
      </c>
      <c r="W598" s="2">
        <f t="shared" si="162"/>
        <v>0</v>
      </c>
      <c r="X598" s="2">
        <f t="shared" si="158"/>
        <v>-0.50352125000000003</v>
      </c>
      <c r="Y598" s="2">
        <f t="shared" si="163"/>
        <v>-1.61867345</v>
      </c>
      <c r="Z598" s="2">
        <f t="shared" si="164"/>
        <v>-0.66307654999999999</v>
      </c>
      <c r="AA598" s="2">
        <f t="shared" si="165"/>
        <v>0</v>
      </c>
      <c r="AB598" s="2">
        <f t="shared" si="159"/>
        <v>-2.2817500000000002</v>
      </c>
      <c r="AC598" s="759">
        <v>-1.22926</v>
      </c>
      <c r="AD598" s="741">
        <v>-0.21925</v>
      </c>
      <c r="AE598" s="741">
        <v>-0.40675</v>
      </c>
      <c r="AF598" s="741">
        <v>-0.40675</v>
      </c>
      <c r="AG598" s="741">
        <v>-0.40675</v>
      </c>
      <c r="AH598" s="741">
        <v>-0.40675</v>
      </c>
      <c r="AI598" s="741">
        <v>-0.40675</v>
      </c>
      <c r="AJ598" s="741">
        <v>-0.40675</v>
      </c>
      <c r="AK598" s="741">
        <v>-0.40675</v>
      </c>
      <c r="AL598" s="741">
        <v>-0.40675</v>
      </c>
      <c r="AM598" s="741">
        <v>-0.40675</v>
      </c>
      <c r="AN598" s="741">
        <v>-0.40675</v>
      </c>
      <c r="AO598" s="741">
        <v>-2.2817500000000002</v>
      </c>
      <c r="AP598" s="41" t="str">
        <f t="shared" si="155"/>
        <v>GLA</v>
      </c>
      <c r="AQ598" s="41" t="str">
        <f t="shared" si="156"/>
        <v>GLAA2Interest Payable</v>
      </c>
      <c r="AR598" s="41" t="str">
        <f t="shared" si="157"/>
        <v>A2Interest Payable</v>
      </c>
      <c r="CR598" s="625"/>
    </row>
    <row r="599" spans="1:96" s="41" customFormat="1" ht="12.75" customHeight="1">
      <c r="A599" s="25" t="s">
        <v>17</v>
      </c>
      <c r="B599" s="25" t="str">
        <f t="shared" si="167"/>
        <v>GL238199</v>
      </c>
      <c r="C599" s="638">
        <v>238199</v>
      </c>
      <c r="D599" s="735"/>
      <c r="F599" s="1" t="s">
        <v>583</v>
      </c>
      <c r="H599" s="736">
        <v>0</v>
      </c>
      <c r="I599" s="25"/>
      <c r="J599" s="25"/>
      <c r="K599" s="442" t="str">
        <f t="shared" si="166"/>
        <v/>
      </c>
      <c r="L599" s="736" t="s">
        <v>2403</v>
      </c>
      <c r="M599" s="25" t="str">
        <f t="shared" si="168"/>
        <v>C</v>
      </c>
      <c r="N599" s="25" t="str">
        <f>IF(L599&lt;&gt;"",VLOOKUP(L599,Categories!$B$2:$D$41,2,FALSE),IF(F599&lt;&gt;"","No Cat",""))</f>
        <v>Capitalization</v>
      </c>
      <c r="O599" s="25" t="str">
        <f>IF($L599&lt;&gt;"",VLOOKUP($L599,Categories!$B$2:$D$41,3,FALSE),IF($F599&lt;&gt;"","No Cat",""))</f>
        <v>Common Equity</v>
      </c>
      <c r="P599" s="736" t="s">
        <v>2468</v>
      </c>
      <c r="Q599" s="25" t="str">
        <f>VLOOKUP($P599,Allocators!$B$7:$F$19,5,FALSE)</f>
        <v>Not in Rate Base</v>
      </c>
      <c r="R599" s="737">
        <f>VLOOKUP($P599,Allocators!$B$7:$F$19,2,FALSE)</f>
        <v>0</v>
      </c>
      <c r="S599" s="737">
        <f>VLOOKUP($P599,Allocators!$B$7:$F$19,3,FALSE)</f>
        <v>0</v>
      </c>
      <c r="T599" s="737">
        <f t="shared" si="154"/>
        <v>1</v>
      </c>
      <c r="U599" s="2" t="str">
        <f t="shared" si="160"/>
        <v/>
      </c>
      <c r="V599" s="2" t="str">
        <f t="shared" si="161"/>
        <v/>
      </c>
      <c r="W599" s="2" t="str">
        <f t="shared" si="162"/>
        <v/>
      </c>
      <c r="X599" s="2">
        <f t="shared" si="158"/>
        <v>0</v>
      </c>
      <c r="Y599" s="2" t="str">
        <f t="shared" si="163"/>
        <v/>
      </c>
      <c r="Z599" s="2" t="str">
        <f t="shared" si="164"/>
        <v/>
      </c>
      <c r="AA599" s="2" t="str">
        <f t="shared" si="165"/>
        <v/>
      </c>
      <c r="AB599" s="2">
        <f t="shared" si="159"/>
        <v>0</v>
      </c>
      <c r="AC599" s="759">
        <v>0</v>
      </c>
      <c r="AD599" s="741">
        <v>0</v>
      </c>
      <c r="AE599" s="741">
        <v>0</v>
      </c>
      <c r="AF599" s="741">
        <v>0</v>
      </c>
      <c r="AG599" s="741">
        <v>0</v>
      </c>
      <c r="AH599" s="741">
        <v>0</v>
      </c>
      <c r="AI599" s="741">
        <v>0</v>
      </c>
      <c r="AJ599" s="741">
        <v>0</v>
      </c>
      <c r="AK599" s="741">
        <v>0</v>
      </c>
      <c r="AL599" s="741">
        <v>0</v>
      </c>
      <c r="AM599" s="741">
        <v>0</v>
      </c>
      <c r="AN599" s="741">
        <v>0</v>
      </c>
      <c r="AO599" s="741">
        <v>0</v>
      </c>
      <c r="AP599" s="41" t="str">
        <f t="shared" si="155"/>
        <v>GLC</v>
      </c>
      <c r="AQ599" s="41" t="str">
        <f t="shared" si="156"/>
        <v>GLCC150</v>
      </c>
      <c r="AR599" s="41" t="str">
        <f t="shared" si="157"/>
        <v>C150</v>
      </c>
    </row>
    <row r="600" spans="1:96" s="41" customFormat="1" ht="12.75" customHeight="1">
      <c r="A600" s="25" t="s">
        <v>17</v>
      </c>
      <c r="B600" s="25" t="str">
        <f t="shared" si="167"/>
        <v>GL238200</v>
      </c>
      <c r="C600" s="638">
        <v>238200</v>
      </c>
      <c r="D600" s="735"/>
      <c r="F600" s="1" t="s">
        <v>584</v>
      </c>
      <c r="H600" s="736">
        <v>0</v>
      </c>
      <c r="I600" s="25"/>
      <c r="J600" s="25"/>
      <c r="K600" s="442" t="str">
        <f t="shared" si="166"/>
        <v/>
      </c>
      <c r="L600" s="736" t="s">
        <v>2403</v>
      </c>
      <c r="M600" s="25" t="str">
        <f t="shared" si="168"/>
        <v>C</v>
      </c>
      <c r="N600" s="25" t="str">
        <f>IF(L600&lt;&gt;"",VLOOKUP(L600,Categories!$B$2:$D$41,2,FALSE),IF(F600&lt;&gt;"","No Cat",""))</f>
        <v>Capitalization</v>
      </c>
      <c r="O600" s="25" t="str">
        <f>IF($L600&lt;&gt;"",VLOOKUP($L600,Categories!$B$2:$D$41,3,FALSE),IF($F600&lt;&gt;"","No Cat",""))</f>
        <v>Common Equity</v>
      </c>
      <c r="P600" s="736" t="s">
        <v>2468</v>
      </c>
      <c r="Q600" s="25" t="str">
        <f>VLOOKUP($P600,Allocators!$B$7:$F$19,5,FALSE)</f>
        <v>Not in Rate Base</v>
      </c>
      <c r="R600" s="737">
        <f>VLOOKUP($P600,Allocators!$B$7:$F$19,2,FALSE)</f>
        <v>0</v>
      </c>
      <c r="S600" s="737">
        <f>VLOOKUP($P600,Allocators!$B$7:$F$19,3,FALSE)</f>
        <v>0</v>
      </c>
      <c r="T600" s="737">
        <f t="shared" si="154"/>
        <v>1</v>
      </c>
      <c r="U600" s="2" t="str">
        <f t="shared" si="160"/>
        <v/>
      </c>
      <c r="V600" s="2" t="str">
        <f t="shared" si="161"/>
        <v/>
      </c>
      <c r="W600" s="2" t="str">
        <f t="shared" si="162"/>
        <v/>
      </c>
      <c r="X600" s="2">
        <f t="shared" si="158"/>
        <v>0</v>
      </c>
      <c r="Y600" s="2" t="str">
        <f t="shared" si="163"/>
        <v/>
      </c>
      <c r="Z600" s="2" t="str">
        <f t="shared" si="164"/>
        <v/>
      </c>
      <c r="AA600" s="2" t="str">
        <f t="shared" si="165"/>
        <v/>
      </c>
      <c r="AB600" s="2">
        <f t="shared" si="159"/>
        <v>0</v>
      </c>
      <c r="AC600" s="759">
        <v>0</v>
      </c>
      <c r="AD600" s="741">
        <v>0</v>
      </c>
      <c r="AE600" s="741">
        <v>0</v>
      </c>
      <c r="AF600" s="741">
        <v>0</v>
      </c>
      <c r="AG600" s="741">
        <v>0</v>
      </c>
      <c r="AH600" s="741">
        <v>0</v>
      </c>
      <c r="AI600" s="741">
        <v>0</v>
      </c>
      <c r="AJ600" s="741">
        <v>0</v>
      </c>
      <c r="AK600" s="741">
        <v>0</v>
      </c>
      <c r="AL600" s="741">
        <v>0</v>
      </c>
      <c r="AM600" s="741">
        <v>0</v>
      </c>
      <c r="AN600" s="741">
        <v>0</v>
      </c>
      <c r="AO600" s="741">
        <v>0</v>
      </c>
      <c r="AP600" s="41" t="str">
        <f t="shared" si="155"/>
        <v>GLC</v>
      </c>
      <c r="AQ600" s="41" t="str">
        <f t="shared" si="156"/>
        <v>GLCC150</v>
      </c>
      <c r="AR600" s="41" t="str">
        <f t="shared" si="157"/>
        <v>C150</v>
      </c>
    </row>
    <row r="601" spans="1:96" s="41" customFormat="1" ht="12.75" customHeight="1">
      <c r="A601" s="25" t="s">
        <v>17</v>
      </c>
      <c r="B601" s="25" t="str">
        <f t="shared" si="167"/>
        <v>GL241100</v>
      </c>
      <c r="C601" s="638">
        <v>241100</v>
      </c>
      <c r="D601" s="735"/>
      <c r="F601" s="1" t="s">
        <v>585</v>
      </c>
      <c r="H601" s="736" t="s">
        <v>2556</v>
      </c>
      <c r="I601" s="25"/>
      <c r="J601" s="25"/>
      <c r="K601" s="442" t="str">
        <f t="shared" si="166"/>
        <v/>
      </c>
      <c r="L601" s="736" t="s">
        <v>2393</v>
      </c>
      <c r="M601" s="25" t="str">
        <f t="shared" si="168"/>
        <v>A</v>
      </c>
      <c r="N601" s="25" t="str">
        <f>IF(L601&lt;&gt;"",VLOOKUP(L601,Categories!$B$2:$D$41,2,FALSE),IF(F601&lt;&gt;"","No Cat",""))</f>
        <v>All Other</v>
      </c>
      <c r="O601" s="25" t="str">
        <f>IF($L601&lt;&gt;"",VLOOKUP($L601,Categories!$B$2:$D$41,3,FALSE),IF($F601&lt;&gt;"","No Cat",""))</f>
        <v>EB-Cap</v>
      </c>
      <c r="P601" s="736" t="s">
        <v>2490</v>
      </c>
      <c r="Q601" s="25" t="str">
        <f>VLOOKUP($P601,Allocators!$B$7:$F$19,5,FALSE)</f>
        <v>Rate Base</v>
      </c>
      <c r="R601" s="737">
        <f>VLOOKUP($P601,Allocators!$B$7:$F$19,2,FALSE)</f>
        <v>0.70940000000000003</v>
      </c>
      <c r="S601" s="737">
        <f>VLOOKUP($P601,Allocators!$B$7:$F$19,3,FALSE)</f>
        <v>0.29060000000000002</v>
      </c>
      <c r="T601" s="737" t="str">
        <f t="shared" si="154"/>
        <v>0.0%</v>
      </c>
      <c r="U601" s="2" t="str">
        <f t="shared" si="160"/>
        <v/>
      </c>
      <c r="V601" s="2" t="str">
        <f t="shared" si="161"/>
        <v/>
      </c>
      <c r="W601" s="2" t="str">
        <f t="shared" si="162"/>
        <v/>
      </c>
      <c r="X601" s="2">
        <f t="shared" si="158"/>
        <v>0</v>
      </c>
      <c r="Y601" s="2" t="str">
        <f t="shared" si="163"/>
        <v/>
      </c>
      <c r="Z601" s="2" t="str">
        <f t="shared" si="164"/>
        <v/>
      </c>
      <c r="AA601" s="2" t="str">
        <f t="shared" si="165"/>
        <v/>
      </c>
      <c r="AB601" s="2">
        <f t="shared" si="159"/>
        <v>0</v>
      </c>
      <c r="AC601" s="759">
        <v>0</v>
      </c>
      <c r="AD601" s="741">
        <v>0</v>
      </c>
      <c r="AE601" s="741">
        <v>0</v>
      </c>
      <c r="AF601" s="741">
        <v>0</v>
      </c>
      <c r="AG601" s="741">
        <v>0</v>
      </c>
      <c r="AH601" s="741">
        <v>0</v>
      </c>
      <c r="AI601" s="741">
        <v>0</v>
      </c>
      <c r="AJ601" s="741">
        <v>0</v>
      </c>
      <c r="AK601" s="741">
        <v>0</v>
      </c>
      <c r="AL601" s="741">
        <v>0</v>
      </c>
      <c r="AM601" s="741">
        <v>0</v>
      </c>
      <c r="AN601" s="741">
        <v>0</v>
      </c>
      <c r="AO601" s="741">
        <v>0</v>
      </c>
      <c r="AP601" s="41" t="str">
        <f t="shared" si="155"/>
        <v>GLA</v>
      </c>
      <c r="AQ601" s="41" t="str">
        <f t="shared" si="156"/>
        <v>GLAA2Accounts Payable</v>
      </c>
      <c r="AR601" s="41" t="str">
        <f t="shared" si="157"/>
        <v>A2Accounts Payable</v>
      </c>
      <c r="CR601" s="625"/>
    </row>
    <row r="602" spans="1:96" s="41" customFormat="1" ht="12.75" customHeight="1">
      <c r="A602" s="25" t="s">
        <v>17</v>
      </c>
      <c r="B602" s="25" t="str">
        <f t="shared" si="167"/>
        <v>GL241200</v>
      </c>
      <c r="C602" s="638">
        <v>241200</v>
      </c>
      <c r="D602" s="735"/>
      <c r="F602" s="1" t="s">
        <v>586</v>
      </c>
      <c r="H602" s="736" t="s">
        <v>2556</v>
      </c>
      <c r="I602" s="25"/>
      <c r="J602" s="25"/>
      <c r="K602" s="442" t="str">
        <f t="shared" si="166"/>
        <v/>
      </c>
      <c r="L602" s="736" t="s">
        <v>2393</v>
      </c>
      <c r="M602" s="25" t="str">
        <f t="shared" si="168"/>
        <v>A</v>
      </c>
      <c r="N602" s="25" t="str">
        <f>IF(L602&lt;&gt;"",VLOOKUP(L602,Categories!$B$2:$D$41,2,FALSE),IF(F602&lt;&gt;"","No Cat",""))</f>
        <v>All Other</v>
      </c>
      <c r="O602" s="25" t="str">
        <f>IF($L602&lt;&gt;"",VLOOKUP($L602,Categories!$B$2:$D$41,3,FALSE),IF($F602&lt;&gt;"","No Cat",""))</f>
        <v>EB-Cap</v>
      </c>
      <c r="P602" s="736" t="s">
        <v>2490</v>
      </c>
      <c r="Q602" s="25" t="str">
        <f>VLOOKUP($P602,Allocators!$B$7:$F$19,5,FALSE)</f>
        <v>Rate Base</v>
      </c>
      <c r="R602" s="737">
        <f>VLOOKUP($P602,Allocators!$B$7:$F$19,2,FALSE)</f>
        <v>0.70940000000000003</v>
      </c>
      <c r="S602" s="737">
        <f>VLOOKUP($P602,Allocators!$B$7:$F$19,3,FALSE)</f>
        <v>0.29060000000000002</v>
      </c>
      <c r="T602" s="737" t="str">
        <f t="shared" si="154"/>
        <v>0.0%</v>
      </c>
      <c r="U602" s="2" t="str">
        <f t="shared" si="160"/>
        <v/>
      </c>
      <c r="V602" s="2" t="str">
        <f t="shared" si="161"/>
        <v/>
      </c>
      <c r="W602" s="2" t="str">
        <f t="shared" si="162"/>
        <v/>
      </c>
      <c r="X602" s="2">
        <f t="shared" si="158"/>
        <v>0</v>
      </c>
      <c r="Y602" s="2" t="str">
        <f t="shared" si="163"/>
        <v/>
      </c>
      <c r="Z602" s="2" t="str">
        <f t="shared" si="164"/>
        <v/>
      </c>
      <c r="AA602" s="2" t="str">
        <f t="shared" si="165"/>
        <v/>
      </c>
      <c r="AB602" s="2">
        <f t="shared" si="159"/>
        <v>0</v>
      </c>
      <c r="AC602" s="759">
        <v>0</v>
      </c>
      <c r="AD602" s="741">
        <v>0</v>
      </c>
      <c r="AE602" s="741">
        <v>0</v>
      </c>
      <c r="AF602" s="741">
        <v>0</v>
      </c>
      <c r="AG602" s="741">
        <v>0</v>
      </c>
      <c r="AH602" s="741">
        <v>0</v>
      </c>
      <c r="AI602" s="741">
        <v>0</v>
      </c>
      <c r="AJ602" s="741">
        <v>0</v>
      </c>
      <c r="AK602" s="741">
        <v>0</v>
      </c>
      <c r="AL602" s="741">
        <v>0</v>
      </c>
      <c r="AM602" s="741">
        <v>0</v>
      </c>
      <c r="AN602" s="741">
        <v>0</v>
      </c>
      <c r="AO602" s="741">
        <v>0</v>
      </c>
      <c r="AP602" s="41" t="str">
        <f t="shared" si="155"/>
        <v>GLA</v>
      </c>
      <c r="AQ602" s="41" t="str">
        <f t="shared" si="156"/>
        <v>GLAA2Accounts Payable</v>
      </c>
      <c r="AR602" s="41" t="str">
        <f t="shared" si="157"/>
        <v>A2Accounts Payable</v>
      </c>
      <c r="CR602" s="625"/>
    </row>
    <row r="603" spans="1:96" s="41" customFormat="1" ht="12.75" customHeight="1">
      <c r="A603" s="25" t="s">
        <v>17</v>
      </c>
      <c r="B603" s="25" t="str">
        <f t="shared" si="167"/>
        <v>GL241300</v>
      </c>
      <c r="C603" s="638">
        <v>241300</v>
      </c>
      <c r="D603" s="735"/>
      <c r="F603" s="1" t="s">
        <v>587</v>
      </c>
      <c r="H603" s="736" t="s">
        <v>2556</v>
      </c>
      <c r="I603" s="25"/>
      <c r="J603" s="25"/>
      <c r="K603" s="442" t="str">
        <f t="shared" si="166"/>
        <v/>
      </c>
      <c r="L603" s="736" t="s">
        <v>2393</v>
      </c>
      <c r="M603" s="25" t="str">
        <f t="shared" si="168"/>
        <v>A</v>
      </c>
      <c r="N603" s="25" t="str">
        <f>IF(L603&lt;&gt;"",VLOOKUP(L603,Categories!$B$2:$D$41,2,FALSE),IF(F603&lt;&gt;"","No Cat",""))</f>
        <v>All Other</v>
      </c>
      <c r="O603" s="25" t="str">
        <f>IF($L603&lt;&gt;"",VLOOKUP($L603,Categories!$B$2:$D$41,3,FALSE),IF($F603&lt;&gt;"","No Cat",""))</f>
        <v>EB-Cap</v>
      </c>
      <c r="P603" s="736" t="s">
        <v>2490</v>
      </c>
      <c r="Q603" s="25" t="str">
        <f>VLOOKUP($P603,Allocators!$B$7:$F$19,5,FALSE)</f>
        <v>Rate Base</v>
      </c>
      <c r="R603" s="737">
        <f>VLOOKUP($P603,Allocators!$B$7:$F$19,2,FALSE)</f>
        <v>0.70940000000000003</v>
      </c>
      <c r="S603" s="737">
        <f>VLOOKUP($P603,Allocators!$B$7:$F$19,3,FALSE)</f>
        <v>0.29060000000000002</v>
      </c>
      <c r="T603" s="737" t="str">
        <f t="shared" ref="T603:T672" si="169">IF(P603="N",1,"0.0%")</f>
        <v>0.0%</v>
      </c>
      <c r="U603" s="2" t="str">
        <f t="shared" si="160"/>
        <v/>
      </c>
      <c r="V603" s="2" t="str">
        <f t="shared" si="161"/>
        <v/>
      </c>
      <c r="W603" s="2" t="str">
        <f t="shared" si="162"/>
        <v/>
      </c>
      <c r="X603" s="2">
        <f t="shared" si="158"/>
        <v>0</v>
      </c>
      <c r="Y603" s="2" t="str">
        <f t="shared" si="163"/>
        <v/>
      </c>
      <c r="Z603" s="2" t="str">
        <f t="shared" si="164"/>
        <v/>
      </c>
      <c r="AA603" s="2" t="str">
        <f t="shared" si="165"/>
        <v/>
      </c>
      <c r="AB603" s="2">
        <f t="shared" si="159"/>
        <v>0</v>
      </c>
      <c r="AC603" s="759">
        <v>0</v>
      </c>
      <c r="AD603" s="741">
        <v>0</v>
      </c>
      <c r="AE603" s="741">
        <v>0</v>
      </c>
      <c r="AF603" s="741">
        <v>0</v>
      </c>
      <c r="AG603" s="741">
        <v>0</v>
      </c>
      <c r="AH603" s="741">
        <v>0</v>
      </c>
      <c r="AI603" s="741">
        <v>0</v>
      </c>
      <c r="AJ603" s="741">
        <v>0</v>
      </c>
      <c r="AK603" s="741">
        <v>0</v>
      </c>
      <c r="AL603" s="741">
        <v>0</v>
      </c>
      <c r="AM603" s="741">
        <v>0</v>
      </c>
      <c r="AN603" s="741">
        <v>0</v>
      </c>
      <c r="AO603" s="741">
        <v>0</v>
      </c>
      <c r="AP603" s="41" t="str">
        <f t="shared" si="155"/>
        <v>GLA</v>
      </c>
      <c r="AQ603" s="41" t="str">
        <f t="shared" si="156"/>
        <v>GLAA2Accounts Payable</v>
      </c>
      <c r="AR603" s="41" t="str">
        <f t="shared" si="157"/>
        <v>A2Accounts Payable</v>
      </c>
      <c r="CR603" s="625"/>
    </row>
    <row r="604" spans="1:96" s="41" customFormat="1" ht="12.75" customHeight="1">
      <c r="A604" s="25" t="s">
        <v>17</v>
      </c>
      <c r="B604" s="25" t="str">
        <f t="shared" si="167"/>
        <v>GL241400</v>
      </c>
      <c r="C604" s="638">
        <v>241400</v>
      </c>
      <c r="D604" s="735"/>
      <c r="F604" s="1" t="s">
        <v>588</v>
      </c>
      <c r="H604" s="736" t="s">
        <v>2556</v>
      </c>
      <c r="I604" s="25"/>
      <c r="J604" s="25"/>
      <c r="K604" s="442" t="str">
        <f t="shared" si="166"/>
        <v/>
      </c>
      <c r="L604" s="736" t="s">
        <v>2393</v>
      </c>
      <c r="M604" s="25" t="str">
        <f t="shared" si="168"/>
        <v>A</v>
      </c>
      <c r="N604" s="25" t="str">
        <f>IF(L604&lt;&gt;"",VLOOKUP(L604,Categories!$B$2:$D$41,2,FALSE),IF(F604&lt;&gt;"","No Cat",""))</f>
        <v>All Other</v>
      </c>
      <c r="O604" s="25" t="str">
        <f>IF($L604&lt;&gt;"",VLOOKUP($L604,Categories!$B$2:$D$41,3,FALSE),IF($F604&lt;&gt;"","No Cat",""))</f>
        <v>EB-Cap</v>
      </c>
      <c r="P604" s="736" t="s">
        <v>2490</v>
      </c>
      <c r="Q604" s="25" t="str">
        <f>VLOOKUP($P604,Allocators!$B$7:$F$19,5,FALSE)</f>
        <v>Rate Base</v>
      </c>
      <c r="R604" s="737">
        <f>VLOOKUP($P604,Allocators!$B$7:$F$19,2,FALSE)</f>
        <v>0.70940000000000003</v>
      </c>
      <c r="S604" s="737">
        <f>VLOOKUP($P604,Allocators!$B$7:$F$19,3,FALSE)</f>
        <v>0.29060000000000002</v>
      </c>
      <c r="T604" s="737" t="str">
        <f t="shared" si="169"/>
        <v>0.0%</v>
      </c>
      <c r="U604" s="2">
        <f t="shared" si="160"/>
        <v>47479.162776163001</v>
      </c>
      <c r="V604" s="2">
        <f t="shared" si="161"/>
        <v>19449.456868836998</v>
      </c>
      <c r="W604" s="2">
        <f t="shared" si="162"/>
        <v>0</v>
      </c>
      <c r="X604" s="2">
        <f t="shared" si="158"/>
        <v>66928.619644999999</v>
      </c>
      <c r="Y604" s="2">
        <f t="shared" si="163"/>
        <v>49940.228845227997</v>
      </c>
      <c r="Z604" s="2">
        <f t="shared" si="164"/>
        <v>20457.612774771998</v>
      </c>
      <c r="AA604" s="2">
        <f t="shared" si="165"/>
        <v>0</v>
      </c>
      <c r="AB604" s="2">
        <f t="shared" si="159"/>
        <v>70397.841620000007</v>
      </c>
      <c r="AC604" s="759">
        <v>62400.541720000001</v>
      </c>
      <c r="AD604" s="741">
        <v>63139.445229999998</v>
      </c>
      <c r="AE604" s="741">
        <v>64051.46185</v>
      </c>
      <c r="AF604" s="741">
        <v>65115.645049999999</v>
      </c>
      <c r="AG604" s="741">
        <v>66048.285170000003</v>
      </c>
      <c r="AH604" s="741">
        <v>66735.077929999999</v>
      </c>
      <c r="AI604" s="741">
        <v>67301.065000000002</v>
      </c>
      <c r="AJ604" s="741">
        <v>67840.155910000001</v>
      </c>
      <c r="AK604" s="741">
        <v>68378.842519999991</v>
      </c>
      <c r="AL604" s="741">
        <v>68871.995349999997</v>
      </c>
      <c r="AM604" s="741">
        <v>69388.074180000011</v>
      </c>
      <c r="AN604" s="741">
        <v>69874.195879999999</v>
      </c>
      <c r="AO604" s="741">
        <v>70397.841620000007</v>
      </c>
      <c r="AP604" s="41" t="str">
        <f t="shared" si="155"/>
        <v>GLA</v>
      </c>
      <c r="AQ604" s="41" t="str">
        <f t="shared" si="156"/>
        <v>GLAA2Accounts Payable</v>
      </c>
      <c r="AR604" s="41" t="str">
        <f t="shared" si="157"/>
        <v>A2Accounts Payable</v>
      </c>
      <c r="CR604" s="625"/>
    </row>
    <row r="605" spans="1:96" s="41" customFormat="1" ht="12.75" customHeight="1">
      <c r="A605" s="25" t="s">
        <v>17</v>
      </c>
      <c r="B605" s="25" t="str">
        <f t="shared" si="167"/>
        <v>GL241401</v>
      </c>
      <c r="C605" s="638">
        <v>241401</v>
      </c>
      <c r="D605" s="735"/>
      <c r="F605" s="1" t="s">
        <v>589</v>
      </c>
      <c r="H605" s="736">
        <v>0</v>
      </c>
      <c r="I605" s="25"/>
      <c r="J605" s="25"/>
      <c r="K605" s="442" t="str">
        <f t="shared" si="166"/>
        <v/>
      </c>
      <c r="L605" s="736" t="s">
        <v>2393</v>
      </c>
      <c r="M605" s="25" t="str">
        <f t="shared" si="168"/>
        <v>A</v>
      </c>
      <c r="N605" s="25" t="str">
        <f>IF(L605&lt;&gt;"",VLOOKUP(L605,Categories!$B$2:$D$41,2,FALSE),IF(F605&lt;&gt;"","No Cat",""))</f>
        <v>All Other</v>
      </c>
      <c r="O605" s="25" t="str">
        <f>IF($L605&lt;&gt;"",VLOOKUP($L605,Categories!$B$2:$D$41,3,FALSE),IF($F605&lt;&gt;"","No Cat",""))</f>
        <v>EB-Cap</v>
      </c>
      <c r="P605" s="736" t="s">
        <v>2490</v>
      </c>
      <c r="Q605" s="25" t="str">
        <f>VLOOKUP($P605,Allocators!$B$7:$F$19,5,FALSE)</f>
        <v>Rate Base</v>
      </c>
      <c r="R605" s="737">
        <f>VLOOKUP($P605,Allocators!$B$7:$F$19,2,FALSE)</f>
        <v>0.70940000000000003</v>
      </c>
      <c r="S605" s="737">
        <f>VLOOKUP($P605,Allocators!$B$7:$F$19,3,FALSE)</f>
        <v>0.29060000000000002</v>
      </c>
      <c r="T605" s="737" t="str">
        <f t="shared" si="169"/>
        <v>0.0%</v>
      </c>
      <c r="U605" s="2" t="str">
        <f t="shared" si="160"/>
        <v/>
      </c>
      <c r="V605" s="2" t="str">
        <f t="shared" si="161"/>
        <v/>
      </c>
      <c r="W605" s="2" t="str">
        <f t="shared" si="162"/>
        <v/>
      </c>
      <c r="X605" s="2">
        <f t="shared" si="158"/>
        <v>0</v>
      </c>
      <c r="Y605" s="2" t="str">
        <f t="shared" si="163"/>
        <v/>
      </c>
      <c r="Z605" s="2" t="str">
        <f t="shared" si="164"/>
        <v/>
      </c>
      <c r="AA605" s="2" t="str">
        <f t="shared" si="165"/>
        <v/>
      </c>
      <c r="AB605" s="2">
        <f t="shared" si="159"/>
        <v>0</v>
      </c>
      <c r="AC605" s="759">
        <v>0</v>
      </c>
      <c r="AD605" s="741">
        <v>0</v>
      </c>
      <c r="AE605" s="741">
        <v>0</v>
      </c>
      <c r="AF605" s="741">
        <v>0</v>
      </c>
      <c r="AG605" s="741">
        <v>0</v>
      </c>
      <c r="AH605" s="741">
        <v>0</v>
      </c>
      <c r="AI605" s="741">
        <v>0</v>
      </c>
      <c r="AJ605" s="741">
        <v>0</v>
      </c>
      <c r="AK605" s="741">
        <v>0</v>
      </c>
      <c r="AL605" s="741">
        <v>0</v>
      </c>
      <c r="AM605" s="741">
        <v>0</v>
      </c>
      <c r="AN605" s="741">
        <v>0</v>
      </c>
      <c r="AO605" s="741">
        <v>0</v>
      </c>
      <c r="AP605" s="41" t="str">
        <f t="shared" si="155"/>
        <v>GLA</v>
      </c>
      <c r="AQ605" s="41" t="str">
        <f t="shared" si="156"/>
        <v>GLAA20</v>
      </c>
      <c r="AR605" s="41" t="str">
        <f t="shared" si="157"/>
        <v>A20</v>
      </c>
      <c r="CR605" s="625"/>
    </row>
    <row r="606" spans="1:96" s="41" customFormat="1" ht="12.75" customHeight="1">
      <c r="A606" s="25" t="s">
        <v>17</v>
      </c>
      <c r="B606" s="25" t="str">
        <f t="shared" si="167"/>
        <v>GL241410</v>
      </c>
      <c r="C606" s="638">
        <v>241410</v>
      </c>
      <c r="D606" s="735"/>
      <c r="F606" s="1" t="s">
        <v>590</v>
      </c>
      <c r="H606" s="736" t="s">
        <v>2556</v>
      </c>
      <c r="I606" s="25"/>
      <c r="J606" s="25"/>
      <c r="K606" s="442" t="str">
        <f t="shared" si="166"/>
        <v/>
      </c>
      <c r="L606" s="736" t="s">
        <v>2393</v>
      </c>
      <c r="M606" s="25" t="str">
        <f t="shared" si="168"/>
        <v>A</v>
      </c>
      <c r="N606" s="25" t="str">
        <f>IF(L606&lt;&gt;"",VLOOKUP(L606,Categories!$B$2:$D$41,2,FALSE),IF(F606&lt;&gt;"","No Cat",""))</f>
        <v>All Other</v>
      </c>
      <c r="O606" s="25" t="str">
        <f>IF($L606&lt;&gt;"",VLOOKUP($L606,Categories!$B$2:$D$41,3,FALSE),IF($F606&lt;&gt;"","No Cat",""))</f>
        <v>EB-Cap</v>
      </c>
      <c r="P606" s="736" t="s">
        <v>2490</v>
      </c>
      <c r="Q606" s="25" t="str">
        <f>VLOOKUP($P606,Allocators!$B$7:$F$19,5,FALSE)</f>
        <v>Rate Base</v>
      </c>
      <c r="R606" s="737">
        <f>VLOOKUP($P606,Allocators!$B$7:$F$19,2,FALSE)</f>
        <v>0.70940000000000003</v>
      </c>
      <c r="S606" s="737">
        <f>VLOOKUP($P606,Allocators!$B$7:$F$19,3,FALSE)</f>
        <v>0.29060000000000002</v>
      </c>
      <c r="T606" s="737" t="str">
        <f t="shared" si="169"/>
        <v>0.0%</v>
      </c>
      <c r="U606" s="2">
        <f t="shared" si="160"/>
        <v>-47478.853794037102</v>
      </c>
      <c r="V606" s="2">
        <f t="shared" si="161"/>
        <v>-19449.330296796201</v>
      </c>
      <c r="W606" s="2">
        <f t="shared" si="162"/>
        <v>0</v>
      </c>
      <c r="X606" s="2">
        <f t="shared" si="158"/>
        <v>-66928.184090833296</v>
      </c>
      <c r="Y606" s="2">
        <f t="shared" si="163"/>
        <v>-49900.811935165999</v>
      </c>
      <c r="Z606" s="2">
        <f t="shared" si="164"/>
        <v>-20441.465954833999</v>
      </c>
      <c r="AA606" s="2">
        <f t="shared" si="165"/>
        <v>0</v>
      </c>
      <c r="AB606" s="2">
        <f t="shared" si="159"/>
        <v>-70342.277889999998</v>
      </c>
      <c r="AC606" s="759">
        <v>-62475.405469999998</v>
      </c>
      <c r="AD606" s="741">
        <v>-63396.320950000001</v>
      </c>
      <c r="AE606" s="741">
        <v>-64460.48386</v>
      </c>
      <c r="AF606" s="741">
        <v>-65388.78542</v>
      </c>
      <c r="AG606" s="741">
        <v>-66074.247350000005</v>
      </c>
      <c r="AH606" s="741">
        <v>-66633.349220000004</v>
      </c>
      <c r="AI606" s="741">
        <v>-67176.015109999993</v>
      </c>
      <c r="AJ606" s="741">
        <v>-67717.179999999993</v>
      </c>
      <c r="AK606" s="741">
        <v>-68212.761209999997</v>
      </c>
      <c r="AL606" s="741">
        <v>-68727.324159999989</v>
      </c>
      <c r="AM606" s="741">
        <v>-69211.713640000002</v>
      </c>
      <c r="AN606" s="741">
        <v>-69731.186489999993</v>
      </c>
      <c r="AO606" s="741">
        <v>-70342.277889999998</v>
      </c>
      <c r="AP606" s="41" t="str">
        <f t="shared" si="155"/>
        <v>GLA</v>
      </c>
      <c r="AQ606" s="41" t="str">
        <f t="shared" si="156"/>
        <v>GLAA2Accounts Payable</v>
      </c>
      <c r="AR606" s="41" t="str">
        <f t="shared" si="157"/>
        <v>A2Accounts Payable</v>
      </c>
      <c r="CR606" s="625"/>
    </row>
    <row r="607" spans="1:96" s="41" customFormat="1" ht="12.75" customHeight="1">
      <c r="A607" s="25" t="s">
        <v>17</v>
      </c>
      <c r="B607" s="25" t="str">
        <f t="shared" si="167"/>
        <v>GL241500</v>
      </c>
      <c r="C607" s="638">
        <v>241500</v>
      </c>
      <c r="D607" s="735"/>
      <c r="F607" s="1" t="s">
        <v>591</v>
      </c>
      <c r="H607" s="736" t="s">
        <v>2556</v>
      </c>
      <c r="I607" s="25"/>
      <c r="J607" s="25"/>
      <c r="K607" s="442" t="str">
        <f t="shared" si="166"/>
        <v/>
      </c>
      <c r="L607" s="736" t="s">
        <v>2393</v>
      </c>
      <c r="M607" s="25" t="str">
        <f t="shared" si="168"/>
        <v>A</v>
      </c>
      <c r="N607" s="25" t="str">
        <f>IF(L607&lt;&gt;"",VLOOKUP(L607,Categories!$B$2:$D$41,2,FALSE),IF(F607&lt;&gt;"","No Cat",""))</f>
        <v>All Other</v>
      </c>
      <c r="O607" s="25" t="str">
        <f>IF($L607&lt;&gt;"",VLOOKUP($L607,Categories!$B$2:$D$41,3,FALSE),IF($F607&lt;&gt;"","No Cat",""))</f>
        <v>EB-Cap</v>
      </c>
      <c r="P607" s="736" t="s">
        <v>2490</v>
      </c>
      <c r="Q607" s="25" t="str">
        <f>VLOOKUP($P607,Allocators!$B$7:$F$19,5,FALSE)</f>
        <v>Rate Base</v>
      </c>
      <c r="R607" s="737">
        <f>VLOOKUP($P607,Allocators!$B$7:$F$19,2,FALSE)</f>
        <v>0.70940000000000003</v>
      </c>
      <c r="S607" s="737">
        <f>VLOOKUP($P607,Allocators!$B$7:$F$19,3,FALSE)</f>
        <v>0.29060000000000002</v>
      </c>
      <c r="T607" s="737" t="str">
        <f t="shared" si="169"/>
        <v>0.0%</v>
      </c>
      <c r="U607" s="2" t="str">
        <f t="shared" si="160"/>
        <v/>
      </c>
      <c r="V607" s="2" t="str">
        <f t="shared" si="161"/>
        <v/>
      </c>
      <c r="W607" s="2" t="str">
        <f t="shared" si="162"/>
        <v/>
      </c>
      <c r="X607" s="2">
        <f t="shared" si="158"/>
        <v>0</v>
      </c>
      <c r="Y607" s="2" t="str">
        <f t="shared" si="163"/>
        <v/>
      </c>
      <c r="Z607" s="2" t="str">
        <f t="shared" si="164"/>
        <v/>
      </c>
      <c r="AA607" s="2" t="str">
        <f t="shared" si="165"/>
        <v/>
      </c>
      <c r="AB607" s="2">
        <f t="shared" si="159"/>
        <v>0</v>
      </c>
      <c r="AC607" s="759">
        <v>0</v>
      </c>
      <c r="AD607" s="741">
        <v>0</v>
      </c>
      <c r="AE607" s="741">
        <v>0</v>
      </c>
      <c r="AF607" s="741">
        <v>0</v>
      </c>
      <c r="AG607" s="741">
        <v>0</v>
      </c>
      <c r="AH607" s="741">
        <v>0</v>
      </c>
      <c r="AI607" s="741">
        <v>0</v>
      </c>
      <c r="AJ607" s="741">
        <v>0</v>
      </c>
      <c r="AK607" s="741">
        <v>0</v>
      </c>
      <c r="AL607" s="741">
        <v>0</v>
      </c>
      <c r="AM607" s="741">
        <v>0</v>
      </c>
      <c r="AN607" s="741">
        <v>0</v>
      </c>
      <c r="AO607" s="741">
        <v>0</v>
      </c>
      <c r="AP607" s="41" t="str">
        <f t="shared" si="155"/>
        <v>GLA</v>
      </c>
      <c r="AQ607" s="41" t="str">
        <f t="shared" si="156"/>
        <v>GLAA2Accounts Payable</v>
      </c>
      <c r="AR607" s="41" t="str">
        <f t="shared" si="157"/>
        <v>A2Accounts Payable</v>
      </c>
      <c r="CR607" s="625"/>
    </row>
    <row r="608" spans="1:96" s="41" customFormat="1" ht="12.75" customHeight="1">
      <c r="A608" s="25" t="s">
        <v>17</v>
      </c>
      <c r="B608" s="25" t="str">
        <f t="shared" si="167"/>
        <v>GL241700</v>
      </c>
      <c r="C608" s="638">
        <v>241700</v>
      </c>
      <c r="D608" s="735"/>
      <c r="F608" s="1" t="s">
        <v>592</v>
      </c>
      <c r="H608" s="736" t="s">
        <v>2556</v>
      </c>
      <c r="I608" s="25"/>
      <c r="J608" s="25"/>
      <c r="K608" s="442" t="str">
        <f t="shared" si="166"/>
        <v/>
      </c>
      <c r="L608" s="736" t="s">
        <v>2393</v>
      </c>
      <c r="M608" s="25" t="str">
        <f t="shared" si="168"/>
        <v>A</v>
      </c>
      <c r="N608" s="25" t="str">
        <f>IF(L608&lt;&gt;"",VLOOKUP(L608,Categories!$B$2:$D$41,2,FALSE),IF(F608&lt;&gt;"","No Cat",""))</f>
        <v>All Other</v>
      </c>
      <c r="O608" s="25" t="str">
        <f>IF($L608&lt;&gt;"",VLOOKUP($L608,Categories!$B$2:$D$41,3,FALSE),IF($F608&lt;&gt;"","No Cat",""))</f>
        <v>EB-Cap</v>
      </c>
      <c r="P608" s="736" t="s">
        <v>2490</v>
      </c>
      <c r="Q608" s="25" t="str">
        <f>VLOOKUP($P608,Allocators!$B$7:$F$19,5,FALSE)</f>
        <v>Rate Base</v>
      </c>
      <c r="R608" s="737">
        <f>VLOOKUP($P608,Allocators!$B$7:$F$19,2,FALSE)</f>
        <v>0.70940000000000003</v>
      </c>
      <c r="S608" s="737">
        <f>VLOOKUP($P608,Allocators!$B$7:$F$19,3,FALSE)</f>
        <v>0.29060000000000002</v>
      </c>
      <c r="T608" s="737" t="str">
        <f t="shared" si="169"/>
        <v>0.0%</v>
      </c>
      <c r="U608" s="2" t="str">
        <f t="shared" si="160"/>
        <v/>
      </c>
      <c r="V608" s="2" t="str">
        <f t="shared" si="161"/>
        <v/>
      </c>
      <c r="W608" s="2" t="str">
        <f t="shared" si="162"/>
        <v/>
      </c>
      <c r="X608" s="2">
        <f t="shared" si="158"/>
        <v>0</v>
      </c>
      <c r="Y608" s="2" t="str">
        <f t="shared" si="163"/>
        <v/>
      </c>
      <c r="Z608" s="2" t="str">
        <f t="shared" si="164"/>
        <v/>
      </c>
      <c r="AA608" s="2" t="str">
        <f t="shared" si="165"/>
        <v/>
      </c>
      <c r="AB608" s="2">
        <f t="shared" si="159"/>
        <v>0</v>
      </c>
      <c r="AC608" s="759">
        <v>0</v>
      </c>
      <c r="AD608" s="741">
        <v>0</v>
      </c>
      <c r="AE608" s="741">
        <v>0</v>
      </c>
      <c r="AF608" s="741">
        <v>0</v>
      </c>
      <c r="AG608" s="741">
        <v>0</v>
      </c>
      <c r="AH608" s="741">
        <v>0</v>
      </c>
      <c r="AI608" s="741">
        <v>0</v>
      </c>
      <c r="AJ608" s="741">
        <v>0</v>
      </c>
      <c r="AK608" s="741">
        <v>0</v>
      </c>
      <c r="AL608" s="741">
        <v>0</v>
      </c>
      <c r="AM608" s="741">
        <v>0</v>
      </c>
      <c r="AN608" s="741">
        <v>0</v>
      </c>
      <c r="AO608" s="741">
        <v>0</v>
      </c>
      <c r="AP608" s="41" t="str">
        <f t="shared" si="155"/>
        <v>GLA</v>
      </c>
      <c r="AQ608" s="41" t="str">
        <f t="shared" si="156"/>
        <v>GLAA2Accounts Payable</v>
      </c>
      <c r="AR608" s="41" t="str">
        <f t="shared" si="157"/>
        <v>A2Accounts Payable</v>
      </c>
      <c r="CR608" s="625"/>
    </row>
    <row r="609" spans="1:96" s="41" customFormat="1" ht="12.75" customHeight="1">
      <c r="A609" s="25" t="s">
        <v>17</v>
      </c>
      <c r="B609" s="25" t="str">
        <f t="shared" ref="B609" si="170">CONCATENATE(A609,C609,D609,E609)</f>
        <v>GL241950</v>
      </c>
      <c r="C609" s="638">
        <v>241950</v>
      </c>
      <c r="D609" s="735"/>
      <c r="F609" s="1" t="s">
        <v>4442</v>
      </c>
      <c r="H609" s="736" t="s">
        <v>2556</v>
      </c>
      <c r="I609" s="25"/>
      <c r="J609" s="25"/>
      <c r="K609" s="442"/>
      <c r="L609" s="736" t="s">
        <v>2393</v>
      </c>
      <c r="M609" s="25" t="str">
        <f t="shared" ref="M609" si="171">LEFT(L609,1)</f>
        <v>A</v>
      </c>
      <c r="N609" s="25" t="str">
        <f>IF(L609&lt;&gt;"",VLOOKUP(L609,Categories!$B$2:$D$41,2,FALSE),IF(F609&lt;&gt;"","No Cat",""))</f>
        <v>All Other</v>
      </c>
      <c r="O609" s="25" t="str">
        <f>IF($L609&lt;&gt;"",VLOOKUP($L609,Categories!$B$2:$D$41,3,FALSE),IF($F609&lt;&gt;"","No Cat",""))</f>
        <v>EB-Cap</v>
      </c>
      <c r="P609" s="736" t="s">
        <v>2490</v>
      </c>
      <c r="Q609" s="25" t="str">
        <f>VLOOKUP($P609,Allocators!$B$7:$F$19,5,FALSE)</f>
        <v>Rate Base</v>
      </c>
      <c r="R609" s="737">
        <f>VLOOKUP($P609,Allocators!$B$7:$F$19,2,FALSE)</f>
        <v>0.70940000000000003</v>
      </c>
      <c r="S609" s="737">
        <f>VLOOKUP($P609,Allocators!$B$7:$F$19,3,FALSE)</f>
        <v>0.29060000000000002</v>
      </c>
      <c r="T609" s="737" t="str">
        <f t="shared" ref="T609" si="172">IF(P609="N",1,"0.0%")</f>
        <v>0.0%</v>
      </c>
      <c r="U609" s="2">
        <f t="shared" si="160"/>
        <v>-1.1357304826666601</v>
      </c>
      <c r="V609" s="2">
        <f t="shared" si="161"/>
        <v>-0.46524285066666599</v>
      </c>
      <c r="W609" s="2">
        <f t="shared" si="162"/>
        <v>0</v>
      </c>
      <c r="X609" s="2">
        <f t="shared" si="158"/>
        <v>-1.60097333333333</v>
      </c>
      <c r="Y609" s="2" t="str">
        <f t="shared" si="163"/>
        <v/>
      </c>
      <c r="Z609" s="2" t="str">
        <f t="shared" si="164"/>
        <v/>
      </c>
      <c r="AA609" s="2" t="str">
        <f t="shared" si="165"/>
        <v/>
      </c>
      <c r="AB609" s="2">
        <f t="shared" si="159"/>
        <v>0</v>
      </c>
      <c r="AC609" s="759"/>
      <c r="AD609" s="741"/>
      <c r="AE609" s="741"/>
      <c r="AF609" s="741"/>
      <c r="AG609" s="741"/>
      <c r="AH609" s="741"/>
      <c r="AI609" s="741">
        <v>-0.47336</v>
      </c>
      <c r="AJ609" s="741">
        <v>-1.42008</v>
      </c>
      <c r="AK609" s="741">
        <v>-2.8574899999999999</v>
      </c>
      <c r="AL609" s="741">
        <v>-3.83887</v>
      </c>
      <c r="AM609" s="741">
        <v>-4.8202499999999997</v>
      </c>
      <c r="AN609" s="741">
        <v>-5.8016300000000003</v>
      </c>
      <c r="AO609" s="741">
        <v>0</v>
      </c>
      <c r="AP609" s="41" t="str">
        <f t="shared" si="155"/>
        <v>GLA</v>
      </c>
      <c r="AQ609" s="41" t="str">
        <f t="shared" si="156"/>
        <v>GLAA2Accounts Payable</v>
      </c>
      <c r="AR609" s="41" t="str">
        <f t="shared" si="157"/>
        <v>A2Accounts Payable</v>
      </c>
      <c r="CR609" s="625"/>
    </row>
    <row r="610" spans="1:96" s="41" customFormat="1" ht="12.75" customHeight="1">
      <c r="A610" s="25" t="s">
        <v>17</v>
      </c>
      <c r="B610" s="25" t="str">
        <f t="shared" si="167"/>
        <v>GL242010</v>
      </c>
      <c r="C610" s="638">
        <v>242010</v>
      </c>
      <c r="D610" s="735"/>
      <c r="F610" s="1" t="s">
        <v>593</v>
      </c>
      <c r="H610" s="736">
        <v>0</v>
      </c>
      <c r="I610" s="25"/>
      <c r="J610" s="25"/>
      <c r="K610" s="442" t="str">
        <f t="shared" si="166"/>
        <v/>
      </c>
      <c r="L610" s="736" t="s">
        <v>2393</v>
      </c>
      <c r="M610" s="25" t="str">
        <f t="shared" si="168"/>
        <v>A</v>
      </c>
      <c r="N610" s="25" t="str">
        <f>IF(L610&lt;&gt;"",VLOOKUP(L610,Categories!$B$2:$D$41,2,FALSE),IF(F610&lt;&gt;"","No Cat",""))</f>
        <v>All Other</v>
      </c>
      <c r="O610" s="25" t="str">
        <f>IF($L610&lt;&gt;"",VLOOKUP($L610,Categories!$B$2:$D$41,3,FALSE),IF($F610&lt;&gt;"","No Cat",""))</f>
        <v>EB-Cap</v>
      </c>
      <c r="P610" s="736" t="s">
        <v>2490</v>
      </c>
      <c r="Q610" s="25" t="str">
        <f>VLOOKUP($P610,Allocators!$B$7:$F$19,5,FALSE)</f>
        <v>Rate Base</v>
      </c>
      <c r="R610" s="737">
        <f>VLOOKUP($P610,Allocators!$B$7:$F$19,2,FALSE)</f>
        <v>0.70940000000000003</v>
      </c>
      <c r="S610" s="737">
        <f>VLOOKUP($P610,Allocators!$B$7:$F$19,3,FALSE)</f>
        <v>0.29060000000000002</v>
      </c>
      <c r="T610" s="737" t="str">
        <f t="shared" si="169"/>
        <v>0.0%</v>
      </c>
      <c r="U610" s="2" t="str">
        <f t="shared" si="160"/>
        <v/>
      </c>
      <c r="V610" s="2" t="str">
        <f t="shared" si="161"/>
        <v/>
      </c>
      <c r="W610" s="2" t="str">
        <f t="shared" si="162"/>
        <v/>
      </c>
      <c r="X610" s="2">
        <f t="shared" si="158"/>
        <v>0</v>
      </c>
      <c r="Y610" s="2" t="str">
        <f t="shared" si="163"/>
        <v/>
      </c>
      <c r="Z610" s="2" t="str">
        <f t="shared" si="164"/>
        <v/>
      </c>
      <c r="AA610" s="2" t="str">
        <f t="shared" si="165"/>
        <v/>
      </c>
      <c r="AB610" s="2">
        <f t="shared" si="159"/>
        <v>0</v>
      </c>
      <c r="AC610" s="759">
        <v>0</v>
      </c>
      <c r="AD610" s="741">
        <v>0</v>
      </c>
      <c r="AE610" s="741">
        <v>0</v>
      </c>
      <c r="AF610" s="741">
        <v>0</v>
      </c>
      <c r="AG610" s="741">
        <v>0</v>
      </c>
      <c r="AH610" s="741">
        <v>0</v>
      </c>
      <c r="AI610" s="741">
        <v>0</v>
      </c>
      <c r="AJ610" s="741">
        <v>0</v>
      </c>
      <c r="AK610" s="741">
        <v>0</v>
      </c>
      <c r="AL610" s="741">
        <v>0</v>
      </c>
      <c r="AM610" s="741">
        <v>0</v>
      </c>
      <c r="AN610" s="741">
        <v>0</v>
      </c>
      <c r="AO610" s="741">
        <v>0</v>
      </c>
      <c r="AP610" s="41" t="str">
        <f t="shared" si="155"/>
        <v>GLA</v>
      </c>
      <c r="AQ610" s="41" t="str">
        <f t="shared" si="156"/>
        <v>GLAA20</v>
      </c>
      <c r="AR610" s="41" t="str">
        <f t="shared" si="157"/>
        <v>A20</v>
      </c>
      <c r="CR610" s="625"/>
    </row>
    <row r="611" spans="1:96" s="41" customFormat="1" ht="12.75" customHeight="1">
      <c r="A611" s="25" t="s">
        <v>17</v>
      </c>
      <c r="B611" s="25" t="str">
        <f t="shared" si="167"/>
        <v>GL242011</v>
      </c>
      <c r="C611" s="638">
        <v>242011</v>
      </c>
      <c r="D611" s="735"/>
      <c r="F611" s="1" t="s">
        <v>594</v>
      </c>
      <c r="H611" s="736">
        <v>0</v>
      </c>
      <c r="I611" s="25"/>
      <c r="J611" s="25"/>
      <c r="K611" s="442" t="str">
        <f t="shared" si="166"/>
        <v/>
      </c>
      <c r="L611" s="736" t="s">
        <v>2393</v>
      </c>
      <c r="M611" s="25" t="str">
        <f t="shared" si="168"/>
        <v>A</v>
      </c>
      <c r="N611" s="25" t="str">
        <f>IF(L611&lt;&gt;"",VLOOKUP(L611,Categories!$B$2:$D$41,2,FALSE),IF(F611&lt;&gt;"","No Cat",""))</f>
        <v>All Other</v>
      </c>
      <c r="O611" s="25" t="str">
        <f>IF($L611&lt;&gt;"",VLOOKUP($L611,Categories!$B$2:$D$41,3,FALSE),IF($F611&lt;&gt;"","No Cat",""))</f>
        <v>EB-Cap</v>
      </c>
      <c r="P611" s="736" t="s">
        <v>2490</v>
      </c>
      <c r="Q611" s="25" t="str">
        <f>VLOOKUP($P611,Allocators!$B$7:$F$19,5,FALSE)</f>
        <v>Rate Base</v>
      </c>
      <c r="R611" s="737">
        <f>VLOOKUP($P611,Allocators!$B$7:$F$19,2,FALSE)</f>
        <v>0.70940000000000003</v>
      </c>
      <c r="S611" s="737">
        <f>VLOOKUP($P611,Allocators!$B$7:$F$19,3,FALSE)</f>
        <v>0.29060000000000002</v>
      </c>
      <c r="T611" s="737" t="str">
        <f t="shared" si="169"/>
        <v>0.0%</v>
      </c>
      <c r="U611" s="2" t="str">
        <f t="shared" si="160"/>
        <v/>
      </c>
      <c r="V611" s="2" t="str">
        <f t="shared" si="161"/>
        <v/>
      </c>
      <c r="W611" s="2" t="str">
        <f t="shared" si="162"/>
        <v/>
      </c>
      <c r="X611" s="2">
        <f t="shared" si="158"/>
        <v>0</v>
      </c>
      <c r="Y611" s="2" t="str">
        <f t="shared" si="163"/>
        <v/>
      </c>
      <c r="Z611" s="2" t="str">
        <f t="shared" si="164"/>
        <v/>
      </c>
      <c r="AA611" s="2" t="str">
        <f t="shared" si="165"/>
        <v/>
      </c>
      <c r="AB611" s="2">
        <f t="shared" si="159"/>
        <v>0</v>
      </c>
      <c r="AC611" s="759">
        <v>0</v>
      </c>
      <c r="AD611" s="741">
        <v>0</v>
      </c>
      <c r="AE611" s="741">
        <v>0</v>
      </c>
      <c r="AF611" s="741">
        <v>0</v>
      </c>
      <c r="AG611" s="741">
        <v>0</v>
      </c>
      <c r="AH611" s="741">
        <v>0</v>
      </c>
      <c r="AI611" s="741">
        <v>0</v>
      </c>
      <c r="AJ611" s="741">
        <v>0</v>
      </c>
      <c r="AK611" s="741">
        <v>0</v>
      </c>
      <c r="AL611" s="741">
        <v>0</v>
      </c>
      <c r="AM611" s="741">
        <v>0</v>
      </c>
      <c r="AN611" s="741">
        <v>0</v>
      </c>
      <c r="AO611" s="741">
        <v>0</v>
      </c>
      <c r="AP611" s="41" t="str">
        <f t="shared" si="155"/>
        <v>GLA</v>
      </c>
      <c r="AQ611" s="41" t="str">
        <f t="shared" si="156"/>
        <v>GLAA20</v>
      </c>
      <c r="AR611" s="41" t="str">
        <f t="shared" si="157"/>
        <v>A20</v>
      </c>
      <c r="CR611" s="625"/>
    </row>
    <row r="612" spans="1:96" s="41" customFormat="1" ht="12.75" customHeight="1">
      <c r="A612" s="25" t="s">
        <v>17</v>
      </c>
      <c r="B612" s="25" t="str">
        <f t="shared" si="167"/>
        <v>GL242020</v>
      </c>
      <c r="C612" s="638">
        <v>242020</v>
      </c>
      <c r="D612" s="735"/>
      <c r="F612" s="1" t="s">
        <v>595</v>
      </c>
      <c r="H612" s="736" t="s">
        <v>2700</v>
      </c>
      <c r="I612" s="25"/>
      <c r="J612" s="25"/>
      <c r="K612" s="442" t="str">
        <f t="shared" si="166"/>
        <v/>
      </c>
      <c r="L612" s="736" t="s">
        <v>2436</v>
      </c>
      <c r="M612" s="25" t="str">
        <f t="shared" si="168"/>
        <v>N</v>
      </c>
      <c r="N612" s="25" t="str">
        <f>IF(L612&lt;&gt;"",VLOOKUP(L612,Categories!$B$2:$D$41,2,FALSE),IF(F612&lt;&gt;"","No Cat",""))</f>
        <v>NRBASE</v>
      </c>
      <c r="O612" s="25" t="str">
        <f>IF($L612&lt;&gt;"",VLOOKUP($L612,Categories!$B$2:$D$41,3,FALSE),IF($F612&lt;&gt;"","No Cat",""))</f>
        <v>Deferrals Accruing Non-Cash Return   (other than ASGA)</v>
      </c>
      <c r="P612" s="736" t="s">
        <v>2468</v>
      </c>
      <c r="Q612" s="25" t="str">
        <f>VLOOKUP($P612,Allocators!$B$7:$F$19,5,FALSE)</f>
        <v>Not in Rate Base</v>
      </c>
      <c r="R612" s="737">
        <f>VLOOKUP($P612,Allocators!$B$7:$F$19,2,FALSE)</f>
        <v>0</v>
      </c>
      <c r="S612" s="737">
        <f>VLOOKUP($P612,Allocators!$B$7:$F$19,3,FALSE)</f>
        <v>0</v>
      </c>
      <c r="T612" s="737">
        <f t="shared" si="169"/>
        <v>1</v>
      </c>
      <c r="U612" s="2">
        <f t="shared" si="160"/>
        <v>0</v>
      </c>
      <c r="V612" s="2">
        <f t="shared" si="161"/>
        <v>0</v>
      </c>
      <c r="W612" s="2">
        <f t="shared" si="162"/>
        <v>-381.56023166666699</v>
      </c>
      <c r="X612" s="2">
        <f t="shared" si="158"/>
        <v>-381.56023166666699</v>
      </c>
      <c r="Y612" s="2" t="str">
        <f t="shared" si="163"/>
        <v/>
      </c>
      <c r="Z612" s="2" t="str">
        <f t="shared" si="164"/>
        <v/>
      </c>
      <c r="AA612" s="2" t="str">
        <f t="shared" si="165"/>
        <v/>
      </c>
      <c r="AB612" s="2">
        <f t="shared" si="159"/>
        <v>0</v>
      </c>
      <c r="AC612" s="759">
        <v>-740.73299999999995</v>
      </c>
      <c r="AD612" s="741">
        <v>-359.27037999999999</v>
      </c>
      <c r="AE612" s="741">
        <v>-636.9796</v>
      </c>
      <c r="AF612" s="741">
        <v>-108.51183999999999</v>
      </c>
      <c r="AG612" s="741">
        <v>-366.26646999999997</v>
      </c>
      <c r="AH612" s="741">
        <v>-639.97811999999999</v>
      </c>
      <c r="AI612" s="741">
        <v>-113.60189</v>
      </c>
      <c r="AJ612" s="741">
        <v>-426.43945000000002</v>
      </c>
      <c r="AK612" s="741">
        <v>-732.98325999999997</v>
      </c>
      <c r="AL612" s="741">
        <v>-1.0000000000000001E-5</v>
      </c>
      <c r="AM612" s="741">
        <v>-274.77509000000003</v>
      </c>
      <c r="AN612" s="741">
        <v>-549.55017000000009</v>
      </c>
      <c r="AO612" s="741">
        <v>0</v>
      </c>
      <c r="AP612" s="41" t="str">
        <f t="shared" si="155"/>
        <v>GLN</v>
      </c>
      <c r="AQ612" s="41" t="str">
        <f t="shared" si="156"/>
        <v>GLNN10System Benefits Charge</v>
      </c>
      <c r="AR612" s="41" t="str">
        <f t="shared" si="157"/>
        <v>N10System Benefits Charge</v>
      </c>
      <c r="CR612" s="625"/>
    </row>
    <row r="613" spans="1:96" s="41" customFormat="1" ht="12.75" customHeight="1">
      <c r="A613" s="25" t="s">
        <v>17</v>
      </c>
      <c r="B613" s="25" t="str">
        <f t="shared" si="167"/>
        <v>GL242021</v>
      </c>
      <c r="C613" s="638">
        <v>242021</v>
      </c>
      <c r="D613" s="735"/>
      <c r="F613" s="1" t="s">
        <v>596</v>
      </c>
      <c r="H613" s="736" t="s">
        <v>2699</v>
      </c>
      <c r="I613" s="25"/>
      <c r="J613" s="25"/>
      <c r="K613" s="442" t="str">
        <f t="shared" si="166"/>
        <v/>
      </c>
      <c r="L613" s="736" t="s">
        <v>2393</v>
      </c>
      <c r="M613" s="25" t="str">
        <f t="shared" si="168"/>
        <v>A</v>
      </c>
      <c r="N613" s="25" t="str">
        <f>IF(L613&lt;&gt;"",VLOOKUP(L613,Categories!$B$2:$D$41,2,FALSE),IF(F613&lt;&gt;"","No Cat",""))</f>
        <v>All Other</v>
      </c>
      <c r="O613" s="25" t="str">
        <f>IF($L613&lt;&gt;"",VLOOKUP($L613,Categories!$B$2:$D$41,3,FALSE),IF($F613&lt;&gt;"","No Cat",""))</f>
        <v>EB-Cap</v>
      </c>
      <c r="P613" s="736" t="s">
        <v>2490</v>
      </c>
      <c r="Q613" s="25" t="str">
        <f>VLOOKUP($P613,Allocators!$B$7:$F$19,5,FALSE)</f>
        <v>Rate Base</v>
      </c>
      <c r="R613" s="737">
        <f>VLOOKUP($P613,Allocators!$B$7:$F$19,2,FALSE)</f>
        <v>0.70940000000000003</v>
      </c>
      <c r="S613" s="737">
        <f>VLOOKUP($P613,Allocators!$B$7:$F$19,3,FALSE)</f>
        <v>0.29060000000000002</v>
      </c>
      <c r="T613" s="737" t="str">
        <f t="shared" si="169"/>
        <v>0.0%</v>
      </c>
      <c r="U613" s="2">
        <f t="shared" si="160"/>
        <v>-2317.6936587651599</v>
      </c>
      <c r="V613" s="2">
        <f t="shared" si="161"/>
        <v>-949.42455206816601</v>
      </c>
      <c r="W613" s="2">
        <f t="shared" si="162"/>
        <v>0</v>
      </c>
      <c r="X613" s="2">
        <f t="shared" si="158"/>
        <v>-3267.1182108333301</v>
      </c>
      <c r="Y613" s="2">
        <f t="shared" si="163"/>
        <v>-3984.7877656000001</v>
      </c>
      <c r="Z613" s="2">
        <f t="shared" si="164"/>
        <v>-1632.3362344</v>
      </c>
      <c r="AA613" s="2">
        <f t="shared" si="165"/>
        <v>0</v>
      </c>
      <c r="AB613" s="2">
        <f t="shared" si="159"/>
        <v>-5617.1239999999998</v>
      </c>
      <c r="AC613" s="759">
        <v>-4703.1773600000006</v>
      </c>
      <c r="AD613" s="741">
        <v>-1578.9053600000002</v>
      </c>
      <c r="AE613" s="741">
        <v>-3170.1057999999998</v>
      </c>
      <c r="AF613" s="741">
        <v>-4858.0056199999999</v>
      </c>
      <c r="AG613" s="741">
        <v>-1412.97576</v>
      </c>
      <c r="AH613" s="741">
        <v>-2972.99532</v>
      </c>
      <c r="AI613" s="741">
        <v>-4676.1766799999996</v>
      </c>
      <c r="AJ613" s="741">
        <v>-1542.53449</v>
      </c>
      <c r="AK613" s="741">
        <v>-3292.1680899999997</v>
      </c>
      <c r="AL613" s="741">
        <v>-4924.2767400000002</v>
      </c>
      <c r="AM613" s="741">
        <v>-1872.3746599999999</v>
      </c>
      <c r="AN613" s="741">
        <v>-3744.7493300000001</v>
      </c>
      <c r="AO613" s="741">
        <v>-5617.1239999999998</v>
      </c>
      <c r="AP613" s="41" t="str">
        <f t="shared" si="155"/>
        <v>GLA</v>
      </c>
      <c r="AQ613" s="41" t="str">
        <f t="shared" si="156"/>
        <v>GLAA2Renewable Portfolio Standard</v>
      </c>
      <c r="AR613" s="41" t="str">
        <f t="shared" si="157"/>
        <v>A2Renewable Portfolio Standard</v>
      </c>
      <c r="CR613" s="625"/>
    </row>
    <row r="614" spans="1:96" s="41" customFormat="1" ht="12.75" customHeight="1">
      <c r="A614" s="25" t="s">
        <v>17</v>
      </c>
      <c r="B614" s="25" t="str">
        <f t="shared" si="167"/>
        <v>GL242022</v>
      </c>
      <c r="C614" s="638">
        <v>242022</v>
      </c>
      <c r="D614" s="735"/>
      <c r="F614" s="1" t="s">
        <v>597</v>
      </c>
      <c r="H614" s="736" t="s">
        <v>1131</v>
      </c>
      <c r="I614" s="25"/>
      <c r="J614" s="25"/>
      <c r="K614" s="442" t="str">
        <f t="shared" si="166"/>
        <v/>
      </c>
      <c r="L614" s="736" t="s">
        <v>2393</v>
      </c>
      <c r="M614" s="25" t="str">
        <f t="shared" si="168"/>
        <v>A</v>
      </c>
      <c r="N614" s="25" t="str">
        <f>IF(L614&lt;&gt;"",VLOOKUP(L614,Categories!$B$2:$D$41,2,FALSE),IF(F614&lt;&gt;"","No Cat",""))</f>
        <v>All Other</v>
      </c>
      <c r="O614" s="25" t="str">
        <f>IF($L614&lt;&gt;"",VLOOKUP($L614,Categories!$B$2:$D$41,3,FALSE),IF($F614&lt;&gt;"","No Cat",""))</f>
        <v>EB-Cap</v>
      </c>
      <c r="P614" s="736" t="s">
        <v>2490</v>
      </c>
      <c r="Q614" s="25" t="str">
        <f>VLOOKUP($P614,Allocators!$B$7:$F$19,5,FALSE)</f>
        <v>Rate Base</v>
      </c>
      <c r="R614" s="737">
        <f>VLOOKUP($P614,Allocators!$B$7:$F$19,2,FALSE)</f>
        <v>0.70940000000000003</v>
      </c>
      <c r="S614" s="737">
        <f>VLOOKUP($P614,Allocators!$B$7:$F$19,3,FALSE)</f>
        <v>0.29060000000000002</v>
      </c>
      <c r="T614" s="737" t="str">
        <f t="shared" si="169"/>
        <v>0.0%</v>
      </c>
      <c r="U614" s="2">
        <f t="shared" si="160"/>
        <v>-5353.5748084425004</v>
      </c>
      <c r="V614" s="2">
        <f t="shared" si="161"/>
        <v>-2193.0488290574999</v>
      </c>
      <c r="W614" s="2">
        <f t="shared" si="162"/>
        <v>0</v>
      </c>
      <c r="X614" s="2">
        <f t="shared" si="158"/>
        <v>-7546.6236374999999</v>
      </c>
      <c r="Y614" s="2">
        <f t="shared" si="163"/>
        <v>-45.960997370000001</v>
      </c>
      <c r="Z614" s="2">
        <f t="shared" si="164"/>
        <v>-18.82755263</v>
      </c>
      <c r="AA614" s="2">
        <f t="shared" si="165"/>
        <v>0</v>
      </c>
      <c r="AB614" s="2">
        <f t="shared" si="159"/>
        <v>-64.788550000000001</v>
      </c>
      <c r="AC614" s="759">
        <v>-9902.2008499999993</v>
      </c>
      <c r="AD614" s="741">
        <v>-10418.03658</v>
      </c>
      <c r="AE614" s="741">
        <v>-11734.066000000001</v>
      </c>
      <c r="AF614" s="741">
        <v>-8561.6623199999995</v>
      </c>
      <c r="AG614" s="741">
        <v>-9557.0505399999984</v>
      </c>
      <c r="AH614" s="741">
        <v>-10912.32142</v>
      </c>
      <c r="AI614" s="741">
        <v>-8987.8192600000002</v>
      </c>
      <c r="AJ614" s="741">
        <v>-10363.857539999999</v>
      </c>
      <c r="AK614" s="741">
        <v>-11688.737640000001</v>
      </c>
      <c r="AL614" s="741">
        <v>-64.788550000000001</v>
      </c>
      <c r="AM614" s="741">
        <v>-1098.7737999999999</v>
      </c>
      <c r="AN614" s="741">
        <v>-2188.8752999999997</v>
      </c>
      <c r="AO614" s="741">
        <v>-64.788550000000001</v>
      </c>
      <c r="AP614" s="41" t="str">
        <f t="shared" si="155"/>
        <v>GLA</v>
      </c>
      <c r="AQ614" s="41" t="str">
        <f t="shared" si="156"/>
        <v>GLAA2Energy Efficiency Portfolio Standard</v>
      </c>
      <c r="AR614" s="41" t="str">
        <f t="shared" si="157"/>
        <v>A2Energy Efficiency Portfolio Standard</v>
      </c>
      <c r="CR614" s="625"/>
    </row>
    <row r="615" spans="1:96" s="41" customFormat="1" ht="12.75" customHeight="1">
      <c r="A615" s="25" t="s">
        <v>17</v>
      </c>
      <c r="B615" s="25" t="str">
        <f t="shared" si="167"/>
        <v>GL242024</v>
      </c>
      <c r="C615" s="638">
        <v>242024</v>
      </c>
      <c r="D615" s="735"/>
      <c r="F615" s="1" t="s">
        <v>598</v>
      </c>
      <c r="H615" s="736" t="s">
        <v>1131</v>
      </c>
      <c r="I615" s="25"/>
      <c r="J615" s="25"/>
      <c r="K615" s="442" t="str">
        <f t="shared" si="166"/>
        <v/>
      </c>
      <c r="L615" s="736" t="s">
        <v>2393</v>
      </c>
      <c r="M615" s="25" t="str">
        <f t="shared" si="168"/>
        <v>A</v>
      </c>
      <c r="N615" s="25" t="str">
        <f>IF(L615&lt;&gt;"",VLOOKUP(L615,Categories!$B$2:$D$41,2,FALSE),IF(F615&lt;&gt;"","No Cat",""))</f>
        <v>All Other</v>
      </c>
      <c r="O615" s="25" t="str">
        <f>IF($L615&lt;&gt;"",VLOOKUP($L615,Categories!$B$2:$D$41,3,FALSE),IF($F615&lt;&gt;"","No Cat",""))</f>
        <v>EB-Cap</v>
      </c>
      <c r="P615" s="736" t="s">
        <v>2490</v>
      </c>
      <c r="Q615" s="25" t="str">
        <f>VLOOKUP($P615,Allocators!$B$7:$F$19,5,FALSE)</f>
        <v>Rate Base</v>
      </c>
      <c r="R615" s="737">
        <f>VLOOKUP($P615,Allocators!$B$7:$F$19,2,FALSE)</f>
        <v>0.70940000000000003</v>
      </c>
      <c r="S615" s="737">
        <f>VLOOKUP($P615,Allocators!$B$7:$F$19,3,FALSE)</f>
        <v>0.29060000000000002</v>
      </c>
      <c r="T615" s="737" t="str">
        <f t="shared" si="169"/>
        <v>0.0%</v>
      </c>
      <c r="U615" s="2">
        <f t="shared" si="160"/>
        <v>-4949.4695094325898</v>
      </c>
      <c r="V615" s="2">
        <f t="shared" si="161"/>
        <v>-2027.51034598408</v>
      </c>
      <c r="W615" s="2">
        <f t="shared" si="162"/>
        <v>0</v>
      </c>
      <c r="X615" s="2">
        <f t="shared" si="158"/>
        <v>-6976.97985541667</v>
      </c>
      <c r="Y615" s="2">
        <f t="shared" si="163"/>
        <v>-13.201394856</v>
      </c>
      <c r="Z615" s="2">
        <f t="shared" si="164"/>
        <v>-5.4078451440000004</v>
      </c>
      <c r="AA615" s="2">
        <f t="shared" si="165"/>
        <v>0</v>
      </c>
      <c r="AB615" s="2">
        <f t="shared" si="159"/>
        <v>-18.609240000000003</v>
      </c>
      <c r="AC615" s="759">
        <v>-7374.71821</v>
      </c>
      <c r="AD615" s="741">
        <v>-8956.5848499999993</v>
      </c>
      <c r="AE615" s="741">
        <v>-10393.13278</v>
      </c>
      <c r="AF615" s="741">
        <v>-9842.1728599999988</v>
      </c>
      <c r="AG615" s="741">
        <v>-10436.689789999999</v>
      </c>
      <c r="AH615" s="741">
        <v>-10406.293099999999</v>
      </c>
      <c r="AI615" s="741">
        <v>-9350.8173599999991</v>
      </c>
      <c r="AJ615" s="741">
        <v>-9588.41374</v>
      </c>
      <c r="AK615" s="741">
        <v>-9751.8580899999997</v>
      </c>
      <c r="AL615" s="741">
        <v>-18.610240000000001</v>
      </c>
      <c r="AM615" s="741">
        <v>-430.94198999999998</v>
      </c>
      <c r="AN615" s="741">
        <v>-851.57974000000002</v>
      </c>
      <c r="AO615" s="741">
        <v>-18.609240000000003</v>
      </c>
      <c r="AP615" s="41" t="str">
        <f t="shared" si="155"/>
        <v>GLA</v>
      </c>
      <c r="AQ615" s="41" t="str">
        <f t="shared" si="156"/>
        <v>GLAA2Energy Efficiency Portfolio Standard</v>
      </c>
      <c r="AR615" s="41" t="str">
        <f t="shared" si="157"/>
        <v>A2Energy Efficiency Portfolio Standard</v>
      </c>
      <c r="CR615" s="625"/>
    </row>
    <row r="616" spans="1:96" s="41" customFormat="1" ht="12.75" customHeight="1">
      <c r="A616" s="25" t="s">
        <v>17</v>
      </c>
      <c r="B616" s="25" t="str">
        <f t="shared" si="167"/>
        <v>GL242030</v>
      </c>
      <c r="C616" s="638">
        <v>242030</v>
      </c>
      <c r="D616" s="735"/>
      <c r="F616" s="1" t="s">
        <v>599</v>
      </c>
      <c r="H616" s="736" t="s">
        <v>2704</v>
      </c>
      <c r="I616" s="25"/>
      <c r="J616" s="25"/>
      <c r="K616" s="442" t="str">
        <f t="shared" si="166"/>
        <v/>
      </c>
      <c r="L616" s="736" t="s">
        <v>2393</v>
      </c>
      <c r="M616" s="25" t="str">
        <f t="shared" si="168"/>
        <v>A</v>
      </c>
      <c r="N616" s="25" t="str">
        <f>IF(L616&lt;&gt;"",VLOOKUP(L616,Categories!$B$2:$D$41,2,FALSE),IF(F616&lt;&gt;"","No Cat",""))</f>
        <v>All Other</v>
      </c>
      <c r="O616" s="25" t="str">
        <f>IF($L616&lt;&gt;"",VLOOKUP($L616,Categories!$B$2:$D$41,3,FALSE),IF($F616&lt;&gt;"","No Cat",""))</f>
        <v>EB-Cap</v>
      </c>
      <c r="P616" s="736" t="s">
        <v>2490</v>
      </c>
      <c r="Q616" s="25" t="str">
        <f>VLOOKUP($P616,Allocators!$B$7:$F$19,5,FALSE)</f>
        <v>Rate Base</v>
      </c>
      <c r="R616" s="737">
        <f>VLOOKUP($P616,Allocators!$B$7:$F$19,2,FALSE)</f>
        <v>0.70940000000000003</v>
      </c>
      <c r="S616" s="737">
        <f>VLOOKUP($P616,Allocators!$B$7:$F$19,3,FALSE)</f>
        <v>0.29060000000000002</v>
      </c>
      <c r="T616" s="737" t="str">
        <f t="shared" si="169"/>
        <v>0.0%</v>
      </c>
      <c r="U616" s="2">
        <f t="shared" si="160"/>
        <v>-1397.0689480265</v>
      </c>
      <c r="V616" s="2">
        <f t="shared" si="161"/>
        <v>-572.29804947349999</v>
      </c>
      <c r="W616" s="2">
        <f t="shared" si="162"/>
        <v>0</v>
      </c>
      <c r="X616" s="2">
        <f t="shared" si="158"/>
        <v>-1969.3669975</v>
      </c>
      <c r="Y616" s="2">
        <f t="shared" si="163"/>
        <v>-2016.1687144</v>
      </c>
      <c r="Z616" s="2">
        <f t="shared" si="164"/>
        <v>-825.90728560000002</v>
      </c>
      <c r="AA616" s="2">
        <f t="shared" si="165"/>
        <v>0</v>
      </c>
      <c r="AB616" s="2">
        <f t="shared" si="159"/>
        <v>-2842.076</v>
      </c>
      <c r="AC616" s="759">
        <v>-2287.5990000000002</v>
      </c>
      <c r="AD616" s="741">
        <v>-2512.7431699999997</v>
      </c>
      <c r="AE616" s="741">
        <v>-2737.8873399999998</v>
      </c>
      <c r="AF616" s="741">
        <v>-675.43250999999998</v>
      </c>
      <c r="AG616" s="741">
        <v>-900.57668000000001</v>
      </c>
      <c r="AH616" s="741">
        <v>-1271.5108500000001</v>
      </c>
      <c r="AI616" s="741">
        <v>-1525.8132700000001</v>
      </c>
      <c r="AJ616" s="741">
        <v>-1780.1156899999999</v>
      </c>
      <c r="AK616" s="741">
        <v>-2034.4181100000001</v>
      </c>
      <c r="AL616" s="741">
        <v>-2288.7205299999996</v>
      </c>
      <c r="AM616" s="741">
        <v>-2543.02295</v>
      </c>
      <c r="AN616" s="741">
        <v>-2797.32537</v>
      </c>
      <c r="AO616" s="741">
        <v>-2842.076</v>
      </c>
      <c r="AP616" s="41" t="str">
        <f t="shared" si="155"/>
        <v>GLA</v>
      </c>
      <c r="AQ616" s="41" t="str">
        <f t="shared" si="156"/>
        <v>GLAA2Group Incentive Plan</v>
      </c>
      <c r="AR616" s="41" t="str">
        <f t="shared" si="157"/>
        <v>A2Group Incentive Plan</v>
      </c>
      <c r="CR616" s="625"/>
    </row>
    <row r="617" spans="1:96" s="41" customFormat="1" ht="12.75" customHeight="1">
      <c r="A617" s="442" t="s">
        <v>17</v>
      </c>
      <c r="B617" s="442" t="str">
        <f t="shared" si="167"/>
        <v>GL242035</v>
      </c>
      <c r="C617" s="638">
        <v>242035</v>
      </c>
      <c r="D617" s="735"/>
      <c r="E617" s="626"/>
      <c r="F617" s="441" t="s">
        <v>600</v>
      </c>
      <c r="G617" s="626"/>
      <c r="H617" s="736" t="s">
        <v>3431</v>
      </c>
      <c r="I617" s="442"/>
      <c r="J617" s="442"/>
      <c r="K617" s="442" t="str">
        <f t="shared" si="166"/>
        <v/>
      </c>
      <c r="L617" s="736" t="s">
        <v>2421</v>
      </c>
      <c r="M617" s="442" t="str">
        <f t="shared" si="168"/>
        <v>N</v>
      </c>
      <c r="N617" s="442" t="str">
        <f>IF(L617&lt;&gt;"",VLOOKUP(L617,Categories!$B$2:$D$41,2,FALSE),IF(F617&lt;&gt;"","No Cat",""))</f>
        <v>NRBASE</v>
      </c>
      <c r="O617" s="442" t="str">
        <f>IF($L617&lt;&gt;"",VLOOKUP($L617,Categories!$B$2:$D$41,3,FALSE),IF($F617&lt;&gt;"","No Cat",""))</f>
        <v>Direct Assign Items Not in RB</v>
      </c>
      <c r="P617" s="736" t="s">
        <v>2468</v>
      </c>
      <c r="Q617" s="442" t="str">
        <f>VLOOKUP($P617,Allocators!$B$7:$F$19,5,FALSE)</f>
        <v>Not in Rate Base</v>
      </c>
      <c r="R617" s="737">
        <f>VLOOKUP($P617,Allocators!$B$7:$F$19,2,FALSE)</f>
        <v>0</v>
      </c>
      <c r="S617" s="737">
        <f>VLOOKUP($P617,Allocators!$B$7:$F$19,3,FALSE)</f>
        <v>0</v>
      </c>
      <c r="T617" s="737">
        <f t="shared" si="169"/>
        <v>1</v>
      </c>
      <c r="U617" s="2">
        <f t="shared" si="160"/>
        <v>0</v>
      </c>
      <c r="V617" s="2">
        <f t="shared" si="161"/>
        <v>0</v>
      </c>
      <c r="W617" s="2">
        <f t="shared" si="162"/>
        <v>-810.88014541666701</v>
      </c>
      <c r="X617" s="2">
        <f t="shared" si="158"/>
        <v>-810.88014541666701</v>
      </c>
      <c r="Y617" s="2">
        <f t="shared" si="163"/>
        <v>0</v>
      </c>
      <c r="Z617" s="2">
        <f t="shared" si="164"/>
        <v>0</v>
      </c>
      <c r="AA617" s="2">
        <f t="shared" si="165"/>
        <v>-162.77520000000001</v>
      </c>
      <c r="AB617" s="2">
        <f t="shared" si="159"/>
        <v>-162.77520000000001</v>
      </c>
      <c r="AC617" s="759">
        <v>-906.68416999999999</v>
      </c>
      <c r="AD617" s="741">
        <v>-891.49977000000001</v>
      </c>
      <c r="AE617" s="741">
        <v>-909.09460999999999</v>
      </c>
      <c r="AF617" s="741">
        <v>-920.62261999999998</v>
      </c>
      <c r="AG617" s="741">
        <v>-923.12259999999992</v>
      </c>
      <c r="AH617" s="741">
        <v>-916.63346000000001</v>
      </c>
      <c r="AI617" s="741">
        <v>-687.19904000000008</v>
      </c>
      <c r="AJ617" s="741">
        <v>-951.60223999999994</v>
      </c>
      <c r="AK617" s="741">
        <v>-942.31538</v>
      </c>
      <c r="AL617" s="741">
        <v>-924.86991</v>
      </c>
      <c r="AM617" s="741">
        <v>-955.52810999999997</v>
      </c>
      <c r="AN617" s="741">
        <v>-173.34432000000001</v>
      </c>
      <c r="AO617" s="741">
        <v>-162.77520000000001</v>
      </c>
      <c r="AP617" s="41" t="str">
        <f t="shared" si="155"/>
        <v>GLN</v>
      </c>
      <c r="AQ617" s="41" t="str">
        <f t="shared" si="156"/>
        <v>GLNN2Executive Compensation</v>
      </c>
      <c r="AR617" s="41" t="str">
        <f t="shared" si="157"/>
        <v>N2Executive Compensation</v>
      </c>
    </row>
    <row r="618" spans="1:96" s="41" customFormat="1" ht="12.75" customHeight="1">
      <c r="A618" s="442" t="s">
        <v>17</v>
      </c>
      <c r="B618" s="442" t="str">
        <f t="shared" ref="B618:B619" si="173">CONCATENATE(A618,C618,D618,E618)</f>
        <v>GL242036</v>
      </c>
      <c r="C618" s="638">
        <v>242036</v>
      </c>
      <c r="D618" s="735"/>
      <c r="E618" s="626"/>
      <c r="F618" s="441" t="s">
        <v>4542</v>
      </c>
      <c r="G618" s="626"/>
      <c r="H618" s="736" t="s">
        <v>3431</v>
      </c>
      <c r="I618" s="442"/>
      <c r="J618" s="442"/>
      <c r="K618" s="442"/>
      <c r="L618" s="736" t="s">
        <v>2421</v>
      </c>
      <c r="M618" s="442" t="str">
        <f t="shared" si="168"/>
        <v>N</v>
      </c>
      <c r="N618" s="442" t="str">
        <f>IF(L618&lt;&gt;"",VLOOKUP(L618,Categories!$B$2:$D$41,2,FALSE),IF(F618&lt;&gt;"","No Cat",""))</f>
        <v>NRBASE</v>
      </c>
      <c r="O618" s="442" t="str">
        <f>IF($L618&lt;&gt;"",VLOOKUP($L618,Categories!$B$2:$D$41,3,FALSE),IF($F618&lt;&gt;"","No Cat",""))</f>
        <v>Direct Assign Items Not in RB</v>
      </c>
      <c r="P618" s="736" t="s">
        <v>2468</v>
      </c>
      <c r="Q618" s="442" t="str">
        <f>VLOOKUP($P618,Allocators!$B$7:$F$19,5,FALSE)</f>
        <v>Not in Rate Base</v>
      </c>
      <c r="R618" s="737">
        <f>VLOOKUP($P618,Allocators!$B$7:$F$19,2,FALSE)</f>
        <v>0</v>
      </c>
      <c r="S618" s="737">
        <f>VLOOKUP($P618,Allocators!$B$7:$F$19,3,FALSE)</f>
        <v>0</v>
      </c>
      <c r="T618" s="737">
        <f t="shared" ref="T618:T619" si="174">IF(P618="N",1,"0.0%")</f>
        <v>1</v>
      </c>
      <c r="U618" s="2">
        <f t="shared" ref="U618:U619" si="175">IF(ABS(X618)=0,"",IF($R618="NO ALLOC","NO ALLOC",ROUND($R618*X618,15)))</f>
        <v>0</v>
      </c>
      <c r="V618" s="2">
        <f t="shared" ref="V618:V619" si="176">IF(ABS(X618)=0,"",IF($S618="NO ALLOC","NO ALLOC",ROUND($S618*X618,15)))</f>
        <v>0</v>
      </c>
      <c r="W618" s="2">
        <f t="shared" ref="W618:W619" si="177">IF(ABS(X618)=0,"",IF($T618="NO ALLOC","NO ALLOC",ROUND($T618*X618,15)))</f>
        <v>-52.687021250000001</v>
      </c>
      <c r="X618" s="2">
        <f t="shared" si="158"/>
        <v>-52.687021250000001</v>
      </c>
      <c r="Y618" s="2">
        <f t="shared" ref="Y618:Y619" si="178">IF(ABS(AB618)=0,"",IF($R618="NO ALLOC","NO ALLOC",ROUND($R618*AB618,15)))</f>
        <v>0</v>
      </c>
      <c r="Z618" s="2">
        <f t="shared" ref="Z618:Z619" si="179">IF(ABS(AB618)=0,"",IF($S618="NO ALLOC","NO ALLOC",ROUND($S618*AB618,15)))</f>
        <v>0</v>
      </c>
      <c r="AA618" s="2">
        <f t="shared" ref="AA618:AA619" si="180">IF(ABS(AB618)=0,"",IF($T618="NO ALLOC","NO ALLOC",ROUND($T618*AB618,15)))</f>
        <v>-421.49617000000001</v>
      </c>
      <c r="AB618" s="2">
        <f t="shared" si="159"/>
        <v>-421.49617000000001</v>
      </c>
      <c r="AC618" s="759"/>
      <c r="AD618" s="741"/>
      <c r="AE618" s="741"/>
      <c r="AF618" s="741"/>
      <c r="AG618" s="741"/>
      <c r="AH618" s="741"/>
      <c r="AI618" s="741"/>
      <c r="AJ618" s="741"/>
      <c r="AK618" s="741"/>
      <c r="AL618" s="741"/>
      <c r="AM618" s="741"/>
      <c r="AN618" s="741">
        <v>-421.49617000000001</v>
      </c>
      <c r="AO618" s="741">
        <v>-421.49617000000001</v>
      </c>
      <c r="AP618" s="41" t="str">
        <f t="shared" si="155"/>
        <v>GLN</v>
      </c>
      <c r="AQ618" s="41" t="str">
        <f t="shared" si="156"/>
        <v>GLNN2Executive Compensation</v>
      </c>
      <c r="AR618" s="41" t="str">
        <f t="shared" si="157"/>
        <v>N2Executive Compensation</v>
      </c>
    </row>
    <row r="619" spans="1:96" s="41" customFormat="1" ht="12.75" customHeight="1">
      <c r="A619" s="442" t="s">
        <v>17</v>
      </c>
      <c r="B619" s="442" t="str">
        <f t="shared" si="173"/>
        <v>GL242037</v>
      </c>
      <c r="C619" s="638">
        <v>242037</v>
      </c>
      <c r="D619" s="735"/>
      <c r="E619" s="626"/>
      <c r="F619" s="441" t="s">
        <v>4543</v>
      </c>
      <c r="G619" s="626"/>
      <c r="H619" s="736" t="s">
        <v>3431</v>
      </c>
      <c r="I619" s="442"/>
      <c r="J619" s="442"/>
      <c r="K619" s="442"/>
      <c r="L619" s="736" t="s">
        <v>2421</v>
      </c>
      <c r="M619" s="442" t="str">
        <f t="shared" si="168"/>
        <v>N</v>
      </c>
      <c r="N619" s="442" t="str">
        <f>IF(L619&lt;&gt;"",VLOOKUP(L619,Categories!$B$2:$D$41,2,FALSE),IF(F619&lt;&gt;"","No Cat",""))</f>
        <v>NRBASE</v>
      </c>
      <c r="O619" s="442" t="str">
        <f>IF($L619&lt;&gt;"",VLOOKUP($L619,Categories!$B$2:$D$41,3,FALSE),IF($F619&lt;&gt;"","No Cat",""))</f>
        <v>Direct Assign Items Not in RB</v>
      </c>
      <c r="P619" s="736" t="s">
        <v>2468</v>
      </c>
      <c r="Q619" s="442" t="str">
        <f>VLOOKUP($P619,Allocators!$B$7:$F$19,5,FALSE)</f>
        <v>Not in Rate Base</v>
      </c>
      <c r="R619" s="737">
        <f>VLOOKUP($P619,Allocators!$B$7:$F$19,2,FALSE)</f>
        <v>0</v>
      </c>
      <c r="S619" s="737">
        <f>VLOOKUP($P619,Allocators!$B$7:$F$19,3,FALSE)</f>
        <v>0</v>
      </c>
      <c r="T619" s="737">
        <f t="shared" si="174"/>
        <v>1</v>
      </c>
      <c r="U619" s="2">
        <f t="shared" si="175"/>
        <v>0</v>
      </c>
      <c r="V619" s="2">
        <f t="shared" si="176"/>
        <v>0</v>
      </c>
      <c r="W619" s="2">
        <f t="shared" si="177"/>
        <v>-53.3834175</v>
      </c>
      <c r="X619" s="2">
        <f t="shared" si="158"/>
        <v>-53.3834175</v>
      </c>
      <c r="Y619" s="2">
        <f t="shared" si="178"/>
        <v>0</v>
      </c>
      <c r="Z619" s="2">
        <f t="shared" si="179"/>
        <v>0</v>
      </c>
      <c r="AA619" s="2">
        <f t="shared" si="180"/>
        <v>-464.70076</v>
      </c>
      <c r="AB619" s="2">
        <f t="shared" si="159"/>
        <v>-464.70076</v>
      </c>
      <c r="AC619" s="759"/>
      <c r="AD619" s="741"/>
      <c r="AE619" s="741"/>
      <c r="AF619" s="741"/>
      <c r="AG619" s="741"/>
      <c r="AH619" s="741"/>
      <c r="AI619" s="741"/>
      <c r="AJ619" s="741"/>
      <c r="AK619" s="741"/>
      <c r="AL619" s="741"/>
      <c r="AM619" s="741"/>
      <c r="AN619" s="741">
        <v>-408.25063</v>
      </c>
      <c r="AO619" s="741">
        <v>-464.70076</v>
      </c>
      <c r="AP619" s="41" t="str">
        <f t="shared" si="155"/>
        <v>GLN</v>
      </c>
      <c r="AQ619" s="41" t="str">
        <f t="shared" si="156"/>
        <v>GLNN2Executive Compensation</v>
      </c>
      <c r="AR619" s="41" t="str">
        <f t="shared" si="157"/>
        <v>N2Executive Compensation</v>
      </c>
    </row>
    <row r="620" spans="1:96" s="41" customFormat="1" ht="12.75" customHeight="1">
      <c r="A620" s="25" t="s">
        <v>17</v>
      </c>
      <c r="B620" s="25" t="str">
        <f t="shared" si="167"/>
        <v>GL242060</v>
      </c>
      <c r="C620" s="638">
        <v>242060</v>
      </c>
      <c r="D620" s="735"/>
      <c r="F620" s="1" t="s">
        <v>601</v>
      </c>
      <c r="H620" s="736" t="s">
        <v>2703</v>
      </c>
      <c r="I620" s="25"/>
      <c r="J620" s="25"/>
      <c r="K620" s="442" t="str">
        <f t="shared" si="166"/>
        <v/>
      </c>
      <c r="L620" s="736" t="s">
        <v>2393</v>
      </c>
      <c r="M620" s="25" t="str">
        <f t="shared" si="168"/>
        <v>A</v>
      </c>
      <c r="N620" s="25" t="str">
        <f>IF(L620&lt;&gt;"",VLOOKUP(L620,Categories!$B$2:$D$41,2,FALSE),IF(F620&lt;&gt;"","No Cat",""))</f>
        <v>All Other</v>
      </c>
      <c r="O620" s="25" t="str">
        <f>IF($L620&lt;&gt;"",VLOOKUP($L620,Categories!$B$2:$D$41,3,FALSE),IF($F620&lt;&gt;"","No Cat",""))</f>
        <v>EB-Cap</v>
      </c>
      <c r="P620" s="736" t="s">
        <v>2490</v>
      </c>
      <c r="Q620" s="25" t="str">
        <f>VLOOKUP($P620,Allocators!$B$7:$F$19,5,FALSE)</f>
        <v>Rate Base</v>
      </c>
      <c r="R620" s="737">
        <f>VLOOKUP($P620,Allocators!$B$7:$F$19,2,FALSE)</f>
        <v>0.70940000000000003</v>
      </c>
      <c r="S620" s="737">
        <f>VLOOKUP($P620,Allocators!$B$7:$F$19,3,FALSE)</f>
        <v>0.29060000000000002</v>
      </c>
      <c r="T620" s="737" t="str">
        <f t="shared" si="169"/>
        <v>0.0%</v>
      </c>
      <c r="U620" s="2">
        <f t="shared" si="160"/>
        <v>-3602.43728582825</v>
      </c>
      <c r="V620" s="2">
        <f t="shared" si="161"/>
        <v>-1475.7094379217499</v>
      </c>
      <c r="W620" s="2">
        <f t="shared" si="162"/>
        <v>0</v>
      </c>
      <c r="X620" s="2">
        <f t="shared" si="158"/>
        <v>-5078.1467237500001</v>
      </c>
      <c r="Y620" s="2" t="str">
        <f t="shared" si="163"/>
        <v/>
      </c>
      <c r="Z620" s="2" t="str">
        <f t="shared" si="164"/>
        <v/>
      </c>
      <c r="AA620" s="2" t="str">
        <f t="shared" si="165"/>
        <v/>
      </c>
      <c r="AB620" s="2">
        <f t="shared" si="159"/>
        <v>0</v>
      </c>
      <c r="AC620" s="759">
        <v>-9574.6136500000011</v>
      </c>
      <c r="AD620" s="741">
        <v>-6983.98315</v>
      </c>
      <c r="AE620" s="741">
        <v>-5553.6690699999999</v>
      </c>
      <c r="AF620" s="741">
        <v>-5076.7717999999995</v>
      </c>
      <c r="AG620" s="741">
        <v>-5703.6260000000002</v>
      </c>
      <c r="AH620" s="741">
        <v>-7273.0643300000002</v>
      </c>
      <c r="AI620" s="741">
        <v>-6087.5220499999996</v>
      </c>
      <c r="AJ620" s="741">
        <v>-6181.4852000000001</v>
      </c>
      <c r="AK620" s="741">
        <v>-6138.4481100000003</v>
      </c>
      <c r="AL620" s="741">
        <v>-7151.8841500000008</v>
      </c>
      <c r="AM620" s="741">
        <v>0</v>
      </c>
      <c r="AN620" s="741">
        <v>0</v>
      </c>
      <c r="AO620" s="741">
        <v>0</v>
      </c>
      <c r="AP620" s="41" t="str">
        <f t="shared" si="155"/>
        <v>GLA</v>
      </c>
      <c r="AQ620" s="41" t="str">
        <f t="shared" si="156"/>
        <v>GLAA2Equal Payment Plan</v>
      </c>
      <c r="AR620" s="41" t="str">
        <f t="shared" si="157"/>
        <v>A2Equal Payment Plan</v>
      </c>
      <c r="CR620" s="625"/>
    </row>
    <row r="621" spans="1:96" s="41" customFormat="1" ht="12.75" customHeight="1">
      <c r="A621" s="442" t="s">
        <v>17</v>
      </c>
      <c r="B621" s="442" t="str">
        <f t="shared" si="167"/>
        <v>GL242070</v>
      </c>
      <c r="C621" s="638">
        <v>242070</v>
      </c>
      <c r="D621" s="735"/>
      <c r="E621" s="626"/>
      <c r="F621" s="441" t="s">
        <v>602</v>
      </c>
      <c r="G621" s="626"/>
      <c r="H621" s="736" t="s">
        <v>3431</v>
      </c>
      <c r="I621" s="442"/>
      <c r="J621" s="442"/>
      <c r="K621" s="442" t="str">
        <f t="shared" si="166"/>
        <v/>
      </c>
      <c r="L621" s="736" t="s">
        <v>2421</v>
      </c>
      <c r="M621" s="442" t="str">
        <f t="shared" si="168"/>
        <v>N</v>
      </c>
      <c r="N621" s="442" t="str">
        <f>IF(L621&lt;&gt;"",VLOOKUP(L621,Categories!$B$2:$D$41,2,FALSE),IF(F621&lt;&gt;"","No Cat",""))</f>
        <v>NRBASE</v>
      </c>
      <c r="O621" s="442" t="str">
        <f>IF($L621&lt;&gt;"",VLOOKUP($L621,Categories!$B$2:$D$41,3,FALSE),IF($F621&lt;&gt;"","No Cat",""))</f>
        <v>Direct Assign Items Not in RB</v>
      </c>
      <c r="P621" s="736" t="s">
        <v>2468</v>
      </c>
      <c r="Q621" s="442" t="str">
        <f>VLOOKUP($P621,Allocators!$B$7:$F$19,5,FALSE)</f>
        <v>Not in Rate Base</v>
      </c>
      <c r="R621" s="737">
        <f>VLOOKUP($P621,Allocators!$B$7:$F$19,2,FALSE)</f>
        <v>0</v>
      </c>
      <c r="S621" s="737">
        <f>VLOOKUP($P621,Allocators!$B$7:$F$19,3,FALSE)</f>
        <v>0</v>
      </c>
      <c r="T621" s="737">
        <f t="shared" si="169"/>
        <v>1</v>
      </c>
      <c r="U621" s="2">
        <f t="shared" si="160"/>
        <v>0</v>
      </c>
      <c r="V621" s="2">
        <f t="shared" si="161"/>
        <v>0</v>
      </c>
      <c r="W621" s="2">
        <f t="shared" si="162"/>
        <v>-547.31847333333303</v>
      </c>
      <c r="X621" s="2">
        <f t="shared" si="158"/>
        <v>-547.31847333333303</v>
      </c>
      <c r="Y621" s="2">
        <f t="shared" si="163"/>
        <v>0</v>
      </c>
      <c r="Z621" s="2">
        <f t="shared" si="164"/>
        <v>0</v>
      </c>
      <c r="AA621" s="2">
        <f t="shared" si="165"/>
        <v>-923.82399999999996</v>
      </c>
      <c r="AB621" s="2">
        <f t="shared" si="159"/>
        <v>-923.82399999999996</v>
      </c>
      <c r="AC621" s="759">
        <v>-737.69399999999996</v>
      </c>
      <c r="AD621" s="741">
        <v>-791.64575000000002</v>
      </c>
      <c r="AE621" s="741">
        <v>-845.59749999999997</v>
      </c>
      <c r="AF621" s="741">
        <v>-161.85525000000001</v>
      </c>
      <c r="AG621" s="741">
        <v>-215.80699999999999</v>
      </c>
      <c r="AH621" s="741">
        <v>-332.33474999999999</v>
      </c>
      <c r="AI621" s="741">
        <v>-398.80207999999999</v>
      </c>
      <c r="AJ621" s="741">
        <v>-465.26940999999999</v>
      </c>
      <c r="AK621" s="741">
        <v>-531.73673999999994</v>
      </c>
      <c r="AL621" s="741">
        <v>-598.20407</v>
      </c>
      <c r="AM621" s="741">
        <v>-664.67140000000006</v>
      </c>
      <c r="AN621" s="741">
        <v>-731.13873000000001</v>
      </c>
      <c r="AO621" s="741">
        <v>-923.82399999999996</v>
      </c>
      <c r="AP621" s="41" t="str">
        <f t="shared" si="155"/>
        <v>GLN</v>
      </c>
      <c r="AQ621" s="41" t="str">
        <f t="shared" si="156"/>
        <v>GLNN2Executive Compensation</v>
      </c>
      <c r="AR621" s="41" t="str">
        <f t="shared" si="157"/>
        <v>N2Executive Compensation</v>
      </c>
    </row>
    <row r="622" spans="1:96" s="41" customFormat="1" ht="12.75" customHeight="1">
      <c r="A622" s="25" t="s">
        <v>17</v>
      </c>
      <c r="B622" s="25" t="str">
        <f t="shared" si="167"/>
        <v>GL242080</v>
      </c>
      <c r="C622" s="638">
        <v>242080</v>
      </c>
      <c r="D622" s="735"/>
      <c r="F622" s="1" t="s">
        <v>603</v>
      </c>
      <c r="H622" s="736">
        <v>0</v>
      </c>
      <c r="I622" s="25"/>
      <c r="J622" s="25"/>
      <c r="K622" s="442" t="str">
        <f t="shared" si="166"/>
        <v/>
      </c>
      <c r="L622" s="736" t="s">
        <v>2393</v>
      </c>
      <c r="M622" s="25" t="str">
        <f t="shared" si="168"/>
        <v>A</v>
      </c>
      <c r="N622" s="25" t="str">
        <f>IF(L622&lt;&gt;"",VLOOKUP(L622,Categories!$B$2:$D$41,2,FALSE),IF(F622&lt;&gt;"","No Cat",""))</f>
        <v>All Other</v>
      </c>
      <c r="O622" s="25" t="str">
        <f>IF($L622&lt;&gt;"",VLOOKUP($L622,Categories!$B$2:$D$41,3,FALSE),IF($F622&lt;&gt;"","No Cat",""))</f>
        <v>EB-Cap</v>
      </c>
      <c r="P622" s="736" t="s">
        <v>2490</v>
      </c>
      <c r="Q622" s="25" t="str">
        <f>VLOOKUP($P622,Allocators!$B$7:$F$19,5,FALSE)</f>
        <v>Rate Base</v>
      </c>
      <c r="R622" s="737">
        <f>VLOOKUP($P622,Allocators!$B$7:$F$19,2,FALSE)</f>
        <v>0.70940000000000003</v>
      </c>
      <c r="S622" s="737">
        <f>VLOOKUP($P622,Allocators!$B$7:$F$19,3,FALSE)</f>
        <v>0.29060000000000002</v>
      </c>
      <c r="T622" s="737" t="str">
        <f t="shared" si="169"/>
        <v>0.0%</v>
      </c>
      <c r="U622" s="2">
        <f t="shared" si="160"/>
        <v>-140.63894105675001</v>
      </c>
      <c r="V622" s="2">
        <f t="shared" si="161"/>
        <v>-57.611610193250002</v>
      </c>
      <c r="W622" s="2">
        <f t="shared" si="162"/>
        <v>0</v>
      </c>
      <c r="X622" s="2">
        <f t="shared" si="158"/>
        <v>-198.25055125</v>
      </c>
      <c r="Y622" s="2" t="str">
        <f t="shared" si="163"/>
        <v/>
      </c>
      <c r="Z622" s="2" t="str">
        <f t="shared" si="164"/>
        <v/>
      </c>
      <c r="AA622" s="2" t="str">
        <f t="shared" si="165"/>
        <v/>
      </c>
      <c r="AB622" s="2">
        <f t="shared" si="159"/>
        <v>0</v>
      </c>
      <c r="AC622" s="759">
        <v>-170.80821</v>
      </c>
      <c r="AD622" s="741">
        <v>-99.376490000000004</v>
      </c>
      <c r="AE622" s="741">
        <v>-1661.0148899999999</v>
      </c>
      <c r="AF622" s="741">
        <v>-4.1261099999999997</v>
      </c>
      <c r="AG622" s="741">
        <v>-18.887509999999999</v>
      </c>
      <c r="AH622" s="741">
        <v>-155.25615999999999</v>
      </c>
      <c r="AI622" s="741">
        <v>-50.760690000000004</v>
      </c>
      <c r="AJ622" s="741">
        <v>-132.79</v>
      </c>
      <c r="AK622" s="741">
        <v>-127.19188</v>
      </c>
      <c r="AL622" s="741">
        <v>-39.589750000000002</v>
      </c>
      <c r="AM622" s="741">
        <v>-3.3885200000000002</v>
      </c>
      <c r="AN622" s="741">
        <v>-1.22051</v>
      </c>
      <c r="AO622" s="741">
        <v>0</v>
      </c>
      <c r="AP622" s="41" t="str">
        <f t="shared" si="155"/>
        <v>GLA</v>
      </c>
      <c r="AQ622" s="41" t="str">
        <f t="shared" si="156"/>
        <v>GLAA20</v>
      </c>
      <c r="AR622" s="41" t="str">
        <f t="shared" si="157"/>
        <v>A20</v>
      </c>
      <c r="CR622" s="625"/>
    </row>
    <row r="623" spans="1:96" s="41" customFormat="1" ht="12.75" customHeight="1">
      <c r="A623" s="25" t="s">
        <v>17</v>
      </c>
      <c r="B623" s="25" t="str">
        <f t="shared" si="167"/>
        <v>GL242090</v>
      </c>
      <c r="C623" s="638">
        <v>242090</v>
      </c>
      <c r="D623" s="735"/>
      <c r="F623" s="1" t="s">
        <v>604</v>
      </c>
      <c r="H623" s="736">
        <v>0</v>
      </c>
      <c r="I623" s="25"/>
      <c r="J623" s="25"/>
      <c r="K623" s="442" t="str">
        <f t="shared" si="166"/>
        <v/>
      </c>
      <c r="L623" s="736" t="s">
        <v>2393</v>
      </c>
      <c r="M623" s="25" t="str">
        <f t="shared" si="168"/>
        <v>A</v>
      </c>
      <c r="N623" s="25" t="str">
        <f>IF(L623&lt;&gt;"",VLOOKUP(L623,Categories!$B$2:$D$41,2,FALSE),IF(F623&lt;&gt;"","No Cat",""))</f>
        <v>All Other</v>
      </c>
      <c r="O623" s="25" t="str">
        <f>IF($L623&lt;&gt;"",VLOOKUP($L623,Categories!$B$2:$D$41,3,FALSE),IF($F623&lt;&gt;"","No Cat",""))</f>
        <v>EB-Cap</v>
      </c>
      <c r="P623" s="736" t="s">
        <v>2490</v>
      </c>
      <c r="Q623" s="25" t="str">
        <f>VLOOKUP($P623,Allocators!$B$7:$F$19,5,FALSE)</f>
        <v>Rate Base</v>
      </c>
      <c r="R623" s="737">
        <f>VLOOKUP($P623,Allocators!$B$7:$F$19,2,FALSE)</f>
        <v>0.70940000000000003</v>
      </c>
      <c r="S623" s="737">
        <f>VLOOKUP($P623,Allocators!$B$7:$F$19,3,FALSE)</f>
        <v>0.29060000000000002</v>
      </c>
      <c r="T623" s="737" t="str">
        <f t="shared" si="169"/>
        <v>0.0%</v>
      </c>
      <c r="U623" s="2">
        <f t="shared" si="160"/>
        <v>-5195.5539387215904</v>
      </c>
      <c r="V623" s="2">
        <f t="shared" si="161"/>
        <v>-2128.31685169508</v>
      </c>
      <c r="W623" s="2">
        <f t="shared" si="162"/>
        <v>0</v>
      </c>
      <c r="X623" s="2">
        <f t="shared" si="158"/>
        <v>-7323.8707904166704</v>
      </c>
      <c r="Y623" s="2">
        <f t="shared" si="163"/>
        <v>-6142.9849219500002</v>
      </c>
      <c r="Z623" s="2">
        <f t="shared" si="164"/>
        <v>-2516.42432805</v>
      </c>
      <c r="AA623" s="2">
        <f t="shared" si="165"/>
        <v>0</v>
      </c>
      <c r="AB623" s="2">
        <f t="shared" si="159"/>
        <v>-8659.4092500000006</v>
      </c>
      <c r="AC623" s="759">
        <v>-8215.5408399999997</v>
      </c>
      <c r="AD623" s="741">
        <v>-12613.778329999999</v>
      </c>
      <c r="AE623" s="741">
        <v>-9679.8910599999999</v>
      </c>
      <c r="AF623" s="741">
        <v>-9459.9692699999996</v>
      </c>
      <c r="AG623" s="741">
        <v>-11283.79147</v>
      </c>
      <c r="AH623" s="741">
        <v>-7876.4397199999994</v>
      </c>
      <c r="AI623" s="741">
        <v>-5469.76134</v>
      </c>
      <c r="AJ623" s="741">
        <v>-4895.1275500000002</v>
      </c>
      <c r="AK623" s="741">
        <v>-4149.0336500000003</v>
      </c>
      <c r="AL623" s="741">
        <v>-4370.30555</v>
      </c>
      <c r="AM623" s="741">
        <v>-3950.2043100000001</v>
      </c>
      <c r="AN623" s="741">
        <v>-5700.6721900000002</v>
      </c>
      <c r="AO623" s="741">
        <v>-8659.4092500000006</v>
      </c>
      <c r="AP623" s="41" t="str">
        <f t="shared" si="155"/>
        <v>GLA</v>
      </c>
      <c r="AQ623" s="41" t="str">
        <f t="shared" si="156"/>
        <v>GLAA20</v>
      </c>
      <c r="AR623" s="41" t="str">
        <f t="shared" si="157"/>
        <v>A20</v>
      </c>
      <c r="CR623" s="625"/>
    </row>
    <row r="624" spans="1:96" s="41" customFormat="1" ht="12.75" customHeight="1">
      <c r="A624" s="25" t="s">
        <v>17</v>
      </c>
      <c r="B624" s="25" t="str">
        <f t="shared" si="167"/>
        <v>GL242091</v>
      </c>
      <c r="C624" s="638">
        <v>242091</v>
      </c>
      <c r="D624" s="735"/>
      <c r="F624" s="1" t="s">
        <v>605</v>
      </c>
      <c r="H624" s="736">
        <v>0</v>
      </c>
      <c r="I624" s="25"/>
      <c r="J624" s="25"/>
      <c r="K624" s="442" t="str">
        <f t="shared" si="166"/>
        <v/>
      </c>
      <c r="L624" s="736" t="s">
        <v>2393</v>
      </c>
      <c r="M624" s="25" t="str">
        <f t="shared" si="168"/>
        <v>A</v>
      </c>
      <c r="N624" s="25" t="str">
        <f>IF(L624&lt;&gt;"",VLOOKUP(L624,Categories!$B$2:$D$41,2,FALSE),IF(F624&lt;&gt;"","No Cat",""))</f>
        <v>All Other</v>
      </c>
      <c r="O624" s="25" t="str">
        <f>IF($L624&lt;&gt;"",VLOOKUP($L624,Categories!$B$2:$D$41,3,FALSE),IF($F624&lt;&gt;"","No Cat",""))</f>
        <v>EB-Cap</v>
      </c>
      <c r="P624" s="736" t="s">
        <v>2490</v>
      </c>
      <c r="Q624" s="25" t="str">
        <f>VLOOKUP($P624,Allocators!$B$7:$F$19,5,FALSE)</f>
        <v>Rate Base</v>
      </c>
      <c r="R624" s="737">
        <f>VLOOKUP($P624,Allocators!$B$7:$F$19,2,FALSE)</f>
        <v>0.70940000000000003</v>
      </c>
      <c r="S624" s="737">
        <f>VLOOKUP($P624,Allocators!$B$7:$F$19,3,FALSE)</f>
        <v>0.29060000000000002</v>
      </c>
      <c r="T624" s="737" t="str">
        <f t="shared" si="169"/>
        <v>0.0%</v>
      </c>
      <c r="U624" s="2">
        <f t="shared" si="160"/>
        <v>-9.5964085000000005E-3</v>
      </c>
      <c r="V624" s="2">
        <f t="shared" si="161"/>
        <v>-3.9310915E-3</v>
      </c>
      <c r="W624" s="2">
        <f t="shared" si="162"/>
        <v>0</v>
      </c>
      <c r="X624" s="2">
        <f t="shared" si="158"/>
        <v>-1.35275E-2</v>
      </c>
      <c r="Y624" s="2" t="str">
        <f t="shared" si="163"/>
        <v/>
      </c>
      <c r="Z624" s="2" t="str">
        <f t="shared" si="164"/>
        <v/>
      </c>
      <c r="AA624" s="2" t="str">
        <f t="shared" si="165"/>
        <v/>
      </c>
      <c r="AB624" s="2">
        <f t="shared" si="159"/>
        <v>0</v>
      </c>
      <c r="AC624" s="759">
        <v>0</v>
      </c>
      <c r="AD624" s="741">
        <v>0</v>
      </c>
      <c r="AE624" s="741">
        <v>0</v>
      </c>
      <c r="AF624" s="741">
        <v>0</v>
      </c>
      <c r="AG624" s="741">
        <v>0</v>
      </c>
      <c r="AH624" s="741">
        <v>-7.7299999999999994E-2</v>
      </c>
      <c r="AI624" s="741">
        <v>-7.7299999999999994E-2</v>
      </c>
      <c r="AJ624" s="741">
        <v>-7.7300000000000008E-3</v>
      </c>
      <c r="AK624" s="741">
        <v>0</v>
      </c>
      <c r="AL624" s="741">
        <v>0</v>
      </c>
      <c r="AM624" s="741">
        <v>0</v>
      </c>
      <c r="AN624" s="741">
        <v>0</v>
      </c>
      <c r="AO624" s="741">
        <v>0</v>
      </c>
      <c r="AP624" s="41" t="str">
        <f t="shared" si="155"/>
        <v>GLA</v>
      </c>
      <c r="AQ624" s="41" t="str">
        <f t="shared" si="156"/>
        <v>GLAA20</v>
      </c>
      <c r="AR624" s="41" t="str">
        <f t="shared" si="157"/>
        <v>A20</v>
      </c>
      <c r="CR624" s="625"/>
    </row>
    <row r="625" spans="1:96" s="41" customFormat="1" ht="12.75" customHeight="1">
      <c r="A625" s="25" t="s">
        <v>17</v>
      </c>
      <c r="B625" s="25" t="str">
        <f t="shared" si="167"/>
        <v>GL242100</v>
      </c>
      <c r="C625" s="638">
        <v>242100</v>
      </c>
      <c r="D625" s="735"/>
      <c r="F625" s="1" t="s">
        <v>606</v>
      </c>
      <c r="H625" s="736">
        <v>0</v>
      </c>
      <c r="I625" s="25"/>
      <c r="J625" s="25"/>
      <c r="K625" s="442" t="str">
        <f t="shared" si="166"/>
        <v/>
      </c>
      <c r="L625" s="736" t="s">
        <v>2441</v>
      </c>
      <c r="M625" s="25" t="str">
        <f t="shared" si="168"/>
        <v>R</v>
      </c>
      <c r="N625" s="25" t="str">
        <f>IF(L625&lt;&gt;"",VLOOKUP(L625,Categories!$B$2:$D$41,2,FALSE),IF(F625&lt;&gt;"","No Cat",""))</f>
        <v>Rate Base</v>
      </c>
      <c r="O625" s="25" t="str">
        <f>IF($L625&lt;&gt;"",VLOOKUP($L625,Categories!$B$2:$D$41,3,FALSE),IF($F625&lt;&gt;"","No Cat",""))</f>
        <v>Deferred Debits &amp; Credits</v>
      </c>
      <c r="P625" s="736" t="s">
        <v>2482</v>
      </c>
      <c r="Q625" s="25" t="str">
        <f>VLOOKUP($P625,Allocators!$B$7:$F$19,5,FALSE)</f>
        <v>Electric</v>
      </c>
      <c r="R625" s="737">
        <f>VLOOKUP($P625,Allocators!$B$7:$F$19,2,FALSE)</f>
        <v>1</v>
      </c>
      <c r="S625" s="737">
        <f>VLOOKUP($P625,Allocators!$B$7:$F$19,3,FALSE)</f>
        <v>0</v>
      </c>
      <c r="T625" s="737" t="str">
        <f t="shared" si="169"/>
        <v>0.0%</v>
      </c>
      <c r="U625" s="2" t="str">
        <f t="shared" si="160"/>
        <v/>
      </c>
      <c r="V625" s="2" t="str">
        <f t="shared" si="161"/>
        <v/>
      </c>
      <c r="W625" s="2" t="str">
        <f t="shared" si="162"/>
        <v/>
      </c>
      <c r="X625" s="2">
        <f t="shared" si="158"/>
        <v>0</v>
      </c>
      <c r="Y625" s="2" t="str">
        <f t="shared" si="163"/>
        <v/>
      </c>
      <c r="Z625" s="2" t="str">
        <f t="shared" si="164"/>
        <v/>
      </c>
      <c r="AA625" s="2" t="str">
        <f t="shared" si="165"/>
        <v/>
      </c>
      <c r="AB625" s="2">
        <f t="shared" si="159"/>
        <v>0</v>
      </c>
      <c r="AC625" s="759">
        <v>0</v>
      </c>
      <c r="AD625" s="741">
        <v>0</v>
      </c>
      <c r="AE625" s="741">
        <v>0</v>
      </c>
      <c r="AF625" s="741">
        <v>0</v>
      </c>
      <c r="AG625" s="741">
        <v>0</v>
      </c>
      <c r="AH625" s="741">
        <v>0</v>
      </c>
      <c r="AI625" s="741">
        <v>0</v>
      </c>
      <c r="AJ625" s="741">
        <v>0</v>
      </c>
      <c r="AK625" s="741">
        <v>0</v>
      </c>
      <c r="AL625" s="741">
        <v>0</v>
      </c>
      <c r="AM625" s="741">
        <v>0</v>
      </c>
      <c r="AN625" s="741">
        <v>0</v>
      </c>
      <c r="AO625" s="741">
        <v>0</v>
      </c>
      <c r="AP625" s="41" t="str">
        <f t="shared" si="155"/>
        <v>GLR</v>
      </c>
      <c r="AQ625" s="41" t="str">
        <f t="shared" si="156"/>
        <v>GLRR100</v>
      </c>
      <c r="AR625" s="41" t="str">
        <f t="shared" si="157"/>
        <v>R100</v>
      </c>
    </row>
    <row r="626" spans="1:96" s="41" customFormat="1" ht="12.75" customHeight="1">
      <c r="A626" s="442" t="s">
        <v>17</v>
      </c>
      <c r="B626" s="442" t="str">
        <f t="shared" si="167"/>
        <v>GL242165</v>
      </c>
      <c r="C626" s="638">
        <v>242165</v>
      </c>
      <c r="D626" s="735"/>
      <c r="E626" s="626"/>
      <c r="F626" s="441" t="s">
        <v>607</v>
      </c>
      <c r="G626" s="626"/>
      <c r="H626" s="736">
        <v>0</v>
      </c>
      <c r="I626" s="442"/>
      <c r="J626" s="442"/>
      <c r="K626" s="442" t="str">
        <f t="shared" si="166"/>
        <v/>
      </c>
      <c r="L626" s="736" t="s">
        <v>2421</v>
      </c>
      <c r="M626" s="442" t="str">
        <f t="shared" si="168"/>
        <v>N</v>
      </c>
      <c r="N626" s="442" t="str">
        <f>IF(L626&lt;&gt;"",VLOOKUP(L626,Categories!$B$2:$D$41,2,FALSE),IF(F626&lt;&gt;"","No Cat",""))</f>
        <v>NRBASE</v>
      </c>
      <c r="O626" s="442" t="str">
        <f>IF($L626&lt;&gt;"",VLOOKUP($L626,Categories!$B$2:$D$41,3,FALSE),IF($F626&lt;&gt;"","No Cat",""))</f>
        <v>Direct Assign Items Not in RB</v>
      </c>
      <c r="P626" s="736" t="s">
        <v>2468</v>
      </c>
      <c r="Q626" s="442" t="str">
        <f>VLOOKUP($P626,Allocators!$B$7:$F$19,5,FALSE)</f>
        <v>Not in Rate Base</v>
      </c>
      <c r="R626" s="737">
        <f>VLOOKUP($P626,Allocators!$B$7:$F$19,2,FALSE)</f>
        <v>0</v>
      </c>
      <c r="S626" s="737">
        <f>VLOOKUP($P626,Allocators!$B$7:$F$19,3,FALSE)</f>
        <v>0</v>
      </c>
      <c r="T626" s="737">
        <f t="shared" si="169"/>
        <v>1</v>
      </c>
      <c r="U626" s="2" t="str">
        <f t="shared" si="160"/>
        <v/>
      </c>
      <c r="V626" s="2" t="str">
        <f t="shared" si="161"/>
        <v/>
      </c>
      <c r="W626" s="2" t="str">
        <f t="shared" si="162"/>
        <v/>
      </c>
      <c r="X626" s="2">
        <f t="shared" si="158"/>
        <v>0</v>
      </c>
      <c r="Y626" s="2" t="str">
        <f t="shared" si="163"/>
        <v/>
      </c>
      <c r="Z626" s="2" t="str">
        <f t="shared" si="164"/>
        <v/>
      </c>
      <c r="AA626" s="2" t="str">
        <f t="shared" si="165"/>
        <v/>
      </c>
      <c r="AB626" s="2">
        <f t="shared" si="159"/>
        <v>0</v>
      </c>
      <c r="AC626" s="759">
        <v>0</v>
      </c>
      <c r="AD626" s="741">
        <v>0</v>
      </c>
      <c r="AE626" s="741">
        <v>0</v>
      </c>
      <c r="AF626" s="741">
        <v>0</v>
      </c>
      <c r="AG626" s="741">
        <v>0</v>
      </c>
      <c r="AH626" s="741">
        <v>0</v>
      </c>
      <c r="AI626" s="741">
        <v>0</v>
      </c>
      <c r="AJ626" s="741">
        <v>0</v>
      </c>
      <c r="AK626" s="741">
        <v>0</v>
      </c>
      <c r="AL626" s="741">
        <v>0</v>
      </c>
      <c r="AM626" s="741">
        <v>0</v>
      </c>
      <c r="AN626" s="741">
        <v>0</v>
      </c>
      <c r="AO626" s="741">
        <v>0</v>
      </c>
      <c r="AP626" s="41" t="str">
        <f t="shared" si="155"/>
        <v>GLN</v>
      </c>
      <c r="AQ626" s="41" t="str">
        <f t="shared" si="156"/>
        <v>GLNN20</v>
      </c>
      <c r="AR626" s="41" t="str">
        <f t="shared" si="157"/>
        <v>N20</v>
      </c>
    </row>
    <row r="627" spans="1:96" s="41" customFormat="1" ht="12.75" customHeight="1">
      <c r="A627" s="25" t="s">
        <v>17</v>
      </c>
      <c r="B627" s="25" t="str">
        <f t="shared" si="167"/>
        <v>GL242170</v>
      </c>
      <c r="C627" s="638">
        <v>242170</v>
      </c>
      <c r="D627" s="735"/>
      <c r="F627" s="1" t="s">
        <v>608</v>
      </c>
      <c r="H627" s="736">
        <v>0</v>
      </c>
      <c r="I627" s="25"/>
      <c r="J627" s="25"/>
      <c r="K627" s="442" t="str">
        <f t="shared" si="166"/>
        <v/>
      </c>
      <c r="L627" s="736" t="s">
        <v>2390</v>
      </c>
      <c r="M627" s="25" t="str">
        <f t="shared" si="168"/>
        <v>A</v>
      </c>
      <c r="N627" s="25" t="str">
        <f>IF(L627&lt;&gt;"",VLOOKUP(L627,Categories!$B$2:$D$41,2,FALSE),IF(F627&lt;&gt;"","No Cat",""))</f>
        <v>All Other</v>
      </c>
      <c r="O627" s="25" t="str">
        <f>IF($L627&lt;&gt;"",VLOOKUP($L627,Categories!$B$2:$D$41,3,FALSE),IF($F627&lt;&gt;"","No Cat",""))</f>
        <v>Unused Accounts</v>
      </c>
      <c r="P627" s="736" t="s">
        <v>2490</v>
      </c>
      <c r="Q627" s="25" t="str">
        <f>VLOOKUP($P627,Allocators!$B$7:$F$19,5,FALSE)</f>
        <v>Rate Base</v>
      </c>
      <c r="R627" s="737">
        <f>VLOOKUP($P627,Allocators!$B$7:$F$19,2,FALSE)</f>
        <v>0.70940000000000003</v>
      </c>
      <c r="S627" s="737">
        <f>VLOOKUP($P627,Allocators!$B$7:$F$19,3,FALSE)</f>
        <v>0.29060000000000002</v>
      </c>
      <c r="T627" s="737" t="str">
        <f t="shared" si="169"/>
        <v>0.0%</v>
      </c>
      <c r="U627" s="2" t="str">
        <f t="shared" si="160"/>
        <v/>
      </c>
      <c r="V627" s="2" t="str">
        <f t="shared" si="161"/>
        <v/>
      </c>
      <c r="W627" s="2" t="str">
        <f t="shared" si="162"/>
        <v/>
      </c>
      <c r="X627" s="2">
        <f t="shared" si="158"/>
        <v>0</v>
      </c>
      <c r="Y627" s="2" t="str">
        <f t="shared" si="163"/>
        <v/>
      </c>
      <c r="Z627" s="2" t="str">
        <f t="shared" si="164"/>
        <v/>
      </c>
      <c r="AA627" s="2" t="str">
        <f t="shared" si="165"/>
        <v/>
      </c>
      <c r="AB627" s="2">
        <f t="shared" si="159"/>
        <v>0</v>
      </c>
      <c r="AC627" s="759">
        <v>0</v>
      </c>
      <c r="AD627" s="741">
        <v>0</v>
      </c>
      <c r="AE627" s="741">
        <v>0</v>
      </c>
      <c r="AF627" s="741">
        <v>0</v>
      </c>
      <c r="AG627" s="741">
        <v>0</v>
      </c>
      <c r="AH627" s="741">
        <v>0</v>
      </c>
      <c r="AI627" s="741">
        <v>0</v>
      </c>
      <c r="AJ627" s="741">
        <v>0</v>
      </c>
      <c r="AK627" s="741">
        <v>0</v>
      </c>
      <c r="AL627" s="741">
        <v>0</v>
      </c>
      <c r="AM627" s="741">
        <v>0</v>
      </c>
      <c r="AN627" s="741">
        <v>0</v>
      </c>
      <c r="AO627" s="741">
        <v>0</v>
      </c>
      <c r="AP627" s="41" t="str">
        <f t="shared" si="155"/>
        <v>GLA</v>
      </c>
      <c r="AQ627" s="41" t="str">
        <f t="shared" si="156"/>
        <v>GLAA10</v>
      </c>
      <c r="AR627" s="41" t="str">
        <f t="shared" si="157"/>
        <v>A10</v>
      </c>
      <c r="CR627" s="625"/>
    </row>
    <row r="628" spans="1:96" s="41" customFormat="1" ht="12.75" customHeight="1">
      <c r="A628" s="442" t="s">
        <v>17</v>
      </c>
      <c r="B628" s="442" t="str">
        <f t="shared" si="167"/>
        <v>GL242180</v>
      </c>
      <c r="C628" s="638">
        <v>242180</v>
      </c>
      <c r="D628" s="735"/>
      <c r="E628" s="626"/>
      <c r="F628" s="441" t="s">
        <v>609</v>
      </c>
      <c r="G628" s="626"/>
      <c r="H628" s="736" t="s">
        <v>2561</v>
      </c>
      <c r="I628" s="442"/>
      <c r="J628" s="442"/>
      <c r="K628" s="442" t="str">
        <f t="shared" si="166"/>
        <v/>
      </c>
      <c r="L628" s="736" t="s">
        <v>2421</v>
      </c>
      <c r="M628" s="442" t="str">
        <f t="shared" si="168"/>
        <v>N</v>
      </c>
      <c r="N628" s="442" t="str">
        <f>IF(L628&lt;&gt;"",VLOOKUP(L628,Categories!$B$2:$D$41,2,FALSE),IF(F628&lt;&gt;"","No Cat",""))</f>
        <v>NRBASE</v>
      </c>
      <c r="O628" s="442" t="str">
        <f>IF($L628&lt;&gt;"",VLOOKUP($L628,Categories!$B$2:$D$41,3,FALSE),IF($F628&lt;&gt;"","No Cat",""))</f>
        <v>Direct Assign Items Not in RB</v>
      </c>
      <c r="P628" s="736" t="s">
        <v>2468</v>
      </c>
      <c r="Q628" s="442" t="str">
        <f>VLOOKUP($P628,Allocators!$B$7:$F$19,5,FALSE)</f>
        <v>Not in Rate Base</v>
      </c>
      <c r="R628" s="737">
        <f>VLOOKUP($P628,Allocators!$B$7:$F$19,2,FALSE)</f>
        <v>0</v>
      </c>
      <c r="S628" s="737">
        <f>VLOOKUP($P628,Allocators!$B$7:$F$19,3,FALSE)</f>
        <v>0</v>
      </c>
      <c r="T628" s="737">
        <f t="shared" si="169"/>
        <v>1</v>
      </c>
      <c r="U628" s="2" t="str">
        <f t="shared" si="160"/>
        <v/>
      </c>
      <c r="V628" s="2" t="str">
        <f t="shared" si="161"/>
        <v/>
      </c>
      <c r="W628" s="2" t="str">
        <f t="shared" si="162"/>
        <v/>
      </c>
      <c r="X628" s="2">
        <f t="shared" si="158"/>
        <v>0</v>
      </c>
      <c r="Y628" s="2" t="str">
        <f t="shared" si="163"/>
        <v/>
      </c>
      <c r="Z628" s="2" t="str">
        <f t="shared" si="164"/>
        <v/>
      </c>
      <c r="AA628" s="2" t="str">
        <f t="shared" si="165"/>
        <v/>
      </c>
      <c r="AB628" s="2">
        <f t="shared" si="159"/>
        <v>0</v>
      </c>
      <c r="AC628" s="759">
        <v>0</v>
      </c>
      <c r="AD628" s="741">
        <v>0</v>
      </c>
      <c r="AE628" s="741">
        <v>0</v>
      </c>
      <c r="AF628" s="741">
        <v>0</v>
      </c>
      <c r="AG628" s="741">
        <v>0</v>
      </c>
      <c r="AH628" s="741">
        <v>0</v>
      </c>
      <c r="AI628" s="741">
        <v>0</v>
      </c>
      <c r="AJ628" s="741">
        <v>0</v>
      </c>
      <c r="AK628" s="741">
        <v>0</v>
      </c>
      <c r="AL628" s="741">
        <v>0</v>
      </c>
      <c r="AM628" s="741">
        <v>0</v>
      </c>
      <c r="AN628" s="741">
        <v>0</v>
      </c>
      <c r="AO628" s="741">
        <v>0</v>
      </c>
      <c r="AP628" s="41" t="str">
        <f t="shared" si="155"/>
        <v>GLN</v>
      </c>
      <c r="AQ628" s="41" t="str">
        <f t="shared" si="156"/>
        <v>GLNN2Nine Mile 2 Costs</v>
      </c>
      <c r="AR628" s="41" t="str">
        <f t="shared" si="157"/>
        <v>N2Nine Mile 2 Costs</v>
      </c>
    </row>
    <row r="629" spans="1:96" s="41" customFormat="1" ht="12.75" customHeight="1">
      <c r="A629" s="442" t="s">
        <v>17</v>
      </c>
      <c r="B629" s="442" t="str">
        <f t="shared" si="167"/>
        <v>GL242190</v>
      </c>
      <c r="C629" s="638">
        <v>242190</v>
      </c>
      <c r="D629" s="735"/>
      <c r="E629" s="626"/>
      <c r="F629" s="441" t="s">
        <v>610</v>
      </c>
      <c r="G629" s="626"/>
      <c r="H629" s="736">
        <v>0</v>
      </c>
      <c r="I629" s="442"/>
      <c r="J629" s="442"/>
      <c r="K629" s="442" t="str">
        <f t="shared" si="166"/>
        <v/>
      </c>
      <c r="L629" s="736" t="s">
        <v>2421</v>
      </c>
      <c r="M629" s="442" t="str">
        <f t="shared" si="168"/>
        <v>N</v>
      </c>
      <c r="N629" s="442" t="str">
        <f>IF(L629&lt;&gt;"",VLOOKUP(L629,Categories!$B$2:$D$41,2,FALSE),IF(F629&lt;&gt;"","No Cat",""))</f>
        <v>NRBASE</v>
      </c>
      <c r="O629" s="442" t="str">
        <f>IF($L629&lt;&gt;"",VLOOKUP($L629,Categories!$B$2:$D$41,3,FALSE),IF($F629&lt;&gt;"","No Cat",""))</f>
        <v>Direct Assign Items Not in RB</v>
      </c>
      <c r="P629" s="736" t="s">
        <v>2468</v>
      </c>
      <c r="Q629" s="442" t="str">
        <f>VLOOKUP($P629,Allocators!$B$7:$F$19,5,FALSE)</f>
        <v>Not in Rate Base</v>
      </c>
      <c r="R629" s="737">
        <f>VLOOKUP($P629,Allocators!$B$7:$F$19,2,FALSE)</f>
        <v>0</v>
      </c>
      <c r="S629" s="737">
        <f>VLOOKUP($P629,Allocators!$B$7:$F$19,3,FALSE)</f>
        <v>0</v>
      </c>
      <c r="T629" s="737">
        <f t="shared" si="169"/>
        <v>1</v>
      </c>
      <c r="U629" s="2" t="str">
        <f t="shared" si="160"/>
        <v/>
      </c>
      <c r="V629" s="2" t="str">
        <f t="shared" si="161"/>
        <v/>
      </c>
      <c r="W629" s="2" t="str">
        <f t="shared" si="162"/>
        <v/>
      </c>
      <c r="X629" s="2">
        <f t="shared" si="158"/>
        <v>0</v>
      </c>
      <c r="Y629" s="2" t="str">
        <f t="shared" si="163"/>
        <v/>
      </c>
      <c r="Z629" s="2" t="str">
        <f t="shared" si="164"/>
        <v/>
      </c>
      <c r="AA629" s="2" t="str">
        <f t="shared" si="165"/>
        <v/>
      </c>
      <c r="AB629" s="2">
        <f t="shared" si="159"/>
        <v>0</v>
      </c>
      <c r="AC629" s="759">
        <v>0</v>
      </c>
      <c r="AD629" s="741">
        <v>0</v>
      </c>
      <c r="AE629" s="741">
        <v>0</v>
      </c>
      <c r="AF629" s="741">
        <v>0</v>
      </c>
      <c r="AG629" s="741">
        <v>0</v>
      </c>
      <c r="AH629" s="741">
        <v>0</v>
      </c>
      <c r="AI629" s="741">
        <v>0</v>
      </c>
      <c r="AJ629" s="741">
        <v>0</v>
      </c>
      <c r="AK629" s="741">
        <v>0</v>
      </c>
      <c r="AL629" s="741">
        <v>0</v>
      </c>
      <c r="AM629" s="741">
        <v>0</v>
      </c>
      <c r="AN629" s="741">
        <v>0</v>
      </c>
      <c r="AO629" s="741">
        <v>0</v>
      </c>
      <c r="AP629" s="41" t="str">
        <f t="shared" si="155"/>
        <v>GLN</v>
      </c>
      <c r="AQ629" s="41" t="str">
        <f t="shared" si="156"/>
        <v>GLNN20</v>
      </c>
      <c r="AR629" s="41" t="str">
        <f t="shared" si="157"/>
        <v>N20</v>
      </c>
    </row>
    <row r="630" spans="1:96" s="41" customFormat="1" ht="12.75" customHeight="1">
      <c r="A630" s="442" t="s">
        <v>17</v>
      </c>
      <c r="B630" s="442" t="str">
        <f t="shared" si="167"/>
        <v>GL242195</v>
      </c>
      <c r="C630" s="638">
        <v>242195</v>
      </c>
      <c r="D630" s="735"/>
      <c r="E630" s="626"/>
      <c r="F630" s="441" t="s">
        <v>4041</v>
      </c>
      <c r="G630" s="626"/>
      <c r="H630" s="736">
        <v>0</v>
      </c>
      <c r="I630" s="442"/>
      <c r="J630" s="442"/>
      <c r="K630" s="442" t="str">
        <f t="shared" si="166"/>
        <v/>
      </c>
      <c r="L630" s="736" t="s">
        <v>2393</v>
      </c>
      <c r="M630" s="442" t="str">
        <f t="shared" ref="M630" si="181">LEFT(L630,1)</f>
        <v>A</v>
      </c>
      <c r="N630" s="442" t="str">
        <f>IF(L630&lt;&gt;"",VLOOKUP(L630,Categories!$B$2:$D$41,2,FALSE),IF(F630&lt;&gt;"","No Cat",""))</f>
        <v>All Other</v>
      </c>
      <c r="O630" s="442" t="str">
        <f>IF($L630&lt;&gt;"",VLOOKUP($L630,Categories!$B$2:$D$41,3,FALSE),IF($F630&lt;&gt;"","No Cat",""))</f>
        <v>EB-Cap</v>
      </c>
      <c r="P630" s="736" t="s">
        <v>2490</v>
      </c>
      <c r="Q630" s="442" t="str">
        <f>VLOOKUP($P630,Allocators!$B$7:$F$19,5,FALSE)</f>
        <v>Rate Base</v>
      </c>
      <c r="R630" s="737">
        <f>VLOOKUP($P630,Allocators!$B$7:$F$19,2,FALSE)</f>
        <v>0.70940000000000003</v>
      </c>
      <c r="S630" s="737">
        <f>VLOOKUP($P630,Allocators!$B$7:$F$19,3,FALSE)</f>
        <v>0.29060000000000002</v>
      </c>
      <c r="T630" s="737" t="str">
        <f t="shared" ref="T630" si="182">IF(P630="N",1,"0.0%")</f>
        <v>0.0%</v>
      </c>
      <c r="U630" s="2">
        <f t="shared" si="160"/>
        <v>-1.19709417383334</v>
      </c>
      <c r="V630" s="2">
        <f t="shared" si="161"/>
        <v>-0.490379992833334</v>
      </c>
      <c r="W630" s="2">
        <f t="shared" si="162"/>
        <v>0</v>
      </c>
      <c r="X630" s="2">
        <f t="shared" si="158"/>
        <v>-1.6874741666666699</v>
      </c>
      <c r="Y630" s="2">
        <f t="shared" si="163"/>
        <v>-1.3707452440000001</v>
      </c>
      <c r="Z630" s="2">
        <f t="shared" si="164"/>
        <v>-0.561514756</v>
      </c>
      <c r="AA630" s="2">
        <f t="shared" si="165"/>
        <v>0</v>
      </c>
      <c r="AB630" s="2">
        <f t="shared" si="159"/>
        <v>-1.9322600000000001</v>
      </c>
      <c r="AC630" s="759">
        <v>-1.2910599999999999</v>
      </c>
      <c r="AD630" s="741">
        <v>-1.8817600000000001</v>
      </c>
      <c r="AE630" s="741">
        <v>-1.6823900000000001</v>
      </c>
      <c r="AF630" s="741">
        <v>-1.6728900000000002</v>
      </c>
      <c r="AG630" s="741">
        <v>-1.4927000000000001</v>
      </c>
      <c r="AH630" s="741">
        <v>-1.6748399999999999</v>
      </c>
      <c r="AI630" s="741">
        <v>-1.9801</v>
      </c>
      <c r="AJ630" s="741">
        <v>-1.3874000000000002</v>
      </c>
      <c r="AK630" s="741">
        <v>-1.9922</v>
      </c>
      <c r="AL630" s="741">
        <v>-1.96851</v>
      </c>
      <c r="AM630" s="741">
        <v>-1.6355500000000001</v>
      </c>
      <c r="AN630" s="741">
        <v>-1.26969</v>
      </c>
      <c r="AO630" s="741">
        <v>-1.9322600000000001</v>
      </c>
      <c r="AP630" s="41" t="str">
        <f t="shared" si="155"/>
        <v>GLA</v>
      </c>
      <c r="AQ630" s="41" t="str">
        <f t="shared" si="156"/>
        <v>GLAA20</v>
      </c>
      <c r="AR630" s="41" t="str">
        <f t="shared" si="157"/>
        <v>A20</v>
      </c>
      <c r="CR630" s="625"/>
    </row>
    <row r="631" spans="1:96" s="41" customFormat="1" ht="12.75" customHeight="1">
      <c r="A631" s="25" t="s">
        <v>17</v>
      </c>
      <c r="B631" s="25" t="str">
        <f t="shared" si="167"/>
        <v>GL242245</v>
      </c>
      <c r="C631" s="638">
        <v>242245</v>
      </c>
      <c r="D631" s="735"/>
      <c r="F631" s="1" t="s">
        <v>2555</v>
      </c>
      <c r="H631" s="736" t="s">
        <v>1135</v>
      </c>
      <c r="I631" s="25"/>
      <c r="J631" s="25"/>
      <c r="K631" s="442" t="str">
        <f t="shared" si="166"/>
        <v/>
      </c>
      <c r="L631" s="736" t="s">
        <v>2441</v>
      </c>
      <c r="M631" s="25" t="str">
        <f t="shared" si="168"/>
        <v>R</v>
      </c>
      <c r="N631" s="25" t="str">
        <f>IF(L631&lt;&gt;"",VLOOKUP(L631,Categories!$B$2:$D$41,2,FALSE),IF(F631&lt;&gt;"","No Cat",""))</f>
        <v>Rate Base</v>
      </c>
      <c r="O631" s="25" t="str">
        <f>IF($L631&lt;&gt;"",VLOOKUP($L631,Categories!$B$2:$D$41,3,FALSE),IF($F631&lt;&gt;"","No Cat",""))</f>
        <v>Deferred Debits &amp; Credits</v>
      </c>
      <c r="P631" s="736" t="s">
        <v>2487</v>
      </c>
      <c r="Q631" s="25" t="str">
        <f>VLOOKUP($P631,Allocators!$B$7:$F$19,5,FALSE)</f>
        <v>Payroll</v>
      </c>
      <c r="R631" s="737">
        <f>VLOOKUP($P631,Allocators!$B$7:$F$19,2,FALSE)</f>
        <v>0.61780000000000002</v>
      </c>
      <c r="S631" s="737">
        <f>VLOOKUP($P631,Allocators!$B$7:$F$19,3,FALSE)</f>
        <v>0.38219999999999998</v>
      </c>
      <c r="T631" s="737" t="str">
        <f t="shared" si="169"/>
        <v>0.0%</v>
      </c>
      <c r="U631" s="2">
        <f t="shared" si="160"/>
        <v>-3856.0007850749998</v>
      </c>
      <c r="V631" s="2">
        <f t="shared" si="161"/>
        <v>-2385.5025899249999</v>
      </c>
      <c r="W631" s="2">
        <f t="shared" si="162"/>
        <v>0</v>
      </c>
      <c r="X631" s="2">
        <f t="shared" si="158"/>
        <v>-6241.5033750000002</v>
      </c>
      <c r="Y631" s="2">
        <f t="shared" si="163"/>
        <v>-3755.7964824000001</v>
      </c>
      <c r="Z631" s="2">
        <f t="shared" si="164"/>
        <v>-2323.5115175999999</v>
      </c>
      <c r="AA631" s="2">
        <f t="shared" si="165"/>
        <v>0</v>
      </c>
      <c r="AB631" s="2">
        <f t="shared" si="159"/>
        <v>-6079.308</v>
      </c>
      <c r="AC631" s="759">
        <v>-7376.8710000000001</v>
      </c>
      <c r="AD631" s="741">
        <v>-7376.8710000000001</v>
      </c>
      <c r="AE631" s="741">
        <v>-6079.308</v>
      </c>
      <c r="AF631" s="741">
        <v>-6079.308</v>
      </c>
      <c r="AG631" s="741">
        <v>-6079.308</v>
      </c>
      <c r="AH631" s="741">
        <v>-6079.308</v>
      </c>
      <c r="AI631" s="741">
        <v>-6079.308</v>
      </c>
      <c r="AJ631" s="741">
        <v>-6079.308</v>
      </c>
      <c r="AK631" s="741">
        <v>-6079.308</v>
      </c>
      <c r="AL631" s="741">
        <v>-6079.308</v>
      </c>
      <c r="AM631" s="741">
        <v>-6079.308</v>
      </c>
      <c r="AN631" s="741">
        <v>-6079.308</v>
      </c>
      <c r="AO631" s="741">
        <v>-6079.308</v>
      </c>
      <c r="AP631" s="41" t="str">
        <f t="shared" si="155"/>
        <v>GLR</v>
      </c>
      <c r="AQ631" s="41" t="str">
        <f t="shared" si="156"/>
        <v>GLRR10OPEB Reserve</v>
      </c>
      <c r="AR631" s="41" t="str">
        <f t="shared" si="157"/>
        <v>R10OPEB Reserve</v>
      </c>
    </row>
    <row r="632" spans="1:96" s="41" customFormat="1" ht="12.75" customHeight="1">
      <c r="A632" s="25" t="s">
        <v>17</v>
      </c>
      <c r="B632" s="25" t="str">
        <f t="shared" si="167"/>
        <v>GL242250</v>
      </c>
      <c r="C632" s="638">
        <v>242250</v>
      </c>
      <c r="D632" s="735"/>
      <c r="F632" s="1" t="s">
        <v>611</v>
      </c>
      <c r="H632" s="736">
        <v>0</v>
      </c>
      <c r="I632" s="25"/>
      <c r="J632" s="25"/>
      <c r="K632" s="442" t="str">
        <f t="shared" si="166"/>
        <v/>
      </c>
      <c r="L632" s="736" t="s">
        <v>2393</v>
      </c>
      <c r="M632" s="25" t="str">
        <f t="shared" si="168"/>
        <v>A</v>
      </c>
      <c r="N632" s="25" t="str">
        <f>IF(L632&lt;&gt;"",VLOOKUP(L632,Categories!$B$2:$D$41,2,FALSE),IF(F632&lt;&gt;"","No Cat",""))</f>
        <v>All Other</v>
      </c>
      <c r="O632" s="25" t="str">
        <f>IF($L632&lt;&gt;"",VLOOKUP($L632,Categories!$B$2:$D$41,3,FALSE),IF($F632&lt;&gt;"","No Cat",""))</f>
        <v>EB-Cap</v>
      </c>
      <c r="P632" s="736" t="s">
        <v>2490</v>
      </c>
      <c r="Q632" s="25" t="str">
        <f>VLOOKUP($P632,Allocators!$B$7:$F$19,5,FALSE)</f>
        <v>Rate Base</v>
      </c>
      <c r="R632" s="737">
        <f>VLOOKUP($P632,Allocators!$B$7:$F$19,2,FALSE)</f>
        <v>0.70940000000000003</v>
      </c>
      <c r="S632" s="737">
        <f>VLOOKUP($P632,Allocators!$B$7:$F$19,3,FALSE)</f>
        <v>0.29060000000000002</v>
      </c>
      <c r="T632" s="737" t="str">
        <f t="shared" si="169"/>
        <v>0.0%</v>
      </c>
      <c r="U632" s="2">
        <f t="shared" si="160"/>
        <v>6.4356490151666597</v>
      </c>
      <c r="V632" s="2">
        <f t="shared" si="161"/>
        <v>2.63631181816667</v>
      </c>
      <c r="W632" s="2">
        <f t="shared" si="162"/>
        <v>0</v>
      </c>
      <c r="X632" s="2">
        <f t="shared" si="158"/>
        <v>9.0719608333333301</v>
      </c>
      <c r="Y632" s="2" t="str">
        <f t="shared" si="163"/>
        <v/>
      </c>
      <c r="Z632" s="2" t="str">
        <f t="shared" si="164"/>
        <v/>
      </c>
      <c r="AA632" s="2" t="str">
        <f t="shared" si="165"/>
        <v/>
      </c>
      <c r="AB632" s="2">
        <f t="shared" si="159"/>
        <v>0</v>
      </c>
      <c r="AC632" s="759">
        <v>19.30566</v>
      </c>
      <c r="AD632" s="741">
        <v>19.30566</v>
      </c>
      <c r="AE632" s="741">
        <v>19.30566</v>
      </c>
      <c r="AF632" s="741">
        <v>19.30566</v>
      </c>
      <c r="AG632" s="741">
        <v>12.56963</v>
      </c>
      <c r="AH632" s="741">
        <v>12.482089999999999</v>
      </c>
      <c r="AI632" s="741">
        <v>12.509790000000001</v>
      </c>
      <c r="AJ632" s="741">
        <v>12.509790000000001</v>
      </c>
      <c r="AK632" s="741">
        <v>12.509790000000001</v>
      </c>
      <c r="AL632" s="741">
        <v>-24.289570000000001</v>
      </c>
      <c r="AM632" s="741">
        <v>1.5010999999999999</v>
      </c>
      <c r="AN632" s="741">
        <v>1.5010999999999999</v>
      </c>
      <c r="AO632" s="741">
        <v>0</v>
      </c>
      <c r="AP632" s="41" t="str">
        <f t="shared" si="155"/>
        <v>GLA</v>
      </c>
      <c r="AQ632" s="41" t="str">
        <f t="shared" si="156"/>
        <v>GLAA20</v>
      </c>
      <c r="AR632" s="41" t="str">
        <f t="shared" si="157"/>
        <v>A20</v>
      </c>
      <c r="CR632" s="625"/>
    </row>
    <row r="633" spans="1:96" s="41" customFormat="1" ht="12.75" customHeight="1">
      <c r="A633" s="25" t="s">
        <v>17</v>
      </c>
      <c r="B633" s="25" t="str">
        <f t="shared" si="167"/>
        <v>GL242260</v>
      </c>
      <c r="C633" s="638">
        <v>242260</v>
      </c>
      <c r="D633" s="735"/>
      <c r="F633" s="1" t="s">
        <v>612</v>
      </c>
      <c r="H633" s="736">
        <v>0</v>
      </c>
      <c r="I633" s="25"/>
      <c r="J633" s="25"/>
      <c r="K633" s="442" t="str">
        <f t="shared" si="166"/>
        <v/>
      </c>
      <c r="L633" s="736" t="s">
        <v>2393</v>
      </c>
      <c r="M633" s="25" t="str">
        <f t="shared" si="168"/>
        <v>A</v>
      </c>
      <c r="N633" s="25" t="str">
        <f>IF(L633&lt;&gt;"",VLOOKUP(L633,Categories!$B$2:$D$41,2,FALSE),IF(F633&lt;&gt;"","No Cat",""))</f>
        <v>All Other</v>
      </c>
      <c r="O633" s="25" t="str">
        <f>IF($L633&lt;&gt;"",VLOOKUP($L633,Categories!$B$2:$D$41,3,FALSE),IF($F633&lt;&gt;"","No Cat",""))</f>
        <v>EB-Cap</v>
      </c>
      <c r="P633" s="736" t="s">
        <v>2490</v>
      </c>
      <c r="Q633" s="25" t="str">
        <f>VLOOKUP($P633,Allocators!$B$7:$F$19,5,FALSE)</f>
        <v>Rate Base</v>
      </c>
      <c r="R633" s="737">
        <f>VLOOKUP($P633,Allocators!$B$7:$F$19,2,FALSE)</f>
        <v>0.70940000000000003</v>
      </c>
      <c r="S633" s="737">
        <f>VLOOKUP($P633,Allocators!$B$7:$F$19,3,FALSE)</f>
        <v>0.29060000000000002</v>
      </c>
      <c r="T633" s="737" t="str">
        <f t="shared" si="169"/>
        <v>0.0%</v>
      </c>
      <c r="U633" s="2">
        <f t="shared" si="160"/>
        <v>-1250.34730159841</v>
      </c>
      <c r="V633" s="2">
        <f t="shared" si="161"/>
        <v>-512.19470798491602</v>
      </c>
      <c r="W633" s="2">
        <f t="shared" si="162"/>
        <v>0</v>
      </c>
      <c r="X633" s="2">
        <f t="shared" si="158"/>
        <v>-1762.5420095833299</v>
      </c>
      <c r="Y633" s="2">
        <f t="shared" si="163"/>
        <v>-132.09316725799999</v>
      </c>
      <c r="Z633" s="2">
        <f t="shared" si="164"/>
        <v>-54.110902742</v>
      </c>
      <c r="AA633" s="2">
        <f t="shared" si="165"/>
        <v>0</v>
      </c>
      <c r="AB633" s="2">
        <f t="shared" si="159"/>
        <v>-186.20407</v>
      </c>
      <c r="AC633" s="759">
        <v>-3080.6607200000003</v>
      </c>
      <c r="AD633" s="741">
        <v>-1951.3279700000001</v>
      </c>
      <c r="AE633" s="741">
        <v>-4026.7412000000004</v>
      </c>
      <c r="AF633" s="741">
        <v>-1906.0240900000001</v>
      </c>
      <c r="AG633" s="741">
        <v>-1369.1682599999999</v>
      </c>
      <c r="AH633" s="741">
        <v>-1305.3888999999999</v>
      </c>
      <c r="AI633" s="741">
        <v>-1483.26585</v>
      </c>
      <c r="AJ633" s="741">
        <v>-1449.9878100000001</v>
      </c>
      <c r="AK633" s="741">
        <v>-1229.6680100000001</v>
      </c>
      <c r="AL633" s="741">
        <v>-1207.05963</v>
      </c>
      <c r="AM633" s="741">
        <v>-707.00032999999996</v>
      </c>
      <c r="AN633" s="741">
        <v>-2881.4396699999998</v>
      </c>
      <c r="AO633" s="741">
        <v>-186.20407</v>
      </c>
      <c r="AP633" s="41" t="str">
        <f t="shared" si="155"/>
        <v>GLA</v>
      </c>
      <c r="AQ633" s="41" t="str">
        <f t="shared" si="156"/>
        <v>GLAA20</v>
      </c>
      <c r="AR633" s="41" t="str">
        <f t="shared" si="157"/>
        <v>A20</v>
      </c>
      <c r="CR633" s="625"/>
    </row>
    <row r="634" spans="1:96" s="41" customFormat="1" ht="12.75" customHeight="1">
      <c r="A634" s="25" t="s">
        <v>17</v>
      </c>
      <c r="B634" s="25" t="str">
        <f t="shared" si="167"/>
        <v>GL242355</v>
      </c>
      <c r="C634" s="638">
        <v>242355</v>
      </c>
      <c r="D634" s="735"/>
      <c r="F634" s="1" t="s">
        <v>613</v>
      </c>
      <c r="H634" s="736">
        <v>0</v>
      </c>
      <c r="I634" s="25"/>
      <c r="J634" s="25"/>
      <c r="K634" s="442" t="str">
        <f t="shared" si="166"/>
        <v/>
      </c>
      <c r="L634" s="736" t="s">
        <v>2390</v>
      </c>
      <c r="M634" s="25" t="str">
        <f t="shared" si="168"/>
        <v>A</v>
      </c>
      <c r="N634" s="25" t="str">
        <f>IF(L634&lt;&gt;"",VLOOKUP(L634,Categories!$B$2:$D$41,2,FALSE),IF(F634&lt;&gt;"","No Cat",""))</f>
        <v>All Other</v>
      </c>
      <c r="O634" s="25" t="str">
        <f>IF($L634&lt;&gt;"",VLOOKUP($L634,Categories!$B$2:$D$41,3,FALSE),IF($F634&lt;&gt;"","No Cat",""))</f>
        <v>Unused Accounts</v>
      </c>
      <c r="P634" s="736" t="s">
        <v>2490</v>
      </c>
      <c r="Q634" s="25" t="str">
        <f>VLOOKUP($P634,Allocators!$B$7:$F$19,5,FALSE)</f>
        <v>Rate Base</v>
      </c>
      <c r="R634" s="737">
        <f>VLOOKUP($P634,Allocators!$B$7:$F$19,2,FALSE)</f>
        <v>0.70940000000000003</v>
      </c>
      <c r="S634" s="737">
        <f>VLOOKUP($P634,Allocators!$B$7:$F$19,3,FALSE)</f>
        <v>0.29060000000000002</v>
      </c>
      <c r="T634" s="737" t="str">
        <f t="shared" si="169"/>
        <v>0.0%</v>
      </c>
      <c r="U634" s="2">
        <f t="shared" si="160"/>
        <v>2.8121798333340001E-3</v>
      </c>
      <c r="V634" s="2">
        <f t="shared" si="161"/>
        <v>1.1519868333330001E-3</v>
      </c>
      <c r="W634" s="2">
        <f t="shared" si="162"/>
        <v>0</v>
      </c>
      <c r="X634" s="2">
        <f t="shared" si="158"/>
        <v>3.9641666666670001E-3</v>
      </c>
      <c r="Y634" s="2" t="str">
        <f t="shared" si="163"/>
        <v/>
      </c>
      <c r="Z634" s="2" t="str">
        <f t="shared" si="164"/>
        <v/>
      </c>
      <c r="AA634" s="2" t="str">
        <f t="shared" si="165"/>
        <v/>
      </c>
      <c r="AB634" s="2">
        <f t="shared" si="159"/>
        <v>0</v>
      </c>
      <c r="AC634" s="759">
        <v>0</v>
      </c>
      <c r="AD634" s="741">
        <v>0</v>
      </c>
      <c r="AE634" s="741">
        <v>0</v>
      </c>
      <c r="AF634" s="741">
        <v>0</v>
      </c>
      <c r="AG634" s="741">
        <v>0</v>
      </c>
      <c r="AH634" s="741">
        <v>0</v>
      </c>
      <c r="AI634" s="741">
        <v>0</v>
      </c>
      <c r="AJ634" s="741">
        <v>0</v>
      </c>
      <c r="AK634" s="741">
        <v>0</v>
      </c>
      <c r="AL634" s="741">
        <v>0</v>
      </c>
      <c r="AM634" s="741">
        <v>0</v>
      </c>
      <c r="AN634" s="741">
        <v>4.7570000000000001E-2</v>
      </c>
      <c r="AO634" s="741">
        <v>0</v>
      </c>
      <c r="AP634" s="41" t="str">
        <f t="shared" si="155"/>
        <v>GLA</v>
      </c>
      <c r="AQ634" s="41" t="str">
        <f t="shared" si="156"/>
        <v>GLAA10</v>
      </c>
      <c r="AR634" s="41" t="str">
        <f t="shared" si="157"/>
        <v>A10</v>
      </c>
      <c r="CR634" s="625"/>
    </row>
    <row r="635" spans="1:96" s="41" customFormat="1" ht="12.75" customHeight="1">
      <c r="A635" s="25" t="s">
        <v>17</v>
      </c>
      <c r="B635" s="25" t="str">
        <f t="shared" si="167"/>
        <v>GL242356</v>
      </c>
      <c r="C635" s="638">
        <v>242356</v>
      </c>
      <c r="D635" s="735"/>
      <c r="F635" s="1" t="s">
        <v>614</v>
      </c>
      <c r="H635" s="736" t="s">
        <v>1330</v>
      </c>
      <c r="I635" s="25"/>
      <c r="J635" s="25"/>
      <c r="K635" s="442" t="str">
        <f t="shared" si="166"/>
        <v/>
      </c>
      <c r="L635" s="736" t="s">
        <v>2393</v>
      </c>
      <c r="M635" s="25" t="str">
        <f t="shared" si="168"/>
        <v>A</v>
      </c>
      <c r="N635" s="25" t="str">
        <f>IF(L635&lt;&gt;"",VLOOKUP(L635,Categories!$B$2:$D$41,2,FALSE),IF(F635&lt;&gt;"","No Cat",""))</f>
        <v>All Other</v>
      </c>
      <c r="O635" s="25" t="str">
        <f>IF($L635&lt;&gt;"",VLOOKUP($L635,Categories!$B$2:$D$41,3,FALSE),IF($F635&lt;&gt;"","No Cat",""))</f>
        <v>EB-Cap</v>
      </c>
      <c r="P635" s="736" t="s">
        <v>2490</v>
      </c>
      <c r="Q635" s="25" t="str">
        <f>VLOOKUP($P635,Allocators!$B$7:$F$19,5,FALSE)</f>
        <v>Rate Base</v>
      </c>
      <c r="R635" s="737">
        <f>VLOOKUP($P635,Allocators!$B$7:$F$19,2,FALSE)</f>
        <v>0.70940000000000003</v>
      </c>
      <c r="S635" s="737">
        <f>VLOOKUP($P635,Allocators!$B$7:$F$19,3,FALSE)</f>
        <v>0.29060000000000002</v>
      </c>
      <c r="T635" s="737" t="str">
        <f t="shared" si="169"/>
        <v>0.0%</v>
      </c>
      <c r="U635" s="2" t="str">
        <f t="shared" si="160"/>
        <v/>
      </c>
      <c r="V635" s="2" t="str">
        <f t="shared" si="161"/>
        <v/>
      </c>
      <c r="W635" s="2" t="str">
        <f t="shared" si="162"/>
        <v/>
      </c>
      <c r="X635" s="2">
        <f t="shared" si="158"/>
        <v>0</v>
      </c>
      <c r="Y635" s="2" t="str">
        <f t="shared" si="163"/>
        <v/>
      </c>
      <c r="Z635" s="2" t="str">
        <f t="shared" si="164"/>
        <v/>
      </c>
      <c r="AA635" s="2" t="str">
        <f t="shared" si="165"/>
        <v/>
      </c>
      <c r="AB635" s="2">
        <f t="shared" si="159"/>
        <v>0</v>
      </c>
      <c r="AC635" s="759">
        <v>0</v>
      </c>
      <c r="AD635" s="741">
        <v>0</v>
      </c>
      <c r="AE635" s="741">
        <v>0</v>
      </c>
      <c r="AF635" s="741">
        <v>0</v>
      </c>
      <c r="AG635" s="741">
        <v>0</v>
      </c>
      <c r="AH635" s="741">
        <v>0</v>
      </c>
      <c r="AI635" s="741">
        <v>0</v>
      </c>
      <c r="AJ635" s="741">
        <v>0</v>
      </c>
      <c r="AK635" s="741">
        <v>0</v>
      </c>
      <c r="AL635" s="741">
        <v>0</v>
      </c>
      <c r="AM635" s="741">
        <v>0</v>
      </c>
      <c r="AN635" s="741">
        <v>0</v>
      </c>
      <c r="AO635" s="741">
        <v>0</v>
      </c>
      <c r="AP635" s="41" t="str">
        <f t="shared" si="155"/>
        <v>GLA</v>
      </c>
      <c r="AQ635" s="41" t="str">
        <f t="shared" si="156"/>
        <v>GLAA2ASGA</v>
      </c>
      <c r="AR635" s="41" t="str">
        <f t="shared" si="157"/>
        <v>A2ASGA</v>
      </c>
      <c r="CR635" s="625"/>
    </row>
    <row r="636" spans="1:96" s="41" customFormat="1" ht="12.75" customHeight="1">
      <c r="A636" s="25" t="s">
        <v>17</v>
      </c>
      <c r="B636" s="25" t="str">
        <f t="shared" si="167"/>
        <v>GL242390</v>
      </c>
      <c r="C636" s="638">
        <v>242390</v>
      </c>
      <c r="D636" s="735"/>
      <c r="F636" s="1" t="s">
        <v>615</v>
      </c>
      <c r="H636" s="736">
        <v>0</v>
      </c>
      <c r="I636" s="25"/>
      <c r="J636" s="25"/>
      <c r="K636" s="442" t="str">
        <f t="shared" si="166"/>
        <v/>
      </c>
      <c r="L636" s="736" t="s">
        <v>2393</v>
      </c>
      <c r="M636" s="25" t="str">
        <f t="shared" si="168"/>
        <v>A</v>
      </c>
      <c r="N636" s="25" t="str">
        <f>IF(L636&lt;&gt;"",VLOOKUP(L636,Categories!$B$2:$D$41,2,FALSE),IF(F636&lt;&gt;"","No Cat",""))</f>
        <v>All Other</v>
      </c>
      <c r="O636" s="25" t="str">
        <f>IF($L636&lt;&gt;"",VLOOKUP($L636,Categories!$B$2:$D$41,3,FALSE),IF($F636&lt;&gt;"","No Cat",""))</f>
        <v>EB-Cap</v>
      </c>
      <c r="P636" s="736" t="s">
        <v>2490</v>
      </c>
      <c r="Q636" s="25" t="str">
        <f>VLOOKUP($P636,Allocators!$B$7:$F$19,5,FALSE)</f>
        <v>Rate Base</v>
      </c>
      <c r="R636" s="737">
        <f>VLOOKUP($P636,Allocators!$B$7:$F$19,2,FALSE)</f>
        <v>0.70940000000000003</v>
      </c>
      <c r="S636" s="737">
        <f>VLOOKUP($P636,Allocators!$B$7:$F$19,3,FALSE)</f>
        <v>0.29060000000000002</v>
      </c>
      <c r="T636" s="737" t="str">
        <f t="shared" si="169"/>
        <v>0.0%</v>
      </c>
      <c r="U636" s="2">
        <f t="shared" si="160"/>
        <v>-2163.67</v>
      </c>
      <c r="V636" s="2">
        <f t="shared" si="161"/>
        <v>-886.33</v>
      </c>
      <c r="W636" s="2">
        <f t="shared" si="162"/>
        <v>0</v>
      </c>
      <c r="X636" s="2">
        <f t="shared" si="158"/>
        <v>-3050</v>
      </c>
      <c r="Y636" s="2">
        <f t="shared" si="163"/>
        <v>-2163.67</v>
      </c>
      <c r="Z636" s="2">
        <f t="shared" si="164"/>
        <v>-886.33</v>
      </c>
      <c r="AA636" s="2">
        <f t="shared" si="165"/>
        <v>0</v>
      </c>
      <c r="AB636" s="2">
        <f t="shared" si="159"/>
        <v>-3050</v>
      </c>
      <c r="AC636" s="759">
        <v>-3050</v>
      </c>
      <c r="AD636" s="741">
        <v>-3050</v>
      </c>
      <c r="AE636" s="741">
        <v>-3050</v>
      </c>
      <c r="AF636" s="741">
        <v>-3050</v>
      </c>
      <c r="AG636" s="741">
        <v>-3050</v>
      </c>
      <c r="AH636" s="741">
        <v>-3050</v>
      </c>
      <c r="AI636" s="741">
        <v>-3050</v>
      </c>
      <c r="AJ636" s="741">
        <v>-3050</v>
      </c>
      <c r="AK636" s="741">
        <v>-3050</v>
      </c>
      <c r="AL636" s="741">
        <v>-3050</v>
      </c>
      <c r="AM636" s="741">
        <v>-3050</v>
      </c>
      <c r="AN636" s="741">
        <v>-3050</v>
      </c>
      <c r="AO636" s="741">
        <v>-3050</v>
      </c>
      <c r="AP636" s="41" t="str">
        <f t="shared" si="155"/>
        <v>GLA</v>
      </c>
      <c r="AQ636" s="41" t="str">
        <f t="shared" si="156"/>
        <v>GLAA20</v>
      </c>
      <c r="AR636" s="41" t="str">
        <f t="shared" si="157"/>
        <v>A20</v>
      </c>
      <c r="CR636" s="625"/>
    </row>
    <row r="637" spans="1:96" s="41" customFormat="1" ht="12.75" customHeight="1">
      <c r="A637" s="25" t="s">
        <v>17</v>
      </c>
      <c r="B637" s="25" t="str">
        <f t="shared" si="167"/>
        <v>GL242440</v>
      </c>
      <c r="C637" s="638">
        <v>242440</v>
      </c>
      <c r="D637" s="735"/>
      <c r="F637" s="1" t="s">
        <v>616</v>
      </c>
      <c r="H637" s="736">
        <v>0</v>
      </c>
      <c r="I637" s="25"/>
      <c r="J637" s="25"/>
      <c r="K637" s="442" t="str">
        <f t="shared" si="166"/>
        <v/>
      </c>
      <c r="L637" s="736" t="s">
        <v>2393</v>
      </c>
      <c r="M637" s="25" t="str">
        <f t="shared" si="168"/>
        <v>A</v>
      </c>
      <c r="N637" s="25" t="str">
        <f>IF(L637&lt;&gt;"",VLOOKUP(L637,Categories!$B$2:$D$41,2,FALSE),IF(F637&lt;&gt;"","No Cat",""))</f>
        <v>All Other</v>
      </c>
      <c r="O637" s="25" t="str">
        <f>IF($L637&lt;&gt;"",VLOOKUP($L637,Categories!$B$2:$D$41,3,FALSE),IF($F637&lt;&gt;"","No Cat",""))</f>
        <v>EB-Cap</v>
      </c>
      <c r="P637" s="736" t="s">
        <v>2490</v>
      </c>
      <c r="Q637" s="25" t="str">
        <f>VLOOKUP($P637,Allocators!$B$7:$F$19,5,FALSE)</f>
        <v>Rate Base</v>
      </c>
      <c r="R637" s="737">
        <f>VLOOKUP($P637,Allocators!$B$7:$F$19,2,FALSE)</f>
        <v>0.70940000000000003</v>
      </c>
      <c r="S637" s="737">
        <f>VLOOKUP($P637,Allocators!$B$7:$F$19,3,FALSE)</f>
        <v>0.29060000000000002</v>
      </c>
      <c r="T637" s="737" t="str">
        <f t="shared" si="169"/>
        <v>0.0%</v>
      </c>
      <c r="U637" s="2">
        <f t="shared" si="160"/>
        <v>-7.0720422965000003</v>
      </c>
      <c r="V637" s="2">
        <f t="shared" si="161"/>
        <v>-2.8970052035</v>
      </c>
      <c r="W637" s="2">
        <f t="shared" si="162"/>
        <v>0</v>
      </c>
      <c r="X637" s="2">
        <f t="shared" si="158"/>
        <v>-9.9690475000000003</v>
      </c>
      <c r="Y637" s="2">
        <f t="shared" si="163"/>
        <v>-5.343250458</v>
      </c>
      <c r="Z637" s="2">
        <f t="shared" si="164"/>
        <v>-2.1888195420000001</v>
      </c>
      <c r="AA637" s="2">
        <f t="shared" si="165"/>
        <v>0</v>
      </c>
      <c r="AB637" s="2">
        <f t="shared" si="159"/>
        <v>-7.53207</v>
      </c>
      <c r="AC637" s="759">
        <v>-8.6588899999999995</v>
      </c>
      <c r="AD637" s="741">
        <v>-11.57854</v>
      </c>
      <c r="AE637" s="741">
        <v>-11.290459999999999</v>
      </c>
      <c r="AF637" s="741">
        <v>-11.332240000000001</v>
      </c>
      <c r="AG637" s="741">
        <v>-11.120700000000001</v>
      </c>
      <c r="AH637" s="741">
        <v>-10.9192</v>
      </c>
      <c r="AI637" s="741">
        <v>-10.91155</v>
      </c>
      <c r="AJ637" s="741">
        <v>-10.87214</v>
      </c>
      <c r="AK637" s="741">
        <v>-10.76756</v>
      </c>
      <c r="AL637" s="741">
        <v>-7.6745000000000001</v>
      </c>
      <c r="AM637" s="741">
        <v>-7.7329999999999997</v>
      </c>
      <c r="AN637" s="741">
        <v>-7.3331999999999997</v>
      </c>
      <c r="AO637" s="741">
        <v>-7.53207</v>
      </c>
      <c r="AP637" s="41" t="str">
        <f t="shared" si="155"/>
        <v>GLA</v>
      </c>
      <c r="AQ637" s="41" t="str">
        <f t="shared" si="156"/>
        <v>GLAA20</v>
      </c>
      <c r="AR637" s="41" t="str">
        <f t="shared" si="157"/>
        <v>A20</v>
      </c>
      <c r="CR637" s="625"/>
    </row>
    <row r="638" spans="1:96" s="41" customFormat="1" ht="12.75" customHeight="1">
      <c r="A638" s="25" t="s">
        <v>17</v>
      </c>
      <c r="B638" s="25" t="str">
        <f t="shared" si="167"/>
        <v>GL242460</v>
      </c>
      <c r="C638" s="638">
        <v>242460</v>
      </c>
      <c r="D638" s="735"/>
      <c r="F638" s="1" t="s">
        <v>617</v>
      </c>
      <c r="H638" s="736">
        <v>0</v>
      </c>
      <c r="I638" s="25"/>
      <c r="J638" s="25"/>
      <c r="K638" s="442" t="str">
        <f t="shared" si="166"/>
        <v/>
      </c>
      <c r="L638" s="736" t="s">
        <v>2393</v>
      </c>
      <c r="M638" s="25" t="str">
        <f t="shared" si="168"/>
        <v>A</v>
      </c>
      <c r="N638" s="25" t="str">
        <f>IF(L638&lt;&gt;"",VLOOKUP(L638,Categories!$B$2:$D$41,2,FALSE),IF(F638&lt;&gt;"","No Cat",""))</f>
        <v>All Other</v>
      </c>
      <c r="O638" s="25" t="str">
        <f>IF($L638&lt;&gt;"",VLOOKUP($L638,Categories!$B$2:$D$41,3,FALSE),IF($F638&lt;&gt;"","No Cat",""))</f>
        <v>EB-Cap</v>
      </c>
      <c r="P638" s="736" t="s">
        <v>2490</v>
      </c>
      <c r="Q638" s="25" t="str">
        <f>VLOOKUP($P638,Allocators!$B$7:$F$19,5,FALSE)</f>
        <v>Rate Base</v>
      </c>
      <c r="R638" s="737">
        <f>VLOOKUP($P638,Allocators!$B$7:$F$19,2,FALSE)</f>
        <v>0.70940000000000003</v>
      </c>
      <c r="S638" s="737">
        <f>VLOOKUP($P638,Allocators!$B$7:$F$19,3,FALSE)</f>
        <v>0.29060000000000002</v>
      </c>
      <c r="T638" s="737" t="str">
        <f t="shared" si="169"/>
        <v>0.0%</v>
      </c>
      <c r="U638" s="2">
        <f t="shared" si="160"/>
        <v>-0.75456513333333597</v>
      </c>
      <c r="V638" s="2">
        <f t="shared" si="161"/>
        <v>-0.30910153333333401</v>
      </c>
      <c r="W638" s="2">
        <f t="shared" si="162"/>
        <v>0</v>
      </c>
      <c r="X638" s="2">
        <f t="shared" si="158"/>
        <v>-1.0636666666666701</v>
      </c>
      <c r="Y638" s="2">
        <f t="shared" si="163"/>
        <v>-1.3812017999999999</v>
      </c>
      <c r="Z638" s="2">
        <f t="shared" si="164"/>
        <v>-0.56579820000000003</v>
      </c>
      <c r="AA638" s="2">
        <f t="shared" si="165"/>
        <v>0</v>
      </c>
      <c r="AB638" s="2">
        <f t="shared" si="159"/>
        <v>-1.9470000000000001</v>
      </c>
      <c r="AC638" s="759">
        <v>-1.4470000000000001</v>
      </c>
      <c r="AD638" s="741">
        <v>-0.872</v>
      </c>
      <c r="AE638" s="741">
        <v>-0.77200000000000002</v>
      </c>
      <c r="AF638" s="741">
        <v>-0.57199999999999995</v>
      </c>
      <c r="AG638" s="741">
        <v>-0.67200000000000004</v>
      </c>
      <c r="AH638" s="741">
        <v>-0.872</v>
      </c>
      <c r="AI638" s="741">
        <v>-1.0720000000000001</v>
      </c>
      <c r="AJ638" s="741">
        <v>-1.022</v>
      </c>
      <c r="AK638" s="741">
        <v>-1.272</v>
      </c>
      <c r="AL638" s="741">
        <v>-1.272</v>
      </c>
      <c r="AM638" s="741">
        <v>-1.222</v>
      </c>
      <c r="AN638" s="741">
        <v>-1.4470000000000001</v>
      </c>
      <c r="AO638" s="741">
        <v>-1.9470000000000001</v>
      </c>
      <c r="AP638" s="41" t="str">
        <f t="shared" si="155"/>
        <v>GLA</v>
      </c>
      <c r="AQ638" s="41" t="str">
        <f t="shared" si="156"/>
        <v>GLAA20</v>
      </c>
      <c r="AR638" s="41" t="str">
        <f t="shared" si="157"/>
        <v>A20</v>
      </c>
      <c r="CR638" s="625"/>
    </row>
    <row r="639" spans="1:96" s="41" customFormat="1" ht="12.75" customHeight="1">
      <c r="A639" s="25" t="s">
        <v>17</v>
      </c>
      <c r="B639" s="25" t="str">
        <f t="shared" si="167"/>
        <v>GL242500</v>
      </c>
      <c r="C639" s="638">
        <v>242500</v>
      </c>
      <c r="D639" s="735"/>
      <c r="F639" s="1" t="s">
        <v>618</v>
      </c>
      <c r="H639" s="736">
        <v>0</v>
      </c>
      <c r="I639" s="25"/>
      <c r="J639" s="25"/>
      <c r="K639" s="442" t="str">
        <f t="shared" si="166"/>
        <v/>
      </c>
      <c r="L639" s="736" t="s">
        <v>2393</v>
      </c>
      <c r="M639" s="25" t="str">
        <f t="shared" si="168"/>
        <v>A</v>
      </c>
      <c r="N639" s="25" t="str">
        <f>IF(L639&lt;&gt;"",VLOOKUP(L639,Categories!$B$2:$D$41,2,FALSE),IF(F639&lt;&gt;"","No Cat",""))</f>
        <v>All Other</v>
      </c>
      <c r="O639" s="25" t="str">
        <f>IF($L639&lt;&gt;"",VLOOKUP($L639,Categories!$B$2:$D$41,3,FALSE),IF($F639&lt;&gt;"","No Cat",""))</f>
        <v>EB-Cap</v>
      </c>
      <c r="P639" s="736" t="s">
        <v>2490</v>
      </c>
      <c r="Q639" s="25" t="str">
        <f>VLOOKUP($P639,Allocators!$B$7:$F$19,5,FALSE)</f>
        <v>Rate Base</v>
      </c>
      <c r="R639" s="737">
        <f>VLOOKUP($P639,Allocators!$B$7:$F$19,2,FALSE)</f>
        <v>0.70940000000000003</v>
      </c>
      <c r="S639" s="737">
        <f>VLOOKUP($P639,Allocators!$B$7:$F$19,3,FALSE)</f>
        <v>0.29060000000000002</v>
      </c>
      <c r="T639" s="737" t="str">
        <f t="shared" si="169"/>
        <v>0.0%</v>
      </c>
      <c r="U639" s="2" t="str">
        <f t="shared" si="160"/>
        <v/>
      </c>
      <c r="V639" s="2" t="str">
        <f t="shared" si="161"/>
        <v/>
      </c>
      <c r="W639" s="2" t="str">
        <f t="shared" si="162"/>
        <v/>
      </c>
      <c r="X639" s="2">
        <f t="shared" si="158"/>
        <v>0</v>
      </c>
      <c r="Y639" s="2" t="str">
        <f t="shared" si="163"/>
        <v/>
      </c>
      <c r="Z639" s="2" t="str">
        <f t="shared" si="164"/>
        <v/>
      </c>
      <c r="AA639" s="2" t="str">
        <f t="shared" si="165"/>
        <v/>
      </c>
      <c r="AB639" s="2">
        <f t="shared" si="159"/>
        <v>0</v>
      </c>
      <c r="AC639" s="759">
        <v>0</v>
      </c>
      <c r="AD639" s="741">
        <v>0</v>
      </c>
      <c r="AE639" s="741">
        <v>0</v>
      </c>
      <c r="AF639" s="741">
        <v>0</v>
      </c>
      <c r="AG639" s="741">
        <v>0</v>
      </c>
      <c r="AH639" s="741">
        <v>0</v>
      </c>
      <c r="AI639" s="741">
        <v>0</v>
      </c>
      <c r="AJ639" s="741">
        <v>0</v>
      </c>
      <c r="AK639" s="741">
        <v>0</v>
      </c>
      <c r="AL639" s="741">
        <v>0</v>
      </c>
      <c r="AM639" s="741">
        <v>0</v>
      </c>
      <c r="AN639" s="741">
        <v>0</v>
      </c>
      <c r="AO639" s="741">
        <v>0</v>
      </c>
      <c r="AP639" s="41" t="str">
        <f t="shared" si="155"/>
        <v>GLA</v>
      </c>
      <c r="AQ639" s="41" t="str">
        <f t="shared" si="156"/>
        <v>GLAA20</v>
      </c>
      <c r="AR639" s="41" t="str">
        <f t="shared" si="157"/>
        <v>A20</v>
      </c>
      <c r="CR639" s="625"/>
    </row>
    <row r="640" spans="1:96" s="41" customFormat="1" ht="12.75" customHeight="1">
      <c r="A640" s="25" t="s">
        <v>17</v>
      </c>
      <c r="B640" s="25" t="str">
        <f t="shared" si="167"/>
        <v>GL242520</v>
      </c>
      <c r="C640" s="638">
        <v>242520</v>
      </c>
      <c r="D640" s="735"/>
      <c r="F640" s="1" t="s">
        <v>619</v>
      </c>
      <c r="H640" s="736">
        <v>0</v>
      </c>
      <c r="I640" s="25"/>
      <c r="J640" s="25"/>
      <c r="K640" s="442" t="str">
        <f t="shared" si="166"/>
        <v/>
      </c>
      <c r="L640" s="736" t="s">
        <v>2393</v>
      </c>
      <c r="M640" s="25" t="str">
        <f t="shared" si="168"/>
        <v>A</v>
      </c>
      <c r="N640" s="25" t="str">
        <f>IF(L640&lt;&gt;"",VLOOKUP(L640,Categories!$B$2:$D$41,2,FALSE),IF(F640&lt;&gt;"","No Cat",""))</f>
        <v>All Other</v>
      </c>
      <c r="O640" s="25" t="str">
        <f>IF($L640&lt;&gt;"",VLOOKUP($L640,Categories!$B$2:$D$41,3,FALSE),IF($F640&lt;&gt;"","No Cat",""))</f>
        <v>EB-Cap</v>
      </c>
      <c r="P640" s="736" t="s">
        <v>2490</v>
      </c>
      <c r="Q640" s="25" t="str">
        <f>VLOOKUP($P640,Allocators!$B$7:$F$19,5,FALSE)</f>
        <v>Rate Base</v>
      </c>
      <c r="R640" s="737">
        <f>VLOOKUP($P640,Allocators!$B$7:$F$19,2,FALSE)</f>
        <v>0.70940000000000003</v>
      </c>
      <c r="S640" s="737">
        <f>VLOOKUP($P640,Allocators!$B$7:$F$19,3,FALSE)</f>
        <v>0.29060000000000002</v>
      </c>
      <c r="T640" s="737" t="str">
        <f t="shared" si="169"/>
        <v>0.0%</v>
      </c>
      <c r="U640" s="2">
        <f t="shared" si="160"/>
        <v>-116.08794959625</v>
      </c>
      <c r="V640" s="2">
        <f t="shared" si="161"/>
        <v>-47.554494153749999</v>
      </c>
      <c r="W640" s="2">
        <f t="shared" si="162"/>
        <v>0</v>
      </c>
      <c r="X640" s="2">
        <f t="shared" si="158"/>
        <v>-163.64244375000001</v>
      </c>
      <c r="Y640" s="2">
        <f t="shared" si="163"/>
        <v>-322.53442066999997</v>
      </c>
      <c r="Z640" s="2">
        <f t="shared" si="164"/>
        <v>-132.12362933</v>
      </c>
      <c r="AA640" s="2">
        <f t="shared" si="165"/>
        <v>0</v>
      </c>
      <c r="AB640" s="2">
        <f t="shared" si="159"/>
        <v>-454.65805</v>
      </c>
      <c r="AC640" s="759">
        <v>-186.81738000000001</v>
      </c>
      <c r="AD640" s="741">
        <v>-160.42260999999999</v>
      </c>
      <c r="AE640" s="741">
        <v>-134.02784</v>
      </c>
      <c r="AF640" s="741">
        <v>-107.63307</v>
      </c>
      <c r="AG640" s="741">
        <v>-81.23830000000001</v>
      </c>
      <c r="AH640" s="741">
        <v>-169.36904000000001</v>
      </c>
      <c r="AI640" s="741">
        <v>-145.68816000000001</v>
      </c>
      <c r="AJ640" s="741">
        <v>-122.00727999999999</v>
      </c>
      <c r="AK640" s="741">
        <v>-98.326399999999992</v>
      </c>
      <c r="AL640" s="741">
        <v>-74.645520000000005</v>
      </c>
      <c r="AM640" s="741">
        <v>-50.964640000000003</v>
      </c>
      <c r="AN640" s="741">
        <v>-498.64875000000001</v>
      </c>
      <c r="AO640" s="741">
        <v>-454.65805</v>
      </c>
      <c r="AP640" s="41" t="str">
        <f t="shared" si="155"/>
        <v>GLA</v>
      </c>
      <c r="AQ640" s="41" t="str">
        <f t="shared" si="156"/>
        <v>GLAA20</v>
      </c>
      <c r="AR640" s="41" t="str">
        <f t="shared" si="157"/>
        <v>A20</v>
      </c>
      <c r="CR640" s="625"/>
    </row>
    <row r="641" spans="1:96" s="41" customFormat="1" ht="12.75" customHeight="1">
      <c r="A641" s="25" t="s">
        <v>17</v>
      </c>
      <c r="B641" s="25" t="str">
        <f t="shared" si="167"/>
        <v>GL242550</v>
      </c>
      <c r="C641" s="638">
        <v>242550</v>
      </c>
      <c r="D641" s="735"/>
      <c r="F641" s="1" t="s">
        <v>620</v>
      </c>
      <c r="H641" s="736">
        <v>0</v>
      </c>
      <c r="I641" s="25"/>
      <c r="J641" s="25"/>
      <c r="K641" s="442" t="str">
        <f t="shared" si="166"/>
        <v/>
      </c>
      <c r="L641" s="736" t="s">
        <v>2393</v>
      </c>
      <c r="M641" s="25" t="str">
        <f t="shared" si="168"/>
        <v>A</v>
      </c>
      <c r="N641" s="25" t="str">
        <f>IF(L641&lt;&gt;"",VLOOKUP(L641,Categories!$B$2:$D$41,2,FALSE),IF(F641&lt;&gt;"","No Cat",""))</f>
        <v>All Other</v>
      </c>
      <c r="O641" s="25" t="str">
        <f>IF($L641&lt;&gt;"",VLOOKUP($L641,Categories!$B$2:$D$41,3,FALSE),IF($F641&lt;&gt;"","No Cat",""))</f>
        <v>EB-Cap</v>
      </c>
      <c r="P641" s="736" t="s">
        <v>2490</v>
      </c>
      <c r="Q641" s="25" t="str">
        <f>VLOOKUP($P641,Allocators!$B$7:$F$19,5,FALSE)</f>
        <v>Rate Base</v>
      </c>
      <c r="R641" s="737">
        <f>VLOOKUP($P641,Allocators!$B$7:$F$19,2,FALSE)</f>
        <v>0.70940000000000003</v>
      </c>
      <c r="S641" s="737">
        <f>VLOOKUP($P641,Allocators!$B$7:$F$19,3,FALSE)</f>
        <v>0.29060000000000002</v>
      </c>
      <c r="T641" s="737" t="str">
        <f t="shared" si="169"/>
        <v>0.0%</v>
      </c>
      <c r="U641" s="2" t="str">
        <f t="shared" si="160"/>
        <v/>
      </c>
      <c r="V641" s="2" t="str">
        <f t="shared" si="161"/>
        <v/>
      </c>
      <c r="W641" s="2" t="str">
        <f t="shared" si="162"/>
        <v/>
      </c>
      <c r="X641" s="2">
        <f t="shared" si="158"/>
        <v>0</v>
      </c>
      <c r="Y641" s="2" t="str">
        <f t="shared" si="163"/>
        <v/>
      </c>
      <c r="Z641" s="2" t="str">
        <f t="shared" si="164"/>
        <v/>
      </c>
      <c r="AA641" s="2" t="str">
        <f t="shared" si="165"/>
        <v/>
      </c>
      <c r="AB641" s="2">
        <f t="shared" si="159"/>
        <v>0</v>
      </c>
      <c r="AC641" s="759">
        <v>0</v>
      </c>
      <c r="AD641" s="741">
        <v>0</v>
      </c>
      <c r="AE641" s="741">
        <v>0</v>
      </c>
      <c r="AF641" s="741">
        <v>0</v>
      </c>
      <c r="AG641" s="741">
        <v>0</v>
      </c>
      <c r="AH641" s="741">
        <v>0</v>
      </c>
      <c r="AI641" s="741">
        <v>0</v>
      </c>
      <c r="AJ641" s="741">
        <v>0</v>
      </c>
      <c r="AK641" s="741">
        <v>0</v>
      </c>
      <c r="AL641" s="741">
        <v>0</v>
      </c>
      <c r="AM641" s="741">
        <v>0</v>
      </c>
      <c r="AN641" s="741">
        <v>0</v>
      </c>
      <c r="AO641" s="741">
        <v>0</v>
      </c>
      <c r="AP641" s="41" t="str">
        <f t="shared" si="155"/>
        <v>GLA</v>
      </c>
      <c r="AQ641" s="41" t="str">
        <f t="shared" si="156"/>
        <v>GLAA20</v>
      </c>
      <c r="AR641" s="41" t="str">
        <f t="shared" si="157"/>
        <v>A20</v>
      </c>
      <c r="CR641" s="625"/>
    </row>
    <row r="642" spans="1:96" s="41" customFormat="1" ht="12.75" customHeight="1">
      <c r="A642" s="25" t="s">
        <v>17</v>
      </c>
      <c r="B642" s="25" t="str">
        <f t="shared" si="167"/>
        <v>GL242710</v>
      </c>
      <c r="C642" s="638">
        <v>242710</v>
      </c>
      <c r="D642" s="735"/>
      <c r="F642" s="1" t="s">
        <v>621</v>
      </c>
      <c r="H642" s="736">
        <v>0</v>
      </c>
      <c r="I642" s="25"/>
      <c r="J642" s="25"/>
      <c r="K642" s="442" t="str">
        <f t="shared" si="166"/>
        <v/>
      </c>
      <c r="L642" s="736" t="s">
        <v>2390</v>
      </c>
      <c r="M642" s="25" t="str">
        <f t="shared" si="168"/>
        <v>A</v>
      </c>
      <c r="N642" s="25" t="str">
        <f>IF(L642&lt;&gt;"",VLOOKUP(L642,Categories!$B$2:$D$41,2,FALSE),IF(F642&lt;&gt;"","No Cat",""))</f>
        <v>All Other</v>
      </c>
      <c r="O642" s="25" t="str">
        <f>IF($L642&lt;&gt;"",VLOOKUP($L642,Categories!$B$2:$D$41,3,FALSE),IF($F642&lt;&gt;"","No Cat",""))</f>
        <v>Unused Accounts</v>
      </c>
      <c r="P642" s="736" t="s">
        <v>2490</v>
      </c>
      <c r="Q642" s="25" t="str">
        <f>VLOOKUP($P642,Allocators!$B$7:$F$19,5,FALSE)</f>
        <v>Rate Base</v>
      </c>
      <c r="R642" s="737">
        <f>VLOOKUP($P642,Allocators!$B$7:$F$19,2,FALSE)</f>
        <v>0.70940000000000003</v>
      </c>
      <c r="S642" s="737">
        <f>VLOOKUP($P642,Allocators!$B$7:$F$19,3,FALSE)</f>
        <v>0.29060000000000002</v>
      </c>
      <c r="T642" s="737" t="str">
        <f t="shared" si="169"/>
        <v>0.0%</v>
      </c>
      <c r="U642" s="2">
        <f t="shared" si="160"/>
        <v>-0.26602500000000001</v>
      </c>
      <c r="V642" s="2">
        <f t="shared" si="161"/>
        <v>-0.108975</v>
      </c>
      <c r="W642" s="2">
        <f t="shared" si="162"/>
        <v>0</v>
      </c>
      <c r="X642" s="2">
        <f t="shared" si="158"/>
        <v>-0.375</v>
      </c>
      <c r="Y642" s="2" t="str">
        <f t="shared" si="163"/>
        <v/>
      </c>
      <c r="Z642" s="2" t="str">
        <f t="shared" si="164"/>
        <v/>
      </c>
      <c r="AA642" s="2" t="str">
        <f t="shared" si="165"/>
        <v/>
      </c>
      <c r="AB642" s="2">
        <f t="shared" si="159"/>
        <v>0</v>
      </c>
      <c r="AC642" s="759">
        <v>0</v>
      </c>
      <c r="AD642" s="741">
        <v>-4.5</v>
      </c>
      <c r="AE642" s="741">
        <v>0</v>
      </c>
      <c r="AF642" s="741">
        <v>0</v>
      </c>
      <c r="AG642" s="741">
        <v>0</v>
      </c>
      <c r="AH642" s="741">
        <v>0</v>
      </c>
      <c r="AI642" s="741">
        <v>0</v>
      </c>
      <c r="AJ642" s="741">
        <v>0</v>
      </c>
      <c r="AK642" s="741">
        <v>0</v>
      </c>
      <c r="AL642" s="741">
        <v>0</v>
      </c>
      <c r="AM642" s="741">
        <v>0</v>
      </c>
      <c r="AN642" s="741">
        <v>0</v>
      </c>
      <c r="AO642" s="741">
        <v>0</v>
      </c>
      <c r="AP642" s="41" t="str">
        <f t="shared" si="155"/>
        <v>GLA</v>
      </c>
      <c r="AQ642" s="41" t="str">
        <f t="shared" si="156"/>
        <v>GLAA10</v>
      </c>
      <c r="AR642" s="41" t="str">
        <f t="shared" si="157"/>
        <v>A10</v>
      </c>
      <c r="CR642" s="625"/>
    </row>
    <row r="643" spans="1:96" s="41" customFormat="1" ht="12.75" customHeight="1">
      <c r="A643" s="442" t="s">
        <v>17</v>
      </c>
      <c r="B643" s="442" t="str">
        <f t="shared" si="167"/>
        <v>GL245401</v>
      </c>
      <c r="C643" s="638">
        <v>245401</v>
      </c>
      <c r="D643" s="735"/>
      <c r="E643" s="626"/>
      <c r="F643" s="441" t="s">
        <v>622</v>
      </c>
      <c r="G643" s="626"/>
      <c r="H643" s="736" t="s">
        <v>1133</v>
      </c>
      <c r="I643" s="442"/>
      <c r="J643" s="442"/>
      <c r="K643" s="442" t="str">
        <f t="shared" si="166"/>
        <v/>
      </c>
      <c r="L643" s="736" t="s">
        <v>2427</v>
      </c>
      <c r="M643" s="442" t="str">
        <f t="shared" si="168"/>
        <v>N</v>
      </c>
      <c r="N643" s="442" t="str">
        <f>IF(L643&lt;&gt;"",VLOOKUP(L643,Categories!$B$2:$D$41,2,FALSE),IF(F643&lt;&gt;"","No Cat",""))</f>
        <v>NRBASE</v>
      </c>
      <c r="O643" s="442" t="str">
        <f>IF($L643&lt;&gt;"",VLOOKUP($L643,Categories!$B$2:$D$41,3,FALSE),IF($F643&lt;&gt;"","No Cat",""))</f>
        <v>Hedges &amp; OCI</v>
      </c>
      <c r="P643" s="736" t="s">
        <v>2468</v>
      </c>
      <c r="Q643" s="442" t="str">
        <f>VLOOKUP($P643,Allocators!$B$7:$F$19,5,FALSE)</f>
        <v>Not in Rate Base</v>
      </c>
      <c r="R643" s="737">
        <f>VLOOKUP($P643,Allocators!$B$7:$F$19,2,FALSE)</f>
        <v>0</v>
      </c>
      <c r="S643" s="737">
        <f>VLOOKUP($P643,Allocators!$B$7:$F$19,3,FALSE)</f>
        <v>0</v>
      </c>
      <c r="T643" s="737">
        <f t="shared" si="169"/>
        <v>1</v>
      </c>
      <c r="U643" s="2">
        <f t="shared" si="160"/>
        <v>0</v>
      </c>
      <c r="V643" s="2">
        <f t="shared" si="161"/>
        <v>0</v>
      </c>
      <c r="W643" s="2">
        <f t="shared" si="162"/>
        <v>-767.269169583333</v>
      </c>
      <c r="X643" s="2">
        <f t="shared" si="158"/>
        <v>-767.269169583333</v>
      </c>
      <c r="Y643" s="2">
        <f t="shared" si="163"/>
        <v>0</v>
      </c>
      <c r="Z643" s="2">
        <f t="shared" si="164"/>
        <v>0</v>
      </c>
      <c r="AA643" s="2">
        <f t="shared" si="165"/>
        <v>-6814.6904599999998</v>
      </c>
      <c r="AB643" s="2">
        <f t="shared" si="159"/>
        <v>-6814.6904599999998</v>
      </c>
      <c r="AC643" s="759">
        <v>-92.068669999999997</v>
      </c>
      <c r="AD643" s="741">
        <v>-151.50132000000002</v>
      </c>
      <c r="AE643" s="741">
        <v>-99.221260000000001</v>
      </c>
      <c r="AF643" s="741">
        <v>-116.02314</v>
      </c>
      <c r="AG643" s="741">
        <v>-112.89928999999999</v>
      </c>
      <c r="AH643" s="741">
        <v>-111.29673</v>
      </c>
      <c r="AI643" s="741">
        <v>-70.497320000000002</v>
      </c>
      <c r="AJ643" s="741">
        <v>-2270.3744799999999</v>
      </c>
      <c r="AK643" s="741">
        <v>-311.20279999999997</v>
      </c>
      <c r="AL643" s="741">
        <v>-409.41510999999997</v>
      </c>
      <c r="AM643" s="741">
        <v>-1216.85202</v>
      </c>
      <c r="AN643" s="741">
        <v>-884.56700000000001</v>
      </c>
      <c r="AO643" s="741">
        <v>-6814.6904599999998</v>
      </c>
      <c r="AP643" s="41" t="str">
        <f t="shared" si="155"/>
        <v>GLN</v>
      </c>
      <c r="AQ643" s="41" t="str">
        <f t="shared" si="156"/>
        <v>GLNN5FAS 133</v>
      </c>
      <c r="AR643" s="41" t="str">
        <f t="shared" si="157"/>
        <v>N5FAS 133</v>
      </c>
    </row>
    <row r="644" spans="1:96" s="41" customFormat="1" ht="12.75" customHeight="1">
      <c r="A644" s="442" t="s">
        <v>17</v>
      </c>
      <c r="B644" s="442" t="str">
        <f t="shared" si="167"/>
        <v>GL245410</v>
      </c>
      <c r="C644" s="638">
        <v>245410</v>
      </c>
      <c r="D644" s="735"/>
      <c r="E644" s="626"/>
      <c r="F644" s="441" t="s">
        <v>623</v>
      </c>
      <c r="G644" s="626"/>
      <c r="H644" s="736" t="s">
        <v>1133</v>
      </c>
      <c r="I644" s="442"/>
      <c r="J644" s="442"/>
      <c r="K644" s="442" t="str">
        <f t="shared" si="166"/>
        <v/>
      </c>
      <c r="L644" s="736" t="s">
        <v>2427</v>
      </c>
      <c r="M644" s="442" t="str">
        <f t="shared" si="168"/>
        <v>N</v>
      </c>
      <c r="N644" s="442" t="str">
        <f>IF(L644&lt;&gt;"",VLOOKUP(L644,Categories!$B$2:$D$41,2,FALSE),IF(F644&lt;&gt;"","No Cat",""))</f>
        <v>NRBASE</v>
      </c>
      <c r="O644" s="442" t="str">
        <f>IF($L644&lt;&gt;"",VLOOKUP($L644,Categories!$B$2:$D$41,3,FALSE),IF($F644&lt;&gt;"","No Cat",""))</f>
        <v>Hedges &amp; OCI</v>
      </c>
      <c r="P644" s="736" t="s">
        <v>2468</v>
      </c>
      <c r="Q644" s="442" t="str">
        <f>VLOOKUP($P644,Allocators!$B$7:$F$19,5,FALSE)</f>
        <v>Not in Rate Base</v>
      </c>
      <c r="R644" s="737">
        <f>VLOOKUP($P644,Allocators!$B$7:$F$19,2,FALSE)</f>
        <v>0</v>
      </c>
      <c r="S644" s="737">
        <f>VLOOKUP($P644,Allocators!$B$7:$F$19,3,FALSE)</f>
        <v>0</v>
      </c>
      <c r="T644" s="737">
        <f t="shared" si="169"/>
        <v>1</v>
      </c>
      <c r="U644" s="2" t="str">
        <f t="shared" si="160"/>
        <v/>
      </c>
      <c r="V644" s="2" t="str">
        <f t="shared" si="161"/>
        <v/>
      </c>
      <c r="W644" s="2" t="str">
        <f t="shared" si="162"/>
        <v/>
      </c>
      <c r="X644" s="2">
        <f t="shared" si="158"/>
        <v>0</v>
      </c>
      <c r="Y644" s="2" t="str">
        <f t="shared" si="163"/>
        <v/>
      </c>
      <c r="Z644" s="2" t="str">
        <f t="shared" si="164"/>
        <v/>
      </c>
      <c r="AA644" s="2" t="str">
        <f t="shared" si="165"/>
        <v/>
      </c>
      <c r="AB644" s="2">
        <f t="shared" si="159"/>
        <v>0</v>
      </c>
      <c r="AC644" s="759">
        <v>0</v>
      </c>
      <c r="AD644" s="741">
        <v>0</v>
      </c>
      <c r="AE644" s="741">
        <v>0</v>
      </c>
      <c r="AF644" s="741">
        <v>0</v>
      </c>
      <c r="AG644" s="741">
        <v>0</v>
      </c>
      <c r="AH644" s="741">
        <v>0</v>
      </c>
      <c r="AI644" s="741">
        <v>0</v>
      </c>
      <c r="AJ644" s="741">
        <v>0</v>
      </c>
      <c r="AK644" s="741">
        <v>0</v>
      </c>
      <c r="AL644" s="741">
        <v>0</v>
      </c>
      <c r="AM644" s="741">
        <v>0</v>
      </c>
      <c r="AN644" s="741">
        <v>0</v>
      </c>
      <c r="AO644" s="741">
        <v>0</v>
      </c>
      <c r="AP644" s="41" t="str">
        <f t="shared" si="155"/>
        <v>GLN</v>
      </c>
      <c r="AQ644" s="41" t="str">
        <f t="shared" si="156"/>
        <v>GLNN5FAS 133</v>
      </c>
      <c r="AR644" s="41" t="str">
        <f t="shared" si="157"/>
        <v>N5FAS 133</v>
      </c>
    </row>
    <row r="645" spans="1:96" s="41" customFormat="1" ht="12.75" customHeight="1">
      <c r="A645" s="442" t="s">
        <v>17</v>
      </c>
      <c r="B645" s="442" t="str">
        <f t="shared" si="167"/>
        <v>GL245411</v>
      </c>
      <c r="C645" s="638">
        <v>245411</v>
      </c>
      <c r="D645" s="735"/>
      <c r="E645" s="626"/>
      <c r="F645" s="441" t="s">
        <v>623</v>
      </c>
      <c r="G645" s="626"/>
      <c r="H645" s="736" t="s">
        <v>1133</v>
      </c>
      <c r="I645" s="442"/>
      <c r="J645" s="442"/>
      <c r="K645" s="442" t="str">
        <f t="shared" si="166"/>
        <v/>
      </c>
      <c r="L645" s="736" t="s">
        <v>2427</v>
      </c>
      <c r="M645" s="442" t="str">
        <f t="shared" si="168"/>
        <v>N</v>
      </c>
      <c r="N645" s="442" t="str">
        <f>IF(L645&lt;&gt;"",VLOOKUP(L645,Categories!$B$2:$D$41,2,FALSE),IF(F645&lt;&gt;"","No Cat",""))</f>
        <v>NRBASE</v>
      </c>
      <c r="O645" s="442" t="str">
        <f>IF($L645&lt;&gt;"",VLOOKUP($L645,Categories!$B$2:$D$41,3,FALSE),IF($F645&lt;&gt;"","No Cat",""))</f>
        <v>Hedges &amp; OCI</v>
      </c>
      <c r="P645" s="736" t="s">
        <v>2468</v>
      </c>
      <c r="Q645" s="442" t="str">
        <f>VLOOKUP($P645,Allocators!$B$7:$F$19,5,FALSE)</f>
        <v>Not in Rate Base</v>
      </c>
      <c r="R645" s="737">
        <f>VLOOKUP($P645,Allocators!$B$7:$F$19,2,FALSE)</f>
        <v>0</v>
      </c>
      <c r="S645" s="737">
        <f>VLOOKUP($P645,Allocators!$B$7:$F$19,3,FALSE)</f>
        <v>0</v>
      </c>
      <c r="T645" s="737">
        <f t="shared" si="169"/>
        <v>1</v>
      </c>
      <c r="U645" s="2" t="str">
        <f t="shared" si="160"/>
        <v/>
      </c>
      <c r="V645" s="2" t="str">
        <f t="shared" si="161"/>
        <v/>
      </c>
      <c r="W645" s="2" t="str">
        <f t="shared" si="162"/>
        <v/>
      </c>
      <c r="X645" s="2">
        <f t="shared" si="158"/>
        <v>0</v>
      </c>
      <c r="Y645" s="2" t="str">
        <f t="shared" si="163"/>
        <v/>
      </c>
      <c r="Z645" s="2" t="str">
        <f t="shared" si="164"/>
        <v/>
      </c>
      <c r="AA645" s="2" t="str">
        <f t="shared" si="165"/>
        <v/>
      </c>
      <c r="AB645" s="2">
        <f t="shared" si="159"/>
        <v>0</v>
      </c>
      <c r="AC645" s="759">
        <v>0</v>
      </c>
      <c r="AD645" s="741">
        <v>0</v>
      </c>
      <c r="AE645" s="741">
        <v>0</v>
      </c>
      <c r="AF645" s="741">
        <v>0</v>
      </c>
      <c r="AG645" s="741">
        <v>0</v>
      </c>
      <c r="AH645" s="741">
        <v>0</v>
      </c>
      <c r="AI645" s="741">
        <v>0</v>
      </c>
      <c r="AJ645" s="741">
        <v>0</v>
      </c>
      <c r="AK645" s="741">
        <v>0</v>
      </c>
      <c r="AL645" s="741">
        <v>0</v>
      </c>
      <c r="AM645" s="741">
        <v>0</v>
      </c>
      <c r="AN645" s="741">
        <v>0</v>
      </c>
      <c r="AO645" s="741">
        <v>0</v>
      </c>
      <c r="AP645" s="41" t="str">
        <f t="shared" si="155"/>
        <v>GLN</v>
      </c>
      <c r="AQ645" s="41" t="str">
        <f t="shared" si="156"/>
        <v>GLNN5FAS 133</v>
      </c>
      <c r="AR645" s="41" t="str">
        <f t="shared" si="157"/>
        <v>N5FAS 133</v>
      </c>
    </row>
    <row r="646" spans="1:96" s="41" customFormat="1" ht="12.75" customHeight="1">
      <c r="A646" s="442" t="s">
        <v>17</v>
      </c>
      <c r="B646" s="442" t="str">
        <f t="shared" si="167"/>
        <v>GL245420</v>
      </c>
      <c r="C646" s="638">
        <v>245420</v>
      </c>
      <c r="D646" s="735"/>
      <c r="E646" s="626"/>
      <c r="F646" s="441" t="s">
        <v>624</v>
      </c>
      <c r="G646" s="626"/>
      <c r="H646" s="736" t="s">
        <v>1133</v>
      </c>
      <c r="I646" s="442"/>
      <c r="J646" s="442"/>
      <c r="K646" s="442" t="str">
        <f t="shared" si="166"/>
        <v/>
      </c>
      <c r="L646" s="736" t="s">
        <v>2427</v>
      </c>
      <c r="M646" s="442" t="str">
        <f t="shared" si="168"/>
        <v>N</v>
      </c>
      <c r="N646" s="442" t="str">
        <f>IF(L646&lt;&gt;"",VLOOKUP(L646,Categories!$B$2:$D$41,2,FALSE),IF(F646&lt;&gt;"","No Cat",""))</f>
        <v>NRBASE</v>
      </c>
      <c r="O646" s="442" t="str">
        <f>IF($L646&lt;&gt;"",VLOOKUP($L646,Categories!$B$2:$D$41,3,FALSE),IF($F646&lt;&gt;"","No Cat",""))</f>
        <v>Hedges &amp; OCI</v>
      </c>
      <c r="P646" s="736" t="s">
        <v>2468</v>
      </c>
      <c r="Q646" s="442" t="str">
        <f>VLOOKUP($P646,Allocators!$B$7:$F$19,5,FALSE)</f>
        <v>Not in Rate Base</v>
      </c>
      <c r="R646" s="737">
        <f>VLOOKUP($P646,Allocators!$B$7:$F$19,2,FALSE)</f>
        <v>0</v>
      </c>
      <c r="S646" s="737">
        <f>VLOOKUP($P646,Allocators!$B$7:$F$19,3,FALSE)</f>
        <v>0</v>
      </c>
      <c r="T646" s="737">
        <f t="shared" si="169"/>
        <v>1</v>
      </c>
      <c r="U646" s="2" t="str">
        <f t="shared" si="160"/>
        <v/>
      </c>
      <c r="V646" s="2" t="str">
        <f t="shared" si="161"/>
        <v/>
      </c>
      <c r="W646" s="2" t="str">
        <f t="shared" si="162"/>
        <v/>
      </c>
      <c r="X646" s="2">
        <f t="shared" si="158"/>
        <v>0</v>
      </c>
      <c r="Y646" s="2" t="str">
        <f t="shared" si="163"/>
        <v/>
      </c>
      <c r="Z646" s="2" t="str">
        <f t="shared" si="164"/>
        <v/>
      </c>
      <c r="AA646" s="2" t="str">
        <f t="shared" si="165"/>
        <v/>
      </c>
      <c r="AB646" s="2">
        <f t="shared" si="159"/>
        <v>0</v>
      </c>
      <c r="AC646" s="759">
        <v>0</v>
      </c>
      <c r="AD646" s="741">
        <v>0</v>
      </c>
      <c r="AE646" s="741">
        <v>0</v>
      </c>
      <c r="AF646" s="741">
        <v>0</v>
      </c>
      <c r="AG646" s="741">
        <v>0</v>
      </c>
      <c r="AH646" s="741">
        <v>0</v>
      </c>
      <c r="AI646" s="741">
        <v>0</v>
      </c>
      <c r="AJ646" s="741">
        <v>0</v>
      </c>
      <c r="AK646" s="741">
        <v>0</v>
      </c>
      <c r="AL646" s="741">
        <v>0</v>
      </c>
      <c r="AM646" s="741">
        <v>0</v>
      </c>
      <c r="AN646" s="741">
        <v>0</v>
      </c>
      <c r="AO646" s="741">
        <v>0</v>
      </c>
      <c r="AP646" s="41" t="str">
        <f t="shared" si="155"/>
        <v>GLN</v>
      </c>
      <c r="AQ646" s="41" t="str">
        <f t="shared" si="156"/>
        <v>GLNN5FAS 133</v>
      </c>
      <c r="AR646" s="41" t="str">
        <f t="shared" si="157"/>
        <v>N5FAS 133</v>
      </c>
    </row>
    <row r="647" spans="1:96" s="41" customFormat="1" ht="12.75" customHeight="1">
      <c r="A647" s="442" t="s">
        <v>17</v>
      </c>
      <c r="B647" s="442" t="str">
        <f t="shared" si="167"/>
        <v>GL245451</v>
      </c>
      <c r="C647" s="638">
        <v>245451</v>
      </c>
      <c r="D647" s="735"/>
      <c r="E647" s="626"/>
      <c r="F647" s="441" t="s">
        <v>625</v>
      </c>
      <c r="G647" s="626"/>
      <c r="H647" s="736" t="s">
        <v>1133</v>
      </c>
      <c r="I647" s="442"/>
      <c r="J647" s="442"/>
      <c r="K647" s="442" t="str">
        <f t="shared" si="166"/>
        <v/>
      </c>
      <c r="L647" s="736" t="s">
        <v>2427</v>
      </c>
      <c r="M647" s="442" t="str">
        <f t="shared" si="168"/>
        <v>N</v>
      </c>
      <c r="N647" s="442" t="str">
        <f>IF(L647&lt;&gt;"",VLOOKUP(L647,Categories!$B$2:$D$41,2,FALSE),IF(F647&lt;&gt;"","No Cat",""))</f>
        <v>NRBASE</v>
      </c>
      <c r="O647" s="442" t="str">
        <f>IF($L647&lt;&gt;"",VLOOKUP($L647,Categories!$B$2:$D$41,3,FALSE),IF($F647&lt;&gt;"","No Cat",""))</f>
        <v>Hedges &amp; OCI</v>
      </c>
      <c r="P647" s="736" t="s">
        <v>2468</v>
      </c>
      <c r="Q647" s="442" t="str">
        <f>VLOOKUP($P647,Allocators!$B$7:$F$19,5,FALSE)</f>
        <v>Not in Rate Base</v>
      </c>
      <c r="R647" s="737">
        <f>VLOOKUP($P647,Allocators!$B$7:$F$19,2,FALSE)</f>
        <v>0</v>
      </c>
      <c r="S647" s="737">
        <f>VLOOKUP($P647,Allocators!$B$7:$F$19,3,FALSE)</f>
        <v>0</v>
      </c>
      <c r="T647" s="737">
        <f t="shared" si="169"/>
        <v>1</v>
      </c>
      <c r="U647" s="2" t="str">
        <f t="shared" si="160"/>
        <v/>
      </c>
      <c r="V647" s="2" t="str">
        <f t="shared" si="161"/>
        <v/>
      </c>
      <c r="W647" s="2" t="str">
        <f t="shared" si="162"/>
        <v/>
      </c>
      <c r="X647" s="2">
        <f t="shared" si="158"/>
        <v>0</v>
      </c>
      <c r="Y647" s="2" t="str">
        <f t="shared" si="163"/>
        <v/>
      </c>
      <c r="Z647" s="2" t="str">
        <f t="shared" si="164"/>
        <v/>
      </c>
      <c r="AA647" s="2" t="str">
        <f t="shared" si="165"/>
        <v/>
      </c>
      <c r="AB647" s="2">
        <f t="shared" si="159"/>
        <v>0</v>
      </c>
      <c r="AC647" s="759">
        <v>0</v>
      </c>
      <c r="AD647" s="741">
        <v>0</v>
      </c>
      <c r="AE647" s="741">
        <v>0</v>
      </c>
      <c r="AF647" s="741">
        <v>0</v>
      </c>
      <c r="AG647" s="741">
        <v>0</v>
      </c>
      <c r="AH647" s="741">
        <v>0</v>
      </c>
      <c r="AI647" s="741">
        <v>0</v>
      </c>
      <c r="AJ647" s="741">
        <v>0</v>
      </c>
      <c r="AK647" s="741">
        <v>0</v>
      </c>
      <c r="AL647" s="741">
        <v>0</v>
      </c>
      <c r="AM647" s="741">
        <v>0</v>
      </c>
      <c r="AN647" s="741">
        <v>0</v>
      </c>
      <c r="AO647" s="741">
        <v>0</v>
      </c>
      <c r="AP647" s="41" t="str">
        <f t="shared" ref="AP647:AP710" si="183">CONCATENATE(A647,M647)</f>
        <v>GLN</v>
      </c>
      <c r="AQ647" s="41" t="str">
        <f t="shared" ref="AQ647:AQ710" si="184">CONCATENATE(AP647,L647,H647)</f>
        <v>GLNN5FAS 133</v>
      </c>
      <c r="AR647" s="41" t="str">
        <f t="shared" ref="AR647:AR710" si="185">CONCATENATE(L647,H647,J647)</f>
        <v>N5FAS 133</v>
      </c>
    </row>
    <row r="648" spans="1:96" s="41" customFormat="1" ht="12.75" customHeight="1">
      <c r="A648" s="442" t="s">
        <v>17</v>
      </c>
      <c r="B648" s="442" t="str">
        <f t="shared" si="167"/>
        <v>GL245990</v>
      </c>
      <c r="C648" s="638">
        <v>245990</v>
      </c>
      <c r="D648" s="735"/>
      <c r="E648" s="626"/>
      <c r="F648" s="441" t="s">
        <v>626</v>
      </c>
      <c r="G648" s="626"/>
      <c r="H648" s="736" t="s">
        <v>1133</v>
      </c>
      <c r="I648" s="442"/>
      <c r="J648" s="442"/>
      <c r="K648" s="442" t="str">
        <f t="shared" si="166"/>
        <v/>
      </c>
      <c r="L648" s="736" t="s">
        <v>2427</v>
      </c>
      <c r="M648" s="442" t="str">
        <f t="shared" si="168"/>
        <v>N</v>
      </c>
      <c r="N648" s="442" t="str">
        <f>IF(L648&lt;&gt;"",VLOOKUP(L648,Categories!$B$2:$D$41,2,FALSE),IF(F648&lt;&gt;"","No Cat",""))</f>
        <v>NRBASE</v>
      </c>
      <c r="O648" s="442" t="str">
        <f>IF($L648&lt;&gt;"",VLOOKUP($L648,Categories!$B$2:$D$41,3,FALSE),IF($F648&lt;&gt;"","No Cat",""))</f>
        <v>Hedges &amp; OCI</v>
      </c>
      <c r="P648" s="736" t="s">
        <v>2468</v>
      </c>
      <c r="Q648" s="442" t="str">
        <f>VLOOKUP($P648,Allocators!$B$7:$F$19,5,FALSE)</f>
        <v>Not in Rate Base</v>
      </c>
      <c r="R648" s="737">
        <f>VLOOKUP($P648,Allocators!$B$7:$F$19,2,FALSE)</f>
        <v>0</v>
      </c>
      <c r="S648" s="737">
        <f>VLOOKUP($P648,Allocators!$B$7:$F$19,3,FALSE)</f>
        <v>0</v>
      </c>
      <c r="T648" s="737">
        <f t="shared" si="169"/>
        <v>1</v>
      </c>
      <c r="U648" s="2" t="str">
        <f t="shared" si="160"/>
        <v/>
      </c>
      <c r="V648" s="2" t="str">
        <f t="shared" si="161"/>
        <v/>
      </c>
      <c r="W648" s="2" t="str">
        <f t="shared" si="162"/>
        <v/>
      </c>
      <c r="X648" s="2">
        <f t="shared" ref="X648:X711" si="186">IF(ISERROR(ROUND((SUM(AC648:AO648)-((AC648+AO648))/2)/12,15)),"",ROUND((SUM(AC648:AO648)-((AC648+AO648))/2)/12,15))</f>
        <v>0</v>
      </c>
      <c r="Y648" s="2" t="str">
        <f t="shared" si="163"/>
        <v/>
      </c>
      <c r="Z648" s="2" t="str">
        <f t="shared" si="164"/>
        <v/>
      </c>
      <c r="AA648" s="2" t="str">
        <f t="shared" si="165"/>
        <v/>
      </c>
      <c r="AB648" s="2">
        <f t="shared" ref="AB648:AB711" si="187">IF(AO648="",0,+AO648)</f>
        <v>0</v>
      </c>
      <c r="AC648" s="759">
        <v>0</v>
      </c>
      <c r="AD648" s="741">
        <v>0</v>
      </c>
      <c r="AE648" s="741">
        <v>0</v>
      </c>
      <c r="AF648" s="741">
        <v>0</v>
      </c>
      <c r="AG648" s="741">
        <v>0</v>
      </c>
      <c r="AH648" s="741">
        <v>0</v>
      </c>
      <c r="AI648" s="741">
        <v>0</v>
      </c>
      <c r="AJ648" s="741">
        <v>0</v>
      </c>
      <c r="AK648" s="741">
        <v>0</v>
      </c>
      <c r="AL648" s="741">
        <v>0</v>
      </c>
      <c r="AM648" s="741">
        <v>0</v>
      </c>
      <c r="AN648" s="741">
        <v>0</v>
      </c>
      <c r="AO648" s="741">
        <v>0</v>
      </c>
      <c r="AP648" s="41" t="str">
        <f t="shared" si="183"/>
        <v>GLN</v>
      </c>
      <c r="AQ648" s="41" t="str">
        <f t="shared" si="184"/>
        <v>GLNN5FAS 133</v>
      </c>
      <c r="AR648" s="41" t="str">
        <f t="shared" si="185"/>
        <v>N5FAS 133</v>
      </c>
    </row>
    <row r="649" spans="1:96" s="41" customFormat="1" ht="12.75" customHeight="1">
      <c r="A649" s="442" t="s">
        <v>17</v>
      </c>
      <c r="B649" s="442" t="str">
        <f t="shared" si="167"/>
        <v>GL245991</v>
      </c>
      <c r="C649" s="638">
        <v>245991</v>
      </c>
      <c r="D649" s="735"/>
      <c r="E649" s="626"/>
      <c r="F649" s="441" t="s">
        <v>627</v>
      </c>
      <c r="G649" s="626"/>
      <c r="H649" s="736" t="s">
        <v>1133</v>
      </c>
      <c r="I649" s="442"/>
      <c r="J649" s="442"/>
      <c r="K649" s="442" t="str">
        <f t="shared" si="166"/>
        <v/>
      </c>
      <c r="L649" s="736" t="s">
        <v>2427</v>
      </c>
      <c r="M649" s="442" t="str">
        <f t="shared" si="168"/>
        <v>N</v>
      </c>
      <c r="N649" s="442" t="str">
        <f>IF(L649&lt;&gt;"",VLOOKUP(L649,Categories!$B$2:$D$41,2,FALSE),IF(F649&lt;&gt;"","No Cat",""))</f>
        <v>NRBASE</v>
      </c>
      <c r="O649" s="442" t="str">
        <f>IF($L649&lt;&gt;"",VLOOKUP($L649,Categories!$B$2:$D$41,3,FALSE),IF($F649&lt;&gt;"","No Cat",""))</f>
        <v>Hedges &amp; OCI</v>
      </c>
      <c r="P649" s="736" t="s">
        <v>2468</v>
      </c>
      <c r="Q649" s="442" t="str">
        <f>VLOOKUP($P649,Allocators!$B$7:$F$19,5,FALSE)</f>
        <v>Not in Rate Base</v>
      </c>
      <c r="R649" s="737">
        <f>VLOOKUP($P649,Allocators!$B$7:$F$19,2,FALSE)</f>
        <v>0</v>
      </c>
      <c r="S649" s="737">
        <f>VLOOKUP($P649,Allocators!$B$7:$F$19,3,FALSE)</f>
        <v>0</v>
      </c>
      <c r="T649" s="737">
        <f t="shared" si="169"/>
        <v>1</v>
      </c>
      <c r="U649" s="2" t="str">
        <f t="shared" si="160"/>
        <v/>
      </c>
      <c r="V649" s="2" t="str">
        <f t="shared" si="161"/>
        <v/>
      </c>
      <c r="W649" s="2" t="str">
        <f t="shared" si="162"/>
        <v/>
      </c>
      <c r="X649" s="2">
        <f t="shared" si="186"/>
        <v>0</v>
      </c>
      <c r="Y649" s="2" t="str">
        <f t="shared" si="163"/>
        <v/>
      </c>
      <c r="Z649" s="2" t="str">
        <f t="shared" si="164"/>
        <v/>
      </c>
      <c r="AA649" s="2" t="str">
        <f t="shared" si="165"/>
        <v/>
      </c>
      <c r="AB649" s="2">
        <f t="shared" si="187"/>
        <v>0</v>
      </c>
      <c r="AC649" s="759">
        <v>0</v>
      </c>
      <c r="AD649" s="741">
        <v>0</v>
      </c>
      <c r="AE649" s="741">
        <v>0</v>
      </c>
      <c r="AF649" s="741">
        <v>0</v>
      </c>
      <c r="AG649" s="741">
        <v>0</v>
      </c>
      <c r="AH649" s="741">
        <v>0</v>
      </c>
      <c r="AI649" s="741">
        <v>0</v>
      </c>
      <c r="AJ649" s="741">
        <v>0</v>
      </c>
      <c r="AK649" s="741">
        <v>0</v>
      </c>
      <c r="AL649" s="741">
        <v>0</v>
      </c>
      <c r="AM649" s="741">
        <v>0</v>
      </c>
      <c r="AN649" s="741">
        <v>0</v>
      </c>
      <c r="AO649" s="741">
        <v>0</v>
      </c>
      <c r="AP649" s="41" t="str">
        <f t="shared" si="183"/>
        <v>GLN</v>
      </c>
      <c r="AQ649" s="41" t="str">
        <f t="shared" si="184"/>
        <v>GLNN5FAS 133</v>
      </c>
      <c r="AR649" s="41" t="str">
        <f t="shared" si="185"/>
        <v>N5FAS 133</v>
      </c>
    </row>
    <row r="650" spans="1:96" s="41" customFormat="1" ht="12.75" customHeight="1">
      <c r="A650" s="442" t="s">
        <v>17</v>
      </c>
      <c r="B650" s="442" t="str">
        <f t="shared" si="167"/>
        <v>GL245992</v>
      </c>
      <c r="C650" s="638">
        <v>245992</v>
      </c>
      <c r="D650" s="735"/>
      <c r="E650" s="626"/>
      <c r="F650" s="441" t="s">
        <v>628</v>
      </c>
      <c r="G650" s="626"/>
      <c r="H650" s="736" t="s">
        <v>1133</v>
      </c>
      <c r="I650" s="442"/>
      <c r="J650" s="442"/>
      <c r="K650" s="442" t="str">
        <f t="shared" si="166"/>
        <v/>
      </c>
      <c r="L650" s="736" t="s">
        <v>2427</v>
      </c>
      <c r="M650" s="442" t="str">
        <f t="shared" si="168"/>
        <v>N</v>
      </c>
      <c r="N650" s="442" t="str">
        <f>IF(L650&lt;&gt;"",VLOOKUP(L650,Categories!$B$2:$D$41,2,FALSE),IF(F650&lt;&gt;"","No Cat",""))</f>
        <v>NRBASE</v>
      </c>
      <c r="O650" s="442" t="str">
        <f>IF($L650&lt;&gt;"",VLOOKUP($L650,Categories!$B$2:$D$41,3,FALSE),IF($F650&lt;&gt;"","No Cat",""))</f>
        <v>Hedges &amp; OCI</v>
      </c>
      <c r="P650" s="736" t="s">
        <v>2468</v>
      </c>
      <c r="Q650" s="442" t="str">
        <f>VLOOKUP($P650,Allocators!$B$7:$F$19,5,FALSE)</f>
        <v>Not in Rate Base</v>
      </c>
      <c r="R650" s="737">
        <f>VLOOKUP($P650,Allocators!$B$7:$F$19,2,FALSE)</f>
        <v>0</v>
      </c>
      <c r="S650" s="737">
        <f>VLOOKUP($P650,Allocators!$B$7:$F$19,3,FALSE)</f>
        <v>0</v>
      </c>
      <c r="T650" s="737">
        <f t="shared" si="169"/>
        <v>1</v>
      </c>
      <c r="U650" s="2">
        <f t="shared" si="160"/>
        <v>0</v>
      </c>
      <c r="V650" s="2">
        <f t="shared" si="161"/>
        <v>0</v>
      </c>
      <c r="W650" s="2">
        <f t="shared" si="162"/>
        <v>-1363.0374999999999</v>
      </c>
      <c r="X650" s="2">
        <f t="shared" si="186"/>
        <v>-1363.0374999999999</v>
      </c>
      <c r="Y650" s="2">
        <f t="shared" si="163"/>
        <v>0</v>
      </c>
      <c r="Z650" s="2">
        <f t="shared" si="164"/>
        <v>0</v>
      </c>
      <c r="AA650" s="2">
        <f t="shared" si="165"/>
        <v>-3313.0720000000001</v>
      </c>
      <c r="AB650" s="2">
        <f t="shared" si="187"/>
        <v>-3313.0720000000001</v>
      </c>
      <c r="AC650" s="759">
        <v>-540.66</v>
      </c>
      <c r="AD650" s="741">
        <v>-752.12800000000004</v>
      </c>
      <c r="AE650" s="741">
        <v>-1152.8800000000001</v>
      </c>
      <c r="AF650" s="741">
        <v>-57.863999999999997</v>
      </c>
      <c r="AG650" s="741">
        <v>0</v>
      </c>
      <c r="AH650" s="741">
        <v>0</v>
      </c>
      <c r="AI650" s="741">
        <v>-1834.836</v>
      </c>
      <c r="AJ650" s="741">
        <v>-4240.1279999999997</v>
      </c>
      <c r="AK650" s="741">
        <v>-2823.3040000000001</v>
      </c>
      <c r="AL650" s="741">
        <v>-1648.498</v>
      </c>
      <c r="AM650" s="741">
        <v>-1160.78</v>
      </c>
      <c r="AN650" s="741">
        <v>-759.16600000000005</v>
      </c>
      <c r="AO650" s="741">
        <v>-3313.0720000000001</v>
      </c>
      <c r="AP650" s="41" t="str">
        <f t="shared" si="183"/>
        <v>GLN</v>
      </c>
      <c r="AQ650" s="41" t="str">
        <f t="shared" si="184"/>
        <v>GLNN5FAS 133</v>
      </c>
      <c r="AR650" s="41" t="str">
        <f t="shared" si="185"/>
        <v>N5FAS 133</v>
      </c>
    </row>
    <row r="651" spans="1:96" s="41" customFormat="1" ht="12.75" customHeight="1">
      <c r="A651" s="25" t="s">
        <v>17</v>
      </c>
      <c r="B651" s="25" t="str">
        <f t="shared" si="167"/>
        <v>GL253005</v>
      </c>
      <c r="C651" s="638">
        <v>253005</v>
      </c>
      <c r="D651" s="735"/>
      <c r="F651" s="1" t="s">
        <v>629</v>
      </c>
      <c r="H651" s="736">
        <v>0</v>
      </c>
      <c r="I651" s="25"/>
      <c r="J651" s="25"/>
      <c r="K651" s="442" t="str">
        <f t="shared" si="166"/>
        <v/>
      </c>
      <c r="L651" s="736" t="s">
        <v>2464</v>
      </c>
      <c r="M651" s="25" t="str">
        <f t="shared" si="168"/>
        <v>S</v>
      </c>
      <c r="N651" s="25" t="str">
        <f>IF(L651&lt;&gt;"",VLOOKUP(L651,Categories!$B$2:$D$41,2,FALSE),IF(F651&lt;&gt;"","No Cat",""))</f>
        <v>A&amp;S Sch</v>
      </c>
      <c r="O651" s="25" t="str">
        <f>IF($L651&lt;&gt;"",VLOOKUP($L651,Categories!$B$2:$D$41,3,FALSE),IF($F651&lt;&gt;"","No Cat",""))</f>
        <v>Reg Asset &amp; Liabilities</v>
      </c>
      <c r="P651" s="736" t="s">
        <v>2468</v>
      </c>
      <c r="Q651" s="25" t="str">
        <f>VLOOKUP($P651,Allocators!$B$7:$F$19,5,FALSE)</f>
        <v>Not in Rate Base</v>
      </c>
      <c r="R651" s="737">
        <f>VLOOKUP($P651,Allocators!$B$7:$F$19,2,FALSE)</f>
        <v>0</v>
      </c>
      <c r="S651" s="737">
        <f>VLOOKUP($P651,Allocators!$B$7:$F$19,3,FALSE)</f>
        <v>0</v>
      </c>
      <c r="T651" s="737">
        <f t="shared" si="169"/>
        <v>1</v>
      </c>
      <c r="U651" s="2" t="str">
        <f t="shared" ref="U651:U714" si="188">IF(ABS(X651)=0,"",IF($R651="NO ALLOC","NO ALLOC",ROUND($R651*X651,15)))</f>
        <v/>
      </c>
      <c r="V651" s="2" t="str">
        <f t="shared" ref="V651:V714" si="189">IF(ABS(X651)=0,"",IF($S651="NO ALLOC","NO ALLOC",ROUND($S651*X651,15)))</f>
        <v/>
      </c>
      <c r="W651" s="2" t="str">
        <f t="shared" ref="W651:W714" si="190">IF(ABS(X651)=0,"",IF($T651="NO ALLOC","NO ALLOC",ROUND($T651*X651,15)))</f>
        <v/>
      </c>
      <c r="X651" s="2">
        <f t="shared" si="186"/>
        <v>0</v>
      </c>
      <c r="Y651" s="2" t="str">
        <f t="shared" ref="Y651:Y714" si="191">IF(ABS(AB651)=0,"",IF($R651="NO ALLOC","NO ALLOC",ROUND($R651*AB651,15)))</f>
        <v/>
      </c>
      <c r="Z651" s="2" t="str">
        <f t="shared" ref="Z651:Z714" si="192">IF(ABS(AB651)=0,"",IF($S651="NO ALLOC","NO ALLOC",ROUND($S651*AB651,15)))</f>
        <v/>
      </c>
      <c r="AA651" s="2" t="str">
        <f t="shared" ref="AA651:AA714" si="193">IF(ABS(AB651)=0,"",IF($T651="NO ALLOC","NO ALLOC",ROUND($T651*AB651,15)))</f>
        <v/>
      </c>
      <c r="AB651" s="2">
        <f t="shared" si="187"/>
        <v>0</v>
      </c>
      <c r="AC651" s="759">
        <v>0</v>
      </c>
      <c r="AD651" s="741">
        <v>0</v>
      </c>
      <c r="AE651" s="741">
        <v>0</v>
      </c>
      <c r="AF651" s="741">
        <v>0</v>
      </c>
      <c r="AG651" s="741">
        <v>0</v>
      </c>
      <c r="AH651" s="741">
        <v>0</v>
      </c>
      <c r="AI651" s="741">
        <v>0</v>
      </c>
      <c r="AJ651" s="741">
        <v>0</v>
      </c>
      <c r="AK651" s="741">
        <v>0</v>
      </c>
      <c r="AL651" s="741">
        <v>0</v>
      </c>
      <c r="AM651" s="741">
        <v>0</v>
      </c>
      <c r="AN651" s="741">
        <v>0</v>
      </c>
      <c r="AO651" s="741">
        <v>0</v>
      </c>
      <c r="AP651" s="41" t="str">
        <f t="shared" si="183"/>
        <v>GLS</v>
      </c>
      <c r="AQ651" s="41" t="str">
        <f t="shared" si="184"/>
        <v>GLSS0</v>
      </c>
      <c r="AR651" s="41" t="str">
        <f t="shared" si="185"/>
        <v>S0</v>
      </c>
    </row>
    <row r="652" spans="1:96" s="41" customFormat="1" ht="12.75" customHeight="1">
      <c r="A652" s="25" t="s">
        <v>17</v>
      </c>
      <c r="B652" s="25" t="str">
        <f t="shared" si="167"/>
        <v>GL253006</v>
      </c>
      <c r="C652" s="638">
        <v>253006</v>
      </c>
      <c r="D652" s="735"/>
      <c r="F652" s="1" t="s">
        <v>630</v>
      </c>
      <c r="H652" s="736">
        <v>0</v>
      </c>
      <c r="I652" s="25"/>
      <c r="J652" s="25"/>
      <c r="K652" s="442" t="str">
        <f t="shared" si="166"/>
        <v/>
      </c>
      <c r="L652" s="736" t="s">
        <v>2464</v>
      </c>
      <c r="M652" s="25" t="str">
        <f t="shared" si="168"/>
        <v>S</v>
      </c>
      <c r="N652" s="25" t="str">
        <f>IF(L652&lt;&gt;"",VLOOKUP(L652,Categories!$B$2:$D$41,2,FALSE),IF(F652&lt;&gt;"","No Cat",""))</f>
        <v>A&amp;S Sch</v>
      </c>
      <c r="O652" s="25" t="str">
        <f>IF($L652&lt;&gt;"",VLOOKUP($L652,Categories!$B$2:$D$41,3,FALSE),IF($F652&lt;&gt;"","No Cat",""))</f>
        <v>Reg Asset &amp; Liabilities</v>
      </c>
      <c r="P652" s="736" t="s">
        <v>2468</v>
      </c>
      <c r="Q652" s="25" t="str">
        <f>VLOOKUP($P652,Allocators!$B$7:$F$19,5,FALSE)</f>
        <v>Not in Rate Base</v>
      </c>
      <c r="R652" s="737">
        <f>VLOOKUP($P652,Allocators!$B$7:$F$19,2,FALSE)</f>
        <v>0</v>
      </c>
      <c r="S652" s="737">
        <f>VLOOKUP($P652,Allocators!$B$7:$F$19,3,FALSE)</f>
        <v>0</v>
      </c>
      <c r="T652" s="737">
        <f t="shared" si="169"/>
        <v>1</v>
      </c>
      <c r="U652" s="2">
        <f t="shared" si="188"/>
        <v>0</v>
      </c>
      <c r="V652" s="2">
        <f t="shared" si="189"/>
        <v>0</v>
      </c>
      <c r="W652" s="2">
        <f t="shared" si="190"/>
        <v>-347.74421000000001</v>
      </c>
      <c r="X652" s="2">
        <f t="shared" si="186"/>
        <v>-347.74421000000001</v>
      </c>
      <c r="Y652" s="2" t="str">
        <f t="shared" si="191"/>
        <v/>
      </c>
      <c r="Z652" s="2" t="str">
        <f t="shared" si="192"/>
        <v/>
      </c>
      <c r="AA652" s="2" t="str">
        <f t="shared" si="193"/>
        <v/>
      </c>
      <c r="AB652" s="2">
        <f t="shared" si="187"/>
        <v>0</v>
      </c>
      <c r="AC652" s="759">
        <v>-220.88917999999998</v>
      </c>
      <c r="AD652" s="741">
        <v>-223.94867000000002</v>
      </c>
      <c r="AE652" s="741">
        <v>-184.83485000000002</v>
      </c>
      <c r="AF652" s="741">
        <v>-1749.09032</v>
      </c>
      <c r="AG652" s="741">
        <v>-869.64697000000001</v>
      </c>
      <c r="AH652" s="741">
        <v>-80.468559999999997</v>
      </c>
      <c r="AI652" s="741">
        <v>-324.63771000000003</v>
      </c>
      <c r="AJ652" s="741">
        <v>-138.83632999999998</v>
      </c>
      <c r="AK652" s="741">
        <v>-257.41656999999998</v>
      </c>
      <c r="AL652" s="741">
        <v>-233.60595000000001</v>
      </c>
      <c r="AM652" s="741">
        <v>0</v>
      </c>
      <c r="AN652" s="741">
        <v>0</v>
      </c>
      <c r="AO652" s="741">
        <v>0</v>
      </c>
      <c r="AP652" s="41" t="str">
        <f t="shared" si="183"/>
        <v>GLS</v>
      </c>
      <c r="AQ652" s="41" t="str">
        <f t="shared" si="184"/>
        <v>GLSS0</v>
      </c>
      <c r="AR652" s="41" t="str">
        <f t="shared" si="185"/>
        <v>S0</v>
      </c>
    </row>
    <row r="653" spans="1:96" s="41" customFormat="1" ht="12.75" customHeight="1">
      <c r="A653" s="25" t="s">
        <v>17</v>
      </c>
      <c r="B653" s="25" t="str">
        <f t="shared" ref="B653" si="194">CONCATENATE(A653,C653,D653,E653)</f>
        <v>GL253007</v>
      </c>
      <c r="C653" s="638">
        <v>253007</v>
      </c>
      <c r="D653" s="735"/>
      <c r="F653" s="1" t="s">
        <v>4255</v>
      </c>
      <c r="H653" s="736">
        <v>0</v>
      </c>
      <c r="I653" s="25"/>
      <c r="J653" s="25"/>
      <c r="K653" s="442" t="str">
        <f t="shared" ref="K653" si="195">IF(L653="N3","Y","")</f>
        <v/>
      </c>
      <c r="L653" s="736" t="s">
        <v>2464</v>
      </c>
      <c r="M653" s="25" t="str">
        <f t="shared" ref="M653" si="196">LEFT(L653,1)</f>
        <v>S</v>
      </c>
      <c r="N653" s="25" t="str">
        <f>IF(L653&lt;&gt;"",VLOOKUP(L653,Categories!$B$2:$D$41,2,FALSE),IF(F653&lt;&gt;"","No Cat",""))</f>
        <v>A&amp;S Sch</v>
      </c>
      <c r="O653" s="25" t="str">
        <f>IF($L653&lt;&gt;"",VLOOKUP($L653,Categories!$B$2:$D$41,3,FALSE),IF($F653&lt;&gt;"","No Cat",""))</f>
        <v>Reg Asset &amp; Liabilities</v>
      </c>
      <c r="P653" s="736" t="s">
        <v>2468</v>
      </c>
      <c r="Q653" s="25" t="str">
        <f>VLOOKUP($P653,Allocators!$B$7:$F$19,5,FALSE)</f>
        <v>Not in Rate Base</v>
      </c>
      <c r="R653" s="737">
        <f>VLOOKUP($P653,Allocators!$B$7:$F$19,2,FALSE)</f>
        <v>0</v>
      </c>
      <c r="S653" s="737">
        <f>VLOOKUP($P653,Allocators!$B$7:$F$19,3,FALSE)</f>
        <v>0</v>
      </c>
      <c r="T653" s="737">
        <f t="shared" ref="T653" si="197">IF(P653="N",1,"0.0%")</f>
        <v>1</v>
      </c>
      <c r="U653" s="2">
        <f t="shared" si="188"/>
        <v>0</v>
      </c>
      <c r="V653" s="2">
        <f t="shared" si="189"/>
        <v>0</v>
      </c>
      <c r="W653" s="2">
        <f t="shared" si="190"/>
        <v>-248.42508708333301</v>
      </c>
      <c r="X653" s="2">
        <f t="shared" si="186"/>
        <v>-248.42508708333301</v>
      </c>
      <c r="Y653" s="2">
        <f t="shared" si="191"/>
        <v>0</v>
      </c>
      <c r="Z653" s="2">
        <f t="shared" si="192"/>
        <v>0</v>
      </c>
      <c r="AA653" s="2">
        <f t="shared" si="193"/>
        <v>-353.90931</v>
      </c>
      <c r="AB653" s="2">
        <f t="shared" si="187"/>
        <v>-353.90931</v>
      </c>
      <c r="AC653" s="759">
        <v>-52.485039999999998</v>
      </c>
      <c r="AD653" s="741">
        <v>-52.485039999999998</v>
      </c>
      <c r="AE653" s="741">
        <v>-243.23504</v>
      </c>
      <c r="AF653" s="741">
        <v>-271.95931000000002</v>
      </c>
      <c r="AG653" s="741">
        <v>-271.95931000000002</v>
      </c>
      <c r="AH653" s="741">
        <v>-272.30930999999998</v>
      </c>
      <c r="AI653" s="741">
        <v>-278.00930999999997</v>
      </c>
      <c r="AJ653" s="741">
        <v>-278.00930999999997</v>
      </c>
      <c r="AK653" s="741">
        <v>-278.00930999999997</v>
      </c>
      <c r="AL653" s="741">
        <v>-278.00930999999997</v>
      </c>
      <c r="AM653" s="741">
        <v>-278.00930999999997</v>
      </c>
      <c r="AN653" s="741">
        <v>-275.90931</v>
      </c>
      <c r="AO653" s="741">
        <v>-353.90931</v>
      </c>
      <c r="AP653" s="41" t="str">
        <f t="shared" si="183"/>
        <v>GLS</v>
      </c>
      <c r="AQ653" s="41" t="str">
        <f t="shared" si="184"/>
        <v>GLSS0</v>
      </c>
      <c r="AR653" s="41" t="str">
        <f t="shared" si="185"/>
        <v>S0</v>
      </c>
    </row>
    <row r="654" spans="1:96" s="41" customFormat="1" ht="12.75" customHeight="1">
      <c r="A654" s="25" t="s">
        <v>17</v>
      </c>
      <c r="B654" s="25" t="str">
        <f t="shared" si="167"/>
        <v>GL253010</v>
      </c>
      <c r="C654" s="638">
        <v>253010</v>
      </c>
      <c r="D654" s="735"/>
      <c r="F654" s="1" t="s">
        <v>631</v>
      </c>
      <c r="H654" s="736">
        <v>0</v>
      </c>
      <c r="I654" s="25"/>
      <c r="J654" s="25"/>
      <c r="K654" s="442" t="str">
        <f t="shared" si="166"/>
        <v/>
      </c>
      <c r="L654" s="736" t="s">
        <v>2464</v>
      </c>
      <c r="M654" s="25" t="str">
        <f t="shared" si="168"/>
        <v>S</v>
      </c>
      <c r="N654" s="25" t="str">
        <f>IF(L654&lt;&gt;"",VLOOKUP(L654,Categories!$B$2:$D$41,2,FALSE),IF(F654&lt;&gt;"","No Cat",""))</f>
        <v>A&amp;S Sch</v>
      </c>
      <c r="O654" s="25" t="str">
        <f>IF($L654&lt;&gt;"",VLOOKUP($L654,Categories!$B$2:$D$41,3,FALSE),IF($F654&lt;&gt;"","No Cat",""))</f>
        <v>Reg Asset &amp; Liabilities</v>
      </c>
      <c r="P654" s="736" t="s">
        <v>2468</v>
      </c>
      <c r="Q654" s="25" t="str">
        <f>VLOOKUP($P654,Allocators!$B$7:$F$19,5,FALSE)</f>
        <v>Not in Rate Base</v>
      </c>
      <c r="R654" s="737">
        <f>VLOOKUP($P654,Allocators!$B$7:$F$19,2,FALSE)</f>
        <v>0</v>
      </c>
      <c r="S654" s="737">
        <f>VLOOKUP($P654,Allocators!$B$7:$F$19,3,FALSE)</f>
        <v>0</v>
      </c>
      <c r="T654" s="737">
        <f t="shared" si="169"/>
        <v>1</v>
      </c>
      <c r="U654" s="2" t="str">
        <f t="shared" si="188"/>
        <v/>
      </c>
      <c r="V654" s="2" t="str">
        <f t="shared" si="189"/>
        <v/>
      </c>
      <c r="W654" s="2" t="str">
        <f t="shared" si="190"/>
        <v/>
      </c>
      <c r="X654" s="2">
        <f t="shared" si="186"/>
        <v>0</v>
      </c>
      <c r="Y654" s="2" t="str">
        <f t="shared" si="191"/>
        <v/>
      </c>
      <c r="Z654" s="2" t="str">
        <f t="shared" si="192"/>
        <v/>
      </c>
      <c r="AA654" s="2" t="str">
        <f t="shared" si="193"/>
        <v/>
      </c>
      <c r="AB654" s="2">
        <f t="shared" si="187"/>
        <v>0</v>
      </c>
      <c r="AC654" s="759">
        <v>0</v>
      </c>
      <c r="AD654" s="741">
        <v>0</v>
      </c>
      <c r="AE654" s="741">
        <v>0</v>
      </c>
      <c r="AF654" s="741">
        <v>0</v>
      </c>
      <c r="AG654" s="741">
        <v>0</v>
      </c>
      <c r="AH654" s="741">
        <v>0</v>
      </c>
      <c r="AI654" s="741">
        <v>0</v>
      </c>
      <c r="AJ654" s="741">
        <v>0</v>
      </c>
      <c r="AK654" s="741">
        <v>0</v>
      </c>
      <c r="AL654" s="741">
        <v>0</v>
      </c>
      <c r="AM654" s="741">
        <v>0</v>
      </c>
      <c r="AN654" s="741">
        <v>0</v>
      </c>
      <c r="AO654" s="741">
        <v>0</v>
      </c>
      <c r="AP654" s="41" t="str">
        <f t="shared" si="183"/>
        <v>GLS</v>
      </c>
      <c r="AQ654" s="41" t="str">
        <f t="shared" si="184"/>
        <v>GLSS0</v>
      </c>
      <c r="AR654" s="41" t="str">
        <f t="shared" si="185"/>
        <v>S0</v>
      </c>
    </row>
    <row r="655" spans="1:96" s="41" customFormat="1" ht="12.75" customHeight="1">
      <c r="A655" s="25" t="s">
        <v>17</v>
      </c>
      <c r="B655" s="25" t="str">
        <f t="shared" si="167"/>
        <v>GL253030</v>
      </c>
      <c r="C655" s="638">
        <v>253030</v>
      </c>
      <c r="D655" s="735"/>
      <c r="F655" s="1" t="s">
        <v>632</v>
      </c>
      <c r="H655" s="736">
        <v>0</v>
      </c>
      <c r="I655" s="25"/>
      <c r="J655" s="25"/>
      <c r="K655" s="442" t="str">
        <f t="shared" si="166"/>
        <v/>
      </c>
      <c r="L655" s="736" t="s">
        <v>2464</v>
      </c>
      <c r="M655" s="25" t="str">
        <f t="shared" si="168"/>
        <v>S</v>
      </c>
      <c r="N655" s="25" t="str">
        <f>IF(L655&lt;&gt;"",VLOOKUP(L655,Categories!$B$2:$D$41,2,FALSE),IF(F655&lt;&gt;"","No Cat",""))</f>
        <v>A&amp;S Sch</v>
      </c>
      <c r="O655" s="25" t="str">
        <f>IF($L655&lt;&gt;"",VLOOKUP($L655,Categories!$B$2:$D$41,3,FALSE),IF($F655&lt;&gt;"","No Cat",""))</f>
        <v>Reg Asset &amp; Liabilities</v>
      </c>
      <c r="P655" s="736" t="s">
        <v>2468</v>
      </c>
      <c r="Q655" s="25" t="str">
        <f>VLOOKUP($P655,Allocators!$B$7:$F$19,5,FALSE)</f>
        <v>Not in Rate Base</v>
      </c>
      <c r="R655" s="737">
        <f>VLOOKUP($P655,Allocators!$B$7:$F$19,2,FALSE)</f>
        <v>0</v>
      </c>
      <c r="S655" s="737">
        <f>VLOOKUP($P655,Allocators!$B$7:$F$19,3,FALSE)</f>
        <v>0</v>
      </c>
      <c r="T655" s="737">
        <f t="shared" si="169"/>
        <v>1</v>
      </c>
      <c r="U655" s="2">
        <f t="shared" si="188"/>
        <v>0</v>
      </c>
      <c r="V655" s="2">
        <f t="shared" si="189"/>
        <v>0</v>
      </c>
      <c r="W655" s="2">
        <f t="shared" si="190"/>
        <v>13.437144999999999</v>
      </c>
      <c r="X655" s="2">
        <f t="shared" si="186"/>
        <v>13.437144999999999</v>
      </c>
      <c r="Y655" s="2" t="str">
        <f t="shared" si="191"/>
        <v/>
      </c>
      <c r="Z655" s="2" t="str">
        <f t="shared" si="192"/>
        <v/>
      </c>
      <c r="AA655" s="2" t="str">
        <f t="shared" si="193"/>
        <v/>
      </c>
      <c r="AB655" s="2">
        <f t="shared" si="187"/>
        <v>0</v>
      </c>
      <c r="AC655" s="759">
        <v>107.49716000000001</v>
      </c>
      <c r="AD655" s="741">
        <v>107.49716000000001</v>
      </c>
      <c r="AE655" s="741">
        <v>0</v>
      </c>
      <c r="AF655" s="741">
        <v>0</v>
      </c>
      <c r="AG655" s="741">
        <v>0</v>
      </c>
      <c r="AH655" s="741">
        <v>0</v>
      </c>
      <c r="AI655" s="741">
        <v>0</v>
      </c>
      <c r="AJ655" s="741">
        <v>0</v>
      </c>
      <c r="AK655" s="741">
        <v>0</v>
      </c>
      <c r="AL655" s="741">
        <v>0</v>
      </c>
      <c r="AM655" s="741">
        <v>0</v>
      </c>
      <c r="AN655" s="741">
        <v>0</v>
      </c>
      <c r="AO655" s="741">
        <v>0</v>
      </c>
      <c r="AP655" s="41" t="str">
        <f t="shared" si="183"/>
        <v>GLS</v>
      </c>
      <c r="AQ655" s="41" t="str">
        <f t="shared" si="184"/>
        <v>GLSS0</v>
      </c>
      <c r="AR655" s="41" t="str">
        <f t="shared" si="185"/>
        <v>S0</v>
      </c>
    </row>
    <row r="656" spans="1:96" s="41" customFormat="1" ht="12.75" customHeight="1">
      <c r="A656" s="25" t="s">
        <v>17</v>
      </c>
      <c r="B656" s="25" t="str">
        <f t="shared" si="167"/>
        <v>GL253040</v>
      </c>
      <c r="C656" s="638">
        <v>253040</v>
      </c>
      <c r="D656" s="735"/>
      <c r="F656" s="1" t="s">
        <v>633</v>
      </c>
      <c r="H656" s="736">
        <v>0</v>
      </c>
      <c r="I656" s="25"/>
      <c r="J656" s="25"/>
      <c r="K656" s="442" t="str">
        <f t="shared" si="166"/>
        <v/>
      </c>
      <c r="L656" s="736" t="s">
        <v>2464</v>
      </c>
      <c r="M656" s="25" t="str">
        <f t="shared" si="168"/>
        <v>S</v>
      </c>
      <c r="N656" s="25" t="str">
        <f>IF(L656&lt;&gt;"",VLOOKUP(L656,Categories!$B$2:$D$41,2,FALSE),IF(F656&lt;&gt;"","No Cat",""))</f>
        <v>A&amp;S Sch</v>
      </c>
      <c r="O656" s="25" t="str">
        <f>IF($L656&lt;&gt;"",VLOOKUP($L656,Categories!$B$2:$D$41,3,FALSE),IF($F656&lt;&gt;"","No Cat",""))</f>
        <v>Reg Asset &amp; Liabilities</v>
      </c>
      <c r="P656" s="736" t="s">
        <v>2468</v>
      </c>
      <c r="Q656" s="25" t="str">
        <f>VLOOKUP($P656,Allocators!$B$7:$F$19,5,FALSE)</f>
        <v>Not in Rate Base</v>
      </c>
      <c r="R656" s="737">
        <f>VLOOKUP($P656,Allocators!$B$7:$F$19,2,FALSE)</f>
        <v>0</v>
      </c>
      <c r="S656" s="737">
        <f>VLOOKUP($P656,Allocators!$B$7:$F$19,3,FALSE)</f>
        <v>0</v>
      </c>
      <c r="T656" s="737">
        <f t="shared" si="169"/>
        <v>1</v>
      </c>
      <c r="U656" s="2">
        <f t="shared" si="188"/>
        <v>0</v>
      </c>
      <c r="V656" s="2">
        <f t="shared" si="189"/>
        <v>0</v>
      </c>
      <c r="W656" s="2">
        <f t="shared" si="190"/>
        <v>-156.95088250000001</v>
      </c>
      <c r="X656" s="2">
        <f t="shared" si="186"/>
        <v>-156.95088250000001</v>
      </c>
      <c r="Y656" s="2">
        <f t="shared" si="191"/>
        <v>0</v>
      </c>
      <c r="Z656" s="2">
        <f t="shared" si="192"/>
        <v>0</v>
      </c>
      <c r="AA656" s="2">
        <f t="shared" si="193"/>
        <v>-75</v>
      </c>
      <c r="AB656" s="2">
        <f t="shared" si="187"/>
        <v>-75</v>
      </c>
      <c r="AC656" s="759">
        <v>-175.47492000000003</v>
      </c>
      <c r="AD656" s="741">
        <v>-159.29055</v>
      </c>
      <c r="AE656" s="741">
        <v>-159.29055</v>
      </c>
      <c r="AF656" s="741">
        <v>-159.59057999999999</v>
      </c>
      <c r="AG656" s="741">
        <v>-159.59057999999999</v>
      </c>
      <c r="AH656" s="741">
        <v>-159.59057999999999</v>
      </c>
      <c r="AI656" s="741">
        <v>-160.40170999999998</v>
      </c>
      <c r="AJ656" s="741">
        <v>-160.40170999999998</v>
      </c>
      <c r="AK656" s="741">
        <v>-160.40170999999998</v>
      </c>
      <c r="AL656" s="741">
        <v>-159.87172000000001</v>
      </c>
      <c r="AM656" s="741">
        <v>-159.87172000000001</v>
      </c>
      <c r="AN656" s="741">
        <v>-159.87172000000001</v>
      </c>
      <c r="AO656" s="741">
        <v>-75</v>
      </c>
      <c r="AP656" s="41" t="str">
        <f t="shared" si="183"/>
        <v>GLS</v>
      </c>
      <c r="AQ656" s="41" t="str">
        <f t="shared" si="184"/>
        <v>GLSS0</v>
      </c>
      <c r="AR656" s="41" t="str">
        <f t="shared" si="185"/>
        <v>S0</v>
      </c>
    </row>
    <row r="657" spans="1:44" s="41" customFormat="1" ht="12.75" customHeight="1">
      <c r="A657" s="25" t="s">
        <v>17</v>
      </c>
      <c r="B657" s="25" t="str">
        <f t="shared" si="167"/>
        <v>GL253042</v>
      </c>
      <c r="C657" s="638">
        <v>253042</v>
      </c>
      <c r="D657" s="735"/>
      <c r="F657" s="1" t="s">
        <v>634</v>
      </c>
      <c r="H657" s="736">
        <v>0</v>
      </c>
      <c r="I657" s="25"/>
      <c r="J657" s="25"/>
      <c r="K657" s="442" t="str">
        <f t="shared" si="166"/>
        <v/>
      </c>
      <c r="L657" s="736" t="s">
        <v>2464</v>
      </c>
      <c r="M657" s="25" t="str">
        <f t="shared" si="168"/>
        <v>S</v>
      </c>
      <c r="N657" s="25" t="str">
        <f>IF(L657&lt;&gt;"",VLOOKUP(L657,Categories!$B$2:$D$41,2,FALSE),IF(F657&lt;&gt;"","No Cat",""))</f>
        <v>A&amp;S Sch</v>
      </c>
      <c r="O657" s="25" t="str">
        <f>IF($L657&lt;&gt;"",VLOOKUP($L657,Categories!$B$2:$D$41,3,FALSE),IF($F657&lt;&gt;"","No Cat",""))</f>
        <v>Reg Asset &amp; Liabilities</v>
      </c>
      <c r="P657" s="736" t="s">
        <v>2468</v>
      </c>
      <c r="Q657" s="25" t="str">
        <f>VLOOKUP($P657,Allocators!$B$7:$F$19,5,FALSE)</f>
        <v>Not in Rate Base</v>
      </c>
      <c r="R657" s="737">
        <f>VLOOKUP($P657,Allocators!$B$7:$F$19,2,FALSE)</f>
        <v>0</v>
      </c>
      <c r="S657" s="737">
        <f>VLOOKUP($P657,Allocators!$B$7:$F$19,3,FALSE)</f>
        <v>0</v>
      </c>
      <c r="T657" s="737">
        <f t="shared" si="169"/>
        <v>1</v>
      </c>
      <c r="U657" s="2">
        <f t="shared" si="188"/>
        <v>0</v>
      </c>
      <c r="V657" s="2">
        <f t="shared" si="189"/>
        <v>0</v>
      </c>
      <c r="W657" s="2">
        <f t="shared" si="190"/>
        <v>-1.1764999999999999E-2</v>
      </c>
      <c r="X657" s="2">
        <f t="shared" si="186"/>
        <v>-1.1764999999999999E-2</v>
      </c>
      <c r="Y657" s="2" t="str">
        <f t="shared" si="191"/>
        <v/>
      </c>
      <c r="Z657" s="2" t="str">
        <f t="shared" si="192"/>
        <v/>
      </c>
      <c r="AA657" s="2" t="str">
        <f t="shared" si="193"/>
        <v/>
      </c>
      <c r="AB657" s="2">
        <f t="shared" si="187"/>
        <v>0</v>
      </c>
      <c r="AC657" s="759">
        <v>0</v>
      </c>
      <c r="AD657" s="741">
        <v>0</v>
      </c>
      <c r="AE657" s="741">
        <v>0</v>
      </c>
      <c r="AF657" s="741">
        <v>0</v>
      </c>
      <c r="AG657" s="741">
        <v>0</v>
      </c>
      <c r="AH657" s="741">
        <v>0</v>
      </c>
      <c r="AI657" s="741">
        <v>0</v>
      </c>
      <c r="AJ657" s="741">
        <v>-0.14118</v>
      </c>
      <c r="AK657" s="741">
        <v>0</v>
      </c>
      <c r="AL657" s="741">
        <v>0</v>
      </c>
      <c r="AM657" s="741">
        <v>0</v>
      </c>
      <c r="AN657" s="741">
        <v>0</v>
      </c>
      <c r="AO657" s="741">
        <v>0</v>
      </c>
      <c r="AP657" s="41" t="str">
        <f t="shared" si="183"/>
        <v>GLS</v>
      </c>
      <c r="AQ657" s="41" t="str">
        <f t="shared" si="184"/>
        <v>GLSS0</v>
      </c>
      <c r="AR657" s="41" t="str">
        <f t="shared" si="185"/>
        <v>S0</v>
      </c>
    </row>
    <row r="658" spans="1:44" s="41" customFormat="1" ht="12.75" customHeight="1">
      <c r="A658" s="25" t="s">
        <v>17</v>
      </c>
      <c r="B658" s="25" t="str">
        <f t="shared" si="167"/>
        <v>GL253043</v>
      </c>
      <c r="C658" s="638">
        <v>253043</v>
      </c>
      <c r="D658" s="735"/>
      <c r="F658" s="1" t="s">
        <v>635</v>
      </c>
      <c r="H658" s="736">
        <v>0</v>
      </c>
      <c r="I658" s="25"/>
      <c r="J658" s="25"/>
      <c r="K658" s="442" t="str">
        <f t="shared" ref="K658:K725" si="198">IF(L658="N3","Y","")</f>
        <v/>
      </c>
      <c r="L658" s="736" t="s">
        <v>2464</v>
      </c>
      <c r="M658" s="25" t="str">
        <f t="shared" si="168"/>
        <v>S</v>
      </c>
      <c r="N658" s="25" t="str">
        <f>IF(L658&lt;&gt;"",VLOOKUP(L658,Categories!$B$2:$D$41,2,FALSE),IF(F658&lt;&gt;"","No Cat",""))</f>
        <v>A&amp;S Sch</v>
      </c>
      <c r="O658" s="25" t="str">
        <f>IF($L658&lt;&gt;"",VLOOKUP($L658,Categories!$B$2:$D$41,3,FALSE),IF($F658&lt;&gt;"","No Cat",""))</f>
        <v>Reg Asset &amp; Liabilities</v>
      </c>
      <c r="P658" s="736" t="s">
        <v>2468</v>
      </c>
      <c r="Q658" s="25" t="str">
        <f>VLOOKUP($P658,Allocators!$B$7:$F$19,5,FALSE)</f>
        <v>Not in Rate Base</v>
      </c>
      <c r="R658" s="737">
        <f>VLOOKUP($P658,Allocators!$B$7:$F$19,2,FALSE)</f>
        <v>0</v>
      </c>
      <c r="S658" s="737">
        <f>VLOOKUP($P658,Allocators!$B$7:$F$19,3,FALSE)</f>
        <v>0</v>
      </c>
      <c r="T658" s="737">
        <f t="shared" si="169"/>
        <v>1</v>
      </c>
      <c r="U658" s="2" t="str">
        <f t="shared" si="188"/>
        <v/>
      </c>
      <c r="V658" s="2" t="str">
        <f t="shared" si="189"/>
        <v/>
      </c>
      <c r="W658" s="2" t="str">
        <f t="shared" si="190"/>
        <v/>
      </c>
      <c r="X658" s="2">
        <f t="shared" si="186"/>
        <v>0</v>
      </c>
      <c r="Y658" s="2" t="str">
        <f t="shared" si="191"/>
        <v/>
      </c>
      <c r="Z658" s="2" t="str">
        <f t="shared" si="192"/>
        <v/>
      </c>
      <c r="AA658" s="2" t="str">
        <f t="shared" si="193"/>
        <v/>
      </c>
      <c r="AB658" s="2">
        <f t="shared" si="187"/>
        <v>0</v>
      </c>
      <c r="AC658" s="759">
        <v>0</v>
      </c>
      <c r="AD658" s="741">
        <v>0</v>
      </c>
      <c r="AE658" s="741">
        <v>0</v>
      </c>
      <c r="AF658" s="741">
        <v>0</v>
      </c>
      <c r="AG658" s="741">
        <v>0</v>
      </c>
      <c r="AH658" s="741">
        <v>0</v>
      </c>
      <c r="AI658" s="741">
        <v>0</v>
      </c>
      <c r="AJ658" s="741">
        <v>0</v>
      </c>
      <c r="AK658" s="741">
        <v>0</v>
      </c>
      <c r="AL658" s="741">
        <v>0</v>
      </c>
      <c r="AM658" s="741">
        <v>0</v>
      </c>
      <c r="AN658" s="741">
        <v>0</v>
      </c>
      <c r="AO658" s="741">
        <v>0</v>
      </c>
      <c r="AP658" s="41" t="str">
        <f t="shared" si="183"/>
        <v>GLS</v>
      </c>
      <c r="AQ658" s="41" t="str">
        <f t="shared" si="184"/>
        <v>GLSS0</v>
      </c>
      <c r="AR658" s="41" t="str">
        <f t="shared" si="185"/>
        <v>S0</v>
      </c>
    </row>
    <row r="659" spans="1:44" s="41" customFormat="1" ht="12.75" customHeight="1">
      <c r="A659" s="25" t="s">
        <v>17</v>
      </c>
      <c r="B659" s="25" t="str">
        <f t="shared" si="167"/>
        <v>GL253080</v>
      </c>
      <c r="C659" s="638">
        <v>253080</v>
      </c>
      <c r="D659" s="735"/>
      <c r="F659" s="1" t="s">
        <v>636</v>
      </c>
      <c r="H659" s="736">
        <v>0</v>
      </c>
      <c r="I659" s="25"/>
      <c r="J659" s="25"/>
      <c r="K659" s="442" t="str">
        <f t="shared" si="198"/>
        <v/>
      </c>
      <c r="L659" s="736" t="s">
        <v>2464</v>
      </c>
      <c r="M659" s="25" t="str">
        <f t="shared" si="168"/>
        <v>S</v>
      </c>
      <c r="N659" s="25" t="str">
        <f>IF(L659&lt;&gt;"",VLOOKUP(L659,Categories!$B$2:$D$41,2,FALSE),IF(F659&lt;&gt;"","No Cat",""))</f>
        <v>A&amp;S Sch</v>
      </c>
      <c r="O659" s="25" t="str">
        <f>IF($L659&lt;&gt;"",VLOOKUP($L659,Categories!$B$2:$D$41,3,FALSE),IF($F659&lt;&gt;"","No Cat",""))</f>
        <v>Reg Asset &amp; Liabilities</v>
      </c>
      <c r="P659" s="736" t="s">
        <v>2468</v>
      </c>
      <c r="Q659" s="25" t="str">
        <f>VLOOKUP($P659,Allocators!$B$7:$F$19,5,FALSE)</f>
        <v>Not in Rate Base</v>
      </c>
      <c r="R659" s="737">
        <f>VLOOKUP($P659,Allocators!$B$7:$F$19,2,FALSE)</f>
        <v>0</v>
      </c>
      <c r="S659" s="737">
        <f>VLOOKUP($P659,Allocators!$B$7:$F$19,3,FALSE)</f>
        <v>0</v>
      </c>
      <c r="T659" s="737">
        <f t="shared" si="169"/>
        <v>1</v>
      </c>
      <c r="U659" s="2" t="str">
        <f t="shared" si="188"/>
        <v/>
      </c>
      <c r="V659" s="2" t="str">
        <f t="shared" si="189"/>
        <v/>
      </c>
      <c r="W659" s="2" t="str">
        <f t="shared" si="190"/>
        <v/>
      </c>
      <c r="X659" s="2">
        <f t="shared" si="186"/>
        <v>0</v>
      </c>
      <c r="Y659" s="2" t="str">
        <f t="shared" si="191"/>
        <v/>
      </c>
      <c r="Z659" s="2" t="str">
        <f t="shared" si="192"/>
        <v/>
      </c>
      <c r="AA659" s="2" t="str">
        <f t="shared" si="193"/>
        <v/>
      </c>
      <c r="AB659" s="2">
        <f t="shared" si="187"/>
        <v>0</v>
      </c>
      <c r="AC659" s="759">
        <v>0</v>
      </c>
      <c r="AD659" s="741">
        <v>0</v>
      </c>
      <c r="AE659" s="741">
        <v>0</v>
      </c>
      <c r="AF659" s="741">
        <v>0</v>
      </c>
      <c r="AG659" s="741">
        <v>0</v>
      </c>
      <c r="AH659" s="741">
        <v>0</v>
      </c>
      <c r="AI659" s="741">
        <v>0</v>
      </c>
      <c r="AJ659" s="741">
        <v>0</v>
      </c>
      <c r="AK659" s="741">
        <v>0</v>
      </c>
      <c r="AL659" s="741">
        <v>0</v>
      </c>
      <c r="AM659" s="741">
        <v>0</v>
      </c>
      <c r="AN659" s="741">
        <v>0</v>
      </c>
      <c r="AO659" s="741">
        <v>0</v>
      </c>
      <c r="AP659" s="41" t="str">
        <f t="shared" si="183"/>
        <v>GLS</v>
      </c>
      <c r="AQ659" s="41" t="str">
        <f t="shared" si="184"/>
        <v>GLSS0</v>
      </c>
      <c r="AR659" s="41" t="str">
        <f t="shared" si="185"/>
        <v>S0</v>
      </c>
    </row>
    <row r="660" spans="1:44" s="41" customFormat="1" ht="12.75" customHeight="1">
      <c r="A660" s="25" t="s">
        <v>17</v>
      </c>
      <c r="B660" s="25" t="str">
        <f t="shared" si="167"/>
        <v>GL253091</v>
      </c>
      <c r="C660" s="638">
        <v>253091</v>
      </c>
      <c r="D660" s="735"/>
      <c r="F660" s="1" t="s">
        <v>637</v>
      </c>
      <c r="H660" s="736">
        <v>0</v>
      </c>
      <c r="I660" s="25"/>
      <c r="J660" s="25"/>
      <c r="K660" s="442" t="str">
        <f t="shared" si="198"/>
        <v/>
      </c>
      <c r="L660" s="736" t="s">
        <v>2464</v>
      </c>
      <c r="M660" s="25" t="str">
        <f t="shared" si="168"/>
        <v>S</v>
      </c>
      <c r="N660" s="25" t="str">
        <f>IF(L660&lt;&gt;"",VLOOKUP(L660,Categories!$B$2:$D$41,2,FALSE),IF(F660&lt;&gt;"","No Cat",""))</f>
        <v>A&amp;S Sch</v>
      </c>
      <c r="O660" s="25" t="str">
        <f>IF($L660&lt;&gt;"",VLOOKUP($L660,Categories!$B$2:$D$41,3,FALSE),IF($F660&lt;&gt;"","No Cat",""))</f>
        <v>Reg Asset &amp; Liabilities</v>
      </c>
      <c r="P660" s="736" t="s">
        <v>2468</v>
      </c>
      <c r="Q660" s="25" t="str">
        <f>VLOOKUP($P660,Allocators!$B$7:$F$19,5,FALSE)</f>
        <v>Not in Rate Base</v>
      </c>
      <c r="R660" s="737">
        <f>VLOOKUP($P660,Allocators!$B$7:$F$19,2,FALSE)</f>
        <v>0</v>
      </c>
      <c r="S660" s="737">
        <f>VLOOKUP($P660,Allocators!$B$7:$F$19,3,FALSE)</f>
        <v>0</v>
      </c>
      <c r="T660" s="737">
        <f t="shared" si="169"/>
        <v>1</v>
      </c>
      <c r="U660" s="2" t="str">
        <f t="shared" si="188"/>
        <v/>
      </c>
      <c r="V660" s="2" t="str">
        <f t="shared" si="189"/>
        <v/>
      </c>
      <c r="W660" s="2" t="str">
        <f t="shared" si="190"/>
        <v/>
      </c>
      <c r="X660" s="2">
        <f t="shared" si="186"/>
        <v>0</v>
      </c>
      <c r="Y660" s="2" t="str">
        <f t="shared" si="191"/>
        <v/>
      </c>
      <c r="Z660" s="2" t="str">
        <f t="shared" si="192"/>
        <v/>
      </c>
      <c r="AA660" s="2" t="str">
        <f t="shared" si="193"/>
        <v/>
      </c>
      <c r="AB660" s="2">
        <f t="shared" si="187"/>
        <v>0</v>
      </c>
      <c r="AC660" s="759">
        <v>0</v>
      </c>
      <c r="AD660" s="741">
        <v>0</v>
      </c>
      <c r="AE660" s="741">
        <v>0</v>
      </c>
      <c r="AF660" s="741">
        <v>0</v>
      </c>
      <c r="AG660" s="741">
        <v>0</v>
      </c>
      <c r="AH660" s="741">
        <v>0</v>
      </c>
      <c r="AI660" s="741">
        <v>0</v>
      </c>
      <c r="AJ660" s="741">
        <v>0</v>
      </c>
      <c r="AK660" s="741">
        <v>0</v>
      </c>
      <c r="AL660" s="741">
        <v>0</v>
      </c>
      <c r="AM660" s="741">
        <v>0</v>
      </c>
      <c r="AN660" s="741">
        <v>0</v>
      </c>
      <c r="AO660" s="741">
        <v>0</v>
      </c>
      <c r="AP660" s="41" t="str">
        <f t="shared" si="183"/>
        <v>GLS</v>
      </c>
      <c r="AQ660" s="41" t="str">
        <f t="shared" si="184"/>
        <v>GLSS0</v>
      </c>
      <c r="AR660" s="41" t="str">
        <f t="shared" si="185"/>
        <v>S0</v>
      </c>
    </row>
    <row r="661" spans="1:44" s="41" customFormat="1" ht="12.75" customHeight="1">
      <c r="A661" s="25" t="s">
        <v>17</v>
      </c>
      <c r="B661" s="25" t="str">
        <f t="shared" si="167"/>
        <v>GL253140</v>
      </c>
      <c r="C661" s="638">
        <v>253140</v>
      </c>
      <c r="D661" s="735"/>
      <c r="F661" s="1" t="s">
        <v>638</v>
      </c>
      <c r="H661" s="736">
        <v>0</v>
      </c>
      <c r="I661" s="25"/>
      <c r="J661" s="25"/>
      <c r="K661" s="442" t="str">
        <f t="shared" si="198"/>
        <v/>
      </c>
      <c r="L661" s="736" t="s">
        <v>2464</v>
      </c>
      <c r="M661" s="25" t="str">
        <f t="shared" si="168"/>
        <v>S</v>
      </c>
      <c r="N661" s="25" t="str">
        <f>IF(L661&lt;&gt;"",VLOOKUP(L661,Categories!$B$2:$D$41,2,FALSE),IF(F661&lt;&gt;"","No Cat",""))</f>
        <v>A&amp;S Sch</v>
      </c>
      <c r="O661" s="25" t="str">
        <f>IF($L661&lt;&gt;"",VLOOKUP($L661,Categories!$B$2:$D$41,3,FALSE),IF($F661&lt;&gt;"","No Cat",""))</f>
        <v>Reg Asset &amp; Liabilities</v>
      </c>
      <c r="P661" s="736" t="s">
        <v>2468</v>
      </c>
      <c r="Q661" s="25" t="str">
        <f>VLOOKUP($P661,Allocators!$B$7:$F$19,5,FALSE)</f>
        <v>Not in Rate Base</v>
      </c>
      <c r="R661" s="737">
        <f>VLOOKUP($P661,Allocators!$B$7:$F$19,2,FALSE)</f>
        <v>0</v>
      </c>
      <c r="S661" s="737">
        <f>VLOOKUP($P661,Allocators!$B$7:$F$19,3,FALSE)</f>
        <v>0</v>
      </c>
      <c r="T661" s="737">
        <f t="shared" si="169"/>
        <v>1</v>
      </c>
      <c r="U661" s="2" t="str">
        <f t="shared" si="188"/>
        <v/>
      </c>
      <c r="V661" s="2" t="str">
        <f t="shared" si="189"/>
        <v/>
      </c>
      <c r="W661" s="2" t="str">
        <f t="shared" si="190"/>
        <v/>
      </c>
      <c r="X661" s="2">
        <f t="shared" si="186"/>
        <v>0</v>
      </c>
      <c r="Y661" s="2" t="str">
        <f t="shared" si="191"/>
        <v/>
      </c>
      <c r="Z661" s="2" t="str">
        <f t="shared" si="192"/>
        <v/>
      </c>
      <c r="AA661" s="2" t="str">
        <f t="shared" si="193"/>
        <v/>
      </c>
      <c r="AB661" s="2">
        <f t="shared" si="187"/>
        <v>0</v>
      </c>
      <c r="AC661" s="759">
        <v>0</v>
      </c>
      <c r="AD661" s="741">
        <v>0</v>
      </c>
      <c r="AE661" s="741">
        <v>0</v>
      </c>
      <c r="AF661" s="741">
        <v>0</v>
      </c>
      <c r="AG661" s="741">
        <v>0</v>
      </c>
      <c r="AH661" s="741">
        <v>0</v>
      </c>
      <c r="AI661" s="741">
        <v>0</v>
      </c>
      <c r="AJ661" s="741">
        <v>0</v>
      </c>
      <c r="AK661" s="741">
        <v>0</v>
      </c>
      <c r="AL661" s="741">
        <v>0</v>
      </c>
      <c r="AM661" s="741">
        <v>0</v>
      </c>
      <c r="AN661" s="741">
        <v>0</v>
      </c>
      <c r="AO661" s="741">
        <v>0</v>
      </c>
      <c r="AP661" s="41" t="str">
        <f t="shared" si="183"/>
        <v>GLS</v>
      </c>
      <c r="AQ661" s="41" t="str">
        <f t="shared" si="184"/>
        <v>GLSS0</v>
      </c>
      <c r="AR661" s="41" t="str">
        <f t="shared" si="185"/>
        <v>S0</v>
      </c>
    </row>
    <row r="662" spans="1:44" s="41" customFormat="1" ht="12.75" customHeight="1">
      <c r="A662" s="25" t="s">
        <v>17</v>
      </c>
      <c r="B662" s="25" t="str">
        <f t="shared" si="167"/>
        <v>GL253150</v>
      </c>
      <c r="C662" s="638">
        <v>253150</v>
      </c>
      <c r="D662" s="735"/>
      <c r="F662" s="1" t="s">
        <v>639</v>
      </c>
      <c r="H662" s="736">
        <v>0</v>
      </c>
      <c r="I662" s="25"/>
      <c r="J662" s="25"/>
      <c r="K662" s="442" t="str">
        <f t="shared" si="198"/>
        <v/>
      </c>
      <c r="L662" s="736" t="s">
        <v>2464</v>
      </c>
      <c r="M662" s="25" t="str">
        <f t="shared" si="168"/>
        <v>S</v>
      </c>
      <c r="N662" s="25" t="str">
        <f>IF(L662&lt;&gt;"",VLOOKUP(L662,Categories!$B$2:$D$41,2,FALSE),IF(F662&lt;&gt;"","No Cat",""))</f>
        <v>A&amp;S Sch</v>
      </c>
      <c r="O662" s="25" t="str">
        <f>IF($L662&lt;&gt;"",VLOOKUP($L662,Categories!$B$2:$D$41,3,FALSE),IF($F662&lt;&gt;"","No Cat",""))</f>
        <v>Reg Asset &amp; Liabilities</v>
      </c>
      <c r="P662" s="736" t="s">
        <v>2468</v>
      </c>
      <c r="Q662" s="25" t="str">
        <f>VLOOKUP($P662,Allocators!$B$7:$F$19,5,FALSE)</f>
        <v>Not in Rate Base</v>
      </c>
      <c r="R662" s="737">
        <f>VLOOKUP($P662,Allocators!$B$7:$F$19,2,FALSE)</f>
        <v>0</v>
      </c>
      <c r="S662" s="737">
        <f>VLOOKUP($P662,Allocators!$B$7:$F$19,3,FALSE)</f>
        <v>0</v>
      </c>
      <c r="T662" s="737">
        <f t="shared" si="169"/>
        <v>1</v>
      </c>
      <c r="U662" s="2" t="str">
        <f t="shared" si="188"/>
        <v/>
      </c>
      <c r="V662" s="2" t="str">
        <f t="shared" si="189"/>
        <v/>
      </c>
      <c r="W662" s="2" t="str">
        <f t="shared" si="190"/>
        <v/>
      </c>
      <c r="X662" s="2">
        <f t="shared" si="186"/>
        <v>0</v>
      </c>
      <c r="Y662" s="2" t="str">
        <f t="shared" si="191"/>
        <v/>
      </c>
      <c r="Z662" s="2" t="str">
        <f t="shared" si="192"/>
        <v/>
      </c>
      <c r="AA662" s="2" t="str">
        <f t="shared" si="193"/>
        <v/>
      </c>
      <c r="AB662" s="2">
        <f t="shared" si="187"/>
        <v>0</v>
      </c>
      <c r="AC662" s="759">
        <v>0</v>
      </c>
      <c r="AD662" s="741">
        <v>0</v>
      </c>
      <c r="AE662" s="741">
        <v>0</v>
      </c>
      <c r="AF662" s="741">
        <v>0</v>
      </c>
      <c r="AG662" s="741">
        <v>0</v>
      </c>
      <c r="AH662" s="741">
        <v>0</v>
      </c>
      <c r="AI662" s="741">
        <v>0</v>
      </c>
      <c r="AJ662" s="741">
        <v>0</v>
      </c>
      <c r="AK662" s="741">
        <v>0</v>
      </c>
      <c r="AL662" s="741">
        <v>0</v>
      </c>
      <c r="AM662" s="741">
        <v>0</v>
      </c>
      <c r="AN662" s="741">
        <v>0</v>
      </c>
      <c r="AO662" s="741">
        <v>0</v>
      </c>
      <c r="AP662" s="41" t="str">
        <f t="shared" si="183"/>
        <v>GLS</v>
      </c>
      <c r="AQ662" s="41" t="str">
        <f t="shared" si="184"/>
        <v>GLSS0</v>
      </c>
      <c r="AR662" s="41" t="str">
        <f t="shared" si="185"/>
        <v>S0</v>
      </c>
    </row>
    <row r="663" spans="1:44" s="41" customFormat="1" ht="12.75" customHeight="1">
      <c r="A663" s="25" t="s">
        <v>17</v>
      </c>
      <c r="B663" s="25" t="str">
        <f t="shared" si="167"/>
        <v>GL253160</v>
      </c>
      <c r="C663" s="638">
        <v>253160</v>
      </c>
      <c r="D663" s="735"/>
      <c r="F663" s="1" t="s">
        <v>640</v>
      </c>
      <c r="H663" s="736">
        <v>0</v>
      </c>
      <c r="I663" s="25"/>
      <c r="J663" s="25"/>
      <c r="K663" s="442" t="str">
        <f t="shared" si="198"/>
        <v/>
      </c>
      <c r="L663" s="736" t="s">
        <v>2464</v>
      </c>
      <c r="M663" s="25" t="str">
        <f t="shared" si="168"/>
        <v>S</v>
      </c>
      <c r="N663" s="25" t="str">
        <f>IF(L663&lt;&gt;"",VLOOKUP(L663,Categories!$B$2:$D$41,2,FALSE),IF(F663&lt;&gt;"","No Cat",""))</f>
        <v>A&amp;S Sch</v>
      </c>
      <c r="O663" s="25" t="str">
        <f>IF($L663&lt;&gt;"",VLOOKUP($L663,Categories!$B$2:$D$41,3,FALSE),IF($F663&lt;&gt;"","No Cat",""))</f>
        <v>Reg Asset &amp; Liabilities</v>
      </c>
      <c r="P663" s="736" t="s">
        <v>2468</v>
      </c>
      <c r="Q663" s="25" t="str">
        <f>VLOOKUP($P663,Allocators!$B$7:$F$19,5,FALSE)</f>
        <v>Not in Rate Base</v>
      </c>
      <c r="R663" s="737">
        <f>VLOOKUP($P663,Allocators!$B$7:$F$19,2,FALSE)</f>
        <v>0</v>
      </c>
      <c r="S663" s="737">
        <f>VLOOKUP($P663,Allocators!$B$7:$F$19,3,FALSE)</f>
        <v>0</v>
      </c>
      <c r="T663" s="737">
        <f t="shared" si="169"/>
        <v>1</v>
      </c>
      <c r="U663" s="2" t="str">
        <f t="shared" si="188"/>
        <v/>
      </c>
      <c r="V663" s="2" t="str">
        <f t="shared" si="189"/>
        <v/>
      </c>
      <c r="W663" s="2" t="str">
        <f t="shared" si="190"/>
        <v/>
      </c>
      <c r="X663" s="2">
        <f t="shared" si="186"/>
        <v>0</v>
      </c>
      <c r="Y663" s="2" t="str">
        <f t="shared" si="191"/>
        <v/>
      </c>
      <c r="Z663" s="2" t="str">
        <f t="shared" si="192"/>
        <v/>
      </c>
      <c r="AA663" s="2" t="str">
        <f t="shared" si="193"/>
        <v/>
      </c>
      <c r="AB663" s="2">
        <f t="shared" si="187"/>
        <v>0</v>
      </c>
      <c r="AC663" s="759">
        <v>0</v>
      </c>
      <c r="AD663" s="741">
        <v>0</v>
      </c>
      <c r="AE663" s="741">
        <v>0</v>
      </c>
      <c r="AF663" s="741">
        <v>0</v>
      </c>
      <c r="AG663" s="741">
        <v>0</v>
      </c>
      <c r="AH663" s="741">
        <v>0</v>
      </c>
      <c r="AI663" s="741">
        <v>0</v>
      </c>
      <c r="AJ663" s="741">
        <v>0</v>
      </c>
      <c r="AK663" s="741">
        <v>0</v>
      </c>
      <c r="AL663" s="741">
        <v>0</v>
      </c>
      <c r="AM663" s="741">
        <v>0</v>
      </c>
      <c r="AN663" s="741">
        <v>0</v>
      </c>
      <c r="AO663" s="741">
        <v>0</v>
      </c>
      <c r="AP663" s="41" t="str">
        <f t="shared" si="183"/>
        <v>GLS</v>
      </c>
      <c r="AQ663" s="41" t="str">
        <f t="shared" si="184"/>
        <v>GLSS0</v>
      </c>
      <c r="AR663" s="41" t="str">
        <f t="shared" si="185"/>
        <v>S0</v>
      </c>
    </row>
    <row r="664" spans="1:44" s="41" customFormat="1" ht="12.75" customHeight="1">
      <c r="A664" s="25" t="s">
        <v>17</v>
      </c>
      <c r="B664" s="25" t="str">
        <f t="shared" ref="B664:B734" si="199">CONCATENATE(A664,C664,D664,E664)</f>
        <v>GL253230</v>
      </c>
      <c r="C664" s="638">
        <v>253230</v>
      </c>
      <c r="D664" s="735"/>
      <c r="F664" s="1" t="s">
        <v>641</v>
      </c>
      <c r="H664" s="736">
        <v>0</v>
      </c>
      <c r="I664" s="25"/>
      <c r="J664" s="25"/>
      <c r="K664" s="442" t="str">
        <f t="shared" si="198"/>
        <v/>
      </c>
      <c r="L664" s="736" t="s">
        <v>2464</v>
      </c>
      <c r="M664" s="25" t="str">
        <f t="shared" ref="M664:M734" si="200">LEFT(L664,1)</f>
        <v>S</v>
      </c>
      <c r="N664" s="25" t="str">
        <f>IF(L664&lt;&gt;"",VLOOKUP(L664,Categories!$B$2:$D$41,2,FALSE),IF(F664&lt;&gt;"","No Cat",""))</f>
        <v>A&amp;S Sch</v>
      </c>
      <c r="O664" s="25" t="str">
        <f>IF($L664&lt;&gt;"",VLOOKUP($L664,Categories!$B$2:$D$41,3,FALSE),IF($F664&lt;&gt;"","No Cat",""))</f>
        <v>Reg Asset &amp; Liabilities</v>
      </c>
      <c r="P664" s="736" t="s">
        <v>2468</v>
      </c>
      <c r="Q664" s="25" t="str">
        <f>VLOOKUP($P664,Allocators!$B$7:$F$19,5,FALSE)</f>
        <v>Not in Rate Base</v>
      </c>
      <c r="R664" s="737">
        <f>VLOOKUP($P664,Allocators!$B$7:$F$19,2,FALSE)</f>
        <v>0</v>
      </c>
      <c r="S664" s="737">
        <f>VLOOKUP($P664,Allocators!$B$7:$F$19,3,FALSE)</f>
        <v>0</v>
      </c>
      <c r="T664" s="737">
        <f t="shared" si="169"/>
        <v>1</v>
      </c>
      <c r="U664" s="2" t="str">
        <f t="shared" si="188"/>
        <v/>
      </c>
      <c r="V664" s="2" t="str">
        <f t="shared" si="189"/>
        <v/>
      </c>
      <c r="W664" s="2" t="str">
        <f t="shared" si="190"/>
        <v/>
      </c>
      <c r="X664" s="2">
        <f t="shared" si="186"/>
        <v>0</v>
      </c>
      <c r="Y664" s="2" t="str">
        <f t="shared" si="191"/>
        <v/>
      </c>
      <c r="Z664" s="2" t="str">
        <f t="shared" si="192"/>
        <v/>
      </c>
      <c r="AA664" s="2" t="str">
        <f t="shared" si="193"/>
        <v/>
      </c>
      <c r="AB664" s="2">
        <f t="shared" si="187"/>
        <v>0</v>
      </c>
      <c r="AC664" s="759">
        <v>0</v>
      </c>
      <c r="AD664" s="741">
        <v>0</v>
      </c>
      <c r="AE664" s="741">
        <v>0</v>
      </c>
      <c r="AF664" s="741">
        <v>0</v>
      </c>
      <c r="AG664" s="741">
        <v>0</v>
      </c>
      <c r="AH664" s="741">
        <v>0</v>
      </c>
      <c r="AI664" s="741">
        <v>0</v>
      </c>
      <c r="AJ664" s="741">
        <v>0</v>
      </c>
      <c r="AK664" s="741">
        <v>0</v>
      </c>
      <c r="AL664" s="741">
        <v>0</v>
      </c>
      <c r="AM664" s="741">
        <v>0</v>
      </c>
      <c r="AN664" s="741">
        <v>0</v>
      </c>
      <c r="AO664" s="741">
        <v>0</v>
      </c>
      <c r="AP664" s="41" t="str">
        <f t="shared" si="183"/>
        <v>GLS</v>
      </c>
      <c r="AQ664" s="41" t="str">
        <f t="shared" si="184"/>
        <v>GLSS0</v>
      </c>
      <c r="AR664" s="41" t="str">
        <f t="shared" si="185"/>
        <v>S0</v>
      </c>
    </row>
    <row r="665" spans="1:44" s="41" customFormat="1" ht="12.75" customHeight="1">
      <c r="A665" s="25" t="s">
        <v>17</v>
      </c>
      <c r="B665" s="25" t="str">
        <f t="shared" ref="B665" si="201">CONCATENATE(A665,C665,D665,E665)</f>
        <v>GL253237</v>
      </c>
      <c r="C665" s="638">
        <v>253237</v>
      </c>
      <c r="D665" s="735"/>
      <c r="F665" s="1" t="s">
        <v>4115</v>
      </c>
      <c r="H665" s="736">
        <v>0</v>
      </c>
      <c r="I665" s="25"/>
      <c r="J665" s="25"/>
      <c r="K665" s="442" t="str">
        <f t="shared" si="198"/>
        <v/>
      </c>
      <c r="L665" s="736" t="s">
        <v>2464</v>
      </c>
      <c r="M665" s="25" t="str">
        <f t="shared" ref="M665" si="202">LEFT(L665,1)</f>
        <v>S</v>
      </c>
      <c r="N665" s="25" t="str">
        <f>IF(L665&lt;&gt;"",VLOOKUP(L665,Categories!$B$2:$D$41,2,FALSE),IF(F665&lt;&gt;"","No Cat",""))</f>
        <v>A&amp;S Sch</v>
      </c>
      <c r="O665" s="25" t="str">
        <f>IF($L665&lt;&gt;"",VLOOKUP($L665,Categories!$B$2:$D$41,3,FALSE),IF($F665&lt;&gt;"","No Cat",""))</f>
        <v>Reg Asset &amp; Liabilities</v>
      </c>
      <c r="P665" s="736" t="s">
        <v>2468</v>
      </c>
      <c r="Q665" s="25" t="str">
        <f>VLOOKUP($P665,Allocators!$B$7:$F$19,5,FALSE)</f>
        <v>Not in Rate Base</v>
      </c>
      <c r="R665" s="737">
        <f>VLOOKUP($P665,Allocators!$B$7:$F$19,2,FALSE)</f>
        <v>0</v>
      </c>
      <c r="S665" s="737">
        <f>VLOOKUP($P665,Allocators!$B$7:$F$19,3,FALSE)</f>
        <v>0</v>
      </c>
      <c r="T665" s="737">
        <f t="shared" ref="T665" si="203">IF(P665="N",1,"0.0%")</f>
        <v>1</v>
      </c>
      <c r="U665" s="2">
        <f t="shared" si="188"/>
        <v>0</v>
      </c>
      <c r="V665" s="2">
        <f t="shared" si="189"/>
        <v>0</v>
      </c>
      <c r="W665" s="2">
        <f t="shared" si="190"/>
        <v>-2.27268916666667</v>
      </c>
      <c r="X665" s="2">
        <f t="shared" si="186"/>
        <v>-2.27268916666667</v>
      </c>
      <c r="Y665" s="2">
        <f t="shared" si="191"/>
        <v>0</v>
      </c>
      <c r="Z665" s="2">
        <f t="shared" si="192"/>
        <v>0</v>
      </c>
      <c r="AA665" s="2">
        <f t="shared" si="193"/>
        <v>-2.3869500000000001</v>
      </c>
      <c r="AB665" s="2">
        <f t="shared" si="187"/>
        <v>-2.3869499999999997</v>
      </c>
      <c r="AC665" s="759">
        <v>-2.1856900000000001</v>
      </c>
      <c r="AD665" s="741">
        <v>-2.2574999999999998</v>
      </c>
      <c r="AE665" s="741">
        <v>-2.2436700000000003</v>
      </c>
      <c r="AF665" s="741">
        <v>-2.2298400000000003</v>
      </c>
      <c r="AG665" s="741">
        <v>-2.2890999999999999</v>
      </c>
      <c r="AH665" s="741">
        <v>-2.2949499999999996</v>
      </c>
      <c r="AI665" s="741">
        <v>-2.2805999999999997</v>
      </c>
      <c r="AJ665" s="741">
        <v>-2.2662499999999999</v>
      </c>
      <c r="AK665" s="741">
        <v>-2.2519</v>
      </c>
      <c r="AL665" s="741">
        <v>-2.2375500000000001</v>
      </c>
      <c r="AM665" s="741">
        <v>-2.2792199999999996</v>
      </c>
      <c r="AN665" s="741">
        <v>-2.3553699999999997</v>
      </c>
      <c r="AO665" s="741">
        <v>-2.3869499999999997</v>
      </c>
      <c r="AP665" s="41" t="str">
        <f t="shared" si="183"/>
        <v>GLS</v>
      </c>
      <c r="AQ665" s="41" t="str">
        <f t="shared" si="184"/>
        <v>GLSS0</v>
      </c>
      <c r="AR665" s="41" t="str">
        <f t="shared" si="185"/>
        <v>S0</v>
      </c>
    </row>
    <row r="666" spans="1:44" s="41" customFormat="1" ht="12.75" customHeight="1">
      <c r="A666" s="25" t="s">
        <v>17</v>
      </c>
      <c r="B666" s="25" t="str">
        <f t="shared" si="199"/>
        <v>GL253290</v>
      </c>
      <c r="C666" s="638">
        <v>253290</v>
      </c>
      <c r="D666" s="735"/>
      <c r="F666" s="1" t="s">
        <v>642</v>
      </c>
      <c r="H666" s="736">
        <v>0</v>
      </c>
      <c r="I666" s="25"/>
      <c r="J666" s="25"/>
      <c r="K666" s="442" t="str">
        <f t="shared" si="198"/>
        <v/>
      </c>
      <c r="L666" s="736" t="s">
        <v>2464</v>
      </c>
      <c r="M666" s="25" t="str">
        <f t="shared" si="200"/>
        <v>S</v>
      </c>
      <c r="N666" s="25" t="str">
        <f>IF(L666&lt;&gt;"",VLOOKUP(L666,Categories!$B$2:$D$41,2,FALSE),IF(F666&lt;&gt;"","No Cat",""))</f>
        <v>A&amp;S Sch</v>
      </c>
      <c r="O666" s="25" t="str">
        <f>IF($L666&lt;&gt;"",VLOOKUP($L666,Categories!$B$2:$D$41,3,FALSE),IF($F666&lt;&gt;"","No Cat",""))</f>
        <v>Reg Asset &amp; Liabilities</v>
      </c>
      <c r="P666" s="736" t="s">
        <v>2468</v>
      </c>
      <c r="Q666" s="25" t="str">
        <f>VLOOKUP($P666,Allocators!$B$7:$F$19,5,FALSE)</f>
        <v>Not in Rate Base</v>
      </c>
      <c r="R666" s="737">
        <f>VLOOKUP($P666,Allocators!$B$7:$F$19,2,FALSE)</f>
        <v>0</v>
      </c>
      <c r="S666" s="737">
        <f>VLOOKUP($P666,Allocators!$B$7:$F$19,3,FALSE)</f>
        <v>0</v>
      </c>
      <c r="T666" s="737">
        <f t="shared" si="169"/>
        <v>1</v>
      </c>
      <c r="U666" s="2" t="str">
        <f t="shared" si="188"/>
        <v/>
      </c>
      <c r="V666" s="2" t="str">
        <f t="shared" si="189"/>
        <v/>
      </c>
      <c r="W666" s="2" t="str">
        <f t="shared" si="190"/>
        <v/>
      </c>
      <c r="X666" s="2">
        <f t="shared" si="186"/>
        <v>0</v>
      </c>
      <c r="Y666" s="2" t="str">
        <f t="shared" si="191"/>
        <v/>
      </c>
      <c r="Z666" s="2" t="str">
        <f t="shared" si="192"/>
        <v/>
      </c>
      <c r="AA666" s="2" t="str">
        <f t="shared" si="193"/>
        <v/>
      </c>
      <c r="AB666" s="2">
        <f t="shared" si="187"/>
        <v>0</v>
      </c>
      <c r="AC666" s="759">
        <v>0</v>
      </c>
      <c r="AD666" s="741">
        <v>0</v>
      </c>
      <c r="AE666" s="741">
        <v>0</v>
      </c>
      <c r="AF666" s="741">
        <v>0</v>
      </c>
      <c r="AG666" s="741">
        <v>0</v>
      </c>
      <c r="AH666" s="741">
        <v>0</v>
      </c>
      <c r="AI666" s="741">
        <v>0</v>
      </c>
      <c r="AJ666" s="741">
        <v>0</v>
      </c>
      <c r="AK666" s="741">
        <v>0</v>
      </c>
      <c r="AL666" s="741">
        <v>0</v>
      </c>
      <c r="AM666" s="741">
        <v>0</v>
      </c>
      <c r="AN666" s="741">
        <v>0</v>
      </c>
      <c r="AO666" s="741">
        <v>0</v>
      </c>
      <c r="AP666" s="41" t="str">
        <f t="shared" si="183"/>
        <v>GLS</v>
      </c>
      <c r="AQ666" s="41" t="str">
        <f t="shared" si="184"/>
        <v>GLSS0</v>
      </c>
      <c r="AR666" s="41" t="str">
        <f t="shared" si="185"/>
        <v>S0</v>
      </c>
    </row>
    <row r="667" spans="1:44" s="41" customFormat="1" ht="12.75" customHeight="1">
      <c r="A667" s="25" t="s">
        <v>17</v>
      </c>
      <c r="B667" s="25" t="str">
        <f t="shared" si="199"/>
        <v>GL253300</v>
      </c>
      <c r="C667" s="638">
        <v>253300</v>
      </c>
      <c r="D667" s="735"/>
      <c r="F667" s="1" t="s">
        <v>643</v>
      </c>
      <c r="H667" s="736">
        <v>0</v>
      </c>
      <c r="I667" s="25"/>
      <c r="J667" s="25"/>
      <c r="K667" s="442" t="str">
        <f t="shared" si="198"/>
        <v/>
      </c>
      <c r="L667" s="736" t="s">
        <v>2464</v>
      </c>
      <c r="M667" s="25" t="str">
        <f t="shared" si="200"/>
        <v>S</v>
      </c>
      <c r="N667" s="25" t="str">
        <f>IF(L667&lt;&gt;"",VLOOKUP(L667,Categories!$B$2:$D$41,2,FALSE),IF(F667&lt;&gt;"","No Cat",""))</f>
        <v>A&amp;S Sch</v>
      </c>
      <c r="O667" s="25" t="str">
        <f>IF($L667&lt;&gt;"",VLOOKUP($L667,Categories!$B$2:$D$41,3,FALSE),IF($F667&lt;&gt;"","No Cat",""))</f>
        <v>Reg Asset &amp; Liabilities</v>
      </c>
      <c r="P667" s="736" t="s">
        <v>2468</v>
      </c>
      <c r="Q667" s="25" t="str">
        <f>VLOOKUP($P667,Allocators!$B$7:$F$19,5,FALSE)</f>
        <v>Not in Rate Base</v>
      </c>
      <c r="R667" s="737">
        <f>VLOOKUP($P667,Allocators!$B$7:$F$19,2,FALSE)</f>
        <v>0</v>
      </c>
      <c r="S667" s="737">
        <f>VLOOKUP($P667,Allocators!$B$7:$F$19,3,FALSE)</f>
        <v>0</v>
      </c>
      <c r="T667" s="737">
        <f t="shared" si="169"/>
        <v>1</v>
      </c>
      <c r="U667" s="2" t="str">
        <f t="shared" si="188"/>
        <v/>
      </c>
      <c r="V667" s="2" t="str">
        <f t="shared" si="189"/>
        <v/>
      </c>
      <c r="W667" s="2" t="str">
        <f t="shared" si="190"/>
        <v/>
      </c>
      <c r="X667" s="2">
        <f t="shared" si="186"/>
        <v>0</v>
      </c>
      <c r="Y667" s="2" t="str">
        <f t="shared" si="191"/>
        <v/>
      </c>
      <c r="Z667" s="2" t="str">
        <f t="shared" si="192"/>
        <v/>
      </c>
      <c r="AA667" s="2" t="str">
        <f t="shared" si="193"/>
        <v/>
      </c>
      <c r="AB667" s="2">
        <f t="shared" si="187"/>
        <v>0</v>
      </c>
      <c r="AC667" s="759">
        <v>0</v>
      </c>
      <c r="AD667" s="741">
        <v>0</v>
      </c>
      <c r="AE667" s="741">
        <v>0</v>
      </c>
      <c r="AF667" s="741">
        <v>0</v>
      </c>
      <c r="AG667" s="741">
        <v>0</v>
      </c>
      <c r="AH667" s="741">
        <v>0</v>
      </c>
      <c r="AI667" s="741">
        <v>0</v>
      </c>
      <c r="AJ667" s="741">
        <v>0</v>
      </c>
      <c r="AK667" s="741">
        <v>0</v>
      </c>
      <c r="AL667" s="741">
        <v>0</v>
      </c>
      <c r="AM667" s="741">
        <v>0</v>
      </c>
      <c r="AN667" s="741">
        <v>0</v>
      </c>
      <c r="AO667" s="741">
        <v>0</v>
      </c>
      <c r="AP667" s="41" t="str">
        <f t="shared" si="183"/>
        <v>GLS</v>
      </c>
      <c r="AQ667" s="41" t="str">
        <f t="shared" si="184"/>
        <v>GLSS0</v>
      </c>
      <c r="AR667" s="41" t="str">
        <f t="shared" si="185"/>
        <v>S0</v>
      </c>
    </row>
    <row r="668" spans="1:44" s="41" customFormat="1" ht="12.75" customHeight="1">
      <c r="A668" s="25" t="s">
        <v>17</v>
      </c>
      <c r="B668" s="25" t="str">
        <f t="shared" si="199"/>
        <v>GL253340</v>
      </c>
      <c r="C668" s="638">
        <v>253340</v>
      </c>
      <c r="D668" s="735"/>
      <c r="F668" s="1" t="s">
        <v>644</v>
      </c>
      <c r="H668" s="736">
        <v>0</v>
      </c>
      <c r="I668" s="25"/>
      <c r="J668" s="25"/>
      <c r="K668" s="442" t="str">
        <f t="shared" si="198"/>
        <v/>
      </c>
      <c r="L668" s="736" t="s">
        <v>2464</v>
      </c>
      <c r="M668" s="25" t="str">
        <f t="shared" si="200"/>
        <v>S</v>
      </c>
      <c r="N668" s="25" t="str">
        <f>IF(L668&lt;&gt;"",VLOOKUP(L668,Categories!$B$2:$D$41,2,FALSE),IF(F668&lt;&gt;"","No Cat",""))</f>
        <v>A&amp;S Sch</v>
      </c>
      <c r="O668" s="25" t="str">
        <f>IF($L668&lt;&gt;"",VLOOKUP($L668,Categories!$B$2:$D$41,3,FALSE),IF($F668&lt;&gt;"","No Cat",""))</f>
        <v>Reg Asset &amp; Liabilities</v>
      </c>
      <c r="P668" s="736" t="s">
        <v>2468</v>
      </c>
      <c r="Q668" s="25" t="str">
        <f>VLOOKUP($P668,Allocators!$B$7:$F$19,5,FALSE)</f>
        <v>Not in Rate Base</v>
      </c>
      <c r="R668" s="737">
        <f>VLOOKUP($P668,Allocators!$B$7:$F$19,2,FALSE)</f>
        <v>0</v>
      </c>
      <c r="S668" s="737">
        <f>VLOOKUP($P668,Allocators!$B$7:$F$19,3,FALSE)</f>
        <v>0</v>
      </c>
      <c r="T668" s="737">
        <f t="shared" si="169"/>
        <v>1</v>
      </c>
      <c r="U668" s="2">
        <f t="shared" si="188"/>
        <v>0</v>
      </c>
      <c r="V668" s="2">
        <f t="shared" si="189"/>
        <v>0</v>
      </c>
      <c r="W668" s="2">
        <f t="shared" si="190"/>
        <v>-12225.565352916699</v>
      </c>
      <c r="X668" s="2">
        <f t="shared" si="186"/>
        <v>-12225.565352916699</v>
      </c>
      <c r="Y668" s="2">
        <f t="shared" si="191"/>
        <v>0</v>
      </c>
      <c r="Z668" s="2">
        <f t="shared" si="192"/>
        <v>0</v>
      </c>
      <c r="AA668" s="2">
        <f t="shared" si="193"/>
        <v>-13879.048269999999</v>
      </c>
      <c r="AB668" s="2">
        <f t="shared" si="187"/>
        <v>-13879.048269999999</v>
      </c>
      <c r="AC668" s="759">
        <v>-12733.815000000001</v>
      </c>
      <c r="AD668" s="741">
        <v>-12783.12341</v>
      </c>
      <c r="AE668" s="741">
        <v>-12832.43182</v>
      </c>
      <c r="AF668" s="741">
        <v>-12225.241609999999</v>
      </c>
      <c r="AG668" s="741">
        <v>-12274.550019999999</v>
      </c>
      <c r="AH668" s="741">
        <v>-12323.85843</v>
      </c>
      <c r="AI668" s="741">
        <v>-11901.45708</v>
      </c>
      <c r="AJ668" s="741">
        <v>-11950.76549</v>
      </c>
      <c r="AK668" s="741">
        <v>-12000.073900000001</v>
      </c>
      <c r="AL668" s="741">
        <v>-11653.641869999999</v>
      </c>
      <c r="AM668" s="741">
        <v>-11702.950279999999</v>
      </c>
      <c r="AN668" s="741">
        <v>-11752.258689999999</v>
      </c>
      <c r="AO668" s="741">
        <v>-13879.048269999999</v>
      </c>
      <c r="AP668" s="41" t="str">
        <f t="shared" si="183"/>
        <v>GLS</v>
      </c>
      <c r="AQ668" s="41" t="str">
        <f t="shared" si="184"/>
        <v>GLSS0</v>
      </c>
      <c r="AR668" s="41" t="str">
        <f t="shared" si="185"/>
        <v>S0</v>
      </c>
    </row>
    <row r="669" spans="1:44" s="41" customFormat="1" ht="12.75" customHeight="1">
      <c r="A669" s="25" t="s">
        <v>17</v>
      </c>
      <c r="B669" s="25" t="str">
        <f t="shared" si="199"/>
        <v>GL253341</v>
      </c>
      <c r="C669" s="638">
        <v>253341</v>
      </c>
      <c r="D669" s="735"/>
      <c r="F669" s="1" t="s">
        <v>645</v>
      </c>
      <c r="H669" s="736">
        <v>0</v>
      </c>
      <c r="I669" s="25"/>
      <c r="J669" s="25"/>
      <c r="K669" s="442" t="str">
        <f t="shared" si="198"/>
        <v/>
      </c>
      <c r="L669" s="736" t="s">
        <v>2464</v>
      </c>
      <c r="M669" s="25" t="str">
        <f t="shared" si="200"/>
        <v>S</v>
      </c>
      <c r="N669" s="25" t="str">
        <f>IF(L669&lt;&gt;"",VLOOKUP(L669,Categories!$B$2:$D$41,2,FALSE),IF(F669&lt;&gt;"","No Cat",""))</f>
        <v>A&amp;S Sch</v>
      </c>
      <c r="O669" s="25" t="str">
        <f>IF($L669&lt;&gt;"",VLOOKUP($L669,Categories!$B$2:$D$41,3,FALSE),IF($F669&lt;&gt;"","No Cat",""))</f>
        <v>Reg Asset &amp; Liabilities</v>
      </c>
      <c r="P669" s="736" t="s">
        <v>2468</v>
      </c>
      <c r="Q669" s="25" t="str">
        <f>VLOOKUP($P669,Allocators!$B$7:$F$19,5,FALSE)</f>
        <v>Not in Rate Base</v>
      </c>
      <c r="R669" s="737">
        <f>VLOOKUP($P669,Allocators!$B$7:$F$19,2,FALSE)</f>
        <v>0</v>
      </c>
      <c r="S669" s="737">
        <f>VLOOKUP($P669,Allocators!$B$7:$F$19,3,FALSE)</f>
        <v>0</v>
      </c>
      <c r="T669" s="737">
        <f t="shared" si="169"/>
        <v>1</v>
      </c>
      <c r="U669" s="2">
        <f t="shared" si="188"/>
        <v>0</v>
      </c>
      <c r="V669" s="2">
        <f t="shared" si="189"/>
        <v>0</v>
      </c>
      <c r="W669" s="2">
        <f t="shared" si="190"/>
        <v>-300.95049499999999</v>
      </c>
      <c r="X669" s="2">
        <f t="shared" si="186"/>
        <v>-300.95049499999999</v>
      </c>
      <c r="Y669" s="2">
        <f t="shared" si="191"/>
        <v>0</v>
      </c>
      <c r="Z669" s="2">
        <f t="shared" si="192"/>
        <v>0</v>
      </c>
      <c r="AA669" s="2">
        <f t="shared" si="193"/>
        <v>-387.16901999999999</v>
      </c>
      <c r="AB669" s="2">
        <f t="shared" si="187"/>
        <v>-387.16902000000005</v>
      </c>
      <c r="AC669" s="759">
        <v>-409.08436</v>
      </c>
      <c r="AD669" s="741">
        <v>-409.08436</v>
      </c>
      <c r="AE669" s="741">
        <v>-274.91055</v>
      </c>
      <c r="AF669" s="741">
        <v>-275.43286000000001</v>
      </c>
      <c r="AG669" s="741">
        <v>-275.43286000000001</v>
      </c>
      <c r="AH669" s="741">
        <v>-275.43286000000001</v>
      </c>
      <c r="AI669" s="741">
        <v>-285.78300000000002</v>
      </c>
      <c r="AJ669" s="741">
        <v>-285.78300000000002</v>
      </c>
      <c r="AK669" s="741">
        <v>-285.78300000000002</v>
      </c>
      <c r="AL669" s="741">
        <v>-281.87891999999999</v>
      </c>
      <c r="AM669" s="741">
        <v>-281.87891999999999</v>
      </c>
      <c r="AN669" s="741">
        <v>-281.87891999999999</v>
      </c>
      <c r="AO669" s="741">
        <v>-387.16902000000005</v>
      </c>
      <c r="AP669" s="41" t="str">
        <f t="shared" si="183"/>
        <v>GLS</v>
      </c>
      <c r="AQ669" s="41" t="str">
        <f t="shared" si="184"/>
        <v>GLSS0</v>
      </c>
      <c r="AR669" s="41" t="str">
        <f t="shared" si="185"/>
        <v>S0</v>
      </c>
    </row>
    <row r="670" spans="1:44" s="41" customFormat="1" ht="12.75" customHeight="1">
      <c r="A670" s="25" t="s">
        <v>17</v>
      </c>
      <c r="B670" s="25" t="str">
        <f t="shared" si="199"/>
        <v>GL253355</v>
      </c>
      <c r="C670" s="638">
        <v>253355</v>
      </c>
      <c r="D670" s="735"/>
      <c r="F670" s="1" t="s">
        <v>646</v>
      </c>
      <c r="H670" s="736">
        <v>0</v>
      </c>
      <c r="I670" s="25"/>
      <c r="J670" s="25"/>
      <c r="K670" s="442" t="str">
        <f t="shared" si="198"/>
        <v/>
      </c>
      <c r="L670" s="736" t="s">
        <v>2464</v>
      </c>
      <c r="M670" s="25" t="str">
        <f t="shared" si="200"/>
        <v>S</v>
      </c>
      <c r="N670" s="25" t="str">
        <f>IF(L670&lt;&gt;"",VLOOKUP(L670,Categories!$B$2:$D$41,2,FALSE),IF(F670&lt;&gt;"","No Cat",""))</f>
        <v>A&amp;S Sch</v>
      </c>
      <c r="O670" s="25" t="str">
        <f>IF($L670&lt;&gt;"",VLOOKUP($L670,Categories!$B$2:$D$41,3,FALSE),IF($F670&lt;&gt;"","No Cat",""))</f>
        <v>Reg Asset &amp; Liabilities</v>
      </c>
      <c r="P670" s="736" t="s">
        <v>2468</v>
      </c>
      <c r="Q670" s="25" t="str">
        <f>VLOOKUP($P670,Allocators!$B$7:$F$19,5,FALSE)</f>
        <v>Not in Rate Base</v>
      </c>
      <c r="R670" s="737">
        <f>VLOOKUP($P670,Allocators!$B$7:$F$19,2,FALSE)</f>
        <v>0</v>
      </c>
      <c r="S670" s="737">
        <f>VLOOKUP($P670,Allocators!$B$7:$F$19,3,FALSE)</f>
        <v>0</v>
      </c>
      <c r="T670" s="737">
        <f t="shared" si="169"/>
        <v>1</v>
      </c>
      <c r="U670" s="2">
        <f t="shared" si="188"/>
        <v>0</v>
      </c>
      <c r="V670" s="2">
        <f t="shared" si="189"/>
        <v>0</v>
      </c>
      <c r="W670" s="2">
        <f t="shared" si="190"/>
        <v>-1500</v>
      </c>
      <c r="X670" s="2">
        <f t="shared" si="186"/>
        <v>-1500</v>
      </c>
      <c r="Y670" s="2">
        <f t="shared" si="191"/>
        <v>0</v>
      </c>
      <c r="Z670" s="2">
        <f t="shared" si="192"/>
        <v>0</v>
      </c>
      <c r="AA670" s="2">
        <f t="shared" si="193"/>
        <v>-1500</v>
      </c>
      <c r="AB670" s="2">
        <f t="shared" si="187"/>
        <v>-1500</v>
      </c>
      <c r="AC670" s="759">
        <v>-1500</v>
      </c>
      <c r="AD670" s="741">
        <v>-1500</v>
      </c>
      <c r="AE670" s="741">
        <v>-1500</v>
      </c>
      <c r="AF670" s="741">
        <v>-1500</v>
      </c>
      <c r="AG670" s="741">
        <v>-1500</v>
      </c>
      <c r="AH670" s="741">
        <v>-1500</v>
      </c>
      <c r="AI670" s="741">
        <v>-1500</v>
      </c>
      <c r="AJ670" s="741">
        <v>-1500</v>
      </c>
      <c r="AK670" s="741">
        <v>-1500</v>
      </c>
      <c r="AL670" s="741">
        <v>-1500</v>
      </c>
      <c r="AM670" s="741">
        <v>-1500</v>
      </c>
      <c r="AN670" s="741">
        <v>-1500</v>
      </c>
      <c r="AO670" s="741">
        <v>-1500</v>
      </c>
      <c r="AP670" s="41" t="str">
        <f t="shared" si="183"/>
        <v>GLS</v>
      </c>
      <c r="AQ670" s="41" t="str">
        <f t="shared" si="184"/>
        <v>GLSS0</v>
      </c>
      <c r="AR670" s="41" t="str">
        <f t="shared" si="185"/>
        <v>S0</v>
      </c>
    </row>
    <row r="671" spans="1:44" s="41" customFormat="1" ht="12.75" customHeight="1">
      <c r="A671" s="25" t="s">
        <v>17</v>
      </c>
      <c r="B671" s="25" t="str">
        <f t="shared" si="199"/>
        <v>GL253520</v>
      </c>
      <c r="C671" s="638">
        <v>253520</v>
      </c>
      <c r="D671" s="735"/>
      <c r="F671" s="1" t="s">
        <v>647</v>
      </c>
      <c r="H671" s="736">
        <v>0</v>
      </c>
      <c r="I671" s="25"/>
      <c r="J671" s="25"/>
      <c r="K671" s="442" t="str">
        <f t="shared" si="198"/>
        <v/>
      </c>
      <c r="L671" s="736" t="s">
        <v>2464</v>
      </c>
      <c r="M671" s="25" t="str">
        <f t="shared" si="200"/>
        <v>S</v>
      </c>
      <c r="N671" s="25" t="str">
        <f>IF(L671&lt;&gt;"",VLOOKUP(L671,Categories!$B$2:$D$41,2,FALSE),IF(F671&lt;&gt;"","No Cat",""))</f>
        <v>A&amp;S Sch</v>
      </c>
      <c r="O671" s="25" t="str">
        <f>IF($L671&lt;&gt;"",VLOOKUP($L671,Categories!$B$2:$D$41,3,FALSE),IF($F671&lt;&gt;"","No Cat",""))</f>
        <v>Reg Asset &amp; Liabilities</v>
      </c>
      <c r="P671" s="736" t="s">
        <v>2468</v>
      </c>
      <c r="Q671" s="25" t="str">
        <f>VLOOKUP($P671,Allocators!$B$7:$F$19,5,FALSE)</f>
        <v>Not in Rate Base</v>
      </c>
      <c r="R671" s="737">
        <f>VLOOKUP($P671,Allocators!$B$7:$F$19,2,FALSE)</f>
        <v>0</v>
      </c>
      <c r="S671" s="737">
        <f>VLOOKUP($P671,Allocators!$B$7:$F$19,3,FALSE)</f>
        <v>0</v>
      </c>
      <c r="T671" s="737">
        <f t="shared" si="169"/>
        <v>1</v>
      </c>
      <c r="U671" s="2" t="str">
        <f t="shared" si="188"/>
        <v/>
      </c>
      <c r="V671" s="2" t="str">
        <f t="shared" si="189"/>
        <v/>
      </c>
      <c r="W671" s="2" t="str">
        <f t="shared" si="190"/>
        <v/>
      </c>
      <c r="X671" s="2">
        <f t="shared" si="186"/>
        <v>0</v>
      </c>
      <c r="Y671" s="2" t="str">
        <f t="shared" si="191"/>
        <v/>
      </c>
      <c r="Z671" s="2" t="str">
        <f t="shared" si="192"/>
        <v/>
      </c>
      <c r="AA671" s="2" t="str">
        <f t="shared" si="193"/>
        <v/>
      </c>
      <c r="AB671" s="2">
        <f t="shared" si="187"/>
        <v>0</v>
      </c>
      <c r="AC671" s="759">
        <v>0</v>
      </c>
      <c r="AD671" s="741">
        <v>0</v>
      </c>
      <c r="AE671" s="741">
        <v>0</v>
      </c>
      <c r="AF671" s="741">
        <v>0</v>
      </c>
      <c r="AG671" s="741">
        <v>0</v>
      </c>
      <c r="AH671" s="741">
        <v>0</v>
      </c>
      <c r="AI671" s="741">
        <v>0</v>
      </c>
      <c r="AJ671" s="741">
        <v>0</v>
      </c>
      <c r="AK671" s="741">
        <v>0</v>
      </c>
      <c r="AL671" s="741">
        <v>0</v>
      </c>
      <c r="AM671" s="741">
        <v>0</v>
      </c>
      <c r="AN671" s="741">
        <v>0</v>
      </c>
      <c r="AO671" s="741">
        <v>0</v>
      </c>
      <c r="AP671" s="41" t="str">
        <f t="shared" si="183"/>
        <v>GLS</v>
      </c>
      <c r="AQ671" s="41" t="str">
        <f t="shared" si="184"/>
        <v>GLSS0</v>
      </c>
      <c r="AR671" s="41" t="str">
        <f t="shared" si="185"/>
        <v>S0</v>
      </c>
    </row>
    <row r="672" spans="1:44" s="41" customFormat="1" ht="12.75" customHeight="1">
      <c r="A672" s="25" t="s">
        <v>17</v>
      </c>
      <c r="B672" s="25" t="str">
        <f t="shared" si="199"/>
        <v>GL253560</v>
      </c>
      <c r="C672" s="638">
        <v>253560</v>
      </c>
      <c r="D672" s="735"/>
      <c r="F672" s="1" t="s">
        <v>648</v>
      </c>
      <c r="H672" s="736" t="s">
        <v>2566</v>
      </c>
      <c r="I672" s="25"/>
      <c r="J672" s="25"/>
      <c r="K672" s="442" t="str">
        <f t="shared" si="198"/>
        <v/>
      </c>
      <c r="L672" s="736" t="s">
        <v>2464</v>
      </c>
      <c r="M672" s="25" t="str">
        <f t="shared" si="200"/>
        <v>S</v>
      </c>
      <c r="N672" s="25" t="str">
        <f>IF(L672&lt;&gt;"",VLOOKUP(L672,Categories!$B$2:$D$41,2,FALSE),IF(F672&lt;&gt;"","No Cat",""))</f>
        <v>A&amp;S Sch</v>
      </c>
      <c r="O672" s="25" t="str">
        <f>IF($L672&lt;&gt;"",VLOOKUP($L672,Categories!$B$2:$D$41,3,FALSE),IF($F672&lt;&gt;"","No Cat",""))</f>
        <v>Reg Asset &amp; Liabilities</v>
      </c>
      <c r="P672" s="736" t="s">
        <v>2468</v>
      </c>
      <c r="Q672" s="25" t="str">
        <f>VLOOKUP($P672,Allocators!$B$7:$F$19,5,FALSE)</f>
        <v>Not in Rate Base</v>
      </c>
      <c r="R672" s="737">
        <f>VLOOKUP($P672,Allocators!$B$7:$F$19,2,FALSE)</f>
        <v>0</v>
      </c>
      <c r="S672" s="737">
        <f>VLOOKUP($P672,Allocators!$B$7:$F$19,3,FALSE)</f>
        <v>0</v>
      </c>
      <c r="T672" s="737">
        <f t="shared" si="169"/>
        <v>1</v>
      </c>
      <c r="U672" s="2">
        <f t="shared" si="188"/>
        <v>0</v>
      </c>
      <c r="V672" s="2">
        <f t="shared" si="189"/>
        <v>0</v>
      </c>
      <c r="W672" s="2">
        <f t="shared" si="190"/>
        <v>-1139.53764</v>
      </c>
      <c r="X672" s="2">
        <f t="shared" si="186"/>
        <v>-1139.53764</v>
      </c>
      <c r="Y672" s="2">
        <f t="shared" si="191"/>
        <v>0</v>
      </c>
      <c r="Z672" s="2">
        <f t="shared" si="192"/>
        <v>0</v>
      </c>
      <c r="AA672" s="2">
        <f t="shared" si="193"/>
        <v>-1139.53764</v>
      </c>
      <c r="AB672" s="2">
        <f t="shared" si="187"/>
        <v>-1139.53764</v>
      </c>
      <c r="AC672" s="759">
        <v>-1139.53764</v>
      </c>
      <c r="AD672" s="741">
        <v>-1139.53764</v>
      </c>
      <c r="AE672" s="741">
        <v>-1139.53764</v>
      </c>
      <c r="AF672" s="741">
        <v>-1139.53764</v>
      </c>
      <c r="AG672" s="741">
        <v>-1139.53764</v>
      </c>
      <c r="AH672" s="741">
        <v>-1139.53764</v>
      </c>
      <c r="AI672" s="741">
        <v>-1139.53764</v>
      </c>
      <c r="AJ672" s="741">
        <v>-1139.53764</v>
      </c>
      <c r="AK672" s="741">
        <v>-1139.53764</v>
      </c>
      <c r="AL672" s="741">
        <v>-1139.53764</v>
      </c>
      <c r="AM672" s="741">
        <v>-1139.53764</v>
      </c>
      <c r="AN672" s="741">
        <v>-1139.53764</v>
      </c>
      <c r="AO672" s="741">
        <v>-1139.53764</v>
      </c>
      <c r="AP672" s="41" t="str">
        <f t="shared" si="183"/>
        <v>GLS</v>
      </c>
      <c r="AQ672" s="41" t="str">
        <f t="shared" si="184"/>
        <v>GLSSSFAS 112</v>
      </c>
      <c r="AR672" s="41" t="str">
        <f t="shared" si="185"/>
        <v>SSFAS 112</v>
      </c>
    </row>
    <row r="673" spans="1:44" s="41" customFormat="1" ht="12.75" customHeight="1">
      <c r="A673" s="25" t="s">
        <v>17</v>
      </c>
      <c r="B673" s="25" t="str">
        <f t="shared" si="199"/>
        <v>GL253561</v>
      </c>
      <c r="C673" s="638">
        <v>253561</v>
      </c>
      <c r="D673" s="735"/>
      <c r="F673" s="26" t="s">
        <v>648</v>
      </c>
      <c r="H673" s="736" t="s">
        <v>2566</v>
      </c>
      <c r="I673" s="25"/>
      <c r="J673" s="25"/>
      <c r="K673" s="442" t="str">
        <f t="shared" si="198"/>
        <v/>
      </c>
      <c r="L673" s="736" t="s">
        <v>2464</v>
      </c>
      <c r="M673" s="25" t="str">
        <f t="shared" si="200"/>
        <v>S</v>
      </c>
      <c r="N673" s="25" t="str">
        <f>IF(L673&lt;&gt;"",VLOOKUP(L673,Categories!$B$2:$D$41,2,FALSE),IF(F673&lt;&gt;"","No Cat",""))</f>
        <v>A&amp;S Sch</v>
      </c>
      <c r="O673" s="25" t="str">
        <f>IF($L673&lt;&gt;"",VLOOKUP($L673,Categories!$B$2:$D$41,3,FALSE),IF($F673&lt;&gt;"","No Cat",""))</f>
        <v>Reg Asset &amp; Liabilities</v>
      </c>
      <c r="P673" s="736" t="s">
        <v>2468</v>
      </c>
      <c r="Q673" s="25" t="str">
        <f>VLOOKUP($P673,Allocators!$B$7:$F$19,5,FALSE)</f>
        <v>Not in Rate Base</v>
      </c>
      <c r="R673" s="737">
        <f>VLOOKUP($P673,Allocators!$B$7:$F$19,2,FALSE)</f>
        <v>0</v>
      </c>
      <c r="S673" s="737">
        <f>VLOOKUP($P673,Allocators!$B$7:$F$19,3,FALSE)</f>
        <v>0</v>
      </c>
      <c r="T673" s="737">
        <f t="shared" ref="T673:T742" si="204">IF(P673="N",1,"0.0%")</f>
        <v>1</v>
      </c>
      <c r="U673" s="2">
        <f t="shared" si="188"/>
        <v>0</v>
      </c>
      <c r="V673" s="2">
        <f t="shared" si="189"/>
        <v>0</v>
      </c>
      <c r="W673" s="2">
        <f t="shared" si="190"/>
        <v>-1337.3454991666699</v>
      </c>
      <c r="X673" s="2">
        <f t="shared" si="186"/>
        <v>-1337.3454991666699</v>
      </c>
      <c r="Y673" s="2">
        <f t="shared" si="191"/>
        <v>0</v>
      </c>
      <c r="Z673" s="2">
        <f t="shared" si="192"/>
        <v>0</v>
      </c>
      <c r="AA673" s="2">
        <f t="shared" si="193"/>
        <v>-991.4</v>
      </c>
      <c r="AB673" s="2">
        <f t="shared" si="187"/>
        <v>-991.4</v>
      </c>
      <c r="AC673" s="759">
        <v>-1320.6</v>
      </c>
      <c r="AD673" s="741">
        <v>-1327.1436699999999</v>
      </c>
      <c r="AE673" s="741">
        <v>-1332.3233500000001</v>
      </c>
      <c r="AF673" s="741">
        <v>-1337.1533400000001</v>
      </c>
      <c r="AG673" s="741">
        <v>-1342.76847</v>
      </c>
      <c r="AH673" s="741">
        <v>-1348.3026100000002</v>
      </c>
      <c r="AI673" s="741">
        <v>-1353.9905100000001</v>
      </c>
      <c r="AJ673" s="741">
        <v>-1361.0671299999999</v>
      </c>
      <c r="AK673" s="741">
        <v>-1365.9214899999999</v>
      </c>
      <c r="AL673" s="741">
        <v>-1369.4791599999999</v>
      </c>
      <c r="AM673" s="741">
        <v>-1376.4356599999999</v>
      </c>
      <c r="AN673" s="741">
        <v>-1377.5606</v>
      </c>
      <c r="AO673" s="741">
        <v>-991.4</v>
      </c>
      <c r="AP673" s="41" t="str">
        <f t="shared" si="183"/>
        <v>GLS</v>
      </c>
      <c r="AQ673" s="41" t="str">
        <f t="shared" si="184"/>
        <v>GLSSSFAS 112</v>
      </c>
      <c r="AR673" s="41" t="str">
        <f t="shared" si="185"/>
        <v>SSFAS 112</v>
      </c>
    </row>
    <row r="674" spans="1:44" s="41" customFormat="1" ht="12.75" customHeight="1">
      <c r="A674" s="25" t="s">
        <v>17</v>
      </c>
      <c r="B674" s="25" t="str">
        <f t="shared" si="199"/>
        <v>GL253660</v>
      </c>
      <c r="C674" s="638">
        <v>253660</v>
      </c>
      <c r="D674" s="735"/>
      <c r="F674" s="1" t="s">
        <v>649</v>
      </c>
      <c r="H674" s="736">
        <v>0</v>
      </c>
      <c r="I674" s="25"/>
      <c r="J674" s="25"/>
      <c r="K674" s="442" t="str">
        <f t="shared" si="198"/>
        <v/>
      </c>
      <c r="L674" s="736" t="s">
        <v>2464</v>
      </c>
      <c r="M674" s="25" t="str">
        <f t="shared" si="200"/>
        <v>S</v>
      </c>
      <c r="N674" s="25" t="str">
        <f>IF(L674&lt;&gt;"",VLOOKUP(L674,Categories!$B$2:$D$41,2,FALSE),IF(F674&lt;&gt;"","No Cat",""))</f>
        <v>A&amp;S Sch</v>
      </c>
      <c r="O674" s="25" t="str">
        <f>IF($L674&lt;&gt;"",VLOOKUP($L674,Categories!$B$2:$D$41,3,FALSE),IF($F674&lt;&gt;"","No Cat",""))</f>
        <v>Reg Asset &amp; Liabilities</v>
      </c>
      <c r="P674" s="736" t="s">
        <v>2468</v>
      </c>
      <c r="Q674" s="25" t="str">
        <f>VLOOKUP($P674,Allocators!$B$7:$F$19,5,FALSE)</f>
        <v>Not in Rate Base</v>
      </c>
      <c r="R674" s="737">
        <f>VLOOKUP($P674,Allocators!$B$7:$F$19,2,FALSE)</f>
        <v>0</v>
      </c>
      <c r="S674" s="737">
        <f>VLOOKUP($P674,Allocators!$B$7:$F$19,3,FALSE)</f>
        <v>0</v>
      </c>
      <c r="T674" s="737">
        <f t="shared" si="204"/>
        <v>1</v>
      </c>
      <c r="U674" s="2" t="str">
        <f t="shared" si="188"/>
        <v/>
      </c>
      <c r="V674" s="2" t="str">
        <f t="shared" si="189"/>
        <v/>
      </c>
      <c r="W674" s="2" t="str">
        <f t="shared" si="190"/>
        <v/>
      </c>
      <c r="X674" s="2">
        <f t="shared" si="186"/>
        <v>0</v>
      </c>
      <c r="Y674" s="2" t="str">
        <f t="shared" si="191"/>
        <v/>
      </c>
      <c r="Z674" s="2" t="str">
        <f t="shared" si="192"/>
        <v/>
      </c>
      <c r="AA674" s="2" t="str">
        <f t="shared" si="193"/>
        <v/>
      </c>
      <c r="AB674" s="2">
        <f t="shared" si="187"/>
        <v>0</v>
      </c>
      <c r="AC674" s="759">
        <v>0</v>
      </c>
      <c r="AD674" s="741">
        <v>0</v>
      </c>
      <c r="AE674" s="741">
        <v>0</v>
      </c>
      <c r="AF674" s="741">
        <v>0</v>
      </c>
      <c r="AG674" s="741">
        <v>0</v>
      </c>
      <c r="AH674" s="741">
        <v>0</v>
      </c>
      <c r="AI674" s="741">
        <v>0</v>
      </c>
      <c r="AJ674" s="741">
        <v>0</v>
      </c>
      <c r="AK674" s="741">
        <v>0</v>
      </c>
      <c r="AL674" s="741">
        <v>0</v>
      </c>
      <c r="AM674" s="741">
        <v>0</v>
      </c>
      <c r="AN674" s="741">
        <v>0</v>
      </c>
      <c r="AO674" s="741">
        <v>0</v>
      </c>
      <c r="AP674" s="41" t="str">
        <f t="shared" si="183"/>
        <v>GLS</v>
      </c>
      <c r="AQ674" s="41" t="str">
        <f t="shared" si="184"/>
        <v>GLSS0</v>
      </c>
      <c r="AR674" s="41" t="str">
        <f t="shared" si="185"/>
        <v>S0</v>
      </c>
    </row>
    <row r="675" spans="1:44" s="41" customFormat="1" ht="12.75" customHeight="1">
      <c r="A675" s="25" t="s">
        <v>17</v>
      </c>
      <c r="B675" s="25" t="str">
        <f t="shared" si="199"/>
        <v>GL253720</v>
      </c>
      <c r="C675" s="638">
        <v>253720</v>
      </c>
      <c r="D675" s="735"/>
      <c r="F675" s="1" t="s">
        <v>650</v>
      </c>
      <c r="H675" s="736">
        <v>0</v>
      </c>
      <c r="I675" s="25"/>
      <c r="J675" s="25"/>
      <c r="K675" s="442" t="str">
        <f t="shared" si="198"/>
        <v/>
      </c>
      <c r="L675" s="736" t="s">
        <v>2464</v>
      </c>
      <c r="M675" s="25" t="str">
        <f t="shared" si="200"/>
        <v>S</v>
      </c>
      <c r="N675" s="25" t="str">
        <f>IF(L675&lt;&gt;"",VLOOKUP(L675,Categories!$B$2:$D$41,2,FALSE),IF(F675&lt;&gt;"","No Cat",""))</f>
        <v>A&amp;S Sch</v>
      </c>
      <c r="O675" s="25" t="str">
        <f>IF($L675&lt;&gt;"",VLOOKUP($L675,Categories!$B$2:$D$41,3,FALSE),IF($F675&lt;&gt;"","No Cat",""))</f>
        <v>Reg Asset &amp; Liabilities</v>
      </c>
      <c r="P675" s="736" t="s">
        <v>2468</v>
      </c>
      <c r="Q675" s="25" t="str">
        <f>VLOOKUP($P675,Allocators!$B$7:$F$19,5,FALSE)</f>
        <v>Not in Rate Base</v>
      </c>
      <c r="R675" s="737">
        <f>VLOOKUP($P675,Allocators!$B$7:$F$19,2,FALSE)</f>
        <v>0</v>
      </c>
      <c r="S675" s="737">
        <f>VLOOKUP($P675,Allocators!$B$7:$F$19,3,FALSE)</f>
        <v>0</v>
      </c>
      <c r="T675" s="737">
        <f t="shared" si="204"/>
        <v>1</v>
      </c>
      <c r="U675" s="2" t="str">
        <f t="shared" si="188"/>
        <v/>
      </c>
      <c r="V675" s="2" t="str">
        <f t="shared" si="189"/>
        <v/>
      </c>
      <c r="W675" s="2" t="str">
        <f t="shared" si="190"/>
        <v/>
      </c>
      <c r="X675" s="2">
        <f t="shared" si="186"/>
        <v>0</v>
      </c>
      <c r="Y675" s="2" t="str">
        <f t="shared" si="191"/>
        <v/>
      </c>
      <c r="Z675" s="2" t="str">
        <f t="shared" si="192"/>
        <v/>
      </c>
      <c r="AA675" s="2" t="str">
        <f t="shared" si="193"/>
        <v/>
      </c>
      <c r="AB675" s="2">
        <f t="shared" si="187"/>
        <v>0</v>
      </c>
      <c r="AC675" s="759">
        <v>0</v>
      </c>
      <c r="AD675" s="741">
        <v>0</v>
      </c>
      <c r="AE675" s="741">
        <v>0</v>
      </c>
      <c r="AF675" s="741">
        <v>0</v>
      </c>
      <c r="AG675" s="741">
        <v>0</v>
      </c>
      <c r="AH675" s="741">
        <v>0</v>
      </c>
      <c r="AI675" s="741">
        <v>0</v>
      </c>
      <c r="AJ675" s="741">
        <v>0</v>
      </c>
      <c r="AK675" s="741">
        <v>0</v>
      </c>
      <c r="AL675" s="741">
        <v>0</v>
      </c>
      <c r="AM675" s="741">
        <v>0</v>
      </c>
      <c r="AN675" s="741">
        <v>0</v>
      </c>
      <c r="AO675" s="741">
        <v>0</v>
      </c>
      <c r="AP675" s="41" t="str">
        <f t="shared" si="183"/>
        <v>GLS</v>
      </c>
      <c r="AQ675" s="41" t="str">
        <f t="shared" si="184"/>
        <v>GLSS0</v>
      </c>
      <c r="AR675" s="41" t="str">
        <f t="shared" si="185"/>
        <v>S0</v>
      </c>
    </row>
    <row r="676" spans="1:44" s="41" customFormat="1" ht="12.75" customHeight="1">
      <c r="A676" s="25" t="s">
        <v>17</v>
      </c>
      <c r="B676" s="25" t="str">
        <f t="shared" si="199"/>
        <v>GL253800</v>
      </c>
      <c r="C676" s="638">
        <v>253800</v>
      </c>
      <c r="D676" s="735"/>
      <c r="F676" s="1" t="s">
        <v>651</v>
      </c>
      <c r="H676" s="736">
        <v>0</v>
      </c>
      <c r="I676" s="25"/>
      <c r="J676" s="25"/>
      <c r="K676" s="442" t="str">
        <f t="shared" si="198"/>
        <v/>
      </c>
      <c r="L676" s="736" t="s">
        <v>2464</v>
      </c>
      <c r="M676" s="25" t="str">
        <f t="shared" si="200"/>
        <v>S</v>
      </c>
      <c r="N676" s="25" t="str">
        <f>IF(L676&lt;&gt;"",VLOOKUP(L676,Categories!$B$2:$D$41,2,FALSE),IF(F676&lt;&gt;"","No Cat",""))</f>
        <v>A&amp;S Sch</v>
      </c>
      <c r="O676" s="25" t="str">
        <f>IF($L676&lt;&gt;"",VLOOKUP($L676,Categories!$B$2:$D$41,3,FALSE),IF($F676&lt;&gt;"","No Cat",""))</f>
        <v>Reg Asset &amp; Liabilities</v>
      </c>
      <c r="P676" s="736" t="s">
        <v>2468</v>
      </c>
      <c r="Q676" s="25" t="str">
        <f>VLOOKUP($P676,Allocators!$B$7:$F$19,5,FALSE)</f>
        <v>Not in Rate Base</v>
      </c>
      <c r="R676" s="737">
        <f>VLOOKUP($P676,Allocators!$B$7:$F$19,2,FALSE)</f>
        <v>0</v>
      </c>
      <c r="S676" s="737">
        <f>VLOOKUP($P676,Allocators!$B$7:$F$19,3,FALSE)</f>
        <v>0</v>
      </c>
      <c r="T676" s="737">
        <f t="shared" si="204"/>
        <v>1</v>
      </c>
      <c r="U676" s="2" t="str">
        <f t="shared" si="188"/>
        <v/>
      </c>
      <c r="V676" s="2" t="str">
        <f t="shared" si="189"/>
        <v/>
      </c>
      <c r="W676" s="2" t="str">
        <f t="shared" si="190"/>
        <v/>
      </c>
      <c r="X676" s="2">
        <f t="shared" si="186"/>
        <v>0</v>
      </c>
      <c r="Y676" s="2" t="str">
        <f t="shared" si="191"/>
        <v/>
      </c>
      <c r="Z676" s="2" t="str">
        <f t="shared" si="192"/>
        <v/>
      </c>
      <c r="AA676" s="2" t="str">
        <f t="shared" si="193"/>
        <v/>
      </c>
      <c r="AB676" s="2">
        <f t="shared" si="187"/>
        <v>0</v>
      </c>
      <c r="AC676" s="759">
        <v>0</v>
      </c>
      <c r="AD676" s="741">
        <v>0</v>
      </c>
      <c r="AE676" s="741">
        <v>0</v>
      </c>
      <c r="AF676" s="741">
        <v>0</v>
      </c>
      <c r="AG676" s="741">
        <v>0</v>
      </c>
      <c r="AH676" s="741">
        <v>0</v>
      </c>
      <c r="AI676" s="741">
        <v>0</v>
      </c>
      <c r="AJ676" s="741">
        <v>0</v>
      </c>
      <c r="AK676" s="741">
        <v>0</v>
      </c>
      <c r="AL676" s="741">
        <v>0</v>
      </c>
      <c r="AM676" s="741">
        <v>0</v>
      </c>
      <c r="AN676" s="741">
        <v>0</v>
      </c>
      <c r="AO676" s="741">
        <v>0</v>
      </c>
      <c r="AP676" s="41" t="str">
        <f t="shared" si="183"/>
        <v>GLS</v>
      </c>
      <c r="AQ676" s="41" t="str">
        <f t="shared" si="184"/>
        <v>GLSS0</v>
      </c>
      <c r="AR676" s="41" t="str">
        <f t="shared" si="185"/>
        <v>S0</v>
      </c>
    </row>
    <row r="677" spans="1:44" s="41" customFormat="1" ht="12.75" customHeight="1">
      <c r="A677" s="25" t="s">
        <v>17</v>
      </c>
      <c r="B677" s="25" t="str">
        <f t="shared" si="199"/>
        <v>GL253910</v>
      </c>
      <c r="C677" s="638">
        <v>253910</v>
      </c>
      <c r="D677" s="735"/>
      <c r="F677" s="1" t="s">
        <v>652</v>
      </c>
      <c r="H677" s="736" t="s">
        <v>2540</v>
      </c>
      <c r="I677" s="25"/>
      <c r="J677" s="25"/>
      <c r="K677" s="442" t="str">
        <f t="shared" si="198"/>
        <v/>
      </c>
      <c r="L677" s="736" t="s">
        <v>2464</v>
      </c>
      <c r="M677" s="25" t="str">
        <f t="shared" si="200"/>
        <v>S</v>
      </c>
      <c r="N677" s="25" t="str">
        <f>IF(L677&lt;&gt;"",VLOOKUP(L677,Categories!$B$2:$D$41,2,FALSE),IF(F677&lt;&gt;"","No Cat",""))</f>
        <v>A&amp;S Sch</v>
      </c>
      <c r="O677" s="25" t="str">
        <f>IF($L677&lt;&gt;"",VLOOKUP($L677,Categories!$B$2:$D$41,3,FALSE),IF($F677&lt;&gt;"","No Cat",""))</f>
        <v>Reg Asset &amp; Liabilities</v>
      </c>
      <c r="P677" s="736" t="s">
        <v>2468</v>
      </c>
      <c r="Q677" s="25" t="str">
        <f>VLOOKUP($P677,Allocators!$B$7:$F$19,5,FALSE)</f>
        <v>Not in Rate Base</v>
      </c>
      <c r="R677" s="737">
        <f>VLOOKUP($P677,Allocators!$B$7:$F$19,2,FALSE)</f>
        <v>0</v>
      </c>
      <c r="S677" s="737">
        <f>VLOOKUP($P677,Allocators!$B$7:$F$19,3,FALSE)</f>
        <v>0</v>
      </c>
      <c r="T677" s="737">
        <f t="shared" si="204"/>
        <v>1</v>
      </c>
      <c r="U677" s="2" t="str">
        <f t="shared" si="188"/>
        <v/>
      </c>
      <c r="V677" s="2" t="str">
        <f t="shared" si="189"/>
        <v/>
      </c>
      <c r="W677" s="2" t="str">
        <f t="shared" si="190"/>
        <v/>
      </c>
      <c r="X677" s="2">
        <f t="shared" si="186"/>
        <v>0</v>
      </c>
      <c r="Y677" s="2" t="str">
        <f t="shared" si="191"/>
        <v/>
      </c>
      <c r="Z677" s="2" t="str">
        <f t="shared" si="192"/>
        <v/>
      </c>
      <c r="AA677" s="2" t="str">
        <f t="shared" si="193"/>
        <v/>
      </c>
      <c r="AB677" s="2">
        <f t="shared" si="187"/>
        <v>0</v>
      </c>
      <c r="AC677" s="759">
        <v>0</v>
      </c>
      <c r="AD677" s="741">
        <v>0</v>
      </c>
      <c r="AE677" s="741">
        <v>0</v>
      </c>
      <c r="AF677" s="741">
        <v>0</v>
      </c>
      <c r="AG677" s="741">
        <v>0</v>
      </c>
      <c r="AH677" s="741">
        <v>0</v>
      </c>
      <c r="AI677" s="741">
        <v>0</v>
      </c>
      <c r="AJ677" s="741">
        <v>0</v>
      </c>
      <c r="AK677" s="741">
        <v>0</v>
      </c>
      <c r="AL677" s="741">
        <v>0</v>
      </c>
      <c r="AM677" s="741">
        <v>0</v>
      </c>
      <c r="AN677" s="741">
        <v>0</v>
      </c>
      <c r="AO677" s="741">
        <v>0</v>
      </c>
      <c r="AP677" s="41" t="str">
        <f t="shared" si="183"/>
        <v>GLS</v>
      </c>
      <c r="AQ677" s="41" t="str">
        <f t="shared" si="184"/>
        <v>GLSSCapitalized Installation Costs</v>
      </c>
      <c r="AR677" s="41" t="str">
        <f t="shared" si="185"/>
        <v>SCapitalized Installation Costs</v>
      </c>
    </row>
    <row r="678" spans="1:44" s="41" customFormat="1" ht="12.75" customHeight="1">
      <c r="A678" s="25" t="s">
        <v>17</v>
      </c>
      <c r="B678" s="25" t="str">
        <f t="shared" si="199"/>
        <v>GL253930</v>
      </c>
      <c r="C678" s="638">
        <v>253930</v>
      </c>
      <c r="D678" s="735"/>
      <c r="F678" s="1" t="s">
        <v>653</v>
      </c>
      <c r="H678" s="736" t="s">
        <v>2540</v>
      </c>
      <c r="I678" s="25"/>
      <c r="J678" s="25"/>
      <c r="K678" s="442" t="str">
        <f t="shared" si="198"/>
        <v/>
      </c>
      <c r="L678" s="736" t="s">
        <v>2464</v>
      </c>
      <c r="M678" s="25" t="str">
        <f t="shared" si="200"/>
        <v>S</v>
      </c>
      <c r="N678" s="25" t="str">
        <f>IF(L678&lt;&gt;"",VLOOKUP(L678,Categories!$B$2:$D$41,2,FALSE),IF(F678&lt;&gt;"","No Cat",""))</f>
        <v>A&amp;S Sch</v>
      </c>
      <c r="O678" s="25" t="str">
        <f>IF($L678&lt;&gt;"",VLOOKUP($L678,Categories!$B$2:$D$41,3,FALSE),IF($F678&lt;&gt;"","No Cat",""))</f>
        <v>Reg Asset &amp; Liabilities</v>
      </c>
      <c r="P678" s="736" t="s">
        <v>2468</v>
      </c>
      <c r="Q678" s="25" t="str">
        <f>VLOOKUP($P678,Allocators!$B$7:$F$19,5,FALSE)</f>
        <v>Not in Rate Base</v>
      </c>
      <c r="R678" s="737">
        <f>VLOOKUP($P678,Allocators!$B$7:$F$19,2,FALSE)</f>
        <v>0</v>
      </c>
      <c r="S678" s="737">
        <f>VLOOKUP($P678,Allocators!$B$7:$F$19,3,FALSE)</f>
        <v>0</v>
      </c>
      <c r="T678" s="737">
        <f t="shared" si="204"/>
        <v>1</v>
      </c>
      <c r="U678" s="2" t="str">
        <f t="shared" si="188"/>
        <v/>
      </c>
      <c r="V678" s="2" t="str">
        <f t="shared" si="189"/>
        <v/>
      </c>
      <c r="W678" s="2" t="str">
        <f t="shared" si="190"/>
        <v/>
      </c>
      <c r="X678" s="2">
        <f t="shared" si="186"/>
        <v>0</v>
      </c>
      <c r="Y678" s="2" t="str">
        <f t="shared" si="191"/>
        <v/>
      </c>
      <c r="Z678" s="2" t="str">
        <f t="shared" si="192"/>
        <v/>
      </c>
      <c r="AA678" s="2" t="str">
        <f t="shared" si="193"/>
        <v/>
      </c>
      <c r="AB678" s="2">
        <f t="shared" si="187"/>
        <v>0</v>
      </c>
      <c r="AC678" s="759">
        <v>0</v>
      </c>
      <c r="AD678" s="741">
        <v>0</v>
      </c>
      <c r="AE678" s="741">
        <v>0</v>
      </c>
      <c r="AF678" s="741">
        <v>0</v>
      </c>
      <c r="AG678" s="741">
        <v>0</v>
      </c>
      <c r="AH678" s="741">
        <v>0</v>
      </c>
      <c r="AI678" s="741">
        <v>0</v>
      </c>
      <c r="AJ678" s="741">
        <v>0</v>
      </c>
      <c r="AK678" s="741">
        <v>0</v>
      </c>
      <c r="AL678" s="741">
        <v>0</v>
      </c>
      <c r="AM678" s="741">
        <v>0</v>
      </c>
      <c r="AN678" s="741">
        <v>0</v>
      </c>
      <c r="AO678" s="741">
        <v>0</v>
      </c>
      <c r="AP678" s="41" t="str">
        <f t="shared" si="183"/>
        <v>GLS</v>
      </c>
      <c r="AQ678" s="41" t="str">
        <f t="shared" si="184"/>
        <v>GLSSCapitalized Installation Costs</v>
      </c>
      <c r="AR678" s="41" t="str">
        <f t="shared" si="185"/>
        <v>SCapitalized Installation Costs</v>
      </c>
    </row>
    <row r="679" spans="1:44" s="41" customFormat="1" ht="12.75" customHeight="1">
      <c r="A679" s="25" t="s">
        <v>17</v>
      </c>
      <c r="B679" s="25" t="str">
        <f t="shared" si="199"/>
        <v>GL254010</v>
      </c>
      <c r="C679" s="638">
        <v>254010</v>
      </c>
      <c r="D679" s="735"/>
      <c r="F679" s="1" t="s">
        <v>654</v>
      </c>
      <c r="H679" s="736">
        <v>0</v>
      </c>
      <c r="I679" s="25"/>
      <c r="J679" s="25"/>
      <c r="K679" s="442" t="str">
        <f t="shared" si="198"/>
        <v/>
      </c>
      <c r="L679" s="736" t="s">
        <v>2464</v>
      </c>
      <c r="M679" s="25" t="str">
        <f t="shared" si="200"/>
        <v>S</v>
      </c>
      <c r="N679" s="25" t="str">
        <f>IF(L679&lt;&gt;"",VLOOKUP(L679,Categories!$B$2:$D$41,2,FALSE),IF(F679&lt;&gt;"","No Cat",""))</f>
        <v>A&amp;S Sch</v>
      </c>
      <c r="O679" s="25" t="str">
        <f>IF($L679&lt;&gt;"",VLOOKUP($L679,Categories!$B$2:$D$41,3,FALSE),IF($F679&lt;&gt;"","No Cat",""))</f>
        <v>Reg Asset &amp; Liabilities</v>
      </c>
      <c r="P679" s="736" t="s">
        <v>2468</v>
      </c>
      <c r="Q679" s="25" t="str">
        <f>VLOOKUP($P679,Allocators!$B$7:$F$19,5,FALSE)</f>
        <v>Not in Rate Base</v>
      </c>
      <c r="R679" s="737">
        <f>VLOOKUP($P679,Allocators!$B$7:$F$19,2,FALSE)</f>
        <v>0</v>
      </c>
      <c r="S679" s="737">
        <f>VLOOKUP($P679,Allocators!$B$7:$F$19,3,FALSE)</f>
        <v>0</v>
      </c>
      <c r="T679" s="737">
        <f t="shared" si="204"/>
        <v>1</v>
      </c>
      <c r="U679" s="2" t="str">
        <f t="shared" si="188"/>
        <v/>
      </c>
      <c r="V679" s="2" t="str">
        <f t="shared" si="189"/>
        <v/>
      </c>
      <c r="W679" s="2" t="str">
        <f t="shared" si="190"/>
        <v/>
      </c>
      <c r="X679" s="2">
        <f t="shared" si="186"/>
        <v>0</v>
      </c>
      <c r="Y679" s="2" t="str">
        <f t="shared" si="191"/>
        <v/>
      </c>
      <c r="Z679" s="2" t="str">
        <f t="shared" si="192"/>
        <v/>
      </c>
      <c r="AA679" s="2" t="str">
        <f t="shared" si="193"/>
        <v/>
      </c>
      <c r="AB679" s="2">
        <f t="shared" si="187"/>
        <v>0</v>
      </c>
      <c r="AC679" s="759">
        <v>0</v>
      </c>
      <c r="AD679" s="741">
        <v>0</v>
      </c>
      <c r="AE679" s="741">
        <v>0</v>
      </c>
      <c r="AF679" s="741">
        <v>0</v>
      </c>
      <c r="AG679" s="741">
        <v>0</v>
      </c>
      <c r="AH679" s="741">
        <v>0</v>
      </c>
      <c r="AI679" s="741">
        <v>0</v>
      </c>
      <c r="AJ679" s="741">
        <v>0</v>
      </c>
      <c r="AK679" s="741">
        <v>0</v>
      </c>
      <c r="AL679" s="741">
        <v>0</v>
      </c>
      <c r="AM679" s="741">
        <v>0</v>
      </c>
      <c r="AN679" s="741">
        <v>0</v>
      </c>
      <c r="AO679" s="741">
        <v>0</v>
      </c>
      <c r="AP679" s="41" t="str">
        <f t="shared" si="183"/>
        <v>GLS</v>
      </c>
      <c r="AQ679" s="41" t="str">
        <f t="shared" si="184"/>
        <v>GLSS0</v>
      </c>
      <c r="AR679" s="41" t="str">
        <f t="shared" si="185"/>
        <v>S0</v>
      </c>
    </row>
    <row r="680" spans="1:44" s="41" customFormat="1" ht="12.75" customHeight="1">
      <c r="A680" s="25" t="s">
        <v>17</v>
      </c>
      <c r="B680" s="25" t="str">
        <f t="shared" si="199"/>
        <v>GL254012</v>
      </c>
      <c r="C680" s="638">
        <v>254012</v>
      </c>
      <c r="D680" s="735"/>
      <c r="F680" s="1" t="s">
        <v>655</v>
      </c>
      <c r="H680" s="736">
        <v>0</v>
      </c>
      <c r="I680" s="25"/>
      <c r="J680" s="25"/>
      <c r="K680" s="442" t="str">
        <f t="shared" si="198"/>
        <v/>
      </c>
      <c r="L680" s="736" t="s">
        <v>2464</v>
      </c>
      <c r="M680" s="25" t="str">
        <f t="shared" si="200"/>
        <v>S</v>
      </c>
      <c r="N680" s="25" t="str">
        <f>IF(L680&lt;&gt;"",VLOOKUP(L680,Categories!$B$2:$D$41,2,FALSE),IF(F680&lt;&gt;"","No Cat",""))</f>
        <v>A&amp;S Sch</v>
      </c>
      <c r="O680" s="25" t="str">
        <f>IF($L680&lt;&gt;"",VLOOKUP($L680,Categories!$B$2:$D$41,3,FALSE),IF($F680&lt;&gt;"","No Cat",""))</f>
        <v>Reg Asset &amp; Liabilities</v>
      </c>
      <c r="P680" s="736" t="s">
        <v>2468</v>
      </c>
      <c r="Q680" s="25" t="str">
        <f>VLOOKUP($P680,Allocators!$B$7:$F$19,5,FALSE)</f>
        <v>Not in Rate Base</v>
      </c>
      <c r="R680" s="737">
        <f>VLOOKUP($P680,Allocators!$B$7:$F$19,2,FALSE)</f>
        <v>0</v>
      </c>
      <c r="S680" s="737">
        <f>VLOOKUP($P680,Allocators!$B$7:$F$19,3,FALSE)</f>
        <v>0</v>
      </c>
      <c r="T680" s="737">
        <f t="shared" si="204"/>
        <v>1</v>
      </c>
      <c r="U680" s="2">
        <f t="shared" si="188"/>
        <v>0</v>
      </c>
      <c r="V680" s="2">
        <f t="shared" si="189"/>
        <v>0</v>
      </c>
      <c r="W680" s="2">
        <f t="shared" si="190"/>
        <v>-8620.8573666666707</v>
      </c>
      <c r="X680" s="2">
        <f t="shared" si="186"/>
        <v>-8620.8573666666707</v>
      </c>
      <c r="Y680" s="2">
        <f t="shared" si="191"/>
        <v>0</v>
      </c>
      <c r="Z680" s="2">
        <f t="shared" si="192"/>
        <v>0</v>
      </c>
      <c r="AA680" s="2">
        <f t="shared" si="193"/>
        <v>-8249.4866700000002</v>
      </c>
      <c r="AB680" s="2">
        <f t="shared" si="187"/>
        <v>-8249.4866700000002</v>
      </c>
      <c r="AC680" s="759">
        <v>-8359.8948299999993</v>
      </c>
      <c r="AD680" s="741">
        <v>-8407.2724699999999</v>
      </c>
      <c r="AE680" s="741">
        <v>-8454.9186099999988</v>
      </c>
      <c r="AF680" s="741">
        <v>-8502.8347699999995</v>
      </c>
      <c r="AG680" s="741">
        <v>-8551.0224799999996</v>
      </c>
      <c r="AH680" s="741">
        <v>-8599.4832899999983</v>
      </c>
      <c r="AI680" s="741">
        <v>-8648.2187400000003</v>
      </c>
      <c r="AJ680" s="741">
        <v>-8697.2303900000006</v>
      </c>
      <c r="AK680" s="741">
        <v>-8746.5197899999985</v>
      </c>
      <c r="AL680" s="741">
        <v>-8796.0885299999991</v>
      </c>
      <c r="AM680" s="741">
        <v>-8845.9381999999987</v>
      </c>
      <c r="AN680" s="741">
        <v>-8896.070380000001</v>
      </c>
      <c r="AO680" s="741">
        <v>-8249.4866700000002</v>
      </c>
      <c r="AP680" s="41" t="str">
        <f t="shared" si="183"/>
        <v>GLS</v>
      </c>
      <c r="AQ680" s="41" t="str">
        <f t="shared" si="184"/>
        <v>GLSS0</v>
      </c>
      <c r="AR680" s="41" t="str">
        <f t="shared" si="185"/>
        <v>S0</v>
      </c>
    </row>
    <row r="681" spans="1:44" s="41" customFormat="1" ht="12.75" customHeight="1">
      <c r="A681" s="25" t="s">
        <v>17</v>
      </c>
      <c r="B681" s="25" t="str">
        <f t="shared" si="199"/>
        <v>GL254013</v>
      </c>
      <c r="C681" s="638">
        <v>254013</v>
      </c>
      <c r="D681" s="735"/>
      <c r="F681" s="1" t="s">
        <v>656</v>
      </c>
      <c r="H681" s="736">
        <v>0</v>
      </c>
      <c r="I681" s="25"/>
      <c r="J681" s="25"/>
      <c r="K681" s="442" t="str">
        <f t="shared" si="198"/>
        <v/>
      </c>
      <c r="L681" s="736" t="s">
        <v>2464</v>
      </c>
      <c r="M681" s="25" t="str">
        <f t="shared" si="200"/>
        <v>S</v>
      </c>
      <c r="N681" s="25" t="str">
        <f>IF(L681&lt;&gt;"",VLOOKUP(L681,Categories!$B$2:$D$41,2,FALSE),IF(F681&lt;&gt;"","No Cat",""))</f>
        <v>A&amp;S Sch</v>
      </c>
      <c r="O681" s="25" t="str">
        <f>IF($L681&lt;&gt;"",VLOOKUP($L681,Categories!$B$2:$D$41,3,FALSE),IF($F681&lt;&gt;"","No Cat",""))</f>
        <v>Reg Asset &amp; Liabilities</v>
      </c>
      <c r="P681" s="736" t="s">
        <v>2468</v>
      </c>
      <c r="Q681" s="25" t="str">
        <f>VLOOKUP($P681,Allocators!$B$7:$F$19,5,FALSE)</f>
        <v>Not in Rate Base</v>
      </c>
      <c r="R681" s="737">
        <f>VLOOKUP($P681,Allocators!$B$7:$F$19,2,FALSE)</f>
        <v>0</v>
      </c>
      <c r="S681" s="737">
        <f>VLOOKUP($P681,Allocators!$B$7:$F$19,3,FALSE)</f>
        <v>0</v>
      </c>
      <c r="T681" s="737">
        <f t="shared" si="204"/>
        <v>1</v>
      </c>
      <c r="U681" s="2">
        <f t="shared" si="188"/>
        <v>0</v>
      </c>
      <c r="V681" s="2">
        <f t="shared" si="189"/>
        <v>0</v>
      </c>
      <c r="W681" s="2">
        <f t="shared" si="190"/>
        <v>-4071.57333666667</v>
      </c>
      <c r="X681" s="2">
        <f t="shared" si="186"/>
        <v>-4071.57333666667</v>
      </c>
      <c r="Y681" s="2" t="str">
        <f t="shared" si="191"/>
        <v/>
      </c>
      <c r="Z681" s="2" t="str">
        <f t="shared" si="192"/>
        <v/>
      </c>
      <c r="AA681" s="2" t="str">
        <f t="shared" si="193"/>
        <v/>
      </c>
      <c r="AB681" s="2">
        <f t="shared" si="187"/>
        <v>0</v>
      </c>
      <c r="AC681" s="759">
        <v>-5087.8829599999999</v>
      </c>
      <c r="AD681" s="741">
        <v>-4941.6439600000003</v>
      </c>
      <c r="AE681" s="741">
        <v>-4795.4049599999998</v>
      </c>
      <c r="AF681" s="741">
        <v>-4649.1659600000003</v>
      </c>
      <c r="AG681" s="741">
        <v>-4502.9269599999998</v>
      </c>
      <c r="AH681" s="741">
        <v>-4356.6879600000002</v>
      </c>
      <c r="AI681" s="741">
        <v>-4210.4489599999997</v>
      </c>
      <c r="AJ681" s="741">
        <v>-4064.2099600000001</v>
      </c>
      <c r="AK681" s="741">
        <v>-3917.9709600000001</v>
      </c>
      <c r="AL681" s="741">
        <v>-3771.7319600000001</v>
      </c>
      <c r="AM681" s="741">
        <v>-3625.49296</v>
      </c>
      <c r="AN681" s="741">
        <v>-3479.25396</v>
      </c>
      <c r="AO681" s="741">
        <v>0</v>
      </c>
      <c r="AP681" s="41" t="str">
        <f t="shared" si="183"/>
        <v>GLS</v>
      </c>
      <c r="AQ681" s="41" t="str">
        <f t="shared" si="184"/>
        <v>GLSS0</v>
      </c>
      <c r="AR681" s="41" t="str">
        <f t="shared" si="185"/>
        <v>S0</v>
      </c>
    </row>
    <row r="682" spans="1:44" s="41" customFormat="1" ht="12.75" customHeight="1">
      <c r="A682" s="25" t="s">
        <v>17</v>
      </c>
      <c r="B682" s="25" t="str">
        <f t="shared" si="199"/>
        <v>GL254015</v>
      </c>
      <c r="C682" s="638">
        <v>254015</v>
      </c>
      <c r="D682" s="735"/>
      <c r="F682" s="1" t="s">
        <v>657</v>
      </c>
      <c r="H682" s="736">
        <v>0</v>
      </c>
      <c r="I682" s="25"/>
      <c r="J682" s="25"/>
      <c r="K682" s="442" t="str">
        <f t="shared" si="198"/>
        <v/>
      </c>
      <c r="L682" s="736" t="s">
        <v>2464</v>
      </c>
      <c r="M682" s="25" t="str">
        <f t="shared" si="200"/>
        <v>S</v>
      </c>
      <c r="N682" s="25" t="str">
        <f>IF(L682&lt;&gt;"",VLOOKUP(L682,Categories!$B$2:$D$41,2,FALSE),IF(F682&lt;&gt;"","No Cat",""))</f>
        <v>A&amp;S Sch</v>
      </c>
      <c r="O682" s="25" t="str">
        <f>IF($L682&lt;&gt;"",VLOOKUP($L682,Categories!$B$2:$D$41,3,FALSE),IF($F682&lt;&gt;"","No Cat",""))</f>
        <v>Reg Asset &amp; Liabilities</v>
      </c>
      <c r="P682" s="736" t="s">
        <v>2468</v>
      </c>
      <c r="Q682" s="25" t="str">
        <f>VLOOKUP($P682,Allocators!$B$7:$F$19,5,FALSE)</f>
        <v>Not in Rate Base</v>
      </c>
      <c r="R682" s="737">
        <f>VLOOKUP($P682,Allocators!$B$7:$F$19,2,FALSE)</f>
        <v>0</v>
      </c>
      <c r="S682" s="737">
        <f>VLOOKUP($P682,Allocators!$B$7:$F$19,3,FALSE)</f>
        <v>0</v>
      </c>
      <c r="T682" s="737">
        <f t="shared" si="204"/>
        <v>1</v>
      </c>
      <c r="U682" s="2">
        <f t="shared" si="188"/>
        <v>0</v>
      </c>
      <c r="V682" s="2">
        <f t="shared" si="189"/>
        <v>0</v>
      </c>
      <c r="W682" s="2">
        <f t="shared" si="190"/>
        <v>-1519.60985958333</v>
      </c>
      <c r="X682" s="2">
        <f t="shared" si="186"/>
        <v>-1519.60985958333</v>
      </c>
      <c r="Y682" s="2">
        <f t="shared" si="191"/>
        <v>0</v>
      </c>
      <c r="Z682" s="2">
        <f t="shared" si="192"/>
        <v>0</v>
      </c>
      <c r="AA682" s="2">
        <f t="shared" si="193"/>
        <v>-2691.8888299999999</v>
      </c>
      <c r="AB682" s="2">
        <f t="shared" si="187"/>
        <v>-2691.8888299999999</v>
      </c>
      <c r="AC682" s="759">
        <v>0</v>
      </c>
      <c r="AD682" s="741">
        <v>-2497.55503</v>
      </c>
      <c r="AE682" s="741">
        <v>-1054.7816499999999</v>
      </c>
      <c r="AF682" s="741">
        <v>-3286.5696600000001</v>
      </c>
      <c r="AG682" s="741">
        <v>-3821.7609400000001</v>
      </c>
      <c r="AH682" s="741">
        <v>-3112.6366600000001</v>
      </c>
      <c r="AI682" s="741">
        <v>-1675.8180300000001</v>
      </c>
      <c r="AJ682" s="741">
        <v>-634.06605000000002</v>
      </c>
      <c r="AK682" s="741">
        <v>-221.01772</v>
      </c>
      <c r="AL682" s="741">
        <v>-214.62447</v>
      </c>
      <c r="AM682" s="741">
        <v>-201.40648999999999</v>
      </c>
      <c r="AN682" s="741">
        <v>-169.13720000000001</v>
      </c>
      <c r="AO682" s="741">
        <v>-2691.8888299999999</v>
      </c>
      <c r="AP682" s="41" t="str">
        <f t="shared" si="183"/>
        <v>GLS</v>
      </c>
      <c r="AQ682" s="41" t="str">
        <f t="shared" si="184"/>
        <v>GLSS0</v>
      </c>
      <c r="AR682" s="41" t="str">
        <f t="shared" si="185"/>
        <v>S0</v>
      </c>
    </row>
    <row r="683" spans="1:44" s="41" customFormat="1" ht="12.75" customHeight="1">
      <c r="A683" s="25" t="s">
        <v>17</v>
      </c>
      <c r="B683" s="25" t="str">
        <f t="shared" si="199"/>
        <v>GL254016</v>
      </c>
      <c r="C683" s="638">
        <v>254016</v>
      </c>
      <c r="D683" s="735"/>
      <c r="F683" s="1" t="s">
        <v>658</v>
      </c>
      <c r="H683" s="736">
        <v>0</v>
      </c>
      <c r="I683" s="25"/>
      <c r="J683" s="25"/>
      <c r="K683" s="442" t="str">
        <f t="shared" si="198"/>
        <v/>
      </c>
      <c r="L683" s="736" t="s">
        <v>2464</v>
      </c>
      <c r="M683" s="25" t="str">
        <f t="shared" si="200"/>
        <v>S</v>
      </c>
      <c r="N683" s="25" t="str">
        <f>IF(L683&lt;&gt;"",VLOOKUP(L683,Categories!$B$2:$D$41,2,FALSE),IF(F683&lt;&gt;"","No Cat",""))</f>
        <v>A&amp;S Sch</v>
      </c>
      <c r="O683" s="25" t="str">
        <f>IF($L683&lt;&gt;"",VLOOKUP($L683,Categories!$B$2:$D$41,3,FALSE),IF($F683&lt;&gt;"","No Cat",""))</f>
        <v>Reg Asset &amp; Liabilities</v>
      </c>
      <c r="P683" s="736" t="s">
        <v>2468</v>
      </c>
      <c r="Q683" s="25" t="str">
        <f>VLOOKUP($P683,Allocators!$B$7:$F$19,5,FALSE)</f>
        <v>Not in Rate Base</v>
      </c>
      <c r="R683" s="737">
        <f>VLOOKUP($P683,Allocators!$B$7:$F$19,2,FALSE)</f>
        <v>0</v>
      </c>
      <c r="S683" s="737">
        <f>VLOOKUP($P683,Allocators!$B$7:$F$19,3,FALSE)</f>
        <v>0</v>
      </c>
      <c r="T683" s="737">
        <f t="shared" si="204"/>
        <v>1</v>
      </c>
      <c r="U683" s="2">
        <f t="shared" si="188"/>
        <v>0</v>
      </c>
      <c r="V683" s="2">
        <f t="shared" si="189"/>
        <v>0</v>
      </c>
      <c r="W683" s="2">
        <f t="shared" si="190"/>
        <v>-80696.1712741667</v>
      </c>
      <c r="X683" s="2">
        <f t="shared" si="186"/>
        <v>-80696.1712741667</v>
      </c>
      <c r="Y683" s="2">
        <f t="shared" si="191"/>
        <v>0</v>
      </c>
      <c r="Z683" s="2">
        <f t="shared" si="192"/>
        <v>0</v>
      </c>
      <c r="AA683" s="2">
        <f t="shared" si="193"/>
        <v>-72198.591799999995</v>
      </c>
      <c r="AB683" s="2">
        <f t="shared" si="187"/>
        <v>-72198.591799999995</v>
      </c>
      <c r="AC683" s="759">
        <v>-101313.76426000001</v>
      </c>
      <c r="AD683" s="741">
        <v>-107811.6418</v>
      </c>
      <c r="AE683" s="741">
        <v>-113778.17268999999</v>
      </c>
      <c r="AF683" s="741">
        <v>-117568.21931</v>
      </c>
      <c r="AG683" s="741">
        <v>-75946.68346</v>
      </c>
      <c r="AH683" s="741">
        <v>-79092.550810000001</v>
      </c>
      <c r="AI683" s="741">
        <v>-74051.994019999998</v>
      </c>
      <c r="AJ683" s="741">
        <v>-52997.369159999995</v>
      </c>
      <c r="AK683" s="741">
        <v>-56249.187299999998</v>
      </c>
      <c r="AL683" s="741">
        <v>-67996.662989999997</v>
      </c>
      <c r="AM683" s="741">
        <v>-67393.047810000004</v>
      </c>
      <c r="AN683" s="741">
        <v>-68712.347909999997</v>
      </c>
      <c r="AO683" s="741">
        <v>-72198.591799999995</v>
      </c>
      <c r="AP683" s="41" t="str">
        <f t="shared" si="183"/>
        <v>GLS</v>
      </c>
      <c r="AQ683" s="41" t="str">
        <f t="shared" si="184"/>
        <v>GLSS0</v>
      </c>
      <c r="AR683" s="41" t="str">
        <f t="shared" si="185"/>
        <v>S0</v>
      </c>
    </row>
    <row r="684" spans="1:44" s="41" customFormat="1" ht="12.75" customHeight="1">
      <c r="A684" s="25" t="s">
        <v>17</v>
      </c>
      <c r="B684" s="25" t="str">
        <f t="shared" si="199"/>
        <v>GL254017</v>
      </c>
      <c r="C684" s="638">
        <v>254017</v>
      </c>
      <c r="D684" s="735"/>
      <c r="F684" s="1" t="s">
        <v>659</v>
      </c>
      <c r="H684" s="736">
        <v>0</v>
      </c>
      <c r="I684" s="25"/>
      <c r="J684" s="25"/>
      <c r="K684" s="442" t="str">
        <f t="shared" si="198"/>
        <v/>
      </c>
      <c r="L684" s="736" t="s">
        <v>2464</v>
      </c>
      <c r="M684" s="25" t="str">
        <f t="shared" si="200"/>
        <v>S</v>
      </c>
      <c r="N684" s="25" t="str">
        <f>IF(L684&lt;&gt;"",VLOOKUP(L684,Categories!$B$2:$D$41,2,FALSE),IF(F684&lt;&gt;"","No Cat",""))</f>
        <v>A&amp;S Sch</v>
      </c>
      <c r="O684" s="25" t="str">
        <f>IF($L684&lt;&gt;"",VLOOKUP($L684,Categories!$B$2:$D$41,3,FALSE),IF($F684&lt;&gt;"","No Cat",""))</f>
        <v>Reg Asset &amp; Liabilities</v>
      </c>
      <c r="P684" s="736" t="s">
        <v>2468</v>
      </c>
      <c r="Q684" s="25" t="str">
        <f>VLOOKUP($P684,Allocators!$B$7:$F$19,5,FALSE)</f>
        <v>Not in Rate Base</v>
      </c>
      <c r="R684" s="737">
        <f>VLOOKUP($P684,Allocators!$B$7:$F$19,2,FALSE)</f>
        <v>0</v>
      </c>
      <c r="S684" s="737">
        <f>VLOOKUP($P684,Allocators!$B$7:$F$19,3,FALSE)</f>
        <v>0</v>
      </c>
      <c r="T684" s="737">
        <f t="shared" si="204"/>
        <v>1</v>
      </c>
      <c r="U684" s="2">
        <f t="shared" si="188"/>
        <v>0</v>
      </c>
      <c r="V684" s="2">
        <f t="shared" si="189"/>
        <v>0</v>
      </c>
      <c r="W684" s="2">
        <f t="shared" si="190"/>
        <v>-20410.374673333299</v>
      </c>
      <c r="X684" s="2">
        <f t="shared" si="186"/>
        <v>-20410.374673333299</v>
      </c>
      <c r="Y684" s="2">
        <f t="shared" si="191"/>
        <v>0</v>
      </c>
      <c r="Z684" s="2">
        <f t="shared" si="192"/>
        <v>0</v>
      </c>
      <c r="AA684" s="2">
        <f t="shared" si="193"/>
        <v>-18157.935379999999</v>
      </c>
      <c r="AB684" s="2">
        <f t="shared" si="187"/>
        <v>-18157.935379999999</v>
      </c>
      <c r="AC684" s="759">
        <v>-31145.0782</v>
      </c>
      <c r="AD684" s="741">
        <v>-34030.629959999998</v>
      </c>
      <c r="AE684" s="741">
        <v>-35297.921219999997</v>
      </c>
      <c r="AF684" s="741">
        <v>-35574.057359999999</v>
      </c>
      <c r="AG684" s="741">
        <v>-18324.087680000001</v>
      </c>
      <c r="AH684" s="741">
        <v>-17735.371320000002</v>
      </c>
      <c r="AI684" s="741">
        <v>-17441.074089999998</v>
      </c>
      <c r="AJ684" s="741">
        <v>-8886.7151199999989</v>
      </c>
      <c r="AK684" s="741">
        <v>-7688.3991699999997</v>
      </c>
      <c r="AL684" s="741">
        <v>-15483.62003</v>
      </c>
      <c r="AM684" s="741">
        <v>-14329.20305</v>
      </c>
      <c r="AN684" s="741">
        <v>-15481.91029</v>
      </c>
      <c r="AO684" s="741">
        <v>-18157.935379999999</v>
      </c>
      <c r="AP684" s="41" t="str">
        <f t="shared" si="183"/>
        <v>GLS</v>
      </c>
      <c r="AQ684" s="41" t="str">
        <f t="shared" si="184"/>
        <v>GLSS0</v>
      </c>
      <c r="AR684" s="41" t="str">
        <f t="shared" si="185"/>
        <v>S0</v>
      </c>
    </row>
    <row r="685" spans="1:44" s="41" customFormat="1" ht="12.75" customHeight="1">
      <c r="A685" s="25" t="s">
        <v>17</v>
      </c>
      <c r="B685" s="25" t="str">
        <f t="shared" ref="B685" si="205">CONCATENATE(A685,C685,D685,E685)</f>
        <v>GL254018</v>
      </c>
      <c r="C685" s="638">
        <v>254018</v>
      </c>
      <c r="D685" s="735"/>
      <c r="F685" s="1" t="s">
        <v>4418</v>
      </c>
      <c r="H685" s="736">
        <v>0</v>
      </c>
      <c r="I685" s="25"/>
      <c r="J685" s="25"/>
      <c r="K685" s="442"/>
      <c r="L685" s="736" t="s">
        <v>2464</v>
      </c>
      <c r="M685" s="25" t="str">
        <f t="shared" si="200"/>
        <v>S</v>
      </c>
      <c r="N685" s="25" t="str">
        <f>IF(L685&lt;&gt;"",VLOOKUP(L685,Categories!$B$2:$D$41,2,FALSE),IF(F685&lt;&gt;"","No Cat",""))</f>
        <v>A&amp;S Sch</v>
      </c>
      <c r="O685" s="25" t="str">
        <f>IF($L685&lt;&gt;"",VLOOKUP($L685,Categories!$B$2:$D$41,3,FALSE),IF($F685&lt;&gt;"","No Cat",""))</f>
        <v>Reg Asset &amp; Liabilities</v>
      </c>
      <c r="P685" s="736" t="s">
        <v>2468</v>
      </c>
      <c r="Q685" s="25" t="str">
        <f>VLOOKUP($P685,Allocators!$B$7:$F$19,5,FALSE)</f>
        <v>Not in Rate Base</v>
      </c>
      <c r="R685" s="737">
        <f>VLOOKUP($P685,Allocators!$B$7:$F$19,2,FALSE)</f>
        <v>0</v>
      </c>
      <c r="S685" s="737">
        <f>VLOOKUP($P685,Allocators!$B$7:$F$19,3,FALSE)</f>
        <v>0</v>
      </c>
      <c r="T685" s="737">
        <f t="shared" si="204"/>
        <v>1</v>
      </c>
      <c r="U685" s="2">
        <f t="shared" si="188"/>
        <v>0</v>
      </c>
      <c r="V685" s="2">
        <f t="shared" si="189"/>
        <v>0</v>
      </c>
      <c r="W685" s="2">
        <f t="shared" si="190"/>
        <v>-30334.602115416601</v>
      </c>
      <c r="X685" s="2">
        <f t="shared" si="186"/>
        <v>-30334.602115416601</v>
      </c>
      <c r="Y685" s="2">
        <f t="shared" si="191"/>
        <v>0</v>
      </c>
      <c r="Z685" s="2">
        <f t="shared" si="192"/>
        <v>0</v>
      </c>
      <c r="AA685" s="2">
        <f t="shared" si="193"/>
        <v>-51481.282729999999</v>
      </c>
      <c r="AB685" s="2">
        <f t="shared" si="187"/>
        <v>-51481.282729999999</v>
      </c>
      <c r="AC685" s="759"/>
      <c r="AD685" s="741"/>
      <c r="AE685" s="741"/>
      <c r="AF685" s="741">
        <v>-1920.69147</v>
      </c>
      <c r="AG685" s="741">
        <v>-34386.797170000005</v>
      </c>
      <c r="AH685" s="741">
        <v>-36867.045560000006</v>
      </c>
      <c r="AI685" s="741">
        <v>-39042.07303</v>
      </c>
      <c r="AJ685" s="741">
        <v>-41201.304340000002</v>
      </c>
      <c r="AK685" s="741">
        <v>-43361.402700000006</v>
      </c>
      <c r="AL685" s="741">
        <v>-45201.521310000004</v>
      </c>
      <c r="AM685" s="741">
        <v>-47265.237119999998</v>
      </c>
      <c r="AN685" s="741">
        <v>-49028.511319999998</v>
      </c>
      <c r="AO685" s="741">
        <v>-51481.282729999999</v>
      </c>
      <c r="AP685" s="41" t="str">
        <f t="shared" si="183"/>
        <v>GLS</v>
      </c>
      <c r="AQ685" s="41" t="str">
        <f t="shared" si="184"/>
        <v>GLSS0</v>
      </c>
      <c r="AR685" s="41" t="str">
        <f t="shared" si="185"/>
        <v>S0</v>
      </c>
    </row>
    <row r="686" spans="1:44" s="41" customFormat="1" ht="12.75" customHeight="1">
      <c r="A686" s="25" t="s">
        <v>17</v>
      </c>
      <c r="B686" s="25" t="str">
        <f t="shared" si="199"/>
        <v>GL254020</v>
      </c>
      <c r="C686" s="638">
        <v>254020</v>
      </c>
      <c r="D686" s="735"/>
      <c r="F686" s="1" t="s">
        <v>660</v>
      </c>
      <c r="H686" s="736">
        <v>0</v>
      </c>
      <c r="I686" s="25"/>
      <c r="J686" s="25"/>
      <c r="K686" s="442" t="str">
        <f t="shared" si="198"/>
        <v/>
      </c>
      <c r="L686" s="736" t="s">
        <v>2464</v>
      </c>
      <c r="M686" s="25" t="str">
        <f t="shared" si="200"/>
        <v>S</v>
      </c>
      <c r="N686" s="25" t="str">
        <f>IF(L686&lt;&gt;"",VLOOKUP(L686,Categories!$B$2:$D$41,2,FALSE),IF(F686&lt;&gt;"","No Cat",""))</f>
        <v>A&amp;S Sch</v>
      </c>
      <c r="O686" s="25" t="str">
        <f>IF($L686&lt;&gt;"",VLOOKUP($L686,Categories!$B$2:$D$41,3,FALSE),IF($F686&lt;&gt;"","No Cat",""))</f>
        <v>Reg Asset &amp; Liabilities</v>
      </c>
      <c r="P686" s="736" t="s">
        <v>2468</v>
      </c>
      <c r="Q686" s="25" t="str">
        <f>VLOOKUP($P686,Allocators!$B$7:$F$19,5,FALSE)</f>
        <v>Not in Rate Base</v>
      </c>
      <c r="R686" s="737">
        <f>VLOOKUP($P686,Allocators!$B$7:$F$19,2,FALSE)</f>
        <v>0</v>
      </c>
      <c r="S686" s="737">
        <f>VLOOKUP($P686,Allocators!$B$7:$F$19,3,FALSE)</f>
        <v>0</v>
      </c>
      <c r="T686" s="737">
        <f t="shared" si="204"/>
        <v>1</v>
      </c>
      <c r="U686" s="2" t="str">
        <f t="shared" si="188"/>
        <v/>
      </c>
      <c r="V686" s="2" t="str">
        <f t="shared" si="189"/>
        <v/>
      </c>
      <c r="W686" s="2" t="str">
        <f t="shared" si="190"/>
        <v/>
      </c>
      <c r="X686" s="2">
        <f t="shared" si="186"/>
        <v>0</v>
      </c>
      <c r="Y686" s="2" t="str">
        <f t="shared" si="191"/>
        <v/>
      </c>
      <c r="Z686" s="2" t="str">
        <f t="shared" si="192"/>
        <v/>
      </c>
      <c r="AA686" s="2" t="str">
        <f t="shared" si="193"/>
        <v/>
      </c>
      <c r="AB686" s="2">
        <f t="shared" si="187"/>
        <v>0</v>
      </c>
      <c r="AC686" s="759">
        <v>0</v>
      </c>
      <c r="AD686" s="741">
        <v>0</v>
      </c>
      <c r="AE686" s="741">
        <v>0</v>
      </c>
      <c r="AF686" s="741">
        <v>0</v>
      </c>
      <c r="AG686" s="741">
        <v>0</v>
      </c>
      <c r="AH686" s="741">
        <v>0</v>
      </c>
      <c r="AI686" s="741">
        <v>0</v>
      </c>
      <c r="AJ686" s="741">
        <v>0</v>
      </c>
      <c r="AK686" s="741">
        <v>0</v>
      </c>
      <c r="AL686" s="741">
        <v>0</v>
      </c>
      <c r="AM686" s="741">
        <v>0</v>
      </c>
      <c r="AN686" s="741">
        <v>0</v>
      </c>
      <c r="AO686" s="741">
        <v>0</v>
      </c>
      <c r="AP686" s="41" t="str">
        <f t="shared" si="183"/>
        <v>GLS</v>
      </c>
      <c r="AQ686" s="41" t="str">
        <f t="shared" si="184"/>
        <v>GLSS0</v>
      </c>
      <c r="AR686" s="41" t="str">
        <f t="shared" si="185"/>
        <v>S0</v>
      </c>
    </row>
    <row r="687" spans="1:44" s="41" customFormat="1" ht="12.75" customHeight="1">
      <c r="A687" s="25" t="s">
        <v>17</v>
      </c>
      <c r="B687" s="25" t="str">
        <f t="shared" ref="B687" si="206">CONCATENATE(A687,C687,D687,E687)</f>
        <v>GL254021</v>
      </c>
      <c r="C687" s="638">
        <v>254021</v>
      </c>
      <c r="D687" s="735"/>
      <c r="F687" s="1" t="s">
        <v>4428</v>
      </c>
      <c r="H687" s="736">
        <v>0</v>
      </c>
      <c r="I687" s="25"/>
      <c r="J687" s="25"/>
      <c r="K687" s="442"/>
      <c r="L687" s="736" t="s">
        <v>2464</v>
      </c>
      <c r="M687" s="25" t="str">
        <f t="shared" ref="M687" si="207">LEFT(L687,1)</f>
        <v>S</v>
      </c>
      <c r="N687" s="25" t="str">
        <f>IF(L687&lt;&gt;"",VLOOKUP(L687,Categories!$B$2:$D$41,2,FALSE),IF(F687&lt;&gt;"","No Cat",""))</f>
        <v>A&amp;S Sch</v>
      </c>
      <c r="O687" s="25" t="str">
        <f>IF($L687&lt;&gt;"",VLOOKUP($L687,Categories!$B$2:$D$41,3,FALSE),IF($F687&lt;&gt;"","No Cat",""))</f>
        <v>Reg Asset &amp; Liabilities</v>
      </c>
      <c r="P687" s="736" t="s">
        <v>2468</v>
      </c>
      <c r="Q687" s="25" t="str">
        <f>VLOOKUP($P687,Allocators!$B$7:$F$19,5,FALSE)</f>
        <v>Not in Rate Base</v>
      </c>
      <c r="R687" s="737">
        <f>VLOOKUP($P687,Allocators!$B$7:$F$19,2,FALSE)</f>
        <v>0</v>
      </c>
      <c r="S687" s="737">
        <f>VLOOKUP($P687,Allocators!$B$7:$F$19,3,FALSE)</f>
        <v>0</v>
      </c>
      <c r="T687" s="737">
        <f t="shared" ref="T687" si="208">IF(P687="N",1,"0.0%")</f>
        <v>1</v>
      </c>
      <c r="U687" s="2">
        <f t="shared" si="188"/>
        <v>0</v>
      </c>
      <c r="V687" s="2">
        <f t="shared" si="189"/>
        <v>0</v>
      </c>
      <c r="W687" s="2">
        <f t="shared" si="190"/>
        <v>-5998.4138208333297</v>
      </c>
      <c r="X687" s="2">
        <f t="shared" si="186"/>
        <v>-5998.4138208333297</v>
      </c>
      <c r="Y687" s="2">
        <f t="shared" si="191"/>
        <v>0</v>
      </c>
      <c r="Z687" s="2">
        <f t="shared" si="192"/>
        <v>0</v>
      </c>
      <c r="AA687" s="2">
        <f t="shared" si="193"/>
        <v>-11784.96918</v>
      </c>
      <c r="AB687" s="2">
        <f t="shared" si="187"/>
        <v>-11784.96918</v>
      </c>
      <c r="AC687" s="759"/>
      <c r="AD687" s="741"/>
      <c r="AE687" s="741"/>
      <c r="AF687" s="741"/>
      <c r="AG687" s="741">
        <v>-73.331320000000005</v>
      </c>
      <c r="AH687" s="741">
        <v>-93.648960000000002</v>
      </c>
      <c r="AI687" s="741">
        <v>-10423.62881</v>
      </c>
      <c r="AJ687" s="741">
        <v>-10647.308529999998</v>
      </c>
      <c r="AK687" s="741">
        <v>-10872.274029999999</v>
      </c>
      <c r="AL687" s="741">
        <v>-11097.789919999999</v>
      </c>
      <c r="AM687" s="741">
        <v>-11325.47531</v>
      </c>
      <c r="AN687" s="741">
        <v>-11555.024380000001</v>
      </c>
      <c r="AO687" s="741">
        <v>-11784.96918</v>
      </c>
      <c r="AP687" s="41" t="str">
        <f t="shared" si="183"/>
        <v>GLS</v>
      </c>
      <c r="AQ687" s="41" t="str">
        <f t="shared" si="184"/>
        <v>GLSS0</v>
      </c>
      <c r="AR687" s="41" t="str">
        <f t="shared" si="185"/>
        <v>S0</v>
      </c>
    </row>
    <row r="688" spans="1:44" s="41" customFormat="1" ht="12.75" customHeight="1">
      <c r="A688" s="25" t="s">
        <v>17</v>
      </c>
      <c r="B688" s="25" t="str">
        <f t="shared" ref="B688" si="209">CONCATENATE(A688,C688,D688,E688)</f>
        <v>GL254022</v>
      </c>
      <c r="C688" s="638">
        <v>254022</v>
      </c>
      <c r="D688" s="735"/>
      <c r="F688" s="1" t="s">
        <v>4466</v>
      </c>
      <c r="H688" s="736">
        <v>0</v>
      </c>
      <c r="I688" s="25"/>
      <c r="J688" s="25"/>
      <c r="K688" s="442"/>
      <c r="L688" s="736" t="s">
        <v>2464</v>
      </c>
      <c r="M688" s="25" t="str">
        <f t="shared" ref="M688" si="210">LEFT(L688,1)</f>
        <v>S</v>
      </c>
      <c r="N688" s="25" t="str">
        <f>IF(L688&lt;&gt;"",VLOOKUP(L688,Categories!$B$2:$D$41,2,FALSE),IF(F688&lt;&gt;"","No Cat",""))</f>
        <v>A&amp;S Sch</v>
      </c>
      <c r="O688" s="25" t="str">
        <f>IF($L688&lt;&gt;"",VLOOKUP($L688,Categories!$B$2:$D$41,3,FALSE),IF($F688&lt;&gt;"","No Cat",""))</f>
        <v>Reg Asset &amp; Liabilities</v>
      </c>
      <c r="P688" s="736" t="s">
        <v>2468</v>
      </c>
      <c r="Q688" s="25" t="str">
        <f>VLOOKUP($P688,Allocators!$B$7:$F$19,5,FALSE)</f>
        <v>Not in Rate Base</v>
      </c>
      <c r="R688" s="737">
        <f>VLOOKUP($P688,Allocators!$B$7:$F$19,2,FALSE)</f>
        <v>0</v>
      </c>
      <c r="S688" s="737">
        <f>VLOOKUP($P688,Allocators!$B$7:$F$19,3,FALSE)</f>
        <v>0</v>
      </c>
      <c r="T688" s="737">
        <f t="shared" ref="T688" si="211">IF(P688="N",1,"0.0%")</f>
        <v>1</v>
      </c>
      <c r="U688" s="2">
        <f t="shared" si="188"/>
        <v>0</v>
      </c>
      <c r="V688" s="2">
        <f t="shared" si="189"/>
        <v>0</v>
      </c>
      <c r="W688" s="2">
        <f t="shared" si="190"/>
        <v>-15974.4777008333</v>
      </c>
      <c r="X688" s="2">
        <f t="shared" si="186"/>
        <v>-15974.4777008333</v>
      </c>
      <c r="Y688" s="2">
        <f t="shared" si="191"/>
        <v>0</v>
      </c>
      <c r="Z688" s="2">
        <f t="shared" si="192"/>
        <v>0</v>
      </c>
      <c r="AA688" s="2">
        <f t="shared" si="193"/>
        <v>-37939.430899999999</v>
      </c>
      <c r="AB688" s="2">
        <f t="shared" si="187"/>
        <v>-37939.430899999999</v>
      </c>
      <c r="AC688" s="759"/>
      <c r="AD688" s="741"/>
      <c r="AE688" s="741"/>
      <c r="AF688" s="741"/>
      <c r="AG688" s="741"/>
      <c r="AH688" s="741"/>
      <c r="AI688" s="741"/>
      <c r="AJ688" s="741">
        <v>-32444.98962</v>
      </c>
      <c r="AK688" s="741">
        <v>-33544.759149999998</v>
      </c>
      <c r="AL688" s="741">
        <v>-34490.639670000004</v>
      </c>
      <c r="AM688" s="741">
        <v>-35578.423619999994</v>
      </c>
      <c r="AN688" s="741">
        <v>-36665.204899999997</v>
      </c>
      <c r="AO688" s="741">
        <v>-37939.430899999999</v>
      </c>
      <c r="AP688" s="41" t="str">
        <f t="shared" si="183"/>
        <v>GLS</v>
      </c>
      <c r="AQ688" s="41" t="str">
        <f t="shared" si="184"/>
        <v>GLSS0</v>
      </c>
      <c r="AR688" s="41" t="str">
        <f t="shared" si="185"/>
        <v>S0</v>
      </c>
    </row>
    <row r="689" spans="1:44" s="41" customFormat="1" ht="12.75" customHeight="1">
      <c r="A689" s="25" t="s">
        <v>17</v>
      </c>
      <c r="B689" s="25" t="str">
        <f t="shared" si="199"/>
        <v>GL254025</v>
      </c>
      <c r="C689" s="638">
        <v>254025</v>
      </c>
      <c r="D689" s="735"/>
      <c r="F689" s="1" t="s">
        <v>661</v>
      </c>
      <c r="H689" s="736">
        <v>0</v>
      </c>
      <c r="I689" s="25"/>
      <c r="J689" s="25"/>
      <c r="K689" s="442" t="str">
        <f t="shared" si="198"/>
        <v/>
      </c>
      <c r="L689" s="736" t="s">
        <v>2464</v>
      </c>
      <c r="M689" s="25" t="str">
        <f t="shared" si="200"/>
        <v>S</v>
      </c>
      <c r="N689" s="25" t="str">
        <f>IF(L689&lt;&gt;"",VLOOKUP(L689,Categories!$B$2:$D$41,2,FALSE),IF(F689&lt;&gt;"","No Cat",""))</f>
        <v>A&amp;S Sch</v>
      </c>
      <c r="O689" s="25" t="str">
        <f>IF($L689&lt;&gt;"",VLOOKUP($L689,Categories!$B$2:$D$41,3,FALSE),IF($F689&lt;&gt;"","No Cat",""))</f>
        <v>Reg Asset &amp; Liabilities</v>
      </c>
      <c r="P689" s="736" t="s">
        <v>2468</v>
      </c>
      <c r="Q689" s="25" t="str">
        <f>VLOOKUP($P689,Allocators!$B$7:$F$19,5,FALSE)</f>
        <v>Not in Rate Base</v>
      </c>
      <c r="R689" s="737">
        <f>VLOOKUP($P689,Allocators!$B$7:$F$19,2,FALSE)</f>
        <v>0</v>
      </c>
      <c r="S689" s="737">
        <f>VLOOKUP($P689,Allocators!$B$7:$F$19,3,FALSE)</f>
        <v>0</v>
      </c>
      <c r="T689" s="737">
        <f t="shared" si="204"/>
        <v>1</v>
      </c>
      <c r="U689" s="2">
        <f t="shared" si="188"/>
        <v>0</v>
      </c>
      <c r="V689" s="2">
        <f t="shared" si="189"/>
        <v>0</v>
      </c>
      <c r="W689" s="2">
        <f t="shared" si="190"/>
        <v>-14339.57582</v>
      </c>
      <c r="X689" s="2">
        <f t="shared" si="186"/>
        <v>-14339.57582</v>
      </c>
      <c r="Y689" s="2">
        <f t="shared" si="191"/>
        <v>0</v>
      </c>
      <c r="Z689" s="2">
        <f t="shared" si="192"/>
        <v>0</v>
      </c>
      <c r="AA689" s="2">
        <f t="shared" si="193"/>
        <v>-15644.134470000001</v>
      </c>
      <c r="AB689" s="2">
        <f t="shared" si="187"/>
        <v>-15644.134470000001</v>
      </c>
      <c r="AC689" s="759">
        <v>-12882.92669</v>
      </c>
      <c r="AD689" s="741">
        <v>-13167.982800000002</v>
      </c>
      <c r="AE689" s="741">
        <v>-13356.895930000001</v>
      </c>
      <c r="AF689" s="741">
        <v>-13718.810310000001</v>
      </c>
      <c r="AG689" s="741">
        <v>-13767.923419999999</v>
      </c>
      <c r="AH689" s="741">
        <v>-14189.572970000001</v>
      </c>
      <c r="AI689" s="741">
        <v>-14111.261980000001</v>
      </c>
      <c r="AJ689" s="741">
        <v>-14526.249300000001</v>
      </c>
      <c r="AK689" s="741">
        <v>-14952.23913</v>
      </c>
      <c r="AL689" s="741">
        <v>-15168.485070000001</v>
      </c>
      <c r="AM689" s="741">
        <v>-15587.011550000001</v>
      </c>
      <c r="AN689" s="741">
        <v>-15264.946800000002</v>
      </c>
      <c r="AO689" s="741">
        <v>-15644.134470000001</v>
      </c>
      <c r="AP689" s="41" t="str">
        <f t="shared" si="183"/>
        <v>GLS</v>
      </c>
      <c r="AQ689" s="41" t="str">
        <f t="shared" si="184"/>
        <v>GLSS0</v>
      </c>
      <c r="AR689" s="41" t="str">
        <f t="shared" si="185"/>
        <v>S0</v>
      </c>
    </row>
    <row r="690" spans="1:44" s="41" customFormat="1" ht="12.75" customHeight="1">
      <c r="A690" s="25" t="s">
        <v>17</v>
      </c>
      <c r="B690" s="25" t="str">
        <f t="shared" si="199"/>
        <v>GL254026</v>
      </c>
      <c r="C690" s="638">
        <v>254026</v>
      </c>
      <c r="D690" s="735"/>
      <c r="F690" s="1" t="s">
        <v>662</v>
      </c>
      <c r="H690" s="736">
        <v>0</v>
      </c>
      <c r="I690" s="25"/>
      <c r="J690" s="25"/>
      <c r="K690" s="442" t="str">
        <f t="shared" si="198"/>
        <v/>
      </c>
      <c r="L690" s="736" t="s">
        <v>2464</v>
      </c>
      <c r="M690" s="25" t="str">
        <f t="shared" si="200"/>
        <v>S</v>
      </c>
      <c r="N690" s="25" t="str">
        <f>IF(L690&lt;&gt;"",VLOOKUP(L690,Categories!$B$2:$D$41,2,FALSE),IF(F690&lt;&gt;"","No Cat",""))</f>
        <v>A&amp;S Sch</v>
      </c>
      <c r="O690" s="25" t="str">
        <f>IF($L690&lt;&gt;"",VLOOKUP($L690,Categories!$B$2:$D$41,3,FALSE),IF($F690&lt;&gt;"","No Cat",""))</f>
        <v>Reg Asset &amp; Liabilities</v>
      </c>
      <c r="P690" s="736" t="s">
        <v>2468</v>
      </c>
      <c r="Q690" s="25" t="str">
        <f>VLOOKUP($P690,Allocators!$B$7:$F$19,5,FALSE)</f>
        <v>Not in Rate Base</v>
      </c>
      <c r="R690" s="737">
        <f>VLOOKUP($P690,Allocators!$B$7:$F$19,2,FALSE)</f>
        <v>0</v>
      </c>
      <c r="S690" s="737">
        <f>VLOOKUP($P690,Allocators!$B$7:$F$19,3,FALSE)</f>
        <v>0</v>
      </c>
      <c r="T690" s="737">
        <f t="shared" si="204"/>
        <v>1</v>
      </c>
      <c r="U690" s="2">
        <f t="shared" si="188"/>
        <v>0</v>
      </c>
      <c r="V690" s="2">
        <f t="shared" si="189"/>
        <v>0</v>
      </c>
      <c r="W690" s="2">
        <f t="shared" si="190"/>
        <v>-796.33164333333298</v>
      </c>
      <c r="X690" s="2">
        <f t="shared" si="186"/>
        <v>-796.33164333333298</v>
      </c>
      <c r="Y690" s="2">
        <f t="shared" si="191"/>
        <v>0</v>
      </c>
      <c r="Z690" s="2">
        <f t="shared" si="192"/>
        <v>0</v>
      </c>
      <c r="AA690" s="2">
        <f t="shared" si="193"/>
        <v>-919.15446999999995</v>
      </c>
      <c r="AB690" s="2">
        <f t="shared" si="187"/>
        <v>-919.15446999999995</v>
      </c>
      <c r="AC690" s="759">
        <v>-680.80881000000011</v>
      </c>
      <c r="AD690" s="741">
        <v>-698.36343000000011</v>
      </c>
      <c r="AE690" s="741">
        <v>-715.80693999999994</v>
      </c>
      <c r="AF690" s="741">
        <v>-733.29511000000002</v>
      </c>
      <c r="AG690" s="741">
        <v>-751.88729000000001</v>
      </c>
      <c r="AH690" s="741">
        <v>-772.26893000000007</v>
      </c>
      <c r="AI690" s="741">
        <v>-793.46758999999997</v>
      </c>
      <c r="AJ690" s="741">
        <v>-815.08090000000004</v>
      </c>
      <c r="AK690" s="741">
        <v>-836.70769999999993</v>
      </c>
      <c r="AL690" s="741">
        <v>-858.42737999999997</v>
      </c>
      <c r="AM690" s="741">
        <v>-880.17001000000005</v>
      </c>
      <c r="AN690" s="741">
        <v>-900.52280000000007</v>
      </c>
      <c r="AO690" s="741">
        <v>-919.15446999999995</v>
      </c>
      <c r="AP690" s="41" t="str">
        <f t="shared" si="183"/>
        <v>GLS</v>
      </c>
      <c r="AQ690" s="41" t="str">
        <f t="shared" si="184"/>
        <v>GLSS0</v>
      </c>
      <c r="AR690" s="41" t="str">
        <f t="shared" si="185"/>
        <v>S0</v>
      </c>
    </row>
    <row r="691" spans="1:44" s="41" customFormat="1" ht="12.75" customHeight="1">
      <c r="A691" s="25" t="s">
        <v>17</v>
      </c>
      <c r="B691" s="25" t="str">
        <f t="shared" si="199"/>
        <v>GL254030</v>
      </c>
      <c r="C691" s="638">
        <v>254030</v>
      </c>
      <c r="D691" s="735"/>
      <c r="F691" s="1" t="s">
        <v>663</v>
      </c>
      <c r="H691" s="736">
        <v>0</v>
      </c>
      <c r="I691" s="25"/>
      <c r="J691" s="25"/>
      <c r="K691" s="442" t="str">
        <f t="shared" si="198"/>
        <v/>
      </c>
      <c r="L691" s="736" t="s">
        <v>2464</v>
      </c>
      <c r="M691" s="25" t="str">
        <f t="shared" si="200"/>
        <v>S</v>
      </c>
      <c r="N691" s="25" t="str">
        <f>IF(L691&lt;&gt;"",VLOOKUP(L691,Categories!$B$2:$D$41,2,FALSE),IF(F691&lt;&gt;"","No Cat",""))</f>
        <v>A&amp;S Sch</v>
      </c>
      <c r="O691" s="25" t="str">
        <f>IF($L691&lt;&gt;"",VLOOKUP($L691,Categories!$B$2:$D$41,3,FALSE),IF($F691&lt;&gt;"","No Cat",""))</f>
        <v>Reg Asset &amp; Liabilities</v>
      </c>
      <c r="P691" s="736" t="s">
        <v>2468</v>
      </c>
      <c r="Q691" s="25" t="str">
        <f>VLOOKUP($P691,Allocators!$B$7:$F$19,5,FALSE)</f>
        <v>Not in Rate Base</v>
      </c>
      <c r="R691" s="737">
        <f>VLOOKUP($P691,Allocators!$B$7:$F$19,2,FALSE)</f>
        <v>0</v>
      </c>
      <c r="S691" s="737">
        <f>VLOOKUP($P691,Allocators!$B$7:$F$19,3,FALSE)</f>
        <v>0</v>
      </c>
      <c r="T691" s="737">
        <f t="shared" si="204"/>
        <v>1</v>
      </c>
      <c r="U691" s="2" t="str">
        <f t="shared" si="188"/>
        <v/>
      </c>
      <c r="V691" s="2" t="str">
        <f t="shared" si="189"/>
        <v/>
      </c>
      <c r="W691" s="2" t="str">
        <f t="shared" si="190"/>
        <v/>
      </c>
      <c r="X691" s="2">
        <f t="shared" si="186"/>
        <v>0</v>
      </c>
      <c r="Y691" s="2" t="str">
        <f t="shared" si="191"/>
        <v/>
      </c>
      <c r="Z691" s="2" t="str">
        <f t="shared" si="192"/>
        <v/>
      </c>
      <c r="AA691" s="2" t="str">
        <f t="shared" si="193"/>
        <v/>
      </c>
      <c r="AB691" s="2">
        <f t="shared" si="187"/>
        <v>0</v>
      </c>
      <c r="AC691" s="759">
        <v>0</v>
      </c>
      <c r="AD691" s="741">
        <v>0</v>
      </c>
      <c r="AE691" s="741">
        <v>0</v>
      </c>
      <c r="AF691" s="741">
        <v>0</v>
      </c>
      <c r="AG691" s="741">
        <v>0</v>
      </c>
      <c r="AH691" s="741">
        <v>0</v>
      </c>
      <c r="AI691" s="741">
        <v>0</v>
      </c>
      <c r="AJ691" s="741">
        <v>0</v>
      </c>
      <c r="AK691" s="741">
        <v>0</v>
      </c>
      <c r="AL691" s="741">
        <v>0</v>
      </c>
      <c r="AM691" s="741">
        <v>0</v>
      </c>
      <c r="AN691" s="741">
        <v>0</v>
      </c>
      <c r="AO691" s="741">
        <v>0</v>
      </c>
      <c r="AP691" s="41" t="str">
        <f t="shared" si="183"/>
        <v>GLS</v>
      </c>
      <c r="AQ691" s="41" t="str">
        <f t="shared" si="184"/>
        <v>GLSS0</v>
      </c>
      <c r="AR691" s="41" t="str">
        <f t="shared" si="185"/>
        <v>S0</v>
      </c>
    </row>
    <row r="692" spans="1:44" s="41" customFormat="1" ht="12.75" customHeight="1">
      <c r="A692" s="25" t="s">
        <v>17</v>
      </c>
      <c r="B692" s="25" t="str">
        <f t="shared" si="199"/>
        <v>GL254040</v>
      </c>
      <c r="C692" s="638">
        <v>254040</v>
      </c>
      <c r="D692" s="735"/>
      <c r="F692" s="1" t="s">
        <v>664</v>
      </c>
      <c r="H692" s="736">
        <v>0</v>
      </c>
      <c r="I692" s="25"/>
      <c r="J692" s="25"/>
      <c r="K692" s="442" t="str">
        <f t="shared" si="198"/>
        <v/>
      </c>
      <c r="L692" s="736" t="s">
        <v>2464</v>
      </c>
      <c r="M692" s="25" t="str">
        <f t="shared" si="200"/>
        <v>S</v>
      </c>
      <c r="N692" s="25" t="str">
        <f>IF(L692&lt;&gt;"",VLOOKUP(L692,Categories!$B$2:$D$41,2,FALSE),IF(F692&lt;&gt;"","No Cat",""))</f>
        <v>A&amp;S Sch</v>
      </c>
      <c r="O692" s="25" t="str">
        <f>IF($L692&lt;&gt;"",VLOOKUP($L692,Categories!$B$2:$D$41,3,FALSE),IF($F692&lt;&gt;"","No Cat",""))</f>
        <v>Reg Asset &amp; Liabilities</v>
      </c>
      <c r="P692" s="736" t="s">
        <v>2468</v>
      </c>
      <c r="Q692" s="25" t="str">
        <f>VLOOKUP($P692,Allocators!$B$7:$F$19,5,FALSE)</f>
        <v>Not in Rate Base</v>
      </c>
      <c r="R692" s="737">
        <f>VLOOKUP($P692,Allocators!$B$7:$F$19,2,FALSE)</f>
        <v>0</v>
      </c>
      <c r="S692" s="737">
        <f>VLOOKUP($P692,Allocators!$B$7:$F$19,3,FALSE)</f>
        <v>0</v>
      </c>
      <c r="T692" s="737">
        <f t="shared" si="204"/>
        <v>1</v>
      </c>
      <c r="U692" s="2" t="str">
        <f t="shared" si="188"/>
        <v/>
      </c>
      <c r="V692" s="2" t="str">
        <f t="shared" si="189"/>
        <v/>
      </c>
      <c r="W692" s="2" t="str">
        <f t="shared" si="190"/>
        <v/>
      </c>
      <c r="X692" s="2">
        <f t="shared" si="186"/>
        <v>0</v>
      </c>
      <c r="Y692" s="2" t="str">
        <f t="shared" si="191"/>
        <v/>
      </c>
      <c r="Z692" s="2" t="str">
        <f t="shared" si="192"/>
        <v/>
      </c>
      <c r="AA692" s="2" t="str">
        <f t="shared" si="193"/>
        <v/>
      </c>
      <c r="AB692" s="2">
        <f t="shared" si="187"/>
        <v>0</v>
      </c>
      <c r="AC692" s="759">
        <v>0</v>
      </c>
      <c r="AD692" s="741">
        <v>0</v>
      </c>
      <c r="AE692" s="741">
        <v>0</v>
      </c>
      <c r="AF692" s="741">
        <v>0</v>
      </c>
      <c r="AG692" s="741">
        <v>0</v>
      </c>
      <c r="AH692" s="741">
        <v>0</v>
      </c>
      <c r="AI692" s="741">
        <v>0</v>
      </c>
      <c r="AJ692" s="741">
        <v>0</v>
      </c>
      <c r="AK692" s="741">
        <v>0</v>
      </c>
      <c r="AL692" s="741">
        <v>0</v>
      </c>
      <c r="AM692" s="741">
        <v>0</v>
      </c>
      <c r="AN692" s="741">
        <v>0</v>
      </c>
      <c r="AO692" s="741">
        <v>0</v>
      </c>
      <c r="AP692" s="41" t="str">
        <f t="shared" si="183"/>
        <v>GLS</v>
      </c>
      <c r="AQ692" s="41" t="str">
        <f t="shared" si="184"/>
        <v>GLSS0</v>
      </c>
      <c r="AR692" s="41" t="str">
        <f t="shared" si="185"/>
        <v>S0</v>
      </c>
    </row>
    <row r="693" spans="1:44" s="41" customFormat="1" ht="12.75" customHeight="1">
      <c r="A693" s="25" t="s">
        <v>17</v>
      </c>
      <c r="B693" s="25" t="str">
        <f t="shared" si="199"/>
        <v>GL254050</v>
      </c>
      <c r="C693" s="638">
        <v>254050</v>
      </c>
      <c r="D693" s="735"/>
      <c r="F693" s="1" t="s">
        <v>665</v>
      </c>
      <c r="H693" s="736">
        <v>0</v>
      </c>
      <c r="I693" s="25"/>
      <c r="J693" s="25"/>
      <c r="K693" s="442" t="str">
        <f t="shared" si="198"/>
        <v/>
      </c>
      <c r="L693" s="736" t="s">
        <v>2464</v>
      </c>
      <c r="M693" s="25" t="str">
        <f t="shared" si="200"/>
        <v>S</v>
      </c>
      <c r="N693" s="25" t="str">
        <f>IF(L693&lt;&gt;"",VLOOKUP(L693,Categories!$B$2:$D$41,2,FALSE),IF(F693&lt;&gt;"","No Cat",""))</f>
        <v>A&amp;S Sch</v>
      </c>
      <c r="O693" s="25" t="str">
        <f>IF($L693&lt;&gt;"",VLOOKUP($L693,Categories!$B$2:$D$41,3,FALSE),IF($F693&lt;&gt;"","No Cat",""))</f>
        <v>Reg Asset &amp; Liabilities</v>
      </c>
      <c r="P693" s="736" t="s">
        <v>2468</v>
      </c>
      <c r="Q693" s="25" t="str">
        <f>VLOOKUP($P693,Allocators!$B$7:$F$19,5,FALSE)</f>
        <v>Not in Rate Base</v>
      </c>
      <c r="R693" s="737">
        <f>VLOOKUP($P693,Allocators!$B$7:$F$19,2,FALSE)</f>
        <v>0</v>
      </c>
      <c r="S693" s="737">
        <f>VLOOKUP($P693,Allocators!$B$7:$F$19,3,FALSE)</f>
        <v>0</v>
      </c>
      <c r="T693" s="737">
        <f t="shared" si="204"/>
        <v>1</v>
      </c>
      <c r="U693" s="2" t="str">
        <f t="shared" si="188"/>
        <v/>
      </c>
      <c r="V693" s="2" t="str">
        <f t="shared" si="189"/>
        <v/>
      </c>
      <c r="W693" s="2" t="str">
        <f t="shared" si="190"/>
        <v/>
      </c>
      <c r="X693" s="2">
        <f t="shared" si="186"/>
        <v>0</v>
      </c>
      <c r="Y693" s="2" t="str">
        <f t="shared" si="191"/>
        <v/>
      </c>
      <c r="Z693" s="2" t="str">
        <f t="shared" si="192"/>
        <v/>
      </c>
      <c r="AA693" s="2" t="str">
        <f t="shared" si="193"/>
        <v/>
      </c>
      <c r="AB693" s="2">
        <f t="shared" si="187"/>
        <v>0</v>
      </c>
      <c r="AC693" s="759">
        <v>0</v>
      </c>
      <c r="AD693" s="741">
        <v>0</v>
      </c>
      <c r="AE693" s="741">
        <v>0</v>
      </c>
      <c r="AF693" s="741">
        <v>0</v>
      </c>
      <c r="AG693" s="741">
        <v>0</v>
      </c>
      <c r="AH693" s="741">
        <v>0</v>
      </c>
      <c r="AI693" s="741">
        <v>0</v>
      </c>
      <c r="AJ693" s="741">
        <v>0</v>
      </c>
      <c r="AK693" s="741">
        <v>0</v>
      </c>
      <c r="AL693" s="741">
        <v>0</v>
      </c>
      <c r="AM693" s="741">
        <v>0</v>
      </c>
      <c r="AN693" s="741">
        <v>0</v>
      </c>
      <c r="AO693" s="741">
        <v>0</v>
      </c>
      <c r="AP693" s="41" t="str">
        <f t="shared" si="183"/>
        <v>GLS</v>
      </c>
      <c r="AQ693" s="41" t="str">
        <f t="shared" si="184"/>
        <v>GLSS0</v>
      </c>
      <c r="AR693" s="41" t="str">
        <f t="shared" si="185"/>
        <v>S0</v>
      </c>
    </row>
    <row r="694" spans="1:44" s="41" customFormat="1" ht="12.75" customHeight="1">
      <c r="A694" s="25" t="s">
        <v>17</v>
      </c>
      <c r="B694" s="25" t="str">
        <f t="shared" si="199"/>
        <v>GL254070</v>
      </c>
      <c r="C694" s="638">
        <v>254070</v>
      </c>
      <c r="D694" s="735"/>
      <c r="F694" s="1" t="s">
        <v>666</v>
      </c>
      <c r="H694" s="736">
        <v>0</v>
      </c>
      <c r="I694" s="25"/>
      <c r="J694" s="25"/>
      <c r="K694" s="442" t="str">
        <f t="shared" si="198"/>
        <v/>
      </c>
      <c r="L694" s="736" t="s">
        <v>2464</v>
      </c>
      <c r="M694" s="25" t="str">
        <f t="shared" si="200"/>
        <v>S</v>
      </c>
      <c r="N694" s="25" t="str">
        <f>IF(L694&lt;&gt;"",VLOOKUP(L694,Categories!$B$2:$D$41,2,FALSE),IF(F694&lt;&gt;"","No Cat",""))</f>
        <v>A&amp;S Sch</v>
      </c>
      <c r="O694" s="25" t="str">
        <f>IF($L694&lt;&gt;"",VLOOKUP($L694,Categories!$B$2:$D$41,3,FALSE),IF($F694&lt;&gt;"","No Cat",""))</f>
        <v>Reg Asset &amp; Liabilities</v>
      </c>
      <c r="P694" s="736" t="s">
        <v>2468</v>
      </c>
      <c r="Q694" s="25" t="str">
        <f>VLOOKUP($P694,Allocators!$B$7:$F$19,5,FALSE)</f>
        <v>Not in Rate Base</v>
      </c>
      <c r="R694" s="737">
        <f>VLOOKUP($P694,Allocators!$B$7:$F$19,2,FALSE)</f>
        <v>0</v>
      </c>
      <c r="S694" s="737">
        <f>VLOOKUP($P694,Allocators!$B$7:$F$19,3,FALSE)</f>
        <v>0</v>
      </c>
      <c r="T694" s="737">
        <f t="shared" si="204"/>
        <v>1</v>
      </c>
      <c r="U694" s="2" t="str">
        <f t="shared" si="188"/>
        <v/>
      </c>
      <c r="V694" s="2" t="str">
        <f t="shared" si="189"/>
        <v/>
      </c>
      <c r="W694" s="2" t="str">
        <f t="shared" si="190"/>
        <v/>
      </c>
      <c r="X694" s="2">
        <f t="shared" si="186"/>
        <v>0</v>
      </c>
      <c r="Y694" s="2" t="str">
        <f t="shared" si="191"/>
        <v/>
      </c>
      <c r="Z694" s="2" t="str">
        <f t="shared" si="192"/>
        <v/>
      </c>
      <c r="AA694" s="2" t="str">
        <f t="shared" si="193"/>
        <v/>
      </c>
      <c r="AB694" s="2">
        <f t="shared" si="187"/>
        <v>0</v>
      </c>
      <c r="AC694" s="759">
        <v>0</v>
      </c>
      <c r="AD694" s="741">
        <v>0</v>
      </c>
      <c r="AE694" s="741">
        <v>0</v>
      </c>
      <c r="AF694" s="741">
        <v>0</v>
      </c>
      <c r="AG694" s="741">
        <v>0</v>
      </c>
      <c r="AH694" s="741">
        <v>0</v>
      </c>
      <c r="AI694" s="741">
        <v>0</v>
      </c>
      <c r="AJ694" s="741">
        <v>0</v>
      </c>
      <c r="AK694" s="741">
        <v>0</v>
      </c>
      <c r="AL694" s="741">
        <v>0</v>
      </c>
      <c r="AM694" s="741">
        <v>0</v>
      </c>
      <c r="AN694" s="741">
        <v>0</v>
      </c>
      <c r="AO694" s="741">
        <v>0</v>
      </c>
      <c r="AP694" s="41" t="str">
        <f t="shared" si="183"/>
        <v>GLS</v>
      </c>
      <c r="AQ694" s="41" t="str">
        <f t="shared" si="184"/>
        <v>GLSS0</v>
      </c>
      <c r="AR694" s="41" t="str">
        <f t="shared" si="185"/>
        <v>S0</v>
      </c>
    </row>
    <row r="695" spans="1:44" s="41" customFormat="1" ht="12.75" customHeight="1">
      <c r="A695" s="25" t="s">
        <v>17</v>
      </c>
      <c r="B695" s="25" t="str">
        <f t="shared" si="199"/>
        <v>GL254080</v>
      </c>
      <c r="C695" s="638">
        <v>254080</v>
      </c>
      <c r="D695" s="735"/>
      <c r="F695" s="1" t="s">
        <v>667</v>
      </c>
      <c r="H695" s="736">
        <v>0</v>
      </c>
      <c r="I695" s="25"/>
      <c r="J695" s="25"/>
      <c r="K695" s="442" t="str">
        <f t="shared" si="198"/>
        <v/>
      </c>
      <c r="L695" s="736" t="s">
        <v>2464</v>
      </c>
      <c r="M695" s="25" t="str">
        <f t="shared" si="200"/>
        <v>S</v>
      </c>
      <c r="N695" s="25" t="str">
        <f>IF(L695&lt;&gt;"",VLOOKUP(L695,Categories!$B$2:$D$41,2,FALSE),IF(F695&lt;&gt;"","No Cat",""))</f>
        <v>A&amp;S Sch</v>
      </c>
      <c r="O695" s="25" t="str">
        <f>IF($L695&lt;&gt;"",VLOOKUP($L695,Categories!$B$2:$D$41,3,FALSE),IF($F695&lt;&gt;"","No Cat",""))</f>
        <v>Reg Asset &amp; Liabilities</v>
      </c>
      <c r="P695" s="736" t="s">
        <v>2468</v>
      </c>
      <c r="Q695" s="25" t="str">
        <f>VLOOKUP($P695,Allocators!$B$7:$F$19,5,FALSE)</f>
        <v>Not in Rate Base</v>
      </c>
      <c r="R695" s="737">
        <f>VLOOKUP($P695,Allocators!$B$7:$F$19,2,FALSE)</f>
        <v>0</v>
      </c>
      <c r="S695" s="737">
        <f>VLOOKUP($P695,Allocators!$B$7:$F$19,3,FALSE)</f>
        <v>0</v>
      </c>
      <c r="T695" s="737">
        <f t="shared" si="204"/>
        <v>1</v>
      </c>
      <c r="U695" s="2" t="str">
        <f t="shared" si="188"/>
        <v/>
      </c>
      <c r="V695" s="2" t="str">
        <f t="shared" si="189"/>
        <v/>
      </c>
      <c r="W695" s="2" t="str">
        <f t="shared" si="190"/>
        <v/>
      </c>
      <c r="X695" s="2">
        <f t="shared" si="186"/>
        <v>0</v>
      </c>
      <c r="Y695" s="2" t="str">
        <f t="shared" si="191"/>
        <v/>
      </c>
      <c r="Z695" s="2" t="str">
        <f t="shared" si="192"/>
        <v/>
      </c>
      <c r="AA695" s="2" t="str">
        <f t="shared" si="193"/>
        <v/>
      </c>
      <c r="AB695" s="2">
        <f t="shared" si="187"/>
        <v>0</v>
      </c>
      <c r="AC695" s="759">
        <v>0</v>
      </c>
      <c r="AD695" s="741">
        <v>0</v>
      </c>
      <c r="AE695" s="741">
        <v>0</v>
      </c>
      <c r="AF695" s="741">
        <v>0</v>
      </c>
      <c r="AG695" s="741">
        <v>0</v>
      </c>
      <c r="AH695" s="741">
        <v>0</v>
      </c>
      <c r="AI695" s="741">
        <v>0</v>
      </c>
      <c r="AJ695" s="741">
        <v>0</v>
      </c>
      <c r="AK695" s="741">
        <v>0</v>
      </c>
      <c r="AL695" s="741">
        <v>0</v>
      </c>
      <c r="AM695" s="741">
        <v>0</v>
      </c>
      <c r="AN695" s="741">
        <v>0</v>
      </c>
      <c r="AO695" s="741">
        <v>0</v>
      </c>
      <c r="AP695" s="41" t="str">
        <f t="shared" si="183"/>
        <v>GLS</v>
      </c>
      <c r="AQ695" s="41" t="str">
        <f t="shared" si="184"/>
        <v>GLSS0</v>
      </c>
      <c r="AR695" s="41" t="str">
        <f t="shared" si="185"/>
        <v>S0</v>
      </c>
    </row>
    <row r="696" spans="1:44" s="41" customFormat="1" ht="12.75" customHeight="1">
      <c r="A696" s="25" t="s">
        <v>17</v>
      </c>
      <c r="B696" s="25" t="str">
        <f t="shared" si="199"/>
        <v>GL254085</v>
      </c>
      <c r="C696" s="638">
        <v>254085</v>
      </c>
      <c r="D696" s="735"/>
      <c r="F696" s="1" t="s">
        <v>668</v>
      </c>
      <c r="H696" s="736">
        <v>0</v>
      </c>
      <c r="I696" s="25"/>
      <c r="J696" s="25"/>
      <c r="K696" s="442" t="str">
        <f t="shared" si="198"/>
        <v/>
      </c>
      <c r="L696" s="736" t="s">
        <v>2464</v>
      </c>
      <c r="M696" s="25" t="str">
        <f t="shared" si="200"/>
        <v>S</v>
      </c>
      <c r="N696" s="25" t="str">
        <f>IF(L696&lt;&gt;"",VLOOKUP(L696,Categories!$B$2:$D$41,2,FALSE),IF(F696&lt;&gt;"","No Cat",""))</f>
        <v>A&amp;S Sch</v>
      </c>
      <c r="O696" s="25" t="str">
        <f>IF($L696&lt;&gt;"",VLOOKUP($L696,Categories!$B$2:$D$41,3,FALSE),IF($F696&lt;&gt;"","No Cat",""))</f>
        <v>Reg Asset &amp; Liabilities</v>
      </c>
      <c r="P696" s="736" t="s">
        <v>2468</v>
      </c>
      <c r="Q696" s="25" t="str">
        <f>VLOOKUP($P696,Allocators!$B$7:$F$19,5,FALSE)</f>
        <v>Not in Rate Base</v>
      </c>
      <c r="R696" s="737">
        <f>VLOOKUP($P696,Allocators!$B$7:$F$19,2,FALSE)</f>
        <v>0</v>
      </c>
      <c r="S696" s="737">
        <f>VLOOKUP($P696,Allocators!$B$7:$F$19,3,FALSE)</f>
        <v>0</v>
      </c>
      <c r="T696" s="737">
        <f t="shared" si="204"/>
        <v>1</v>
      </c>
      <c r="U696" s="2">
        <f t="shared" si="188"/>
        <v>0</v>
      </c>
      <c r="V696" s="2">
        <f t="shared" si="189"/>
        <v>0</v>
      </c>
      <c r="W696" s="2">
        <f t="shared" si="190"/>
        <v>-617.84416666666698</v>
      </c>
      <c r="X696" s="2">
        <f t="shared" si="186"/>
        <v>-617.84416666666698</v>
      </c>
      <c r="Y696" s="2" t="str">
        <f t="shared" si="191"/>
        <v/>
      </c>
      <c r="Z696" s="2" t="str">
        <f t="shared" si="192"/>
        <v/>
      </c>
      <c r="AA696" s="2" t="str">
        <f t="shared" si="193"/>
        <v/>
      </c>
      <c r="AB696" s="2">
        <f t="shared" si="187"/>
        <v>0</v>
      </c>
      <c r="AC696" s="759">
        <v>-543.96</v>
      </c>
      <c r="AD696" s="741">
        <v>-2206.88</v>
      </c>
      <c r="AE696" s="741">
        <v>-1390.57</v>
      </c>
      <c r="AF696" s="741">
        <v>-713.89</v>
      </c>
      <c r="AG696" s="741">
        <v>-1509.1</v>
      </c>
      <c r="AH696" s="741">
        <v>-737.69</v>
      </c>
      <c r="AI696" s="741">
        <v>-574.01</v>
      </c>
      <c r="AJ696" s="741">
        <v>0</v>
      </c>
      <c r="AK696" s="741">
        <v>0</v>
      </c>
      <c r="AL696" s="741">
        <v>-10.01</v>
      </c>
      <c r="AM696" s="741">
        <v>0</v>
      </c>
      <c r="AN696" s="741">
        <v>0</v>
      </c>
      <c r="AO696" s="741">
        <v>0</v>
      </c>
      <c r="AP696" s="41" t="str">
        <f t="shared" si="183"/>
        <v>GLS</v>
      </c>
      <c r="AQ696" s="41" t="str">
        <f t="shared" si="184"/>
        <v>GLSS0</v>
      </c>
      <c r="AR696" s="41" t="str">
        <f t="shared" si="185"/>
        <v>S0</v>
      </c>
    </row>
    <row r="697" spans="1:44" s="41" customFormat="1" ht="12.75" customHeight="1">
      <c r="A697" s="25" t="s">
        <v>17</v>
      </c>
      <c r="B697" s="25" t="str">
        <f t="shared" si="199"/>
        <v>GL254090</v>
      </c>
      <c r="C697" s="638">
        <v>254090</v>
      </c>
      <c r="D697" s="735"/>
      <c r="F697" s="1" t="s">
        <v>669</v>
      </c>
      <c r="H697" s="736">
        <v>0</v>
      </c>
      <c r="I697" s="25"/>
      <c r="J697" s="25"/>
      <c r="K697" s="442" t="str">
        <f t="shared" si="198"/>
        <v/>
      </c>
      <c r="L697" s="736" t="s">
        <v>2464</v>
      </c>
      <c r="M697" s="25" t="str">
        <f t="shared" si="200"/>
        <v>S</v>
      </c>
      <c r="N697" s="25" t="str">
        <f>IF(L697&lt;&gt;"",VLOOKUP(L697,Categories!$B$2:$D$41,2,FALSE),IF(F697&lt;&gt;"","No Cat",""))</f>
        <v>A&amp;S Sch</v>
      </c>
      <c r="O697" s="25" t="str">
        <f>IF($L697&lt;&gt;"",VLOOKUP($L697,Categories!$B$2:$D$41,3,FALSE),IF($F697&lt;&gt;"","No Cat",""))</f>
        <v>Reg Asset &amp; Liabilities</v>
      </c>
      <c r="P697" s="736" t="s">
        <v>2468</v>
      </c>
      <c r="Q697" s="25" t="str">
        <f>VLOOKUP($P697,Allocators!$B$7:$F$19,5,FALSE)</f>
        <v>Not in Rate Base</v>
      </c>
      <c r="R697" s="737">
        <f>VLOOKUP($P697,Allocators!$B$7:$F$19,2,FALSE)</f>
        <v>0</v>
      </c>
      <c r="S697" s="737">
        <f>VLOOKUP($P697,Allocators!$B$7:$F$19,3,FALSE)</f>
        <v>0</v>
      </c>
      <c r="T697" s="737">
        <f t="shared" si="204"/>
        <v>1</v>
      </c>
      <c r="U697" s="2" t="str">
        <f t="shared" si="188"/>
        <v/>
      </c>
      <c r="V697" s="2" t="str">
        <f t="shared" si="189"/>
        <v/>
      </c>
      <c r="W697" s="2" t="str">
        <f t="shared" si="190"/>
        <v/>
      </c>
      <c r="X697" s="2">
        <f t="shared" si="186"/>
        <v>0</v>
      </c>
      <c r="Y697" s="2" t="str">
        <f t="shared" si="191"/>
        <v/>
      </c>
      <c r="Z697" s="2" t="str">
        <f t="shared" si="192"/>
        <v/>
      </c>
      <c r="AA697" s="2" t="str">
        <f t="shared" si="193"/>
        <v/>
      </c>
      <c r="AB697" s="2">
        <f t="shared" si="187"/>
        <v>0</v>
      </c>
      <c r="AC697" s="759">
        <v>0</v>
      </c>
      <c r="AD697" s="741">
        <v>0</v>
      </c>
      <c r="AE697" s="741">
        <v>0</v>
      </c>
      <c r="AF697" s="741">
        <v>0</v>
      </c>
      <c r="AG697" s="741">
        <v>0</v>
      </c>
      <c r="AH697" s="741">
        <v>0</v>
      </c>
      <c r="AI697" s="741">
        <v>0</v>
      </c>
      <c r="AJ697" s="741">
        <v>0</v>
      </c>
      <c r="AK697" s="741">
        <v>0</v>
      </c>
      <c r="AL697" s="741">
        <v>0</v>
      </c>
      <c r="AM697" s="741">
        <v>0</v>
      </c>
      <c r="AN697" s="741">
        <v>0</v>
      </c>
      <c r="AO697" s="741">
        <v>0</v>
      </c>
      <c r="AP697" s="41" t="str">
        <f t="shared" si="183"/>
        <v>GLS</v>
      </c>
      <c r="AQ697" s="41" t="str">
        <f t="shared" si="184"/>
        <v>GLSS0</v>
      </c>
      <c r="AR697" s="41" t="str">
        <f t="shared" si="185"/>
        <v>S0</v>
      </c>
    </row>
    <row r="698" spans="1:44" s="41" customFormat="1" ht="12.75" customHeight="1">
      <c r="A698" s="25" t="s">
        <v>17</v>
      </c>
      <c r="B698" s="25" t="str">
        <f t="shared" si="199"/>
        <v>GL254110</v>
      </c>
      <c r="C698" s="638">
        <v>254110</v>
      </c>
      <c r="D698" s="735"/>
      <c r="F698" s="1" t="s">
        <v>670</v>
      </c>
      <c r="H698" s="736">
        <v>0</v>
      </c>
      <c r="I698" s="25"/>
      <c r="J698" s="25"/>
      <c r="K698" s="442" t="str">
        <f t="shared" si="198"/>
        <v/>
      </c>
      <c r="L698" s="736" t="s">
        <v>2464</v>
      </c>
      <c r="M698" s="25" t="str">
        <f t="shared" si="200"/>
        <v>S</v>
      </c>
      <c r="N698" s="25" t="str">
        <f>IF(L698&lt;&gt;"",VLOOKUP(L698,Categories!$B$2:$D$41,2,FALSE),IF(F698&lt;&gt;"","No Cat",""))</f>
        <v>A&amp;S Sch</v>
      </c>
      <c r="O698" s="25" t="str">
        <f>IF($L698&lt;&gt;"",VLOOKUP($L698,Categories!$B$2:$D$41,3,FALSE),IF($F698&lt;&gt;"","No Cat",""))</f>
        <v>Reg Asset &amp; Liabilities</v>
      </c>
      <c r="P698" s="736" t="s">
        <v>2468</v>
      </c>
      <c r="Q698" s="25" t="str">
        <f>VLOOKUP($P698,Allocators!$B$7:$F$19,5,FALSE)</f>
        <v>Not in Rate Base</v>
      </c>
      <c r="R698" s="737">
        <f>VLOOKUP($P698,Allocators!$B$7:$F$19,2,FALSE)</f>
        <v>0</v>
      </c>
      <c r="S698" s="737">
        <f>VLOOKUP($P698,Allocators!$B$7:$F$19,3,FALSE)</f>
        <v>0</v>
      </c>
      <c r="T698" s="737">
        <f t="shared" si="204"/>
        <v>1</v>
      </c>
      <c r="U698" s="2" t="str">
        <f t="shared" si="188"/>
        <v/>
      </c>
      <c r="V698" s="2" t="str">
        <f t="shared" si="189"/>
        <v/>
      </c>
      <c r="W698" s="2" t="str">
        <f t="shared" si="190"/>
        <v/>
      </c>
      <c r="X698" s="2">
        <f t="shared" si="186"/>
        <v>0</v>
      </c>
      <c r="Y698" s="2" t="str">
        <f t="shared" si="191"/>
        <v/>
      </c>
      <c r="Z698" s="2" t="str">
        <f t="shared" si="192"/>
        <v/>
      </c>
      <c r="AA698" s="2" t="str">
        <f t="shared" si="193"/>
        <v/>
      </c>
      <c r="AB698" s="2">
        <f t="shared" si="187"/>
        <v>0</v>
      </c>
      <c r="AC698" s="759">
        <v>0</v>
      </c>
      <c r="AD698" s="741">
        <v>0</v>
      </c>
      <c r="AE698" s="741">
        <v>0</v>
      </c>
      <c r="AF698" s="741">
        <v>0</v>
      </c>
      <c r="AG698" s="741">
        <v>0</v>
      </c>
      <c r="AH698" s="741">
        <v>0</v>
      </c>
      <c r="AI698" s="741">
        <v>0</v>
      </c>
      <c r="AJ698" s="741">
        <v>0</v>
      </c>
      <c r="AK698" s="741">
        <v>0</v>
      </c>
      <c r="AL698" s="741">
        <v>0</v>
      </c>
      <c r="AM698" s="741">
        <v>0</v>
      </c>
      <c r="AN698" s="741">
        <v>0</v>
      </c>
      <c r="AO698" s="741">
        <v>0</v>
      </c>
      <c r="AP698" s="41" t="str">
        <f t="shared" si="183"/>
        <v>GLS</v>
      </c>
      <c r="AQ698" s="41" t="str">
        <f t="shared" si="184"/>
        <v>GLSS0</v>
      </c>
      <c r="AR698" s="41" t="str">
        <f t="shared" si="185"/>
        <v>S0</v>
      </c>
    </row>
    <row r="699" spans="1:44" s="41" customFormat="1" ht="12.75" customHeight="1">
      <c r="A699" s="25" t="s">
        <v>17</v>
      </c>
      <c r="B699" s="25" t="str">
        <f t="shared" si="199"/>
        <v>GL254115</v>
      </c>
      <c r="C699" s="638">
        <v>254115</v>
      </c>
      <c r="D699" s="735"/>
      <c r="F699" s="1" t="s">
        <v>671</v>
      </c>
      <c r="H699" s="736">
        <v>0</v>
      </c>
      <c r="I699" s="25"/>
      <c r="J699" s="25"/>
      <c r="K699" s="442" t="str">
        <f t="shared" si="198"/>
        <v/>
      </c>
      <c r="L699" s="736" t="s">
        <v>2464</v>
      </c>
      <c r="M699" s="25" t="str">
        <f t="shared" si="200"/>
        <v>S</v>
      </c>
      <c r="N699" s="25" t="str">
        <f>IF(L699&lt;&gt;"",VLOOKUP(L699,Categories!$B$2:$D$41,2,FALSE),IF(F699&lt;&gt;"","No Cat",""))</f>
        <v>A&amp;S Sch</v>
      </c>
      <c r="O699" s="25" t="str">
        <f>IF($L699&lt;&gt;"",VLOOKUP($L699,Categories!$B$2:$D$41,3,FALSE),IF($F699&lt;&gt;"","No Cat",""))</f>
        <v>Reg Asset &amp; Liabilities</v>
      </c>
      <c r="P699" s="736" t="s">
        <v>2468</v>
      </c>
      <c r="Q699" s="25" t="str">
        <f>VLOOKUP($P699,Allocators!$B$7:$F$19,5,FALSE)</f>
        <v>Not in Rate Base</v>
      </c>
      <c r="R699" s="737">
        <f>VLOOKUP($P699,Allocators!$B$7:$F$19,2,FALSE)</f>
        <v>0</v>
      </c>
      <c r="S699" s="737">
        <f>VLOOKUP($P699,Allocators!$B$7:$F$19,3,FALSE)</f>
        <v>0</v>
      </c>
      <c r="T699" s="737">
        <f t="shared" si="204"/>
        <v>1</v>
      </c>
      <c r="U699" s="2">
        <f t="shared" si="188"/>
        <v>0</v>
      </c>
      <c r="V699" s="2">
        <f t="shared" si="189"/>
        <v>0</v>
      </c>
      <c r="W699" s="2">
        <f t="shared" si="190"/>
        <v>-731.03935624999997</v>
      </c>
      <c r="X699" s="2">
        <f t="shared" si="186"/>
        <v>-731.03935624999997</v>
      </c>
      <c r="Y699" s="2">
        <f t="shared" si="191"/>
        <v>0</v>
      </c>
      <c r="Z699" s="2">
        <f t="shared" si="192"/>
        <v>0</v>
      </c>
      <c r="AA699" s="2">
        <f t="shared" si="193"/>
        <v>-691.36631</v>
      </c>
      <c r="AB699" s="2">
        <f t="shared" si="187"/>
        <v>-691.36631000000011</v>
      </c>
      <c r="AC699" s="759">
        <v>-416.65181999999999</v>
      </c>
      <c r="AD699" s="741">
        <v>-493.76179999999999</v>
      </c>
      <c r="AE699" s="741">
        <v>-589.94909999999993</v>
      </c>
      <c r="AF699" s="741">
        <v>-696.49806000000001</v>
      </c>
      <c r="AG699" s="741">
        <v>-743.28928000000008</v>
      </c>
      <c r="AH699" s="741">
        <v>-765.72375</v>
      </c>
      <c r="AI699" s="741">
        <v>-796.31155000000001</v>
      </c>
      <c r="AJ699" s="741">
        <v>-852.07155</v>
      </c>
      <c r="AK699" s="741">
        <v>-891.47999000000004</v>
      </c>
      <c r="AL699" s="741">
        <v>-850.97268999999994</v>
      </c>
      <c r="AM699" s="741">
        <v>-803.30133999999998</v>
      </c>
      <c r="AN699" s="741">
        <v>-735.10410000000002</v>
      </c>
      <c r="AO699" s="741">
        <v>-691.36631000000011</v>
      </c>
      <c r="AP699" s="41" t="str">
        <f t="shared" si="183"/>
        <v>GLS</v>
      </c>
      <c r="AQ699" s="41" t="str">
        <f t="shared" si="184"/>
        <v>GLSS0</v>
      </c>
      <c r="AR699" s="41" t="str">
        <f t="shared" si="185"/>
        <v>S0</v>
      </c>
    </row>
    <row r="700" spans="1:44" s="41" customFormat="1" ht="12.75" customHeight="1">
      <c r="A700" s="25" t="s">
        <v>17</v>
      </c>
      <c r="B700" s="25" t="str">
        <f t="shared" si="199"/>
        <v>GL254116</v>
      </c>
      <c r="C700" s="638">
        <v>254116</v>
      </c>
      <c r="D700" s="735"/>
      <c r="F700" s="1" t="s">
        <v>672</v>
      </c>
      <c r="H700" s="736">
        <v>0</v>
      </c>
      <c r="I700" s="25"/>
      <c r="J700" s="25"/>
      <c r="K700" s="442" t="str">
        <f t="shared" si="198"/>
        <v/>
      </c>
      <c r="L700" s="736" t="s">
        <v>2464</v>
      </c>
      <c r="M700" s="25" t="str">
        <f t="shared" si="200"/>
        <v>S</v>
      </c>
      <c r="N700" s="25" t="str">
        <f>IF(L700&lt;&gt;"",VLOOKUP(L700,Categories!$B$2:$D$41,2,FALSE),IF(F700&lt;&gt;"","No Cat",""))</f>
        <v>A&amp;S Sch</v>
      </c>
      <c r="O700" s="25" t="str">
        <f>IF($L700&lt;&gt;"",VLOOKUP($L700,Categories!$B$2:$D$41,3,FALSE),IF($F700&lt;&gt;"","No Cat",""))</f>
        <v>Reg Asset &amp; Liabilities</v>
      </c>
      <c r="P700" s="736" t="s">
        <v>2468</v>
      </c>
      <c r="Q700" s="25" t="str">
        <f>VLOOKUP($P700,Allocators!$B$7:$F$19,5,FALSE)</f>
        <v>Not in Rate Base</v>
      </c>
      <c r="R700" s="737">
        <f>VLOOKUP($P700,Allocators!$B$7:$F$19,2,FALSE)</f>
        <v>0</v>
      </c>
      <c r="S700" s="737">
        <f>VLOOKUP($P700,Allocators!$B$7:$F$19,3,FALSE)</f>
        <v>0</v>
      </c>
      <c r="T700" s="737">
        <f t="shared" si="204"/>
        <v>1</v>
      </c>
      <c r="U700" s="2">
        <f t="shared" si="188"/>
        <v>0</v>
      </c>
      <c r="V700" s="2">
        <f t="shared" si="189"/>
        <v>0</v>
      </c>
      <c r="W700" s="2">
        <f t="shared" si="190"/>
        <v>429.97994499999999</v>
      </c>
      <c r="X700" s="2">
        <f t="shared" si="186"/>
        <v>429.97994499999999</v>
      </c>
      <c r="Y700" s="2" t="str">
        <f t="shared" si="191"/>
        <v/>
      </c>
      <c r="Z700" s="2" t="str">
        <f t="shared" si="192"/>
        <v/>
      </c>
      <c r="AA700" s="2" t="str">
        <f t="shared" si="193"/>
        <v/>
      </c>
      <c r="AB700" s="2">
        <f t="shared" si="187"/>
        <v>0</v>
      </c>
      <c r="AC700" s="759">
        <v>0</v>
      </c>
      <c r="AD700" s="741">
        <v>1212.5301399999998</v>
      </c>
      <c r="AE700" s="741">
        <v>0</v>
      </c>
      <c r="AF700" s="741">
        <v>0</v>
      </c>
      <c r="AG700" s="741">
        <v>0</v>
      </c>
      <c r="AH700" s="741">
        <v>871.84898999999996</v>
      </c>
      <c r="AI700" s="741">
        <v>909.40359000000001</v>
      </c>
      <c r="AJ700" s="741">
        <v>958.44431000000009</v>
      </c>
      <c r="AK700" s="741">
        <v>0</v>
      </c>
      <c r="AL700" s="741">
        <v>0</v>
      </c>
      <c r="AM700" s="741">
        <v>1150.4634900000001</v>
      </c>
      <c r="AN700" s="741">
        <v>57.068820000000002</v>
      </c>
      <c r="AO700" s="741">
        <v>0</v>
      </c>
      <c r="AP700" s="41" t="str">
        <f t="shared" si="183"/>
        <v>GLS</v>
      </c>
      <c r="AQ700" s="41" t="str">
        <f t="shared" si="184"/>
        <v>GLSS0</v>
      </c>
      <c r="AR700" s="41" t="str">
        <f t="shared" si="185"/>
        <v>S0</v>
      </c>
    </row>
    <row r="701" spans="1:44" s="41" customFormat="1" ht="12.75" customHeight="1">
      <c r="A701" s="25" t="s">
        <v>17</v>
      </c>
      <c r="B701" s="25" t="str">
        <f t="shared" si="199"/>
        <v>GL254150</v>
      </c>
      <c r="C701" s="638">
        <v>254150</v>
      </c>
      <c r="D701" s="735"/>
      <c r="F701" s="1" t="s">
        <v>673</v>
      </c>
      <c r="H701" s="736">
        <v>0</v>
      </c>
      <c r="I701" s="25"/>
      <c r="J701" s="25"/>
      <c r="K701" s="442" t="str">
        <f t="shared" si="198"/>
        <v/>
      </c>
      <c r="L701" s="736" t="s">
        <v>2464</v>
      </c>
      <c r="M701" s="25" t="str">
        <f t="shared" si="200"/>
        <v>S</v>
      </c>
      <c r="N701" s="25" t="str">
        <f>IF(L701&lt;&gt;"",VLOOKUP(L701,Categories!$B$2:$D$41,2,FALSE),IF(F701&lt;&gt;"","No Cat",""))</f>
        <v>A&amp;S Sch</v>
      </c>
      <c r="O701" s="25" t="str">
        <f>IF($L701&lt;&gt;"",VLOOKUP($L701,Categories!$B$2:$D$41,3,FALSE),IF($F701&lt;&gt;"","No Cat",""))</f>
        <v>Reg Asset &amp; Liabilities</v>
      </c>
      <c r="P701" s="736" t="s">
        <v>2468</v>
      </c>
      <c r="Q701" s="25" t="str">
        <f>VLOOKUP($P701,Allocators!$B$7:$F$19,5,FALSE)</f>
        <v>Not in Rate Base</v>
      </c>
      <c r="R701" s="737">
        <f>VLOOKUP($P701,Allocators!$B$7:$F$19,2,FALSE)</f>
        <v>0</v>
      </c>
      <c r="S701" s="737">
        <f>VLOOKUP($P701,Allocators!$B$7:$F$19,3,FALSE)</f>
        <v>0</v>
      </c>
      <c r="T701" s="737">
        <f t="shared" si="204"/>
        <v>1</v>
      </c>
      <c r="U701" s="2" t="str">
        <f t="shared" si="188"/>
        <v/>
      </c>
      <c r="V701" s="2" t="str">
        <f t="shared" si="189"/>
        <v/>
      </c>
      <c r="W701" s="2" t="str">
        <f t="shared" si="190"/>
        <v/>
      </c>
      <c r="X701" s="2">
        <f t="shared" si="186"/>
        <v>0</v>
      </c>
      <c r="Y701" s="2" t="str">
        <f t="shared" si="191"/>
        <v/>
      </c>
      <c r="Z701" s="2" t="str">
        <f t="shared" si="192"/>
        <v/>
      </c>
      <c r="AA701" s="2" t="str">
        <f t="shared" si="193"/>
        <v/>
      </c>
      <c r="AB701" s="2">
        <f t="shared" si="187"/>
        <v>0</v>
      </c>
      <c r="AC701" s="759">
        <v>0</v>
      </c>
      <c r="AD701" s="741">
        <v>0</v>
      </c>
      <c r="AE701" s="741">
        <v>0</v>
      </c>
      <c r="AF701" s="741">
        <v>0</v>
      </c>
      <c r="AG701" s="741">
        <v>0</v>
      </c>
      <c r="AH701" s="741">
        <v>0</v>
      </c>
      <c r="AI701" s="741">
        <v>0</v>
      </c>
      <c r="AJ701" s="741">
        <v>0</v>
      </c>
      <c r="AK701" s="741">
        <v>0</v>
      </c>
      <c r="AL701" s="741">
        <v>0</v>
      </c>
      <c r="AM701" s="741">
        <v>0</v>
      </c>
      <c r="AN701" s="741">
        <v>0</v>
      </c>
      <c r="AO701" s="741">
        <v>0</v>
      </c>
      <c r="AP701" s="41" t="str">
        <f t="shared" si="183"/>
        <v>GLS</v>
      </c>
      <c r="AQ701" s="41" t="str">
        <f t="shared" si="184"/>
        <v>GLSS0</v>
      </c>
      <c r="AR701" s="41" t="str">
        <f t="shared" si="185"/>
        <v>S0</v>
      </c>
    </row>
    <row r="702" spans="1:44" s="41" customFormat="1" ht="12.75" customHeight="1">
      <c r="A702" s="25" t="s">
        <v>17</v>
      </c>
      <c r="B702" s="25" t="str">
        <f t="shared" si="199"/>
        <v>GL254171</v>
      </c>
      <c r="C702" s="638">
        <v>254171</v>
      </c>
      <c r="D702" s="735"/>
      <c r="F702" s="1" t="s">
        <v>674</v>
      </c>
      <c r="H702" s="736">
        <v>0</v>
      </c>
      <c r="I702" s="25"/>
      <c r="J702" s="25"/>
      <c r="K702" s="442" t="str">
        <f t="shared" si="198"/>
        <v/>
      </c>
      <c r="L702" s="736" t="s">
        <v>2464</v>
      </c>
      <c r="M702" s="25" t="str">
        <f t="shared" si="200"/>
        <v>S</v>
      </c>
      <c r="N702" s="25" t="str">
        <f>IF(L702&lt;&gt;"",VLOOKUP(L702,Categories!$B$2:$D$41,2,FALSE),IF(F702&lt;&gt;"","No Cat",""))</f>
        <v>A&amp;S Sch</v>
      </c>
      <c r="O702" s="25" t="str">
        <f>IF($L702&lt;&gt;"",VLOOKUP($L702,Categories!$B$2:$D$41,3,FALSE),IF($F702&lt;&gt;"","No Cat",""))</f>
        <v>Reg Asset &amp; Liabilities</v>
      </c>
      <c r="P702" s="736" t="s">
        <v>2468</v>
      </c>
      <c r="Q702" s="25" t="str">
        <f>VLOOKUP($P702,Allocators!$B$7:$F$19,5,FALSE)</f>
        <v>Not in Rate Base</v>
      </c>
      <c r="R702" s="737">
        <f>VLOOKUP($P702,Allocators!$B$7:$F$19,2,FALSE)</f>
        <v>0</v>
      </c>
      <c r="S702" s="737">
        <f>VLOOKUP($P702,Allocators!$B$7:$F$19,3,FALSE)</f>
        <v>0</v>
      </c>
      <c r="T702" s="737">
        <f t="shared" si="204"/>
        <v>1</v>
      </c>
      <c r="U702" s="2">
        <f t="shared" si="188"/>
        <v>0</v>
      </c>
      <c r="V702" s="2">
        <f t="shared" si="189"/>
        <v>0</v>
      </c>
      <c r="W702" s="2">
        <f t="shared" si="190"/>
        <v>-1235.4077858333301</v>
      </c>
      <c r="X702" s="2">
        <f t="shared" si="186"/>
        <v>-1235.4077858333301</v>
      </c>
      <c r="Y702" s="2">
        <f t="shared" si="191"/>
        <v>0</v>
      </c>
      <c r="Z702" s="2">
        <f t="shared" si="192"/>
        <v>0</v>
      </c>
      <c r="AA702" s="2">
        <f t="shared" si="193"/>
        <v>-1238.2378100000001</v>
      </c>
      <c r="AB702" s="2">
        <f t="shared" si="187"/>
        <v>-1238.2378100000001</v>
      </c>
      <c r="AC702" s="759">
        <v>-644.43534999999997</v>
      </c>
      <c r="AD702" s="741">
        <v>-451.34853000000004</v>
      </c>
      <c r="AE702" s="741">
        <v>-591.29611</v>
      </c>
      <c r="AF702" s="741">
        <v>-803.66543999999999</v>
      </c>
      <c r="AG702" s="741">
        <v>-2775.5649100000001</v>
      </c>
      <c r="AH702" s="741">
        <v>-2729.7561099999998</v>
      </c>
      <c r="AI702" s="741">
        <v>-2098.2161599999999</v>
      </c>
      <c r="AJ702" s="741">
        <v>-2016.5171499999999</v>
      </c>
      <c r="AK702" s="741">
        <v>-237.72282999999999</v>
      </c>
      <c r="AL702" s="741">
        <v>-532.39316000000008</v>
      </c>
      <c r="AM702" s="741">
        <v>-718.11331000000007</v>
      </c>
      <c r="AN702" s="741">
        <v>-928.96314000000007</v>
      </c>
      <c r="AO702" s="741">
        <v>-1238.2378100000001</v>
      </c>
      <c r="AP702" s="41" t="str">
        <f t="shared" si="183"/>
        <v>GLS</v>
      </c>
      <c r="AQ702" s="41" t="str">
        <f t="shared" si="184"/>
        <v>GLSS0</v>
      </c>
      <c r="AR702" s="41" t="str">
        <f t="shared" si="185"/>
        <v>S0</v>
      </c>
    </row>
    <row r="703" spans="1:44" s="41" customFormat="1" ht="12.75" customHeight="1">
      <c r="A703" s="25" t="s">
        <v>17</v>
      </c>
      <c r="B703" s="25" t="str">
        <f t="shared" si="199"/>
        <v>GL254203</v>
      </c>
      <c r="C703" s="638">
        <v>254203</v>
      </c>
      <c r="D703" s="735"/>
      <c r="F703" s="1" t="s">
        <v>675</v>
      </c>
      <c r="H703" s="736" t="s">
        <v>2539</v>
      </c>
      <c r="I703" s="25"/>
      <c r="J703" s="25"/>
      <c r="K703" s="442" t="str">
        <f t="shared" si="198"/>
        <v/>
      </c>
      <c r="L703" s="736" t="s">
        <v>2464</v>
      </c>
      <c r="M703" s="25" t="str">
        <f t="shared" si="200"/>
        <v>S</v>
      </c>
      <c r="N703" s="25" t="str">
        <f>IF(L703&lt;&gt;"",VLOOKUP(L703,Categories!$B$2:$D$41,2,FALSE),IF(F703&lt;&gt;"","No Cat",""))</f>
        <v>A&amp;S Sch</v>
      </c>
      <c r="O703" s="25" t="str">
        <f>IF($L703&lt;&gt;"",VLOOKUP($L703,Categories!$B$2:$D$41,3,FALSE),IF($F703&lt;&gt;"","No Cat",""))</f>
        <v>Reg Asset &amp; Liabilities</v>
      </c>
      <c r="P703" s="736" t="s">
        <v>2468</v>
      </c>
      <c r="Q703" s="25" t="str">
        <f>VLOOKUP($P703,Allocators!$B$7:$F$19,5,FALSE)</f>
        <v>Not in Rate Base</v>
      </c>
      <c r="R703" s="737">
        <f>VLOOKUP($P703,Allocators!$B$7:$F$19,2,FALSE)</f>
        <v>0</v>
      </c>
      <c r="S703" s="737">
        <f>VLOOKUP($P703,Allocators!$B$7:$F$19,3,FALSE)</f>
        <v>0</v>
      </c>
      <c r="T703" s="737">
        <f t="shared" si="204"/>
        <v>1</v>
      </c>
      <c r="U703" s="2" t="str">
        <f t="shared" si="188"/>
        <v/>
      </c>
      <c r="V703" s="2" t="str">
        <f t="shared" si="189"/>
        <v/>
      </c>
      <c r="W703" s="2" t="str">
        <f t="shared" si="190"/>
        <v/>
      </c>
      <c r="X703" s="2">
        <f t="shared" si="186"/>
        <v>0</v>
      </c>
      <c r="Y703" s="2" t="str">
        <f t="shared" si="191"/>
        <v/>
      </c>
      <c r="Z703" s="2" t="str">
        <f t="shared" si="192"/>
        <v/>
      </c>
      <c r="AA703" s="2" t="str">
        <f t="shared" si="193"/>
        <v/>
      </c>
      <c r="AB703" s="2">
        <f t="shared" si="187"/>
        <v>0</v>
      </c>
      <c r="AC703" s="759">
        <v>0</v>
      </c>
      <c r="AD703" s="741">
        <v>0</v>
      </c>
      <c r="AE703" s="741">
        <v>0</v>
      </c>
      <c r="AF703" s="741">
        <v>0</v>
      </c>
      <c r="AG703" s="741">
        <v>0</v>
      </c>
      <c r="AH703" s="741">
        <v>0</v>
      </c>
      <c r="AI703" s="741">
        <v>0</v>
      </c>
      <c r="AJ703" s="741">
        <v>0</v>
      </c>
      <c r="AK703" s="741">
        <v>0</v>
      </c>
      <c r="AL703" s="741">
        <v>0</v>
      </c>
      <c r="AM703" s="741">
        <v>0</v>
      </c>
      <c r="AN703" s="741">
        <v>0</v>
      </c>
      <c r="AO703" s="741">
        <v>0</v>
      </c>
      <c r="AP703" s="41" t="str">
        <f t="shared" si="183"/>
        <v>GLS</v>
      </c>
      <c r="AQ703" s="41" t="str">
        <f t="shared" si="184"/>
        <v>GLSSAccrued Pension</v>
      </c>
      <c r="AR703" s="41" t="str">
        <f t="shared" si="185"/>
        <v>SAccrued Pension</v>
      </c>
    </row>
    <row r="704" spans="1:44" s="41" customFormat="1" ht="12.75" customHeight="1">
      <c r="A704" s="25" t="s">
        <v>17</v>
      </c>
      <c r="B704" s="25" t="str">
        <f t="shared" si="199"/>
        <v>GL254210</v>
      </c>
      <c r="C704" s="638">
        <v>254210</v>
      </c>
      <c r="D704" s="735"/>
      <c r="F704" s="1" t="s">
        <v>676</v>
      </c>
      <c r="H704" s="736">
        <v>0</v>
      </c>
      <c r="I704" s="25"/>
      <c r="J704" s="25"/>
      <c r="K704" s="442" t="str">
        <f t="shared" si="198"/>
        <v/>
      </c>
      <c r="L704" s="736" t="s">
        <v>2464</v>
      </c>
      <c r="M704" s="25" t="str">
        <f t="shared" si="200"/>
        <v>S</v>
      </c>
      <c r="N704" s="25" t="str">
        <f>IF(L704&lt;&gt;"",VLOOKUP(L704,Categories!$B$2:$D$41,2,FALSE),IF(F704&lt;&gt;"","No Cat",""))</f>
        <v>A&amp;S Sch</v>
      </c>
      <c r="O704" s="25" t="str">
        <f>IF($L704&lt;&gt;"",VLOOKUP($L704,Categories!$B$2:$D$41,3,FALSE),IF($F704&lt;&gt;"","No Cat",""))</f>
        <v>Reg Asset &amp; Liabilities</v>
      </c>
      <c r="P704" s="736" t="s">
        <v>2468</v>
      </c>
      <c r="Q704" s="25" t="str">
        <f>VLOOKUP($P704,Allocators!$B$7:$F$19,5,FALSE)</f>
        <v>Not in Rate Base</v>
      </c>
      <c r="R704" s="737">
        <f>VLOOKUP($P704,Allocators!$B$7:$F$19,2,FALSE)</f>
        <v>0</v>
      </c>
      <c r="S704" s="737">
        <f>VLOOKUP($P704,Allocators!$B$7:$F$19,3,FALSE)</f>
        <v>0</v>
      </c>
      <c r="T704" s="737">
        <f t="shared" si="204"/>
        <v>1</v>
      </c>
      <c r="U704" s="2" t="str">
        <f t="shared" si="188"/>
        <v/>
      </c>
      <c r="V704" s="2" t="str">
        <f t="shared" si="189"/>
        <v/>
      </c>
      <c r="W704" s="2" t="str">
        <f t="shared" si="190"/>
        <v/>
      </c>
      <c r="X704" s="2">
        <f t="shared" si="186"/>
        <v>0</v>
      </c>
      <c r="Y704" s="2" t="str">
        <f t="shared" si="191"/>
        <v/>
      </c>
      <c r="Z704" s="2" t="str">
        <f t="shared" si="192"/>
        <v/>
      </c>
      <c r="AA704" s="2" t="str">
        <f t="shared" si="193"/>
        <v/>
      </c>
      <c r="AB704" s="2">
        <f t="shared" si="187"/>
        <v>0</v>
      </c>
      <c r="AC704" s="759">
        <v>0</v>
      </c>
      <c r="AD704" s="741">
        <v>0</v>
      </c>
      <c r="AE704" s="741">
        <v>0</v>
      </c>
      <c r="AF704" s="741">
        <v>0</v>
      </c>
      <c r="AG704" s="741">
        <v>0</v>
      </c>
      <c r="AH704" s="741">
        <v>0</v>
      </c>
      <c r="AI704" s="741">
        <v>0</v>
      </c>
      <c r="AJ704" s="741">
        <v>0</v>
      </c>
      <c r="AK704" s="741">
        <v>0</v>
      </c>
      <c r="AL704" s="741">
        <v>0</v>
      </c>
      <c r="AM704" s="741">
        <v>0</v>
      </c>
      <c r="AN704" s="741">
        <v>0</v>
      </c>
      <c r="AO704" s="741">
        <v>0</v>
      </c>
      <c r="AP704" s="41" t="str">
        <f t="shared" si="183"/>
        <v>GLS</v>
      </c>
      <c r="AQ704" s="41" t="str">
        <f t="shared" si="184"/>
        <v>GLSS0</v>
      </c>
      <c r="AR704" s="41" t="str">
        <f t="shared" si="185"/>
        <v>S0</v>
      </c>
    </row>
    <row r="705" spans="1:44" s="41" customFormat="1" ht="12.75" customHeight="1">
      <c r="A705" s="25" t="s">
        <v>17</v>
      </c>
      <c r="B705" s="25" t="str">
        <f t="shared" si="199"/>
        <v>GL254220</v>
      </c>
      <c r="C705" s="638">
        <v>254220</v>
      </c>
      <c r="D705" s="735"/>
      <c r="F705" s="1" t="s">
        <v>677</v>
      </c>
      <c r="H705" s="736">
        <v>0</v>
      </c>
      <c r="I705" s="25"/>
      <c r="J705" s="25"/>
      <c r="K705" s="442" t="str">
        <f t="shared" si="198"/>
        <v/>
      </c>
      <c r="L705" s="736" t="s">
        <v>2464</v>
      </c>
      <c r="M705" s="25" t="str">
        <f t="shared" si="200"/>
        <v>S</v>
      </c>
      <c r="N705" s="25" t="str">
        <f>IF(L705&lt;&gt;"",VLOOKUP(L705,Categories!$B$2:$D$41,2,FALSE),IF(F705&lt;&gt;"","No Cat",""))</f>
        <v>A&amp;S Sch</v>
      </c>
      <c r="O705" s="25" t="str">
        <f>IF($L705&lt;&gt;"",VLOOKUP($L705,Categories!$B$2:$D$41,3,FALSE),IF($F705&lt;&gt;"","No Cat",""))</f>
        <v>Reg Asset &amp; Liabilities</v>
      </c>
      <c r="P705" s="736" t="s">
        <v>2468</v>
      </c>
      <c r="Q705" s="25" t="str">
        <f>VLOOKUP($P705,Allocators!$B$7:$F$19,5,FALSE)</f>
        <v>Not in Rate Base</v>
      </c>
      <c r="R705" s="737">
        <f>VLOOKUP($P705,Allocators!$B$7:$F$19,2,FALSE)</f>
        <v>0</v>
      </c>
      <c r="S705" s="737">
        <f>VLOOKUP($P705,Allocators!$B$7:$F$19,3,FALSE)</f>
        <v>0</v>
      </c>
      <c r="T705" s="737">
        <f t="shared" si="204"/>
        <v>1</v>
      </c>
      <c r="U705" s="2" t="str">
        <f t="shared" si="188"/>
        <v/>
      </c>
      <c r="V705" s="2" t="str">
        <f t="shared" si="189"/>
        <v/>
      </c>
      <c r="W705" s="2" t="str">
        <f t="shared" si="190"/>
        <v/>
      </c>
      <c r="X705" s="2">
        <f t="shared" si="186"/>
        <v>0</v>
      </c>
      <c r="Y705" s="2" t="str">
        <f t="shared" si="191"/>
        <v/>
      </c>
      <c r="Z705" s="2" t="str">
        <f t="shared" si="192"/>
        <v/>
      </c>
      <c r="AA705" s="2" t="str">
        <f t="shared" si="193"/>
        <v/>
      </c>
      <c r="AB705" s="2">
        <f t="shared" si="187"/>
        <v>0</v>
      </c>
      <c r="AC705" s="759">
        <v>0</v>
      </c>
      <c r="AD705" s="741">
        <v>0</v>
      </c>
      <c r="AE705" s="741">
        <v>0</v>
      </c>
      <c r="AF705" s="741">
        <v>0</v>
      </c>
      <c r="AG705" s="741">
        <v>0</v>
      </c>
      <c r="AH705" s="741">
        <v>0</v>
      </c>
      <c r="AI705" s="741">
        <v>0</v>
      </c>
      <c r="AJ705" s="741">
        <v>0</v>
      </c>
      <c r="AK705" s="741">
        <v>0</v>
      </c>
      <c r="AL705" s="741">
        <v>0</v>
      </c>
      <c r="AM705" s="741">
        <v>0</v>
      </c>
      <c r="AN705" s="741">
        <v>0</v>
      </c>
      <c r="AO705" s="741">
        <v>0</v>
      </c>
      <c r="AP705" s="41" t="str">
        <f t="shared" si="183"/>
        <v>GLS</v>
      </c>
      <c r="AQ705" s="41" t="str">
        <f t="shared" si="184"/>
        <v>GLSS0</v>
      </c>
      <c r="AR705" s="41" t="str">
        <f t="shared" si="185"/>
        <v>S0</v>
      </c>
    </row>
    <row r="706" spans="1:44" s="41" customFormat="1" ht="12.75" customHeight="1">
      <c r="A706" s="25" t="s">
        <v>17</v>
      </c>
      <c r="B706" s="25" t="str">
        <f t="shared" si="199"/>
        <v>GL254230</v>
      </c>
      <c r="C706" s="638">
        <v>254230</v>
      </c>
      <c r="D706" s="735"/>
      <c r="F706" s="1" t="s">
        <v>678</v>
      </c>
      <c r="H706" s="736">
        <v>0</v>
      </c>
      <c r="I706" s="25"/>
      <c r="J706" s="25"/>
      <c r="K706" s="442" t="str">
        <f t="shared" si="198"/>
        <v/>
      </c>
      <c r="L706" s="736" t="s">
        <v>2464</v>
      </c>
      <c r="M706" s="25" t="str">
        <f t="shared" si="200"/>
        <v>S</v>
      </c>
      <c r="N706" s="25" t="str">
        <f>IF(L706&lt;&gt;"",VLOOKUP(L706,Categories!$B$2:$D$41,2,FALSE),IF(F706&lt;&gt;"","No Cat",""))</f>
        <v>A&amp;S Sch</v>
      </c>
      <c r="O706" s="25" t="str">
        <f>IF($L706&lt;&gt;"",VLOOKUP($L706,Categories!$B$2:$D$41,3,FALSE),IF($F706&lt;&gt;"","No Cat",""))</f>
        <v>Reg Asset &amp; Liabilities</v>
      </c>
      <c r="P706" s="736" t="s">
        <v>2468</v>
      </c>
      <c r="Q706" s="25" t="str">
        <f>VLOOKUP($P706,Allocators!$B$7:$F$19,5,FALSE)</f>
        <v>Not in Rate Base</v>
      </c>
      <c r="R706" s="737">
        <f>VLOOKUP($P706,Allocators!$B$7:$F$19,2,FALSE)</f>
        <v>0</v>
      </c>
      <c r="S706" s="737">
        <f>VLOOKUP($P706,Allocators!$B$7:$F$19,3,FALSE)</f>
        <v>0</v>
      </c>
      <c r="T706" s="737">
        <f t="shared" si="204"/>
        <v>1</v>
      </c>
      <c r="U706" s="2" t="str">
        <f t="shared" si="188"/>
        <v/>
      </c>
      <c r="V706" s="2" t="str">
        <f t="shared" si="189"/>
        <v/>
      </c>
      <c r="W706" s="2" t="str">
        <f t="shared" si="190"/>
        <v/>
      </c>
      <c r="X706" s="2">
        <f t="shared" si="186"/>
        <v>0</v>
      </c>
      <c r="Y706" s="2" t="str">
        <f t="shared" si="191"/>
        <v/>
      </c>
      <c r="Z706" s="2" t="str">
        <f t="shared" si="192"/>
        <v/>
      </c>
      <c r="AA706" s="2" t="str">
        <f t="shared" si="193"/>
        <v/>
      </c>
      <c r="AB706" s="2">
        <f t="shared" si="187"/>
        <v>0</v>
      </c>
      <c r="AC706" s="759">
        <v>0</v>
      </c>
      <c r="AD706" s="741">
        <v>0</v>
      </c>
      <c r="AE706" s="741">
        <v>0</v>
      </c>
      <c r="AF706" s="741">
        <v>0</v>
      </c>
      <c r="AG706" s="741">
        <v>0</v>
      </c>
      <c r="AH706" s="741">
        <v>0</v>
      </c>
      <c r="AI706" s="741">
        <v>0</v>
      </c>
      <c r="AJ706" s="741">
        <v>0</v>
      </c>
      <c r="AK706" s="741">
        <v>0</v>
      </c>
      <c r="AL706" s="741">
        <v>0</v>
      </c>
      <c r="AM706" s="741">
        <v>0</v>
      </c>
      <c r="AN706" s="741">
        <v>0</v>
      </c>
      <c r="AO706" s="741">
        <v>0</v>
      </c>
      <c r="AP706" s="41" t="str">
        <f t="shared" si="183"/>
        <v>GLS</v>
      </c>
      <c r="AQ706" s="41" t="str">
        <f t="shared" si="184"/>
        <v>GLSS0</v>
      </c>
      <c r="AR706" s="41" t="str">
        <f t="shared" si="185"/>
        <v>S0</v>
      </c>
    </row>
    <row r="707" spans="1:44" s="41" customFormat="1" ht="12.75" customHeight="1">
      <c r="A707" s="25" t="s">
        <v>17</v>
      </c>
      <c r="B707" s="25" t="str">
        <f t="shared" si="199"/>
        <v>GL254266</v>
      </c>
      <c r="C707" s="638">
        <v>254266</v>
      </c>
      <c r="D707" s="735"/>
      <c r="F707" s="1" t="s">
        <v>679</v>
      </c>
      <c r="H707" s="736">
        <v>0</v>
      </c>
      <c r="I707" s="25"/>
      <c r="J707" s="25"/>
      <c r="K707" s="442" t="str">
        <f t="shared" si="198"/>
        <v/>
      </c>
      <c r="L707" s="736" t="s">
        <v>2464</v>
      </c>
      <c r="M707" s="25" t="str">
        <f t="shared" si="200"/>
        <v>S</v>
      </c>
      <c r="N707" s="25" t="str">
        <f>IF(L707&lt;&gt;"",VLOOKUP(L707,Categories!$B$2:$D$41,2,FALSE),IF(F707&lt;&gt;"","No Cat",""))</f>
        <v>A&amp;S Sch</v>
      </c>
      <c r="O707" s="25" t="str">
        <f>IF($L707&lt;&gt;"",VLOOKUP($L707,Categories!$B$2:$D$41,3,FALSE),IF($F707&lt;&gt;"","No Cat",""))</f>
        <v>Reg Asset &amp; Liabilities</v>
      </c>
      <c r="P707" s="736" t="s">
        <v>2468</v>
      </c>
      <c r="Q707" s="25" t="str">
        <f>VLOOKUP($P707,Allocators!$B$7:$F$19,5,FALSE)</f>
        <v>Not in Rate Base</v>
      </c>
      <c r="R707" s="737">
        <f>VLOOKUP($P707,Allocators!$B$7:$F$19,2,FALSE)</f>
        <v>0</v>
      </c>
      <c r="S707" s="737">
        <f>VLOOKUP($P707,Allocators!$B$7:$F$19,3,FALSE)</f>
        <v>0</v>
      </c>
      <c r="T707" s="737">
        <f t="shared" si="204"/>
        <v>1</v>
      </c>
      <c r="U707" s="2">
        <f t="shared" si="188"/>
        <v>0</v>
      </c>
      <c r="V707" s="2">
        <f t="shared" si="189"/>
        <v>0</v>
      </c>
      <c r="W707" s="2">
        <f t="shared" si="190"/>
        <v>-2777.2809999999999</v>
      </c>
      <c r="X707" s="2">
        <f t="shared" si="186"/>
        <v>-2777.2809999999999</v>
      </c>
      <c r="Y707" s="2" t="str">
        <f t="shared" si="191"/>
        <v/>
      </c>
      <c r="Z707" s="2" t="str">
        <f t="shared" si="192"/>
        <v/>
      </c>
      <c r="AA707" s="2" t="str">
        <f t="shared" si="193"/>
        <v/>
      </c>
      <c r="AB707" s="2">
        <f t="shared" si="187"/>
        <v>0</v>
      </c>
      <c r="AC707" s="759">
        <v>0</v>
      </c>
      <c r="AD707" s="741">
        <v>-1110.8</v>
      </c>
      <c r="AE707" s="741">
        <v>-2504.4560000000001</v>
      </c>
      <c r="AF707" s="741">
        <v>-3231.232</v>
      </c>
      <c r="AG707" s="741">
        <v>-6737.68</v>
      </c>
      <c r="AH707" s="741">
        <v>-5495.26</v>
      </c>
      <c r="AI707" s="741">
        <v>-1535.14</v>
      </c>
      <c r="AJ707" s="741">
        <v>0</v>
      </c>
      <c r="AK707" s="741">
        <v>0</v>
      </c>
      <c r="AL707" s="741">
        <v>-3870.248</v>
      </c>
      <c r="AM707" s="741">
        <v>-3954.4380000000001</v>
      </c>
      <c r="AN707" s="741">
        <v>-4888.1180000000004</v>
      </c>
      <c r="AO707" s="741">
        <v>0</v>
      </c>
      <c r="AP707" s="41" t="str">
        <f t="shared" si="183"/>
        <v>GLS</v>
      </c>
      <c r="AQ707" s="41" t="str">
        <f t="shared" si="184"/>
        <v>GLSS0</v>
      </c>
      <c r="AR707" s="41" t="str">
        <f t="shared" si="185"/>
        <v>S0</v>
      </c>
    </row>
    <row r="708" spans="1:44" s="41" customFormat="1" ht="12.75" customHeight="1">
      <c r="A708" s="25" t="s">
        <v>17</v>
      </c>
      <c r="B708" s="25" t="str">
        <f t="shared" si="199"/>
        <v>GL254270</v>
      </c>
      <c r="C708" s="638">
        <v>254270</v>
      </c>
      <c r="D708" s="735"/>
      <c r="F708" s="1" t="s">
        <v>680</v>
      </c>
      <c r="H708" s="736">
        <v>0</v>
      </c>
      <c r="I708" s="25"/>
      <c r="J708" s="25"/>
      <c r="K708" s="442" t="str">
        <f t="shared" si="198"/>
        <v/>
      </c>
      <c r="L708" s="736" t="s">
        <v>2464</v>
      </c>
      <c r="M708" s="25" t="str">
        <f t="shared" si="200"/>
        <v>S</v>
      </c>
      <c r="N708" s="25" t="str">
        <f>IF(L708&lt;&gt;"",VLOOKUP(L708,Categories!$B$2:$D$41,2,FALSE),IF(F708&lt;&gt;"","No Cat",""))</f>
        <v>A&amp;S Sch</v>
      </c>
      <c r="O708" s="25" t="str">
        <f>IF($L708&lt;&gt;"",VLOOKUP($L708,Categories!$B$2:$D$41,3,FALSE),IF($F708&lt;&gt;"","No Cat",""))</f>
        <v>Reg Asset &amp; Liabilities</v>
      </c>
      <c r="P708" s="736" t="s">
        <v>2468</v>
      </c>
      <c r="Q708" s="25" t="str">
        <f>VLOOKUP($P708,Allocators!$B$7:$F$19,5,FALSE)</f>
        <v>Not in Rate Base</v>
      </c>
      <c r="R708" s="737">
        <f>VLOOKUP($P708,Allocators!$B$7:$F$19,2,FALSE)</f>
        <v>0</v>
      </c>
      <c r="S708" s="737">
        <f>VLOOKUP($P708,Allocators!$B$7:$F$19,3,FALSE)</f>
        <v>0</v>
      </c>
      <c r="T708" s="737">
        <f t="shared" si="204"/>
        <v>1</v>
      </c>
      <c r="U708" s="2">
        <f t="shared" si="188"/>
        <v>0</v>
      </c>
      <c r="V708" s="2">
        <f t="shared" si="189"/>
        <v>0</v>
      </c>
      <c r="W708" s="2">
        <f t="shared" si="190"/>
        <v>-9305.9389145833302</v>
      </c>
      <c r="X708" s="2">
        <f t="shared" si="186"/>
        <v>-9305.9389145833302</v>
      </c>
      <c r="Y708" s="2">
        <f t="shared" si="191"/>
        <v>0</v>
      </c>
      <c r="Z708" s="2">
        <f t="shared" si="192"/>
        <v>0</v>
      </c>
      <c r="AA708" s="2">
        <f t="shared" si="193"/>
        <v>-9943.1269599999996</v>
      </c>
      <c r="AB708" s="2">
        <f t="shared" si="187"/>
        <v>-9943.1269600000014</v>
      </c>
      <c r="AC708" s="759">
        <v>-7766.9019100000005</v>
      </c>
      <c r="AD708" s="741">
        <v>-6873.7241399999994</v>
      </c>
      <c r="AE708" s="741">
        <v>-9345.2508200000011</v>
      </c>
      <c r="AF708" s="741">
        <v>-9396.6888500000005</v>
      </c>
      <c r="AG708" s="741">
        <v>-9448.4183900000007</v>
      </c>
      <c r="AH708" s="741">
        <v>-9500.4410900000003</v>
      </c>
      <c r="AI708" s="741">
        <v>-9552.6989400000002</v>
      </c>
      <c r="AJ708" s="741">
        <v>-9605.2934600000008</v>
      </c>
      <c r="AK708" s="741">
        <v>-9658.2054100000005</v>
      </c>
      <c r="AL708" s="741">
        <v>-9711.4171999999999</v>
      </c>
      <c r="AM708" s="741">
        <v>-9835.1094100000009</v>
      </c>
      <c r="AN708" s="741">
        <v>-9889.0048299999999</v>
      </c>
      <c r="AO708" s="741">
        <v>-9943.1269600000014</v>
      </c>
      <c r="AP708" s="41" t="str">
        <f t="shared" si="183"/>
        <v>GLS</v>
      </c>
      <c r="AQ708" s="41" t="str">
        <f t="shared" si="184"/>
        <v>GLSS0</v>
      </c>
      <c r="AR708" s="41" t="str">
        <f t="shared" si="185"/>
        <v>S0</v>
      </c>
    </row>
    <row r="709" spans="1:44" s="41" customFormat="1" ht="12.75" customHeight="1">
      <c r="A709" s="25" t="s">
        <v>17</v>
      </c>
      <c r="B709" s="25" t="str">
        <f t="shared" si="199"/>
        <v>GL254275</v>
      </c>
      <c r="C709" s="638">
        <v>254275</v>
      </c>
      <c r="D709" s="735"/>
      <c r="F709" s="1" t="s">
        <v>681</v>
      </c>
      <c r="H709" s="736">
        <v>0</v>
      </c>
      <c r="I709" s="25"/>
      <c r="J709" s="25"/>
      <c r="K709" s="442" t="str">
        <f t="shared" si="198"/>
        <v/>
      </c>
      <c r="L709" s="736" t="s">
        <v>2464</v>
      </c>
      <c r="M709" s="25" t="str">
        <f t="shared" si="200"/>
        <v>S</v>
      </c>
      <c r="N709" s="25" t="str">
        <f>IF(L709&lt;&gt;"",VLOOKUP(L709,Categories!$B$2:$D$41,2,FALSE),IF(F709&lt;&gt;"","No Cat",""))</f>
        <v>A&amp;S Sch</v>
      </c>
      <c r="O709" s="25" t="str">
        <f>IF($L709&lt;&gt;"",VLOOKUP($L709,Categories!$B$2:$D$41,3,FALSE),IF($F709&lt;&gt;"","No Cat",""))</f>
        <v>Reg Asset &amp; Liabilities</v>
      </c>
      <c r="P709" s="736" t="s">
        <v>2468</v>
      </c>
      <c r="Q709" s="25" t="str">
        <f>VLOOKUP($P709,Allocators!$B$7:$F$19,5,FALSE)</f>
        <v>Not in Rate Base</v>
      </c>
      <c r="R709" s="737">
        <f>VLOOKUP($P709,Allocators!$B$7:$F$19,2,FALSE)</f>
        <v>0</v>
      </c>
      <c r="S709" s="737">
        <f>VLOOKUP($P709,Allocators!$B$7:$F$19,3,FALSE)</f>
        <v>0</v>
      </c>
      <c r="T709" s="737">
        <f t="shared" si="204"/>
        <v>1</v>
      </c>
      <c r="U709" s="2">
        <f t="shared" si="188"/>
        <v>0</v>
      </c>
      <c r="V709" s="2">
        <f t="shared" si="189"/>
        <v>0</v>
      </c>
      <c r="W709" s="2">
        <f t="shared" si="190"/>
        <v>-37852.993609999998</v>
      </c>
      <c r="X709" s="2">
        <f t="shared" si="186"/>
        <v>-37852.993609999998</v>
      </c>
      <c r="Y709" s="2">
        <f t="shared" si="191"/>
        <v>0</v>
      </c>
      <c r="Z709" s="2">
        <f t="shared" si="192"/>
        <v>0</v>
      </c>
      <c r="AA709" s="2">
        <f t="shared" si="193"/>
        <v>-37852.993609999998</v>
      </c>
      <c r="AB709" s="2">
        <f t="shared" si="187"/>
        <v>-37852.993609999998</v>
      </c>
      <c r="AC709" s="759">
        <v>-37852.993609999998</v>
      </c>
      <c r="AD709" s="741">
        <v>-37852.993609999998</v>
      </c>
      <c r="AE709" s="741">
        <v>-37852.993609999998</v>
      </c>
      <c r="AF709" s="741">
        <v>-37852.993609999998</v>
      </c>
      <c r="AG709" s="741">
        <v>-37852.993609999998</v>
      </c>
      <c r="AH709" s="741">
        <v>-37852.993609999998</v>
      </c>
      <c r="AI709" s="741">
        <v>-37852.993609999998</v>
      </c>
      <c r="AJ709" s="741">
        <v>-37852.993609999998</v>
      </c>
      <c r="AK709" s="741">
        <v>-37852.993609999998</v>
      </c>
      <c r="AL709" s="741">
        <v>-37852.993609999998</v>
      </c>
      <c r="AM709" s="741">
        <v>-37852.993609999998</v>
      </c>
      <c r="AN709" s="741">
        <v>-37852.993609999998</v>
      </c>
      <c r="AO709" s="741">
        <v>-37852.993609999998</v>
      </c>
      <c r="AP709" s="41" t="str">
        <f t="shared" si="183"/>
        <v>GLS</v>
      </c>
      <c r="AQ709" s="41" t="str">
        <f t="shared" si="184"/>
        <v>GLSS0</v>
      </c>
      <c r="AR709" s="41" t="str">
        <f t="shared" si="185"/>
        <v>S0</v>
      </c>
    </row>
    <row r="710" spans="1:44" s="41" customFormat="1" ht="12.75" customHeight="1">
      <c r="A710" s="25" t="s">
        <v>17</v>
      </c>
      <c r="B710" s="25" t="str">
        <f t="shared" si="199"/>
        <v>GL254276</v>
      </c>
      <c r="C710" s="638">
        <v>254276</v>
      </c>
      <c r="D710" s="735"/>
      <c r="F710" s="1" t="s">
        <v>682</v>
      </c>
      <c r="H710" s="736">
        <v>0</v>
      </c>
      <c r="I710" s="25"/>
      <c r="J710" s="25"/>
      <c r="K710" s="442" t="str">
        <f t="shared" si="198"/>
        <v/>
      </c>
      <c r="L710" s="736" t="s">
        <v>2464</v>
      </c>
      <c r="M710" s="25" t="str">
        <f t="shared" si="200"/>
        <v>S</v>
      </c>
      <c r="N710" s="25" t="str">
        <f>IF(L710&lt;&gt;"",VLOOKUP(L710,Categories!$B$2:$D$41,2,FALSE),IF(F710&lt;&gt;"","No Cat",""))</f>
        <v>A&amp;S Sch</v>
      </c>
      <c r="O710" s="25" t="str">
        <f>IF($L710&lt;&gt;"",VLOOKUP($L710,Categories!$B$2:$D$41,3,FALSE),IF($F710&lt;&gt;"","No Cat",""))</f>
        <v>Reg Asset &amp; Liabilities</v>
      </c>
      <c r="P710" s="736" t="s">
        <v>2468</v>
      </c>
      <c r="Q710" s="25" t="str">
        <f>VLOOKUP($P710,Allocators!$B$7:$F$19,5,FALSE)</f>
        <v>Not in Rate Base</v>
      </c>
      <c r="R710" s="737">
        <f>VLOOKUP($P710,Allocators!$B$7:$F$19,2,FALSE)</f>
        <v>0</v>
      </c>
      <c r="S710" s="737">
        <f>VLOOKUP($P710,Allocators!$B$7:$F$19,3,FALSE)</f>
        <v>0</v>
      </c>
      <c r="T710" s="737">
        <f t="shared" si="204"/>
        <v>1</v>
      </c>
      <c r="U710" s="2">
        <f t="shared" si="188"/>
        <v>0</v>
      </c>
      <c r="V710" s="2">
        <f t="shared" si="189"/>
        <v>0</v>
      </c>
      <c r="W710" s="2">
        <f t="shared" si="190"/>
        <v>348.34663999999998</v>
      </c>
      <c r="X710" s="2">
        <f t="shared" si="186"/>
        <v>348.34663999999998</v>
      </c>
      <c r="Y710" s="2">
        <f t="shared" si="191"/>
        <v>0</v>
      </c>
      <c r="Z710" s="2">
        <f t="shared" si="192"/>
        <v>0</v>
      </c>
      <c r="AA710" s="2">
        <f t="shared" si="193"/>
        <v>348.34663999999998</v>
      </c>
      <c r="AB710" s="2">
        <f t="shared" si="187"/>
        <v>348.34664000000004</v>
      </c>
      <c r="AC710" s="759">
        <v>348.34664000000004</v>
      </c>
      <c r="AD710" s="741">
        <v>348.34664000000004</v>
      </c>
      <c r="AE710" s="741">
        <v>348.34664000000004</v>
      </c>
      <c r="AF710" s="741">
        <v>348.34664000000004</v>
      </c>
      <c r="AG710" s="741">
        <v>348.34664000000004</v>
      </c>
      <c r="AH710" s="741">
        <v>348.34664000000004</v>
      </c>
      <c r="AI710" s="741">
        <v>348.34664000000004</v>
      </c>
      <c r="AJ710" s="741">
        <v>348.34664000000004</v>
      </c>
      <c r="AK710" s="741">
        <v>348.34664000000004</v>
      </c>
      <c r="AL710" s="741">
        <v>348.34664000000004</v>
      </c>
      <c r="AM710" s="741">
        <v>348.34664000000004</v>
      </c>
      <c r="AN710" s="741">
        <v>348.34664000000004</v>
      </c>
      <c r="AO710" s="741">
        <v>348.34664000000004</v>
      </c>
      <c r="AP710" s="41" t="str">
        <f t="shared" si="183"/>
        <v>GLS</v>
      </c>
      <c r="AQ710" s="41" t="str">
        <f t="shared" si="184"/>
        <v>GLSS0</v>
      </c>
      <c r="AR710" s="41" t="str">
        <f t="shared" si="185"/>
        <v>S0</v>
      </c>
    </row>
    <row r="711" spans="1:44" s="41" customFormat="1" ht="12.75" customHeight="1">
      <c r="A711" s="25" t="s">
        <v>17</v>
      </c>
      <c r="B711" s="25" t="str">
        <f t="shared" ref="B711" si="212">CONCATENATE(A711,C711,D711,E711)</f>
        <v>GL254367</v>
      </c>
      <c r="C711" s="638">
        <v>254367</v>
      </c>
      <c r="D711" s="735"/>
      <c r="F711" s="1" t="s">
        <v>4290</v>
      </c>
      <c r="H711" s="736">
        <v>0</v>
      </c>
      <c r="I711" s="25"/>
      <c r="J711" s="25"/>
      <c r="K711" s="442" t="str">
        <f t="shared" si="198"/>
        <v/>
      </c>
      <c r="L711" s="736" t="s">
        <v>2464</v>
      </c>
      <c r="M711" s="25" t="str">
        <f t="shared" si="200"/>
        <v>S</v>
      </c>
      <c r="N711" s="25" t="str">
        <f>IF(L711&lt;&gt;"",VLOOKUP(L711,Categories!$B$2:$D$41,2,FALSE),IF(F711&lt;&gt;"","No Cat",""))</f>
        <v>A&amp;S Sch</v>
      </c>
      <c r="O711" s="25" t="str">
        <f>IF($L711&lt;&gt;"",VLOOKUP($L711,Categories!$B$2:$D$41,3,FALSE),IF($F711&lt;&gt;"","No Cat",""))</f>
        <v>Reg Asset &amp; Liabilities</v>
      </c>
      <c r="P711" s="736" t="s">
        <v>2468</v>
      </c>
      <c r="Q711" s="25" t="str">
        <f>VLOOKUP($P711,Allocators!$B$7:$F$19,5,FALSE)</f>
        <v>Not in Rate Base</v>
      </c>
      <c r="R711" s="737">
        <f>VLOOKUP($P711,Allocators!$B$7:$F$19,2,FALSE)</f>
        <v>0</v>
      </c>
      <c r="S711" s="737">
        <f>VLOOKUP($P711,Allocators!$B$7:$F$19,3,FALSE)</f>
        <v>0</v>
      </c>
      <c r="T711" s="737">
        <f t="shared" ref="T711" si="213">IF(P711="N",1,"0.0%")</f>
        <v>1</v>
      </c>
      <c r="U711" s="2">
        <f t="shared" si="188"/>
        <v>0</v>
      </c>
      <c r="V711" s="2">
        <f t="shared" si="189"/>
        <v>0</v>
      </c>
      <c r="W711" s="2">
        <f t="shared" si="190"/>
        <v>-11807.2314133333</v>
      </c>
      <c r="X711" s="2">
        <f t="shared" si="186"/>
        <v>-11807.2314133333</v>
      </c>
      <c r="Y711" s="2" t="str">
        <f t="shared" si="191"/>
        <v/>
      </c>
      <c r="Z711" s="2" t="str">
        <f t="shared" si="192"/>
        <v/>
      </c>
      <c r="AA711" s="2" t="str">
        <f t="shared" si="193"/>
        <v/>
      </c>
      <c r="AB711" s="2">
        <f t="shared" si="187"/>
        <v>0</v>
      </c>
      <c r="AC711" s="759">
        <v>0</v>
      </c>
      <c r="AD711" s="741">
        <v>-27828.84</v>
      </c>
      <c r="AE711" s="741">
        <v>-36440.036999999997</v>
      </c>
      <c r="AF711" s="741">
        <v>-46094.942280000003</v>
      </c>
      <c r="AG711" s="741">
        <v>-15405.719519999999</v>
      </c>
      <c r="AH711" s="741">
        <v>-5883.4837600000001</v>
      </c>
      <c r="AI711" s="741">
        <v>-5389.36967</v>
      </c>
      <c r="AJ711" s="741">
        <v>-4644.3847300000007</v>
      </c>
      <c r="AK711" s="741">
        <v>0</v>
      </c>
      <c r="AL711" s="741">
        <v>0</v>
      </c>
      <c r="AM711" s="741">
        <v>0</v>
      </c>
      <c r="AN711" s="741">
        <v>0</v>
      </c>
      <c r="AO711" s="741">
        <v>0</v>
      </c>
      <c r="AP711" s="41" t="str">
        <f t="shared" ref="AP711:AP774" si="214">CONCATENATE(A711,M711)</f>
        <v>GLS</v>
      </c>
      <c r="AQ711" s="41" t="str">
        <f t="shared" ref="AQ711:AQ774" si="215">CONCATENATE(AP711,L711,H711)</f>
        <v>GLSS0</v>
      </c>
      <c r="AR711" s="41" t="str">
        <f t="shared" ref="AR711:AR774" si="216">CONCATENATE(L711,H711,J711)</f>
        <v>S0</v>
      </c>
    </row>
    <row r="712" spans="1:44" s="41" customFormat="1" ht="12.75" customHeight="1">
      <c r="A712" s="25" t="s">
        <v>17</v>
      </c>
      <c r="B712" s="25" t="str">
        <f t="shared" si="199"/>
        <v>GL254640</v>
      </c>
      <c r="C712" s="638">
        <v>254640</v>
      </c>
      <c r="D712" s="735"/>
      <c r="F712" s="1" t="s">
        <v>683</v>
      </c>
      <c r="H712" s="736">
        <v>0</v>
      </c>
      <c r="I712" s="25"/>
      <c r="J712" s="25"/>
      <c r="K712" s="442" t="str">
        <f t="shared" si="198"/>
        <v/>
      </c>
      <c r="L712" s="736" t="s">
        <v>2464</v>
      </c>
      <c r="M712" s="25" t="str">
        <f t="shared" si="200"/>
        <v>S</v>
      </c>
      <c r="N712" s="25" t="str">
        <f>IF(L712&lt;&gt;"",VLOOKUP(L712,Categories!$B$2:$D$41,2,FALSE),IF(F712&lt;&gt;"","No Cat",""))</f>
        <v>A&amp;S Sch</v>
      </c>
      <c r="O712" s="25" t="str">
        <f>IF($L712&lt;&gt;"",VLOOKUP($L712,Categories!$B$2:$D$41,3,FALSE),IF($F712&lt;&gt;"","No Cat",""))</f>
        <v>Reg Asset &amp; Liabilities</v>
      </c>
      <c r="P712" s="736" t="s">
        <v>2468</v>
      </c>
      <c r="Q712" s="25" t="str">
        <f>VLOOKUP($P712,Allocators!$B$7:$F$19,5,FALSE)</f>
        <v>Not in Rate Base</v>
      </c>
      <c r="R712" s="737">
        <f>VLOOKUP($P712,Allocators!$B$7:$F$19,2,FALSE)</f>
        <v>0</v>
      </c>
      <c r="S712" s="737">
        <f>VLOOKUP($P712,Allocators!$B$7:$F$19,3,FALSE)</f>
        <v>0</v>
      </c>
      <c r="T712" s="737">
        <f t="shared" si="204"/>
        <v>1</v>
      </c>
      <c r="U712" s="2" t="str">
        <f t="shared" si="188"/>
        <v/>
      </c>
      <c r="V712" s="2" t="str">
        <f t="shared" si="189"/>
        <v/>
      </c>
      <c r="W712" s="2" t="str">
        <f t="shared" si="190"/>
        <v/>
      </c>
      <c r="X712" s="2">
        <f t="shared" ref="X712:X775" si="217">IF(ISERROR(ROUND((SUM(AC712:AO712)-((AC712+AO712))/2)/12,15)),"",ROUND((SUM(AC712:AO712)-((AC712+AO712))/2)/12,15))</f>
        <v>0</v>
      </c>
      <c r="Y712" s="2" t="str">
        <f t="shared" si="191"/>
        <v/>
      </c>
      <c r="Z712" s="2" t="str">
        <f t="shared" si="192"/>
        <v/>
      </c>
      <c r="AA712" s="2" t="str">
        <f t="shared" si="193"/>
        <v/>
      </c>
      <c r="AB712" s="2">
        <f t="shared" ref="AB712:AB775" si="218">IF(AO712="",0,+AO712)</f>
        <v>0</v>
      </c>
      <c r="AC712" s="759">
        <v>0</v>
      </c>
      <c r="AD712" s="741">
        <v>0</v>
      </c>
      <c r="AE712" s="741">
        <v>0</v>
      </c>
      <c r="AF712" s="741">
        <v>0</v>
      </c>
      <c r="AG712" s="741">
        <v>0</v>
      </c>
      <c r="AH712" s="741">
        <v>0</v>
      </c>
      <c r="AI712" s="741">
        <v>0</v>
      </c>
      <c r="AJ712" s="741">
        <v>0</v>
      </c>
      <c r="AK712" s="741">
        <v>0</v>
      </c>
      <c r="AL712" s="741">
        <v>0</v>
      </c>
      <c r="AM712" s="741">
        <v>0</v>
      </c>
      <c r="AN712" s="741">
        <v>0</v>
      </c>
      <c r="AO712" s="741">
        <v>0</v>
      </c>
      <c r="AP712" s="41" t="str">
        <f t="shared" si="214"/>
        <v>GLS</v>
      </c>
      <c r="AQ712" s="41" t="str">
        <f t="shared" si="215"/>
        <v>GLSS0</v>
      </c>
      <c r="AR712" s="41" t="str">
        <f t="shared" si="216"/>
        <v>S0</v>
      </c>
    </row>
    <row r="713" spans="1:44" s="41" customFormat="1" ht="12.75" customHeight="1">
      <c r="A713" s="25" t="s">
        <v>17</v>
      </c>
      <c r="B713" s="25" t="str">
        <f t="shared" si="199"/>
        <v>GL254660</v>
      </c>
      <c r="C713" s="638">
        <v>254660</v>
      </c>
      <c r="D713" s="735"/>
      <c r="F713" s="1" t="s">
        <v>684</v>
      </c>
      <c r="H713" s="736">
        <v>0</v>
      </c>
      <c r="I713" s="25"/>
      <c r="J713" s="25"/>
      <c r="K713" s="442" t="str">
        <f t="shared" si="198"/>
        <v/>
      </c>
      <c r="L713" s="736" t="s">
        <v>2464</v>
      </c>
      <c r="M713" s="25" t="str">
        <f t="shared" si="200"/>
        <v>S</v>
      </c>
      <c r="N713" s="25" t="str">
        <f>IF(L713&lt;&gt;"",VLOOKUP(L713,Categories!$B$2:$D$41,2,FALSE),IF(F713&lt;&gt;"","No Cat",""))</f>
        <v>A&amp;S Sch</v>
      </c>
      <c r="O713" s="25" t="str">
        <f>IF($L713&lt;&gt;"",VLOOKUP($L713,Categories!$B$2:$D$41,3,FALSE),IF($F713&lt;&gt;"","No Cat",""))</f>
        <v>Reg Asset &amp; Liabilities</v>
      </c>
      <c r="P713" s="736" t="s">
        <v>2468</v>
      </c>
      <c r="Q713" s="25" t="str">
        <f>VLOOKUP($P713,Allocators!$B$7:$F$19,5,FALSE)</f>
        <v>Not in Rate Base</v>
      </c>
      <c r="R713" s="737">
        <f>VLOOKUP($P713,Allocators!$B$7:$F$19,2,FALSE)</f>
        <v>0</v>
      </c>
      <c r="S713" s="737">
        <f>VLOOKUP($P713,Allocators!$B$7:$F$19,3,FALSE)</f>
        <v>0</v>
      </c>
      <c r="T713" s="737">
        <f t="shared" si="204"/>
        <v>1</v>
      </c>
      <c r="U713" s="2" t="str">
        <f t="shared" si="188"/>
        <v/>
      </c>
      <c r="V713" s="2" t="str">
        <f t="shared" si="189"/>
        <v/>
      </c>
      <c r="W713" s="2" t="str">
        <f t="shared" si="190"/>
        <v/>
      </c>
      <c r="X713" s="2">
        <f t="shared" si="217"/>
        <v>0</v>
      </c>
      <c r="Y713" s="2" t="str">
        <f t="shared" si="191"/>
        <v/>
      </c>
      <c r="Z713" s="2" t="str">
        <f t="shared" si="192"/>
        <v/>
      </c>
      <c r="AA713" s="2" t="str">
        <f t="shared" si="193"/>
        <v/>
      </c>
      <c r="AB713" s="2">
        <f t="shared" si="218"/>
        <v>0</v>
      </c>
      <c r="AC713" s="759">
        <v>0</v>
      </c>
      <c r="AD713" s="741">
        <v>0</v>
      </c>
      <c r="AE713" s="741">
        <v>0</v>
      </c>
      <c r="AF713" s="741">
        <v>0</v>
      </c>
      <c r="AG713" s="741">
        <v>0</v>
      </c>
      <c r="AH713" s="741">
        <v>0</v>
      </c>
      <c r="AI713" s="741">
        <v>0</v>
      </c>
      <c r="AJ713" s="741">
        <v>0</v>
      </c>
      <c r="AK713" s="741">
        <v>0</v>
      </c>
      <c r="AL713" s="741">
        <v>0</v>
      </c>
      <c r="AM713" s="741">
        <v>0</v>
      </c>
      <c r="AN713" s="741">
        <v>0</v>
      </c>
      <c r="AO713" s="741">
        <v>0</v>
      </c>
      <c r="AP713" s="41" t="str">
        <f t="shared" si="214"/>
        <v>GLS</v>
      </c>
      <c r="AQ713" s="41" t="str">
        <f t="shared" si="215"/>
        <v>GLSS0</v>
      </c>
      <c r="AR713" s="41" t="str">
        <f t="shared" si="216"/>
        <v>S0</v>
      </c>
    </row>
    <row r="714" spans="1:44" s="41" customFormat="1" ht="12.75" customHeight="1">
      <c r="A714" s="25" t="s">
        <v>17</v>
      </c>
      <c r="B714" s="25" t="str">
        <f t="shared" si="199"/>
        <v>GL254670</v>
      </c>
      <c r="C714" s="638">
        <v>254670</v>
      </c>
      <c r="D714" s="735"/>
      <c r="F714" s="1" t="s">
        <v>685</v>
      </c>
      <c r="H714" s="736">
        <v>0</v>
      </c>
      <c r="I714" s="25"/>
      <c r="J714" s="25"/>
      <c r="K714" s="442" t="str">
        <f t="shared" si="198"/>
        <v/>
      </c>
      <c r="L714" s="736" t="s">
        <v>2464</v>
      </c>
      <c r="M714" s="25" t="str">
        <f t="shared" si="200"/>
        <v>S</v>
      </c>
      <c r="N714" s="25" t="str">
        <f>IF(L714&lt;&gt;"",VLOOKUP(L714,Categories!$B$2:$D$41,2,FALSE),IF(F714&lt;&gt;"","No Cat",""))</f>
        <v>A&amp;S Sch</v>
      </c>
      <c r="O714" s="25" t="str">
        <f>IF($L714&lt;&gt;"",VLOOKUP($L714,Categories!$B$2:$D$41,3,FALSE),IF($F714&lt;&gt;"","No Cat",""))</f>
        <v>Reg Asset &amp; Liabilities</v>
      </c>
      <c r="P714" s="736" t="s">
        <v>2468</v>
      </c>
      <c r="Q714" s="25" t="str">
        <f>VLOOKUP($P714,Allocators!$B$7:$F$19,5,FALSE)</f>
        <v>Not in Rate Base</v>
      </c>
      <c r="R714" s="737">
        <f>VLOOKUP($P714,Allocators!$B$7:$F$19,2,FALSE)</f>
        <v>0</v>
      </c>
      <c r="S714" s="737">
        <f>VLOOKUP($P714,Allocators!$B$7:$F$19,3,FALSE)</f>
        <v>0</v>
      </c>
      <c r="T714" s="737">
        <f t="shared" si="204"/>
        <v>1</v>
      </c>
      <c r="U714" s="2">
        <f t="shared" si="188"/>
        <v>0</v>
      </c>
      <c r="V714" s="2">
        <f t="shared" si="189"/>
        <v>0</v>
      </c>
      <c r="W714" s="2">
        <f t="shared" si="190"/>
        <v>-1374.4324829166701</v>
      </c>
      <c r="X714" s="2">
        <f t="shared" si="217"/>
        <v>-1374.4324829166701</v>
      </c>
      <c r="Y714" s="2">
        <f t="shared" si="191"/>
        <v>0</v>
      </c>
      <c r="Z714" s="2">
        <f t="shared" si="192"/>
        <v>0</v>
      </c>
      <c r="AA714" s="2">
        <f t="shared" si="193"/>
        <v>-1416.11616</v>
      </c>
      <c r="AB714" s="2">
        <f t="shared" si="218"/>
        <v>-1416.1161599999998</v>
      </c>
      <c r="AC714" s="759">
        <v>-1383.09231</v>
      </c>
      <c r="AD714" s="741">
        <v>-1380.2916399999999</v>
      </c>
      <c r="AE714" s="741">
        <v>-1377.4799699999999</v>
      </c>
      <c r="AF714" s="741">
        <v>-1374.65725</v>
      </c>
      <c r="AG714" s="741">
        <v>-1371.82341</v>
      </c>
      <c r="AH714" s="741">
        <v>-1368.9784199999999</v>
      </c>
      <c r="AI714" s="741">
        <v>-1366.12222</v>
      </c>
      <c r="AJ714" s="741">
        <v>-1363.25478</v>
      </c>
      <c r="AK714" s="741">
        <v>-1360.3760300000001</v>
      </c>
      <c r="AL714" s="741">
        <v>-1357.4859299999998</v>
      </c>
      <c r="AM714" s="741">
        <v>-1354.5844199999999</v>
      </c>
      <c r="AN714" s="741">
        <v>-1418.5314900000001</v>
      </c>
      <c r="AO714" s="741">
        <v>-1416.1161599999998</v>
      </c>
      <c r="AP714" s="41" t="str">
        <f t="shared" si="214"/>
        <v>GLS</v>
      </c>
      <c r="AQ714" s="41" t="str">
        <f t="shared" si="215"/>
        <v>GLSS0</v>
      </c>
      <c r="AR714" s="41" t="str">
        <f t="shared" si="216"/>
        <v>S0</v>
      </c>
    </row>
    <row r="715" spans="1:44" s="41" customFormat="1" ht="12.75" customHeight="1">
      <c r="A715" s="25" t="s">
        <v>17</v>
      </c>
      <c r="B715" s="25" t="str">
        <f t="shared" si="199"/>
        <v>GL254680</v>
      </c>
      <c r="C715" s="638">
        <v>254680</v>
      </c>
      <c r="D715" s="735"/>
      <c r="F715" s="1" t="s">
        <v>686</v>
      </c>
      <c r="H715" s="736">
        <v>0</v>
      </c>
      <c r="I715" s="25"/>
      <c r="J715" s="25"/>
      <c r="K715" s="442" t="str">
        <f t="shared" si="198"/>
        <v/>
      </c>
      <c r="L715" s="736" t="s">
        <v>2464</v>
      </c>
      <c r="M715" s="25" t="str">
        <f t="shared" si="200"/>
        <v>S</v>
      </c>
      <c r="N715" s="25" t="str">
        <f>IF(L715&lt;&gt;"",VLOOKUP(L715,Categories!$B$2:$D$41,2,FALSE),IF(F715&lt;&gt;"","No Cat",""))</f>
        <v>A&amp;S Sch</v>
      </c>
      <c r="O715" s="25" t="str">
        <f>IF($L715&lt;&gt;"",VLOOKUP($L715,Categories!$B$2:$D$41,3,FALSE),IF($F715&lt;&gt;"","No Cat",""))</f>
        <v>Reg Asset &amp; Liabilities</v>
      </c>
      <c r="P715" s="736" t="s">
        <v>2468</v>
      </c>
      <c r="Q715" s="25" t="str">
        <f>VLOOKUP($P715,Allocators!$B$7:$F$19,5,FALSE)</f>
        <v>Not in Rate Base</v>
      </c>
      <c r="R715" s="737">
        <f>VLOOKUP($P715,Allocators!$B$7:$F$19,2,FALSE)</f>
        <v>0</v>
      </c>
      <c r="S715" s="737">
        <f>VLOOKUP($P715,Allocators!$B$7:$F$19,3,FALSE)</f>
        <v>0</v>
      </c>
      <c r="T715" s="737">
        <f t="shared" si="204"/>
        <v>1</v>
      </c>
      <c r="U715" s="2" t="str">
        <f t="shared" ref="U715:U779" si="219">IF(ABS(X715)=0,"",IF($R715="NO ALLOC","NO ALLOC",ROUND($R715*X715,15)))</f>
        <v/>
      </c>
      <c r="V715" s="2" t="str">
        <f t="shared" ref="V715:V779" si="220">IF(ABS(X715)=0,"",IF($S715="NO ALLOC","NO ALLOC",ROUND($S715*X715,15)))</f>
        <v/>
      </c>
      <c r="W715" s="2" t="str">
        <f t="shared" ref="W715:W779" si="221">IF(ABS(X715)=0,"",IF($T715="NO ALLOC","NO ALLOC",ROUND($T715*X715,15)))</f>
        <v/>
      </c>
      <c r="X715" s="2">
        <f t="shared" si="217"/>
        <v>0</v>
      </c>
      <c r="Y715" s="2" t="str">
        <f t="shared" ref="Y715:Y779" si="222">IF(ABS(AB715)=0,"",IF($R715="NO ALLOC","NO ALLOC",ROUND($R715*AB715,15)))</f>
        <v/>
      </c>
      <c r="Z715" s="2" t="str">
        <f t="shared" ref="Z715:Z779" si="223">IF(ABS(AB715)=0,"",IF($S715="NO ALLOC","NO ALLOC",ROUND($S715*AB715,15)))</f>
        <v/>
      </c>
      <c r="AA715" s="2" t="str">
        <f t="shared" ref="AA715:AA779" si="224">IF(ABS(AB715)=0,"",IF($T715="NO ALLOC","NO ALLOC",ROUND($T715*AB715,15)))</f>
        <v/>
      </c>
      <c r="AB715" s="2">
        <f t="shared" si="218"/>
        <v>0</v>
      </c>
      <c r="AC715" s="759">
        <v>0</v>
      </c>
      <c r="AD715" s="741">
        <v>0</v>
      </c>
      <c r="AE715" s="741">
        <v>0</v>
      </c>
      <c r="AF715" s="741">
        <v>0</v>
      </c>
      <c r="AG715" s="741">
        <v>0</v>
      </c>
      <c r="AH715" s="741">
        <v>0</v>
      </c>
      <c r="AI715" s="741">
        <v>0</v>
      </c>
      <c r="AJ715" s="741">
        <v>0</v>
      </c>
      <c r="AK715" s="741">
        <v>0</v>
      </c>
      <c r="AL715" s="741">
        <v>0</v>
      </c>
      <c r="AM715" s="741">
        <v>0</v>
      </c>
      <c r="AN715" s="741">
        <v>0</v>
      </c>
      <c r="AO715" s="741">
        <v>0</v>
      </c>
      <c r="AP715" s="41" t="str">
        <f t="shared" si="214"/>
        <v>GLS</v>
      </c>
      <c r="AQ715" s="41" t="str">
        <f t="shared" si="215"/>
        <v>GLSS0</v>
      </c>
      <c r="AR715" s="41" t="str">
        <f t="shared" si="216"/>
        <v>S0</v>
      </c>
    </row>
    <row r="716" spans="1:44" s="41" customFormat="1" ht="12.75" customHeight="1">
      <c r="A716" s="25" t="s">
        <v>17</v>
      </c>
      <c r="B716" s="25" t="str">
        <f t="shared" si="199"/>
        <v>GL254690</v>
      </c>
      <c r="C716" s="638">
        <v>254690</v>
      </c>
      <c r="D716" s="735"/>
      <c r="F716" s="1" t="s">
        <v>687</v>
      </c>
      <c r="H716" s="736">
        <v>0</v>
      </c>
      <c r="I716" s="25"/>
      <c r="J716" s="25"/>
      <c r="K716" s="442" t="str">
        <f t="shared" si="198"/>
        <v/>
      </c>
      <c r="L716" s="736" t="s">
        <v>2464</v>
      </c>
      <c r="M716" s="25" t="str">
        <f t="shared" si="200"/>
        <v>S</v>
      </c>
      <c r="N716" s="25" t="str">
        <f>IF(L716&lt;&gt;"",VLOOKUP(L716,Categories!$B$2:$D$41,2,FALSE),IF(F716&lt;&gt;"","No Cat",""))</f>
        <v>A&amp;S Sch</v>
      </c>
      <c r="O716" s="25" t="str">
        <f>IF($L716&lt;&gt;"",VLOOKUP($L716,Categories!$B$2:$D$41,3,FALSE),IF($F716&lt;&gt;"","No Cat",""))</f>
        <v>Reg Asset &amp; Liabilities</v>
      </c>
      <c r="P716" s="736" t="s">
        <v>2468</v>
      </c>
      <c r="Q716" s="25" t="str">
        <f>VLOOKUP($P716,Allocators!$B$7:$F$19,5,FALSE)</f>
        <v>Not in Rate Base</v>
      </c>
      <c r="R716" s="737">
        <f>VLOOKUP($P716,Allocators!$B$7:$F$19,2,FALSE)</f>
        <v>0</v>
      </c>
      <c r="S716" s="737">
        <f>VLOOKUP($P716,Allocators!$B$7:$F$19,3,FALSE)</f>
        <v>0</v>
      </c>
      <c r="T716" s="737">
        <f t="shared" si="204"/>
        <v>1</v>
      </c>
      <c r="U716" s="2">
        <f t="shared" si="219"/>
        <v>0</v>
      </c>
      <c r="V716" s="2">
        <f t="shared" si="220"/>
        <v>0</v>
      </c>
      <c r="W716" s="2">
        <f t="shared" si="221"/>
        <v>-6810.4008695833299</v>
      </c>
      <c r="X716" s="2">
        <f t="shared" si="217"/>
        <v>-6810.4008695833299</v>
      </c>
      <c r="Y716" s="2">
        <f t="shared" si="222"/>
        <v>0</v>
      </c>
      <c r="Z716" s="2">
        <f t="shared" si="223"/>
        <v>0</v>
      </c>
      <c r="AA716" s="2">
        <f t="shared" si="224"/>
        <v>-4977.3261400000001</v>
      </c>
      <c r="AB716" s="2">
        <f t="shared" si="218"/>
        <v>-4977.3261399999992</v>
      </c>
      <c r="AC716" s="759">
        <v>-7534.41255</v>
      </c>
      <c r="AD716" s="741">
        <v>-7459.6866799999998</v>
      </c>
      <c r="AE716" s="741">
        <v>-7326.73614</v>
      </c>
      <c r="AF716" s="741">
        <v>-7149.2435099999993</v>
      </c>
      <c r="AG716" s="741">
        <v>-7057.6528399999997</v>
      </c>
      <c r="AH716" s="741">
        <v>-6849.6649299999999</v>
      </c>
      <c r="AI716" s="741">
        <v>-6767.5591399999994</v>
      </c>
      <c r="AJ716" s="741">
        <v>-6710.4997100000001</v>
      </c>
      <c r="AK716" s="741">
        <v>-6656.00972</v>
      </c>
      <c r="AL716" s="741">
        <v>-6569.2175800000005</v>
      </c>
      <c r="AM716" s="741">
        <v>-6510.8670700000002</v>
      </c>
      <c r="AN716" s="741">
        <v>-6411.8037699999995</v>
      </c>
      <c r="AO716" s="741">
        <v>-4977.3261399999992</v>
      </c>
      <c r="AP716" s="41" t="str">
        <f t="shared" si="214"/>
        <v>GLS</v>
      </c>
      <c r="AQ716" s="41" t="str">
        <f t="shared" si="215"/>
        <v>GLSS0</v>
      </c>
      <c r="AR716" s="41" t="str">
        <f t="shared" si="216"/>
        <v>S0</v>
      </c>
    </row>
    <row r="717" spans="1:44" s="41" customFormat="1" ht="12.75" customHeight="1">
      <c r="A717" s="25" t="s">
        <v>17</v>
      </c>
      <c r="B717" s="25" t="str">
        <f t="shared" ref="B717" si="225">CONCATENATE(A717,C717,D717,E717)</f>
        <v>GL254691</v>
      </c>
      <c r="C717" s="638">
        <v>254691</v>
      </c>
      <c r="D717" s="735"/>
      <c r="F717" s="1" t="s">
        <v>4042</v>
      </c>
      <c r="H717" s="736">
        <v>0</v>
      </c>
      <c r="I717" s="25"/>
      <c r="J717" s="25"/>
      <c r="K717" s="442" t="str">
        <f t="shared" si="198"/>
        <v/>
      </c>
      <c r="L717" s="736" t="s">
        <v>2464</v>
      </c>
      <c r="M717" s="25" t="str">
        <f t="shared" si="200"/>
        <v>S</v>
      </c>
      <c r="N717" s="25" t="str">
        <f>IF(L717&lt;&gt;"",VLOOKUP(L717,Categories!$B$2:$D$41,2,FALSE),IF(F717&lt;&gt;"","No Cat",""))</f>
        <v>A&amp;S Sch</v>
      </c>
      <c r="O717" s="25" t="str">
        <f>IF($L717&lt;&gt;"",VLOOKUP($L717,Categories!$B$2:$D$41,3,FALSE),IF($F717&lt;&gt;"","No Cat",""))</f>
        <v>Reg Asset &amp; Liabilities</v>
      </c>
      <c r="P717" s="736" t="s">
        <v>2468</v>
      </c>
      <c r="Q717" s="25" t="str">
        <f>VLOOKUP($P717,Allocators!$B$7:$F$19,5,FALSE)</f>
        <v>Not in Rate Base</v>
      </c>
      <c r="R717" s="737">
        <f>VLOOKUP($P717,Allocators!$B$7:$F$19,2,FALSE)</f>
        <v>0</v>
      </c>
      <c r="S717" s="737">
        <f>VLOOKUP($P717,Allocators!$B$7:$F$19,3,FALSE)</f>
        <v>0</v>
      </c>
      <c r="T717" s="737">
        <f t="shared" si="204"/>
        <v>1</v>
      </c>
      <c r="U717" s="2">
        <f t="shared" si="219"/>
        <v>0</v>
      </c>
      <c r="V717" s="2">
        <f t="shared" si="220"/>
        <v>0</v>
      </c>
      <c r="W717" s="2">
        <f t="shared" si="221"/>
        <v>-9103.3722849999995</v>
      </c>
      <c r="X717" s="2">
        <f t="shared" si="217"/>
        <v>-9103.3722849999995</v>
      </c>
      <c r="Y717" s="2">
        <f t="shared" si="222"/>
        <v>0</v>
      </c>
      <c r="Z717" s="2">
        <f t="shared" si="223"/>
        <v>0</v>
      </c>
      <c r="AA717" s="2">
        <f t="shared" si="224"/>
        <v>-7561.4567100000004</v>
      </c>
      <c r="AB717" s="2">
        <f t="shared" si="218"/>
        <v>-7561.4567100000004</v>
      </c>
      <c r="AC717" s="759">
        <v>-9750.6271699999998</v>
      </c>
      <c r="AD717" s="741">
        <v>-9705.1630800000003</v>
      </c>
      <c r="AE717" s="741">
        <v>-9669.3287700000001</v>
      </c>
      <c r="AF717" s="741">
        <v>-9546.651609999999</v>
      </c>
      <c r="AG717" s="741">
        <v>-9498.945310000001</v>
      </c>
      <c r="AH717" s="741">
        <v>-9321.6830800000007</v>
      </c>
      <c r="AI717" s="741">
        <v>-9281.6064499999993</v>
      </c>
      <c r="AJ717" s="741">
        <v>-9171.0073400000001</v>
      </c>
      <c r="AK717" s="741">
        <v>-8733.7507299999997</v>
      </c>
      <c r="AL717" s="741">
        <v>-8620.8848200000011</v>
      </c>
      <c r="AM717" s="741">
        <v>-8559.3835899999995</v>
      </c>
      <c r="AN717" s="741">
        <v>-8476.0206999999991</v>
      </c>
      <c r="AO717" s="741">
        <v>-7561.4567100000004</v>
      </c>
      <c r="AP717" s="41" t="str">
        <f t="shared" si="214"/>
        <v>GLS</v>
      </c>
      <c r="AQ717" s="41" t="str">
        <f t="shared" si="215"/>
        <v>GLSS0</v>
      </c>
      <c r="AR717" s="41" t="str">
        <f t="shared" si="216"/>
        <v>S0</v>
      </c>
    </row>
    <row r="718" spans="1:44" s="41" customFormat="1" ht="12.75" customHeight="1">
      <c r="A718" s="25" t="s">
        <v>17</v>
      </c>
      <c r="B718" s="25" t="str">
        <f t="shared" si="199"/>
        <v>GL254901</v>
      </c>
      <c r="C718" s="638">
        <v>254901</v>
      </c>
      <c r="D718" s="735"/>
      <c r="F718" s="1" t="s">
        <v>688</v>
      </c>
      <c r="H718" s="736">
        <v>0</v>
      </c>
      <c r="I718" s="25"/>
      <c r="J718" s="25"/>
      <c r="K718" s="442" t="str">
        <f t="shared" si="198"/>
        <v/>
      </c>
      <c r="L718" s="736" t="s">
        <v>2464</v>
      </c>
      <c r="M718" s="25" t="str">
        <f t="shared" si="200"/>
        <v>S</v>
      </c>
      <c r="N718" s="25" t="str">
        <f>IF(L718&lt;&gt;"",VLOOKUP(L718,Categories!$B$2:$D$41,2,FALSE),IF(F718&lt;&gt;"","No Cat",""))</f>
        <v>A&amp;S Sch</v>
      </c>
      <c r="O718" s="25" t="str">
        <f>IF($L718&lt;&gt;"",VLOOKUP($L718,Categories!$B$2:$D$41,3,FALSE),IF($F718&lt;&gt;"","No Cat",""))</f>
        <v>Reg Asset &amp; Liabilities</v>
      </c>
      <c r="P718" s="736" t="s">
        <v>2468</v>
      </c>
      <c r="Q718" s="25" t="str">
        <f>VLOOKUP($P718,Allocators!$B$7:$F$19,5,FALSE)</f>
        <v>Not in Rate Base</v>
      </c>
      <c r="R718" s="737">
        <f>VLOOKUP($P718,Allocators!$B$7:$F$19,2,FALSE)</f>
        <v>0</v>
      </c>
      <c r="S718" s="737">
        <f>VLOOKUP($P718,Allocators!$B$7:$F$19,3,FALSE)</f>
        <v>0</v>
      </c>
      <c r="T718" s="737">
        <f t="shared" si="204"/>
        <v>1</v>
      </c>
      <c r="U718" s="2" t="str">
        <f t="shared" si="219"/>
        <v/>
      </c>
      <c r="V718" s="2" t="str">
        <f t="shared" si="220"/>
        <v/>
      </c>
      <c r="W718" s="2" t="str">
        <f t="shared" si="221"/>
        <v/>
      </c>
      <c r="X718" s="2">
        <f t="shared" si="217"/>
        <v>0</v>
      </c>
      <c r="Y718" s="2" t="str">
        <f t="shared" si="222"/>
        <v/>
      </c>
      <c r="Z718" s="2" t="str">
        <f t="shared" si="223"/>
        <v/>
      </c>
      <c r="AA718" s="2" t="str">
        <f t="shared" si="224"/>
        <v/>
      </c>
      <c r="AB718" s="2">
        <f t="shared" si="218"/>
        <v>0</v>
      </c>
      <c r="AC718" s="759">
        <v>0</v>
      </c>
      <c r="AD718" s="741">
        <v>0</v>
      </c>
      <c r="AE718" s="741">
        <v>0</v>
      </c>
      <c r="AF718" s="741">
        <v>0</v>
      </c>
      <c r="AG718" s="741">
        <v>0</v>
      </c>
      <c r="AH718" s="741">
        <v>0</v>
      </c>
      <c r="AI718" s="741">
        <v>0</v>
      </c>
      <c r="AJ718" s="741">
        <v>0</v>
      </c>
      <c r="AK718" s="741">
        <v>0</v>
      </c>
      <c r="AL718" s="741">
        <v>0</v>
      </c>
      <c r="AM718" s="741">
        <v>0</v>
      </c>
      <c r="AN718" s="741">
        <v>0</v>
      </c>
      <c r="AO718" s="741">
        <v>0</v>
      </c>
      <c r="AP718" s="41" t="str">
        <f t="shared" si="214"/>
        <v>GLS</v>
      </c>
      <c r="AQ718" s="41" t="str">
        <f t="shared" si="215"/>
        <v>GLSS0</v>
      </c>
      <c r="AR718" s="41" t="str">
        <f t="shared" si="216"/>
        <v>S0</v>
      </c>
    </row>
    <row r="719" spans="1:44" s="41" customFormat="1" ht="12.75" customHeight="1">
      <c r="A719" s="25" t="s">
        <v>17</v>
      </c>
      <c r="B719" s="25" t="str">
        <f t="shared" si="199"/>
        <v>GL254903</v>
      </c>
      <c r="C719" s="638">
        <v>254903</v>
      </c>
      <c r="D719" s="735"/>
      <c r="F719" s="1" t="s">
        <v>689</v>
      </c>
      <c r="H719" s="736">
        <v>0</v>
      </c>
      <c r="I719" s="25"/>
      <c r="J719" s="25"/>
      <c r="K719" s="442" t="str">
        <f t="shared" si="198"/>
        <v/>
      </c>
      <c r="L719" s="736" t="s">
        <v>2464</v>
      </c>
      <c r="M719" s="25" t="str">
        <f t="shared" si="200"/>
        <v>S</v>
      </c>
      <c r="N719" s="25" t="str">
        <f>IF(L719&lt;&gt;"",VLOOKUP(L719,Categories!$B$2:$D$41,2,FALSE),IF(F719&lt;&gt;"","No Cat",""))</f>
        <v>A&amp;S Sch</v>
      </c>
      <c r="O719" s="25" t="str">
        <f>IF($L719&lt;&gt;"",VLOOKUP($L719,Categories!$B$2:$D$41,3,FALSE),IF($F719&lt;&gt;"","No Cat",""))</f>
        <v>Reg Asset &amp; Liabilities</v>
      </c>
      <c r="P719" s="736" t="s">
        <v>2468</v>
      </c>
      <c r="Q719" s="25" t="str">
        <f>VLOOKUP($P719,Allocators!$B$7:$F$19,5,FALSE)</f>
        <v>Not in Rate Base</v>
      </c>
      <c r="R719" s="737">
        <f>VLOOKUP($P719,Allocators!$B$7:$F$19,2,FALSE)</f>
        <v>0</v>
      </c>
      <c r="S719" s="737">
        <f>VLOOKUP($P719,Allocators!$B$7:$F$19,3,FALSE)</f>
        <v>0</v>
      </c>
      <c r="T719" s="737">
        <f t="shared" si="204"/>
        <v>1</v>
      </c>
      <c r="U719" s="2" t="str">
        <f t="shared" si="219"/>
        <v/>
      </c>
      <c r="V719" s="2" t="str">
        <f t="shared" si="220"/>
        <v/>
      </c>
      <c r="W719" s="2" t="str">
        <f t="shared" si="221"/>
        <v/>
      </c>
      <c r="X719" s="2">
        <f t="shared" si="217"/>
        <v>0</v>
      </c>
      <c r="Y719" s="2" t="str">
        <f t="shared" si="222"/>
        <v/>
      </c>
      <c r="Z719" s="2" t="str">
        <f t="shared" si="223"/>
        <v/>
      </c>
      <c r="AA719" s="2" t="str">
        <f t="shared" si="224"/>
        <v/>
      </c>
      <c r="AB719" s="2">
        <f t="shared" si="218"/>
        <v>0</v>
      </c>
      <c r="AC719" s="759">
        <v>0</v>
      </c>
      <c r="AD719" s="741">
        <v>0</v>
      </c>
      <c r="AE719" s="741">
        <v>0</v>
      </c>
      <c r="AF719" s="741">
        <v>0</v>
      </c>
      <c r="AG719" s="741">
        <v>0</v>
      </c>
      <c r="AH719" s="741">
        <v>0</v>
      </c>
      <c r="AI719" s="741">
        <v>0</v>
      </c>
      <c r="AJ719" s="741">
        <v>0</v>
      </c>
      <c r="AK719" s="741">
        <v>0</v>
      </c>
      <c r="AL719" s="741">
        <v>0</v>
      </c>
      <c r="AM719" s="741">
        <v>0</v>
      </c>
      <c r="AN719" s="741">
        <v>0</v>
      </c>
      <c r="AO719" s="741">
        <v>0</v>
      </c>
      <c r="AP719" s="41" t="str">
        <f t="shared" si="214"/>
        <v>GLS</v>
      </c>
      <c r="AQ719" s="41" t="str">
        <f t="shared" si="215"/>
        <v>GLSS0</v>
      </c>
      <c r="AR719" s="41" t="str">
        <f t="shared" si="216"/>
        <v>S0</v>
      </c>
    </row>
    <row r="720" spans="1:44" s="41" customFormat="1" ht="12.75" customHeight="1">
      <c r="A720" s="25" t="s">
        <v>17</v>
      </c>
      <c r="B720" s="25" t="str">
        <f t="shared" si="199"/>
        <v>GL254904</v>
      </c>
      <c r="C720" s="638">
        <v>254904</v>
      </c>
      <c r="D720" s="735"/>
      <c r="F720" s="1" t="s">
        <v>690</v>
      </c>
      <c r="H720" s="736">
        <v>0</v>
      </c>
      <c r="I720" s="25"/>
      <c r="J720" s="25"/>
      <c r="K720" s="442" t="str">
        <f t="shared" si="198"/>
        <v/>
      </c>
      <c r="L720" s="736" t="s">
        <v>2464</v>
      </c>
      <c r="M720" s="25" t="str">
        <f t="shared" si="200"/>
        <v>S</v>
      </c>
      <c r="N720" s="25" t="str">
        <f>IF(L720&lt;&gt;"",VLOOKUP(L720,Categories!$B$2:$D$41,2,FALSE),IF(F720&lt;&gt;"","No Cat",""))</f>
        <v>A&amp;S Sch</v>
      </c>
      <c r="O720" s="25" t="str">
        <f>IF($L720&lt;&gt;"",VLOOKUP($L720,Categories!$B$2:$D$41,3,FALSE),IF($F720&lt;&gt;"","No Cat",""))</f>
        <v>Reg Asset &amp; Liabilities</v>
      </c>
      <c r="P720" s="736" t="s">
        <v>2468</v>
      </c>
      <c r="Q720" s="25" t="str">
        <f>VLOOKUP($P720,Allocators!$B$7:$F$19,5,FALSE)</f>
        <v>Not in Rate Base</v>
      </c>
      <c r="R720" s="737">
        <f>VLOOKUP($P720,Allocators!$B$7:$F$19,2,FALSE)</f>
        <v>0</v>
      </c>
      <c r="S720" s="737">
        <f>VLOOKUP($P720,Allocators!$B$7:$F$19,3,FALSE)</f>
        <v>0</v>
      </c>
      <c r="T720" s="737">
        <f t="shared" si="204"/>
        <v>1</v>
      </c>
      <c r="U720" s="2" t="str">
        <f t="shared" si="219"/>
        <v/>
      </c>
      <c r="V720" s="2" t="str">
        <f t="shared" si="220"/>
        <v/>
      </c>
      <c r="W720" s="2" t="str">
        <f t="shared" si="221"/>
        <v/>
      </c>
      <c r="X720" s="2">
        <f t="shared" si="217"/>
        <v>0</v>
      </c>
      <c r="Y720" s="2" t="str">
        <f t="shared" si="222"/>
        <v/>
      </c>
      <c r="Z720" s="2" t="str">
        <f t="shared" si="223"/>
        <v/>
      </c>
      <c r="AA720" s="2" t="str">
        <f t="shared" si="224"/>
        <v/>
      </c>
      <c r="AB720" s="2">
        <f t="shared" si="218"/>
        <v>0</v>
      </c>
      <c r="AC720" s="759">
        <v>0</v>
      </c>
      <c r="AD720" s="741">
        <v>0</v>
      </c>
      <c r="AE720" s="741">
        <v>0</v>
      </c>
      <c r="AF720" s="741">
        <v>0</v>
      </c>
      <c r="AG720" s="741">
        <v>0</v>
      </c>
      <c r="AH720" s="741">
        <v>0</v>
      </c>
      <c r="AI720" s="741">
        <v>0</v>
      </c>
      <c r="AJ720" s="741">
        <v>0</v>
      </c>
      <c r="AK720" s="741">
        <v>0</v>
      </c>
      <c r="AL720" s="741">
        <v>0</v>
      </c>
      <c r="AM720" s="741">
        <v>0</v>
      </c>
      <c r="AN720" s="741">
        <v>0</v>
      </c>
      <c r="AO720" s="741">
        <v>0</v>
      </c>
      <c r="AP720" s="41" t="str">
        <f t="shared" si="214"/>
        <v>GLS</v>
      </c>
      <c r="AQ720" s="41" t="str">
        <f t="shared" si="215"/>
        <v>GLSS0</v>
      </c>
      <c r="AR720" s="41" t="str">
        <f t="shared" si="216"/>
        <v>S0</v>
      </c>
    </row>
    <row r="721" spans="1:44" s="41" customFormat="1" ht="12.75" customHeight="1">
      <c r="A721" s="25" t="s">
        <v>17</v>
      </c>
      <c r="B721" s="25" t="str">
        <f t="shared" si="199"/>
        <v>GL254905</v>
      </c>
      <c r="C721" s="638">
        <v>254905</v>
      </c>
      <c r="D721" s="735"/>
      <c r="F721" s="1" t="s">
        <v>691</v>
      </c>
      <c r="H721" s="736">
        <v>0</v>
      </c>
      <c r="I721" s="25"/>
      <c r="J721" s="25"/>
      <c r="K721" s="442" t="str">
        <f t="shared" si="198"/>
        <v/>
      </c>
      <c r="L721" s="736" t="s">
        <v>2464</v>
      </c>
      <c r="M721" s="25" t="str">
        <f t="shared" si="200"/>
        <v>S</v>
      </c>
      <c r="N721" s="25" t="str">
        <f>IF(L721&lt;&gt;"",VLOOKUP(L721,Categories!$B$2:$D$41,2,FALSE),IF(F721&lt;&gt;"","No Cat",""))</f>
        <v>A&amp;S Sch</v>
      </c>
      <c r="O721" s="25" t="str">
        <f>IF($L721&lt;&gt;"",VLOOKUP($L721,Categories!$B$2:$D$41,3,FALSE),IF($F721&lt;&gt;"","No Cat",""))</f>
        <v>Reg Asset &amp; Liabilities</v>
      </c>
      <c r="P721" s="736" t="s">
        <v>2468</v>
      </c>
      <c r="Q721" s="25" t="str">
        <f>VLOOKUP($P721,Allocators!$B$7:$F$19,5,FALSE)</f>
        <v>Not in Rate Base</v>
      </c>
      <c r="R721" s="737">
        <f>VLOOKUP($P721,Allocators!$B$7:$F$19,2,FALSE)</f>
        <v>0</v>
      </c>
      <c r="S721" s="737">
        <f>VLOOKUP($P721,Allocators!$B$7:$F$19,3,FALSE)</f>
        <v>0</v>
      </c>
      <c r="T721" s="737">
        <f t="shared" si="204"/>
        <v>1</v>
      </c>
      <c r="U721" s="2" t="str">
        <f t="shared" si="219"/>
        <v/>
      </c>
      <c r="V721" s="2" t="str">
        <f t="shared" si="220"/>
        <v/>
      </c>
      <c r="W721" s="2" t="str">
        <f t="shared" si="221"/>
        <v/>
      </c>
      <c r="X721" s="2">
        <f t="shared" si="217"/>
        <v>0</v>
      </c>
      <c r="Y721" s="2" t="str">
        <f t="shared" si="222"/>
        <v/>
      </c>
      <c r="Z721" s="2" t="str">
        <f t="shared" si="223"/>
        <v/>
      </c>
      <c r="AA721" s="2" t="str">
        <f t="shared" si="224"/>
        <v/>
      </c>
      <c r="AB721" s="2">
        <f t="shared" si="218"/>
        <v>0</v>
      </c>
      <c r="AC721" s="759">
        <v>0</v>
      </c>
      <c r="AD721" s="741">
        <v>0</v>
      </c>
      <c r="AE721" s="741">
        <v>0</v>
      </c>
      <c r="AF721" s="741">
        <v>0</v>
      </c>
      <c r="AG721" s="741">
        <v>0</v>
      </c>
      <c r="AH721" s="741">
        <v>0</v>
      </c>
      <c r="AI721" s="741">
        <v>0</v>
      </c>
      <c r="AJ721" s="741">
        <v>0</v>
      </c>
      <c r="AK721" s="741">
        <v>0</v>
      </c>
      <c r="AL721" s="741">
        <v>0</v>
      </c>
      <c r="AM721" s="741">
        <v>0</v>
      </c>
      <c r="AN721" s="741">
        <v>0</v>
      </c>
      <c r="AO721" s="741">
        <v>0</v>
      </c>
      <c r="AP721" s="41" t="str">
        <f t="shared" si="214"/>
        <v>GLS</v>
      </c>
      <c r="AQ721" s="41" t="str">
        <f t="shared" si="215"/>
        <v>GLSS0</v>
      </c>
      <c r="AR721" s="41" t="str">
        <f t="shared" si="216"/>
        <v>S0</v>
      </c>
    </row>
    <row r="722" spans="1:44" s="41" customFormat="1" ht="12.75" customHeight="1">
      <c r="A722" s="25" t="s">
        <v>17</v>
      </c>
      <c r="B722" s="25" t="str">
        <f t="shared" si="199"/>
        <v>GL254907</v>
      </c>
      <c r="C722" s="638">
        <v>254907</v>
      </c>
      <c r="D722" s="735"/>
      <c r="F722" s="1" t="s">
        <v>692</v>
      </c>
      <c r="H722" s="736">
        <v>0</v>
      </c>
      <c r="I722" s="25"/>
      <c r="J722" s="25"/>
      <c r="K722" s="442" t="str">
        <f t="shared" si="198"/>
        <v/>
      </c>
      <c r="L722" s="736" t="s">
        <v>2464</v>
      </c>
      <c r="M722" s="25" t="str">
        <f t="shared" si="200"/>
        <v>S</v>
      </c>
      <c r="N722" s="25" t="str">
        <f>IF(L722&lt;&gt;"",VLOOKUP(L722,Categories!$B$2:$D$41,2,FALSE),IF(F722&lt;&gt;"","No Cat",""))</f>
        <v>A&amp;S Sch</v>
      </c>
      <c r="O722" s="25" t="str">
        <f>IF($L722&lt;&gt;"",VLOOKUP($L722,Categories!$B$2:$D$41,3,FALSE),IF($F722&lt;&gt;"","No Cat",""))</f>
        <v>Reg Asset &amp; Liabilities</v>
      </c>
      <c r="P722" s="736" t="s">
        <v>2468</v>
      </c>
      <c r="Q722" s="25" t="str">
        <f>VLOOKUP($P722,Allocators!$B$7:$F$19,5,FALSE)</f>
        <v>Not in Rate Base</v>
      </c>
      <c r="R722" s="737">
        <f>VLOOKUP($P722,Allocators!$B$7:$F$19,2,FALSE)</f>
        <v>0</v>
      </c>
      <c r="S722" s="737">
        <f>VLOOKUP($P722,Allocators!$B$7:$F$19,3,FALSE)</f>
        <v>0</v>
      </c>
      <c r="T722" s="737">
        <f t="shared" si="204"/>
        <v>1</v>
      </c>
      <c r="U722" s="2" t="str">
        <f t="shared" si="219"/>
        <v/>
      </c>
      <c r="V722" s="2" t="str">
        <f t="shared" si="220"/>
        <v/>
      </c>
      <c r="W722" s="2" t="str">
        <f t="shared" si="221"/>
        <v/>
      </c>
      <c r="X722" s="2">
        <f t="shared" si="217"/>
        <v>0</v>
      </c>
      <c r="Y722" s="2" t="str">
        <f t="shared" si="222"/>
        <v/>
      </c>
      <c r="Z722" s="2" t="str">
        <f t="shared" si="223"/>
        <v/>
      </c>
      <c r="AA722" s="2" t="str">
        <f t="shared" si="224"/>
        <v/>
      </c>
      <c r="AB722" s="2">
        <f t="shared" si="218"/>
        <v>0</v>
      </c>
      <c r="AC722" s="759">
        <v>0</v>
      </c>
      <c r="AD722" s="741">
        <v>0</v>
      </c>
      <c r="AE722" s="741">
        <v>0</v>
      </c>
      <c r="AF722" s="741">
        <v>0</v>
      </c>
      <c r="AG722" s="741">
        <v>0</v>
      </c>
      <c r="AH722" s="741">
        <v>0</v>
      </c>
      <c r="AI722" s="741">
        <v>0</v>
      </c>
      <c r="AJ722" s="741">
        <v>0</v>
      </c>
      <c r="AK722" s="741">
        <v>0</v>
      </c>
      <c r="AL722" s="741">
        <v>0</v>
      </c>
      <c r="AM722" s="741">
        <v>0</v>
      </c>
      <c r="AN722" s="741">
        <v>0</v>
      </c>
      <c r="AO722" s="741">
        <v>0</v>
      </c>
      <c r="AP722" s="41" t="str">
        <f t="shared" si="214"/>
        <v>GLS</v>
      </c>
      <c r="AQ722" s="41" t="str">
        <f t="shared" si="215"/>
        <v>GLSS0</v>
      </c>
      <c r="AR722" s="41" t="str">
        <f t="shared" si="216"/>
        <v>S0</v>
      </c>
    </row>
    <row r="723" spans="1:44" s="41" customFormat="1" ht="12.75" customHeight="1">
      <c r="A723" s="25" t="s">
        <v>17</v>
      </c>
      <c r="B723" s="25" t="str">
        <f t="shared" si="199"/>
        <v>GL254908</v>
      </c>
      <c r="C723" s="638">
        <v>254908</v>
      </c>
      <c r="D723" s="735"/>
      <c r="F723" s="1" t="s">
        <v>693</v>
      </c>
      <c r="H723" s="736">
        <v>0</v>
      </c>
      <c r="I723" s="25"/>
      <c r="J723" s="25"/>
      <c r="K723" s="442" t="str">
        <f t="shared" si="198"/>
        <v/>
      </c>
      <c r="L723" s="736" t="s">
        <v>2464</v>
      </c>
      <c r="M723" s="25" t="str">
        <f t="shared" si="200"/>
        <v>S</v>
      </c>
      <c r="N723" s="25" t="str">
        <f>IF(L723&lt;&gt;"",VLOOKUP(L723,Categories!$B$2:$D$41,2,FALSE),IF(F723&lt;&gt;"","No Cat",""))</f>
        <v>A&amp;S Sch</v>
      </c>
      <c r="O723" s="25" t="str">
        <f>IF($L723&lt;&gt;"",VLOOKUP($L723,Categories!$B$2:$D$41,3,FALSE),IF($F723&lt;&gt;"","No Cat",""))</f>
        <v>Reg Asset &amp; Liabilities</v>
      </c>
      <c r="P723" s="736" t="s">
        <v>2468</v>
      </c>
      <c r="Q723" s="25" t="str">
        <f>VLOOKUP($P723,Allocators!$B$7:$F$19,5,FALSE)</f>
        <v>Not in Rate Base</v>
      </c>
      <c r="R723" s="737">
        <f>VLOOKUP($P723,Allocators!$B$7:$F$19,2,FALSE)</f>
        <v>0</v>
      </c>
      <c r="S723" s="737">
        <f>VLOOKUP($P723,Allocators!$B$7:$F$19,3,FALSE)</f>
        <v>0</v>
      </c>
      <c r="T723" s="737">
        <f t="shared" si="204"/>
        <v>1</v>
      </c>
      <c r="U723" s="2" t="str">
        <f t="shared" si="219"/>
        <v/>
      </c>
      <c r="V723" s="2" t="str">
        <f t="shared" si="220"/>
        <v/>
      </c>
      <c r="W723" s="2" t="str">
        <f t="shared" si="221"/>
        <v/>
      </c>
      <c r="X723" s="2">
        <f t="shared" si="217"/>
        <v>0</v>
      </c>
      <c r="Y723" s="2" t="str">
        <f t="shared" si="222"/>
        <v/>
      </c>
      <c r="Z723" s="2" t="str">
        <f t="shared" si="223"/>
        <v/>
      </c>
      <c r="AA723" s="2" t="str">
        <f t="shared" si="224"/>
        <v/>
      </c>
      <c r="AB723" s="2">
        <f t="shared" si="218"/>
        <v>0</v>
      </c>
      <c r="AC723" s="759">
        <v>0</v>
      </c>
      <c r="AD723" s="741">
        <v>0</v>
      </c>
      <c r="AE723" s="741">
        <v>0</v>
      </c>
      <c r="AF723" s="741">
        <v>0</v>
      </c>
      <c r="AG723" s="741">
        <v>0</v>
      </c>
      <c r="AH723" s="741">
        <v>0</v>
      </c>
      <c r="AI723" s="741">
        <v>0</v>
      </c>
      <c r="AJ723" s="741">
        <v>0</v>
      </c>
      <c r="AK723" s="741">
        <v>0</v>
      </c>
      <c r="AL723" s="741">
        <v>0</v>
      </c>
      <c r="AM723" s="741">
        <v>0</v>
      </c>
      <c r="AN723" s="741">
        <v>0</v>
      </c>
      <c r="AO723" s="741">
        <v>0</v>
      </c>
      <c r="AP723" s="41" t="str">
        <f t="shared" si="214"/>
        <v>GLS</v>
      </c>
      <c r="AQ723" s="41" t="str">
        <f t="shared" si="215"/>
        <v>GLSS0</v>
      </c>
      <c r="AR723" s="41" t="str">
        <f t="shared" si="216"/>
        <v>S0</v>
      </c>
    </row>
    <row r="724" spans="1:44" s="41" customFormat="1" ht="12.75" customHeight="1">
      <c r="A724" s="25" t="s">
        <v>17</v>
      </c>
      <c r="B724" s="25" t="str">
        <f t="shared" si="199"/>
        <v>GL254994</v>
      </c>
      <c r="C724" s="638">
        <v>254994</v>
      </c>
      <c r="D724" s="735"/>
      <c r="F724" s="1" t="s">
        <v>694</v>
      </c>
      <c r="H724" s="736">
        <v>0</v>
      </c>
      <c r="I724" s="25"/>
      <c r="J724" s="25"/>
      <c r="K724" s="442" t="str">
        <f t="shared" si="198"/>
        <v/>
      </c>
      <c r="L724" s="736" t="s">
        <v>2464</v>
      </c>
      <c r="M724" s="25" t="str">
        <f t="shared" si="200"/>
        <v>S</v>
      </c>
      <c r="N724" s="25" t="str">
        <f>IF(L724&lt;&gt;"",VLOOKUP(L724,Categories!$B$2:$D$41,2,FALSE),IF(F724&lt;&gt;"","No Cat",""))</f>
        <v>A&amp;S Sch</v>
      </c>
      <c r="O724" s="25" t="str">
        <f>IF($L724&lt;&gt;"",VLOOKUP($L724,Categories!$B$2:$D$41,3,FALSE),IF($F724&lt;&gt;"","No Cat",""))</f>
        <v>Reg Asset &amp; Liabilities</v>
      </c>
      <c r="P724" s="736" t="s">
        <v>2468</v>
      </c>
      <c r="Q724" s="25" t="str">
        <f>VLOOKUP($P724,Allocators!$B$7:$F$19,5,FALSE)</f>
        <v>Not in Rate Base</v>
      </c>
      <c r="R724" s="737">
        <f>VLOOKUP($P724,Allocators!$B$7:$F$19,2,FALSE)</f>
        <v>0</v>
      </c>
      <c r="S724" s="737">
        <f>VLOOKUP($P724,Allocators!$B$7:$F$19,3,FALSE)</f>
        <v>0</v>
      </c>
      <c r="T724" s="737">
        <f t="shared" si="204"/>
        <v>1</v>
      </c>
      <c r="U724" s="2">
        <f t="shared" si="219"/>
        <v>0</v>
      </c>
      <c r="V724" s="2">
        <f t="shared" si="220"/>
        <v>0</v>
      </c>
      <c r="W724" s="2">
        <f t="shared" si="221"/>
        <v>-2338.02882083333</v>
      </c>
      <c r="X724" s="2">
        <f t="shared" si="217"/>
        <v>-2338.02882083333</v>
      </c>
      <c r="Y724" s="2">
        <f t="shared" si="222"/>
        <v>0</v>
      </c>
      <c r="Z724" s="2">
        <f t="shared" si="223"/>
        <v>0</v>
      </c>
      <c r="AA724" s="2">
        <f t="shared" si="224"/>
        <v>-1892.8362099999999</v>
      </c>
      <c r="AB724" s="2">
        <f t="shared" si="218"/>
        <v>-1892.8362099999999</v>
      </c>
      <c r="AC724" s="759">
        <v>-3689.3691899999999</v>
      </c>
      <c r="AD724" s="741">
        <v>-4613.2142000000003</v>
      </c>
      <c r="AE724" s="741">
        <v>-2172.52819</v>
      </c>
      <c r="AF724" s="741">
        <v>-2152.1052</v>
      </c>
      <c r="AG724" s="741">
        <v>-2131.5672000000004</v>
      </c>
      <c r="AH724" s="741">
        <v>-2110.9122000000002</v>
      </c>
      <c r="AI724" s="741">
        <v>-2090.16419</v>
      </c>
      <c r="AJ724" s="741">
        <v>-2069.2821899999999</v>
      </c>
      <c r="AK724" s="741">
        <v>-2048.2752099999998</v>
      </c>
      <c r="AL724" s="741">
        <v>-2027.1481899999999</v>
      </c>
      <c r="AM724" s="741">
        <v>-1935.72219</v>
      </c>
      <c r="AN724" s="741">
        <v>-1914.32419</v>
      </c>
      <c r="AO724" s="741">
        <v>-1892.8362099999999</v>
      </c>
      <c r="AP724" s="41" t="str">
        <f t="shared" si="214"/>
        <v>GLS</v>
      </c>
      <c r="AQ724" s="41" t="str">
        <f t="shared" si="215"/>
        <v>GLSS0</v>
      </c>
      <c r="AR724" s="41" t="str">
        <f t="shared" si="216"/>
        <v>S0</v>
      </c>
    </row>
    <row r="725" spans="1:44" s="41" customFormat="1" ht="12.75" customHeight="1">
      <c r="A725" s="25" t="s">
        <v>17</v>
      </c>
      <c r="B725" s="25" t="str">
        <f t="shared" si="199"/>
        <v>GL254995</v>
      </c>
      <c r="C725" s="638">
        <v>254995</v>
      </c>
      <c r="D725" s="735"/>
      <c r="F725" s="1" t="s">
        <v>695</v>
      </c>
      <c r="H725" s="736">
        <v>0</v>
      </c>
      <c r="I725" s="25"/>
      <c r="J725" s="25"/>
      <c r="K725" s="442" t="str">
        <f t="shared" si="198"/>
        <v/>
      </c>
      <c r="L725" s="736" t="s">
        <v>2464</v>
      </c>
      <c r="M725" s="25" t="str">
        <f t="shared" si="200"/>
        <v>S</v>
      </c>
      <c r="N725" s="25" t="str">
        <f>IF(L725&lt;&gt;"",VLOOKUP(L725,Categories!$B$2:$D$41,2,FALSE),IF(F725&lt;&gt;"","No Cat",""))</f>
        <v>A&amp;S Sch</v>
      </c>
      <c r="O725" s="25" t="str">
        <f>IF($L725&lt;&gt;"",VLOOKUP($L725,Categories!$B$2:$D$41,3,FALSE),IF($F725&lt;&gt;"","No Cat",""))</f>
        <v>Reg Asset &amp; Liabilities</v>
      </c>
      <c r="P725" s="736" t="s">
        <v>2468</v>
      </c>
      <c r="Q725" s="25" t="str">
        <f>VLOOKUP($P725,Allocators!$B$7:$F$19,5,FALSE)</f>
        <v>Not in Rate Base</v>
      </c>
      <c r="R725" s="737">
        <f>VLOOKUP($P725,Allocators!$B$7:$F$19,2,FALSE)</f>
        <v>0</v>
      </c>
      <c r="S725" s="737">
        <f>VLOOKUP($P725,Allocators!$B$7:$F$19,3,FALSE)</f>
        <v>0</v>
      </c>
      <c r="T725" s="737">
        <f t="shared" si="204"/>
        <v>1</v>
      </c>
      <c r="U725" s="2">
        <f t="shared" si="219"/>
        <v>0</v>
      </c>
      <c r="V725" s="2">
        <f t="shared" si="220"/>
        <v>0</v>
      </c>
      <c r="W725" s="2">
        <f t="shared" si="221"/>
        <v>2338.02882083333</v>
      </c>
      <c r="X725" s="2">
        <f t="shared" si="217"/>
        <v>2338.02882083333</v>
      </c>
      <c r="Y725" s="2">
        <f t="shared" si="222"/>
        <v>0</v>
      </c>
      <c r="Z725" s="2">
        <f t="shared" si="223"/>
        <v>0</v>
      </c>
      <c r="AA725" s="2">
        <f t="shared" si="224"/>
        <v>1892.8362099999999</v>
      </c>
      <c r="AB725" s="2">
        <f t="shared" si="218"/>
        <v>1892.8362099999999</v>
      </c>
      <c r="AC725" s="759">
        <v>3689.3691899999999</v>
      </c>
      <c r="AD725" s="741">
        <v>4613.2142000000003</v>
      </c>
      <c r="AE725" s="741">
        <v>2172.52819</v>
      </c>
      <c r="AF725" s="741">
        <v>2152.1052</v>
      </c>
      <c r="AG725" s="741">
        <v>2131.5672000000004</v>
      </c>
      <c r="AH725" s="741">
        <v>2110.9122000000002</v>
      </c>
      <c r="AI725" s="741">
        <v>2090.16419</v>
      </c>
      <c r="AJ725" s="741">
        <v>2069.2821899999999</v>
      </c>
      <c r="AK725" s="741">
        <v>2048.2752099999998</v>
      </c>
      <c r="AL725" s="741">
        <v>2027.1481899999999</v>
      </c>
      <c r="AM725" s="741">
        <v>1935.72219</v>
      </c>
      <c r="AN725" s="741">
        <v>1914.32419</v>
      </c>
      <c r="AO725" s="741">
        <v>1892.8362099999999</v>
      </c>
      <c r="AP725" s="41" t="str">
        <f t="shared" si="214"/>
        <v>GLS</v>
      </c>
      <c r="AQ725" s="41" t="str">
        <f t="shared" si="215"/>
        <v>GLSS0</v>
      </c>
      <c r="AR725" s="41" t="str">
        <f t="shared" si="216"/>
        <v>S0</v>
      </c>
    </row>
    <row r="726" spans="1:44" s="41" customFormat="1" ht="12.75" customHeight="1">
      <c r="A726" s="25" t="s">
        <v>17</v>
      </c>
      <c r="B726" s="25" t="str">
        <f t="shared" si="199"/>
        <v>GL254996</v>
      </c>
      <c r="C726" s="638">
        <v>254996</v>
      </c>
      <c r="D726" s="735"/>
      <c r="F726" s="1" t="s">
        <v>696</v>
      </c>
      <c r="H726" s="736">
        <v>0</v>
      </c>
      <c r="I726" s="25"/>
      <c r="J726" s="25"/>
      <c r="K726" s="442" t="str">
        <f t="shared" ref="K726:K789" si="226">IF(L726="N3","Y","")</f>
        <v/>
      </c>
      <c r="L726" s="736" t="s">
        <v>2464</v>
      </c>
      <c r="M726" s="25" t="str">
        <f t="shared" si="200"/>
        <v>S</v>
      </c>
      <c r="N726" s="25" t="str">
        <f>IF(L726&lt;&gt;"",VLOOKUP(L726,Categories!$B$2:$D$41,2,FALSE),IF(F726&lt;&gt;"","No Cat",""))</f>
        <v>A&amp;S Sch</v>
      </c>
      <c r="O726" s="25" t="str">
        <f>IF($L726&lt;&gt;"",VLOOKUP($L726,Categories!$B$2:$D$41,3,FALSE),IF($F726&lt;&gt;"","No Cat",""))</f>
        <v>Reg Asset &amp; Liabilities</v>
      </c>
      <c r="P726" s="736" t="s">
        <v>2468</v>
      </c>
      <c r="Q726" s="25" t="str">
        <f>VLOOKUP($P726,Allocators!$B$7:$F$19,5,FALSE)</f>
        <v>Not in Rate Base</v>
      </c>
      <c r="R726" s="737">
        <f>VLOOKUP($P726,Allocators!$B$7:$F$19,2,FALSE)</f>
        <v>0</v>
      </c>
      <c r="S726" s="737">
        <f>VLOOKUP($P726,Allocators!$B$7:$F$19,3,FALSE)</f>
        <v>0</v>
      </c>
      <c r="T726" s="737">
        <f t="shared" si="204"/>
        <v>1</v>
      </c>
      <c r="U726" s="2" t="str">
        <f t="shared" si="219"/>
        <v/>
      </c>
      <c r="V726" s="2" t="str">
        <f t="shared" si="220"/>
        <v/>
      </c>
      <c r="W726" s="2" t="str">
        <f t="shared" si="221"/>
        <v/>
      </c>
      <c r="X726" s="2">
        <f t="shared" si="217"/>
        <v>0</v>
      </c>
      <c r="Y726" s="2" t="str">
        <f t="shared" si="222"/>
        <v/>
      </c>
      <c r="Z726" s="2" t="str">
        <f t="shared" si="223"/>
        <v/>
      </c>
      <c r="AA726" s="2" t="str">
        <f t="shared" si="224"/>
        <v/>
      </c>
      <c r="AB726" s="2">
        <f t="shared" si="218"/>
        <v>0</v>
      </c>
      <c r="AC726" s="759">
        <v>0</v>
      </c>
      <c r="AD726" s="741">
        <v>0</v>
      </c>
      <c r="AE726" s="741">
        <v>0</v>
      </c>
      <c r="AF726" s="741">
        <v>0</v>
      </c>
      <c r="AG726" s="741">
        <v>0</v>
      </c>
      <c r="AH726" s="741">
        <v>0</v>
      </c>
      <c r="AI726" s="741">
        <v>0</v>
      </c>
      <c r="AJ726" s="741">
        <v>0</v>
      </c>
      <c r="AK726" s="741">
        <v>0</v>
      </c>
      <c r="AL726" s="741">
        <v>0</v>
      </c>
      <c r="AM726" s="741">
        <v>0</v>
      </c>
      <c r="AN726" s="741">
        <v>0</v>
      </c>
      <c r="AO726" s="741">
        <v>0</v>
      </c>
      <c r="AP726" s="41" t="str">
        <f t="shared" si="214"/>
        <v>GLS</v>
      </c>
      <c r="AQ726" s="41" t="str">
        <f t="shared" si="215"/>
        <v>GLSS0</v>
      </c>
      <c r="AR726" s="41" t="str">
        <f t="shared" si="216"/>
        <v>S0</v>
      </c>
    </row>
    <row r="727" spans="1:44" s="41" customFormat="1" ht="12.75" customHeight="1">
      <c r="A727" s="25" t="s">
        <v>17</v>
      </c>
      <c r="B727" s="25" t="str">
        <f t="shared" si="199"/>
        <v>GL255000</v>
      </c>
      <c r="C727" s="638">
        <v>255000</v>
      </c>
      <c r="D727" s="735"/>
      <c r="F727" s="1" t="s">
        <v>697</v>
      </c>
      <c r="H727" s="736">
        <v>0</v>
      </c>
      <c r="I727" s="25"/>
      <c r="J727" s="25"/>
      <c r="K727" s="442" t="str">
        <f t="shared" si="226"/>
        <v/>
      </c>
      <c r="L727" s="736" t="s">
        <v>2466</v>
      </c>
      <c r="M727" s="25" t="str">
        <f t="shared" si="200"/>
        <v>T</v>
      </c>
      <c r="N727" s="25" t="str">
        <f>IF(L727&lt;&gt;"",VLOOKUP(L727,Categories!$B$2:$D$41,2,FALSE),IF(F727&lt;&gt;"","No Cat",""))</f>
        <v>ADIT Sch</v>
      </c>
      <c r="O727" s="25" t="str">
        <f>IF($L727&lt;&gt;"",VLOOKUP($L727,Categories!$B$2:$D$41,3,FALSE),IF($F727&lt;&gt;"","No Cat",""))</f>
        <v>Def Taxes</v>
      </c>
      <c r="P727" s="736" t="s">
        <v>2468</v>
      </c>
      <c r="Q727" s="25" t="str">
        <f>VLOOKUP($P727,Allocators!$B$7:$F$19,5,FALSE)</f>
        <v>Not in Rate Base</v>
      </c>
      <c r="R727" s="737">
        <f>VLOOKUP($P727,Allocators!$B$7:$F$19,2,FALSE)</f>
        <v>0</v>
      </c>
      <c r="S727" s="737">
        <f>VLOOKUP($P727,Allocators!$B$7:$F$19,3,FALSE)</f>
        <v>0</v>
      </c>
      <c r="T727" s="737">
        <f t="shared" si="204"/>
        <v>1</v>
      </c>
      <c r="U727" s="2" t="str">
        <f t="shared" si="219"/>
        <v/>
      </c>
      <c r="V727" s="2" t="str">
        <f t="shared" si="220"/>
        <v/>
      </c>
      <c r="W727" s="2" t="str">
        <f t="shared" si="221"/>
        <v/>
      </c>
      <c r="X727" s="2">
        <f t="shared" si="217"/>
        <v>0</v>
      </c>
      <c r="Y727" s="2" t="str">
        <f t="shared" si="222"/>
        <v/>
      </c>
      <c r="Z727" s="2" t="str">
        <f t="shared" si="223"/>
        <v/>
      </c>
      <c r="AA727" s="2" t="str">
        <f t="shared" si="224"/>
        <v/>
      </c>
      <c r="AB727" s="2">
        <f t="shared" si="218"/>
        <v>0</v>
      </c>
      <c r="AC727" s="759">
        <v>0</v>
      </c>
      <c r="AD727" s="741">
        <v>0</v>
      </c>
      <c r="AE727" s="741">
        <v>0</v>
      </c>
      <c r="AF727" s="741">
        <v>0</v>
      </c>
      <c r="AG727" s="741">
        <v>0</v>
      </c>
      <c r="AH727" s="741">
        <v>0</v>
      </c>
      <c r="AI727" s="741">
        <v>0</v>
      </c>
      <c r="AJ727" s="741">
        <v>0</v>
      </c>
      <c r="AK727" s="741">
        <v>0</v>
      </c>
      <c r="AL727" s="741">
        <v>0</v>
      </c>
      <c r="AM727" s="741">
        <v>0</v>
      </c>
      <c r="AN727" s="741">
        <v>0</v>
      </c>
      <c r="AO727" s="741">
        <v>0</v>
      </c>
      <c r="AP727" s="41" t="str">
        <f t="shared" si="214"/>
        <v>GLT</v>
      </c>
      <c r="AQ727" s="41" t="str">
        <f t="shared" si="215"/>
        <v>GLTT0</v>
      </c>
      <c r="AR727" s="41" t="str">
        <f t="shared" si="216"/>
        <v>T0</v>
      </c>
    </row>
    <row r="728" spans="1:44" s="41" customFormat="1" ht="12.75" customHeight="1">
      <c r="A728" s="25" t="s">
        <v>17</v>
      </c>
      <c r="B728" s="25" t="str">
        <f t="shared" si="199"/>
        <v>GL255100</v>
      </c>
      <c r="C728" s="638">
        <v>255100</v>
      </c>
      <c r="D728" s="735"/>
      <c r="F728" s="1" t="s">
        <v>698</v>
      </c>
      <c r="H728" s="736">
        <v>0</v>
      </c>
      <c r="I728" s="25"/>
      <c r="J728" s="25"/>
      <c r="K728" s="442" t="str">
        <f t="shared" si="226"/>
        <v/>
      </c>
      <c r="L728" s="736" t="s">
        <v>2466</v>
      </c>
      <c r="M728" s="25" t="str">
        <f t="shared" si="200"/>
        <v>T</v>
      </c>
      <c r="N728" s="25" t="str">
        <f>IF(L728&lt;&gt;"",VLOOKUP(L728,Categories!$B$2:$D$41,2,FALSE),IF(F728&lt;&gt;"","No Cat",""))</f>
        <v>ADIT Sch</v>
      </c>
      <c r="O728" s="25" t="str">
        <f>IF($L728&lt;&gt;"",VLOOKUP($L728,Categories!$B$2:$D$41,3,FALSE),IF($F728&lt;&gt;"","No Cat",""))</f>
        <v>Def Taxes</v>
      </c>
      <c r="P728" s="736" t="s">
        <v>2468</v>
      </c>
      <c r="Q728" s="25" t="str">
        <f>VLOOKUP($P728,Allocators!$B$7:$F$19,5,FALSE)</f>
        <v>Not in Rate Base</v>
      </c>
      <c r="R728" s="737">
        <f>VLOOKUP($P728,Allocators!$B$7:$F$19,2,FALSE)</f>
        <v>0</v>
      </c>
      <c r="S728" s="737">
        <f>VLOOKUP($P728,Allocators!$B$7:$F$19,3,FALSE)</f>
        <v>0</v>
      </c>
      <c r="T728" s="737">
        <f t="shared" si="204"/>
        <v>1</v>
      </c>
      <c r="U728" s="2">
        <f t="shared" si="219"/>
        <v>0</v>
      </c>
      <c r="V728" s="2">
        <f t="shared" si="220"/>
        <v>0</v>
      </c>
      <c r="W728" s="2">
        <f t="shared" si="221"/>
        <v>-133.22398125000001</v>
      </c>
      <c r="X728" s="2">
        <f t="shared" si="217"/>
        <v>-133.22398125000001</v>
      </c>
      <c r="Y728" s="2" t="str">
        <f t="shared" si="222"/>
        <v/>
      </c>
      <c r="Z728" s="2" t="str">
        <f t="shared" si="223"/>
        <v/>
      </c>
      <c r="AA728" s="2" t="str">
        <f t="shared" si="224"/>
        <v/>
      </c>
      <c r="AB728" s="2">
        <f t="shared" si="218"/>
        <v>0</v>
      </c>
      <c r="AC728" s="759">
        <v>-354.99345</v>
      </c>
      <c r="AD728" s="741">
        <v>-315.57678000000004</v>
      </c>
      <c r="AE728" s="741">
        <v>-276.16012000000001</v>
      </c>
      <c r="AF728" s="741">
        <v>-236.74345000000002</v>
      </c>
      <c r="AG728" s="741">
        <v>-197.32677999999999</v>
      </c>
      <c r="AH728" s="741">
        <v>-157.91012000000001</v>
      </c>
      <c r="AI728" s="741">
        <v>-118.49345</v>
      </c>
      <c r="AJ728" s="741">
        <v>-79.076779999999999</v>
      </c>
      <c r="AK728" s="741">
        <v>-39.660119999999999</v>
      </c>
      <c r="AL728" s="741">
        <v>-0.24345</v>
      </c>
      <c r="AM728" s="741">
        <v>0</v>
      </c>
      <c r="AN728" s="741">
        <v>0</v>
      </c>
      <c r="AO728" s="741">
        <v>0</v>
      </c>
      <c r="AP728" s="41" t="str">
        <f t="shared" si="214"/>
        <v>GLT</v>
      </c>
      <c r="AQ728" s="41" t="str">
        <f t="shared" si="215"/>
        <v>GLTT0</v>
      </c>
      <c r="AR728" s="41" t="str">
        <f t="shared" si="216"/>
        <v>T0</v>
      </c>
    </row>
    <row r="729" spans="1:44" s="41" customFormat="1" ht="12.75" customHeight="1">
      <c r="A729" s="25" t="s">
        <v>17</v>
      </c>
      <c r="B729" s="25" t="str">
        <f t="shared" si="199"/>
        <v>GL255200</v>
      </c>
      <c r="C729" s="638">
        <v>255200</v>
      </c>
      <c r="D729" s="735"/>
      <c r="F729" s="1" t="s">
        <v>699</v>
      </c>
      <c r="H729" s="736">
        <v>0</v>
      </c>
      <c r="I729" s="25"/>
      <c r="J729" s="25"/>
      <c r="K729" s="442" t="str">
        <f t="shared" si="226"/>
        <v/>
      </c>
      <c r="L729" s="736" t="s">
        <v>2466</v>
      </c>
      <c r="M729" s="25" t="str">
        <f t="shared" si="200"/>
        <v>T</v>
      </c>
      <c r="N729" s="25" t="str">
        <f>IF(L729&lt;&gt;"",VLOOKUP(L729,Categories!$B$2:$D$41,2,FALSE),IF(F729&lt;&gt;"","No Cat",""))</f>
        <v>ADIT Sch</v>
      </c>
      <c r="O729" s="25" t="str">
        <f>IF($L729&lt;&gt;"",VLOOKUP($L729,Categories!$B$2:$D$41,3,FALSE),IF($F729&lt;&gt;"","No Cat",""))</f>
        <v>Def Taxes</v>
      </c>
      <c r="P729" s="736" t="s">
        <v>2468</v>
      </c>
      <c r="Q729" s="25" t="str">
        <f>VLOOKUP($P729,Allocators!$B$7:$F$19,5,FALSE)</f>
        <v>Not in Rate Base</v>
      </c>
      <c r="R729" s="737">
        <f>VLOOKUP($P729,Allocators!$B$7:$F$19,2,FALSE)</f>
        <v>0</v>
      </c>
      <c r="S729" s="737">
        <f>VLOOKUP($P729,Allocators!$B$7:$F$19,3,FALSE)</f>
        <v>0</v>
      </c>
      <c r="T729" s="737">
        <f t="shared" si="204"/>
        <v>1</v>
      </c>
      <c r="U729" s="2">
        <f t="shared" si="219"/>
        <v>0</v>
      </c>
      <c r="V729" s="2">
        <f t="shared" si="220"/>
        <v>0</v>
      </c>
      <c r="W729" s="2">
        <f t="shared" si="221"/>
        <v>-72.327220416666606</v>
      </c>
      <c r="X729" s="2">
        <f t="shared" si="217"/>
        <v>-72.327220416666606</v>
      </c>
      <c r="Y729" s="2" t="str">
        <f t="shared" si="222"/>
        <v/>
      </c>
      <c r="Z729" s="2" t="str">
        <f t="shared" si="223"/>
        <v/>
      </c>
      <c r="AA729" s="2" t="str">
        <f t="shared" si="224"/>
        <v/>
      </c>
      <c r="AB729" s="2">
        <f t="shared" si="218"/>
        <v>0</v>
      </c>
      <c r="AC729" s="759">
        <v>-182.54491000000002</v>
      </c>
      <c r="AD729" s="741">
        <v>-163.29491000000002</v>
      </c>
      <c r="AE729" s="741">
        <v>-144.04491000000002</v>
      </c>
      <c r="AF729" s="741">
        <v>-124.79491</v>
      </c>
      <c r="AG729" s="741">
        <v>-105.54491</v>
      </c>
      <c r="AH729" s="741">
        <v>-86.294910000000002</v>
      </c>
      <c r="AI729" s="741">
        <v>-67.044910000000002</v>
      </c>
      <c r="AJ729" s="741">
        <v>-47.794910000000002</v>
      </c>
      <c r="AK729" s="741">
        <v>-28.544910000000002</v>
      </c>
      <c r="AL729" s="741">
        <v>-9.2949099999999998</v>
      </c>
      <c r="AM729" s="741">
        <v>0</v>
      </c>
      <c r="AN729" s="741">
        <v>0</v>
      </c>
      <c r="AO729" s="741">
        <v>0</v>
      </c>
      <c r="AP729" s="41" t="str">
        <f t="shared" si="214"/>
        <v>GLT</v>
      </c>
      <c r="AQ729" s="41" t="str">
        <f t="shared" si="215"/>
        <v>GLTT0</v>
      </c>
      <c r="AR729" s="41" t="str">
        <f t="shared" si="216"/>
        <v>T0</v>
      </c>
    </row>
    <row r="730" spans="1:44" s="41" customFormat="1" ht="12.75" customHeight="1">
      <c r="A730" s="25" t="s">
        <v>17</v>
      </c>
      <c r="B730" s="25" t="str">
        <f t="shared" ref="B730" si="227">CONCATENATE(A730,C730,D730,E730)</f>
        <v>GL257000</v>
      </c>
      <c r="C730" s="638">
        <v>257000</v>
      </c>
      <c r="D730" s="735"/>
      <c r="F730" s="1" t="s">
        <v>4544</v>
      </c>
      <c r="H730" s="736" t="s">
        <v>1775</v>
      </c>
      <c r="I730" s="25"/>
      <c r="J730" s="25"/>
      <c r="K730" s="442"/>
      <c r="L730" s="736" t="s">
        <v>2441</v>
      </c>
      <c r="M730" s="25" t="str">
        <f t="shared" si="200"/>
        <v>R</v>
      </c>
      <c r="N730" s="25" t="str">
        <f>IF(L730&lt;&gt;"",VLOOKUP(L730,Categories!$B$2:$D$41,2,FALSE),IF(F730&lt;&gt;"","No Cat",""))</f>
        <v>Rate Base</v>
      </c>
      <c r="O730" s="25" t="str">
        <f>IF($L730&lt;&gt;"",VLOOKUP($L730,Categories!$B$2:$D$41,3,FALSE),IF($F730&lt;&gt;"","No Cat",""))</f>
        <v>Deferred Debits &amp; Credits</v>
      </c>
      <c r="P730" s="736" t="s">
        <v>2486</v>
      </c>
      <c r="Q730" s="25" t="str">
        <f>VLOOKUP($P730,Allocators!$B$7:$F$19,5,FALSE)</f>
        <v>Net Plant</v>
      </c>
      <c r="R730" s="737">
        <f>VLOOKUP($P730,Allocators!$B$7:$F$19,2,FALSE)</f>
        <v>0.74150000000000005</v>
      </c>
      <c r="S730" s="737">
        <f>VLOOKUP($P730,Allocators!$B$7:$F$19,3,FALSE)</f>
        <v>0.25850000000000001</v>
      </c>
      <c r="T730" s="737" t="str">
        <f t="shared" ref="T730" si="228">IF(P730="N",1,"0.0%")</f>
        <v>0.0%</v>
      </c>
      <c r="U730" s="2">
        <f t="shared" ref="U730" si="229">IF(ABS(X730)=0,"",IF($R730="NO ALLOC","NO ALLOC",ROUND($R730*X730,15)))</f>
        <v>-40.031213435833401</v>
      </c>
      <c r="V730" s="2">
        <f t="shared" ref="V730" si="230">IF(ABS(X730)=0,"",IF($S730="NO ALLOC","NO ALLOC",ROUND($S730*X730,15)))</f>
        <v>-13.9555882308333</v>
      </c>
      <c r="W730" s="2">
        <f t="shared" ref="W730" si="231">IF(ABS(X730)=0,"",IF($T730="NO ALLOC","NO ALLOC",ROUND($T730*X730,15)))</f>
        <v>0</v>
      </c>
      <c r="X730" s="2">
        <f t="shared" ref="X730" si="232">IF(ISERROR(ROUND((SUM(AC730:AO730)-((AC730+AO730))/2)/12,15)),"",ROUND((SUM(AC730:AO730)-((AC730+AO730))/2)/12,15))</f>
        <v>-53.9868016666667</v>
      </c>
      <c r="Y730" s="2">
        <f t="shared" si="222"/>
        <v>-277.60450510999999</v>
      </c>
      <c r="Z730" s="2">
        <f t="shared" si="223"/>
        <v>-96.777834889999994</v>
      </c>
      <c r="AA730" s="2">
        <f t="shared" si="224"/>
        <v>0</v>
      </c>
      <c r="AB730" s="2">
        <f t="shared" si="218"/>
        <v>-374.38234</v>
      </c>
      <c r="AC730" s="759"/>
      <c r="AD730" s="741"/>
      <c r="AE730" s="741"/>
      <c r="AF730" s="741"/>
      <c r="AG730" s="741"/>
      <c r="AH730" s="741"/>
      <c r="AI730" s="741"/>
      <c r="AJ730" s="741"/>
      <c r="AK730" s="741"/>
      <c r="AL730" s="741"/>
      <c r="AM730" s="741"/>
      <c r="AN730" s="741">
        <v>-460.65045000000003</v>
      </c>
      <c r="AO730" s="741">
        <v>-374.38234</v>
      </c>
      <c r="AP730" s="41" t="str">
        <f t="shared" si="214"/>
        <v>GLR</v>
      </c>
      <c r="AQ730" s="41" t="str">
        <f t="shared" si="215"/>
        <v>GLRR10Gain/Loss on Reacquired Debt</v>
      </c>
      <c r="AR730" s="41" t="str">
        <f t="shared" si="216"/>
        <v>R10Gain/Loss on Reacquired Debt</v>
      </c>
    </row>
    <row r="731" spans="1:44" s="41" customFormat="1" ht="12.75" customHeight="1">
      <c r="A731" s="25" t="s">
        <v>17</v>
      </c>
      <c r="B731" s="25" t="str">
        <f t="shared" si="199"/>
        <v>GL282000</v>
      </c>
      <c r="C731" s="638">
        <v>282000</v>
      </c>
      <c r="D731" s="735"/>
      <c r="F731" s="1" t="s">
        <v>700</v>
      </c>
      <c r="H731" s="736">
        <v>0</v>
      </c>
      <c r="I731" s="25"/>
      <c r="J731" s="25"/>
      <c r="K731" s="442" t="str">
        <f t="shared" si="226"/>
        <v/>
      </c>
      <c r="L731" s="736" t="s">
        <v>2466</v>
      </c>
      <c r="M731" s="25" t="str">
        <f t="shared" si="200"/>
        <v>T</v>
      </c>
      <c r="N731" s="25" t="str">
        <f>IF(L731&lt;&gt;"",VLOOKUP(L731,Categories!$B$2:$D$41,2,FALSE),IF(F731&lt;&gt;"","No Cat",""))</f>
        <v>ADIT Sch</v>
      </c>
      <c r="O731" s="25" t="str">
        <f>IF($L731&lt;&gt;"",VLOOKUP($L731,Categories!$B$2:$D$41,3,FALSE),IF($F731&lt;&gt;"","No Cat",""))</f>
        <v>Def Taxes</v>
      </c>
      <c r="P731" s="736" t="s">
        <v>2468</v>
      </c>
      <c r="Q731" s="25" t="str">
        <f>VLOOKUP($P731,Allocators!$B$7:$F$19,5,FALSE)</f>
        <v>Not in Rate Base</v>
      </c>
      <c r="R731" s="737">
        <f>VLOOKUP($P731,Allocators!$B$7:$F$19,2,FALSE)</f>
        <v>0</v>
      </c>
      <c r="S731" s="737">
        <f>VLOOKUP($P731,Allocators!$B$7:$F$19,3,FALSE)</f>
        <v>0</v>
      </c>
      <c r="T731" s="737">
        <f t="shared" si="204"/>
        <v>1</v>
      </c>
      <c r="U731" s="2" t="str">
        <f t="shared" si="219"/>
        <v/>
      </c>
      <c r="V731" s="2" t="str">
        <f t="shared" si="220"/>
        <v/>
      </c>
      <c r="W731" s="2" t="str">
        <f t="shared" si="221"/>
        <v/>
      </c>
      <c r="X731" s="2">
        <f t="shared" si="217"/>
        <v>0</v>
      </c>
      <c r="Y731" s="2" t="str">
        <f t="shared" si="222"/>
        <v/>
      </c>
      <c r="Z731" s="2" t="str">
        <f t="shared" si="223"/>
        <v/>
      </c>
      <c r="AA731" s="2" t="str">
        <f t="shared" si="224"/>
        <v/>
      </c>
      <c r="AB731" s="2">
        <f t="shared" si="218"/>
        <v>0</v>
      </c>
      <c r="AC731" s="759">
        <v>0</v>
      </c>
      <c r="AD731" s="741">
        <v>0</v>
      </c>
      <c r="AE731" s="741">
        <v>0</v>
      </c>
      <c r="AF731" s="741">
        <v>0</v>
      </c>
      <c r="AG731" s="741">
        <v>0</v>
      </c>
      <c r="AH731" s="741">
        <v>0</v>
      </c>
      <c r="AI731" s="741">
        <v>0</v>
      </c>
      <c r="AJ731" s="741">
        <v>0</v>
      </c>
      <c r="AK731" s="741">
        <v>0</v>
      </c>
      <c r="AL731" s="741">
        <v>0</v>
      </c>
      <c r="AM731" s="741">
        <v>0</v>
      </c>
      <c r="AN731" s="741">
        <v>0</v>
      </c>
      <c r="AO731" s="741">
        <v>0</v>
      </c>
      <c r="AP731" s="41" t="str">
        <f t="shared" si="214"/>
        <v>GLT</v>
      </c>
      <c r="AQ731" s="41" t="str">
        <f t="shared" si="215"/>
        <v>GLTT0</v>
      </c>
      <c r="AR731" s="41" t="str">
        <f t="shared" si="216"/>
        <v>T0</v>
      </c>
    </row>
    <row r="732" spans="1:44" s="41" customFormat="1" ht="12.75" customHeight="1">
      <c r="A732" s="25" t="s">
        <v>17</v>
      </c>
      <c r="B732" s="25" t="str">
        <f t="shared" si="199"/>
        <v>GL282010</v>
      </c>
      <c r="C732" s="638">
        <v>282010</v>
      </c>
      <c r="D732" s="735"/>
      <c r="F732" s="1" t="s">
        <v>701</v>
      </c>
      <c r="H732" s="736">
        <v>0</v>
      </c>
      <c r="I732" s="25"/>
      <c r="J732" s="25"/>
      <c r="K732" s="442" t="str">
        <f t="shared" si="226"/>
        <v/>
      </c>
      <c r="L732" s="736" t="s">
        <v>2466</v>
      </c>
      <c r="M732" s="25" t="str">
        <f t="shared" si="200"/>
        <v>T</v>
      </c>
      <c r="N732" s="25" t="str">
        <f>IF(L732&lt;&gt;"",VLOOKUP(L732,Categories!$B$2:$D$41,2,FALSE),IF(F732&lt;&gt;"","No Cat",""))</f>
        <v>ADIT Sch</v>
      </c>
      <c r="O732" s="25" t="str">
        <f>IF($L732&lt;&gt;"",VLOOKUP($L732,Categories!$B$2:$D$41,3,FALSE),IF($F732&lt;&gt;"","No Cat",""))</f>
        <v>Def Taxes</v>
      </c>
      <c r="P732" s="736" t="s">
        <v>2468</v>
      </c>
      <c r="Q732" s="25" t="str">
        <f>VLOOKUP($P732,Allocators!$B$7:$F$19,5,FALSE)</f>
        <v>Not in Rate Base</v>
      </c>
      <c r="R732" s="737">
        <f>VLOOKUP($P732,Allocators!$B$7:$F$19,2,FALSE)</f>
        <v>0</v>
      </c>
      <c r="S732" s="737">
        <f>VLOOKUP($P732,Allocators!$B$7:$F$19,3,FALSE)</f>
        <v>0</v>
      </c>
      <c r="T732" s="737">
        <f t="shared" si="204"/>
        <v>1</v>
      </c>
      <c r="U732" s="2" t="str">
        <f t="shared" si="219"/>
        <v/>
      </c>
      <c r="V732" s="2" t="str">
        <f t="shared" si="220"/>
        <v/>
      </c>
      <c r="W732" s="2" t="str">
        <f t="shared" si="221"/>
        <v/>
      </c>
      <c r="X732" s="2">
        <f t="shared" si="217"/>
        <v>0</v>
      </c>
      <c r="Y732" s="2" t="str">
        <f t="shared" si="222"/>
        <v/>
      </c>
      <c r="Z732" s="2" t="str">
        <f t="shared" si="223"/>
        <v/>
      </c>
      <c r="AA732" s="2" t="str">
        <f t="shared" si="224"/>
        <v/>
      </c>
      <c r="AB732" s="2">
        <f t="shared" si="218"/>
        <v>0</v>
      </c>
      <c r="AC732" s="759">
        <v>0</v>
      </c>
      <c r="AD732" s="741">
        <v>0</v>
      </c>
      <c r="AE732" s="741">
        <v>0</v>
      </c>
      <c r="AF732" s="741">
        <v>0</v>
      </c>
      <c r="AG732" s="741">
        <v>0</v>
      </c>
      <c r="AH732" s="741">
        <v>0</v>
      </c>
      <c r="AI732" s="741">
        <v>0</v>
      </c>
      <c r="AJ732" s="741">
        <v>0</v>
      </c>
      <c r="AK732" s="741">
        <v>0</v>
      </c>
      <c r="AL732" s="741">
        <v>0</v>
      </c>
      <c r="AM732" s="741">
        <v>0</v>
      </c>
      <c r="AN732" s="741">
        <v>0</v>
      </c>
      <c r="AO732" s="741">
        <v>0</v>
      </c>
      <c r="AP732" s="41" t="str">
        <f t="shared" si="214"/>
        <v>GLT</v>
      </c>
      <c r="AQ732" s="41" t="str">
        <f t="shared" si="215"/>
        <v>GLTT0</v>
      </c>
      <c r="AR732" s="41" t="str">
        <f t="shared" si="216"/>
        <v>T0</v>
      </c>
    </row>
    <row r="733" spans="1:44" s="41" customFormat="1" ht="12.75" customHeight="1">
      <c r="A733" s="25" t="s">
        <v>17</v>
      </c>
      <c r="B733" s="25" t="str">
        <f t="shared" si="199"/>
        <v>GL282110</v>
      </c>
      <c r="C733" s="638">
        <v>282110</v>
      </c>
      <c r="D733" s="735"/>
      <c r="F733" s="1" t="s">
        <v>702</v>
      </c>
      <c r="H733" s="736">
        <v>0</v>
      </c>
      <c r="I733" s="25"/>
      <c r="J733" s="25"/>
      <c r="K733" s="442" t="str">
        <f t="shared" si="226"/>
        <v/>
      </c>
      <c r="L733" s="736" t="s">
        <v>2466</v>
      </c>
      <c r="M733" s="25" t="str">
        <f t="shared" si="200"/>
        <v>T</v>
      </c>
      <c r="N733" s="25" t="str">
        <f>IF(L733&lt;&gt;"",VLOOKUP(L733,Categories!$B$2:$D$41,2,FALSE),IF(F733&lt;&gt;"","No Cat",""))</f>
        <v>ADIT Sch</v>
      </c>
      <c r="O733" s="25" t="str">
        <f>IF($L733&lt;&gt;"",VLOOKUP($L733,Categories!$B$2:$D$41,3,FALSE),IF($F733&lt;&gt;"","No Cat",""))</f>
        <v>Def Taxes</v>
      </c>
      <c r="P733" s="736" t="s">
        <v>2468</v>
      </c>
      <c r="Q733" s="25" t="str">
        <f>VLOOKUP($P733,Allocators!$B$7:$F$19,5,FALSE)</f>
        <v>Not in Rate Base</v>
      </c>
      <c r="R733" s="737">
        <f>VLOOKUP($P733,Allocators!$B$7:$F$19,2,FALSE)</f>
        <v>0</v>
      </c>
      <c r="S733" s="737">
        <f>VLOOKUP($P733,Allocators!$B$7:$F$19,3,FALSE)</f>
        <v>0</v>
      </c>
      <c r="T733" s="737">
        <f t="shared" si="204"/>
        <v>1</v>
      </c>
      <c r="U733" s="2" t="str">
        <f t="shared" si="219"/>
        <v/>
      </c>
      <c r="V733" s="2" t="str">
        <f t="shared" si="220"/>
        <v/>
      </c>
      <c r="W733" s="2" t="str">
        <f t="shared" si="221"/>
        <v/>
      </c>
      <c r="X733" s="2">
        <f t="shared" si="217"/>
        <v>0</v>
      </c>
      <c r="Y733" s="2" t="str">
        <f t="shared" si="222"/>
        <v/>
      </c>
      <c r="Z733" s="2" t="str">
        <f t="shared" si="223"/>
        <v/>
      </c>
      <c r="AA733" s="2" t="str">
        <f t="shared" si="224"/>
        <v/>
      </c>
      <c r="AB733" s="2">
        <f t="shared" si="218"/>
        <v>0</v>
      </c>
      <c r="AC733" s="759">
        <v>0</v>
      </c>
      <c r="AD733" s="741">
        <v>0</v>
      </c>
      <c r="AE733" s="741">
        <v>0</v>
      </c>
      <c r="AF733" s="741">
        <v>0</v>
      </c>
      <c r="AG733" s="741">
        <v>0</v>
      </c>
      <c r="AH733" s="741">
        <v>0</v>
      </c>
      <c r="AI733" s="741">
        <v>0</v>
      </c>
      <c r="AJ733" s="741">
        <v>0</v>
      </c>
      <c r="AK733" s="741">
        <v>0</v>
      </c>
      <c r="AL733" s="741">
        <v>0</v>
      </c>
      <c r="AM733" s="741">
        <v>0</v>
      </c>
      <c r="AN733" s="741">
        <v>0</v>
      </c>
      <c r="AO733" s="741">
        <v>0</v>
      </c>
      <c r="AP733" s="41" t="str">
        <f t="shared" si="214"/>
        <v>GLT</v>
      </c>
      <c r="AQ733" s="41" t="str">
        <f t="shared" si="215"/>
        <v>GLTT0</v>
      </c>
      <c r="AR733" s="41" t="str">
        <f t="shared" si="216"/>
        <v>T0</v>
      </c>
    </row>
    <row r="734" spans="1:44" s="41" customFormat="1" ht="12.75" customHeight="1">
      <c r="A734" s="25" t="s">
        <v>17</v>
      </c>
      <c r="B734" s="25" t="str">
        <f t="shared" si="199"/>
        <v>GL282120</v>
      </c>
      <c r="C734" s="638">
        <v>282120</v>
      </c>
      <c r="D734" s="735"/>
      <c r="F734" s="1" t="s">
        <v>703</v>
      </c>
      <c r="H734" s="736">
        <v>0</v>
      </c>
      <c r="I734" s="25"/>
      <c r="J734" s="25"/>
      <c r="K734" s="442" t="str">
        <f t="shared" si="226"/>
        <v/>
      </c>
      <c r="L734" s="736" t="s">
        <v>2466</v>
      </c>
      <c r="M734" s="25" t="str">
        <f t="shared" si="200"/>
        <v>T</v>
      </c>
      <c r="N734" s="25" t="str">
        <f>IF(L734&lt;&gt;"",VLOOKUP(L734,Categories!$B$2:$D$41,2,FALSE),IF(F734&lt;&gt;"","No Cat",""))</f>
        <v>ADIT Sch</v>
      </c>
      <c r="O734" s="25" t="str">
        <f>IF($L734&lt;&gt;"",VLOOKUP($L734,Categories!$B$2:$D$41,3,FALSE),IF($F734&lt;&gt;"","No Cat",""))</f>
        <v>Def Taxes</v>
      </c>
      <c r="P734" s="736" t="s">
        <v>2468</v>
      </c>
      <c r="Q734" s="25" t="str">
        <f>VLOOKUP($P734,Allocators!$B$7:$F$19,5,FALSE)</f>
        <v>Not in Rate Base</v>
      </c>
      <c r="R734" s="737">
        <f>VLOOKUP($P734,Allocators!$B$7:$F$19,2,FALSE)</f>
        <v>0</v>
      </c>
      <c r="S734" s="737">
        <f>VLOOKUP($P734,Allocators!$B$7:$F$19,3,FALSE)</f>
        <v>0</v>
      </c>
      <c r="T734" s="737">
        <f t="shared" si="204"/>
        <v>1</v>
      </c>
      <c r="U734" s="2" t="str">
        <f t="shared" si="219"/>
        <v/>
      </c>
      <c r="V734" s="2" t="str">
        <f t="shared" si="220"/>
        <v/>
      </c>
      <c r="W734" s="2" t="str">
        <f t="shared" si="221"/>
        <v/>
      </c>
      <c r="X734" s="2">
        <f t="shared" si="217"/>
        <v>0</v>
      </c>
      <c r="Y734" s="2" t="str">
        <f t="shared" si="222"/>
        <v/>
      </c>
      <c r="Z734" s="2" t="str">
        <f t="shared" si="223"/>
        <v/>
      </c>
      <c r="AA734" s="2" t="str">
        <f t="shared" si="224"/>
        <v/>
      </c>
      <c r="AB734" s="2">
        <f t="shared" si="218"/>
        <v>0</v>
      </c>
      <c r="AC734" s="759">
        <v>0</v>
      </c>
      <c r="AD734" s="741">
        <v>0</v>
      </c>
      <c r="AE734" s="741">
        <v>0</v>
      </c>
      <c r="AF734" s="741">
        <v>0</v>
      </c>
      <c r="AG734" s="741">
        <v>0</v>
      </c>
      <c r="AH734" s="741">
        <v>0</v>
      </c>
      <c r="AI734" s="741">
        <v>0</v>
      </c>
      <c r="AJ734" s="741">
        <v>0</v>
      </c>
      <c r="AK734" s="741">
        <v>0</v>
      </c>
      <c r="AL734" s="741">
        <v>0</v>
      </c>
      <c r="AM734" s="741">
        <v>0</v>
      </c>
      <c r="AN734" s="741">
        <v>0</v>
      </c>
      <c r="AO734" s="741">
        <v>0</v>
      </c>
      <c r="AP734" s="41" t="str">
        <f t="shared" si="214"/>
        <v>GLT</v>
      </c>
      <c r="AQ734" s="41" t="str">
        <f t="shared" si="215"/>
        <v>GLTT0</v>
      </c>
      <c r="AR734" s="41" t="str">
        <f t="shared" si="216"/>
        <v>T0</v>
      </c>
    </row>
    <row r="735" spans="1:44" s="41" customFormat="1" ht="12.75" customHeight="1">
      <c r="A735" s="25" t="s">
        <v>17</v>
      </c>
      <c r="B735" s="25" t="str">
        <f t="shared" ref="B735:B798" si="233">CONCATENATE(A735,C735,D735,E735)</f>
        <v>GL282161</v>
      </c>
      <c r="C735" s="638">
        <v>282161</v>
      </c>
      <c r="D735" s="735"/>
      <c r="F735" s="1" t="s">
        <v>704</v>
      </c>
      <c r="H735" s="736">
        <v>0</v>
      </c>
      <c r="I735" s="25"/>
      <c r="J735" s="25"/>
      <c r="K735" s="442" t="str">
        <f t="shared" si="226"/>
        <v/>
      </c>
      <c r="L735" s="736" t="s">
        <v>2466</v>
      </c>
      <c r="M735" s="25" t="str">
        <f t="shared" ref="M735:M806" si="234">LEFT(L735,1)</f>
        <v>T</v>
      </c>
      <c r="N735" s="25" t="str">
        <f>IF(L735&lt;&gt;"",VLOOKUP(L735,Categories!$B$2:$D$41,2,FALSE),IF(F735&lt;&gt;"","No Cat",""))</f>
        <v>ADIT Sch</v>
      </c>
      <c r="O735" s="25" t="str">
        <f>IF($L735&lt;&gt;"",VLOOKUP($L735,Categories!$B$2:$D$41,3,FALSE),IF($F735&lt;&gt;"","No Cat",""))</f>
        <v>Def Taxes</v>
      </c>
      <c r="P735" s="736" t="s">
        <v>2468</v>
      </c>
      <c r="Q735" s="25" t="str">
        <f>VLOOKUP($P735,Allocators!$B$7:$F$19,5,FALSE)</f>
        <v>Not in Rate Base</v>
      </c>
      <c r="R735" s="737">
        <f>VLOOKUP($P735,Allocators!$B$7:$F$19,2,FALSE)</f>
        <v>0</v>
      </c>
      <c r="S735" s="737">
        <f>VLOOKUP($P735,Allocators!$B$7:$F$19,3,FALSE)</f>
        <v>0</v>
      </c>
      <c r="T735" s="737">
        <f t="shared" si="204"/>
        <v>1</v>
      </c>
      <c r="U735" s="2">
        <f t="shared" si="219"/>
        <v>0</v>
      </c>
      <c r="V735" s="2">
        <f t="shared" si="220"/>
        <v>0</v>
      </c>
      <c r="W735" s="2">
        <f t="shared" si="221"/>
        <v>-50106.7648904167</v>
      </c>
      <c r="X735" s="2">
        <f t="shared" si="217"/>
        <v>-50106.7648904167</v>
      </c>
      <c r="Y735" s="2">
        <f t="shared" si="222"/>
        <v>0</v>
      </c>
      <c r="Z735" s="2">
        <f t="shared" si="223"/>
        <v>0</v>
      </c>
      <c r="AA735" s="2">
        <f t="shared" si="224"/>
        <v>-48366.170259999999</v>
      </c>
      <c r="AB735" s="2">
        <f t="shared" si="218"/>
        <v>-48366.170259999999</v>
      </c>
      <c r="AC735" s="759">
        <v>-48447.09633</v>
      </c>
      <c r="AD735" s="741">
        <v>-48998.035229999994</v>
      </c>
      <c r="AE735" s="741">
        <v>-49410.05315</v>
      </c>
      <c r="AF735" s="741">
        <v>-49880.990939999996</v>
      </c>
      <c r="AG735" s="741">
        <v>-49063.617640000004</v>
      </c>
      <c r="AH735" s="741">
        <v>-50231.767930000002</v>
      </c>
      <c r="AI735" s="741">
        <v>-50468.598829999995</v>
      </c>
      <c r="AJ735" s="741">
        <v>-51894.827799999999</v>
      </c>
      <c r="AK735" s="741">
        <v>-51661.897369999999</v>
      </c>
      <c r="AL735" s="741">
        <v>-52046.584569999999</v>
      </c>
      <c r="AM735" s="741">
        <v>-51627.967250000002</v>
      </c>
      <c r="AN735" s="741">
        <v>-47590.204680000003</v>
      </c>
      <c r="AO735" s="741">
        <v>-48366.170259999999</v>
      </c>
      <c r="AP735" s="41" t="str">
        <f t="shared" si="214"/>
        <v>GLT</v>
      </c>
      <c r="AQ735" s="41" t="str">
        <f t="shared" si="215"/>
        <v>GLTT0</v>
      </c>
      <c r="AR735" s="41" t="str">
        <f t="shared" si="216"/>
        <v>T0</v>
      </c>
    </row>
    <row r="736" spans="1:44" s="41" customFormat="1" ht="12.75" customHeight="1">
      <c r="A736" s="25" t="s">
        <v>17</v>
      </c>
      <c r="B736" s="25" t="str">
        <f t="shared" si="233"/>
        <v>GL282162</v>
      </c>
      <c r="C736" s="638">
        <v>282162</v>
      </c>
      <c r="D736" s="735"/>
      <c r="F736" s="1" t="s">
        <v>705</v>
      </c>
      <c r="H736" s="736">
        <v>0</v>
      </c>
      <c r="I736" s="25"/>
      <c r="J736" s="25"/>
      <c r="K736" s="442" t="str">
        <f t="shared" si="226"/>
        <v/>
      </c>
      <c r="L736" s="736" t="s">
        <v>2466</v>
      </c>
      <c r="M736" s="25" t="str">
        <f t="shared" si="234"/>
        <v>T</v>
      </c>
      <c r="N736" s="25" t="str">
        <f>IF(L736&lt;&gt;"",VLOOKUP(L736,Categories!$B$2:$D$41,2,FALSE),IF(F736&lt;&gt;"","No Cat",""))</f>
        <v>ADIT Sch</v>
      </c>
      <c r="O736" s="25" t="str">
        <f>IF($L736&lt;&gt;"",VLOOKUP($L736,Categories!$B$2:$D$41,3,FALSE),IF($F736&lt;&gt;"","No Cat",""))</f>
        <v>Def Taxes</v>
      </c>
      <c r="P736" s="736" t="s">
        <v>2468</v>
      </c>
      <c r="Q736" s="25" t="str">
        <f>VLOOKUP($P736,Allocators!$B$7:$F$19,5,FALSE)</f>
        <v>Not in Rate Base</v>
      </c>
      <c r="R736" s="737">
        <f>VLOOKUP($P736,Allocators!$B$7:$F$19,2,FALSE)</f>
        <v>0</v>
      </c>
      <c r="S736" s="737">
        <f>VLOOKUP($P736,Allocators!$B$7:$F$19,3,FALSE)</f>
        <v>0</v>
      </c>
      <c r="T736" s="737">
        <f t="shared" si="204"/>
        <v>1</v>
      </c>
      <c r="U736" s="2">
        <f t="shared" si="219"/>
        <v>0</v>
      </c>
      <c r="V736" s="2">
        <f t="shared" si="220"/>
        <v>0</v>
      </c>
      <c r="W736" s="2">
        <f t="shared" si="221"/>
        <v>-13691.913817083299</v>
      </c>
      <c r="X736" s="2">
        <f t="shared" si="217"/>
        <v>-13691.913817083299</v>
      </c>
      <c r="Y736" s="2">
        <f t="shared" si="222"/>
        <v>0</v>
      </c>
      <c r="Z736" s="2">
        <f t="shared" si="223"/>
        <v>0</v>
      </c>
      <c r="AA736" s="2">
        <f t="shared" si="224"/>
        <v>-12391.88133</v>
      </c>
      <c r="AB736" s="2">
        <f t="shared" si="218"/>
        <v>-12391.88133</v>
      </c>
      <c r="AC736" s="759">
        <v>-15001.84484</v>
      </c>
      <c r="AD736" s="741">
        <v>-14766.061089999999</v>
      </c>
      <c r="AE736" s="741">
        <v>-14519.98623</v>
      </c>
      <c r="AF736" s="741">
        <v>-14296.148050000002</v>
      </c>
      <c r="AG736" s="741">
        <v>-13644.389880000001</v>
      </c>
      <c r="AH736" s="741">
        <v>-14064.02368</v>
      </c>
      <c r="AI736" s="741">
        <v>-13870.065399999999</v>
      </c>
      <c r="AJ736" s="741">
        <v>-13677.63645</v>
      </c>
      <c r="AK736" s="741">
        <v>-13498.422480000001</v>
      </c>
      <c r="AL736" s="741">
        <v>-13325.020990000001</v>
      </c>
      <c r="AM736" s="741">
        <v>-12605.275529999999</v>
      </c>
      <c r="AN736" s="741">
        <v>-12339.07294</v>
      </c>
      <c r="AO736" s="741">
        <v>-12391.88133</v>
      </c>
      <c r="AP736" s="41" t="str">
        <f t="shared" si="214"/>
        <v>GLT</v>
      </c>
      <c r="AQ736" s="41" t="str">
        <f t="shared" si="215"/>
        <v>GLTT0</v>
      </c>
      <c r="AR736" s="41" t="str">
        <f t="shared" si="216"/>
        <v>T0</v>
      </c>
    </row>
    <row r="737" spans="1:44" s="41" customFormat="1" ht="12.75" customHeight="1">
      <c r="A737" s="25" t="s">
        <v>17</v>
      </c>
      <c r="B737" s="25" t="str">
        <f t="shared" si="233"/>
        <v>GL282170</v>
      </c>
      <c r="C737" s="638">
        <v>282170</v>
      </c>
      <c r="D737" s="735"/>
      <c r="F737" s="1" t="s">
        <v>706</v>
      </c>
      <c r="H737" s="736">
        <v>0</v>
      </c>
      <c r="I737" s="25"/>
      <c r="J737" s="25"/>
      <c r="K737" s="442" t="str">
        <f t="shared" si="226"/>
        <v/>
      </c>
      <c r="L737" s="736" t="s">
        <v>2466</v>
      </c>
      <c r="M737" s="25" t="str">
        <f t="shared" si="234"/>
        <v>T</v>
      </c>
      <c r="N737" s="25" t="str">
        <f>IF(L737&lt;&gt;"",VLOOKUP(L737,Categories!$B$2:$D$41,2,FALSE),IF(F737&lt;&gt;"","No Cat",""))</f>
        <v>ADIT Sch</v>
      </c>
      <c r="O737" s="25" t="str">
        <f>IF($L737&lt;&gt;"",VLOOKUP($L737,Categories!$B$2:$D$41,3,FALSE),IF($F737&lt;&gt;"","No Cat",""))</f>
        <v>Def Taxes</v>
      </c>
      <c r="P737" s="736" t="s">
        <v>2468</v>
      </c>
      <c r="Q737" s="25" t="str">
        <f>VLOOKUP($P737,Allocators!$B$7:$F$19,5,FALSE)</f>
        <v>Not in Rate Base</v>
      </c>
      <c r="R737" s="737">
        <f>VLOOKUP($P737,Allocators!$B$7:$F$19,2,FALSE)</f>
        <v>0</v>
      </c>
      <c r="S737" s="737">
        <f>VLOOKUP($P737,Allocators!$B$7:$F$19,3,FALSE)</f>
        <v>0</v>
      </c>
      <c r="T737" s="737">
        <f t="shared" si="204"/>
        <v>1</v>
      </c>
      <c r="U737" s="2" t="str">
        <f t="shared" si="219"/>
        <v/>
      </c>
      <c r="V737" s="2" t="str">
        <f t="shared" si="220"/>
        <v/>
      </c>
      <c r="W737" s="2" t="str">
        <f t="shared" si="221"/>
        <v/>
      </c>
      <c r="X737" s="2">
        <f t="shared" si="217"/>
        <v>0</v>
      </c>
      <c r="Y737" s="2" t="str">
        <f t="shared" si="222"/>
        <v/>
      </c>
      <c r="Z737" s="2" t="str">
        <f t="shared" si="223"/>
        <v/>
      </c>
      <c r="AA737" s="2" t="str">
        <f t="shared" si="224"/>
        <v/>
      </c>
      <c r="AB737" s="2">
        <f t="shared" si="218"/>
        <v>0</v>
      </c>
      <c r="AC737" s="759">
        <v>0</v>
      </c>
      <c r="AD737" s="741">
        <v>0</v>
      </c>
      <c r="AE737" s="741">
        <v>0</v>
      </c>
      <c r="AF737" s="741">
        <v>0</v>
      </c>
      <c r="AG737" s="741">
        <v>0</v>
      </c>
      <c r="AH737" s="741">
        <v>0</v>
      </c>
      <c r="AI737" s="741">
        <v>0</v>
      </c>
      <c r="AJ737" s="741">
        <v>0</v>
      </c>
      <c r="AK737" s="741">
        <v>0</v>
      </c>
      <c r="AL737" s="741">
        <v>0</v>
      </c>
      <c r="AM737" s="741">
        <v>0</v>
      </c>
      <c r="AN737" s="741">
        <v>0</v>
      </c>
      <c r="AO737" s="741">
        <v>0</v>
      </c>
      <c r="AP737" s="41" t="str">
        <f t="shared" si="214"/>
        <v>GLT</v>
      </c>
      <c r="AQ737" s="41" t="str">
        <f t="shared" si="215"/>
        <v>GLTT0</v>
      </c>
      <c r="AR737" s="41" t="str">
        <f t="shared" si="216"/>
        <v>T0</v>
      </c>
    </row>
    <row r="738" spans="1:44" s="41" customFormat="1" ht="12.75" customHeight="1">
      <c r="A738" s="25" t="s">
        <v>17</v>
      </c>
      <c r="B738" s="25" t="str">
        <f t="shared" si="233"/>
        <v>GL282171</v>
      </c>
      <c r="C738" s="638">
        <v>282171</v>
      </c>
      <c r="D738" s="735"/>
      <c r="F738" s="1" t="s">
        <v>707</v>
      </c>
      <c r="H738" s="736">
        <v>0</v>
      </c>
      <c r="I738" s="25"/>
      <c r="J738" s="25"/>
      <c r="K738" s="442" t="str">
        <f t="shared" si="226"/>
        <v/>
      </c>
      <c r="L738" s="736" t="s">
        <v>2466</v>
      </c>
      <c r="M738" s="25" t="str">
        <f t="shared" si="234"/>
        <v>T</v>
      </c>
      <c r="N738" s="25" t="str">
        <f>IF(L738&lt;&gt;"",VLOOKUP(L738,Categories!$B$2:$D$41,2,FALSE),IF(F738&lt;&gt;"","No Cat",""))</f>
        <v>ADIT Sch</v>
      </c>
      <c r="O738" s="25" t="str">
        <f>IF($L738&lt;&gt;"",VLOOKUP($L738,Categories!$B$2:$D$41,3,FALSE),IF($F738&lt;&gt;"","No Cat",""))</f>
        <v>Def Taxes</v>
      </c>
      <c r="P738" s="736" t="s">
        <v>2468</v>
      </c>
      <c r="Q738" s="25" t="str">
        <f>VLOOKUP($P738,Allocators!$B$7:$F$19,5,FALSE)</f>
        <v>Not in Rate Base</v>
      </c>
      <c r="R738" s="737">
        <f>VLOOKUP($P738,Allocators!$B$7:$F$19,2,FALSE)</f>
        <v>0</v>
      </c>
      <c r="S738" s="737">
        <f>VLOOKUP($P738,Allocators!$B$7:$F$19,3,FALSE)</f>
        <v>0</v>
      </c>
      <c r="T738" s="737">
        <f t="shared" si="204"/>
        <v>1</v>
      </c>
      <c r="U738" s="2">
        <f t="shared" si="219"/>
        <v>0</v>
      </c>
      <c r="V738" s="2">
        <f t="shared" si="220"/>
        <v>0</v>
      </c>
      <c r="W738" s="2">
        <f t="shared" si="221"/>
        <v>-14733.325489999999</v>
      </c>
      <c r="X738" s="2">
        <f t="shared" si="217"/>
        <v>-14733.325489999999</v>
      </c>
      <c r="Y738" s="2">
        <f t="shared" si="222"/>
        <v>0</v>
      </c>
      <c r="Z738" s="2">
        <f t="shared" si="223"/>
        <v>0</v>
      </c>
      <c r="AA738" s="2">
        <f t="shared" si="224"/>
        <v>-14855.9107</v>
      </c>
      <c r="AB738" s="2">
        <f t="shared" si="218"/>
        <v>-14855.910699999999</v>
      </c>
      <c r="AC738" s="759">
        <v>-13833.407380000001</v>
      </c>
      <c r="AD738" s="741">
        <v>-14447.384169999999</v>
      </c>
      <c r="AE738" s="741">
        <v>-15031.666070000001</v>
      </c>
      <c r="AF738" s="741">
        <v>-15628.47939</v>
      </c>
      <c r="AG738" s="741">
        <v>-16197.409099999999</v>
      </c>
      <c r="AH738" s="741">
        <v>-14155.904930000001</v>
      </c>
      <c r="AI738" s="741">
        <v>-14199.14976</v>
      </c>
      <c r="AJ738" s="741">
        <v>-14506.95239</v>
      </c>
      <c r="AK738" s="741">
        <v>-14445.76935</v>
      </c>
      <c r="AL738" s="741">
        <v>-14525.63118</v>
      </c>
      <c r="AM738" s="741">
        <v>-14616.331</v>
      </c>
      <c r="AN738" s="741">
        <v>-14700.5695</v>
      </c>
      <c r="AO738" s="741">
        <v>-14855.910699999999</v>
      </c>
      <c r="AP738" s="41" t="str">
        <f t="shared" si="214"/>
        <v>GLT</v>
      </c>
      <c r="AQ738" s="41" t="str">
        <f t="shared" si="215"/>
        <v>GLTT0</v>
      </c>
      <c r="AR738" s="41" t="str">
        <f t="shared" si="216"/>
        <v>T0</v>
      </c>
    </row>
    <row r="739" spans="1:44" s="41" customFormat="1" ht="12.75" customHeight="1">
      <c r="A739" s="25" t="s">
        <v>17</v>
      </c>
      <c r="B739" s="25" t="str">
        <f t="shared" si="233"/>
        <v>GL282172</v>
      </c>
      <c r="C739" s="638">
        <v>282172</v>
      </c>
      <c r="D739" s="735"/>
      <c r="F739" s="1" t="s">
        <v>708</v>
      </c>
      <c r="H739" s="736">
        <v>0</v>
      </c>
      <c r="I739" s="25"/>
      <c r="J739" s="25"/>
      <c r="K739" s="442" t="str">
        <f t="shared" si="226"/>
        <v/>
      </c>
      <c r="L739" s="736" t="s">
        <v>2466</v>
      </c>
      <c r="M739" s="25" t="str">
        <f t="shared" si="234"/>
        <v>T</v>
      </c>
      <c r="N739" s="25" t="str">
        <f>IF(L739&lt;&gt;"",VLOOKUP(L739,Categories!$B$2:$D$41,2,FALSE),IF(F739&lt;&gt;"","No Cat",""))</f>
        <v>ADIT Sch</v>
      </c>
      <c r="O739" s="25" t="str">
        <f>IF($L739&lt;&gt;"",VLOOKUP($L739,Categories!$B$2:$D$41,3,FALSE),IF($F739&lt;&gt;"","No Cat",""))</f>
        <v>Def Taxes</v>
      </c>
      <c r="P739" s="736" t="s">
        <v>2468</v>
      </c>
      <c r="Q739" s="25" t="str">
        <f>VLOOKUP($P739,Allocators!$B$7:$F$19,5,FALSE)</f>
        <v>Not in Rate Base</v>
      </c>
      <c r="R739" s="737">
        <f>VLOOKUP($P739,Allocators!$B$7:$F$19,2,FALSE)</f>
        <v>0</v>
      </c>
      <c r="S739" s="737">
        <f>VLOOKUP($P739,Allocators!$B$7:$F$19,3,FALSE)</f>
        <v>0</v>
      </c>
      <c r="T739" s="737">
        <f t="shared" si="204"/>
        <v>1</v>
      </c>
      <c r="U739" s="2">
        <f t="shared" si="219"/>
        <v>0</v>
      </c>
      <c r="V739" s="2">
        <f t="shared" si="220"/>
        <v>0</v>
      </c>
      <c r="W739" s="2">
        <f t="shared" si="221"/>
        <v>-6238.6826320833297</v>
      </c>
      <c r="X739" s="2">
        <f t="shared" si="217"/>
        <v>-6238.6826320833297</v>
      </c>
      <c r="Y739" s="2">
        <f t="shared" si="222"/>
        <v>0</v>
      </c>
      <c r="Z739" s="2">
        <f t="shared" si="223"/>
        <v>0</v>
      </c>
      <c r="AA739" s="2">
        <f t="shared" si="224"/>
        <v>-5851.0715700000001</v>
      </c>
      <c r="AB739" s="2">
        <f t="shared" si="218"/>
        <v>-5851.0715700000001</v>
      </c>
      <c r="AC739" s="759">
        <v>-6324.0503200000003</v>
      </c>
      <c r="AD739" s="741">
        <v>-6469.1868199999999</v>
      </c>
      <c r="AE739" s="741">
        <v>-6612.2670199999993</v>
      </c>
      <c r="AF739" s="741">
        <v>-6759.9449100000002</v>
      </c>
      <c r="AG739" s="741">
        <v>-6959.95795</v>
      </c>
      <c r="AH739" s="741">
        <v>-6112.0203000000001</v>
      </c>
      <c r="AI739" s="741">
        <v>-6070.7727800000002</v>
      </c>
      <c r="AJ739" s="741">
        <v>-6032.8670099999999</v>
      </c>
      <c r="AK739" s="741">
        <v>-5994.4525599999997</v>
      </c>
      <c r="AL739" s="741">
        <v>-5959.4491200000002</v>
      </c>
      <c r="AM739" s="741">
        <v>-5923.2924299999995</v>
      </c>
      <c r="AN739" s="741">
        <v>-5882.4197400000003</v>
      </c>
      <c r="AO739" s="741">
        <v>-5851.0715700000001</v>
      </c>
      <c r="AP739" s="41" t="str">
        <f t="shared" si="214"/>
        <v>GLT</v>
      </c>
      <c r="AQ739" s="41" t="str">
        <f t="shared" si="215"/>
        <v>GLTT0</v>
      </c>
      <c r="AR739" s="41" t="str">
        <f t="shared" si="216"/>
        <v>T0</v>
      </c>
    </row>
    <row r="740" spans="1:44" s="41" customFormat="1" ht="12.75" customHeight="1">
      <c r="A740" s="25" t="s">
        <v>17</v>
      </c>
      <c r="B740" s="25" t="str">
        <f t="shared" si="233"/>
        <v>GL282200</v>
      </c>
      <c r="C740" s="638">
        <v>282200</v>
      </c>
      <c r="D740" s="735"/>
      <c r="F740" s="1" t="s">
        <v>709</v>
      </c>
      <c r="H740" s="736">
        <v>0</v>
      </c>
      <c r="I740" s="25"/>
      <c r="J740" s="25"/>
      <c r="K740" s="442" t="str">
        <f t="shared" si="226"/>
        <v/>
      </c>
      <c r="L740" s="736" t="s">
        <v>2466</v>
      </c>
      <c r="M740" s="25" t="str">
        <f t="shared" si="234"/>
        <v>T</v>
      </c>
      <c r="N740" s="25" t="str">
        <f>IF(L740&lt;&gt;"",VLOOKUP(L740,Categories!$B$2:$D$41,2,FALSE),IF(F740&lt;&gt;"","No Cat",""))</f>
        <v>ADIT Sch</v>
      </c>
      <c r="O740" s="25" t="str">
        <f>IF($L740&lt;&gt;"",VLOOKUP($L740,Categories!$B$2:$D$41,3,FALSE),IF($F740&lt;&gt;"","No Cat",""))</f>
        <v>Def Taxes</v>
      </c>
      <c r="P740" s="736" t="s">
        <v>2468</v>
      </c>
      <c r="Q740" s="25" t="str">
        <f>VLOOKUP($P740,Allocators!$B$7:$F$19,5,FALSE)</f>
        <v>Not in Rate Base</v>
      </c>
      <c r="R740" s="737">
        <f>VLOOKUP($P740,Allocators!$B$7:$F$19,2,FALSE)</f>
        <v>0</v>
      </c>
      <c r="S740" s="737">
        <f>VLOOKUP($P740,Allocators!$B$7:$F$19,3,FALSE)</f>
        <v>0</v>
      </c>
      <c r="T740" s="737">
        <f t="shared" si="204"/>
        <v>1</v>
      </c>
      <c r="U740" s="2">
        <f t="shared" si="219"/>
        <v>0</v>
      </c>
      <c r="V740" s="2">
        <f t="shared" si="220"/>
        <v>0</v>
      </c>
      <c r="W740" s="2">
        <f t="shared" si="221"/>
        <v>-262963.78108583298</v>
      </c>
      <c r="X740" s="2">
        <f t="shared" si="217"/>
        <v>-262963.78108583298</v>
      </c>
      <c r="Y740" s="2">
        <f t="shared" si="222"/>
        <v>0</v>
      </c>
      <c r="Z740" s="2">
        <f t="shared" si="223"/>
        <v>0</v>
      </c>
      <c r="AA740" s="2">
        <f t="shared" si="224"/>
        <v>-280421.19958000001</v>
      </c>
      <c r="AB740" s="2">
        <f t="shared" si="218"/>
        <v>-280421.19957999996</v>
      </c>
      <c r="AC740" s="759">
        <v>-255472.82252000002</v>
      </c>
      <c r="AD740" s="741">
        <v>-256737.01712</v>
      </c>
      <c r="AE740" s="741">
        <v>-258885.33058000001</v>
      </c>
      <c r="AF740" s="741">
        <v>-260806.70577999999</v>
      </c>
      <c r="AG740" s="741">
        <v>-258589.20768000002</v>
      </c>
      <c r="AH740" s="741">
        <v>-258352.93932</v>
      </c>
      <c r="AI740" s="741">
        <v>-260607.97453000001</v>
      </c>
      <c r="AJ740" s="741">
        <v>-260847.57603999999</v>
      </c>
      <c r="AK740" s="741">
        <v>-261364.50791999997</v>
      </c>
      <c r="AL740" s="741">
        <v>-261640.35281000001</v>
      </c>
      <c r="AM740" s="741">
        <v>-274345.17392999999</v>
      </c>
      <c r="AN740" s="741">
        <v>-275441.57626999996</v>
      </c>
      <c r="AO740" s="741">
        <v>-280421.19957999996</v>
      </c>
      <c r="AP740" s="41" t="str">
        <f t="shared" si="214"/>
        <v>GLT</v>
      </c>
      <c r="AQ740" s="41" t="str">
        <f t="shared" si="215"/>
        <v>GLTT0</v>
      </c>
      <c r="AR740" s="41" t="str">
        <f t="shared" si="216"/>
        <v>T0</v>
      </c>
    </row>
    <row r="741" spans="1:44" s="41" customFormat="1" ht="12.75" customHeight="1">
      <c r="A741" s="25" t="s">
        <v>17</v>
      </c>
      <c r="B741" s="25" t="str">
        <f t="shared" si="233"/>
        <v>GL282210</v>
      </c>
      <c r="C741" s="638">
        <v>282210</v>
      </c>
      <c r="D741" s="735"/>
      <c r="F741" s="1" t="s">
        <v>710</v>
      </c>
      <c r="H741" s="736">
        <v>0</v>
      </c>
      <c r="I741" s="25"/>
      <c r="J741" s="25"/>
      <c r="K741" s="442" t="str">
        <f t="shared" si="226"/>
        <v/>
      </c>
      <c r="L741" s="736" t="s">
        <v>2466</v>
      </c>
      <c r="M741" s="25" t="str">
        <f t="shared" si="234"/>
        <v>T</v>
      </c>
      <c r="N741" s="25" t="str">
        <f>IF(L741&lt;&gt;"",VLOOKUP(L741,Categories!$B$2:$D$41,2,FALSE),IF(F741&lt;&gt;"","No Cat",""))</f>
        <v>ADIT Sch</v>
      </c>
      <c r="O741" s="25" t="str">
        <f>IF($L741&lt;&gt;"",VLOOKUP($L741,Categories!$B$2:$D$41,3,FALSE),IF($F741&lt;&gt;"","No Cat",""))</f>
        <v>Def Taxes</v>
      </c>
      <c r="P741" s="736" t="s">
        <v>2468</v>
      </c>
      <c r="Q741" s="25" t="str">
        <f>VLOOKUP($P741,Allocators!$B$7:$F$19,5,FALSE)</f>
        <v>Not in Rate Base</v>
      </c>
      <c r="R741" s="737">
        <f>VLOOKUP($P741,Allocators!$B$7:$F$19,2,FALSE)</f>
        <v>0</v>
      </c>
      <c r="S741" s="737">
        <f>VLOOKUP($P741,Allocators!$B$7:$F$19,3,FALSE)</f>
        <v>0</v>
      </c>
      <c r="T741" s="737">
        <f t="shared" si="204"/>
        <v>1</v>
      </c>
      <c r="U741" s="2">
        <f t="shared" si="219"/>
        <v>0</v>
      </c>
      <c r="V741" s="2">
        <f t="shared" si="220"/>
        <v>0</v>
      </c>
      <c r="W741" s="2">
        <f t="shared" si="221"/>
        <v>-97950.978257083305</v>
      </c>
      <c r="X741" s="2">
        <f t="shared" si="217"/>
        <v>-97950.978257083305</v>
      </c>
      <c r="Y741" s="2">
        <f t="shared" si="222"/>
        <v>0</v>
      </c>
      <c r="Z741" s="2">
        <f t="shared" si="223"/>
        <v>0</v>
      </c>
      <c r="AA741" s="2">
        <f t="shared" si="224"/>
        <v>-104786.24725</v>
      </c>
      <c r="AB741" s="2">
        <f t="shared" si="218"/>
        <v>-104786.24725</v>
      </c>
      <c r="AC741" s="759">
        <v>-96055.82104000001</v>
      </c>
      <c r="AD741" s="741">
        <v>-96636.562480000008</v>
      </c>
      <c r="AE741" s="741">
        <v>-97184.31143999999</v>
      </c>
      <c r="AF741" s="741">
        <v>-97761.581919999997</v>
      </c>
      <c r="AG741" s="741">
        <v>-97384.813900000008</v>
      </c>
      <c r="AH741" s="741">
        <v>-96977.359650000013</v>
      </c>
      <c r="AI741" s="741">
        <v>-97101.83262999999</v>
      </c>
      <c r="AJ741" s="741">
        <v>-97220.121819999986</v>
      </c>
      <c r="AK741" s="741">
        <v>-97386.053360000005</v>
      </c>
      <c r="AL741" s="741">
        <v>-97169.652119999999</v>
      </c>
      <c r="AM741" s="741">
        <v>-99935.849099999992</v>
      </c>
      <c r="AN741" s="741">
        <v>-100232.56651999999</v>
      </c>
      <c r="AO741" s="741">
        <v>-104786.24725</v>
      </c>
      <c r="AP741" s="41" t="str">
        <f t="shared" si="214"/>
        <v>GLT</v>
      </c>
      <c r="AQ741" s="41" t="str">
        <f t="shared" si="215"/>
        <v>GLTT0</v>
      </c>
      <c r="AR741" s="41" t="str">
        <f t="shared" si="216"/>
        <v>T0</v>
      </c>
    </row>
    <row r="742" spans="1:44" s="41" customFormat="1" ht="12.75" customHeight="1">
      <c r="A742" s="25" t="s">
        <v>17</v>
      </c>
      <c r="B742" s="25" t="str">
        <f t="shared" si="233"/>
        <v>GL282240</v>
      </c>
      <c r="C742" s="638">
        <v>282240</v>
      </c>
      <c r="D742" s="735"/>
      <c r="F742" s="1" t="s">
        <v>711</v>
      </c>
      <c r="H742" s="736">
        <v>0</v>
      </c>
      <c r="I742" s="25"/>
      <c r="J742" s="25"/>
      <c r="K742" s="442" t="str">
        <f t="shared" si="226"/>
        <v/>
      </c>
      <c r="L742" s="736" t="s">
        <v>2466</v>
      </c>
      <c r="M742" s="25" t="str">
        <f t="shared" si="234"/>
        <v>T</v>
      </c>
      <c r="N742" s="25" t="str">
        <f>IF(L742&lt;&gt;"",VLOOKUP(L742,Categories!$B$2:$D$41,2,FALSE),IF(F742&lt;&gt;"","No Cat",""))</f>
        <v>ADIT Sch</v>
      </c>
      <c r="O742" s="25" t="str">
        <f>IF($L742&lt;&gt;"",VLOOKUP($L742,Categories!$B$2:$D$41,3,FALSE),IF($F742&lt;&gt;"","No Cat",""))</f>
        <v>Def Taxes</v>
      </c>
      <c r="P742" s="736" t="s">
        <v>2468</v>
      </c>
      <c r="Q742" s="25" t="str">
        <f>VLOOKUP($P742,Allocators!$B$7:$F$19,5,FALSE)</f>
        <v>Not in Rate Base</v>
      </c>
      <c r="R742" s="737">
        <f>VLOOKUP($P742,Allocators!$B$7:$F$19,2,FALSE)</f>
        <v>0</v>
      </c>
      <c r="S742" s="737">
        <f>VLOOKUP($P742,Allocators!$B$7:$F$19,3,FALSE)</f>
        <v>0</v>
      </c>
      <c r="T742" s="737">
        <f t="shared" si="204"/>
        <v>1</v>
      </c>
      <c r="U742" s="2">
        <f t="shared" si="219"/>
        <v>0</v>
      </c>
      <c r="V742" s="2">
        <f t="shared" si="220"/>
        <v>0</v>
      </c>
      <c r="W742" s="2">
        <f t="shared" si="221"/>
        <v>-22841.260805000002</v>
      </c>
      <c r="X742" s="2">
        <f t="shared" si="217"/>
        <v>-22841.260805000002</v>
      </c>
      <c r="Y742" s="2">
        <f t="shared" si="222"/>
        <v>0</v>
      </c>
      <c r="Z742" s="2">
        <f t="shared" si="223"/>
        <v>0</v>
      </c>
      <c r="AA742" s="2">
        <f t="shared" si="224"/>
        <v>-25762.721130000002</v>
      </c>
      <c r="AB742" s="2">
        <f t="shared" si="218"/>
        <v>-25762.721129999998</v>
      </c>
      <c r="AC742" s="759">
        <v>-21214.916690000002</v>
      </c>
      <c r="AD742" s="741">
        <v>-20848.764090000001</v>
      </c>
      <c r="AE742" s="741">
        <v>-20676.229010000003</v>
      </c>
      <c r="AF742" s="741">
        <v>-20453.87356</v>
      </c>
      <c r="AG742" s="741">
        <v>-20387.957730000002</v>
      </c>
      <c r="AH742" s="741">
        <v>-22813.428980000001</v>
      </c>
      <c r="AI742" s="741">
        <v>-23494.790550000002</v>
      </c>
      <c r="AJ742" s="741">
        <v>-23731.220539999998</v>
      </c>
      <c r="AK742" s="741">
        <v>-24034.848020000001</v>
      </c>
      <c r="AL742" s="741">
        <v>-23684.45823</v>
      </c>
      <c r="AM742" s="741">
        <v>-25105.844649999999</v>
      </c>
      <c r="AN742" s="741">
        <v>-25374.895390000001</v>
      </c>
      <c r="AO742" s="741">
        <v>-25762.721129999998</v>
      </c>
      <c r="AP742" s="41" t="str">
        <f t="shared" si="214"/>
        <v>GLT</v>
      </c>
      <c r="AQ742" s="41" t="str">
        <f t="shared" si="215"/>
        <v>GLTT0</v>
      </c>
      <c r="AR742" s="41" t="str">
        <f t="shared" si="216"/>
        <v>T0</v>
      </c>
    </row>
    <row r="743" spans="1:44" s="41" customFormat="1" ht="12.75" customHeight="1">
      <c r="A743" s="25" t="s">
        <v>17</v>
      </c>
      <c r="B743" s="25" t="str">
        <f t="shared" si="233"/>
        <v>GL282250</v>
      </c>
      <c r="C743" s="638">
        <v>282250</v>
      </c>
      <c r="D743" s="735"/>
      <c r="F743" s="1" t="s">
        <v>712</v>
      </c>
      <c r="H743" s="736">
        <v>0</v>
      </c>
      <c r="I743" s="25"/>
      <c r="J743" s="25"/>
      <c r="K743" s="442" t="str">
        <f t="shared" si="226"/>
        <v/>
      </c>
      <c r="L743" s="736" t="s">
        <v>2466</v>
      </c>
      <c r="M743" s="25" t="str">
        <f t="shared" si="234"/>
        <v>T</v>
      </c>
      <c r="N743" s="25" t="str">
        <f>IF(L743&lt;&gt;"",VLOOKUP(L743,Categories!$B$2:$D$41,2,FALSE),IF(F743&lt;&gt;"","No Cat",""))</f>
        <v>ADIT Sch</v>
      </c>
      <c r="O743" s="25" t="str">
        <f>IF($L743&lt;&gt;"",VLOOKUP($L743,Categories!$B$2:$D$41,3,FALSE),IF($F743&lt;&gt;"","No Cat",""))</f>
        <v>Def Taxes</v>
      </c>
      <c r="P743" s="736" t="s">
        <v>2468</v>
      </c>
      <c r="Q743" s="25" t="str">
        <f>VLOOKUP($P743,Allocators!$B$7:$F$19,5,FALSE)</f>
        <v>Not in Rate Base</v>
      </c>
      <c r="R743" s="737">
        <f>VLOOKUP($P743,Allocators!$B$7:$F$19,2,FALSE)</f>
        <v>0</v>
      </c>
      <c r="S743" s="737">
        <f>VLOOKUP($P743,Allocators!$B$7:$F$19,3,FALSE)</f>
        <v>0</v>
      </c>
      <c r="T743" s="737">
        <f t="shared" ref="T743:T806" si="235">IF(P743="N",1,"0.0%")</f>
        <v>1</v>
      </c>
      <c r="U743" s="2">
        <f t="shared" si="219"/>
        <v>0</v>
      </c>
      <c r="V743" s="2">
        <f t="shared" si="220"/>
        <v>0</v>
      </c>
      <c r="W743" s="2">
        <f t="shared" si="221"/>
        <v>-7601.0961620833295</v>
      </c>
      <c r="X743" s="2">
        <f t="shared" si="217"/>
        <v>-7601.0961620833295</v>
      </c>
      <c r="Y743" s="2">
        <f t="shared" si="222"/>
        <v>0</v>
      </c>
      <c r="Z743" s="2">
        <f t="shared" si="223"/>
        <v>0</v>
      </c>
      <c r="AA743" s="2">
        <f t="shared" si="224"/>
        <v>-8853.9942200000005</v>
      </c>
      <c r="AB743" s="2">
        <f t="shared" si="218"/>
        <v>-8853.9942200000005</v>
      </c>
      <c r="AC743" s="759">
        <v>-6902.7265900000002</v>
      </c>
      <c r="AD743" s="741">
        <v>-6828.2978899999998</v>
      </c>
      <c r="AE743" s="741">
        <v>-6746.4740499999998</v>
      </c>
      <c r="AF743" s="741">
        <v>-6671.3544599999996</v>
      </c>
      <c r="AG743" s="741">
        <v>-6619.7564599999996</v>
      </c>
      <c r="AH743" s="741">
        <v>-7560.14174</v>
      </c>
      <c r="AI743" s="741">
        <v>-7676.0045199999995</v>
      </c>
      <c r="AJ743" s="741">
        <v>-7787.3563700000004</v>
      </c>
      <c r="AK743" s="741">
        <v>-7912.6585800000003</v>
      </c>
      <c r="AL743" s="741">
        <v>-8237.2442100000007</v>
      </c>
      <c r="AM743" s="741">
        <v>-8590.0888400000003</v>
      </c>
      <c r="AN743" s="741">
        <v>-8705.4164199999996</v>
      </c>
      <c r="AO743" s="741">
        <v>-8853.9942200000005</v>
      </c>
      <c r="AP743" s="41" t="str">
        <f t="shared" si="214"/>
        <v>GLT</v>
      </c>
      <c r="AQ743" s="41" t="str">
        <f t="shared" si="215"/>
        <v>GLTT0</v>
      </c>
      <c r="AR743" s="41" t="str">
        <f t="shared" si="216"/>
        <v>T0</v>
      </c>
    </row>
    <row r="744" spans="1:44" s="41" customFormat="1" ht="12.75" customHeight="1">
      <c r="A744" s="25" t="s">
        <v>17</v>
      </c>
      <c r="B744" s="25" t="str">
        <f t="shared" si="233"/>
        <v>GL283000</v>
      </c>
      <c r="C744" s="638">
        <v>283000</v>
      </c>
      <c r="D744" s="735"/>
      <c r="F744" s="1" t="s">
        <v>713</v>
      </c>
      <c r="H744" s="736">
        <v>0</v>
      </c>
      <c r="I744" s="25"/>
      <c r="J744" s="25"/>
      <c r="K744" s="442" t="str">
        <f t="shared" si="226"/>
        <v/>
      </c>
      <c r="L744" s="736" t="s">
        <v>2466</v>
      </c>
      <c r="M744" s="25" t="str">
        <f t="shared" si="234"/>
        <v>T</v>
      </c>
      <c r="N744" s="25" t="str">
        <f>IF(L744&lt;&gt;"",VLOOKUP(L744,Categories!$B$2:$D$41,2,FALSE),IF(F744&lt;&gt;"","No Cat",""))</f>
        <v>ADIT Sch</v>
      </c>
      <c r="O744" s="25" t="str">
        <f>IF($L744&lt;&gt;"",VLOOKUP($L744,Categories!$B$2:$D$41,3,FALSE),IF($F744&lt;&gt;"","No Cat",""))</f>
        <v>Def Taxes</v>
      </c>
      <c r="P744" s="736" t="s">
        <v>2468</v>
      </c>
      <c r="Q744" s="25" t="str">
        <f>VLOOKUP($P744,Allocators!$B$7:$F$19,5,FALSE)</f>
        <v>Not in Rate Base</v>
      </c>
      <c r="R744" s="737">
        <f>VLOOKUP($P744,Allocators!$B$7:$F$19,2,FALSE)</f>
        <v>0</v>
      </c>
      <c r="S744" s="737">
        <f>VLOOKUP($P744,Allocators!$B$7:$F$19,3,FALSE)</f>
        <v>0</v>
      </c>
      <c r="T744" s="737">
        <f t="shared" si="235"/>
        <v>1</v>
      </c>
      <c r="U744" s="2" t="str">
        <f t="shared" si="219"/>
        <v/>
      </c>
      <c r="V744" s="2" t="str">
        <f t="shared" si="220"/>
        <v/>
      </c>
      <c r="W744" s="2" t="str">
        <f t="shared" si="221"/>
        <v/>
      </c>
      <c r="X744" s="2">
        <f t="shared" si="217"/>
        <v>0</v>
      </c>
      <c r="Y744" s="2" t="str">
        <f t="shared" si="222"/>
        <v/>
      </c>
      <c r="Z744" s="2" t="str">
        <f t="shared" si="223"/>
        <v/>
      </c>
      <c r="AA744" s="2" t="str">
        <f t="shared" si="224"/>
        <v/>
      </c>
      <c r="AB744" s="2">
        <f t="shared" si="218"/>
        <v>0</v>
      </c>
      <c r="AC744" s="759">
        <v>0</v>
      </c>
      <c r="AD744" s="741">
        <v>0</v>
      </c>
      <c r="AE744" s="741">
        <v>0</v>
      </c>
      <c r="AF744" s="741">
        <v>0</v>
      </c>
      <c r="AG744" s="741">
        <v>0</v>
      </c>
      <c r="AH744" s="741">
        <v>0</v>
      </c>
      <c r="AI744" s="741">
        <v>0</v>
      </c>
      <c r="AJ744" s="741">
        <v>0</v>
      </c>
      <c r="AK744" s="741">
        <v>0</v>
      </c>
      <c r="AL744" s="741">
        <v>0</v>
      </c>
      <c r="AM744" s="741">
        <v>0</v>
      </c>
      <c r="AN744" s="741">
        <v>0</v>
      </c>
      <c r="AO744" s="741">
        <v>0</v>
      </c>
      <c r="AP744" s="41" t="str">
        <f t="shared" si="214"/>
        <v>GLT</v>
      </c>
      <c r="AQ744" s="41" t="str">
        <f t="shared" si="215"/>
        <v>GLTT0</v>
      </c>
      <c r="AR744" s="41" t="str">
        <f t="shared" si="216"/>
        <v>T0</v>
      </c>
    </row>
    <row r="745" spans="1:44" s="41" customFormat="1" ht="12.75" customHeight="1">
      <c r="A745" s="25" t="s">
        <v>17</v>
      </c>
      <c r="B745" s="25" t="str">
        <f t="shared" si="233"/>
        <v>GL283007</v>
      </c>
      <c r="C745" s="638">
        <v>283007</v>
      </c>
      <c r="D745" s="735"/>
      <c r="F745" s="1" t="s">
        <v>327</v>
      </c>
      <c r="H745" s="736">
        <v>0</v>
      </c>
      <c r="I745" s="25"/>
      <c r="J745" s="25"/>
      <c r="K745" s="442" t="str">
        <f t="shared" si="226"/>
        <v/>
      </c>
      <c r="L745" s="736" t="s">
        <v>2466</v>
      </c>
      <c r="M745" s="25" t="str">
        <f t="shared" si="234"/>
        <v>T</v>
      </c>
      <c r="N745" s="25" t="str">
        <f>IF(L745&lt;&gt;"",VLOOKUP(L745,Categories!$B$2:$D$41,2,FALSE),IF(F745&lt;&gt;"","No Cat",""))</f>
        <v>ADIT Sch</v>
      </c>
      <c r="O745" s="25" t="str">
        <f>IF($L745&lt;&gt;"",VLOOKUP($L745,Categories!$B$2:$D$41,3,FALSE),IF($F745&lt;&gt;"","No Cat",""))</f>
        <v>Def Taxes</v>
      </c>
      <c r="P745" s="736" t="s">
        <v>2468</v>
      </c>
      <c r="Q745" s="25" t="str">
        <f>VLOOKUP($P745,Allocators!$B$7:$F$19,5,FALSE)</f>
        <v>Not in Rate Base</v>
      </c>
      <c r="R745" s="737">
        <f>VLOOKUP($P745,Allocators!$B$7:$F$19,2,FALSE)</f>
        <v>0</v>
      </c>
      <c r="S745" s="737">
        <f>VLOOKUP($P745,Allocators!$B$7:$F$19,3,FALSE)</f>
        <v>0</v>
      </c>
      <c r="T745" s="737">
        <f t="shared" si="235"/>
        <v>1</v>
      </c>
      <c r="U745" s="2" t="str">
        <f t="shared" si="219"/>
        <v/>
      </c>
      <c r="V745" s="2" t="str">
        <f t="shared" si="220"/>
        <v/>
      </c>
      <c r="W745" s="2" t="str">
        <f t="shared" si="221"/>
        <v/>
      </c>
      <c r="X745" s="2">
        <f t="shared" si="217"/>
        <v>0</v>
      </c>
      <c r="Y745" s="2" t="str">
        <f t="shared" si="222"/>
        <v/>
      </c>
      <c r="Z745" s="2" t="str">
        <f t="shared" si="223"/>
        <v/>
      </c>
      <c r="AA745" s="2" t="str">
        <f t="shared" si="224"/>
        <v/>
      </c>
      <c r="AB745" s="2">
        <f t="shared" si="218"/>
        <v>0</v>
      </c>
      <c r="AC745" s="759">
        <v>0</v>
      </c>
      <c r="AD745" s="741">
        <v>0</v>
      </c>
      <c r="AE745" s="741">
        <v>0</v>
      </c>
      <c r="AF745" s="741">
        <v>0</v>
      </c>
      <c r="AG745" s="741">
        <v>0</v>
      </c>
      <c r="AH745" s="741">
        <v>0</v>
      </c>
      <c r="AI745" s="741">
        <v>0</v>
      </c>
      <c r="AJ745" s="741">
        <v>0</v>
      </c>
      <c r="AK745" s="741">
        <v>0</v>
      </c>
      <c r="AL745" s="741">
        <v>0</v>
      </c>
      <c r="AM745" s="741">
        <v>0</v>
      </c>
      <c r="AN745" s="741">
        <v>0</v>
      </c>
      <c r="AO745" s="741">
        <v>0</v>
      </c>
      <c r="AP745" s="41" t="str">
        <f t="shared" si="214"/>
        <v>GLT</v>
      </c>
      <c r="AQ745" s="41" t="str">
        <f t="shared" si="215"/>
        <v>GLTT0</v>
      </c>
      <c r="AR745" s="41" t="str">
        <f t="shared" si="216"/>
        <v>T0</v>
      </c>
    </row>
    <row r="746" spans="1:44" s="41" customFormat="1" ht="12.75" customHeight="1">
      <c r="A746" s="25" t="s">
        <v>17</v>
      </c>
      <c r="B746" s="25" t="str">
        <f t="shared" si="233"/>
        <v>GL283010</v>
      </c>
      <c r="C746" s="638">
        <v>283010</v>
      </c>
      <c r="D746" s="735"/>
      <c r="F746" s="1" t="s">
        <v>701</v>
      </c>
      <c r="H746" s="736">
        <v>0</v>
      </c>
      <c r="I746" s="25"/>
      <c r="J746" s="25"/>
      <c r="K746" s="442" t="str">
        <f t="shared" si="226"/>
        <v/>
      </c>
      <c r="L746" s="736" t="s">
        <v>2466</v>
      </c>
      <c r="M746" s="25" t="str">
        <f t="shared" si="234"/>
        <v>T</v>
      </c>
      <c r="N746" s="25" t="str">
        <f>IF(L746&lt;&gt;"",VLOOKUP(L746,Categories!$B$2:$D$41,2,FALSE),IF(F746&lt;&gt;"","No Cat",""))</f>
        <v>ADIT Sch</v>
      </c>
      <c r="O746" s="25" t="str">
        <f>IF($L746&lt;&gt;"",VLOOKUP($L746,Categories!$B$2:$D$41,3,FALSE),IF($F746&lt;&gt;"","No Cat",""))</f>
        <v>Def Taxes</v>
      </c>
      <c r="P746" s="736" t="s">
        <v>2468</v>
      </c>
      <c r="Q746" s="25" t="str">
        <f>VLOOKUP($P746,Allocators!$B$7:$F$19,5,FALSE)</f>
        <v>Not in Rate Base</v>
      </c>
      <c r="R746" s="737">
        <f>VLOOKUP($P746,Allocators!$B$7:$F$19,2,FALSE)</f>
        <v>0</v>
      </c>
      <c r="S746" s="737">
        <f>VLOOKUP($P746,Allocators!$B$7:$F$19,3,FALSE)</f>
        <v>0</v>
      </c>
      <c r="T746" s="737">
        <f t="shared" si="235"/>
        <v>1</v>
      </c>
      <c r="U746" s="2" t="str">
        <f t="shared" si="219"/>
        <v/>
      </c>
      <c r="V746" s="2" t="str">
        <f t="shared" si="220"/>
        <v/>
      </c>
      <c r="W746" s="2" t="str">
        <f t="shared" si="221"/>
        <v/>
      </c>
      <c r="X746" s="2">
        <f t="shared" si="217"/>
        <v>0</v>
      </c>
      <c r="Y746" s="2" t="str">
        <f t="shared" si="222"/>
        <v/>
      </c>
      <c r="Z746" s="2" t="str">
        <f t="shared" si="223"/>
        <v/>
      </c>
      <c r="AA746" s="2" t="str">
        <f t="shared" si="224"/>
        <v/>
      </c>
      <c r="AB746" s="2">
        <f t="shared" si="218"/>
        <v>0</v>
      </c>
      <c r="AC746" s="759">
        <v>0</v>
      </c>
      <c r="AD746" s="741">
        <v>0</v>
      </c>
      <c r="AE746" s="741">
        <v>0</v>
      </c>
      <c r="AF746" s="741">
        <v>0</v>
      </c>
      <c r="AG746" s="741">
        <v>0</v>
      </c>
      <c r="AH746" s="741">
        <v>0</v>
      </c>
      <c r="AI746" s="741">
        <v>0</v>
      </c>
      <c r="AJ746" s="741">
        <v>0</v>
      </c>
      <c r="AK746" s="741">
        <v>0</v>
      </c>
      <c r="AL746" s="741">
        <v>0</v>
      </c>
      <c r="AM746" s="741">
        <v>0</v>
      </c>
      <c r="AN746" s="741">
        <v>0</v>
      </c>
      <c r="AO746" s="741">
        <v>0</v>
      </c>
      <c r="AP746" s="41" t="str">
        <f t="shared" si="214"/>
        <v>GLT</v>
      </c>
      <c r="AQ746" s="41" t="str">
        <f t="shared" si="215"/>
        <v>GLTT0</v>
      </c>
      <c r="AR746" s="41" t="str">
        <f t="shared" si="216"/>
        <v>T0</v>
      </c>
    </row>
    <row r="747" spans="1:44" s="41" customFormat="1" ht="12.75" customHeight="1">
      <c r="A747" s="25" t="s">
        <v>17</v>
      </c>
      <c r="B747" s="25" t="str">
        <f t="shared" si="233"/>
        <v>GL283015</v>
      </c>
      <c r="C747" s="638">
        <v>283015</v>
      </c>
      <c r="D747" s="735"/>
      <c r="F747" s="1" t="s">
        <v>334</v>
      </c>
      <c r="H747" s="736">
        <v>0</v>
      </c>
      <c r="I747" s="25"/>
      <c r="J747" s="25"/>
      <c r="K747" s="442" t="str">
        <f t="shared" si="226"/>
        <v/>
      </c>
      <c r="L747" s="736" t="s">
        <v>2466</v>
      </c>
      <c r="M747" s="25" t="str">
        <f t="shared" si="234"/>
        <v>T</v>
      </c>
      <c r="N747" s="25" t="str">
        <f>IF(L747&lt;&gt;"",VLOOKUP(L747,Categories!$B$2:$D$41,2,FALSE),IF(F747&lt;&gt;"","No Cat",""))</f>
        <v>ADIT Sch</v>
      </c>
      <c r="O747" s="25" t="str">
        <f>IF($L747&lt;&gt;"",VLOOKUP($L747,Categories!$B$2:$D$41,3,FALSE),IF($F747&lt;&gt;"","No Cat",""))</f>
        <v>Def Taxes</v>
      </c>
      <c r="P747" s="736" t="s">
        <v>2468</v>
      </c>
      <c r="Q747" s="25" t="str">
        <f>VLOOKUP($P747,Allocators!$B$7:$F$19,5,FALSE)</f>
        <v>Not in Rate Base</v>
      </c>
      <c r="R747" s="737">
        <f>VLOOKUP($P747,Allocators!$B$7:$F$19,2,FALSE)</f>
        <v>0</v>
      </c>
      <c r="S747" s="737">
        <f>VLOOKUP($P747,Allocators!$B$7:$F$19,3,FALSE)</f>
        <v>0</v>
      </c>
      <c r="T747" s="737">
        <f t="shared" si="235"/>
        <v>1</v>
      </c>
      <c r="U747" s="2" t="str">
        <f t="shared" si="219"/>
        <v/>
      </c>
      <c r="V747" s="2" t="str">
        <f t="shared" si="220"/>
        <v/>
      </c>
      <c r="W747" s="2" t="str">
        <f t="shared" si="221"/>
        <v/>
      </c>
      <c r="X747" s="2">
        <f t="shared" si="217"/>
        <v>0</v>
      </c>
      <c r="Y747" s="2" t="str">
        <f t="shared" si="222"/>
        <v/>
      </c>
      <c r="Z747" s="2" t="str">
        <f t="shared" si="223"/>
        <v/>
      </c>
      <c r="AA747" s="2" t="str">
        <f t="shared" si="224"/>
        <v/>
      </c>
      <c r="AB747" s="2">
        <f t="shared" si="218"/>
        <v>0</v>
      </c>
      <c r="AC747" s="759">
        <v>0</v>
      </c>
      <c r="AD747" s="741">
        <v>0</v>
      </c>
      <c r="AE747" s="741">
        <v>0</v>
      </c>
      <c r="AF747" s="741">
        <v>0</v>
      </c>
      <c r="AG747" s="741">
        <v>0</v>
      </c>
      <c r="AH747" s="741">
        <v>0</v>
      </c>
      <c r="AI747" s="741">
        <v>0</v>
      </c>
      <c r="AJ747" s="741">
        <v>0</v>
      </c>
      <c r="AK747" s="741">
        <v>0</v>
      </c>
      <c r="AL747" s="741">
        <v>0</v>
      </c>
      <c r="AM747" s="741">
        <v>0</v>
      </c>
      <c r="AN747" s="741">
        <v>0</v>
      </c>
      <c r="AO747" s="741">
        <v>0</v>
      </c>
      <c r="AP747" s="41" t="str">
        <f t="shared" si="214"/>
        <v>GLT</v>
      </c>
      <c r="AQ747" s="41" t="str">
        <f t="shared" si="215"/>
        <v>GLTT0</v>
      </c>
      <c r="AR747" s="41" t="str">
        <f t="shared" si="216"/>
        <v>T0</v>
      </c>
    </row>
    <row r="748" spans="1:44" s="41" customFormat="1" ht="12.75" customHeight="1">
      <c r="A748" s="25" t="s">
        <v>17</v>
      </c>
      <c r="B748" s="25" t="str">
        <f t="shared" si="233"/>
        <v>GL283017</v>
      </c>
      <c r="C748" s="638">
        <v>283017</v>
      </c>
      <c r="D748" s="735"/>
      <c r="F748" s="1" t="s">
        <v>336</v>
      </c>
      <c r="H748" s="736">
        <v>0</v>
      </c>
      <c r="I748" s="25"/>
      <c r="J748" s="25"/>
      <c r="K748" s="442" t="str">
        <f t="shared" si="226"/>
        <v/>
      </c>
      <c r="L748" s="736" t="s">
        <v>2466</v>
      </c>
      <c r="M748" s="25" t="str">
        <f t="shared" si="234"/>
        <v>T</v>
      </c>
      <c r="N748" s="25" t="str">
        <f>IF(L748&lt;&gt;"",VLOOKUP(L748,Categories!$B$2:$D$41,2,FALSE),IF(F748&lt;&gt;"","No Cat",""))</f>
        <v>ADIT Sch</v>
      </c>
      <c r="O748" s="25" t="str">
        <f>IF($L748&lt;&gt;"",VLOOKUP($L748,Categories!$B$2:$D$41,3,FALSE),IF($F748&lt;&gt;"","No Cat",""))</f>
        <v>Def Taxes</v>
      </c>
      <c r="P748" s="736" t="s">
        <v>2468</v>
      </c>
      <c r="Q748" s="25" t="str">
        <f>VLOOKUP($P748,Allocators!$B$7:$F$19,5,FALSE)</f>
        <v>Not in Rate Base</v>
      </c>
      <c r="R748" s="737">
        <f>VLOOKUP($P748,Allocators!$B$7:$F$19,2,FALSE)</f>
        <v>0</v>
      </c>
      <c r="S748" s="737">
        <f>VLOOKUP($P748,Allocators!$B$7:$F$19,3,FALSE)</f>
        <v>0</v>
      </c>
      <c r="T748" s="737">
        <f t="shared" si="235"/>
        <v>1</v>
      </c>
      <c r="U748" s="2" t="str">
        <f t="shared" si="219"/>
        <v/>
      </c>
      <c r="V748" s="2" t="str">
        <f t="shared" si="220"/>
        <v/>
      </c>
      <c r="W748" s="2" t="str">
        <f t="shared" si="221"/>
        <v/>
      </c>
      <c r="X748" s="2">
        <f t="shared" si="217"/>
        <v>0</v>
      </c>
      <c r="Y748" s="2" t="str">
        <f t="shared" si="222"/>
        <v/>
      </c>
      <c r="Z748" s="2" t="str">
        <f t="shared" si="223"/>
        <v/>
      </c>
      <c r="AA748" s="2" t="str">
        <f t="shared" si="224"/>
        <v/>
      </c>
      <c r="AB748" s="2">
        <f t="shared" si="218"/>
        <v>0</v>
      </c>
      <c r="AC748" s="759">
        <v>0</v>
      </c>
      <c r="AD748" s="741">
        <v>0</v>
      </c>
      <c r="AE748" s="741">
        <v>0</v>
      </c>
      <c r="AF748" s="741">
        <v>0</v>
      </c>
      <c r="AG748" s="741">
        <v>0</v>
      </c>
      <c r="AH748" s="741">
        <v>0</v>
      </c>
      <c r="AI748" s="741">
        <v>0</v>
      </c>
      <c r="AJ748" s="741">
        <v>0</v>
      </c>
      <c r="AK748" s="741">
        <v>0</v>
      </c>
      <c r="AL748" s="741">
        <v>0</v>
      </c>
      <c r="AM748" s="741">
        <v>0</v>
      </c>
      <c r="AN748" s="741">
        <v>0</v>
      </c>
      <c r="AO748" s="741">
        <v>0</v>
      </c>
      <c r="AP748" s="41" t="str">
        <f t="shared" si="214"/>
        <v>GLT</v>
      </c>
      <c r="AQ748" s="41" t="str">
        <f t="shared" si="215"/>
        <v>GLTT0</v>
      </c>
      <c r="AR748" s="41" t="str">
        <f t="shared" si="216"/>
        <v>T0</v>
      </c>
    </row>
    <row r="749" spans="1:44" s="41" customFormat="1" ht="12.75" customHeight="1">
      <c r="A749" s="25" t="s">
        <v>17</v>
      </c>
      <c r="B749" s="25" t="str">
        <f t="shared" si="233"/>
        <v>GL283019</v>
      </c>
      <c r="C749" s="638">
        <v>283019</v>
      </c>
      <c r="D749" s="735"/>
      <c r="F749" s="1" t="s">
        <v>338</v>
      </c>
      <c r="H749" s="736">
        <v>0</v>
      </c>
      <c r="I749" s="25"/>
      <c r="J749" s="25"/>
      <c r="K749" s="442" t="str">
        <f t="shared" si="226"/>
        <v/>
      </c>
      <c r="L749" s="736" t="s">
        <v>2466</v>
      </c>
      <c r="M749" s="25" t="str">
        <f t="shared" si="234"/>
        <v>T</v>
      </c>
      <c r="N749" s="25" t="str">
        <f>IF(L749&lt;&gt;"",VLOOKUP(L749,Categories!$B$2:$D$41,2,FALSE),IF(F749&lt;&gt;"","No Cat",""))</f>
        <v>ADIT Sch</v>
      </c>
      <c r="O749" s="25" t="str">
        <f>IF($L749&lt;&gt;"",VLOOKUP($L749,Categories!$B$2:$D$41,3,FALSE),IF($F749&lt;&gt;"","No Cat",""))</f>
        <v>Def Taxes</v>
      </c>
      <c r="P749" s="736" t="s">
        <v>2468</v>
      </c>
      <c r="Q749" s="25" t="str">
        <f>VLOOKUP($P749,Allocators!$B$7:$F$19,5,FALSE)</f>
        <v>Not in Rate Base</v>
      </c>
      <c r="R749" s="737">
        <f>VLOOKUP($P749,Allocators!$B$7:$F$19,2,FALSE)</f>
        <v>0</v>
      </c>
      <c r="S749" s="737">
        <f>VLOOKUP($P749,Allocators!$B$7:$F$19,3,FALSE)</f>
        <v>0</v>
      </c>
      <c r="T749" s="737">
        <f t="shared" si="235"/>
        <v>1</v>
      </c>
      <c r="U749" s="2" t="str">
        <f t="shared" si="219"/>
        <v/>
      </c>
      <c r="V749" s="2" t="str">
        <f t="shared" si="220"/>
        <v/>
      </c>
      <c r="W749" s="2" t="str">
        <f t="shared" si="221"/>
        <v/>
      </c>
      <c r="X749" s="2">
        <f t="shared" si="217"/>
        <v>0</v>
      </c>
      <c r="Y749" s="2" t="str">
        <f t="shared" si="222"/>
        <v/>
      </c>
      <c r="Z749" s="2" t="str">
        <f t="shared" si="223"/>
        <v/>
      </c>
      <c r="AA749" s="2" t="str">
        <f t="shared" si="224"/>
        <v/>
      </c>
      <c r="AB749" s="2">
        <f t="shared" si="218"/>
        <v>0</v>
      </c>
      <c r="AC749" s="759">
        <v>0</v>
      </c>
      <c r="AD749" s="741">
        <v>0</v>
      </c>
      <c r="AE749" s="741">
        <v>0</v>
      </c>
      <c r="AF749" s="741">
        <v>0</v>
      </c>
      <c r="AG749" s="741">
        <v>0</v>
      </c>
      <c r="AH749" s="741">
        <v>0</v>
      </c>
      <c r="AI749" s="741">
        <v>0</v>
      </c>
      <c r="AJ749" s="741">
        <v>0</v>
      </c>
      <c r="AK749" s="741">
        <v>0</v>
      </c>
      <c r="AL749" s="741">
        <v>0</v>
      </c>
      <c r="AM749" s="741">
        <v>0</v>
      </c>
      <c r="AN749" s="741">
        <v>0</v>
      </c>
      <c r="AO749" s="741">
        <v>0</v>
      </c>
      <c r="AP749" s="41" t="str">
        <f t="shared" si="214"/>
        <v>GLT</v>
      </c>
      <c r="AQ749" s="41" t="str">
        <f t="shared" si="215"/>
        <v>GLTT0</v>
      </c>
      <c r="AR749" s="41" t="str">
        <f t="shared" si="216"/>
        <v>T0</v>
      </c>
    </row>
    <row r="750" spans="1:44" s="41" customFormat="1" ht="12.75" customHeight="1">
      <c r="A750" s="25" t="s">
        <v>17</v>
      </c>
      <c r="B750" s="25" t="str">
        <f t="shared" si="233"/>
        <v>GL283120</v>
      </c>
      <c r="C750" s="638">
        <v>283120</v>
      </c>
      <c r="D750" s="735"/>
      <c r="F750" s="1" t="s">
        <v>714</v>
      </c>
      <c r="H750" s="736">
        <v>0</v>
      </c>
      <c r="I750" s="25"/>
      <c r="J750" s="25"/>
      <c r="K750" s="442" t="str">
        <f t="shared" si="226"/>
        <v/>
      </c>
      <c r="L750" s="736" t="s">
        <v>2466</v>
      </c>
      <c r="M750" s="25" t="str">
        <f t="shared" si="234"/>
        <v>T</v>
      </c>
      <c r="N750" s="25" t="str">
        <f>IF(L750&lt;&gt;"",VLOOKUP(L750,Categories!$B$2:$D$41,2,FALSE),IF(F750&lt;&gt;"","No Cat",""))</f>
        <v>ADIT Sch</v>
      </c>
      <c r="O750" s="25" t="str">
        <f>IF($L750&lt;&gt;"",VLOOKUP($L750,Categories!$B$2:$D$41,3,FALSE),IF($F750&lt;&gt;"","No Cat",""))</f>
        <v>Def Taxes</v>
      </c>
      <c r="P750" s="736" t="s">
        <v>2468</v>
      </c>
      <c r="Q750" s="25" t="str">
        <f>VLOOKUP($P750,Allocators!$B$7:$F$19,5,FALSE)</f>
        <v>Not in Rate Base</v>
      </c>
      <c r="R750" s="737">
        <f>VLOOKUP($P750,Allocators!$B$7:$F$19,2,FALSE)</f>
        <v>0</v>
      </c>
      <c r="S750" s="737">
        <f>VLOOKUP($P750,Allocators!$B$7:$F$19,3,FALSE)</f>
        <v>0</v>
      </c>
      <c r="T750" s="737">
        <f t="shared" si="235"/>
        <v>1</v>
      </c>
      <c r="U750" s="2" t="str">
        <f t="shared" si="219"/>
        <v/>
      </c>
      <c r="V750" s="2" t="str">
        <f t="shared" si="220"/>
        <v/>
      </c>
      <c r="W750" s="2" t="str">
        <f t="shared" si="221"/>
        <v/>
      </c>
      <c r="X750" s="2">
        <f t="shared" si="217"/>
        <v>0</v>
      </c>
      <c r="Y750" s="2" t="str">
        <f t="shared" si="222"/>
        <v/>
      </c>
      <c r="Z750" s="2" t="str">
        <f t="shared" si="223"/>
        <v/>
      </c>
      <c r="AA750" s="2" t="str">
        <f t="shared" si="224"/>
        <v/>
      </c>
      <c r="AB750" s="2">
        <f t="shared" si="218"/>
        <v>0</v>
      </c>
      <c r="AC750" s="759">
        <v>0</v>
      </c>
      <c r="AD750" s="741">
        <v>0</v>
      </c>
      <c r="AE750" s="741">
        <v>0</v>
      </c>
      <c r="AF750" s="741">
        <v>0</v>
      </c>
      <c r="AG750" s="741">
        <v>0</v>
      </c>
      <c r="AH750" s="741">
        <v>0</v>
      </c>
      <c r="AI750" s="741">
        <v>0</v>
      </c>
      <c r="AJ750" s="741">
        <v>0</v>
      </c>
      <c r="AK750" s="741">
        <v>0</v>
      </c>
      <c r="AL750" s="741">
        <v>0</v>
      </c>
      <c r="AM750" s="741">
        <v>0</v>
      </c>
      <c r="AN750" s="741">
        <v>0</v>
      </c>
      <c r="AO750" s="741">
        <v>0</v>
      </c>
      <c r="AP750" s="41" t="str">
        <f t="shared" si="214"/>
        <v>GLT</v>
      </c>
      <c r="AQ750" s="41" t="str">
        <f t="shared" si="215"/>
        <v>GLTT0</v>
      </c>
      <c r="AR750" s="41" t="str">
        <f t="shared" si="216"/>
        <v>T0</v>
      </c>
    </row>
    <row r="751" spans="1:44" s="41" customFormat="1" ht="12.75" customHeight="1">
      <c r="A751" s="25" t="s">
        <v>17</v>
      </c>
      <c r="B751" s="25" t="str">
        <f t="shared" si="233"/>
        <v>GL283140</v>
      </c>
      <c r="C751" s="638">
        <v>283140</v>
      </c>
      <c r="D751" s="735"/>
      <c r="F751" s="1" t="s">
        <v>715</v>
      </c>
      <c r="H751" s="736">
        <v>0</v>
      </c>
      <c r="I751" s="25"/>
      <c r="J751" s="25"/>
      <c r="K751" s="442" t="str">
        <f t="shared" si="226"/>
        <v/>
      </c>
      <c r="L751" s="736" t="s">
        <v>2466</v>
      </c>
      <c r="M751" s="25" t="str">
        <f t="shared" si="234"/>
        <v>T</v>
      </c>
      <c r="N751" s="25" t="str">
        <f>IF(L751&lt;&gt;"",VLOOKUP(L751,Categories!$B$2:$D$41,2,FALSE),IF(F751&lt;&gt;"","No Cat",""))</f>
        <v>ADIT Sch</v>
      </c>
      <c r="O751" s="25" t="str">
        <f>IF($L751&lt;&gt;"",VLOOKUP($L751,Categories!$B$2:$D$41,3,FALSE),IF($F751&lt;&gt;"","No Cat",""))</f>
        <v>Def Taxes</v>
      </c>
      <c r="P751" s="736" t="s">
        <v>2468</v>
      </c>
      <c r="Q751" s="25" t="str">
        <f>VLOOKUP($P751,Allocators!$B$7:$F$19,5,FALSE)</f>
        <v>Not in Rate Base</v>
      </c>
      <c r="R751" s="737">
        <f>VLOOKUP($P751,Allocators!$B$7:$F$19,2,FALSE)</f>
        <v>0</v>
      </c>
      <c r="S751" s="737">
        <f>VLOOKUP($P751,Allocators!$B$7:$F$19,3,FALSE)</f>
        <v>0</v>
      </c>
      <c r="T751" s="737">
        <f t="shared" si="235"/>
        <v>1</v>
      </c>
      <c r="U751" s="2" t="str">
        <f t="shared" si="219"/>
        <v/>
      </c>
      <c r="V751" s="2" t="str">
        <f t="shared" si="220"/>
        <v/>
      </c>
      <c r="W751" s="2" t="str">
        <f t="shared" si="221"/>
        <v/>
      </c>
      <c r="X751" s="2">
        <f t="shared" si="217"/>
        <v>0</v>
      </c>
      <c r="Y751" s="2" t="str">
        <f t="shared" si="222"/>
        <v/>
      </c>
      <c r="Z751" s="2" t="str">
        <f t="shared" si="223"/>
        <v/>
      </c>
      <c r="AA751" s="2" t="str">
        <f t="shared" si="224"/>
        <v/>
      </c>
      <c r="AB751" s="2">
        <f t="shared" si="218"/>
        <v>0</v>
      </c>
      <c r="AC751" s="759">
        <v>0</v>
      </c>
      <c r="AD751" s="741">
        <v>0</v>
      </c>
      <c r="AE751" s="741">
        <v>0</v>
      </c>
      <c r="AF751" s="741">
        <v>0</v>
      </c>
      <c r="AG751" s="741">
        <v>0</v>
      </c>
      <c r="AH751" s="741">
        <v>0</v>
      </c>
      <c r="AI751" s="741">
        <v>0</v>
      </c>
      <c r="AJ751" s="741">
        <v>0</v>
      </c>
      <c r="AK751" s="741">
        <v>0</v>
      </c>
      <c r="AL751" s="741">
        <v>0</v>
      </c>
      <c r="AM751" s="741">
        <v>0</v>
      </c>
      <c r="AN751" s="741">
        <v>0</v>
      </c>
      <c r="AO751" s="741">
        <v>0</v>
      </c>
      <c r="AP751" s="41" t="str">
        <f t="shared" si="214"/>
        <v>GLT</v>
      </c>
      <c r="AQ751" s="41" t="str">
        <f t="shared" si="215"/>
        <v>GLTT0</v>
      </c>
      <c r="AR751" s="41" t="str">
        <f t="shared" si="216"/>
        <v>T0</v>
      </c>
    </row>
    <row r="752" spans="1:44" s="41" customFormat="1" ht="12.75" customHeight="1">
      <c r="A752" s="25" t="s">
        <v>17</v>
      </c>
      <c r="B752" s="25" t="str">
        <f t="shared" si="233"/>
        <v>GL283160</v>
      </c>
      <c r="C752" s="638">
        <v>283160</v>
      </c>
      <c r="D752" s="735"/>
      <c r="F752" s="1" t="s">
        <v>716</v>
      </c>
      <c r="H752" s="736">
        <v>0</v>
      </c>
      <c r="I752" s="25"/>
      <c r="J752" s="25"/>
      <c r="K752" s="442" t="str">
        <f t="shared" si="226"/>
        <v/>
      </c>
      <c r="L752" s="736" t="s">
        <v>2466</v>
      </c>
      <c r="M752" s="25" t="str">
        <f t="shared" si="234"/>
        <v>T</v>
      </c>
      <c r="N752" s="25" t="str">
        <f>IF(L752&lt;&gt;"",VLOOKUP(L752,Categories!$B$2:$D$41,2,FALSE),IF(F752&lt;&gt;"","No Cat",""))</f>
        <v>ADIT Sch</v>
      </c>
      <c r="O752" s="25" t="str">
        <f>IF($L752&lt;&gt;"",VLOOKUP($L752,Categories!$B$2:$D$41,3,FALSE),IF($F752&lt;&gt;"","No Cat",""))</f>
        <v>Def Taxes</v>
      </c>
      <c r="P752" s="736" t="s">
        <v>2468</v>
      </c>
      <c r="Q752" s="25" t="str">
        <f>VLOOKUP($P752,Allocators!$B$7:$F$19,5,FALSE)</f>
        <v>Not in Rate Base</v>
      </c>
      <c r="R752" s="737">
        <f>VLOOKUP($P752,Allocators!$B$7:$F$19,2,FALSE)</f>
        <v>0</v>
      </c>
      <c r="S752" s="737">
        <f>VLOOKUP($P752,Allocators!$B$7:$F$19,3,FALSE)</f>
        <v>0</v>
      </c>
      <c r="T752" s="737">
        <f t="shared" si="235"/>
        <v>1</v>
      </c>
      <c r="U752" s="2" t="str">
        <f t="shared" si="219"/>
        <v/>
      </c>
      <c r="V752" s="2" t="str">
        <f t="shared" si="220"/>
        <v/>
      </c>
      <c r="W752" s="2" t="str">
        <f t="shared" si="221"/>
        <v/>
      </c>
      <c r="X752" s="2">
        <f t="shared" si="217"/>
        <v>0</v>
      </c>
      <c r="Y752" s="2" t="str">
        <f t="shared" si="222"/>
        <v/>
      </c>
      <c r="Z752" s="2" t="str">
        <f t="shared" si="223"/>
        <v/>
      </c>
      <c r="AA752" s="2" t="str">
        <f t="shared" si="224"/>
        <v/>
      </c>
      <c r="AB752" s="2">
        <f t="shared" si="218"/>
        <v>0</v>
      </c>
      <c r="AC752" s="759">
        <v>0</v>
      </c>
      <c r="AD752" s="741">
        <v>0</v>
      </c>
      <c r="AE752" s="741">
        <v>0</v>
      </c>
      <c r="AF752" s="741">
        <v>0</v>
      </c>
      <c r="AG752" s="741">
        <v>0</v>
      </c>
      <c r="AH752" s="741">
        <v>0</v>
      </c>
      <c r="AI752" s="741">
        <v>0</v>
      </c>
      <c r="AJ752" s="741">
        <v>0</v>
      </c>
      <c r="AK752" s="741">
        <v>0</v>
      </c>
      <c r="AL752" s="741">
        <v>0</v>
      </c>
      <c r="AM752" s="741">
        <v>0</v>
      </c>
      <c r="AN752" s="741">
        <v>0</v>
      </c>
      <c r="AO752" s="741">
        <v>0</v>
      </c>
      <c r="AP752" s="41" t="str">
        <f t="shared" si="214"/>
        <v>GLT</v>
      </c>
      <c r="AQ752" s="41" t="str">
        <f t="shared" si="215"/>
        <v>GLTT0</v>
      </c>
      <c r="AR752" s="41" t="str">
        <f t="shared" si="216"/>
        <v>T0</v>
      </c>
    </row>
    <row r="753" spans="1:44" s="41" customFormat="1" ht="12.75" customHeight="1">
      <c r="A753" s="442" t="s">
        <v>17</v>
      </c>
      <c r="B753" s="442" t="str">
        <f t="shared" si="233"/>
        <v>GL283161</v>
      </c>
      <c r="C753" s="638">
        <v>283161</v>
      </c>
      <c r="D753" s="735"/>
      <c r="E753" s="626"/>
      <c r="F753" s="441" t="s">
        <v>717</v>
      </c>
      <c r="G753" s="626"/>
      <c r="H753" s="736">
        <v>0</v>
      </c>
      <c r="I753" s="442"/>
      <c r="J753" s="442"/>
      <c r="K753" s="442" t="str">
        <f t="shared" si="226"/>
        <v/>
      </c>
      <c r="L753" s="736" t="s">
        <v>2466</v>
      </c>
      <c r="M753" s="442" t="str">
        <f t="shared" si="234"/>
        <v>T</v>
      </c>
      <c r="N753" s="442" t="str">
        <f>IF(L753&lt;&gt;"",VLOOKUP(L753,Categories!$B$2:$D$41,2,FALSE),IF(F753&lt;&gt;"","No Cat",""))</f>
        <v>ADIT Sch</v>
      </c>
      <c r="O753" s="442" t="str">
        <f>IF($L753&lt;&gt;"",VLOOKUP($L753,Categories!$B$2:$D$41,3,FALSE),IF($F753&lt;&gt;"","No Cat",""))</f>
        <v>Def Taxes</v>
      </c>
      <c r="P753" s="736" t="s">
        <v>2468</v>
      </c>
      <c r="Q753" s="442" t="str">
        <f>VLOOKUP($P753,Allocators!$B$7:$F$19,5,FALSE)</f>
        <v>Not in Rate Base</v>
      </c>
      <c r="R753" s="737">
        <f>VLOOKUP($P753,Allocators!$B$7:$F$19,2,FALSE)</f>
        <v>0</v>
      </c>
      <c r="S753" s="737">
        <f>VLOOKUP($P753,Allocators!$B$7:$F$19,3,FALSE)</f>
        <v>0</v>
      </c>
      <c r="T753" s="737">
        <f t="shared" si="235"/>
        <v>1</v>
      </c>
      <c r="U753" s="2">
        <f t="shared" si="219"/>
        <v>0</v>
      </c>
      <c r="V753" s="2">
        <f t="shared" si="220"/>
        <v>0</v>
      </c>
      <c r="W753" s="2">
        <f t="shared" si="221"/>
        <v>-7116.6780095833301</v>
      </c>
      <c r="X753" s="2">
        <f t="shared" si="217"/>
        <v>-7116.6780095833301</v>
      </c>
      <c r="Y753" s="2">
        <f t="shared" si="222"/>
        <v>0</v>
      </c>
      <c r="Z753" s="2">
        <f t="shared" si="223"/>
        <v>0</v>
      </c>
      <c r="AA753" s="2">
        <f t="shared" si="224"/>
        <v>-6118.0070900000001</v>
      </c>
      <c r="AB753" s="2">
        <f t="shared" si="218"/>
        <v>-6118.0070900000001</v>
      </c>
      <c r="AC753" s="759">
        <v>-7160.0984800000006</v>
      </c>
      <c r="AD753" s="741">
        <v>-7160.0984800000006</v>
      </c>
      <c r="AE753" s="741">
        <v>-7160.0985099999998</v>
      </c>
      <c r="AF753" s="741">
        <v>-7160.0985000000001</v>
      </c>
      <c r="AG753" s="741">
        <v>-7160.0984699999999</v>
      </c>
      <c r="AH753" s="741">
        <v>-7160.0985199999996</v>
      </c>
      <c r="AI753" s="741">
        <v>-7160.0985099999998</v>
      </c>
      <c r="AJ753" s="741">
        <v>-7160.0984800000006</v>
      </c>
      <c r="AK753" s="741">
        <v>-7160.09843</v>
      </c>
      <c r="AL753" s="741">
        <v>-7160.0985300000002</v>
      </c>
      <c r="AM753" s="741">
        <v>-7160.0984600000002</v>
      </c>
      <c r="AN753" s="741">
        <v>-7160.0984400000007</v>
      </c>
      <c r="AO753" s="741">
        <v>-6118.0070900000001</v>
      </c>
      <c r="AP753" s="41" t="str">
        <f t="shared" si="214"/>
        <v>GLT</v>
      </c>
      <c r="AQ753" s="41" t="str">
        <f t="shared" si="215"/>
        <v>GLTT0</v>
      </c>
      <c r="AR753" s="41" t="str">
        <f t="shared" si="216"/>
        <v>T0</v>
      </c>
    </row>
    <row r="754" spans="1:44" s="41" customFormat="1" ht="12.75" customHeight="1">
      <c r="A754" s="442" t="s">
        <v>17</v>
      </c>
      <c r="B754" s="442" t="str">
        <f t="shared" si="233"/>
        <v>GL283162</v>
      </c>
      <c r="C754" s="638">
        <v>283162</v>
      </c>
      <c r="D754" s="735"/>
      <c r="E754" s="626"/>
      <c r="F754" s="441" t="s">
        <v>718</v>
      </c>
      <c r="G754" s="626"/>
      <c r="H754" s="736">
        <v>0</v>
      </c>
      <c r="I754" s="442"/>
      <c r="J754" s="442"/>
      <c r="K754" s="442" t="str">
        <f t="shared" si="226"/>
        <v/>
      </c>
      <c r="L754" s="736" t="s">
        <v>2466</v>
      </c>
      <c r="M754" s="442" t="str">
        <f t="shared" si="234"/>
        <v>T</v>
      </c>
      <c r="N754" s="442" t="str">
        <f>IF(L754&lt;&gt;"",VLOOKUP(L754,Categories!$B$2:$D$41,2,FALSE),IF(F754&lt;&gt;"","No Cat",""))</f>
        <v>ADIT Sch</v>
      </c>
      <c r="O754" s="442" t="str">
        <f>IF($L754&lt;&gt;"",VLOOKUP($L754,Categories!$B$2:$D$41,3,FALSE),IF($F754&lt;&gt;"","No Cat",""))</f>
        <v>Def Taxes</v>
      </c>
      <c r="P754" s="736" t="s">
        <v>2468</v>
      </c>
      <c r="Q754" s="442" t="str">
        <f>VLOOKUP($P754,Allocators!$B$7:$F$19,5,FALSE)</f>
        <v>Not in Rate Base</v>
      </c>
      <c r="R754" s="737">
        <f>VLOOKUP($P754,Allocators!$B$7:$F$19,2,FALSE)</f>
        <v>0</v>
      </c>
      <c r="S754" s="737">
        <f>VLOOKUP($P754,Allocators!$B$7:$F$19,3,FALSE)</f>
        <v>0</v>
      </c>
      <c r="T754" s="737">
        <f t="shared" si="235"/>
        <v>1</v>
      </c>
      <c r="U754" s="2">
        <f t="shared" si="219"/>
        <v>0</v>
      </c>
      <c r="V754" s="2">
        <f t="shared" si="220"/>
        <v>0</v>
      </c>
      <c r="W754" s="2">
        <f t="shared" si="221"/>
        <v>1610.4238487499999</v>
      </c>
      <c r="X754" s="2">
        <f t="shared" si="217"/>
        <v>1610.4238487499999</v>
      </c>
      <c r="Y754" s="2">
        <f t="shared" si="222"/>
        <v>0</v>
      </c>
      <c r="Z754" s="2">
        <f t="shared" si="223"/>
        <v>0</v>
      </c>
      <c r="AA754" s="2">
        <f t="shared" si="224"/>
        <v>2095.4258399999999</v>
      </c>
      <c r="AB754" s="2">
        <f t="shared" si="218"/>
        <v>2095.4258399999999</v>
      </c>
      <c r="AC754" s="759">
        <v>1589.33681</v>
      </c>
      <c r="AD754" s="741">
        <v>1589.33682</v>
      </c>
      <c r="AE754" s="741">
        <v>1589.3368</v>
      </c>
      <c r="AF754" s="741">
        <v>1589.33683</v>
      </c>
      <c r="AG754" s="741">
        <v>1589.3367800000001</v>
      </c>
      <c r="AH754" s="741">
        <v>1589.3367700000001</v>
      </c>
      <c r="AI754" s="741">
        <v>1589.33681</v>
      </c>
      <c r="AJ754" s="741">
        <v>1589.3368</v>
      </c>
      <c r="AK754" s="741">
        <v>1589.3368400000002</v>
      </c>
      <c r="AL754" s="741">
        <v>1589.33681</v>
      </c>
      <c r="AM754" s="741">
        <v>1589.3367900000001</v>
      </c>
      <c r="AN754" s="741">
        <v>1589.33681</v>
      </c>
      <c r="AO754" s="741">
        <v>2095.4258399999999</v>
      </c>
      <c r="AP754" s="41" t="str">
        <f t="shared" si="214"/>
        <v>GLT</v>
      </c>
      <c r="AQ754" s="41" t="str">
        <f t="shared" si="215"/>
        <v>GLTT0</v>
      </c>
      <c r="AR754" s="41" t="str">
        <f t="shared" si="216"/>
        <v>T0</v>
      </c>
    </row>
    <row r="755" spans="1:44" s="41" customFormat="1" ht="12.75" customHeight="1">
      <c r="A755" s="25" t="s">
        <v>17</v>
      </c>
      <c r="B755" s="25" t="str">
        <f t="shared" si="233"/>
        <v>GL283170</v>
      </c>
      <c r="C755" s="638">
        <v>283170</v>
      </c>
      <c r="D755" s="735"/>
      <c r="F755" s="1" t="s">
        <v>719</v>
      </c>
      <c r="H755" s="736">
        <v>0</v>
      </c>
      <c r="I755" s="25"/>
      <c r="J755" s="25"/>
      <c r="K755" s="442" t="str">
        <f t="shared" si="226"/>
        <v/>
      </c>
      <c r="L755" s="736" t="s">
        <v>2466</v>
      </c>
      <c r="M755" s="25" t="str">
        <f t="shared" si="234"/>
        <v>T</v>
      </c>
      <c r="N755" s="25" t="str">
        <f>IF(L755&lt;&gt;"",VLOOKUP(L755,Categories!$B$2:$D$41,2,FALSE),IF(F755&lt;&gt;"","No Cat",""))</f>
        <v>ADIT Sch</v>
      </c>
      <c r="O755" s="25" t="str">
        <f>IF($L755&lt;&gt;"",VLOOKUP($L755,Categories!$B$2:$D$41,3,FALSE),IF($F755&lt;&gt;"","No Cat",""))</f>
        <v>Def Taxes</v>
      </c>
      <c r="P755" s="736" t="s">
        <v>2468</v>
      </c>
      <c r="Q755" s="25" t="str">
        <f>VLOOKUP($P755,Allocators!$B$7:$F$19,5,FALSE)</f>
        <v>Not in Rate Base</v>
      </c>
      <c r="R755" s="737">
        <f>VLOOKUP($P755,Allocators!$B$7:$F$19,2,FALSE)</f>
        <v>0</v>
      </c>
      <c r="S755" s="737">
        <f>VLOOKUP($P755,Allocators!$B$7:$F$19,3,FALSE)</f>
        <v>0</v>
      </c>
      <c r="T755" s="737">
        <f t="shared" si="235"/>
        <v>1</v>
      </c>
      <c r="U755" s="2" t="str">
        <f t="shared" si="219"/>
        <v/>
      </c>
      <c r="V755" s="2" t="str">
        <f t="shared" si="220"/>
        <v/>
      </c>
      <c r="W755" s="2" t="str">
        <f t="shared" si="221"/>
        <v/>
      </c>
      <c r="X755" s="2">
        <f t="shared" si="217"/>
        <v>0</v>
      </c>
      <c r="Y755" s="2" t="str">
        <f t="shared" si="222"/>
        <v/>
      </c>
      <c r="Z755" s="2" t="str">
        <f t="shared" si="223"/>
        <v/>
      </c>
      <c r="AA755" s="2" t="str">
        <f t="shared" si="224"/>
        <v/>
      </c>
      <c r="AB755" s="2">
        <f t="shared" si="218"/>
        <v>0</v>
      </c>
      <c r="AC755" s="759">
        <v>0</v>
      </c>
      <c r="AD755" s="741">
        <v>0</v>
      </c>
      <c r="AE755" s="741">
        <v>0</v>
      </c>
      <c r="AF755" s="741">
        <v>0</v>
      </c>
      <c r="AG755" s="741">
        <v>0</v>
      </c>
      <c r="AH755" s="741">
        <v>0</v>
      </c>
      <c r="AI755" s="741">
        <v>0</v>
      </c>
      <c r="AJ755" s="741">
        <v>0</v>
      </c>
      <c r="AK755" s="741">
        <v>0</v>
      </c>
      <c r="AL755" s="741">
        <v>0</v>
      </c>
      <c r="AM755" s="741">
        <v>0</v>
      </c>
      <c r="AN755" s="741">
        <v>0</v>
      </c>
      <c r="AO755" s="741">
        <v>0</v>
      </c>
      <c r="AP755" s="41" t="str">
        <f t="shared" si="214"/>
        <v>GLT</v>
      </c>
      <c r="AQ755" s="41" t="str">
        <f t="shared" si="215"/>
        <v>GLTT0</v>
      </c>
      <c r="AR755" s="41" t="str">
        <f t="shared" si="216"/>
        <v>T0</v>
      </c>
    </row>
    <row r="756" spans="1:44" s="41" customFormat="1" ht="12.75" customHeight="1">
      <c r="A756" s="442" t="s">
        <v>17</v>
      </c>
      <c r="B756" s="442" t="str">
        <f t="shared" si="233"/>
        <v>GL283171</v>
      </c>
      <c r="C756" s="638">
        <v>283171</v>
      </c>
      <c r="D756" s="735"/>
      <c r="E756" s="626"/>
      <c r="F756" s="441" t="s">
        <v>720</v>
      </c>
      <c r="G756" s="626"/>
      <c r="H756" s="736">
        <v>0</v>
      </c>
      <c r="I756" s="442"/>
      <c r="J756" s="442"/>
      <c r="K756" s="442" t="str">
        <f t="shared" si="226"/>
        <v/>
      </c>
      <c r="L756" s="736" t="s">
        <v>2466</v>
      </c>
      <c r="M756" s="442" t="str">
        <f t="shared" si="234"/>
        <v>T</v>
      </c>
      <c r="N756" s="442" t="str">
        <f>IF(L756&lt;&gt;"",VLOOKUP(L756,Categories!$B$2:$D$41,2,FALSE),IF(F756&lt;&gt;"","No Cat",""))</f>
        <v>ADIT Sch</v>
      </c>
      <c r="O756" s="442" t="str">
        <f>IF($L756&lt;&gt;"",VLOOKUP($L756,Categories!$B$2:$D$41,3,FALSE),IF($F756&lt;&gt;"","No Cat",""))</f>
        <v>Def Taxes</v>
      </c>
      <c r="P756" s="736" t="s">
        <v>2468</v>
      </c>
      <c r="Q756" s="442" t="str">
        <f>VLOOKUP($P756,Allocators!$B$7:$F$19,5,FALSE)</f>
        <v>Not in Rate Base</v>
      </c>
      <c r="R756" s="737">
        <f>VLOOKUP($P756,Allocators!$B$7:$F$19,2,FALSE)</f>
        <v>0</v>
      </c>
      <c r="S756" s="737">
        <f>VLOOKUP($P756,Allocators!$B$7:$F$19,3,FALSE)</f>
        <v>0</v>
      </c>
      <c r="T756" s="737">
        <f t="shared" si="235"/>
        <v>1</v>
      </c>
      <c r="U756" s="2">
        <f t="shared" si="219"/>
        <v>0</v>
      </c>
      <c r="V756" s="2">
        <f t="shared" si="220"/>
        <v>0</v>
      </c>
      <c r="W756" s="2">
        <f t="shared" si="221"/>
        <v>5191.0531208333296</v>
      </c>
      <c r="X756" s="2">
        <f t="shared" si="217"/>
        <v>5191.0531208333296</v>
      </c>
      <c r="Y756" s="2">
        <f t="shared" si="222"/>
        <v>0</v>
      </c>
      <c r="Z756" s="2">
        <f t="shared" si="223"/>
        <v>0</v>
      </c>
      <c r="AA756" s="2">
        <f t="shared" si="224"/>
        <v>5191.05314</v>
      </c>
      <c r="AB756" s="2">
        <f t="shared" si="218"/>
        <v>5191.05314</v>
      </c>
      <c r="AC756" s="759">
        <v>5191.0531600000004</v>
      </c>
      <c r="AD756" s="741">
        <v>5191.0531100000007</v>
      </c>
      <c r="AE756" s="741">
        <v>5191.0530899999994</v>
      </c>
      <c r="AF756" s="741">
        <v>5191.0530899999994</v>
      </c>
      <c r="AG756" s="741">
        <v>5191.0531300000002</v>
      </c>
      <c r="AH756" s="741">
        <v>5191.0531500000006</v>
      </c>
      <c r="AI756" s="741">
        <v>5191.0531300000002</v>
      </c>
      <c r="AJ756" s="741">
        <v>5191.0531100000007</v>
      </c>
      <c r="AK756" s="741">
        <v>5191.0530999999992</v>
      </c>
      <c r="AL756" s="741">
        <v>5191.05314</v>
      </c>
      <c r="AM756" s="741">
        <v>5191.0531300000002</v>
      </c>
      <c r="AN756" s="741">
        <v>5191.0531200000005</v>
      </c>
      <c r="AO756" s="741">
        <v>5191.05314</v>
      </c>
      <c r="AP756" s="41" t="str">
        <f t="shared" si="214"/>
        <v>GLT</v>
      </c>
      <c r="AQ756" s="41" t="str">
        <f t="shared" si="215"/>
        <v>GLTT0</v>
      </c>
      <c r="AR756" s="41" t="str">
        <f t="shared" si="216"/>
        <v>T0</v>
      </c>
    </row>
    <row r="757" spans="1:44" s="41" customFormat="1" ht="12.75" customHeight="1">
      <c r="A757" s="442" t="s">
        <v>17</v>
      </c>
      <c r="B757" s="442" t="str">
        <f t="shared" si="233"/>
        <v>GL283172</v>
      </c>
      <c r="C757" s="638">
        <v>283172</v>
      </c>
      <c r="D757" s="735"/>
      <c r="E757" s="626"/>
      <c r="F757" s="441" t="s">
        <v>721</v>
      </c>
      <c r="G757" s="626"/>
      <c r="H757" s="736">
        <v>0</v>
      </c>
      <c r="I757" s="442"/>
      <c r="J757" s="442"/>
      <c r="K757" s="442" t="str">
        <f t="shared" si="226"/>
        <v/>
      </c>
      <c r="L757" s="736" t="s">
        <v>2466</v>
      </c>
      <c r="M757" s="442" t="str">
        <f t="shared" si="234"/>
        <v>T</v>
      </c>
      <c r="N757" s="442" t="str">
        <f>IF(L757&lt;&gt;"",VLOOKUP(L757,Categories!$B$2:$D$41,2,FALSE),IF(F757&lt;&gt;"","No Cat",""))</f>
        <v>ADIT Sch</v>
      </c>
      <c r="O757" s="442" t="str">
        <f>IF($L757&lt;&gt;"",VLOOKUP($L757,Categories!$B$2:$D$41,3,FALSE),IF($F757&lt;&gt;"","No Cat",""))</f>
        <v>Def Taxes</v>
      </c>
      <c r="P757" s="736" t="s">
        <v>2468</v>
      </c>
      <c r="Q757" s="442" t="str">
        <f>VLOOKUP($P757,Allocators!$B$7:$F$19,5,FALSE)</f>
        <v>Not in Rate Base</v>
      </c>
      <c r="R757" s="737">
        <f>VLOOKUP($P757,Allocators!$B$7:$F$19,2,FALSE)</f>
        <v>0</v>
      </c>
      <c r="S757" s="737">
        <f>VLOOKUP($P757,Allocators!$B$7:$F$19,3,FALSE)</f>
        <v>0</v>
      </c>
      <c r="T757" s="737">
        <f t="shared" si="235"/>
        <v>1</v>
      </c>
      <c r="U757" s="2">
        <f t="shared" si="219"/>
        <v>0</v>
      </c>
      <c r="V757" s="2">
        <f t="shared" si="220"/>
        <v>0</v>
      </c>
      <c r="W757" s="2">
        <f t="shared" si="221"/>
        <v>3433.7083220833301</v>
      </c>
      <c r="X757" s="2">
        <f t="shared" si="217"/>
        <v>3433.7083220833301</v>
      </c>
      <c r="Y757" s="2">
        <f t="shared" si="222"/>
        <v>0</v>
      </c>
      <c r="Z757" s="2">
        <f t="shared" si="223"/>
        <v>0</v>
      </c>
      <c r="AA757" s="2">
        <f t="shared" si="224"/>
        <v>3433.7083299999999</v>
      </c>
      <c r="AB757" s="2">
        <f t="shared" si="218"/>
        <v>3433.7083299999999</v>
      </c>
      <c r="AC757" s="759">
        <v>3433.7083199999997</v>
      </c>
      <c r="AD757" s="741">
        <v>3433.70829</v>
      </c>
      <c r="AE757" s="741">
        <v>3433.70831</v>
      </c>
      <c r="AF757" s="741">
        <v>3433.7082999999998</v>
      </c>
      <c r="AG757" s="741">
        <v>3433.7083199999997</v>
      </c>
      <c r="AH757" s="741">
        <v>3433.7083199999997</v>
      </c>
      <c r="AI757" s="741">
        <v>3433.7083600000001</v>
      </c>
      <c r="AJ757" s="741">
        <v>3433.7083199999997</v>
      </c>
      <c r="AK757" s="741">
        <v>3433.7083399999997</v>
      </c>
      <c r="AL757" s="741">
        <v>3433.7083199999997</v>
      </c>
      <c r="AM757" s="741">
        <v>3433.7083399999997</v>
      </c>
      <c r="AN757" s="741">
        <v>3433.7083199999997</v>
      </c>
      <c r="AO757" s="741">
        <v>3433.7083299999999</v>
      </c>
      <c r="AP757" s="41" t="str">
        <f t="shared" si="214"/>
        <v>GLT</v>
      </c>
      <c r="AQ757" s="41" t="str">
        <f t="shared" si="215"/>
        <v>GLTT0</v>
      </c>
      <c r="AR757" s="41" t="str">
        <f t="shared" si="216"/>
        <v>T0</v>
      </c>
    </row>
    <row r="758" spans="1:44" s="41" customFormat="1" ht="12.75" customHeight="1">
      <c r="A758" s="25" t="s">
        <v>17</v>
      </c>
      <c r="B758" s="25" t="str">
        <f t="shared" si="233"/>
        <v>GL283200</v>
      </c>
      <c r="C758" s="638">
        <v>283200</v>
      </c>
      <c r="D758" s="735"/>
      <c r="F758" s="1" t="s">
        <v>722</v>
      </c>
      <c r="H758" s="736">
        <v>0</v>
      </c>
      <c r="I758" s="25"/>
      <c r="J758" s="25"/>
      <c r="K758" s="442" t="str">
        <f t="shared" si="226"/>
        <v/>
      </c>
      <c r="L758" s="736" t="s">
        <v>2466</v>
      </c>
      <c r="M758" s="25" t="str">
        <f t="shared" si="234"/>
        <v>T</v>
      </c>
      <c r="N758" s="25" t="str">
        <f>IF(L758&lt;&gt;"",VLOOKUP(L758,Categories!$B$2:$D$41,2,FALSE),IF(F758&lt;&gt;"","No Cat",""))</f>
        <v>ADIT Sch</v>
      </c>
      <c r="O758" s="25" t="str">
        <f>IF($L758&lt;&gt;"",VLOOKUP($L758,Categories!$B$2:$D$41,3,FALSE),IF($F758&lt;&gt;"","No Cat",""))</f>
        <v>Def Taxes</v>
      </c>
      <c r="P758" s="736" t="s">
        <v>2468</v>
      </c>
      <c r="Q758" s="25" t="str">
        <f>VLOOKUP($P758,Allocators!$B$7:$F$19,5,FALSE)</f>
        <v>Not in Rate Base</v>
      </c>
      <c r="R758" s="737">
        <f>VLOOKUP($P758,Allocators!$B$7:$F$19,2,FALSE)</f>
        <v>0</v>
      </c>
      <c r="S758" s="737">
        <f>VLOOKUP($P758,Allocators!$B$7:$F$19,3,FALSE)</f>
        <v>0</v>
      </c>
      <c r="T758" s="737">
        <f t="shared" si="235"/>
        <v>1</v>
      </c>
      <c r="U758" s="2">
        <f t="shared" si="219"/>
        <v>0</v>
      </c>
      <c r="V758" s="2">
        <f t="shared" si="220"/>
        <v>0</v>
      </c>
      <c r="W758" s="2">
        <f t="shared" si="221"/>
        <v>1242.7310845833299</v>
      </c>
      <c r="X758" s="2">
        <f t="shared" si="217"/>
        <v>1242.7310845833299</v>
      </c>
      <c r="Y758" s="2">
        <f t="shared" si="222"/>
        <v>0</v>
      </c>
      <c r="Z758" s="2">
        <f t="shared" si="223"/>
        <v>0</v>
      </c>
      <c r="AA758" s="2">
        <f t="shared" si="224"/>
        <v>-2298.25083</v>
      </c>
      <c r="AB758" s="2">
        <f t="shared" si="218"/>
        <v>-2298.25083</v>
      </c>
      <c r="AC758" s="759">
        <v>2058.3783800000001</v>
      </c>
      <c r="AD758" s="741">
        <v>2066.14626</v>
      </c>
      <c r="AE758" s="741">
        <v>2044.6375399999999</v>
      </c>
      <c r="AF758" s="741">
        <v>2022.91598</v>
      </c>
      <c r="AG758" s="741">
        <v>1976.6007400000001</v>
      </c>
      <c r="AH758" s="741">
        <v>1942.9171899999999</v>
      </c>
      <c r="AI758" s="741">
        <v>1174.83628</v>
      </c>
      <c r="AJ758" s="741">
        <v>932.01549999999997</v>
      </c>
      <c r="AK758" s="741">
        <v>589.57505000000003</v>
      </c>
      <c r="AL758" s="741">
        <v>673.63199999999995</v>
      </c>
      <c r="AM758" s="741">
        <v>683.05939000000001</v>
      </c>
      <c r="AN758" s="741">
        <v>926.37331000000006</v>
      </c>
      <c r="AO758" s="741">
        <v>-2298.25083</v>
      </c>
      <c r="AP758" s="41" t="str">
        <f t="shared" si="214"/>
        <v>GLT</v>
      </c>
      <c r="AQ758" s="41" t="str">
        <f t="shared" si="215"/>
        <v>GLTT0</v>
      </c>
      <c r="AR758" s="41" t="str">
        <f t="shared" si="216"/>
        <v>T0</v>
      </c>
    </row>
    <row r="759" spans="1:44" s="41" customFormat="1" ht="12.75" customHeight="1">
      <c r="A759" s="25" t="s">
        <v>17</v>
      </c>
      <c r="B759" s="25" t="str">
        <f t="shared" si="233"/>
        <v>GL283210</v>
      </c>
      <c r="C759" s="638">
        <v>283210</v>
      </c>
      <c r="D759" s="735"/>
      <c r="F759" s="1" t="s">
        <v>723</v>
      </c>
      <c r="H759" s="736">
        <v>0</v>
      </c>
      <c r="I759" s="25"/>
      <c r="J759" s="25"/>
      <c r="K759" s="442" t="str">
        <f t="shared" si="226"/>
        <v/>
      </c>
      <c r="L759" s="736" t="s">
        <v>2466</v>
      </c>
      <c r="M759" s="25" t="str">
        <f t="shared" si="234"/>
        <v>T</v>
      </c>
      <c r="N759" s="25" t="str">
        <f>IF(L759&lt;&gt;"",VLOOKUP(L759,Categories!$B$2:$D$41,2,FALSE),IF(F759&lt;&gt;"","No Cat",""))</f>
        <v>ADIT Sch</v>
      </c>
      <c r="O759" s="25" t="str">
        <f>IF($L759&lt;&gt;"",VLOOKUP($L759,Categories!$B$2:$D$41,3,FALSE),IF($F759&lt;&gt;"","No Cat",""))</f>
        <v>Def Taxes</v>
      </c>
      <c r="P759" s="736" t="s">
        <v>2468</v>
      </c>
      <c r="Q759" s="25" t="str">
        <f>VLOOKUP($P759,Allocators!$B$7:$F$19,5,FALSE)</f>
        <v>Not in Rate Base</v>
      </c>
      <c r="R759" s="737">
        <f>VLOOKUP($P759,Allocators!$B$7:$F$19,2,FALSE)</f>
        <v>0</v>
      </c>
      <c r="S759" s="737">
        <f>VLOOKUP($P759,Allocators!$B$7:$F$19,3,FALSE)</f>
        <v>0</v>
      </c>
      <c r="T759" s="737">
        <f t="shared" si="235"/>
        <v>1</v>
      </c>
      <c r="U759" s="2">
        <f t="shared" si="219"/>
        <v>0</v>
      </c>
      <c r="V759" s="2">
        <f t="shared" si="220"/>
        <v>0</v>
      </c>
      <c r="W759" s="2">
        <f t="shared" si="221"/>
        <v>4135.98473583333</v>
      </c>
      <c r="X759" s="2">
        <f t="shared" si="217"/>
        <v>4135.98473583333</v>
      </c>
      <c r="Y759" s="2">
        <f t="shared" si="222"/>
        <v>0</v>
      </c>
      <c r="Z759" s="2">
        <f t="shared" si="223"/>
        <v>0</v>
      </c>
      <c r="AA759" s="2">
        <f t="shared" si="224"/>
        <v>3985.8734599999998</v>
      </c>
      <c r="AB759" s="2">
        <f t="shared" si="218"/>
        <v>3985.8734599999998</v>
      </c>
      <c r="AC759" s="759">
        <v>5094.6471600000004</v>
      </c>
      <c r="AD759" s="741">
        <v>5118.0925099999995</v>
      </c>
      <c r="AE759" s="741">
        <v>4617.66068</v>
      </c>
      <c r="AF759" s="741">
        <v>5249.7725</v>
      </c>
      <c r="AG759" s="741">
        <v>5398.0737399999998</v>
      </c>
      <c r="AH759" s="741">
        <v>5182.4397499999995</v>
      </c>
      <c r="AI759" s="741">
        <v>4450.3652300000003</v>
      </c>
      <c r="AJ759" s="741">
        <v>4011.1717899999999</v>
      </c>
      <c r="AK759" s="741">
        <v>3174.3443700000003</v>
      </c>
      <c r="AL759" s="741">
        <v>2562.2447000000002</v>
      </c>
      <c r="AM759" s="741">
        <v>2773.0634599999998</v>
      </c>
      <c r="AN759" s="741">
        <v>2554.3277899999998</v>
      </c>
      <c r="AO759" s="741">
        <v>3985.8734599999998</v>
      </c>
      <c r="AP759" s="41" t="str">
        <f t="shared" si="214"/>
        <v>GLT</v>
      </c>
      <c r="AQ759" s="41" t="str">
        <f t="shared" si="215"/>
        <v>GLTT0</v>
      </c>
      <c r="AR759" s="41" t="str">
        <f t="shared" si="216"/>
        <v>T0</v>
      </c>
    </row>
    <row r="760" spans="1:44" s="41" customFormat="1" ht="12.75" customHeight="1">
      <c r="A760" s="25" t="s">
        <v>17</v>
      </c>
      <c r="B760" s="25" t="str">
        <f t="shared" si="233"/>
        <v>GL283300</v>
      </c>
      <c r="C760" s="638">
        <v>283300</v>
      </c>
      <c r="D760" s="735"/>
      <c r="F760" s="1" t="s">
        <v>724</v>
      </c>
      <c r="H760" s="736">
        <v>0</v>
      </c>
      <c r="I760" s="25"/>
      <c r="J760" s="25"/>
      <c r="K760" s="442" t="str">
        <f t="shared" si="226"/>
        <v/>
      </c>
      <c r="L760" s="736" t="s">
        <v>2466</v>
      </c>
      <c r="M760" s="25" t="str">
        <f t="shared" si="234"/>
        <v>T</v>
      </c>
      <c r="N760" s="25" t="str">
        <f>IF(L760&lt;&gt;"",VLOOKUP(L760,Categories!$B$2:$D$41,2,FALSE),IF(F760&lt;&gt;"","No Cat",""))</f>
        <v>ADIT Sch</v>
      </c>
      <c r="O760" s="25" t="str">
        <f>IF($L760&lt;&gt;"",VLOOKUP($L760,Categories!$B$2:$D$41,3,FALSE),IF($F760&lt;&gt;"","No Cat",""))</f>
        <v>Def Taxes</v>
      </c>
      <c r="P760" s="736" t="s">
        <v>2468</v>
      </c>
      <c r="Q760" s="25" t="str">
        <f>VLOOKUP($P760,Allocators!$B$7:$F$19,5,FALSE)</f>
        <v>Not in Rate Base</v>
      </c>
      <c r="R760" s="737">
        <f>VLOOKUP($P760,Allocators!$B$7:$F$19,2,FALSE)</f>
        <v>0</v>
      </c>
      <c r="S760" s="737">
        <f>VLOOKUP($P760,Allocators!$B$7:$F$19,3,FALSE)</f>
        <v>0</v>
      </c>
      <c r="T760" s="737">
        <f t="shared" si="235"/>
        <v>1</v>
      </c>
      <c r="U760" s="2">
        <f t="shared" si="219"/>
        <v>0</v>
      </c>
      <c r="V760" s="2">
        <f t="shared" si="220"/>
        <v>0</v>
      </c>
      <c r="W760" s="2">
        <f t="shared" si="221"/>
        <v>1504.2512099999999</v>
      </c>
      <c r="X760" s="2">
        <f t="shared" si="217"/>
        <v>1504.2512099999999</v>
      </c>
      <c r="Y760" s="2">
        <f t="shared" si="222"/>
        <v>0</v>
      </c>
      <c r="Z760" s="2">
        <f t="shared" si="223"/>
        <v>0</v>
      </c>
      <c r="AA760" s="2">
        <f t="shared" si="224"/>
        <v>1504.2512099999999</v>
      </c>
      <c r="AB760" s="2">
        <f t="shared" si="218"/>
        <v>1504.2512099999999</v>
      </c>
      <c r="AC760" s="759">
        <v>1504.2512099999999</v>
      </c>
      <c r="AD760" s="741">
        <v>1504.2512099999999</v>
      </c>
      <c r="AE760" s="741">
        <v>1504.2512099999999</v>
      </c>
      <c r="AF760" s="741">
        <v>1504.2512099999999</v>
      </c>
      <c r="AG760" s="741">
        <v>1504.2512099999999</v>
      </c>
      <c r="AH760" s="741">
        <v>1504.2512099999999</v>
      </c>
      <c r="AI760" s="741">
        <v>1504.2512099999999</v>
      </c>
      <c r="AJ760" s="741">
        <v>1504.2512099999999</v>
      </c>
      <c r="AK760" s="741">
        <v>1504.2512099999999</v>
      </c>
      <c r="AL760" s="741">
        <v>1504.2512099999999</v>
      </c>
      <c r="AM760" s="741">
        <v>1504.2512099999999</v>
      </c>
      <c r="AN760" s="741">
        <v>1504.2512099999999</v>
      </c>
      <c r="AO760" s="741">
        <v>1504.2512099999999</v>
      </c>
      <c r="AP760" s="41" t="str">
        <f t="shared" si="214"/>
        <v>GLT</v>
      </c>
      <c r="AQ760" s="41" t="str">
        <f t="shared" si="215"/>
        <v>GLTT0</v>
      </c>
      <c r="AR760" s="41" t="str">
        <f t="shared" si="216"/>
        <v>T0</v>
      </c>
    </row>
    <row r="761" spans="1:44" s="41" customFormat="1" ht="12.75" customHeight="1">
      <c r="A761" s="25" t="s">
        <v>17</v>
      </c>
      <c r="B761" s="25" t="str">
        <f t="shared" si="233"/>
        <v>GL283310</v>
      </c>
      <c r="C761" s="638">
        <v>283310</v>
      </c>
      <c r="D761" s="735"/>
      <c r="F761" s="1" t="s">
        <v>725</v>
      </c>
      <c r="H761" s="736">
        <v>0</v>
      </c>
      <c r="I761" s="25"/>
      <c r="J761" s="25"/>
      <c r="K761" s="442" t="str">
        <f t="shared" si="226"/>
        <v/>
      </c>
      <c r="L761" s="736" t="s">
        <v>2466</v>
      </c>
      <c r="M761" s="25" t="str">
        <f t="shared" si="234"/>
        <v>T</v>
      </c>
      <c r="N761" s="25" t="str">
        <f>IF(L761&lt;&gt;"",VLOOKUP(L761,Categories!$B$2:$D$41,2,FALSE),IF(F761&lt;&gt;"","No Cat",""))</f>
        <v>ADIT Sch</v>
      </c>
      <c r="O761" s="25" t="str">
        <f>IF($L761&lt;&gt;"",VLOOKUP($L761,Categories!$B$2:$D$41,3,FALSE),IF($F761&lt;&gt;"","No Cat",""))</f>
        <v>Def Taxes</v>
      </c>
      <c r="P761" s="736" t="s">
        <v>2468</v>
      </c>
      <c r="Q761" s="25" t="str">
        <f>VLOOKUP($P761,Allocators!$B$7:$F$19,5,FALSE)</f>
        <v>Not in Rate Base</v>
      </c>
      <c r="R761" s="737">
        <f>VLOOKUP($P761,Allocators!$B$7:$F$19,2,FALSE)</f>
        <v>0</v>
      </c>
      <c r="S761" s="737">
        <f>VLOOKUP($P761,Allocators!$B$7:$F$19,3,FALSE)</f>
        <v>0</v>
      </c>
      <c r="T761" s="737">
        <f t="shared" si="235"/>
        <v>1</v>
      </c>
      <c r="U761" s="2">
        <f t="shared" si="219"/>
        <v>0</v>
      </c>
      <c r="V761" s="2">
        <f t="shared" si="220"/>
        <v>0</v>
      </c>
      <c r="W761" s="2">
        <f t="shared" si="221"/>
        <v>1494.75566</v>
      </c>
      <c r="X761" s="2">
        <f t="shared" si="217"/>
        <v>1494.75566</v>
      </c>
      <c r="Y761" s="2">
        <f t="shared" si="222"/>
        <v>0</v>
      </c>
      <c r="Z761" s="2">
        <f t="shared" si="223"/>
        <v>0</v>
      </c>
      <c r="AA761" s="2">
        <f t="shared" si="224"/>
        <v>1494.75566</v>
      </c>
      <c r="AB761" s="2">
        <f t="shared" si="218"/>
        <v>1494.7556599999998</v>
      </c>
      <c r="AC761" s="759">
        <v>1494.7556599999998</v>
      </c>
      <c r="AD761" s="741">
        <v>1494.7556599999998</v>
      </c>
      <c r="AE761" s="741">
        <v>1494.7556599999998</v>
      </c>
      <c r="AF761" s="741">
        <v>1494.7556599999998</v>
      </c>
      <c r="AG761" s="741">
        <v>1494.7556599999998</v>
      </c>
      <c r="AH761" s="741">
        <v>1494.7556599999998</v>
      </c>
      <c r="AI761" s="741">
        <v>1494.7556599999998</v>
      </c>
      <c r="AJ761" s="741">
        <v>1494.7556599999998</v>
      </c>
      <c r="AK761" s="741">
        <v>1494.7556599999998</v>
      </c>
      <c r="AL761" s="741">
        <v>1494.7556599999998</v>
      </c>
      <c r="AM761" s="741">
        <v>1494.7556599999998</v>
      </c>
      <c r="AN761" s="741">
        <v>1494.7556599999998</v>
      </c>
      <c r="AO761" s="741">
        <v>1494.7556599999998</v>
      </c>
      <c r="AP761" s="41" t="str">
        <f t="shared" si="214"/>
        <v>GLT</v>
      </c>
      <c r="AQ761" s="41" t="str">
        <f t="shared" si="215"/>
        <v>GLTT0</v>
      </c>
      <c r="AR761" s="41" t="str">
        <f t="shared" si="216"/>
        <v>T0</v>
      </c>
    </row>
    <row r="762" spans="1:44" s="41" customFormat="1" ht="12.75" customHeight="1">
      <c r="A762" s="25" t="s">
        <v>17</v>
      </c>
      <c r="B762" s="25" t="str">
        <f t="shared" si="233"/>
        <v>GL283400</v>
      </c>
      <c r="C762" s="638">
        <v>283400</v>
      </c>
      <c r="D762" s="735"/>
      <c r="F762" s="1" t="s">
        <v>726</v>
      </c>
      <c r="H762" s="736">
        <v>0</v>
      </c>
      <c r="I762" s="25"/>
      <c r="J762" s="25"/>
      <c r="K762" s="442" t="str">
        <f t="shared" si="226"/>
        <v/>
      </c>
      <c r="L762" s="736" t="s">
        <v>2466</v>
      </c>
      <c r="M762" s="25" t="str">
        <f t="shared" si="234"/>
        <v>T</v>
      </c>
      <c r="N762" s="25" t="str">
        <f>IF(L762&lt;&gt;"",VLOOKUP(L762,Categories!$B$2:$D$41,2,FALSE),IF(F762&lt;&gt;"","No Cat",""))</f>
        <v>ADIT Sch</v>
      </c>
      <c r="O762" s="25" t="str">
        <f>IF($L762&lt;&gt;"",VLOOKUP($L762,Categories!$B$2:$D$41,3,FALSE),IF($F762&lt;&gt;"","No Cat",""))</f>
        <v>Def Taxes</v>
      </c>
      <c r="P762" s="736" t="s">
        <v>2468</v>
      </c>
      <c r="Q762" s="25" t="str">
        <f>VLOOKUP($P762,Allocators!$B$7:$F$19,5,FALSE)</f>
        <v>Not in Rate Base</v>
      </c>
      <c r="R762" s="737">
        <f>VLOOKUP($P762,Allocators!$B$7:$F$19,2,FALSE)</f>
        <v>0</v>
      </c>
      <c r="S762" s="737">
        <f>VLOOKUP($P762,Allocators!$B$7:$F$19,3,FALSE)</f>
        <v>0</v>
      </c>
      <c r="T762" s="737">
        <f t="shared" si="235"/>
        <v>1</v>
      </c>
      <c r="U762" s="2">
        <f t="shared" si="219"/>
        <v>0</v>
      </c>
      <c r="V762" s="2">
        <f t="shared" si="220"/>
        <v>0</v>
      </c>
      <c r="W762" s="2">
        <f t="shared" si="221"/>
        <v>1355.3839245833301</v>
      </c>
      <c r="X762" s="2">
        <f t="shared" si="217"/>
        <v>1355.3839245833301</v>
      </c>
      <c r="Y762" s="2">
        <f t="shared" si="222"/>
        <v>0</v>
      </c>
      <c r="Z762" s="2">
        <f t="shared" si="223"/>
        <v>0</v>
      </c>
      <c r="AA762" s="2">
        <f t="shared" si="224"/>
        <v>1119.79411</v>
      </c>
      <c r="AB762" s="2">
        <f t="shared" si="218"/>
        <v>1119.79411</v>
      </c>
      <c r="AC762" s="759">
        <v>552.24057999999991</v>
      </c>
      <c r="AD762" s="741">
        <v>553.93678</v>
      </c>
      <c r="AE762" s="741">
        <v>549.24012000000005</v>
      </c>
      <c r="AF762" s="741">
        <v>544.49698999999998</v>
      </c>
      <c r="AG762" s="741">
        <v>534.38355000000001</v>
      </c>
      <c r="AH762" s="741">
        <v>527.02839000000006</v>
      </c>
      <c r="AI762" s="741">
        <v>525.04547000000002</v>
      </c>
      <c r="AJ762" s="741">
        <v>2639.0229399999998</v>
      </c>
      <c r="AK762" s="741">
        <v>2564.24739</v>
      </c>
      <c r="AL762" s="741">
        <v>2582.60212</v>
      </c>
      <c r="AM762" s="741">
        <v>2584.6606900000002</v>
      </c>
      <c r="AN762" s="741">
        <v>1823.9253100000001</v>
      </c>
      <c r="AO762" s="741">
        <v>1119.79411</v>
      </c>
      <c r="AP762" s="41" t="str">
        <f t="shared" si="214"/>
        <v>GLT</v>
      </c>
      <c r="AQ762" s="41" t="str">
        <f t="shared" si="215"/>
        <v>GLTT0</v>
      </c>
      <c r="AR762" s="41" t="str">
        <f t="shared" si="216"/>
        <v>T0</v>
      </c>
    </row>
    <row r="763" spans="1:44" s="41" customFormat="1" ht="12.75" customHeight="1">
      <c r="A763" s="25" t="s">
        <v>17</v>
      </c>
      <c r="B763" s="25" t="str">
        <f t="shared" si="233"/>
        <v>GL283410</v>
      </c>
      <c r="C763" s="638">
        <v>283410</v>
      </c>
      <c r="D763" s="735"/>
      <c r="F763" s="1" t="s">
        <v>727</v>
      </c>
      <c r="H763" s="736">
        <v>0</v>
      </c>
      <c r="I763" s="25"/>
      <c r="J763" s="25"/>
      <c r="K763" s="442" t="str">
        <f t="shared" si="226"/>
        <v/>
      </c>
      <c r="L763" s="736" t="s">
        <v>2466</v>
      </c>
      <c r="M763" s="25" t="str">
        <f t="shared" si="234"/>
        <v>T</v>
      </c>
      <c r="N763" s="25" t="str">
        <f>IF(L763&lt;&gt;"",VLOOKUP(L763,Categories!$B$2:$D$41,2,FALSE),IF(F763&lt;&gt;"","No Cat",""))</f>
        <v>ADIT Sch</v>
      </c>
      <c r="O763" s="25" t="str">
        <f>IF($L763&lt;&gt;"",VLOOKUP($L763,Categories!$B$2:$D$41,3,FALSE),IF($F763&lt;&gt;"","No Cat",""))</f>
        <v>Def Taxes</v>
      </c>
      <c r="P763" s="736" t="s">
        <v>2468</v>
      </c>
      <c r="Q763" s="25" t="str">
        <f>VLOOKUP($P763,Allocators!$B$7:$F$19,5,FALSE)</f>
        <v>Not in Rate Base</v>
      </c>
      <c r="R763" s="737">
        <f>VLOOKUP($P763,Allocators!$B$7:$F$19,2,FALSE)</f>
        <v>0</v>
      </c>
      <c r="S763" s="737">
        <f>VLOOKUP($P763,Allocators!$B$7:$F$19,3,FALSE)</f>
        <v>0</v>
      </c>
      <c r="T763" s="737">
        <f t="shared" si="235"/>
        <v>1</v>
      </c>
      <c r="U763" s="2">
        <f t="shared" si="219"/>
        <v>0</v>
      </c>
      <c r="V763" s="2">
        <f t="shared" si="220"/>
        <v>0</v>
      </c>
      <c r="W763" s="2">
        <f t="shared" si="221"/>
        <v>1186.0122745833301</v>
      </c>
      <c r="X763" s="2">
        <f t="shared" si="217"/>
        <v>1186.0122745833301</v>
      </c>
      <c r="Y763" s="2">
        <f t="shared" si="222"/>
        <v>0</v>
      </c>
      <c r="Z763" s="2">
        <f t="shared" si="223"/>
        <v>0</v>
      </c>
      <c r="AA763" s="2">
        <f t="shared" si="224"/>
        <v>1914.2107699999999</v>
      </c>
      <c r="AB763" s="2">
        <f t="shared" si="218"/>
        <v>1914.2107699999999</v>
      </c>
      <c r="AC763" s="759">
        <v>963.59945999999991</v>
      </c>
      <c r="AD763" s="741">
        <v>968.71900000000005</v>
      </c>
      <c r="AE763" s="741">
        <v>859.44434000000001</v>
      </c>
      <c r="AF763" s="741">
        <v>997.47275000000002</v>
      </c>
      <c r="AG763" s="741">
        <v>1029.85591</v>
      </c>
      <c r="AH763" s="741">
        <v>982.76990999999998</v>
      </c>
      <c r="AI763" s="741">
        <v>882.08933999999999</v>
      </c>
      <c r="AJ763" s="741">
        <v>1560.1867199999999</v>
      </c>
      <c r="AK763" s="741">
        <v>1377.4564599999999</v>
      </c>
      <c r="AL763" s="741">
        <v>1243.79791</v>
      </c>
      <c r="AM763" s="741">
        <v>1289.8324599999999</v>
      </c>
      <c r="AN763" s="741">
        <v>1601.6173799999999</v>
      </c>
      <c r="AO763" s="741">
        <v>1914.2107699999999</v>
      </c>
      <c r="AP763" s="41" t="str">
        <f t="shared" si="214"/>
        <v>GLT</v>
      </c>
      <c r="AQ763" s="41" t="str">
        <f t="shared" si="215"/>
        <v>GLTT0</v>
      </c>
      <c r="AR763" s="41" t="str">
        <f t="shared" si="216"/>
        <v>T0</v>
      </c>
    </row>
    <row r="764" spans="1:44" s="41" customFormat="1" ht="12.75" customHeight="1">
      <c r="A764" s="25" t="s">
        <v>17</v>
      </c>
      <c r="B764" s="25" t="str">
        <f t="shared" si="233"/>
        <v>GL283420</v>
      </c>
      <c r="C764" s="638">
        <v>283420</v>
      </c>
      <c r="D764" s="735"/>
      <c r="F764" s="1" t="s">
        <v>728</v>
      </c>
      <c r="H764" s="736">
        <v>0</v>
      </c>
      <c r="I764" s="25"/>
      <c r="J764" s="25"/>
      <c r="K764" s="442" t="str">
        <f t="shared" si="226"/>
        <v/>
      </c>
      <c r="L764" s="736" t="s">
        <v>2466</v>
      </c>
      <c r="M764" s="25" t="str">
        <f t="shared" si="234"/>
        <v>T</v>
      </c>
      <c r="N764" s="25" t="str">
        <f>IF(L764&lt;&gt;"",VLOOKUP(L764,Categories!$B$2:$D$41,2,FALSE),IF(F764&lt;&gt;"","No Cat",""))</f>
        <v>ADIT Sch</v>
      </c>
      <c r="O764" s="25" t="str">
        <f>IF($L764&lt;&gt;"",VLOOKUP($L764,Categories!$B$2:$D$41,3,FALSE),IF($F764&lt;&gt;"","No Cat",""))</f>
        <v>Def Taxes</v>
      </c>
      <c r="P764" s="736" t="s">
        <v>2468</v>
      </c>
      <c r="Q764" s="25" t="str">
        <f>VLOOKUP($P764,Allocators!$B$7:$F$19,5,FALSE)</f>
        <v>Not in Rate Base</v>
      </c>
      <c r="R764" s="737">
        <f>VLOOKUP($P764,Allocators!$B$7:$F$19,2,FALSE)</f>
        <v>0</v>
      </c>
      <c r="S764" s="737">
        <f>VLOOKUP($P764,Allocators!$B$7:$F$19,3,FALSE)</f>
        <v>0</v>
      </c>
      <c r="T764" s="737">
        <f t="shared" si="235"/>
        <v>1</v>
      </c>
      <c r="U764" s="2">
        <f t="shared" si="219"/>
        <v>0</v>
      </c>
      <c r="V764" s="2">
        <f t="shared" si="220"/>
        <v>0</v>
      </c>
      <c r="W764" s="2">
        <f t="shared" si="221"/>
        <v>265.40012000000002</v>
      </c>
      <c r="X764" s="2">
        <f t="shared" si="217"/>
        <v>265.40012000000002</v>
      </c>
      <c r="Y764" s="2">
        <f t="shared" si="222"/>
        <v>0</v>
      </c>
      <c r="Z764" s="2">
        <f t="shared" si="223"/>
        <v>0</v>
      </c>
      <c r="AA764" s="2">
        <f t="shared" si="224"/>
        <v>265.40012000000002</v>
      </c>
      <c r="AB764" s="2">
        <f t="shared" si="218"/>
        <v>265.40012000000002</v>
      </c>
      <c r="AC764" s="759">
        <v>265.40012000000002</v>
      </c>
      <c r="AD764" s="741">
        <v>265.40012000000002</v>
      </c>
      <c r="AE764" s="741">
        <v>265.40012000000002</v>
      </c>
      <c r="AF764" s="741">
        <v>265.40012000000002</v>
      </c>
      <c r="AG764" s="741">
        <v>265.40012000000002</v>
      </c>
      <c r="AH764" s="741">
        <v>265.40012000000002</v>
      </c>
      <c r="AI764" s="741">
        <v>265.40012000000002</v>
      </c>
      <c r="AJ764" s="741">
        <v>265.40012000000002</v>
      </c>
      <c r="AK764" s="741">
        <v>265.40012000000002</v>
      </c>
      <c r="AL764" s="741">
        <v>265.40012000000002</v>
      </c>
      <c r="AM764" s="741">
        <v>265.40012000000002</v>
      </c>
      <c r="AN764" s="741">
        <v>265.40012000000002</v>
      </c>
      <c r="AO764" s="741">
        <v>265.40012000000002</v>
      </c>
      <c r="AP764" s="41" t="str">
        <f t="shared" si="214"/>
        <v>GLT</v>
      </c>
      <c r="AQ764" s="41" t="str">
        <f t="shared" si="215"/>
        <v>GLTT0</v>
      </c>
      <c r="AR764" s="41" t="str">
        <f t="shared" si="216"/>
        <v>T0</v>
      </c>
    </row>
    <row r="765" spans="1:44" s="41" customFormat="1" ht="12.75" customHeight="1">
      <c r="A765" s="25" t="s">
        <v>17</v>
      </c>
      <c r="B765" s="25" t="str">
        <f t="shared" si="233"/>
        <v>GL283430</v>
      </c>
      <c r="C765" s="638">
        <v>283430</v>
      </c>
      <c r="D765" s="735"/>
      <c r="F765" s="1" t="s">
        <v>729</v>
      </c>
      <c r="H765" s="736">
        <v>0</v>
      </c>
      <c r="I765" s="25"/>
      <c r="J765" s="25"/>
      <c r="K765" s="442" t="str">
        <f t="shared" si="226"/>
        <v/>
      </c>
      <c r="L765" s="736" t="s">
        <v>2466</v>
      </c>
      <c r="M765" s="25" t="str">
        <f t="shared" si="234"/>
        <v>T</v>
      </c>
      <c r="N765" s="25" t="str">
        <f>IF(L765&lt;&gt;"",VLOOKUP(L765,Categories!$B$2:$D$41,2,FALSE),IF(F765&lt;&gt;"","No Cat",""))</f>
        <v>ADIT Sch</v>
      </c>
      <c r="O765" s="25" t="str">
        <f>IF($L765&lt;&gt;"",VLOOKUP($L765,Categories!$B$2:$D$41,3,FALSE),IF($F765&lt;&gt;"","No Cat",""))</f>
        <v>Def Taxes</v>
      </c>
      <c r="P765" s="736" t="s">
        <v>2468</v>
      </c>
      <c r="Q765" s="25" t="str">
        <f>VLOOKUP($P765,Allocators!$B$7:$F$19,5,FALSE)</f>
        <v>Not in Rate Base</v>
      </c>
      <c r="R765" s="737">
        <f>VLOOKUP($P765,Allocators!$B$7:$F$19,2,FALSE)</f>
        <v>0</v>
      </c>
      <c r="S765" s="737">
        <f>VLOOKUP($P765,Allocators!$B$7:$F$19,3,FALSE)</f>
        <v>0</v>
      </c>
      <c r="T765" s="737">
        <f t="shared" si="235"/>
        <v>1</v>
      </c>
      <c r="U765" s="2">
        <f t="shared" si="219"/>
        <v>0</v>
      </c>
      <c r="V765" s="2">
        <f t="shared" si="220"/>
        <v>0</v>
      </c>
      <c r="W765" s="2">
        <f t="shared" si="221"/>
        <v>291.98955000000001</v>
      </c>
      <c r="X765" s="2">
        <f t="shared" si="217"/>
        <v>291.98955000000001</v>
      </c>
      <c r="Y765" s="2">
        <f t="shared" si="222"/>
        <v>0</v>
      </c>
      <c r="Z765" s="2">
        <f t="shared" si="223"/>
        <v>0</v>
      </c>
      <c r="AA765" s="2">
        <f t="shared" si="224"/>
        <v>291.98955000000001</v>
      </c>
      <c r="AB765" s="2">
        <f t="shared" si="218"/>
        <v>291.98955000000001</v>
      </c>
      <c r="AC765" s="759">
        <v>291.98955000000001</v>
      </c>
      <c r="AD765" s="741">
        <v>291.98955000000001</v>
      </c>
      <c r="AE765" s="741">
        <v>291.98955000000001</v>
      </c>
      <c r="AF765" s="741">
        <v>291.98955000000001</v>
      </c>
      <c r="AG765" s="741">
        <v>291.98955000000001</v>
      </c>
      <c r="AH765" s="741">
        <v>291.98955000000001</v>
      </c>
      <c r="AI765" s="741">
        <v>291.98955000000001</v>
      </c>
      <c r="AJ765" s="741">
        <v>291.98955000000001</v>
      </c>
      <c r="AK765" s="741">
        <v>291.98955000000001</v>
      </c>
      <c r="AL765" s="741">
        <v>291.98955000000001</v>
      </c>
      <c r="AM765" s="741">
        <v>291.98955000000001</v>
      </c>
      <c r="AN765" s="741">
        <v>291.98955000000001</v>
      </c>
      <c r="AO765" s="741">
        <v>291.98955000000001</v>
      </c>
      <c r="AP765" s="41" t="str">
        <f t="shared" si="214"/>
        <v>GLT</v>
      </c>
      <c r="AQ765" s="41" t="str">
        <f t="shared" si="215"/>
        <v>GLTT0</v>
      </c>
      <c r="AR765" s="41" t="str">
        <f t="shared" si="216"/>
        <v>T0</v>
      </c>
    </row>
    <row r="766" spans="1:44" s="41" customFormat="1" ht="12.75" customHeight="1">
      <c r="A766" s="25" t="s">
        <v>17</v>
      </c>
      <c r="B766" s="25" t="str">
        <f t="shared" si="233"/>
        <v>GL283500</v>
      </c>
      <c r="C766" s="638">
        <v>283500</v>
      </c>
      <c r="D766" s="735"/>
      <c r="F766" s="1" t="s">
        <v>730</v>
      </c>
      <c r="H766" s="736">
        <v>0</v>
      </c>
      <c r="I766" s="25"/>
      <c r="J766" s="25"/>
      <c r="K766" s="442" t="str">
        <f t="shared" si="226"/>
        <v/>
      </c>
      <c r="L766" s="736" t="s">
        <v>2466</v>
      </c>
      <c r="M766" s="25" t="str">
        <f t="shared" si="234"/>
        <v>T</v>
      </c>
      <c r="N766" s="25" t="str">
        <f>IF(L766&lt;&gt;"",VLOOKUP(L766,Categories!$B$2:$D$41,2,FALSE),IF(F766&lt;&gt;"","No Cat",""))</f>
        <v>ADIT Sch</v>
      </c>
      <c r="O766" s="25" t="str">
        <f>IF($L766&lt;&gt;"",VLOOKUP($L766,Categories!$B$2:$D$41,3,FALSE),IF($F766&lt;&gt;"","No Cat",""))</f>
        <v>Def Taxes</v>
      </c>
      <c r="P766" s="736" t="s">
        <v>2468</v>
      </c>
      <c r="Q766" s="25" t="str">
        <f>VLOOKUP($P766,Allocators!$B$7:$F$19,5,FALSE)</f>
        <v>Not in Rate Base</v>
      </c>
      <c r="R766" s="737">
        <f>VLOOKUP($P766,Allocators!$B$7:$F$19,2,FALSE)</f>
        <v>0</v>
      </c>
      <c r="S766" s="737">
        <f>VLOOKUP($P766,Allocators!$B$7:$F$19,3,FALSE)</f>
        <v>0</v>
      </c>
      <c r="T766" s="737">
        <f t="shared" si="235"/>
        <v>1</v>
      </c>
      <c r="U766" s="2">
        <f t="shared" si="219"/>
        <v>0</v>
      </c>
      <c r="V766" s="2">
        <f t="shared" si="220"/>
        <v>0</v>
      </c>
      <c r="W766" s="2">
        <f t="shared" si="221"/>
        <v>-22447.956791249999</v>
      </c>
      <c r="X766" s="2">
        <f t="shared" si="217"/>
        <v>-22447.956791249999</v>
      </c>
      <c r="Y766" s="2">
        <f t="shared" si="222"/>
        <v>0</v>
      </c>
      <c r="Z766" s="2">
        <f t="shared" si="223"/>
        <v>0</v>
      </c>
      <c r="AA766" s="2">
        <f t="shared" si="224"/>
        <v>-28809.593400000002</v>
      </c>
      <c r="AB766" s="2">
        <f t="shared" si="218"/>
        <v>-28809.593399999998</v>
      </c>
      <c r="AC766" s="759">
        <v>-28094.371289999999</v>
      </c>
      <c r="AD766" s="741">
        <v>-23284.338769999998</v>
      </c>
      <c r="AE766" s="741">
        <v>-21655.440930000001</v>
      </c>
      <c r="AF766" s="741">
        <v>-19637.610619999999</v>
      </c>
      <c r="AG766" s="741">
        <v>-18644.033899999999</v>
      </c>
      <c r="AH766" s="741">
        <v>-17623.667219999999</v>
      </c>
      <c r="AI766" s="741">
        <v>-20262.415149999997</v>
      </c>
      <c r="AJ766" s="741">
        <v>-21190.584500000001</v>
      </c>
      <c r="AK766" s="741">
        <v>-22874.035370000001</v>
      </c>
      <c r="AL766" s="741">
        <v>-22222.367389999999</v>
      </c>
      <c r="AM766" s="741">
        <v>-24096.186710000002</v>
      </c>
      <c r="AN766" s="741">
        <v>-29432.818589999999</v>
      </c>
      <c r="AO766" s="741">
        <v>-28809.593399999998</v>
      </c>
      <c r="AP766" s="41" t="str">
        <f t="shared" si="214"/>
        <v>GLT</v>
      </c>
      <c r="AQ766" s="41" t="str">
        <f t="shared" si="215"/>
        <v>GLTT0</v>
      </c>
      <c r="AR766" s="41" t="str">
        <f t="shared" si="216"/>
        <v>T0</v>
      </c>
    </row>
    <row r="767" spans="1:44" s="41" customFormat="1" ht="12.75" customHeight="1">
      <c r="A767" s="25" t="s">
        <v>17</v>
      </c>
      <c r="B767" s="25" t="str">
        <f t="shared" si="233"/>
        <v>GL283505</v>
      </c>
      <c r="C767" s="638">
        <v>283505</v>
      </c>
      <c r="D767" s="735"/>
      <c r="F767" s="1" t="s">
        <v>731</v>
      </c>
      <c r="H767" s="736">
        <v>0</v>
      </c>
      <c r="I767" s="25"/>
      <c r="J767" s="25"/>
      <c r="K767" s="442" t="str">
        <f t="shared" si="226"/>
        <v/>
      </c>
      <c r="L767" s="736" t="s">
        <v>2466</v>
      </c>
      <c r="M767" s="25" t="str">
        <f t="shared" si="234"/>
        <v>T</v>
      </c>
      <c r="N767" s="25" t="str">
        <f>IF(L767&lt;&gt;"",VLOOKUP(L767,Categories!$B$2:$D$41,2,FALSE),IF(F767&lt;&gt;"","No Cat",""))</f>
        <v>ADIT Sch</v>
      </c>
      <c r="O767" s="25" t="str">
        <f>IF($L767&lt;&gt;"",VLOOKUP($L767,Categories!$B$2:$D$41,3,FALSE),IF($F767&lt;&gt;"","No Cat",""))</f>
        <v>Def Taxes</v>
      </c>
      <c r="P767" s="736" t="s">
        <v>2468</v>
      </c>
      <c r="Q767" s="25" t="str">
        <f>VLOOKUP($P767,Allocators!$B$7:$F$19,5,FALSE)</f>
        <v>Not in Rate Base</v>
      </c>
      <c r="R767" s="737">
        <f>VLOOKUP($P767,Allocators!$B$7:$F$19,2,FALSE)</f>
        <v>0</v>
      </c>
      <c r="S767" s="737">
        <f>VLOOKUP($P767,Allocators!$B$7:$F$19,3,FALSE)</f>
        <v>0</v>
      </c>
      <c r="T767" s="737">
        <f t="shared" si="235"/>
        <v>1</v>
      </c>
      <c r="U767" s="2">
        <f t="shared" si="219"/>
        <v>0</v>
      </c>
      <c r="V767" s="2">
        <f t="shared" si="220"/>
        <v>0</v>
      </c>
      <c r="W767" s="2">
        <f t="shared" si="221"/>
        <v>-40218.245893749998</v>
      </c>
      <c r="X767" s="2">
        <f t="shared" si="217"/>
        <v>-40218.245893749998</v>
      </c>
      <c r="Y767" s="2">
        <f t="shared" si="222"/>
        <v>0</v>
      </c>
      <c r="Z767" s="2">
        <f t="shared" si="223"/>
        <v>0</v>
      </c>
      <c r="AA767" s="2">
        <f t="shared" si="224"/>
        <v>-38743.366249999999</v>
      </c>
      <c r="AB767" s="2">
        <f t="shared" si="218"/>
        <v>-38743.366249999999</v>
      </c>
      <c r="AC767" s="759">
        <v>-39069.679979999994</v>
      </c>
      <c r="AD767" s="741">
        <v>-39669.873420000004</v>
      </c>
      <c r="AE767" s="741">
        <v>-40179.273590000004</v>
      </c>
      <c r="AF767" s="741">
        <v>-40727.14761</v>
      </c>
      <c r="AG767" s="741">
        <v>-40566.301399999997</v>
      </c>
      <c r="AH767" s="741">
        <v>-40068.964999999997</v>
      </c>
      <c r="AI767" s="741">
        <v>-40192.706090000007</v>
      </c>
      <c r="AJ767" s="741">
        <v>-41099.346539999999</v>
      </c>
      <c r="AK767" s="741">
        <v>-40913.90885</v>
      </c>
      <c r="AL767" s="741">
        <v>-41136.98171</v>
      </c>
      <c r="AM767" s="741">
        <v>-40919.631229999999</v>
      </c>
      <c r="AN767" s="741">
        <v>-38238.292170000001</v>
      </c>
      <c r="AO767" s="741">
        <v>-38743.366249999999</v>
      </c>
      <c r="AP767" s="41" t="str">
        <f t="shared" si="214"/>
        <v>GLT</v>
      </c>
      <c r="AQ767" s="41" t="str">
        <f t="shared" si="215"/>
        <v>GLTT0</v>
      </c>
      <c r="AR767" s="41" t="str">
        <f t="shared" si="216"/>
        <v>T0</v>
      </c>
    </row>
    <row r="768" spans="1:44" s="41" customFormat="1" ht="12.75" customHeight="1">
      <c r="A768" s="25" t="s">
        <v>17</v>
      </c>
      <c r="B768" s="25" t="str">
        <f t="shared" si="233"/>
        <v>GL283506</v>
      </c>
      <c r="C768" s="638">
        <v>283506</v>
      </c>
      <c r="D768" s="735"/>
      <c r="F768" s="1" t="s">
        <v>732</v>
      </c>
      <c r="H768" s="736">
        <v>0</v>
      </c>
      <c r="I768" s="25"/>
      <c r="J768" s="25"/>
      <c r="K768" s="442" t="str">
        <f t="shared" si="226"/>
        <v/>
      </c>
      <c r="L768" s="736" t="s">
        <v>2466</v>
      </c>
      <c r="M768" s="25" t="str">
        <f t="shared" si="234"/>
        <v>T</v>
      </c>
      <c r="N768" s="25" t="str">
        <f>IF(L768&lt;&gt;"",VLOOKUP(L768,Categories!$B$2:$D$41,2,FALSE),IF(F768&lt;&gt;"","No Cat",""))</f>
        <v>ADIT Sch</v>
      </c>
      <c r="O768" s="25" t="str">
        <f>IF($L768&lt;&gt;"",VLOOKUP($L768,Categories!$B$2:$D$41,3,FALSE),IF($F768&lt;&gt;"","No Cat",""))</f>
        <v>Def Taxes</v>
      </c>
      <c r="P768" s="736" t="s">
        <v>2468</v>
      </c>
      <c r="Q768" s="25" t="str">
        <f>VLOOKUP($P768,Allocators!$B$7:$F$19,5,FALSE)</f>
        <v>Not in Rate Base</v>
      </c>
      <c r="R768" s="737">
        <f>VLOOKUP($P768,Allocators!$B$7:$F$19,2,FALSE)</f>
        <v>0</v>
      </c>
      <c r="S768" s="737">
        <f>VLOOKUP($P768,Allocators!$B$7:$F$19,3,FALSE)</f>
        <v>0</v>
      </c>
      <c r="T768" s="737">
        <f t="shared" si="235"/>
        <v>1</v>
      </c>
      <c r="U768" s="2">
        <f t="shared" si="219"/>
        <v>0</v>
      </c>
      <c r="V768" s="2">
        <f t="shared" si="220"/>
        <v>0</v>
      </c>
      <c r="W768" s="2">
        <f t="shared" si="221"/>
        <v>-8746.08122083333</v>
      </c>
      <c r="X768" s="2">
        <f t="shared" si="217"/>
        <v>-8746.08122083333</v>
      </c>
      <c r="Y768" s="2">
        <f t="shared" si="222"/>
        <v>0</v>
      </c>
      <c r="Z768" s="2">
        <f t="shared" si="223"/>
        <v>0</v>
      </c>
      <c r="AA768" s="2">
        <f t="shared" si="224"/>
        <v>-7862.6646099999998</v>
      </c>
      <c r="AB768" s="2">
        <f t="shared" si="218"/>
        <v>-7862.6646100000007</v>
      </c>
      <c r="AC768" s="759">
        <v>-9458.8197300000011</v>
      </c>
      <c r="AD768" s="741">
        <v>-9416.7471800000003</v>
      </c>
      <c r="AE768" s="741">
        <v>-9368.0259900000001</v>
      </c>
      <c r="AF768" s="741">
        <v>-9333.7541400000009</v>
      </c>
      <c r="AG768" s="741">
        <v>-9097.2442599999995</v>
      </c>
      <c r="AH768" s="741">
        <v>-8873.3565799999997</v>
      </c>
      <c r="AI768" s="741">
        <v>-8753.4448000000011</v>
      </c>
      <c r="AJ768" s="741">
        <v>-8636.1559099999995</v>
      </c>
      <c r="AK768" s="741">
        <v>-8525.7088599999988</v>
      </c>
      <c r="AL768" s="741">
        <v>-8420.2283200000002</v>
      </c>
      <c r="AM768" s="741">
        <v>-8016.4573099999998</v>
      </c>
      <c r="AN768" s="741">
        <v>-7851.1091299999998</v>
      </c>
      <c r="AO768" s="741">
        <v>-7862.6646100000007</v>
      </c>
      <c r="AP768" s="41" t="str">
        <f t="shared" si="214"/>
        <v>GLT</v>
      </c>
      <c r="AQ768" s="41" t="str">
        <f t="shared" si="215"/>
        <v>GLTT0</v>
      </c>
      <c r="AR768" s="41" t="str">
        <f t="shared" si="216"/>
        <v>T0</v>
      </c>
    </row>
    <row r="769" spans="1:44" s="41" customFormat="1" ht="12.75" customHeight="1">
      <c r="A769" s="25" t="s">
        <v>17</v>
      </c>
      <c r="B769" s="25" t="str">
        <f t="shared" si="233"/>
        <v>GL283510</v>
      </c>
      <c r="C769" s="638">
        <v>283510</v>
      </c>
      <c r="D769" s="735"/>
      <c r="F769" s="1" t="s">
        <v>733</v>
      </c>
      <c r="H769" s="736">
        <v>0</v>
      </c>
      <c r="I769" s="25"/>
      <c r="J769" s="25"/>
      <c r="K769" s="442" t="str">
        <f t="shared" si="226"/>
        <v/>
      </c>
      <c r="L769" s="736" t="s">
        <v>2466</v>
      </c>
      <c r="M769" s="25" t="str">
        <f t="shared" si="234"/>
        <v>T</v>
      </c>
      <c r="N769" s="25" t="str">
        <f>IF(L769&lt;&gt;"",VLOOKUP(L769,Categories!$B$2:$D$41,2,FALSE),IF(F769&lt;&gt;"","No Cat",""))</f>
        <v>ADIT Sch</v>
      </c>
      <c r="O769" s="25" t="str">
        <f>IF($L769&lt;&gt;"",VLOOKUP($L769,Categories!$B$2:$D$41,3,FALSE),IF($F769&lt;&gt;"","No Cat",""))</f>
        <v>Def Taxes</v>
      </c>
      <c r="P769" s="736" t="s">
        <v>2468</v>
      </c>
      <c r="Q769" s="25" t="str">
        <f>VLOOKUP($P769,Allocators!$B$7:$F$19,5,FALSE)</f>
        <v>Not in Rate Base</v>
      </c>
      <c r="R769" s="737">
        <f>VLOOKUP($P769,Allocators!$B$7:$F$19,2,FALSE)</f>
        <v>0</v>
      </c>
      <c r="S769" s="737">
        <f>VLOOKUP($P769,Allocators!$B$7:$F$19,3,FALSE)</f>
        <v>0</v>
      </c>
      <c r="T769" s="737">
        <f t="shared" si="235"/>
        <v>1</v>
      </c>
      <c r="U769" s="2">
        <f t="shared" si="219"/>
        <v>0</v>
      </c>
      <c r="V769" s="2">
        <f t="shared" si="220"/>
        <v>0</v>
      </c>
      <c r="W769" s="2">
        <f t="shared" si="221"/>
        <v>-21863.8147675</v>
      </c>
      <c r="X769" s="2">
        <f t="shared" si="217"/>
        <v>-21863.8147675</v>
      </c>
      <c r="Y769" s="2">
        <f t="shared" si="222"/>
        <v>0</v>
      </c>
      <c r="Z769" s="2">
        <f t="shared" si="223"/>
        <v>0</v>
      </c>
      <c r="AA769" s="2">
        <f t="shared" si="224"/>
        <v>-26494.163779999999</v>
      </c>
      <c r="AB769" s="2">
        <f t="shared" si="218"/>
        <v>-26494.163780000003</v>
      </c>
      <c r="AC769" s="759">
        <v>-22192.404399999999</v>
      </c>
      <c r="AD769" s="741">
        <v>-22424.738440000001</v>
      </c>
      <c r="AE769" s="741">
        <v>-22792.153999999999</v>
      </c>
      <c r="AF769" s="741">
        <v>-23228.365420000002</v>
      </c>
      <c r="AG769" s="741">
        <v>-19065.781289999999</v>
      </c>
      <c r="AH769" s="741">
        <v>-19414.644510000002</v>
      </c>
      <c r="AI769" s="741">
        <v>-19739.216399999998</v>
      </c>
      <c r="AJ769" s="741">
        <v>-20675.532579999999</v>
      </c>
      <c r="AK769" s="741">
        <v>-21095.140230000001</v>
      </c>
      <c r="AL769" s="741">
        <v>-21484.83596</v>
      </c>
      <c r="AM769" s="741">
        <v>-22048.4208</v>
      </c>
      <c r="AN769" s="741">
        <v>-26053.663489999999</v>
      </c>
      <c r="AO769" s="741">
        <v>-26494.163780000003</v>
      </c>
      <c r="AP769" s="41" t="str">
        <f t="shared" si="214"/>
        <v>GLT</v>
      </c>
      <c r="AQ769" s="41" t="str">
        <f t="shared" si="215"/>
        <v>GLTT0</v>
      </c>
      <c r="AR769" s="41" t="str">
        <f t="shared" si="216"/>
        <v>T0</v>
      </c>
    </row>
    <row r="770" spans="1:44" s="41" customFormat="1" ht="12.75" customHeight="1">
      <c r="A770" s="25" t="s">
        <v>17</v>
      </c>
      <c r="B770" s="25" t="str">
        <f t="shared" si="233"/>
        <v>GL283515</v>
      </c>
      <c r="C770" s="638">
        <v>283515</v>
      </c>
      <c r="D770" s="735"/>
      <c r="F770" s="1" t="s">
        <v>734</v>
      </c>
      <c r="H770" s="736">
        <v>0</v>
      </c>
      <c r="I770" s="25"/>
      <c r="J770" s="25"/>
      <c r="K770" s="442" t="str">
        <f t="shared" si="226"/>
        <v/>
      </c>
      <c r="L770" s="736" t="s">
        <v>2466</v>
      </c>
      <c r="M770" s="25" t="str">
        <f t="shared" si="234"/>
        <v>T</v>
      </c>
      <c r="N770" s="25" t="str">
        <f>IF(L770&lt;&gt;"",VLOOKUP(L770,Categories!$B$2:$D$41,2,FALSE),IF(F770&lt;&gt;"","No Cat",""))</f>
        <v>ADIT Sch</v>
      </c>
      <c r="O770" s="25" t="str">
        <f>IF($L770&lt;&gt;"",VLOOKUP($L770,Categories!$B$2:$D$41,3,FALSE),IF($F770&lt;&gt;"","No Cat",""))</f>
        <v>Def Taxes</v>
      </c>
      <c r="P770" s="736" t="s">
        <v>2468</v>
      </c>
      <c r="Q770" s="25" t="str">
        <f>VLOOKUP($P770,Allocators!$B$7:$F$19,5,FALSE)</f>
        <v>Not in Rate Base</v>
      </c>
      <c r="R770" s="737">
        <f>VLOOKUP($P770,Allocators!$B$7:$F$19,2,FALSE)</f>
        <v>0</v>
      </c>
      <c r="S770" s="737">
        <f>VLOOKUP($P770,Allocators!$B$7:$F$19,3,FALSE)</f>
        <v>0</v>
      </c>
      <c r="T770" s="737">
        <f t="shared" si="235"/>
        <v>1</v>
      </c>
      <c r="U770" s="2">
        <f t="shared" si="219"/>
        <v>0</v>
      </c>
      <c r="V770" s="2">
        <f t="shared" si="220"/>
        <v>0</v>
      </c>
      <c r="W770" s="2">
        <f t="shared" si="221"/>
        <v>-3056.4090612499999</v>
      </c>
      <c r="X770" s="2">
        <f t="shared" si="217"/>
        <v>-3056.4090612499999</v>
      </c>
      <c r="Y770" s="2">
        <f t="shared" si="222"/>
        <v>0</v>
      </c>
      <c r="Z770" s="2">
        <f t="shared" si="223"/>
        <v>0</v>
      </c>
      <c r="AA770" s="2">
        <f t="shared" si="224"/>
        <v>-3203.5766400000002</v>
      </c>
      <c r="AB770" s="2">
        <f t="shared" si="218"/>
        <v>-3203.5766400000002</v>
      </c>
      <c r="AC770" s="759">
        <v>-2804.83491</v>
      </c>
      <c r="AD770" s="741">
        <v>-2883.0635499999999</v>
      </c>
      <c r="AE770" s="741">
        <v>-2941.4665399999999</v>
      </c>
      <c r="AF770" s="741">
        <v>-3008.2706800000001</v>
      </c>
      <c r="AG770" s="741">
        <v>-3095.5631100000001</v>
      </c>
      <c r="AH770" s="741">
        <v>-2977.9456</v>
      </c>
      <c r="AI770" s="741">
        <v>-2995.9470099999999</v>
      </c>
      <c r="AJ770" s="741">
        <v>-3184.9029</v>
      </c>
      <c r="AK770" s="741">
        <v>-3135.3917999999999</v>
      </c>
      <c r="AL770" s="741">
        <v>-3175.0833700000003</v>
      </c>
      <c r="AM770" s="741">
        <v>-3121.5976299999998</v>
      </c>
      <c r="AN770" s="741">
        <v>-3153.4707699999999</v>
      </c>
      <c r="AO770" s="741">
        <v>-3203.5766400000002</v>
      </c>
      <c r="AP770" s="41" t="str">
        <f t="shared" si="214"/>
        <v>GLT</v>
      </c>
      <c r="AQ770" s="41" t="str">
        <f t="shared" si="215"/>
        <v>GLTT0</v>
      </c>
      <c r="AR770" s="41" t="str">
        <f t="shared" si="216"/>
        <v>T0</v>
      </c>
    </row>
    <row r="771" spans="1:44" s="41" customFormat="1" ht="12.75" customHeight="1">
      <c r="A771" s="25" t="s">
        <v>17</v>
      </c>
      <c r="B771" s="25" t="str">
        <f t="shared" si="233"/>
        <v>GL283516</v>
      </c>
      <c r="C771" s="638">
        <v>283516</v>
      </c>
      <c r="D771" s="735"/>
      <c r="F771" s="1" t="s">
        <v>735</v>
      </c>
      <c r="H771" s="736">
        <v>0</v>
      </c>
      <c r="I771" s="25"/>
      <c r="J771" s="25"/>
      <c r="K771" s="442" t="str">
        <f t="shared" si="226"/>
        <v/>
      </c>
      <c r="L771" s="736" t="s">
        <v>2466</v>
      </c>
      <c r="M771" s="25" t="str">
        <f t="shared" si="234"/>
        <v>T</v>
      </c>
      <c r="N771" s="25" t="str">
        <f>IF(L771&lt;&gt;"",VLOOKUP(L771,Categories!$B$2:$D$41,2,FALSE),IF(F771&lt;&gt;"","No Cat",""))</f>
        <v>ADIT Sch</v>
      </c>
      <c r="O771" s="25" t="str">
        <f>IF($L771&lt;&gt;"",VLOOKUP($L771,Categories!$B$2:$D$41,3,FALSE),IF($F771&lt;&gt;"","No Cat",""))</f>
        <v>Def Taxes</v>
      </c>
      <c r="P771" s="736" t="s">
        <v>2468</v>
      </c>
      <c r="Q771" s="25" t="str">
        <f>VLOOKUP($P771,Allocators!$B$7:$F$19,5,FALSE)</f>
        <v>Not in Rate Base</v>
      </c>
      <c r="R771" s="737">
        <f>VLOOKUP($P771,Allocators!$B$7:$F$19,2,FALSE)</f>
        <v>0</v>
      </c>
      <c r="S771" s="737">
        <f>VLOOKUP($P771,Allocators!$B$7:$F$19,3,FALSE)</f>
        <v>0</v>
      </c>
      <c r="T771" s="737">
        <f t="shared" si="235"/>
        <v>1</v>
      </c>
      <c r="U771" s="2">
        <f t="shared" si="219"/>
        <v>0</v>
      </c>
      <c r="V771" s="2">
        <f t="shared" si="220"/>
        <v>0</v>
      </c>
      <c r="W771" s="2">
        <f t="shared" si="221"/>
        <v>-224.10396333333301</v>
      </c>
      <c r="X771" s="2">
        <f t="shared" si="217"/>
        <v>-224.10396333333301</v>
      </c>
      <c r="Y771" s="2">
        <f t="shared" si="222"/>
        <v>0</v>
      </c>
      <c r="Z771" s="2">
        <f t="shared" si="223"/>
        <v>0</v>
      </c>
      <c r="AA771" s="2">
        <f t="shared" si="224"/>
        <v>-25.672730000000001</v>
      </c>
      <c r="AB771" s="2">
        <f t="shared" si="218"/>
        <v>-25.672729999999998</v>
      </c>
      <c r="AC771" s="759">
        <v>-388.16161</v>
      </c>
      <c r="AD771" s="741">
        <v>-377.50342000000001</v>
      </c>
      <c r="AE771" s="741">
        <v>-365.39340999999996</v>
      </c>
      <c r="AF771" s="741">
        <v>-356.43857000000003</v>
      </c>
      <c r="AG771" s="741">
        <v>-303.32288</v>
      </c>
      <c r="AH771" s="741">
        <v>-252.96341000000001</v>
      </c>
      <c r="AI771" s="741">
        <v>-225.30817999999999</v>
      </c>
      <c r="AJ771" s="741">
        <v>-198.22566</v>
      </c>
      <c r="AK771" s="741">
        <v>-172.63715999999999</v>
      </c>
      <c r="AL771" s="741">
        <v>-148.13315</v>
      </c>
      <c r="AM771" s="741">
        <v>-59.255050000000004</v>
      </c>
      <c r="AN771" s="741">
        <v>-23.1495</v>
      </c>
      <c r="AO771" s="741">
        <v>-25.672729999999998</v>
      </c>
      <c r="AP771" s="41" t="str">
        <f t="shared" si="214"/>
        <v>GLT</v>
      </c>
      <c r="AQ771" s="41" t="str">
        <f t="shared" si="215"/>
        <v>GLTT0</v>
      </c>
      <c r="AR771" s="41" t="str">
        <f t="shared" si="216"/>
        <v>T0</v>
      </c>
    </row>
    <row r="772" spans="1:44" s="41" customFormat="1" ht="12.75" customHeight="1">
      <c r="A772" s="25" t="s">
        <v>17</v>
      </c>
      <c r="B772" s="25" t="str">
        <f t="shared" si="233"/>
        <v>GL283550</v>
      </c>
      <c r="C772" s="638">
        <v>283550</v>
      </c>
      <c r="D772" s="735"/>
      <c r="F772" s="1" t="s">
        <v>736</v>
      </c>
      <c r="H772" s="736">
        <v>0</v>
      </c>
      <c r="I772" s="25"/>
      <c r="J772" s="25"/>
      <c r="K772" s="442" t="str">
        <f t="shared" si="226"/>
        <v/>
      </c>
      <c r="L772" s="736" t="s">
        <v>2466</v>
      </c>
      <c r="M772" s="25" t="str">
        <f t="shared" si="234"/>
        <v>T</v>
      </c>
      <c r="N772" s="25" t="str">
        <f>IF(L772&lt;&gt;"",VLOOKUP(L772,Categories!$B$2:$D$41,2,FALSE),IF(F772&lt;&gt;"","No Cat",""))</f>
        <v>ADIT Sch</v>
      </c>
      <c r="O772" s="25" t="str">
        <f>IF($L772&lt;&gt;"",VLOOKUP($L772,Categories!$B$2:$D$41,3,FALSE),IF($F772&lt;&gt;"","No Cat",""))</f>
        <v>Def Taxes</v>
      </c>
      <c r="P772" s="736" t="s">
        <v>2468</v>
      </c>
      <c r="Q772" s="25" t="str">
        <f>VLOOKUP($P772,Allocators!$B$7:$F$19,5,FALSE)</f>
        <v>Not in Rate Base</v>
      </c>
      <c r="R772" s="737">
        <f>VLOOKUP($P772,Allocators!$B$7:$F$19,2,FALSE)</f>
        <v>0</v>
      </c>
      <c r="S772" s="737">
        <f>VLOOKUP($P772,Allocators!$B$7:$F$19,3,FALSE)</f>
        <v>0</v>
      </c>
      <c r="T772" s="737">
        <f t="shared" si="235"/>
        <v>1</v>
      </c>
      <c r="U772" s="2">
        <f t="shared" si="219"/>
        <v>0</v>
      </c>
      <c r="V772" s="2">
        <f t="shared" si="220"/>
        <v>0</v>
      </c>
      <c r="W772" s="2">
        <f t="shared" si="221"/>
        <v>-6431.12347125</v>
      </c>
      <c r="X772" s="2">
        <f t="shared" si="217"/>
        <v>-6431.12347125</v>
      </c>
      <c r="Y772" s="2">
        <f t="shared" si="222"/>
        <v>0</v>
      </c>
      <c r="Z772" s="2">
        <f t="shared" si="223"/>
        <v>0</v>
      </c>
      <c r="AA772" s="2">
        <f t="shared" si="224"/>
        <v>-7820.2552500000002</v>
      </c>
      <c r="AB772" s="2">
        <f t="shared" si="218"/>
        <v>-7820.2552500000002</v>
      </c>
      <c r="AC772" s="759">
        <v>-7664.0788200000006</v>
      </c>
      <c r="AD772" s="741">
        <v>-6613.7564699999994</v>
      </c>
      <c r="AE772" s="741">
        <v>-6258.0691100000004</v>
      </c>
      <c r="AF772" s="741">
        <v>-5817.4541399999998</v>
      </c>
      <c r="AG772" s="741">
        <v>-5600.4959800000006</v>
      </c>
      <c r="AH772" s="741">
        <v>-5377.6879600000002</v>
      </c>
      <c r="AI772" s="741">
        <v>-5953.8869599999998</v>
      </c>
      <c r="AJ772" s="741">
        <v>-6156.5627100000002</v>
      </c>
      <c r="AK772" s="741">
        <v>-6524.1623099999997</v>
      </c>
      <c r="AL772" s="741">
        <v>-6381.8635999999997</v>
      </c>
      <c r="AM772" s="741">
        <v>-6791.0322100000003</v>
      </c>
      <c r="AN772" s="741">
        <v>-7956.3431700000001</v>
      </c>
      <c r="AO772" s="741">
        <v>-7820.2552500000002</v>
      </c>
      <c r="AP772" s="41" t="str">
        <f t="shared" si="214"/>
        <v>GLT</v>
      </c>
      <c r="AQ772" s="41" t="str">
        <f t="shared" si="215"/>
        <v>GLTT0</v>
      </c>
      <c r="AR772" s="41" t="str">
        <f t="shared" si="216"/>
        <v>T0</v>
      </c>
    </row>
    <row r="773" spans="1:44" s="41" customFormat="1" ht="12.75" customHeight="1">
      <c r="A773" s="25" t="s">
        <v>17</v>
      </c>
      <c r="B773" s="25" t="str">
        <f t="shared" si="233"/>
        <v>GL283560</v>
      </c>
      <c r="C773" s="638">
        <v>283560</v>
      </c>
      <c r="D773" s="735"/>
      <c r="F773" s="1" t="s">
        <v>737</v>
      </c>
      <c r="H773" s="736">
        <v>0</v>
      </c>
      <c r="I773" s="25"/>
      <c r="J773" s="25"/>
      <c r="K773" s="442" t="str">
        <f t="shared" si="226"/>
        <v/>
      </c>
      <c r="L773" s="736" t="s">
        <v>2466</v>
      </c>
      <c r="M773" s="25" t="str">
        <f t="shared" si="234"/>
        <v>T</v>
      </c>
      <c r="N773" s="25" t="str">
        <f>IF(L773&lt;&gt;"",VLOOKUP(L773,Categories!$B$2:$D$41,2,FALSE),IF(F773&lt;&gt;"","No Cat",""))</f>
        <v>ADIT Sch</v>
      </c>
      <c r="O773" s="25" t="str">
        <f>IF($L773&lt;&gt;"",VLOOKUP($L773,Categories!$B$2:$D$41,3,FALSE),IF($F773&lt;&gt;"","No Cat",""))</f>
        <v>Def Taxes</v>
      </c>
      <c r="P773" s="736" t="s">
        <v>2468</v>
      </c>
      <c r="Q773" s="25" t="str">
        <f>VLOOKUP($P773,Allocators!$B$7:$F$19,5,FALSE)</f>
        <v>Not in Rate Base</v>
      </c>
      <c r="R773" s="737">
        <f>VLOOKUP($P773,Allocators!$B$7:$F$19,2,FALSE)</f>
        <v>0</v>
      </c>
      <c r="S773" s="737">
        <f>VLOOKUP($P773,Allocators!$B$7:$F$19,3,FALSE)</f>
        <v>0</v>
      </c>
      <c r="T773" s="737">
        <f t="shared" si="235"/>
        <v>1</v>
      </c>
      <c r="U773" s="2">
        <f t="shared" si="219"/>
        <v>0</v>
      </c>
      <c r="V773" s="2">
        <f t="shared" si="220"/>
        <v>0</v>
      </c>
      <c r="W773" s="2">
        <f t="shared" si="221"/>
        <v>-4814.4281437500003</v>
      </c>
      <c r="X773" s="2">
        <f t="shared" si="217"/>
        <v>-4814.4281437500003</v>
      </c>
      <c r="Y773" s="2">
        <f t="shared" si="222"/>
        <v>0</v>
      </c>
      <c r="Z773" s="2">
        <f t="shared" si="223"/>
        <v>0</v>
      </c>
      <c r="AA773" s="2">
        <f t="shared" si="224"/>
        <v>-5825.5146500000001</v>
      </c>
      <c r="AB773" s="2">
        <f t="shared" si="218"/>
        <v>-5825.5146500000001</v>
      </c>
      <c r="AC773" s="759">
        <v>-4886.17922</v>
      </c>
      <c r="AD773" s="741">
        <v>-4936.9118499999995</v>
      </c>
      <c r="AE773" s="741">
        <v>-5017.1409999999996</v>
      </c>
      <c r="AF773" s="741">
        <v>-5112.3924500000003</v>
      </c>
      <c r="AG773" s="741">
        <v>-4203.4474299999993</v>
      </c>
      <c r="AH773" s="741">
        <v>-4279.62547</v>
      </c>
      <c r="AI773" s="741">
        <v>-4350.4992400000001</v>
      </c>
      <c r="AJ773" s="741">
        <v>-4554.9539400000003</v>
      </c>
      <c r="AK773" s="741">
        <v>-4646.5797999999995</v>
      </c>
      <c r="AL773" s="741">
        <v>-4731.6740599999994</v>
      </c>
      <c r="AM773" s="741">
        <v>-4854.7388700000001</v>
      </c>
      <c r="AN773" s="741">
        <v>-5729.3266800000001</v>
      </c>
      <c r="AO773" s="741">
        <v>-5825.5146500000001</v>
      </c>
      <c r="AP773" s="41" t="str">
        <f t="shared" si="214"/>
        <v>GLT</v>
      </c>
      <c r="AQ773" s="41" t="str">
        <f t="shared" si="215"/>
        <v>GLTT0</v>
      </c>
      <c r="AR773" s="41" t="str">
        <f t="shared" si="216"/>
        <v>T0</v>
      </c>
    </row>
    <row r="774" spans="1:44" s="41" customFormat="1" ht="12.75" customHeight="1">
      <c r="A774" s="25" t="s">
        <v>17</v>
      </c>
      <c r="B774" s="25" t="str">
        <f t="shared" si="233"/>
        <v>GL283883</v>
      </c>
      <c r="C774" s="638">
        <v>283883</v>
      </c>
      <c r="D774" s="735"/>
      <c r="F774" s="1" t="s">
        <v>738</v>
      </c>
      <c r="H774" s="736">
        <v>0</v>
      </c>
      <c r="I774" s="25"/>
      <c r="J774" s="25"/>
      <c r="K774" s="442" t="str">
        <f t="shared" si="226"/>
        <v/>
      </c>
      <c r="L774" s="736" t="s">
        <v>2466</v>
      </c>
      <c r="M774" s="25" t="str">
        <f t="shared" si="234"/>
        <v>T</v>
      </c>
      <c r="N774" s="25" t="str">
        <f>IF(L774&lt;&gt;"",VLOOKUP(L774,Categories!$B$2:$D$41,2,FALSE),IF(F774&lt;&gt;"","No Cat",""))</f>
        <v>ADIT Sch</v>
      </c>
      <c r="O774" s="25" t="str">
        <f>IF($L774&lt;&gt;"",VLOOKUP($L774,Categories!$B$2:$D$41,3,FALSE),IF($F774&lt;&gt;"","No Cat",""))</f>
        <v>Def Taxes</v>
      </c>
      <c r="P774" s="736" t="s">
        <v>2468</v>
      </c>
      <c r="Q774" s="25" t="str">
        <f>VLOOKUP($P774,Allocators!$B$7:$F$19,5,FALSE)</f>
        <v>Not in Rate Base</v>
      </c>
      <c r="R774" s="737">
        <f>VLOOKUP($P774,Allocators!$B$7:$F$19,2,FALSE)</f>
        <v>0</v>
      </c>
      <c r="S774" s="737">
        <f>VLOOKUP($P774,Allocators!$B$7:$F$19,3,FALSE)</f>
        <v>0</v>
      </c>
      <c r="T774" s="737">
        <f t="shared" si="235"/>
        <v>1</v>
      </c>
      <c r="U774" s="2">
        <f t="shared" si="219"/>
        <v>0</v>
      </c>
      <c r="V774" s="2">
        <f t="shared" si="220"/>
        <v>0</v>
      </c>
      <c r="W774" s="2">
        <f t="shared" si="221"/>
        <v>-1613.43091</v>
      </c>
      <c r="X774" s="2">
        <f t="shared" si="217"/>
        <v>-1613.43091</v>
      </c>
      <c r="Y774" s="2">
        <f t="shared" si="222"/>
        <v>0</v>
      </c>
      <c r="Z774" s="2">
        <f t="shared" si="223"/>
        <v>0</v>
      </c>
      <c r="AA774" s="2">
        <f t="shared" si="224"/>
        <v>-847.34690999999998</v>
      </c>
      <c r="AB774" s="2">
        <f t="shared" si="218"/>
        <v>-847.34690999999998</v>
      </c>
      <c r="AC774" s="759">
        <v>-2518.8029100000003</v>
      </c>
      <c r="AD774" s="741">
        <v>-2518.8029100000003</v>
      </c>
      <c r="AE774" s="741">
        <v>-2518.8029100000003</v>
      </c>
      <c r="AF774" s="741">
        <v>-2518.8029100000003</v>
      </c>
      <c r="AG774" s="741">
        <v>-2518.8029100000003</v>
      </c>
      <c r="AH774" s="741">
        <v>-2518.8029100000003</v>
      </c>
      <c r="AI774" s="741">
        <v>-847.34690999999998</v>
      </c>
      <c r="AJ774" s="741">
        <v>-847.34690999999998</v>
      </c>
      <c r="AK774" s="741">
        <v>-847.34690999999998</v>
      </c>
      <c r="AL774" s="741">
        <v>-847.34690999999998</v>
      </c>
      <c r="AM774" s="741">
        <v>-847.34690999999998</v>
      </c>
      <c r="AN774" s="741">
        <v>-847.34690999999998</v>
      </c>
      <c r="AO774" s="741">
        <v>-847.34690999999998</v>
      </c>
      <c r="AP774" s="41" t="str">
        <f t="shared" si="214"/>
        <v>GLT</v>
      </c>
      <c r="AQ774" s="41" t="str">
        <f t="shared" si="215"/>
        <v>GLTT0</v>
      </c>
      <c r="AR774" s="41" t="str">
        <f t="shared" si="216"/>
        <v>T0</v>
      </c>
    </row>
    <row r="775" spans="1:44" s="41" customFormat="1" ht="12.75" customHeight="1">
      <c r="A775" s="25" t="s">
        <v>17</v>
      </c>
      <c r="B775" s="25" t="str">
        <f t="shared" si="233"/>
        <v>GL283884</v>
      </c>
      <c r="C775" s="638">
        <v>283884</v>
      </c>
      <c r="D775" s="735"/>
      <c r="F775" s="1" t="s">
        <v>524</v>
      </c>
      <c r="H775" s="736">
        <v>0</v>
      </c>
      <c r="I775" s="25"/>
      <c r="J775" s="25"/>
      <c r="K775" s="442" t="str">
        <f t="shared" si="226"/>
        <v/>
      </c>
      <c r="L775" s="736" t="s">
        <v>2466</v>
      </c>
      <c r="M775" s="25" t="str">
        <f t="shared" si="234"/>
        <v>T</v>
      </c>
      <c r="N775" s="25" t="str">
        <f>IF(L775&lt;&gt;"",VLOOKUP(L775,Categories!$B$2:$D$41,2,FALSE),IF(F775&lt;&gt;"","No Cat",""))</f>
        <v>ADIT Sch</v>
      </c>
      <c r="O775" s="25" t="str">
        <f>IF($L775&lt;&gt;"",VLOOKUP($L775,Categories!$B$2:$D$41,3,FALSE),IF($F775&lt;&gt;"","No Cat",""))</f>
        <v>Def Taxes</v>
      </c>
      <c r="P775" s="736" t="s">
        <v>2468</v>
      </c>
      <c r="Q775" s="25" t="str">
        <f>VLOOKUP($P775,Allocators!$B$7:$F$19,5,FALSE)</f>
        <v>Not in Rate Base</v>
      </c>
      <c r="R775" s="737">
        <f>VLOOKUP($P775,Allocators!$B$7:$F$19,2,FALSE)</f>
        <v>0</v>
      </c>
      <c r="S775" s="737">
        <f>VLOOKUP($P775,Allocators!$B$7:$F$19,3,FALSE)</f>
        <v>0</v>
      </c>
      <c r="T775" s="737">
        <f t="shared" si="235"/>
        <v>1</v>
      </c>
      <c r="U775" s="2">
        <f t="shared" si="219"/>
        <v>0</v>
      </c>
      <c r="V775" s="2">
        <f t="shared" si="220"/>
        <v>0</v>
      </c>
      <c r="W775" s="2">
        <f t="shared" si="221"/>
        <v>-1027.8800900000001</v>
      </c>
      <c r="X775" s="2">
        <f t="shared" si="217"/>
        <v>-1027.8800900000001</v>
      </c>
      <c r="Y775" s="2">
        <f t="shared" si="222"/>
        <v>0</v>
      </c>
      <c r="Z775" s="2">
        <f t="shared" si="223"/>
        <v>0</v>
      </c>
      <c r="AA775" s="2">
        <f t="shared" si="224"/>
        <v>-1027.8800900000001</v>
      </c>
      <c r="AB775" s="2">
        <f t="shared" si="218"/>
        <v>-1027.8800899999999</v>
      </c>
      <c r="AC775" s="759">
        <v>-1027.8800899999999</v>
      </c>
      <c r="AD775" s="741">
        <v>-1027.8800899999999</v>
      </c>
      <c r="AE775" s="741">
        <v>-1027.8800899999999</v>
      </c>
      <c r="AF775" s="741">
        <v>-1027.8800899999999</v>
      </c>
      <c r="AG775" s="741">
        <v>-1027.8800899999999</v>
      </c>
      <c r="AH775" s="741">
        <v>-1027.8800899999999</v>
      </c>
      <c r="AI775" s="741">
        <v>-1027.8800899999999</v>
      </c>
      <c r="AJ775" s="741">
        <v>-1027.8800899999999</v>
      </c>
      <c r="AK775" s="741">
        <v>-1027.8800899999999</v>
      </c>
      <c r="AL775" s="741">
        <v>-1027.8800899999999</v>
      </c>
      <c r="AM775" s="741">
        <v>-1027.8800899999999</v>
      </c>
      <c r="AN775" s="741">
        <v>-1027.8800899999999</v>
      </c>
      <c r="AO775" s="741">
        <v>-1027.8800899999999</v>
      </c>
      <c r="AP775" s="41" t="str">
        <f t="shared" ref="AP775:AP838" si="236">CONCATENATE(A775,M775)</f>
        <v>GLT</v>
      </c>
      <c r="AQ775" s="41" t="str">
        <f t="shared" ref="AQ775:AQ838" si="237">CONCATENATE(AP775,L775,H775)</f>
        <v>GLTT0</v>
      </c>
      <c r="AR775" s="41" t="str">
        <f t="shared" ref="AR775:AR838" si="238">CONCATENATE(L775,H775,J775)</f>
        <v>T0</v>
      </c>
    </row>
    <row r="776" spans="1:44" s="41" customFormat="1" ht="12.75" customHeight="1">
      <c r="A776" s="25" t="s">
        <v>17</v>
      </c>
      <c r="B776" s="25" t="str">
        <f t="shared" si="233"/>
        <v>GL283983</v>
      </c>
      <c r="C776" s="638">
        <v>283983</v>
      </c>
      <c r="D776" s="735"/>
      <c r="F776" s="1" t="s">
        <v>524</v>
      </c>
      <c r="H776" s="736">
        <v>0</v>
      </c>
      <c r="I776" s="25"/>
      <c r="J776" s="25"/>
      <c r="K776" s="442" t="str">
        <f t="shared" si="226"/>
        <v/>
      </c>
      <c r="L776" s="736" t="s">
        <v>2466</v>
      </c>
      <c r="M776" s="25" t="str">
        <f t="shared" si="234"/>
        <v>T</v>
      </c>
      <c r="N776" s="25" t="str">
        <f>IF(L776&lt;&gt;"",VLOOKUP(L776,Categories!$B$2:$D$41,2,FALSE),IF(F776&lt;&gt;"","No Cat",""))</f>
        <v>ADIT Sch</v>
      </c>
      <c r="O776" s="25" t="str">
        <f>IF($L776&lt;&gt;"",VLOOKUP($L776,Categories!$B$2:$D$41,3,FALSE),IF($F776&lt;&gt;"","No Cat",""))</f>
        <v>Def Taxes</v>
      </c>
      <c r="P776" s="736" t="s">
        <v>2468</v>
      </c>
      <c r="Q776" s="25" t="str">
        <f>VLOOKUP($P776,Allocators!$B$7:$F$19,5,FALSE)</f>
        <v>Not in Rate Base</v>
      </c>
      <c r="R776" s="737">
        <f>VLOOKUP($P776,Allocators!$B$7:$F$19,2,FALSE)</f>
        <v>0</v>
      </c>
      <c r="S776" s="737">
        <f>VLOOKUP($P776,Allocators!$B$7:$F$19,3,FALSE)</f>
        <v>0</v>
      </c>
      <c r="T776" s="737">
        <f t="shared" si="235"/>
        <v>1</v>
      </c>
      <c r="U776" s="2">
        <f t="shared" si="219"/>
        <v>0</v>
      </c>
      <c r="V776" s="2">
        <f t="shared" si="220"/>
        <v>0</v>
      </c>
      <c r="W776" s="2">
        <f t="shared" si="221"/>
        <v>1613.43091</v>
      </c>
      <c r="X776" s="2">
        <f t="shared" ref="X776:X839" si="239">IF(ISERROR(ROUND((SUM(AC776:AO776)-((AC776+AO776))/2)/12,15)),"",ROUND((SUM(AC776:AO776)-((AC776+AO776))/2)/12,15))</f>
        <v>1613.43091</v>
      </c>
      <c r="Y776" s="2">
        <f t="shared" si="222"/>
        <v>0</v>
      </c>
      <c r="Z776" s="2">
        <f t="shared" si="223"/>
        <v>0</v>
      </c>
      <c r="AA776" s="2">
        <f t="shared" si="224"/>
        <v>847.34690999999998</v>
      </c>
      <c r="AB776" s="2">
        <f t="shared" ref="AB776:AB839" si="240">IF(AO776="",0,+AO776)</f>
        <v>847.34690999999998</v>
      </c>
      <c r="AC776" s="759">
        <v>2518.8029100000003</v>
      </c>
      <c r="AD776" s="741">
        <v>2518.8029100000003</v>
      </c>
      <c r="AE776" s="741">
        <v>2518.8029100000003</v>
      </c>
      <c r="AF776" s="741">
        <v>2518.8029100000003</v>
      </c>
      <c r="AG776" s="741">
        <v>2518.8029100000003</v>
      </c>
      <c r="AH776" s="741">
        <v>2518.8029100000003</v>
      </c>
      <c r="AI776" s="741">
        <v>847.34690999999998</v>
      </c>
      <c r="AJ776" s="741">
        <v>847.34690999999998</v>
      </c>
      <c r="AK776" s="741">
        <v>847.34690999999998</v>
      </c>
      <c r="AL776" s="741">
        <v>847.34690999999998</v>
      </c>
      <c r="AM776" s="741">
        <v>847.34690999999998</v>
      </c>
      <c r="AN776" s="741">
        <v>847.34690999999998</v>
      </c>
      <c r="AO776" s="741">
        <v>847.34690999999998</v>
      </c>
      <c r="AP776" s="41" t="str">
        <f t="shared" si="236"/>
        <v>GLT</v>
      </c>
      <c r="AQ776" s="41" t="str">
        <f t="shared" si="237"/>
        <v>GLTT0</v>
      </c>
      <c r="AR776" s="41" t="str">
        <f t="shared" si="238"/>
        <v>T0</v>
      </c>
    </row>
    <row r="777" spans="1:44" s="41" customFormat="1" ht="12.75" customHeight="1">
      <c r="A777" s="25" t="s">
        <v>17</v>
      </c>
      <c r="B777" s="25" t="str">
        <f t="shared" si="233"/>
        <v>GL283984</v>
      </c>
      <c r="C777" s="638">
        <v>283984</v>
      </c>
      <c r="D777" s="735"/>
      <c r="F777" s="1" t="s">
        <v>739</v>
      </c>
      <c r="H777" s="736">
        <v>0</v>
      </c>
      <c r="I777" s="25"/>
      <c r="J777" s="25"/>
      <c r="K777" s="442" t="str">
        <f t="shared" si="226"/>
        <v/>
      </c>
      <c r="L777" s="736" t="s">
        <v>2466</v>
      </c>
      <c r="M777" s="25" t="str">
        <f t="shared" si="234"/>
        <v>T</v>
      </c>
      <c r="N777" s="25" t="str">
        <f>IF(L777&lt;&gt;"",VLOOKUP(L777,Categories!$B$2:$D$41,2,FALSE),IF(F777&lt;&gt;"","No Cat",""))</f>
        <v>ADIT Sch</v>
      </c>
      <c r="O777" s="25" t="str">
        <f>IF($L777&lt;&gt;"",VLOOKUP($L777,Categories!$B$2:$D$41,3,FALSE),IF($F777&lt;&gt;"","No Cat",""))</f>
        <v>Def Taxes</v>
      </c>
      <c r="P777" s="736" t="s">
        <v>2468</v>
      </c>
      <c r="Q777" s="25" t="str">
        <f>VLOOKUP($P777,Allocators!$B$7:$F$19,5,FALSE)</f>
        <v>Not in Rate Base</v>
      </c>
      <c r="R777" s="737">
        <f>VLOOKUP($P777,Allocators!$B$7:$F$19,2,FALSE)</f>
        <v>0</v>
      </c>
      <c r="S777" s="737">
        <f>VLOOKUP($P777,Allocators!$B$7:$F$19,3,FALSE)</f>
        <v>0</v>
      </c>
      <c r="T777" s="737">
        <f t="shared" si="235"/>
        <v>1</v>
      </c>
      <c r="U777" s="2">
        <f t="shared" si="219"/>
        <v>0</v>
      </c>
      <c r="V777" s="2">
        <f t="shared" si="220"/>
        <v>0</v>
      </c>
      <c r="W777" s="2">
        <f t="shared" si="221"/>
        <v>1027.8800900000001</v>
      </c>
      <c r="X777" s="2">
        <f t="shared" si="239"/>
        <v>1027.8800900000001</v>
      </c>
      <c r="Y777" s="2">
        <f t="shared" si="222"/>
        <v>0</v>
      </c>
      <c r="Z777" s="2">
        <f t="shared" si="223"/>
        <v>0</v>
      </c>
      <c r="AA777" s="2">
        <f t="shared" si="224"/>
        <v>1027.8800900000001</v>
      </c>
      <c r="AB777" s="2">
        <f t="shared" si="240"/>
        <v>1027.8800899999999</v>
      </c>
      <c r="AC777" s="759">
        <v>1027.8800899999999</v>
      </c>
      <c r="AD777" s="741">
        <v>1027.8800899999999</v>
      </c>
      <c r="AE777" s="741">
        <v>1027.8800899999999</v>
      </c>
      <c r="AF777" s="741">
        <v>1027.8800899999999</v>
      </c>
      <c r="AG777" s="741">
        <v>1027.8800899999999</v>
      </c>
      <c r="AH777" s="741">
        <v>1027.8800899999999</v>
      </c>
      <c r="AI777" s="741">
        <v>1027.8800899999999</v>
      </c>
      <c r="AJ777" s="741">
        <v>1027.8800899999999</v>
      </c>
      <c r="AK777" s="741">
        <v>1027.8800899999999</v>
      </c>
      <c r="AL777" s="741">
        <v>1027.8800899999999</v>
      </c>
      <c r="AM777" s="741">
        <v>1027.8800899999999</v>
      </c>
      <c r="AN777" s="741">
        <v>1027.8800899999999</v>
      </c>
      <c r="AO777" s="741">
        <v>1027.8800899999999</v>
      </c>
      <c r="AP777" s="41" t="str">
        <f t="shared" si="236"/>
        <v>GLT</v>
      </c>
      <c r="AQ777" s="41" t="str">
        <f t="shared" si="237"/>
        <v>GLTT0</v>
      </c>
      <c r="AR777" s="41" t="str">
        <f t="shared" si="238"/>
        <v>T0</v>
      </c>
    </row>
    <row r="778" spans="1:44" s="41" customFormat="1" ht="12.75" customHeight="1">
      <c r="A778" s="25" t="s">
        <v>17</v>
      </c>
      <c r="B778" s="25" t="str">
        <f t="shared" si="233"/>
        <v>GL283986</v>
      </c>
      <c r="C778" s="638">
        <v>283986</v>
      </c>
      <c r="D778" s="735"/>
      <c r="F778" s="1" t="s">
        <v>360</v>
      </c>
      <c r="H778" s="736">
        <v>0</v>
      </c>
      <c r="I778" s="25"/>
      <c r="J778" s="25"/>
      <c r="K778" s="442" t="str">
        <f t="shared" si="226"/>
        <v/>
      </c>
      <c r="L778" s="736" t="s">
        <v>2466</v>
      </c>
      <c r="M778" s="25" t="str">
        <f t="shared" si="234"/>
        <v>T</v>
      </c>
      <c r="N778" s="25" t="str">
        <f>IF(L778&lt;&gt;"",VLOOKUP(L778,Categories!$B$2:$D$41,2,FALSE),IF(F778&lt;&gt;"","No Cat",""))</f>
        <v>ADIT Sch</v>
      </c>
      <c r="O778" s="25" t="str">
        <f>IF($L778&lt;&gt;"",VLOOKUP($L778,Categories!$B$2:$D$41,3,FALSE),IF($F778&lt;&gt;"","No Cat",""))</f>
        <v>Def Taxes</v>
      </c>
      <c r="P778" s="736" t="s">
        <v>2468</v>
      </c>
      <c r="Q778" s="25" t="str">
        <f>VLOOKUP($P778,Allocators!$B$7:$F$19,5,FALSE)</f>
        <v>Not in Rate Base</v>
      </c>
      <c r="R778" s="737">
        <f>VLOOKUP($P778,Allocators!$B$7:$F$19,2,FALSE)</f>
        <v>0</v>
      </c>
      <c r="S778" s="737">
        <f>VLOOKUP($P778,Allocators!$B$7:$F$19,3,FALSE)</f>
        <v>0</v>
      </c>
      <c r="T778" s="737">
        <f t="shared" si="235"/>
        <v>1</v>
      </c>
      <c r="U778" s="2" t="str">
        <f t="shared" si="219"/>
        <v/>
      </c>
      <c r="V778" s="2" t="str">
        <f t="shared" si="220"/>
        <v/>
      </c>
      <c r="W778" s="2" t="str">
        <f t="shared" si="221"/>
        <v/>
      </c>
      <c r="X778" s="2">
        <f t="shared" si="239"/>
        <v>0</v>
      </c>
      <c r="Y778" s="2" t="str">
        <f t="shared" si="222"/>
        <v/>
      </c>
      <c r="Z778" s="2" t="str">
        <f t="shared" si="223"/>
        <v/>
      </c>
      <c r="AA778" s="2" t="str">
        <f t="shared" si="224"/>
        <v/>
      </c>
      <c r="AB778" s="2">
        <f t="shared" si="240"/>
        <v>0</v>
      </c>
      <c r="AC778" s="759">
        <v>0</v>
      </c>
      <c r="AD778" s="741">
        <v>0</v>
      </c>
      <c r="AE778" s="741">
        <v>0</v>
      </c>
      <c r="AF778" s="741">
        <v>0</v>
      </c>
      <c r="AG778" s="741">
        <v>0</v>
      </c>
      <c r="AH778" s="741">
        <v>0</v>
      </c>
      <c r="AI778" s="741">
        <v>0</v>
      </c>
      <c r="AJ778" s="741">
        <v>0</v>
      </c>
      <c r="AK778" s="741">
        <v>0</v>
      </c>
      <c r="AL778" s="741">
        <v>0</v>
      </c>
      <c r="AM778" s="741">
        <v>0</v>
      </c>
      <c r="AN778" s="741">
        <v>0</v>
      </c>
      <c r="AO778" s="741">
        <v>0</v>
      </c>
      <c r="AP778" s="41" t="str">
        <f t="shared" si="236"/>
        <v>GLT</v>
      </c>
      <c r="AQ778" s="41" t="str">
        <f t="shared" si="237"/>
        <v>GLTT0</v>
      </c>
      <c r="AR778" s="41" t="str">
        <f t="shared" si="238"/>
        <v>T0</v>
      </c>
    </row>
    <row r="779" spans="1:44" s="41" customFormat="1" ht="12.75" customHeight="1">
      <c r="A779" s="25" t="s">
        <v>17</v>
      </c>
      <c r="B779" s="25" t="str">
        <f t="shared" si="233"/>
        <v>GL283987</v>
      </c>
      <c r="C779" s="638">
        <v>283987</v>
      </c>
      <c r="D779" s="735"/>
      <c r="F779" s="1" t="s">
        <v>362</v>
      </c>
      <c r="H779" s="736">
        <v>0</v>
      </c>
      <c r="I779" s="25"/>
      <c r="J779" s="25"/>
      <c r="K779" s="442" t="str">
        <f t="shared" si="226"/>
        <v/>
      </c>
      <c r="L779" s="736" t="s">
        <v>2466</v>
      </c>
      <c r="M779" s="25" t="str">
        <f t="shared" si="234"/>
        <v>T</v>
      </c>
      <c r="N779" s="25" t="str">
        <f>IF(L779&lt;&gt;"",VLOOKUP(L779,Categories!$B$2:$D$41,2,FALSE),IF(F779&lt;&gt;"","No Cat",""))</f>
        <v>ADIT Sch</v>
      </c>
      <c r="O779" s="25" t="str">
        <f>IF($L779&lt;&gt;"",VLOOKUP($L779,Categories!$B$2:$D$41,3,FALSE),IF($F779&lt;&gt;"","No Cat",""))</f>
        <v>Def Taxes</v>
      </c>
      <c r="P779" s="736" t="s">
        <v>2468</v>
      </c>
      <c r="Q779" s="25" t="str">
        <f>VLOOKUP($P779,Allocators!$B$7:$F$19,5,FALSE)</f>
        <v>Not in Rate Base</v>
      </c>
      <c r="R779" s="737">
        <f>VLOOKUP($P779,Allocators!$B$7:$F$19,2,FALSE)</f>
        <v>0</v>
      </c>
      <c r="S779" s="737">
        <f>VLOOKUP($P779,Allocators!$B$7:$F$19,3,FALSE)</f>
        <v>0</v>
      </c>
      <c r="T779" s="737">
        <f t="shared" si="235"/>
        <v>1</v>
      </c>
      <c r="U779" s="2" t="str">
        <f t="shared" si="219"/>
        <v/>
      </c>
      <c r="V779" s="2" t="str">
        <f t="shared" si="220"/>
        <v/>
      </c>
      <c r="W779" s="2" t="str">
        <f t="shared" si="221"/>
        <v/>
      </c>
      <c r="X779" s="2">
        <f t="shared" si="239"/>
        <v>0</v>
      </c>
      <c r="Y779" s="2" t="str">
        <f t="shared" si="222"/>
        <v/>
      </c>
      <c r="Z779" s="2" t="str">
        <f t="shared" si="223"/>
        <v/>
      </c>
      <c r="AA779" s="2" t="str">
        <f t="shared" si="224"/>
        <v/>
      </c>
      <c r="AB779" s="2">
        <f t="shared" si="240"/>
        <v>0</v>
      </c>
      <c r="AC779" s="759">
        <v>0</v>
      </c>
      <c r="AD779" s="741">
        <v>0</v>
      </c>
      <c r="AE779" s="741">
        <v>0</v>
      </c>
      <c r="AF779" s="741">
        <v>0</v>
      </c>
      <c r="AG779" s="741">
        <v>0</v>
      </c>
      <c r="AH779" s="741">
        <v>0</v>
      </c>
      <c r="AI779" s="741">
        <v>0</v>
      </c>
      <c r="AJ779" s="741">
        <v>0</v>
      </c>
      <c r="AK779" s="741">
        <v>0</v>
      </c>
      <c r="AL779" s="741">
        <v>0</v>
      </c>
      <c r="AM779" s="741">
        <v>0</v>
      </c>
      <c r="AN779" s="741">
        <v>0</v>
      </c>
      <c r="AO779" s="741">
        <v>0</v>
      </c>
      <c r="AP779" s="41" t="str">
        <f t="shared" si="236"/>
        <v>GLT</v>
      </c>
      <c r="AQ779" s="41" t="str">
        <f t="shared" si="237"/>
        <v>GLTT0</v>
      </c>
      <c r="AR779" s="41" t="str">
        <f t="shared" si="238"/>
        <v>T0</v>
      </c>
    </row>
    <row r="780" spans="1:44" s="41" customFormat="1" ht="12.75" customHeight="1">
      <c r="A780" s="25" t="s">
        <v>17</v>
      </c>
      <c r="B780" s="25" t="str">
        <f t="shared" si="233"/>
        <v>GL283988</v>
      </c>
      <c r="C780" s="638">
        <v>283988</v>
      </c>
      <c r="D780" s="735"/>
      <c r="F780" s="1" t="s">
        <v>361</v>
      </c>
      <c r="H780" s="736">
        <v>0</v>
      </c>
      <c r="I780" s="25"/>
      <c r="J780" s="25"/>
      <c r="K780" s="442" t="str">
        <f t="shared" si="226"/>
        <v/>
      </c>
      <c r="L780" s="736" t="s">
        <v>2466</v>
      </c>
      <c r="M780" s="25" t="str">
        <f t="shared" si="234"/>
        <v>T</v>
      </c>
      <c r="N780" s="25" t="str">
        <f>IF(L780&lt;&gt;"",VLOOKUP(L780,Categories!$B$2:$D$41,2,FALSE),IF(F780&lt;&gt;"","No Cat",""))</f>
        <v>ADIT Sch</v>
      </c>
      <c r="O780" s="25" t="str">
        <f>IF($L780&lt;&gt;"",VLOOKUP($L780,Categories!$B$2:$D$41,3,FALSE),IF($F780&lt;&gt;"","No Cat",""))</f>
        <v>Def Taxes</v>
      </c>
      <c r="P780" s="736" t="s">
        <v>2468</v>
      </c>
      <c r="Q780" s="25" t="str">
        <f>VLOOKUP($P780,Allocators!$B$7:$F$19,5,FALSE)</f>
        <v>Not in Rate Base</v>
      </c>
      <c r="R780" s="737">
        <f>VLOOKUP($P780,Allocators!$B$7:$F$19,2,FALSE)</f>
        <v>0</v>
      </c>
      <c r="S780" s="737">
        <f>VLOOKUP($P780,Allocators!$B$7:$F$19,3,FALSE)</f>
        <v>0</v>
      </c>
      <c r="T780" s="737">
        <f t="shared" si="235"/>
        <v>1</v>
      </c>
      <c r="U780" s="2" t="str">
        <f t="shared" ref="U780:U843" si="241">IF(ABS(X780)=0,"",IF($R780="NO ALLOC","NO ALLOC",ROUND($R780*X780,15)))</f>
        <v/>
      </c>
      <c r="V780" s="2" t="str">
        <f t="shared" ref="V780:V843" si="242">IF(ABS(X780)=0,"",IF($S780="NO ALLOC","NO ALLOC",ROUND($S780*X780,15)))</f>
        <v/>
      </c>
      <c r="W780" s="2" t="str">
        <f t="shared" ref="W780:W843" si="243">IF(ABS(X780)=0,"",IF($T780="NO ALLOC","NO ALLOC",ROUND($T780*X780,15)))</f>
        <v/>
      </c>
      <c r="X780" s="2">
        <f t="shared" si="239"/>
        <v>0</v>
      </c>
      <c r="Y780" s="2" t="str">
        <f t="shared" ref="Y780:Y843" si="244">IF(ABS(AB780)=0,"",IF($R780="NO ALLOC","NO ALLOC",ROUND($R780*AB780,15)))</f>
        <v/>
      </c>
      <c r="Z780" s="2" t="str">
        <f t="shared" ref="Z780:Z843" si="245">IF(ABS(AB780)=0,"",IF($S780="NO ALLOC","NO ALLOC",ROUND($S780*AB780,15)))</f>
        <v/>
      </c>
      <c r="AA780" s="2" t="str">
        <f t="shared" ref="AA780:AA843" si="246">IF(ABS(AB780)=0,"",IF($T780="NO ALLOC","NO ALLOC",ROUND($T780*AB780,15)))</f>
        <v/>
      </c>
      <c r="AB780" s="2">
        <f t="shared" si="240"/>
        <v>0</v>
      </c>
      <c r="AC780" s="759">
        <v>0</v>
      </c>
      <c r="AD780" s="741">
        <v>0</v>
      </c>
      <c r="AE780" s="741">
        <v>0</v>
      </c>
      <c r="AF780" s="741">
        <v>0</v>
      </c>
      <c r="AG780" s="741">
        <v>0</v>
      </c>
      <c r="AH780" s="741">
        <v>0</v>
      </c>
      <c r="AI780" s="741">
        <v>0</v>
      </c>
      <c r="AJ780" s="741">
        <v>0</v>
      </c>
      <c r="AK780" s="741">
        <v>0</v>
      </c>
      <c r="AL780" s="741">
        <v>0</v>
      </c>
      <c r="AM780" s="741">
        <v>0</v>
      </c>
      <c r="AN780" s="741">
        <v>0</v>
      </c>
      <c r="AO780" s="741">
        <v>0</v>
      </c>
      <c r="AP780" s="41" t="str">
        <f t="shared" si="236"/>
        <v>GLT</v>
      </c>
      <c r="AQ780" s="41" t="str">
        <f t="shared" si="237"/>
        <v>GLTT0</v>
      </c>
      <c r="AR780" s="41" t="str">
        <f t="shared" si="238"/>
        <v>T0</v>
      </c>
    </row>
    <row r="781" spans="1:44" s="41" customFormat="1" ht="12.75" customHeight="1">
      <c r="A781" s="25" t="s">
        <v>17</v>
      </c>
      <c r="B781" s="25" t="str">
        <f t="shared" si="233"/>
        <v>GL283989</v>
      </c>
      <c r="C781" s="638">
        <v>283989</v>
      </c>
      <c r="D781" s="735"/>
      <c r="F781" s="1" t="s">
        <v>363</v>
      </c>
      <c r="G781" s="41" t="s">
        <v>2770</v>
      </c>
      <c r="H781" s="736">
        <v>0</v>
      </c>
      <c r="I781" s="25"/>
      <c r="J781" s="25"/>
      <c r="K781" s="442" t="str">
        <f t="shared" si="226"/>
        <v/>
      </c>
      <c r="L781" s="736" t="s">
        <v>2466</v>
      </c>
      <c r="M781" s="25" t="str">
        <f t="shared" si="234"/>
        <v>T</v>
      </c>
      <c r="N781" s="25" t="str">
        <f>IF(L781&lt;&gt;"",VLOOKUP(L781,Categories!$B$2:$D$41,2,FALSE),IF(F781&lt;&gt;"","No Cat",""))</f>
        <v>ADIT Sch</v>
      </c>
      <c r="O781" s="25" t="str">
        <f>IF($L781&lt;&gt;"",VLOOKUP($L781,Categories!$B$2:$D$41,3,FALSE),IF($F781&lt;&gt;"","No Cat",""))</f>
        <v>Def Taxes</v>
      </c>
      <c r="P781" s="736" t="s">
        <v>2468</v>
      </c>
      <c r="Q781" s="25" t="str">
        <f>VLOOKUP($P781,Allocators!$B$7:$F$19,5,FALSE)</f>
        <v>Not in Rate Base</v>
      </c>
      <c r="R781" s="737">
        <f>VLOOKUP($P781,Allocators!$B$7:$F$19,2,FALSE)</f>
        <v>0</v>
      </c>
      <c r="S781" s="737">
        <f>VLOOKUP($P781,Allocators!$B$7:$F$19,3,FALSE)</f>
        <v>0</v>
      </c>
      <c r="T781" s="737">
        <f t="shared" si="235"/>
        <v>1</v>
      </c>
      <c r="U781" s="2" t="str">
        <f t="shared" si="241"/>
        <v/>
      </c>
      <c r="V781" s="2" t="str">
        <f t="shared" si="242"/>
        <v/>
      </c>
      <c r="W781" s="2" t="str">
        <f t="shared" si="243"/>
        <v/>
      </c>
      <c r="X781" s="2">
        <f t="shared" si="239"/>
        <v>0</v>
      </c>
      <c r="Y781" s="2" t="str">
        <f t="shared" si="244"/>
        <v/>
      </c>
      <c r="Z781" s="2" t="str">
        <f t="shared" si="245"/>
        <v/>
      </c>
      <c r="AA781" s="2" t="str">
        <f t="shared" si="246"/>
        <v/>
      </c>
      <c r="AB781" s="2">
        <f t="shared" si="240"/>
        <v>0</v>
      </c>
      <c r="AC781" s="759">
        <v>0</v>
      </c>
      <c r="AD781" s="741">
        <v>0</v>
      </c>
      <c r="AE781" s="741">
        <v>0</v>
      </c>
      <c r="AF781" s="741">
        <v>0</v>
      </c>
      <c r="AG781" s="741">
        <v>0</v>
      </c>
      <c r="AH781" s="741">
        <v>0</v>
      </c>
      <c r="AI781" s="741">
        <v>0</v>
      </c>
      <c r="AJ781" s="741">
        <v>0</v>
      </c>
      <c r="AK781" s="741">
        <v>0</v>
      </c>
      <c r="AL781" s="741">
        <v>0</v>
      </c>
      <c r="AM781" s="741">
        <v>0</v>
      </c>
      <c r="AN781" s="741">
        <v>0</v>
      </c>
      <c r="AO781" s="741">
        <v>0</v>
      </c>
      <c r="AP781" s="41" t="str">
        <f t="shared" si="236"/>
        <v>GLT</v>
      </c>
      <c r="AQ781" s="41" t="str">
        <f t="shared" si="237"/>
        <v>GLTT0</v>
      </c>
      <c r="AR781" s="41" t="str">
        <f t="shared" si="238"/>
        <v>T0</v>
      </c>
    </row>
    <row r="782" spans="1:44" s="41" customFormat="1" ht="12.75" customHeight="1">
      <c r="A782" s="442" t="s">
        <v>17</v>
      </c>
      <c r="B782" s="442" t="str">
        <f t="shared" si="233"/>
        <v>GL283990</v>
      </c>
      <c r="C782" s="638">
        <v>283990</v>
      </c>
      <c r="D782" s="735"/>
      <c r="E782" s="626"/>
      <c r="F782" s="441" t="s">
        <v>740</v>
      </c>
      <c r="G782" s="626"/>
      <c r="H782" s="736" t="s">
        <v>8</v>
      </c>
      <c r="I782" s="442"/>
      <c r="J782" s="442"/>
      <c r="K782" s="442" t="str">
        <f t="shared" si="226"/>
        <v>Y</v>
      </c>
      <c r="L782" s="736" t="s">
        <v>2423</v>
      </c>
      <c r="M782" s="442" t="str">
        <f t="shared" si="234"/>
        <v>N</v>
      </c>
      <c r="N782" s="442" t="str">
        <f>IF(L782&lt;&gt;"",VLOOKUP(L782,Categories!$B$2:$D$41,2,FALSE),IF(F782&lt;&gt;"","No Cat",""))</f>
        <v>NRBASE</v>
      </c>
      <c r="O782" s="442" t="str">
        <f>IF($L782&lt;&gt;"",VLOOKUP($L782,Categories!$B$2:$D$41,3,FALSE),IF($F782&lt;&gt;"","No Cat",""))</f>
        <v>SFAS-109   (offsetting)</v>
      </c>
      <c r="P782" s="736" t="s">
        <v>2468</v>
      </c>
      <c r="Q782" s="442" t="str">
        <f>VLOOKUP($P782,Allocators!$B$7:$F$19,5,FALSE)</f>
        <v>Not in Rate Base</v>
      </c>
      <c r="R782" s="737">
        <f>VLOOKUP($P782,Allocators!$B$7:$F$19,2,FALSE)</f>
        <v>0</v>
      </c>
      <c r="S782" s="737">
        <f>VLOOKUP($P782,Allocators!$B$7:$F$19,3,FALSE)</f>
        <v>0</v>
      </c>
      <c r="T782" s="737">
        <f t="shared" si="235"/>
        <v>1</v>
      </c>
      <c r="U782" s="2">
        <f t="shared" si="241"/>
        <v>0</v>
      </c>
      <c r="V782" s="2">
        <f t="shared" si="242"/>
        <v>0</v>
      </c>
      <c r="W782" s="2">
        <f t="shared" si="243"/>
        <v>-14293.493230833299</v>
      </c>
      <c r="X782" s="2">
        <f t="shared" si="239"/>
        <v>-14293.493230833299</v>
      </c>
      <c r="Y782" s="2">
        <f t="shared" si="244"/>
        <v>0</v>
      </c>
      <c r="Z782" s="2">
        <f t="shared" si="245"/>
        <v>0</v>
      </c>
      <c r="AA782" s="2">
        <f t="shared" si="246"/>
        <v>-14117.13018</v>
      </c>
      <c r="AB782" s="2">
        <f t="shared" si="240"/>
        <v>-14117.13018</v>
      </c>
      <c r="AC782" s="759">
        <v>-14828.826720000001</v>
      </c>
      <c r="AD782" s="741">
        <v>-15194.807919999999</v>
      </c>
      <c r="AE782" s="741">
        <v>-14227.93016</v>
      </c>
      <c r="AF782" s="741">
        <v>-14219.83959</v>
      </c>
      <c r="AG782" s="741">
        <v>-14211.703460000001</v>
      </c>
      <c r="AH782" s="741">
        <v>-14203.520980000001</v>
      </c>
      <c r="AI782" s="741">
        <v>-14195.301650000001</v>
      </c>
      <c r="AJ782" s="741">
        <v>-14187.02925</v>
      </c>
      <c r="AK782" s="741">
        <v>-14178.707339999999</v>
      </c>
      <c r="AL782" s="741">
        <v>-14170.337869999999</v>
      </c>
      <c r="AM782" s="741">
        <v>-14134.119460000002</v>
      </c>
      <c r="AN782" s="741">
        <v>-14125.64264</v>
      </c>
      <c r="AO782" s="741">
        <v>-14117.13018</v>
      </c>
      <c r="AP782" s="41" t="str">
        <f t="shared" si="236"/>
        <v>GLN</v>
      </c>
      <c r="AQ782" s="41" t="str">
        <f t="shared" si="237"/>
        <v>GLNN3SFAS 109</v>
      </c>
      <c r="AR782" s="41" t="str">
        <f t="shared" si="238"/>
        <v>N3SFAS 109</v>
      </c>
    </row>
    <row r="783" spans="1:44" s="41" customFormat="1" ht="12.75" customHeight="1">
      <c r="A783" s="442" t="s">
        <v>17</v>
      </c>
      <c r="B783" s="442" t="str">
        <f t="shared" si="233"/>
        <v>GL283991</v>
      </c>
      <c r="C783" s="638">
        <v>283991</v>
      </c>
      <c r="D783" s="735"/>
      <c r="E783" s="626"/>
      <c r="F783" s="441" t="s">
        <v>741</v>
      </c>
      <c r="G783" s="626"/>
      <c r="H783" s="736" t="s">
        <v>8</v>
      </c>
      <c r="I783" s="442"/>
      <c r="J783" s="442"/>
      <c r="K783" s="442" t="str">
        <f t="shared" si="226"/>
        <v>Y</v>
      </c>
      <c r="L783" s="736" t="s">
        <v>2423</v>
      </c>
      <c r="M783" s="442" t="str">
        <f t="shared" si="234"/>
        <v>N</v>
      </c>
      <c r="N783" s="442" t="str">
        <f>IF(L783&lt;&gt;"",VLOOKUP(L783,Categories!$B$2:$D$41,2,FALSE),IF(F783&lt;&gt;"","No Cat",""))</f>
        <v>NRBASE</v>
      </c>
      <c r="O783" s="442" t="str">
        <f>IF($L783&lt;&gt;"",VLOOKUP($L783,Categories!$B$2:$D$41,3,FALSE),IF($F783&lt;&gt;"","No Cat",""))</f>
        <v>SFAS-109   (offsetting)</v>
      </c>
      <c r="P783" s="736" t="s">
        <v>2468</v>
      </c>
      <c r="Q783" s="442" t="str">
        <f>VLOOKUP($P783,Allocators!$B$7:$F$19,5,FALSE)</f>
        <v>Not in Rate Base</v>
      </c>
      <c r="R783" s="737">
        <f>VLOOKUP($P783,Allocators!$B$7:$F$19,2,FALSE)</f>
        <v>0</v>
      </c>
      <c r="S783" s="737">
        <f>VLOOKUP($P783,Allocators!$B$7:$F$19,3,FALSE)</f>
        <v>0</v>
      </c>
      <c r="T783" s="737">
        <f t="shared" si="235"/>
        <v>1</v>
      </c>
      <c r="U783" s="2">
        <f t="shared" si="241"/>
        <v>0</v>
      </c>
      <c r="V783" s="2">
        <f t="shared" si="242"/>
        <v>0</v>
      </c>
      <c r="W783" s="2">
        <f t="shared" si="243"/>
        <v>14293.493230833299</v>
      </c>
      <c r="X783" s="2">
        <f t="shared" si="239"/>
        <v>14293.493230833299</v>
      </c>
      <c r="Y783" s="2">
        <f t="shared" si="244"/>
        <v>0</v>
      </c>
      <c r="Z783" s="2">
        <f t="shared" si="245"/>
        <v>0</v>
      </c>
      <c r="AA783" s="2">
        <f t="shared" si="246"/>
        <v>14117.13018</v>
      </c>
      <c r="AB783" s="2">
        <f t="shared" si="240"/>
        <v>14117.13018</v>
      </c>
      <c r="AC783" s="759">
        <v>14828.826720000001</v>
      </c>
      <c r="AD783" s="741">
        <v>15194.807919999999</v>
      </c>
      <c r="AE783" s="741">
        <v>14227.93016</v>
      </c>
      <c r="AF783" s="741">
        <v>14219.83959</v>
      </c>
      <c r="AG783" s="741">
        <v>14211.703460000001</v>
      </c>
      <c r="AH783" s="741">
        <v>14203.520980000001</v>
      </c>
      <c r="AI783" s="741">
        <v>14195.301650000001</v>
      </c>
      <c r="AJ783" s="741">
        <v>14187.02925</v>
      </c>
      <c r="AK783" s="741">
        <v>14178.707339999999</v>
      </c>
      <c r="AL783" s="741">
        <v>14170.337869999999</v>
      </c>
      <c r="AM783" s="741">
        <v>14134.119460000002</v>
      </c>
      <c r="AN783" s="741">
        <v>14125.64264</v>
      </c>
      <c r="AO783" s="741">
        <v>14117.13018</v>
      </c>
      <c r="AP783" s="41" t="str">
        <f t="shared" si="236"/>
        <v>GLN</v>
      </c>
      <c r="AQ783" s="41" t="str">
        <f t="shared" si="237"/>
        <v>GLNN3SFAS 109</v>
      </c>
      <c r="AR783" s="41" t="str">
        <f t="shared" si="238"/>
        <v>N3SFAS 109</v>
      </c>
    </row>
    <row r="784" spans="1:44" s="41" customFormat="1" ht="12.75" customHeight="1">
      <c r="A784" s="442" t="s">
        <v>17</v>
      </c>
      <c r="B784" s="442" t="str">
        <f t="shared" si="233"/>
        <v>GL283992</v>
      </c>
      <c r="C784" s="638">
        <v>283992</v>
      </c>
      <c r="D784" s="735"/>
      <c r="E784" s="626"/>
      <c r="F784" s="441" t="s">
        <v>742</v>
      </c>
      <c r="G784" s="626"/>
      <c r="H784" s="736" t="s">
        <v>8</v>
      </c>
      <c r="I784" s="442"/>
      <c r="J784" s="442"/>
      <c r="K784" s="442" t="str">
        <f t="shared" si="226"/>
        <v>Y</v>
      </c>
      <c r="L784" s="736" t="s">
        <v>2423</v>
      </c>
      <c r="M784" s="442" t="str">
        <f t="shared" si="234"/>
        <v>N</v>
      </c>
      <c r="N784" s="442" t="str">
        <f>IF(L784&lt;&gt;"",VLOOKUP(L784,Categories!$B$2:$D$41,2,FALSE),IF(F784&lt;&gt;"","No Cat",""))</f>
        <v>NRBASE</v>
      </c>
      <c r="O784" s="442" t="str">
        <f>IF($L784&lt;&gt;"",VLOOKUP($L784,Categories!$B$2:$D$41,3,FALSE),IF($F784&lt;&gt;"","No Cat",""))</f>
        <v>SFAS-109   (offsetting)</v>
      </c>
      <c r="P784" s="736" t="s">
        <v>2468</v>
      </c>
      <c r="Q784" s="442" t="str">
        <f>VLOOKUP($P784,Allocators!$B$7:$F$19,5,FALSE)</f>
        <v>Not in Rate Base</v>
      </c>
      <c r="R784" s="737">
        <f>VLOOKUP($P784,Allocators!$B$7:$F$19,2,FALSE)</f>
        <v>0</v>
      </c>
      <c r="S784" s="737">
        <f>VLOOKUP($P784,Allocators!$B$7:$F$19,3,FALSE)</f>
        <v>0</v>
      </c>
      <c r="T784" s="737">
        <f t="shared" si="235"/>
        <v>1</v>
      </c>
      <c r="U784" s="2" t="str">
        <f t="shared" si="241"/>
        <v/>
      </c>
      <c r="V784" s="2" t="str">
        <f t="shared" si="242"/>
        <v/>
      </c>
      <c r="W784" s="2" t="str">
        <f t="shared" si="243"/>
        <v/>
      </c>
      <c r="X784" s="2">
        <f t="shared" si="239"/>
        <v>0</v>
      </c>
      <c r="Y784" s="2" t="str">
        <f t="shared" si="244"/>
        <v/>
      </c>
      <c r="Z784" s="2" t="str">
        <f t="shared" si="245"/>
        <v/>
      </c>
      <c r="AA784" s="2" t="str">
        <f t="shared" si="246"/>
        <v/>
      </c>
      <c r="AB784" s="2">
        <f t="shared" si="240"/>
        <v>0</v>
      </c>
      <c r="AC784" s="759">
        <v>0</v>
      </c>
      <c r="AD784" s="741">
        <v>0</v>
      </c>
      <c r="AE784" s="741">
        <v>0</v>
      </c>
      <c r="AF784" s="741">
        <v>0</v>
      </c>
      <c r="AG784" s="741">
        <v>0</v>
      </c>
      <c r="AH784" s="741">
        <v>0</v>
      </c>
      <c r="AI784" s="741">
        <v>0</v>
      </c>
      <c r="AJ784" s="741">
        <v>0</v>
      </c>
      <c r="AK784" s="741">
        <v>0</v>
      </c>
      <c r="AL784" s="741">
        <v>0</v>
      </c>
      <c r="AM784" s="741">
        <v>0</v>
      </c>
      <c r="AN784" s="741">
        <v>0</v>
      </c>
      <c r="AO784" s="741">
        <v>0</v>
      </c>
      <c r="AP784" s="41" t="str">
        <f t="shared" si="236"/>
        <v>GLN</v>
      </c>
      <c r="AQ784" s="41" t="str">
        <f t="shared" si="237"/>
        <v>GLNN3SFAS 109</v>
      </c>
      <c r="AR784" s="41" t="str">
        <f t="shared" si="238"/>
        <v>N3SFAS 109</v>
      </c>
    </row>
    <row r="785" spans="1:89" s="41" customFormat="1" ht="12.75" customHeight="1">
      <c r="A785" s="442" t="s">
        <v>17</v>
      </c>
      <c r="B785" s="442" t="str">
        <f t="shared" si="233"/>
        <v>GL283993</v>
      </c>
      <c r="C785" s="638">
        <v>283993</v>
      </c>
      <c r="D785" s="735"/>
      <c r="E785" s="626"/>
      <c r="F785" s="441" t="s">
        <v>743</v>
      </c>
      <c r="G785" s="626"/>
      <c r="H785" s="736" t="s">
        <v>8</v>
      </c>
      <c r="I785" s="442"/>
      <c r="J785" s="442"/>
      <c r="K785" s="442" t="str">
        <f t="shared" si="226"/>
        <v>Y</v>
      </c>
      <c r="L785" s="736" t="s">
        <v>2423</v>
      </c>
      <c r="M785" s="442" t="str">
        <f t="shared" si="234"/>
        <v>N</v>
      </c>
      <c r="N785" s="442" t="str">
        <f>IF(L785&lt;&gt;"",VLOOKUP(L785,Categories!$B$2:$D$41,2,FALSE),IF(F785&lt;&gt;"","No Cat",""))</f>
        <v>NRBASE</v>
      </c>
      <c r="O785" s="442" t="str">
        <f>IF($L785&lt;&gt;"",VLOOKUP($L785,Categories!$B$2:$D$41,3,FALSE),IF($F785&lt;&gt;"","No Cat",""))</f>
        <v>SFAS-109   (offsetting)</v>
      </c>
      <c r="P785" s="736" t="s">
        <v>2468</v>
      </c>
      <c r="Q785" s="442" t="str">
        <f>VLOOKUP($P785,Allocators!$B$7:$F$19,5,FALSE)</f>
        <v>Not in Rate Base</v>
      </c>
      <c r="R785" s="737">
        <f>VLOOKUP($P785,Allocators!$B$7:$F$19,2,FALSE)</f>
        <v>0</v>
      </c>
      <c r="S785" s="737">
        <f>VLOOKUP($P785,Allocators!$B$7:$F$19,3,FALSE)</f>
        <v>0</v>
      </c>
      <c r="T785" s="737">
        <f t="shared" si="235"/>
        <v>1</v>
      </c>
      <c r="U785" s="2" t="str">
        <f t="shared" si="241"/>
        <v/>
      </c>
      <c r="V785" s="2" t="str">
        <f t="shared" si="242"/>
        <v/>
      </c>
      <c r="W785" s="2" t="str">
        <f t="shared" si="243"/>
        <v/>
      </c>
      <c r="X785" s="2">
        <f t="shared" si="239"/>
        <v>0</v>
      </c>
      <c r="Y785" s="2" t="str">
        <f t="shared" si="244"/>
        <v/>
      </c>
      <c r="Z785" s="2" t="str">
        <f t="shared" si="245"/>
        <v/>
      </c>
      <c r="AA785" s="2" t="str">
        <f t="shared" si="246"/>
        <v/>
      </c>
      <c r="AB785" s="2">
        <f t="shared" si="240"/>
        <v>0</v>
      </c>
      <c r="AC785" s="759">
        <v>0</v>
      </c>
      <c r="AD785" s="741">
        <v>0</v>
      </c>
      <c r="AE785" s="741">
        <v>0</v>
      </c>
      <c r="AF785" s="741">
        <v>0</v>
      </c>
      <c r="AG785" s="741">
        <v>0</v>
      </c>
      <c r="AH785" s="741">
        <v>0</v>
      </c>
      <c r="AI785" s="741">
        <v>0</v>
      </c>
      <c r="AJ785" s="741">
        <v>0</v>
      </c>
      <c r="AK785" s="741">
        <v>0</v>
      </c>
      <c r="AL785" s="741">
        <v>0</v>
      </c>
      <c r="AM785" s="741">
        <v>0</v>
      </c>
      <c r="AN785" s="741">
        <v>0</v>
      </c>
      <c r="AO785" s="741">
        <v>0</v>
      </c>
      <c r="AP785" s="41" t="str">
        <f t="shared" si="236"/>
        <v>GLN</v>
      </c>
      <c r="AQ785" s="41" t="str">
        <f t="shared" si="237"/>
        <v>GLNN3SFAS 109</v>
      </c>
      <c r="AR785" s="41" t="str">
        <f t="shared" si="238"/>
        <v>N3SFAS 109</v>
      </c>
    </row>
    <row r="786" spans="1:89" s="41" customFormat="1" ht="12.75" customHeight="1">
      <c r="A786" s="442" t="s">
        <v>17</v>
      </c>
      <c r="B786" s="442" t="str">
        <f t="shared" si="233"/>
        <v>GL299999</v>
      </c>
      <c r="C786" s="638">
        <v>299999</v>
      </c>
      <c r="D786" s="735"/>
      <c r="E786" s="626"/>
      <c r="F786" s="441" t="s">
        <v>744</v>
      </c>
      <c r="G786" s="626"/>
      <c r="H786" s="736">
        <v>0</v>
      </c>
      <c r="I786" s="442"/>
      <c r="J786" s="442"/>
      <c r="K786" s="442" t="str">
        <f t="shared" si="226"/>
        <v/>
      </c>
      <c r="L786" s="736" t="s">
        <v>2421</v>
      </c>
      <c r="M786" s="442" t="str">
        <f t="shared" si="234"/>
        <v>N</v>
      </c>
      <c r="N786" s="442" t="str">
        <f>IF(L786&lt;&gt;"",VLOOKUP(L786,Categories!$B$2:$D$41,2,FALSE),IF(F786&lt;&gt;"","No Cat",""))</f>
        <v>NRBASE</v>
      </c>
      <c r="O786" s="442" t="str">
        <f>IF($L786&lt;&gt;"",VLOOKUP($L786,Categories!$B$2:$D$41,3,FALSE),IF($F786&lt;&gt;"","No Cat",""))</f>
        <v>Direct Assign Items Not in RB</v>
      </c>
      <c r="P786" s="736" t="s">
        <v>2468</v>
      </c>
      <c r="Q786" s="442" t="str">
        <f>VLOOKUP($P786,Allocators!$B$7:$F$19,5,FALSE)</f>
        <v>Not in Rate Base</v>
      </c>
      <c r="R786" s="737">
        <f>VLOOKUP($P786,Allocators!$B$7:$F$19,2,FALSE)</f>
        <v>0</v>
      </c>
      <c r="S786" s="737">
        <f>VLOOKUP($P786,Allocators!$B$7:$F$19,3,FALSE)</f>
        <v>0</v>
      </c>
      <c r="T786" s="737">
        <f t="shared" si="235"/>
        <v>1</v>
      </c>
      <c r="U786" s="2" t="str">
        <f t="shared" si="241"/>
        <v/>
      </c>
      <c r="V786" s="2" t="str">
        <f t="shared" si="242"/>
        <v/>
      </c>
      <c r="W786" s="2" t="str">
        <f t="shared" si="243"/>
        <v/>
      </c>
      <c r="X786" s="2">
        <f t="shared" si="239"/>
        <v>0</v>
      </c>
      <c r="Y786" s="2" t="str">
        <f t="shared" si="244"/>
        <v/>
      </c>
      <c r="Z786" s="2" t="str">
        <f t="shared" si="245"/>
        <v/>
      </c>
      <c r="AA786" s="2" t="str">
        <f t="shared" si="246"/>
        <v/>
      </c>
      <c r="AB786" s="2">
        <f t="shared" si="240"/>
        <v>0</v>
      </c>
      <c r="AC786" s="759">
        <v>0</v>
      </c>
      <c r="AD786" s="741">
        <v>0</v>
      </c>
      <c r="AE786" s="741">
        <v>0</v>
      </c>
      <c r="AF786" s="741">
        <v>0</v>
      </c>
      <c r="AG786" s="741">
        <v>0</v>
      </c>
      <c r="AH786" s="741">
        <v>0</v>
      </c>
      <c r="AI786" s="741">
        <v>0</v>
      </c>
      <c r="AJ786" s="741">
        <v>0</v>
      </c>
      <c r="AK786" s="741">
        <v>0</v>
      </c>
      <c r="AL786" s="741">
        <v>0</v>
      </c>
      <c r="AM786" s="741">
        <v>0</v>
      </c>
      <c r="AN786" s="741">
        <v>0</v>
      </c>
      <c r="AO786" s="741">
        <v>0</v>
      </c>
      <c r="AP786" s="41" t="str">
        <f t="shared" si="236"/>
        <v>GLN</v>
      </c>
      <c r="AQ786" s="41" t="str">
        <f t="shared" si="237"/>
        <v>GLNN20</v>
      </c>
      <c r="AR786" s="41" t="str">
        <f t="shared" si="238"/>
        <v>N20</v>
      </c>
    </row>
    <row r="787" spans="1:89" s="41" customFormat="1" ht="12.75" customHeight="1">
      <c r="A787" s="25" t="s">
        <v>17</v>
      </c>
      <c r="B787" s="25" t="str">
        <f t="shared" si="233"/>
        <v>GL800000</v>
      </c>
      <c r="C787" s="638">
        <v>800000</v>
      </c>
      <c r="D787" s="735"/>
      <c r="F787" s="1" t="s">
        <v>745</v>
      </c>
      <c r="H787" s="736">
        <v>0</v>
      </c>
      <c r="I787" s="25"/>
      <c r="J787" s="25"/>
      <c r="K787" s="442" t="str">
        <f t="shared" si="226"/>
        <v/>
      </c>
      <c r="L787" s="736" t="s">
        <v>2403</v>
      </c>
      <c r="M787" s="25" t="str">
        <f t="shared" si="234"/>
        <v>C</v>
      </c>
      <c r="N787" s="25" t="str">
        <f>IF(L787&lt;&gt;"",VLOOKUP(L787,Categories!$B$2:$D$41,2,FALSE),IF(F787&lt;&gt;"","No Cat",""))</f>
        <v>Capitalization</v>
      </c>
      <c r="O787" s="25" t="str">
        <f>IF($L787&lt;&gt;"",VLOOKUP($L787,Categories!$B$2:$D$41,3,FALSE),IF($F787&lt;&gt;"","No Cat",""))</f>
        <v>Common Equity</v>
      </c>
      <c r="P787" s="736" t="s">
        <v>2468</v>
      </c>
      <c r="Q787" s="25" t="str">
        <f>VLOOKUP($P787,Allocators!$B$7:$F$19,5,FALSE)</f>
        <v>Not in Rate Base</v>
      </c>
      <c r="R787" s="737">
        <f>VLOOKUP($P787,Allocators!$B$7:$F$19,2,FALSE)</f>
        <v>0</v>
      </c>
      <c r="S787" s="737">
        <f>VLOOKUP($P787,Allocators!$B$7:$F$19,3,FALSE)</f>
        <v>0</v>
      </c>
      <c r="T787" s="737">
        <f t="shared" si="235"/>
        <v>1</v>
      </c>
      <c r="U787" s="2">
        <f t="shared" si="241"/>
        <v>0</v>
      </c>
      <c r="V787" s="2">
        <f t="shared" si="242"/>
        <v>0</v>
      </c>
      <c r="W787" s="2">
        <f t="shared" si="243"/>
        <v>-44358.318418750001</v>
      </c>
      <c r="X787" s="2">
        <f t="shared" si="239"/>
        <v>-44358.318418750001</v>
      </c>
      <c r="Y787" s="2">
        <f t="shared" si="244"/>
        <v>0</v>
      </c>
      <c r="Z787" s="2">
        <f t="shared" si="245"/>
        <v>0</v>
      </c>
      <c r="AA787" s="2">
        <f t="shared" si="246"/>
        <v>-73061.771859999993</v>
      </c>
      <c r="AB787" s="2">
        <f t="shared" si="240"/>
        <v>-73061.771859999993</v>
      </c>
      <c r="AC787" s="759">
        <v>-73117.181049999999</v>
      </c>
      <c r="AD787" s="741">
        <v>-10414.658439999999</v>
      </c>
      <c r="AE787" s="741">
        <v>-21672.161179999999</v>
      </c>
      <c r="AF787" s="741">
        <v>-33039.119319999998</v>
      </c>
      <c r="AG787" s="741">
        <v>-32772.043460000001</v>
      </c>
      <c r="AH787" s="741">
        <v>-37067.7183</v>
      </c>
      <c r="AI787" s="741">
        <v>-42661.809670000002</v>
      </c>
      <c r="AJ787" s="741">
        <v>-47082.217949999998</v>
      </c>
      <c r="AK787" s="741">
        <v>-52224.194949999997</v>
      </c>
      <c r="AL787" s="741">
        <v>-56627.427009999999</v>
      </c>
      <c r="AM787" s="741">
        <v>-60056.750919999999</v>
      </c>
      <c r="AN787" s="741">
        <v>-65592.243369999997</v>
      </c>
      <c r="AO787" s="741">
        <v>-73061.771859999993</v>
      </c>
      <c r="AP787" s="41" t="str">
        <f t="shared" si="236"/>
        <v>GLC</v>
      </c>
      <c r="AQ787" s="41" t="str">
        <f t="shared" si="237"/>
        <v>GLCC150</v>
      </c>
      <c r="AR787" s="41" t="str">
        <f t="shared" si="238"/>
        <v>C150</v>
      </c>
    </row>
    <row r="788" spans="1:89" s="41" customFormat="1" ht="12.75" customHeight="1">
      <c r="A788" s="25" t="s">
        <v>746</v>
      </c>
      <c r="B788" s="25" t="str">
        <f t="shared" si="233"/>
        <v>Reg Asset18230012A10023BC030235</v>
      </c>
      <c r="C788" s="641">
        <v>182300</v>
      </c>
      <c r="D788" s="698" t="s">
        <v>750</v>
      </c>
      <c r="E788" s="417" t="s">
        <v>747</v>
      </c>
      <c r="F788" s="41" t="str">
        <f>VLOOKUP(C788,$C$7:$F$787,4,FALSE)</f>
        <v>OTH REG ASSETS</v>
      </c>
      <c r="G788" s="41" t="s">
        <v>752</v>
      </c>
      <c r="H788" s="736" t="s">
        <v>809</v>
      </c>
      <c r="I788" s="25"/>
      <c r="J788" s="25" t="str">
        <f t="shared" ref="J788:J789" si="247">IF(L788="N10","Y",IF(L788="N8","Y",""))</f>
        <v/>
      </c>
      <c r="K788" s="442" t="str">
        <f t="shared" si="226"/>
        <v/>
      </c>
      <c r="L788" s="736" t="s">
        <v>2441</v>
      </c>
      <c r="M788" s="25" t="str">
        <f t="shared" si="234"/>
        <v>R</v>
      </c>
      <c r="N788" s="25" t="str">
        <f>IF(L788&lt;&gt;"",VLOOKUP(L788,Categories!$B$2:$D$41,2,FALSE),IF(F788&lt;&gt;"","No Cat",""))</f>
        <v>Rate Base</v>
      </c>
      <c r="O788" s="25" t="str">
        <f>IF($L788&lt;&gt;"",VLOOKUP($L788,Categories!$B$2:$D$41,3,FALSE),IF($F788&lt;&gt;"","No Cat",""))</f>
        <v>Deferred Debits &amp; Credits</v>
      </c>
      <c r="P788" s="736" t="s">
        <v>2485</v>
      </c>
      <c r="Q788" s="25" t="str">
        <f>VLOOKUP($P788,Allocators!$B$7:$F$19,5,FALSE)</f>
        <v>Customers</v>
      </c>
      <c r="R788" s="737">
        <f>VLOOKUP($P788,Allocators!$B$7:$F$19,2,FALSE)</f>
        <v>0.58986531372414497</v>
      </c>
      <c r="S788" s="737">
        <f>VLOOKUP($P788,Allocators!$B$7:$F$19,3,FALSE)</f>
        <v>0.41013468627585503</v>
      </c>
      <c r="T788" s="737" t="str">
        <f t="shared" si="235"/>
        <v>0.0%</v>
      </c>
      <c r="U788" s="2">
        <f t="shared" si="241"/>
        <v>28.515339779890301</v>
      </c>
      <c r="V788" s="2">
        <f t="shared" si="242"/>
        <v>19.826780220109701</v>
      </c>
      <c r="W788" s="2">
        <f t="shared" si="243"/>
        <v>0</v>
      </c>
      <c r="X788" s="2">
        <f t="shared" si="239"/>
        <v>48.342120000000001</v>
      </c>
      <c r="Y788" s="2">
        <f t="shared" si="244"/>
        <v>28.515339779890301</v>
      </c>
      <c r="Z788" s="2">
        <f t="shared" si="245"/>
        <v>19.826780220109701</v>
      </c>
      <c r="AA788" s="2">
        <f t="shared" si="246"/>
        <v>0</v>
      </c>
      <c r="AB788" s="2">
        <f t="shared" si="240"/>
        <v>48.342120000000001</v>
      </c>
      <c r="AC788" s="734">
        <v>48.342120000000001</v>
      </c>
      <c r="AD788" s="625">
        <v>48.342120000000001</v>
      </c>
      <c r="AE788" s="625">
        <v>48.342120000000001</v>
      </c>
      <c r="AF788" s="625">
        <v>48.342120000000001</v>
      </c>
      <c r="AG788" s="625">
        <v>48.342120000000001</v>
      </c>
      <c r="AH788" s="625">
        <v>48.342120000000001</v>
      </c>
      <c r="AI788" s="625">
        <v>48.342120000000001</v>
      </c>
      <c r="AJ788" s="625">
        <v>48.342120000000001</v>
      </c>
      <c r="AK788" s="625">
        <v>48.342120000000001</v>
      </c>
      <c r="AL788" s="625">
        <v>48.342120000000001</v>
      </c>
      <c r="AM788" s="625">
        <v>48.342120000000001</v>
      </c>
      <c r="AN788" s="625">
        <v>48.342120000000001</v>
      </c>
      <c r="AO788" s="625">
        <v>48.342120000000001</v>
      </c>
      <c r="AP788" s="41" t="str">
        <f t="shared" si="236"/>
        <v>Reg AssetR</v>
      </c>
      <c r="AQ788" s="41" t="str">
        <f t="shared" si="237"/>
        <v xml:space="preserve">Reg AssetRR10Low Income </v>
      </c>
      <c r="AR788" s="41" t="str">
        <f t="shared" si="238"/>
        <v xml:space="preserve">R10Low Income </v>
      </c>
      <c r="CK788" s="625"/>
    </row>
    <row r="789" spans="1:89" s="41" customFormat="1" ht="12.75" customHeight="1">
      <c r="A789" s="25" t="s">
        <v>746</v>
      </c>
      <c r="B789" s="25" t="str">
        <f t="shared" si="233"/>
        <v>Reg Asset18230012A10024BC030236</v>
      </c>
      <c r="C789" s="641">
        <v>182300</v>
      </c>
      <c r="D789" s="698" t="s">
        <v>751</v>
      </c>
      <c r="E789" s="417" t="s">
        <v>748</v>
      </c>
      <c r="F789" s="41" t="str">
        <f t="shared" ref="F789:F881" si="248">VLOOKUP(C789,$C$7:$F$787,4,FALSE)</f>
        <v>OTH REG ASSETS</v>
      </c>
      <c r="G789" s="41" t="s">
        <v>753</v>
      </c>
      <c r="H789" s="736" t="s">
        <v>809</v>
      </c>
      <c r="I789" s="25"/>
      <c r="J789" s="25" t="str">
        <f t="shared" si="247"/>
        <v/>
      </c>
      <c r="K789" s="442" t="str">
        <f t="shared" si="226"/>
        <v/>
      </c>
      <c r="L789" s="736" t="s">
        <v>2441</v>
      </c>
      <c r="M789" s="25" t="str">
        <f t="shared" si="234"/>
        <v>R</v>
      </c>
      <c r="N789" s="25" t="str">
        <f>IF(L789&lt;&gt;"",VLOOKUP(L789,Categories!$B$2:$D$41,2,FALSE),IF(F789&lt;&gt;"","No Cat",""))</f>
        <v>Rate Base</v>
      </c>
      <c r="O789" s="25" t="str">
        <f>IF($L789&lt;&gt;"",VLOOKUP($L789,Categories!$B$2:$D$41,3,FALSE),IF($F789&lt;&gt;"","No Cat",""))</f>
        <v>Deferred Debits &amp; Credits</v>
      </c>
      <c r="P789" s="736" t="s">
        <v>2485</v>
      </c>
      <c r="Q789" s="25" t="str">
        <f>VLOOKUP($P789,Allocators!$B$7:$F$19,5,FALSE)</f>
        <v>Customers</v>
      </c>
      <c r="R789" s="737">
        <f>VLOOKUP($P789,Allocators!$B$7:$F$19,2,FALSE)</f>
        <v>0.58986531372414497</v>
      </c>
      <c r="S789" s="737">
        <f>VLOOKUP($P789,Allocators!$B$7:$F$19,3,FALSE)</f>
        <v>0.41013468627585503</v>
      </c>
      <c r="T789" s="737" t="str">
        <f t="shared" si="235"/>
        <v>0.0%</v>
      </c>
      <c r="U789" s="2">
        <f t="shared" si="241"/>
        <v>3.0771267874922001</v>
      </c>
      <c r="V789" s="2">
        <f t="shared" si="242"/>
        <v>2.1395332125077999</v>
      </c>
      <c r="W789" s="2">
        <f t="shared" si="243"/>
        <v>0</v>
      </c>
      <c r="X789" s="2">
        <f t="shared" si="239"/>
        <v>5.2166600000000001</v>
      </c>
      <c r="Y789" s="2">
        <f t="shared" si="244"/>
        <v>3.0771267874922001</v>
      </c>
      <c r="Z789" s="2">
        <f t="shared" si="245"/>
        <v>2.1395332125077999</v>
      </c>
      <c r="AA789" s="2">
        <f t="shared" si="246"/>
        <v>0</v>
      </c>
      <c r="AB789" s="2">
        <f t="shared" si="240"/>
        <v>5.2166600000000001</v>
      </c>
      <c r="AC789" s="734">
        <v>5.2166600000000001</v>
      </c>
      <c r="AD789" s="625">
        <v>5.2166600000000001</v>
      </c>
      <c r="AE789" s="625">
        <v>5.2166600000000001</v>
      </c>
      <c r="AF789" s="625">
        <v>5.2166600000000001</v>
      </c>
      <c r="AG789" s="625">
        <v>5.2166600000000001</v>
      </c>
      <c r="AH789" s="625">
        <v>5.2166600000000001</v>
      </c>
      <c r="AI789" s="625">
        <v>5.2166600000000001</v>
      </c>
      <c r="AJ789" s="625">
        <v>5.2166600000000001</v>
      </c>
      <c r="AK789" s="625">
        <v>5.2166600000000001</v>
      </c>
      <c r="AL789" s="625">
        <v>5.2166600000000001</v>
      </c>
      <c r="AM789" s="625">
        <v>5.2166600000000001</v>
      </c>
      <c r="AN789" s="625">
        <v>5.2166600000000001</v>
      </c>
      <c r="AO789" s="625">
        <v>5.2166600000000001</v>
      </c>
      <c r="AP789" s="41" t="str">
        <f t="shared" si="236"/>
        <v>Reg AssetR</v>
      </c>
      <c r="AQ789" s="41" t="str">
        <f t="shared" si="237"/>
        <v xml:space="preserve">Reg AssetRR10Low Income </v>
      </c>
      <c r="AR789" s="41" t="str">
        <f t="shared" si="238"/>
        <v xml:space="preserve">R10Low Income </v>
      </c>
      <c r="CK789" s="625"/>
    </row>
    <row r="790" spans="1:89" s="41" customFormat="1" ht="12.75" customHeight="1">
      <c r="A790" s="442" t="s">
        <v>746</v>
      </c>
      <c r="B790" s="442" t="str">
        <f t="shared" si="233"/>
        <v>Reg Asset182300BC030242</v>
      </c>
      <c r="C790" s="641">
        <v>182300</v>
      </c>
      <c r="D790" s="698"/>
      <c r="E790" s="417" t="s">
        <v>749</v>
      </c>
      <c r="F790" s="626" t="str">
        <f t="shared" si="248"/>
        <v>OTH REG ASSETS</v>
      </c>
      <c r="G790" s="626" t="s">
        <v>754</v>
      </c>
      <c r="H790" s="736" t="s">
        <v>810</v>
      </c>
      <c r="I790" s="442"/>
      <c r="J790" s="442" t="str">
        <f t="shared" ref="J790:J882" si="249">IF(L790="N10","Y",IF(L790="N8","Y",""))</f>
        <v/>
      </c>
      <c r="K790" s="442" t="str">
        <f t="shared" ref="K790:K882" si="250">IF(L790="N3","Y","")</f>
        <v/>
      </c>
      <c r="L790" s="736" t="s">
        <v>2421</v>
      </c>
      <c r="M790" s="442" t="str">
        <f t="shared" si="234"/>
        <v>N</v>
      </c>
      <c r="N790" s="442" t="str">
        <f>IF(L790&lt;&gt;"",VLOOKUP(L790,Categories!$B$2:$D$41,2,FALSE),IF(F790&lt;&gt;"","No Cat",""))</f>
        <v>NRBASE</v>
      </c>
      <c r="O790" s="442" t="str">
        <f>IF($L790&lt;&gt;"",VLOOKUP($L790,Categories!$B$2:$D$41,3,FALSE),IF($F790&lt;&gt;"","No Cat",""))</f>
        <v>Direct Assign Items Not in RB</v>
      </c>
      <c r="P790" s="736" t="s">
        <v>2468</v>
      </c>
      <c r="Q790" s="442" t="str">
        <f>VLOOKUP($P790,Allocators!$B$7:$F$19,5,FALSE)</f>
        <v>Not in Rate Base</v>
      </c>
      <c r="R790" s="737">
        <f>VLOOKUP($P790,Allocators!$B$7:$F$19,2,FALSE)</f>
        <v>0</v>
      </c>
      <c r="S790" s="737">
        <f>VLOOKUP($P790,Allocators!$B$7:$F$19,3,FALSE)</f>
        <v>0</v>
      </c>
      <c r="T790" s="737">
        <f t="shared" si="235"/>
        <v>1</v>
      </c>
      <c r="U790" s="2" t="str">
        <f t="shared" si="241"/>
        <v/>
      </c>
      <c r="V790" s="2" t="str">
        <f t="shared" si="242"/>
        <v/>
      </c>
      <c r="W790" s="2" t="str">
        <f t="shared" si="243"/>
        <v/>
      </c>
      <c r="X790" s="2">
        <f t="shared" si="239"/>
        <v>0</v>
      </c>
      <c r="Y790" s="2" t="str">
        <f t="shared" si="244"/>
        <v/>
      </c>
      <c r="Z790" s="2" t="str">
        <f t="shared" si="245"/>
        <v/>
      </c>
      <c r="AA790" s="2" t="str">
        <f t="shared" si="246"/>
        <v/>
      </c>
      <c r="AB790" s="2">
        <f t="shared" si="240"/>
        <v>0</v>
      </c>
      <c r="AC790" s="625">
        <v>0</v>
      </c>
      <c r="AD790" s="625">
        <v>0</v>
      </c>
      <c r="AE790" s="625">
        <v>0</v>
      </c>
      <c r="AF790" s="625">
        <v>0</v>
      </c>
      <c r="AG790" s="625">
        <v>0</v>
      </c>
      <c r="AH790" s="625">
        <v>0</v>
      </c>
      <c r="AI790" s="38">
        <v>0</v>
      </c>
      <c r="AJ790" s="625">
        <v>0</v>
      </c>
      <c r="AK790" s="625">
        <v>0</v>
      </c>
      <c r="AL790" s="625">
        <v>0</v>
      </c>
      <c r="AM790" s="625">
        <v>0</v>
      </c>
      <c r="AN790" s="625">
        <v>0</v>
      </c>
      <c r="AO790" s="625">
        <v>0</v>
      </c>
      <c r="AP790" s="41" t="str">
        <f t="shared" si="236"/>
        <v>Reg AssetN</v>
      </c>
      <c r="AQ790" s="41" t="str">
        <f t="shared" si="237"/>
        <v>Reg AssetNN2SERP</v>
      </c>
      <c r="AR790" s="41" t="str">
        <f t="shared" si="238"/>
        <v>N2SERP</v>
      </c>
      <c r="CK790" s="625"/>
    </row>
    <row r="791" spans="1:89" s="41" customFormat="1" ht="12.75" customHeight="1">
      <c r="A791" s="25" t="s">
        <v>746</v>
      </c>
      <c r="B791" s="25" t="str">
        <f t="shared" si="233"/>
        <v>Reg Asset18230112A10021BE030237</v>
      </c>
      <c r="C791" s="736">
        <v>182301</v>
      </c>
      <c r="D791" s="738" t="s">
        <v>771</v>
      </c>
      <c r="E791" s="41" t="s">
        <v>755</v>
      </c>
      <c r="F791" s="41" t="str">
        <f t="shared" si="248"/>
        <v>OTHER REGULATORY ASSETS - ELECTRIC</v>
      </c>
      <c r="G791" s="41" t="s">
        <v>787</v>
      </c>
      <c r="H791" s="736" t="s">
        <v>809</v>
      </c>
      <c r="I791" s="25"/>
      <c r="J791" s="25" t="str">
        <f t="shared" si="249"/>
        <v/>
      </c>
      <c r="K791" s="25" t="str">
        <f t="shared" si="250"/>
        <v/>
      </c>
      <c r="L791" s="736" t="s">
        <v>2441</v>
      </c>
      <c r="M791" s="25" t="str">
        <f t="shared" si="234"/>
        <v>R</v>
      </c>
      <c r="N791" s="25" t="str">
        <f>IF(L791&lt;&gt;"",VLOOKUP(L791,Categories!$B$2:$D$41,2,FALSE),IF(F791&lt;&gt;"","No Cat",""))</f>
        <v>Rate Base</v>
      </c>
      <c r="O791" s="25" t="str">
        <f>IF($L791&lt;&gt;"",VLOOKUP($L791,Categories!$B$2:$D$41,3,FALSE),IF($F791&lt;&gt;"","No Cat",""))</f>
        <v>Deferred Debits &amp; Credits</v>
      </c>
      <c r="P791" s="736" t="s">
        <v>2482</v>
      </c>
      <c r="Q791" s="25" t="str">
        <f>VLOOKUP($P791,Allocators!$B$7:$F$19,5,FALSE)</f>
        <v>Electric</v>
      </c>
      <c r="R791" s="737">
        <f>VLOOKUP($P791,Allocators!$B$7:$F$19,2,FALSE)</f>
        <v>1</v>
      </c>
      <c r="S791" s="737">
        <f>VLOOKUP($P791,Allocators!$B$7:$F$19,3,FALSE)</f>
        <v>0</v>
      </c>
      <c r="T791" s="737" t="str">
        <f t="shared" si="235"/>
        <v>0.0%</v>
      </c>
      <c r="U791" s="2">
        <f t="shared" si="241"/>
        <v>95.169979999999995</v>
      </c>
      <c r="V791" s="2">
        <f t="shared" si="242"/>
        <v>0</v>
      </c>
      <c r="W791" s="2">
        <f t="shared" si="243"/>
        <v>0</v>
      </c>
      <c r="X791" s="2">
        <f t="shared" si="239"/>
        <v>95.169979999999995</v>
      </c>
      <c r="Y791" s="2">
        <f t="shared" si="244"/>
        <v>95.169979999999995</v>
      </c>
      <c r="Z791" s="2">
        <f t="shared" si="245"/>
        <v>0</v>
      </c>
      <c r="AA791" s="2">
        <f t="shared" si="246"/>
        <v>0</v>
      </c>
      <c r="AB791" s="2">
        <f t="shared" si="240"/>
        <v>95.169979999999995</v>
      </c>
      <c r="AC791" s="734">
        <v>95.169979999999995</v>
      </c>
      <c r="AD791" s="625">
        <v>95.169979999999995</v>
      </c>
      <c r="AE791" s="625">
        <v>95.169979999999995</v>
      </c>
      <c r="AF791" s="625">
        <v>95.169979999999995</v>
      </c>
      <c r="AG791" s="625">
        <v>95.169979999999995</v>
      </c>
      <c r="AH791" s="625">
        <v>95.169979999999995</v>
      </c>
      <c r="AI791" s="625">
        <v>95.169979999999995</v>
      </c>
      <c r="AJ791" s="625">
        <v>95.169979999999995</v>
      </c>
      <c r="AK791" s="625">
        <v>95.169979999999995</v>
      </c>
      <c r="AL791" s="625">
        <v>95.169979999999995</v>
      </c>
      <c r="AM791" s="625">
        <v>95.169979999999995</v>
      </c>
      <c r="AN791" s="625">
        <v>95.169979999999995</v>
      </c>
      <c r="AO791" s="625">
        <v>95.169979999999995</v>
      </c>
      <c r="AP791" s="41" t="str">
        <f t="shared" si="236"/>
        <v>Reg AssetR</v>
      </c>
      <c r="AQ791" s="41" t="str">
        <f t="shared" si="237"/>
        <v xml:space="preserve">Reg AssetRR10Low Income </v>
      </c>
      <c r="AR791" s="41" t="str">
        <f t="shared" si="238"/>
        <v xml:space="preserve">R10Low Income </v>
      </c>
      <c r="CK791" s="625"/>
    </row>
    <row r="792" spans="1:89" s="41" customFormat="1" ht="12.75" customHeight="1">
      <c r="A792" s="25" t="s">
        <v>746</v>
      </c>
      <c r="B792" s="25" t="str">
        <f t="shared" si="233"/>
        <v>Reg Asset18230112A10019BE030239</v>
      </c>
      <c r="C792" s="736">
        <v>182301</v>
      </c>
      <c r="D792" s="738" t="s">
        <v>772</v>
      </c>
      <c r="E792" s="41" t="s">
        <v>756</v>
      </c>
      <c r="F792" s="41" t="str">
        <f t="shared" si="248"/>
        <v>OTHER REGULATORY ASSETS - ELECTRIC</v>
      </c>
      <c r="G792" s="41" t="s">
        <v>788</v>
      </c>
      <c r="H792" s="736" t="s">
        <v>809</v>
      </c>
      <c r="I792" s="25"/>
      <c r="J792" s="25" t="str">
        <f t="shared" si="249"/>
        <v/>
      </c>
      <c r="K792" s="25" t="str">
        <f t="shared" si="250"/>
        <v/>
      </c>
      <c r="L792" s="736" t="s">
        <v>2441</v>
      </c>
      <c r="M792" s="25" t="str">
        <f t="shared" si="234"/>
        <v>R</v>
      </c>
      <c r="N792" s="25" t="str">
        <f>IF(L792&lt;&gt;"",VLOOKUP(L792,Categories!$B$2:$D$41,2,FALSE),IF(F792&lt;&gt;"","No Cat",""))</f>
        <v>Rate Base</v>
      </c>
      <c r="O792" s="25" t="str">
        <f>IF($L792&lt;&gt;"",VLOOKUP($L792,Categories!$B$2:$D$41,3,FALSE),IF($F792&lt;&gt;"","No Cat",""))</f>
        <v>Deferred Debits &amp; Credits</v>
      </c>
      <c r="P792" s="736" t="s">
        <v>2482</v>
      </c>
      <c r="Q792" s="25" t="str">
        <f>VLOOKUP($P792,Allocators!$B$7:$F$19,5,FALSE)</f>
        <v>Electric</v>
      </c>
      <c r="R792" s="737">
        <f>VLOOKUP($P792,Allocators!$B$7:$F$19,2,FALSE)</f>
        <v>1</v>
      </c>
      <c r="S792" s="737">
        <f>VLOOKUP($P792,Allocators!$B$7:$F$19,3,FALSE)</f>
        <v>0</v>
      </c>
      <c r="T792" s="737" t="str">
        <f t="shared" si="235"/>
        <v>0.0%</v>
      </c>
      <c r="U792" s="2">
        <f t="shared" si="241"/>
        <v>98.435469999999995</v>
      </c>
      <c r="V792" s="2">
        <f t="shared" si="242"/>
        <v>0</v>
      </c>
      <c r="W792" s="2">
        <f t="shared" si="243"/>
        <v>0</v>
      </c>
      <c r="X792" s="2">
        <f t="shared" si="239"/>
        <v>98.435469999999995</v>
      </c>
      <c r="Y792" s="2">
        <f t="shared" si="244"/>
        <v>98.435469999999995</v>
      </c>
      <c r="Z792" s="2">
        <f t="shared" si="245"/>
        <v>0</v>
      </c>
      <c r="AA792" s="2">
        <f t="shared" si="246"/>
        <v>0</v>
      </c>
      <c r="AB792" s="2">
        <f t="shared" si="240"/>
        <v>98.435469999999995</v>
      </c>
      <c r="AC792" s="734">
        <v>98.435469999999995</v>
      </c>
      <c r="AD792" s="625">
        <v>98.435469999999995</v>
      </c>
      <c r="AE792" s="625">
        <v>98.435469999999995</v>
      </c>
      <c r="AF792" s="625">
        <v>98.435469999999995</v>
      </c>
      <c r="AG792" s="625">
        <v>98.435469999999995</v>
      </c>
      <c r="AH792" s="625">
        <v>98.435469999999995</v>
      </c>
      <c r="AI792" s="625">
        <v>98.435469999999995</v>
      </c>
      <c r="AJ792" s="625">
        <v>98.435469999999995</v>
      </c>
      <c r="AK792" s="625">
        <v>98.435469999999995</v>
      </c>
      <c r="AL792" s="625">
        <v>98.435469999999995</v>
      </c>
      <c r="AM792" s="625">
        <v>98.435469999999995</v>
      </c>
      <c r="AN792" s="625">
        <v>98.435469999999995</v>
      </c>
      <c r="AO792" s="625">
        <v>98.435469999999995</v>
      </c>
      <c r="AP792" s="41" t="str">
        <f t="shared" si="236"/>
        <v>Reg AssetR</v>
      </c>
      <c r="AQ792" s="41" t="str">
        <f t="shared" si="237"/>
        <v xml:space="preserve">Reg AssetRR10Low Income </v>
      </c>
      <c r="AR792" s="41" t="str">
        <f t="shared" si="238"/>
        <v xml:space="preserve">R10Low Income </v>
      </c>
      <c r="CK792" s="625"/>
    </row>
    <row r="793" spans="1:89" s="41" customFormat="1" ht="12.75" customHeight="1">
      <c r="A793" s="25" t="s">
        <v>746</v>
      </c>
      <c r="B793" s="25" t="str">
        <f t="shared" si="233"/>
        <v>Reg Asset182301601006BE030245</v>
      </c>
      <c r="C793" s="736">
        <v>182301</v>
      </c>
      <c r="D793" s="738">
        <v>601006</v>
      </c>
      <c r="E793" s="41" t="s">
        <v>757</v>
      </c>
      <c r="F793" s="41" t="str">
        <f t="shared" si="248"/>
        <v>OTHER REGULATORY ASSETS - ELECTRIC</v>
      </c>
      <c r="G793" s="41" t="s">
        <v>789</v>
      </c>
      <c r="H793" s="736" t="s">
        <v>811</v>
      </c>
      <c r="I793" s="25"/>
      <c r="J793" s="25" t="str">
        <f t="shared" si="249"/>
        <v/>
      </c>
      <c r="K793" s="25" t="str">
        <f t="shared" si="250"/>
        <v/>
      </c>
      <c r="L793" s="736" t="s">
        <v>2441</v>
      </c>
      <c r="M793" s="25" t="str">
        <f t="shared" si="234"/>
        <v>R</v>
      </c>
      <c r="N793" s="25" t="str">
        <f>IF(L793&lt;&gt;"",VLOOKUP(L793,Categories!$B$2:$D$41,2,FALSE),IF(F793&lt;&gt;"","No Cat",""))</f>
        <v>Rate Base</v>
      </c>
      <c r="O793" s="25" t="str">
        <f>IF($L793&lt;&gt;"",VLOOKUP($L793,Categories!$B$2:$D$41,3,FALSE),IF($F793&lt;&gt;"","No Cat",""))</f>
        <v>Deferred Debits &amp; Credits</v>
      </c>
      <c r="P793" s="736" t="s">
        <v>2482</v>
      </c>
      <c r="Q793" s="25" t="str">
        <f>VLOOKUP($P793,Allocators!$B$7:$F$19,5,FALSE)</f>
        <v>Electric</v>
      </c>
      <c r="R793" s="737">
        <f>VLOOKUP($P793,Allocators!$B$7:$F$19,2,FALSE)</f>
        <v>1</v>
      </c>
      <c r="S793" s="737">
        <f>VLOOKUP($P793,Allocators!$B$7:$F$19,3,FALSE)</f>
        <v>0</v>
      </c>
      <c r="T793" s="737" t="str">
        <f t="shared" si="235"/>
        <v>0.0%</v>
      </c>
      <c r="U793" s="2" t="str">
        <f t="shared" si="241"/>
        <v/>
      </c>
      <c r="V793" s="2" t="str">
        <f t="shared" si="242"/>
        <v/>
      </c>
      <c r="W793" s="2" t="str">
        <f t="shared" si="243"/>
        <v/>
      </c>
      <c r="X793" s="2">
        <f t="shared" si="239"/>
        <v>0</v>
      </c>
      <c r="Y793" s="2" t="str">
        <f t="shared" si="244"/>
        <v/>
      </c>
      <c r="Z793" s="2" t="str">
        <f t="shared" si="245"/>
        <v/>
      </c>
      <c r="AA793" s="2" t="str">
        <f t="shared" si="246"/>
        <v/>
      </c>
      <c r="AB793" s="2">
        <f t="shared" si="240"/>
        <v>0</v>
      </c>
      <c r="AC793" s="625">
        <v>0</v>
      </c>
      <c r="AD793" s="625">
        <v>0</v>
      </c>
      <c r="AE793" s="625">
        <v>0</v>
      </c>
      <c r="AF793" s="625">
        <v>0</v>
      </c>
      <c r="AG793" s="625">
        <v>0</v>
      </c>
      <c r="AH793" s="625">
        <v>0</v>
      </c>
      <c r="AI793" s="38">
        <v>0</v>
      </c>
      <c r="AJ793" s="625">
        <v>0</v>
      </c>
      <c r="AK793" s="625">
        <v>0</v>
      </c>
      <c r="AL793" s="625">
        <v>0</v>
      </c>
      <c r="AM793" s="625">
        <v>0</v>
      </c>
      <c r="AN793" s="625">
        <v>0</v>
      </c>
      <c r="AO793" s="625">
        <v>0</v>
      </c>
      <c r="AP793" s="41" t="str">
        <f t="shared" si="236"/>
        <v>Reg AssetR</v>
      </c>
      <c r="AQ793" s="41" t="str">
        <f t="shared" si="237"/>
        <v>Reg AssetRR10Retail Access Surcharge</v>
      </c>
      <c r="AR793" s="41" t="str">
        <f t="shared" si="238"/>
        <v>R10Retail Access Surcharge</v>
      </c>
      <c r="CK793" s="625"/>
    </row>
    <row r="794" spans="1:89" s="41" customFormat="1" ht="12.75" customHeight="1">
      <c r="A794" s="25" t="s">
        <v>746</v>
      </c>
      <c r="B794" s="25" t="str">
        <f t="shared" si="233"/>
        <v>Reg Asset182301OPEB EleBE030246</v>
      </c>
      <c r="C794" s="736">
        <v>182301</v>
      </c>
      <c r="D794" s="738" t="s">
        <v>773</v>
      </c>
      <c r="E794" s="41" t="s">
        <v>758</v>
      </c>
      <c r="F794" s="41" t="str">
        <f t="shared" si="248"/>
        <v>OTHER REGULATORY ASSETS - ELECTRIC</v>
      </c>
      <c r="G794" s="41" t="s">
        <v>790</v>
      </c>
      <c r="H794" s="736" t="s">
        <v>812</v>
      </c>
      <c r="I794" s="25"/>
      <c r="J794" s="25" t="str">
        <f t="shared" si="249"/>
        <v/>
      </c>
      <c r="K794" s="25" t="str">
        <f t="shared" si="250"/>
        <v/>
      </c>
      <c r="L794" s="736" t="s">
        <v>2441</v>
      </c>
      <c r="M794" s="25" t="str">
        <f t="shared" si="234"/>
        <v>R</v>
      </c>
      <c r="N794" s="25" t="str">
        <f>IF(L794&lt;&gt;"",VLOOKUP(L794,Categories!$B$2:$D$41,2,FALSE),IF(F794&lt;&gt;"","No Cat",""))</f>
        <v>Rate Base</v>
      </c>
      <c r="O794" s="25" t="str">
        <f>IF($L794&lt;&gt;"",VLOOKUP($L794,Categories!$B$2:$D$41,3,FALSE),IF($F794&lt;&gt;"","No Cat",""))</f>
        <v>Deferred Debits &amp; Credits</v>
      </c>
      <c r="P794" s="736" t="s">
        <v>2482</v>
      </c>
      <c r="Q794" s="25" t="str">
        <f>VLOOKUP($P794,Allocators!$B$7:$F$19,5,FALSE)</f>
        <v>Electric</v>
      </c>
      <c r="R794" s="737">
        <f>VLOOKUP($P794,Allocators!$B$7:$F$19,2,FALSE)</f>
        <v>1</v>
      </c>
      <c r="S794" s="737">
        <f>VLOOKUP($P794,Allocators!$B$7:$F$19,3,FALSE)</f>
        <v>0</v>
      </c>
      <c r="T794" s="737" t="str">
        <f t="shared" si="235"/>
        <v>0.0%</v>
      </c>
      <c r="U794" s="2" t="str">
        <f t="shared" si="241"/>
        <v/>
      </c>
      <c r="V794" s="2" t="str">
        <f t="shared" si="242"/>
        <v/>
      </c>
      <c r="W794" s="2" t="str">
        <f t="shared" si="243"/>
        <v/>
      </c>
      <c r="X794" s="2">
        <f t="shared" si="239"/>
        <v>0</v>
      </c>
      <c r="Y794" s="2" t="str">
        <f t="shared" si="244"/>
        <v/>
      </c>
      <c r="Z794" s="2" t="str">
        <f t="shared" si="245"/>
        <v/>
      </c>
      <c r="AA794" s="2" t="str">
        <f t="shared" si="246"/>
        <v/>
      </c>
      <c r="AB794" s="2">
        <f t="shared" si="240"/>
        <v>0</v>
      </c>
      <c r="AC794" s="625">
        <v>0</v>
      </c>
      <c r="AD794" s="625">
        <v>0</v>
      </c>
      <c r="AE794" s="625">
        <v>0</v>
      </c>
      <c r="AF794" s="625">
        <v>0</v>
      </c>
      <c r="AG794" s="625">
        <v>0</v>
      </c>
      <c r="AH794" s="625">
        <v>0</v>
      </c>
      <c r="AI794" s="38">
        <v>0</v>
      </c>
      <c r="AJ794" s="625">
        <v>0</v>
      </c>
      <c r="AK794" s="625">
        <v>0</v>
      </c>
      <c r="AL794" s="625">
        <v>0</v>
      </c>
      <c r="AM794" s="625">
        <v>0</v>
      </c>
      <c r="AN794" s="625">
        <v>0</v>
      </c>
      <c r="AO794" s="625">
        <v>0</v>
      </c>
      <c r="AP794" s="41" t="str">
        <f t="shared" si="236"/>
        <v>Reg AssetR</v>
      </c>
      <c r="AQ794" s="41" t="str">
        <f t="shared" si="237"/>
        <v>Reg AssetRR10OPEB True-up</v>
      </c>
      <c r="AR794" s="41" t="str">
        <f t="shared" si="238"/>
        <v>R10OPEB True-up</v>
      </c>
      <c r="CK794" s="625"/>
    </row>
    <row r="795" spans="1:89" s="41" customFormat="1" ht="12.75" customHeight="1">
      <c r="A795" s="442" t="s">
        <v>746</v>
      </c>
      <c r="B795" s="442" t="str">
        <f t="shared" si="233"/>
        <v>Reg Asset182301601076-OffsetBE030416</v>
      </c>
      <c r="C795" s="736">
        <v>182301</v>
      </c>
      <c r="D795" s="738" t="s">
        <v>774</v>
      </c>
      <c r="E795" s="626" t="s">
        <v>759</v>
      </c>
      <c r="F795" s="626" t="str">
        <f t="shared" si="248"/>
        <v>OTHER REGULATORY ASSETS - ELECTRIC</v>
      </c>
      <c r="G795" s="626"/>
      <c r="H795" s="736" t="s">
        <v>813</v>
      </c>
      <c r="I795" s="442"/>
      <c r="J795" s="442" t="s">
        <v>7</v>
      </c>
      <c r="K795" s="442" t="str">
        <f t="shared" si="250"/>
        <v/>
      </c>
      <c r="L795" s="736" t="s">
        <v>2436</v>
      </c>
      <c r="M795" s="442" t="str">
        <f t="shared" si="234"/>
        <v>N</v>
      </c>
      <c r="N795" s="442" t="str">
        <f>IF(L795&lt;&gt;"",VLOOKUP(L795,Categories!$B$2:$D$41,2,FALSE),IF(F795&lt;&gt;"","No Cat",""))</f>
        <v>NRBASE</v>
      </c>
      <c r="O795" s="442" t="str">
        <f>IF($L795&lt;&gt;"",VLOOKUP($L795,Categories!$B$2:$D$41,3,FALSE),IF($F795&lt;&gt;"","No Cat",""))</f>
        <v>Deferrals Accruing Non-Cash Return   (other than ASGA)</v>
      </c>
      <c r="P795" s="736" t="s">
        <v>2468</v>
      </c>
      <c r="Q795" s="442" t="str">
        <f>VLOOKUP($P795,Allocators!$B$7:$F$19,5,FALSE)</f>
        <v>Not in Rate Base</v>
      </c>
      <c r="R795" s="737">
        <f>VLOOKUP($P795,Allocators!$B$7:$F$19,2,FALSE)</f>
        <v>0</v>
      </c>
      <c r="S795" s="737">
        <f>VLOOKUP($P795,Allocators!$B$7:$F$19,3,FALSE)</f>
        <v>0</v>
      </c>
      <c r="T795" s="737">
        <f t="shared" si="235"/>
        <v>1</v>
      </c>
      <c r="U795" s="2" t="str">
        <f t="shared" si="241"/>
        <v/>
      </c>
      <c r="V795" s="2" t="str">
        <f t="shared" si="242"/>
        <v/>
      </c>
      <c r="W795" s="2" t="str">
        <f t="shared" si="243"/>
        <v/>
      </c>
      <c r="X795" s="2">
        <f t="shared" si="239"/>
        <v>0</v>
      </c>
      <c r="Y795" s="2" t="str">
        <f t="shared" si="244"/>
        <v/>
      </c>
      <c r="Z795" s="2" t="str">
        <f t="shared" si="245"/>
        <v/>
      </c>
      <c r="AA795" s="2" t="str">
        <f t="shared" si="246"/>
        <v/>
      </c>
      <c r="AB795" s="2">
        <f t="shared" si="240"/>
        <v>0</v>
      </c>
      <c r="AC795" s="625">
        <v>0</v>
      </c>
      <c r="AD795" s="625">
        <v>0</v>
      </c>
      <c r="AE795" s="625">
        <v>0</v>
      </c>
      <c r="AF795" s="625">
        <v>0</v>
      </c>
      <c r="AG795" s="625">
        <v>0</v>
      </c>
      <c r="AH795" s="625">
        <v>0</v>
      </c>
      <c r="AI795" s="38">
        <v>0</v>
      </c>
      <c r="AJ795" s="625">
        <v>0</v>
      </c>
      <c r="AK795" s="625">
        <v>0</v>
      </c>
      <c r="AL795" s="625">
        <v>0</v>
      </c>
      <c r="AM795" s="625">
        <v>0</v>
      </c>
      <c r="AN795" s="625">
        <v>0</v>
      </c>
      <c r="AO795" s="625">
        <v>0</v>
      </c>
      <c r="AP795" s="41" t="str">
        <f t="shared" si="236"/>
        <v>Reg AssetN</v>
      </c>
      <c r="AQ795" s="41" t="str">
        <f t="shared" si="237"/>
        <v>Reg AssetNN10ESM</v>
      </c>
      <c r="AR795" s="41" t="str">
        <f t="shared" si="238"/>
        <v>N10ESMNCR</v>
      </c>
      <c r="CK795" s="625"/>
    </row>
    <row r="796" spans="1:89" s="41" customFormat="1" ht="12.75" customHeight="1">
      <c r="A796" s="25" t="s">
        <v>746</v>
      </c>
      <c r="B796" s="25" t="str">
        <f t="shared" si="233"/>
        <v>Reg Asset182301601007BE030249</v>
      </c>
      <c r="C796" s="736">
        <v>182301</v>
      </c>
      <c r="D796" s="738">
        <v>601007</v>
      </c>
      <c r="E796" s="41" t="s">
        <v>760</v>
      </c>
      <c r="F796" s="41" t="str">
        <f t="shared" si="248"/>
        <v>OTHER REGULATORY ASSETS - ELECTRIC</v>
      </c>
      <c r="G796" s="41" t="s">
        <v>791</v>
      </c>
      <c r="H796" s="736" t="s">
        <v>814</v>
      </c>
      <c r="I796" s="25"/>
      <c r="J796" s="25" t="str">
        <f t="shared" si="249"/>
        <v/>
      </c>
      <c r="K796" s="25" t="str">
        <f t="shared" si="250"/>
        <v/>
      </c>
      <c r="L796" s="736" t="s">
        <v>2441</v>
      </c>
      <c r="M796" s="25" t="str">
        <f t="shared" si="234"/>
        <v>R</v>
      </c>
      <c r="N796" s="25" t="str">
        <f>IF(L796&lt;&gt;"",VLOOKUP(L796,Categories!$B$2:$D$41,2,FALSE),IF(F796&lt;&gt;"","No Cat",""))</f>
        <v>Rate Base</v>
      </c>
      <c r="O796" s="25" t="str">
        <f>IF($L796&lt;&gt;"",VLOOKUP($L796,Categories!$B$2:$D$41,3,FALSE),IF($F796&lt;&gt;"","No Cat",""))</f>
        <v>Deferred Debits &amp; Credits</v>
      </c>
      <c r="P796" s="736" t="s">
        <v>2482</v>
      </c>
      <c r="Q796" s="25" t="str">
        <f>VLOOKUP($P796,Allocators!$B$7:$F$19,5,FALSE)</f>
        <v>Electric</v>
      </c>
      <c r="R796" s="737">
        <f>VLOOKUP($P796,Allocators!$B$7:$F$19,2,FALSE)</f>
        <v>1</v>
      </c>
      <c r="S796" s="737">
        <f>VLOOKUP($P796,Allocators!$B$7:$F$19,3,FALSE)</f>
        <v>0</v>
      </c>
      <c r="T796" s="737" t="str">
        <f t="shared" si="235"/>
        <v>0.0%</v>
      </c>
      <c r="U796" s="2" t="str">
        <f t="shared" si="241"/>
        <v/>
      </c>
      <c r="V796" s="2" t="str">
        <f t="shared" si="242"/>
        <v/>
      </c>
      <c r="W796" s="2" t="str">
        <f t="shared" si="243"/>
        <v/>
      </c>
      <c r="X796" s="2">
        <f t="shared" si="239"/>
        <v>0</v>
      </c>
      <c r="Y796" s="2" t="str">
        <f t="shared" si="244"/>
        <v/>
      </c>
      <c r="Z796" s="2" t="str">
        <f t="shared" si="245"/>
        <v/>
      </c>
      <c r="AA796" s="2" t="str">
        <f t="shared" si="246"/>
        <v/>
      </c>
      <c r="AB796" s="2">
        <f t="shared" si="240"/>
        <v>0</v>
      </c>
      <c r="AC796" s="625">
        <v>0</v>
      </c>
      <c r="AD796" s="625">
        <v>0</v>
      </c>
      <c r="AE796" s="625">
        <v>0</v>
      </c>
      <c r="AF796" s="625">
        <v>0</v>
      </c>
      <c r="AG796" s="625">
        <v>0</v>
      </c>
      <c r="AH796" s="625">
        <v>0</v>
      </c>
      <c r="AI796" s="38">
        <v>0</v>
      </c>
      <c r="AJ796" s="625">
        <v>0</v>
      </c>
      <c r="AK796" s="625">
        <v>0</v>
      </c>
      <c r="AL796" s="625">
        <v>0</v>
      </c>
      <c r="AM796" s="625">
        <v>0</v>
      </c>
      <c r="AN796" s="625">
        <v>0</v>
      </c>
      <c r="AO796" s="625">
        <v>0</v>
      </c>
      <c r="AP796" s="41" t="str">
        <f t="shared" si="236"/>
        <v>Reg AssetR</v>
      </c>
      <c r="AQ796" s="41" t="str">
        <f t="shared" si="237"/>
        <v>Reg AssetRR10IRS Audit - 1998-2001</v>
      </c>
      <c r="AR796" s="41" t="str">
        <f t="shared" si="238"/>
        <v>R10IRS Audit - 1998-2001</v>
      </c>
      <c r="CK796" s="625"/>
    </row>
    <row r="797" spans="1:89" s="41" customFormat="1" ht="12.75" customHeight="1">
      <c r="A797" s="25" t="s">
        <v>746</v>
      </c>
      <c r="B797" s="25" t="str">
        <f t="shared" si="233"/>
        <v>Reg Asset182301601007-ABE030249</v>
      </c>
      <c r="C797" s="736">
        <v>182301</v>
      </c>
      <c r="D797" s="738" t="s">
        <v>775</v>
      </c>
      <c r="E797" s="41" t="s">
        <v>760</v>
      </c>
      <c r="F797" s="41" t="str">
        <f t="shared" si="248"/>
        <v>OTHER REGULATORY ASSETS - ELECTRIC</v>
      </c>
      <c r="G797" s="41" t="s">
        <v>791</v>
      </c>
      <c r="H797" s="736" t="s">
        <v>814</v>
      </c>
      <c r="I797" s="25"/>
      <c r="J797" s="25" t="str">
        <f t="shared" si="249"/>
        <v/>
      </c>
      <c r="K797" s="25" t="str">
        <f t="shared" si="250"/>
        <v/>
      </c>
      <c r="L797" s="736" t="s">
        <v>2441</v>
      </c>
      <c r="M797" s="25" t="str">
        <f t="shared" si="234"/>
        <v>R</v>
      </c>
      <c r="N797" s="25" t="str">
        <f>IF(L797&lt;&gt;"",VLOOKUP(L797,Categories!$B$2:$D$41,2,FALSE),IF(F797&lt;&gt;"","No Cat",""))</f>
        <v>Rate Base</v>
      </c>
      <c r="O797" s="25" t="str">
        <f>IF($L797&lt;&gt;"",VLOOKUP($L797,Categories!$B$2:$D$41,3,FALSE),IF($F797&lt;&gt;"","No Cat",""))</f>
        <v>Deferred Debits &amp; Credits</v>
      </c>
      <c r="P797" s="736" t="s">
        <v>2482</v>
      </c>
      <c r="Q797" s="25" t="str">
        <f>VLOOKUP($P797,Allocators!$B$7:$F$19,5,FALSE)</f>
        <v>Electric</v>
      </c>
      <c r="R797" s="737">
        <f>VLOOKUP($P797,Allocators!$B$7:$F$19,2,FALSE)</f>
        <v>1</v>
      </c>
      <c r="S797" s="737">
        <f>VLOOKUP($P797,Allocators!$B$7:$F$19,3,FALSE)</f>
        <v>0</v>
      </c>
      <c r="T797" s="737" t="str">
        <f t="shared" si="235"/>
        <v>0.0%</v>
      </c>
      <c r="U797" s="2" t="str">
        <f t="shared" si="241"/>
        <v/>
      </c>
      <c r="V797" s="2" t="str">
        <f t="shared" si="242"/>
        <v/>
      </c>
      <c r="W797" s="2" t="str">
        <f t="shared" si="243"/>
        <v/>
      </c>
      <c r="X797" s="2">
        <f t="shared" si="239"/>
        <v>0</v>
      </c>
      <c r="Y797" s="2" t="str">
        <f t="shared" si="244"/>
        <v/>
      </c>
      <c r="Z797" s="2" t="str">
        <f t="shared" si="245"/>
        <v/>
      </c>
      <c r="AA797" s="2" t="str">
        <f t="shared" si="246"/>
        <v/>
      </c>
      <c r="AB797" s="2">
        <f t="shared" si="240"/>
        <v>0</v>
      </c>
      <c r="AC797" s="734">
        <v>0</v>
      </c>
      <c r="AD797" s="625">
        <v>0</v>
      </c>
      <c r="AE797" s="625">
        <v>0</v>
      </c>
      <c r="AF797" s="625">
        <v>0</v>
      </c>
      <c r="AG797" s="625">
        <v>0</v>
      </c>
      <c r="AH797" s="625">
        <v>0</v>
      </c>
      <c r="AI797" s="38">
        <v>0</v>
      </c>
      <c r="AJ797" s="625">
        <v>0</v>
      </c>
      <c r="AK797" s="625">
        <v>0</v>
      </c>
      <c r="AL797" s="625">
        <v>0</v>
      </c>
      <c r="AM797" s="625">
        <v>0</v>
      </c>
      <c r="AN797" s="625">
        <v>0</v>
      </c>
      <c r="AO797" s="625">
        <v>0</v>
      </c>
      <c r="AP797" s="41" t="str">
        <f t="shared" si="236"/>
        <v>Reg AssetR</v>
      </c>
      <c r="AQ797" s="41" t="str">
        <f t="shared" si="237"/>
        <v>Reg AssetRR10IRS Audit - 1998-2001</v>
      </c>
      <c r="AR797" s="41" t="str">
        <f t="shared" si="238"/>
        <v>R10IRS Audit - 1998-2001</v>
      </c>
      <c r="CK797" s="625"/>
    </row>
    <row r="798" spans="1:89" s="41" customFormat="1" ht="12.75" customHeight="1">
      <c r="A798" s="25" t="s">
        <v>746</v>
      </c>
      <c r="B798" s="25" t="str">
        <f t="shared" si="233"/>
        <v>Reg Asset182301601007-LBE030249</v>
      </c>
      <c r="C798" s="736">
        <v>182301</v>
      </c>
      <c r="D798" s="738" t="s">
        <v>776</v>
      </c>
      <c r="E798" s="41" t="s">
        <v>760</v>
      </c>
      <c r="F798" s="41" t="str">
        <f t="shared" si="248"/>
        <v>OTHER REGULATORY ASSETS - ELECTRIC</v>
      </c>
      <c r="G798" s="41" t="s">
        <v>791</v>
      </c>
      <c r="H798" s="736" t="s">
        <v>814</v>
      </c>
      <c r="I798" s="25"/>
      <c r="J798" s="25" t="str">
        <f t="shared" si="249"/>
        <v/>
      </c>
      <c r="K798" s="25" t="str">
        <f t="shared" si="250"/>
        <v/>
      </c>
      <c r="L798" s="736" t="s">
        <v>2441</v>
      </c>
      <c r="M798" s="25" t="str">
        <f t="shared" si="234"/>
        <v>R</v>
      </c>
      <c r="N798" s="25" t="str">
        <f>IF(L798&lt;&gt;"",VLOOKUP(L798,Categories!$B$2:$D$41,2,FALSE),IF(F798&lt;&gt;"","No Cat",""))</f>
        <v>Rate Base</v>
      </c>
      <c r="O798" s="25" t="str">
        <f>IF($L798&lt;&gt;"",VLOOKUP($L798,Categories!$B$2:$D$41,3,FALSE),IF($F798&lt;&gt;"","No Cat",""))</f>
        <v>Deferred Debits &amp; Credits</v>
      </c>
      <c r="P798" s="736" t="s">
        <v>2482</v>
      </c>
      <c r="Q798" s="25" t="str">
        <f>VLOOKUP($P798,Allocators!$B$7:$F$19,5,FALSE)</f>
        <v>Electric</v>
      </c>
      <c r="R798" s="737">
        <f>VLOOKUP($P798,Allocators!$B$7:$F$19,2,FALSE)</f>
        <v>1</v>
      </c>
      <c r="S798" s="737">
        <f>VLOOKUP($P798,Allocators!$B$7:$F$19,3,FALSE)</f>
        <v>0</v>
      </c>
      <c r="T798" s="737" t="str">
        <f t="shared" si="235"/>
        <v>0.0%</v>
      </c>
      <c r="U798" s="2">
        <f t="shared" si="241"/>
        <v>70.105860000000007</v>
      </c>
      <c r="V798" s="2">
        <f t="shared" si="242"/>
        <v>0</v>
      </c>
      <c r="W798" s="2">
        <f t="shared" si="243"/>
        <v>0</v>
      </c>
      <c r="X798" s="2">
        <f t="shared" si="239"/>
        <v>70.105860000000007</v>
      </c>
      <c r="Y798" s="2">
        <f t="shared" si="244"/>
        <v>70.105860000000007</v>
      </c>
      <c r="Z798" s="2">
        <f t="shared" si="245"/>
        <v>0</v>
      </c>
      <c r="AA798" s="2">
        <f t="shared" si="246"/>
        <v>0</v>
      </c>
      <c r="AB798" s="2">
        <f t="shared" si="240"/>
        <v>70.105860000000007</v>
      </c>
      <c r="AC798" s="734">
        <v>70.105860000000007</v>
      </c>
      <c r="AD798" s="625">
        <v>70.105860000000007</v>
      </c>
      <c r="AE798" s="625">
        <v>70.105860000000007</v>
      </c>
      <c r="AF798" s="625">
        <v>70.105860000000007</v>
      </c>
      <c r="AG798" s="625">
        <v>70.105860000000007</v>
      </c>
      <c r="AH798" s="625">
        <v>70.105860000000007</v>
      </c>
      <c r="AI798" s="625">
        <v>70.105860000000007</v>
      </c>
      <c r="AJ798" s="625">
        <v>70.105860000000007</v>
      </c>
      <c r="AK798" s="625">
        <v>70.105860000000007</v>
      </c>
      <c r="AL798" s="625">
        <v>70.105860000000007</v>
      </c>
      <c r="AM798" s="625">
        <v>70.105860000000007</v>
      </c>
      <c r="AN798" s="625">
        <v>70.105860000000007</v>
      </c>
      <c r="AO798" s="625">
        <v>70.105860000000007</v>
      </c>
      <c r="AP798" s="41" t="str">
        <f t="shared" si="236"/>
        <v>Reg AssetR</v>
      </c>
      <c r="AQ798" s="41" t="str">
        <f t="shared" si="237"/>
        <v>Reg AssetRR10IRS Audit - 1998-2001</v>
      </c>
      <c r="AR798" s="41" t="str">
        <f t="shared" si="238"/>
        <v>R10IRS Audit - 1998-2001</v>
      </c>
      <c r="CK798" s="625"/>
    </row>
    <row r="799" spans="1:89" s="41" customFormat="1" ht="12.75" customHeight="1">
      <c r="A799" s="25" t="s">
        <v>746</v>
      </c>
      <c r="B799" s="25" t="str">
        <f t="shared" ref="B799:B892" si="251">CONCATENATE(A799,C799,D799,E799)</f>
        <v>Reg Asset182301601031-ABE030257</v>
      </c>
      <c r="C799" s="736">
        <v>182301</v>
      </c>
      <c r="D799" s="738" t="s">
        <v>777</v>
      </c>
      <c r="E799" s="41" t="s">
        <v>761</v>
      </c>
      <c r="F799" s="41" t="str">
        <f t="shared" si="248"/>
        <v>OTHER REGULATORY ASSETS - ELECTRIC</v>
      </c>
      <c r="G799" s="41" t="s">
        <v>792</v>
      </c>
      <c r="H799" s="736" t="s">
        <v>815</v>
      </c>
      <c r="I799" s="25"/>
      <c r="J799" s="25" t="str">
        <f t="shared" si="249"/>
        <v/>
      </c>
      <c r="K799" s="25" t="str">
        <f t="shared" si="250"/>
        <v/>
      </c>
      <c r="L799" s="736" t="s">
        <v>2441</v>
      </c>
      <c r="M799" s="25" t="str">
        <f t="shared" si="234"/>
        <v>R</v>
      </c>
      <c r="N799" s="25" t="str">
        <f>IF(L799&lt;&gt;"",VLOOKUP(L799,Categories!$B$2:$D$41,2,FALSE),IF(F799&lt;&gt;"","No Cat",""))</f>
        <v>Rate Base</v>
      </c>
      <c r="O799" s="25" t="str">
        <f>IF($L799&lt;&gt;"",VLOOKUP($L799,Categories!$B$2:$D$41,3,FALSE),IF($F799&lt;&gt;"","No Cat",""))</f>
        <v>Deferred Debits &amp; Credits</v>
      </c>
      <c r="P799" s="736" t="s">
        <v>2482</v>
      </c>
      <c r="Q799" s="25" t="str">
        <f>VLOOKUP($P799,Allocators!$B$7:$F$19,5,FALSE)</f>
        <v>Electric</v>
      </c>
      <c r="R799" s="737">
        <f>VLOOKUP($P799,Allocators!$B$7:$F$19,2,FALSE)</f>
        <v>1</v>
      </c>
      <c r="S799" s="737">
        <f>VLOOKUP($P799,Allocators!$B$7:$F$19,3,FALSE)</f>
        <v>0</v>
      </c>
      <c r="T799" s="737" t="str">
        <f t="shared" si="235"/>
        <v>0.0%</v>
      </c>
      <c r="U799" s="2">
        <f t="shared" si="241"/>
        <v>-2.3300000000000002E-13</v>
      </c>
      <c r="V799" s="2">
        <f t="shared" si="242"/>
        <v>0</v>
      </c>
      <c r="W799" s="2">
        <f t="shared" si="243"/>
        <v>0</v>
      </c>
      <c r="X799" s="2">
        <f t="shared" si="239"/>
        <v>-2.3300000000000002E-13</v>
      </c>
      <c r="Y799" s="2">
        <f t="shared" si="244"/>
        <v>-2.3300000000000002E-13</v>
      </c>
      <c r="Z799" s="2">
        <f t="shared" si="245"/>
        <v>0</v>
      </c>
      <c r="AA799" s="2">
        <f t="shared" si="246"/>
        <v>0</v>
      </c>
      <c r="AB799" s="2">
        <f t="shared" si="240"/>
        <v>-2.3283064365386963E-13</v>
      </c>
      <c r="AC799" s="734">
        <v>-2.3283064365386963E-13</v>
      </c>
      <c r="AD799" s="625">
        <v>-2.3283064365386963E-13</v>
      </c>
      <c r="AE799" s="625">
        <v>-2.3283064365386963E-13</v>
      </c>
      <c r="AF799" s="625">
        <v>-2.3283064365386963E-13</v>
      </c>
      <c r="AG799" s="625">
        <v>-2.3283064365386963E-13</v>
      </c>
      <c r="AH799" s="625">
        <v>-2.3283064365386963E-13</v>
      </c>
      <c r="AI799" s="625">
        <v>-2.3283064365386963E-13</v>
      </c>
      <c r="AJ799" s="625">
        <v>-2.3283064365386963E-13</v>
      </c>
      <c r="AK799" s="625">
        <v>-2.3283064365386963E-13</v>
      </c>
      <c r="AL799" s="625">
        <v>-2.3283064365386963E-13</v>
      </c>
      <c r="AM799" s="625">
        <v>-2.3283064365386963E-13</v>
      </c>
      <c r="AN799" s="625">
        <v>-2.3283064365386963E-13</v>
      </c>
      <c r="AO799" s="625">
        <v>-2.3283064365386963E-13</v>
      </c>
      <c r="AP799" s="41" t="str">
        <f t="shared" si="236"/>
        <v>Reg AssetR</v>
      </c>
      <c r="AQ799" s="41" t="str">
        <f t="shared" si="237"/>
        <v>Reg AssetRR10Outreach &amp; Education</v>
      </c>
      <c r="AR799" s="41" t="str">
        <f t="shared" si="238"/>
        <v>R10Outreach &amp; Education</v>
      </c>
      <c r="CK799" s="625"/>
    </row>
    <row r="800" spans="1:89" s="41" customFormat="1" ht="12.75" customHeight="1">
      <c r="A800" s="25" t="s">
        <v>746</v>
      </c>
      <c r="B800" s="25" t="str">
        <f t="shared" si="251"/>
        <v>Reg Asset182301601059BE030403</v>
      </c>
      <c r="C800" s="736">
        <v>182301</v>
      </c>
      <c r="D800" s="738">
        <v>601059</v>
      </c>
      <c r="E800" s="41" t="s">
        <v>762</v>
      </c>
      <c r="F800" s="41" t="str">
        <f t="shared" si="248"/>
        <v>OTHER REGULATORY ASSETS - ELECTRIC</v>
      </c>
      <c r="G800" s="41" t="s">
        <v>793</v>
      </c>
      <c r="H800" s="736" t="s">
        <v>1126</v>
      </c>
      <c r="I800" s="25"/>
      <c r="J800" s="25" t="str">
        <f t="shared" si="249"/>
        <v/>
      </c>
      <c r="K800" s="25" t="str">
        <f t="shared" si="250"/>
        <v/>
      </c>
      <c r="L800" s="736" t="s">
        <v>2441</v>
      </c>
      <c r="M800" s="25" t="str">
        <f t="shared" si="234"/>
        <v>R</v>
      </c>
      <c r="N800" s="25" t="str">
        <f>IF(L800&lt;&gt;"",VLOOKUP(L800,Categories!$B$2:$D$41,2,FALSE),IF(F800&lt;&gt;"","No Cat",""))</f>
        <v>Rate Base</v>
      </c>
      <c r="O800" s="25" t="str">
        <f>IF($L800&lt;&gt;"",VLOOKUP($L800,Categories!$B$2:$D$41,3,FALSE),IF($F800&lt;&gt;"","No Cat",""))</f>
        <v>Deferred Debits &amp; Credits</v>
      </c>
      <c r="P800" s="736" t="s">
        <v>2482</v>
      </c>
      <c r="Q800" s="25" t="str">
        <f>VLOOKUP($P800,Allocators!$B$7:$F$19,5,FALSE)</f>
        <v>Electric</v>
      </c>
      <c r="R800" s="737">
        <f>VLOOKUP($P800,Allocators!$B$7:$F$19,2,FALSE)</f>
        <v>1</v>
      </c>
      <c r="S800" s="737">
        <f>VLOOKUP($P800,Allocators!$B$7:$F$19,3,FALSE)</f>
        <v>0</v>
      </c>
      <c r="T800" s="737" t="str">
        <f t="shared" si="235"/>
        <v>0.0%</v>
      </c>
      <c r="U800" s="2">
        <f t="shared" si="241"/>
        <v>409.65699999999998</v>
      </c>
      <c r="V800" s="2">
        <f t="shared" si="242"/>
        <v>0</v>
      </c>
      <c r="W800" s="2">
        <f t="shared" si="243"/>
        <v>0</v>
      </c>
      <c r="X800" s="2">
        <f t="shared" si="239"/>
        <v>409.65699999999998</v>
      </c>
      <c r="Y800" s="2">
        <f t="shared" si="244"/>
        <v>409.65699999999998</v>
      </c>
      <c r="Z800" s="2">
        <f t="shared" si="245"/>
        <v>0</v>
      </c>
      <c r="AA800" s="2">
        <f t="shared" si="246"/>
        <v>0</v>
      </c>
      <c r="AB800" s="2">
        <f t="shared" si="240"/>
        <v>409.65699999999998</v>
      </c>
      <c r="AC800" s="734">
        <v>409.65699999999998</v>
      </c>
      <c r="AD800" s="625">
        <v>409.65699999999998</v>
      </c>
      <c r="AE800" s="625">
        <v>409.65699999999998</v>
      </c>
      <c r="AF800" s="625">
        <v>409.65699999999998</v>
      </c>
      <c r="AG800" s="625">
        <v>409.65699999999998</v>
      </c>
      <c r="AH800" s="625">
        <v>409.65699999999998</v>
      </c>
      <c r="AI800" s="625">
        <v>409.65699999999998</v>
      </c>
      <c r="AJ800" s="625">
        <v>409.65699999999998</v>
      </c>
      <c r="AK800" s="625">
        <v>409.65699999999998</v>
      </c>
      <c r="AL800" s="625">
        <v>409.65699999999998</v>
      </c>
      <c r="AM800" s="625">
        <v>409.65699999999998</v>
      </c>
      <c r="AN800" s="625">
        <v>409.65699999999998</v>
      </c>
      <c r="AO800" s="625">
        <v>409.65699999999998</v>
      </c>
      <c r="AP800" s="41" t="str">
        <f t="shared" si="236"/>
        <v>Reg AssetR</v>
      </c>
      <c r="AQ800" s="41" t="str">
        <f t="shared" si="237"/>
        <v>Reg AssetRR10NYS Tax Audit</v>
      </c>
      <c r="AR800" s="41" t="str">
        <f t="shared" si="238"/>
        <v>R10NYS Tax Audit</v>
      </c>
      <c r="CK800" s="625"/>
    </row>
    <row r="801" spans="1:89" s="41" customFormat="1" ht="12.75" customHeight="1">
      <c r="A801" s="442" t="s">
        <v>746</v>
      </c>
      <c r="B801" s="442" t="str">
        <f t="shared" si="251"/>
        <v>Reg Asset182301601133/CC/O-U CollBE030581</v>
      </c>
      <c r="C801" s="736">
        <v>182301</v>
      </c>
      <c r="D801" s="738" t="s">
        <v>778</v>
      </c>
      <c r="E801" s="626" t="s">
        <v>763</v>
      </c>
      <c r="F801" s="626" t="str">
        <f t="shared" si="248"/>
        <v>OTHER REGULATORY ASSETS - ELECTRIC</v>
      </c>
      <c r="G801" s="626" t="s">
        <v>794</v>
      </c>
      <c r="H801" s="736" t="s">
        <v>817</v>
      </c>
      <c r="I801" s="442"/>
      <c r="J801" s="442" t="s">
        <v>7</v>
      </c>
      <c r="K801" s="442" t="str">
        <f t="shared" si="250"/>
        <v/>
      </c>
      <c r="L801" s="736" t="s">
        <v>2436</v>
      </c>
      <c r="M801" s="442" t="str">
        <f t="shared" si="234"/>
        <v>N</v>
      </c>
      <c r="N801" s="442" t="str">
        <f>IF(L801&lt;&gt;"",VLOOKUP(L801,Categories!$B$2:$D$41,2,FALSE),IF(F801&lt;&gt;"","No Cat",""))</f>
        <v>NRBASE</v>
      </c>
      <c r="O801" s="442" t="str">
        <f>IF($L801&lt;&gt;"",VLOOKUP($L801,Categories!$B$2:$D$41,3,FALSE),IF($F801&lt;&gt;"","No Cat",""))</f>
        <v>Deferrals Accruing Non-Cash Return   (other than ASGA)</v>
      </c>
      <c r="P801" s="736" t="s">
        <v>2468</v>
      </c>
      <c r="Q801" s="442" t="str">
        <f>VLOOKUP($P801,Allocators!$B$7:$F$19,5,FALSE)</f>
        <v>Not in Rate Base</v>
      </c>
      <c r="R801" s="737">
        <f>VLOOKUP($P801,Allocators!$B$7:$F$19,2,FALSE)</f>
        <v>0</v>
      </c>
      <c r="S801" s="737">
        <f>VLOOKUP($P801,Allocators!$B$7:$F$19,3,FALSE)</f>
        <v>0</v>
      </c>
      <c r="T801" s="737">
        <f t="shared" si="235"/>
        <v>1</v>
      </c>
      <c r="U801" s="2">
        <f t="shared" si="241"/>
        <v>0</v>
      </c>
      <c r="V801" s="2">
        <f t="shared" si="242"/>
        <v>0</v>
      </c>
      <c r="W801" s="2">
        <f t="shared" si="243"/>
        <v>-49.660175000000002</v>
      </c>
      <c r="X801" s="2">
        <f t="shared" si="239"/>
        <v>-49.660175000000002</v>
      </c>
      <c r="Y801" s="2" t="str">
        <f t="shared" si="244"/>
        <v/>
      </c>
      <c r="Z801" s="2" t="str">
        <f t="shared" si="245"/>
        <v/>
      </c>
      <c r="AA801" s="2" t="str">
        <f t="shared" si="246"/>
        <v/>
      </c>
      <c r="AB801" s="2">
        <f t="shared" si="240"/>
        <v>0</v>
      </c>
      <c r="AC801" s="734">
        <v>0</v>
      </c>
      <c r="AD801" s="625">
        <v>0</v>
      </c>
      <c r="AE801" s="625">
        <v>0</v>
      </c>
      <c r="AF801" s="625">
        <v>0</v>
      </c>
      <c r="AG801" s="625">
        <v>0</v>
      </c>
      <c r="AH801" s="625">
        <v>0</v>
      </c>
      <c r="AI801" s="38">
        <v>0</v>
      </c>
      <c r="AJ801" s="625">
        <v>0</v>
      </c>
      <c r="AK801" s="625">
        <v>0</v>
      </c>
      <c r="AL801" s="625">
        <v>0</v>
      </c>
      <c r="AM801" s="625">
        <v>-297.96105000000006</v>
      </c>
      <c r="AN801" s="625">
        <v>-297.96105000000006</v>
      </c>
      <c r="AO801" s="625">
        <v>0</v>
      </c>
      <c r="AP801" s="41" t="str">
        <f t="shared" si="236"/>
        <v>Reg AssetN</v>
      </c>
      <c r="AQ801" s="41" t="str">
        <f t="shared" si="237"/>
        <v>Reg AssetNN10PSC Assessment</v>
      </c>
      <c r="AR801" s="41" t="str">
        <f t="shared" si="238"/>
        <v>N10PSC AssessmentNCR</v>
      </c>
      <c r="CK801" s="625"/>
    </row>
    <row r="802" spans="1:89" s="41" customFormat="1" ht="12.75" customHeight="1">
      <c r="A802" s="442" t="s">
        <v>746</v>
      </c>
      <c r="B802" s="442" t="str">
        <f t="shared" si="251"/>
        <v>Reg Asset182301601137BE030578/BE030587</v>
      </c>
      <c r="C802" s="736">
        <v>182301</v>
      </c>
      <c r="D802" s="738">
        <v>601137</v>
      </c>
      <c r="E802" s="626" t="s">
        <v>764</v>
      </c>
      <c r="F802" s="626" t="str">
        <f t="shared" si="248"/>
        <v>OTHER REGULATORY ASSETS - ELECTRIC</v>
      </c>
      <c r="G802" s="626" t="s">
        <v>795</v>
      </c>
      <c r="H802" s="736" t="s">
        <v>818</v>
      </c>
      <c r="I802" s="442"/>
      <c r="J802" s="442" t="str">
        <f t="shared" si="249"/>
        <v/>
      </c>
      <c r="K802" s="442" t="str">
        <f t="shared" si="250"/>
        <v/>
      </c>
      <c r="L802" s="736" t="s">
        <v>2421</v>
      </c>
      <c r="M802" s="442" t="str">
        <f t="shared" si="234"/>
        <v>N</v>
      </c>
      <c r="N802" s="442" t="str">
        <f>IF(L802&lt;&gt;"",VLOOKUP(L802,Categories!$B$2:$D$41,2,FALSE),IF(F802&lt;&gt;"","No Cat",""))</f>
        <v>NRBASE</v>
      </c>
      <c r="O802" s="442" t="str">
        <f>IF($L802&lt;&gt;"",VLOOKUP($L802,Categories!$B$2:$D$41,3,FALSE),IF($F802&lt;&gt;"","No Cat",""))</f>
        <v>Direct Assign Items Not in RB</v>
      </c>
      <c r="P802" s="736" t="s">
        <v>2468</v>
      </c>
      <c r="Q802" s="442" t="str">
        <f>VLOOKUP($P802,Allocators!$B$7:$F$19,5,FALSE)</f>
        <v>Not in Rate Base</v>
      </c>
      <c r="R802" s="737">
        <f>VLOOKUP($P802,Allocators!$B$7:$F$19,2,FALSE)</f>
        <v>0</v>
      </c>
      <c r="S802" s="737">
        <f>VLOOKUP($P802,Allocators!$B$7:$F$19,3,FALSE)</f>
        <v>0</v>
      </c>
      <c r="T802" s="737">
        <f t="shared" si="235"/>
        <v>1</v>
      </c>
      <c r="U802" s="2">
        <f t="shared" si="241"/>
        <v>0</v>
      </c>
      <c r="V802" s="2">
        <f t="shared" si="242"/>
        <v>0</v>
      </c>
      <c r="W802" s="2">
        <f t="shared" si="243"/>
        <v>-4.0601799999999999</v>
      </c>
      <c r="X802" s="2">
        <f t="shared" si="239"/>
        <v>-4.0601799999999999</v>
      </c>
      <c r="Y802" s="2">
        <f t="shared" si="244"/>
        <v>0</v>
      </c>
      <c r="Z802" s="2">
        <f t="shared" si="245"/>
        <v>0</v>
      </c>
      <c r="AA802" s="2">
        <f t="shared" si="246"/>
        <v>-4.0601799999999999</v>
      </c>
      <c r="AB802" s="2">
        <f t="shared" si="240"/>
        <v>-4.0601799999999999</v>
      </c>
      <c r="AC802" s="734">
        <v>-4.0601799999999999</v>
      </c>
      <c r="AD802" s="625">
        <v>-4.0601799999999999</v>
      </c>
      <c r="AE802" s="625">
        <v>-4.0601799999999999</v>
      </c>
      <c r="AF802" s="625">
        <v>-4.0601799999999999</v>
      </c>
      <c r="AG802" s="625">
        <v>-4.0601799999999999</v>
      </c>
      <c r="AH802" s="625">
        <v>-4.0601799999999999</v>
      </c>
      <c r="AI802" s="625">
        <v>-4.0601799999999999</v>
      </c>
      <c r="AJ802" s="625">
        <v>-4.0601799999999999</v>
      </c>
      <c r="AK802" s="625">
        <v>-4.0601799999999999</v>
      </c>
      <c r="AL802" s="625">
        <v>-4.0601799999999999</v>
      </c>
      <c r="AM802" s="625">
        <v>-4.0601799999999999</v>
      </c>
      <c r="AN802" s="625">
        <v>-4.0601799999999999</v>
      </c>
      <c r="AO802" s="625">
        <v>-4.0601799999999999</v>
      </c>
      <c r="AP802" s="41" t="str">
        <f t="shared" si="236"/>
        <v>Reg AssetN</v>
      </c>
      <c r="AQ802" s="41" t="str">
        <f t="shared" si="237"/>
        <v>Reg AssetNN2MHP Meter Deferral</v>
      </c>
      <c r="AR802" s="41" t="str">
        <f t="shared" si="238"/>
        <v>N2MHP Meter Deferral</v>
      </c>
      <c r="CK802" s="625"/>
    </row>
    <row r="803" spans="1:89" s="41" customFormat="1" ht="12.75" customHeight="1">
      <c r="A803" s="25" t="s">
        <v>746</v>
      </c>
      <c r="B803" s="25" t="str">
        <f t="shared" si="251"/>
        <v>Reg Asset182301601125-09BE030579</v>
      </c>
      <c r="C803" s="736">
        <v>182301</v>
      </c>
      <c r="D803" s="738" t="s">
        <v>779</v>
      </c>
      <c r="E803" s="41" t="s">
        <v>765</v>
      </c>
      <c r="F803" s="41" t="str">
        <f t="shared" si="248"/>
        <v>OTHER REGULATORY ASSETS - ELECTRIC</v>
      </c>
      <c r="G803" s="41" t="s">
        <v>796</v>
      </c>
      <c r="H803" s="736" t="s">
        <v>819</v>
      </c>
      <c r="I803" s="25"/>
      <c r="J803" s="25" t="str">
        <f t="shared" si="249"/>
        <v/>
      </c>
      <c r="K803" s="25" t="str">
        <f t="shared" si="250"/>
        <v/>
      </c>
      <c r="L803" s="736" t="s">
        <v>2441</v>
      </c>
      <c r="M803" s="25" t="str">
        <f t="shared" si="234"/>
        <v>R</v>
      </c>
      <c r="N803" s="25" t="str">
        <f>IF(L803&lt;&gt;"",VLOOKUP(L803,Categories!$B$2:$D$41,2,FALSE),IF(F803&lt;&gt;"","No Cat",""))</f>
        <v>Rate Base</v>
      </c>
      <c r="O803" s="25" t="str">
        <f>IF($L803&lt;&gt;"",VLOOKUP($L803,Categories!$B$2:$D$41,3,FALSE),IF($F803&lt;&gt;"","No Cat",""))</f>
        <v>Deferred Debits &amp; Credits</v>
      </c>
      <c r="P803" s="736" t="s">
        <v>2482</v>
      </c>
      <c r="Q803" s="25" t="str">
        <f>VLOOKUP($P803,Allocators!$B$7:$F$19,5,FALSE)</f>
        <v>Electric</v>
      </c>
      <c r="R803" s="737">
        <f>VLOOKUP($P803,Allocators!$B$7:$F$19,2,FALSE)</f>
        <v>1</v>
      </c>
      <c r="S803" s="737">
        <f>VLOOKUP($P803,Allocators!$B$7:$F$19,3,FALSE)</f>
        <v>0</v>
      </c>
      <c r="T803" s="737" t="str">
        <f t="shared" si="235"/>
        <v>0.0%</v>
      </c>
      <c r="U803" s="2">
        <f t="shared" si="241"/>
        <v>3400.8301999999999</v>
      </c>
      <c r="V803" s="2">
        <f t="shared" si="242"/>
        <v>0</v>
      </c>
      <c r="W803" s="2">
        <f t="shared" si="243"/>
        <v>0</v>
      </c>
      <c r="X803" s="2">
        <f t="shared" si="239"/>
        <v>3400.8301999999999</v>
      </c>
      <c r="Y803" s="2">
        <f t="shared" si="244"/>
        <v>3400.8301999999999</v>
      </c>
      <c r="Z803" s="2">
        <f t="shared" si="245"/>
        <v>0</v>
      </c>
      <c r="AA803" s="2">
        <f t="shared" si="246"/>
        <v>0</v>
      </c>
      <c r="AB803" s="2">
        <f t="shared" si="240"/>
        <v>3400.8302000000003</v>
      </c>
      <c r="AC803" s="734">
        <v>3400.8302000000003</v>
      </c>
      <c r="AD803" s="625">
        <v>3400.8302000000003</v>
      </c>
      <c r="AE803" s="625">
        <v>3400.8302000000003</v>
      </c>
      <c r="AF803" s="625">
        <v>3400.8302000000003</v>
      </c>
      <c r="AG803" s="625">
        <v>3400.8302000000003</v>
      </c>
      <c r="AH803" s="625">
        <v>3400.8302000000003</v>
      </c>
      <c r="AI803" s="625">
        <v>3400.8302000000003</v>
      </c>
      <c r="AJ803" s="625">
        <v>3400.8302000000003</v>
      </c>
      <c r="AK803" s="625">
        <v>3400.8302000000003</v>
      </c>
      <c r="AL803" s="625">
        <v>3400.8302000000003</v>
      </c>
      <c r="AM803" s="625">
        <v>3400.8302000000003</v>
      </c>
      <c r="AN803" s="625">
        <v>3400.8302000000003</v>
      </c>
      <c r="AO803" s="625">
        <v>3400.8302000000003</v>
      </c>
      <c r="AP803" s="41" t="str">
        <f t="shared" si="236"/>
        <v>Reg AssetR</v>
      </c>
      <c r="AQ803" s="41" t="str">
        <f t="shared" si="237"/>
        <v>Reg AssetRR10Cap Ex Deferral</v>
      </c>
      <c r="AR803" s="41" t="str">
        <f t="shared" si="238"/>
        <v>R10Cap Ex Deferral</v>
      </c>
      <c r="CK803" s="625"/>
    </row>
    <row r="804" spans="1:89" s="41" customFormat="1" ht="12.75" customHeight="1">
      <c r="A804" s="25" t="s">
        <v>746</v>
      </c>
      <c r="B804" s="25" t="str">
        <f t="shared" si="251"/>
        <v>Reg Asset182301601133-GenBE030581</v>
      </c>
      <c r="C804" s="736">
        <v>182301</v>
      </c>
      <c r="D804" s="738" t="s">
        <v>780</v>
      </c>
      <c r="E804" s="41" t="s">
        <v>763</v>
      </c>
      <c r="F804" s="41" t="str">
        <f t="shared" si="248"/>
        <v>OTHER REGULATORY ASSETS - ELECTRIC</v>
      </c>
      <c r="G804" s="41" t="s">
        <v>797</v>
      </c>
      <c r="H804" s="736" t="s">
        <v>817</v>
      </c>
      <c r="I804" s="25"/>
      <c r="J804" s="25" t="str">
        <f t="shared" si="249"/>
        <v/>
      </c>
      <c r="K804" s="25" t="str">
        <f t="shared" si="250"/>
        <v/>
      </c>
      <c r="L804" s="736" t="s">
        <v>2441</v>
      </c>
      <c r="M804" s="25" t="str">
        <f t="shared" si="234"/>
        <v>R</v>
      </c>
      <c r="N804" s="25" t="str">
        <f>IF(L804&lt;&gt;"",VLOOKUP(L804,Categories!$B$2:$D$41,2,FALSE),IF(F804&lt;&gt;"","No Cat",""))</f>
        <v>Rate Base</v>
      </c>
      <c r="O804" s="25" t="str">
        <f>IF($L804&lt;&gt;"",VLOOKUP($L804,Categories!$B$2:$D$41,3,FALSE),IF($F804&lt;&gt;"","No Cat",""))</f>
        <v>Deferred Debits &amp; Credits</v>
      </c>
      <c r="P804" s="736" t="s">
        <v>2482</v>
      </c>
      <c r="Q804" s="25" t="str">
        <f>VLOOKUP($P804,Allocators!$B$7:$F$19,5,FALSE)</f>
        <v>Electric</v>
      </c>
      <c r="R804" s="737">
        <f>VLOOKUP($P804,Allocators!$B$7:$F$19,2,FALSE)</f>
        <v>1</v>
      </c>
      <c r="S804" s="737">
        <f>VLOOKUP($P804,Allocators!$B$7:$F$19,3,FALSE)</f>
        <v>0</v>
      </c>
      <c r="T804" s="737" t="str">
        <f t="shared" si="235"/>
        <v>0.0%</v>
      </c>
      <c r="U804" s="2">
        <f t="shared" si="241"/>
        <v>18.686495000000001</v>
      </c>
      <c r="V804" s="2">
        <f t="shared" si="242"/>
        <v>0</v>
      </c>
      <c r="W804" s="2">
        <f t="shared" si="243"/>
        <v>0</v>
      </c>
      <c r="X804" s="2">
        <f t="shared" si="239"/>
        <v>18.686495000000001</v>
      </c>
      <c r="Y804" s="2" t="str">
        <f t="shared" si="244"/>
        <v/>
      </c>
      <c r="Z804" s="2" t="str">
        <f t="shared" si="245"/>
        <v/>
      </c>
      <c r="AA804" s="2" t="str">
        <f t="shared" si="246"/>
        <v/>
      </c>
      <c r="AB804" s="2">
        <f t="shared" si="240"/>
        <v>0</v>
      </c>
      <c r="AC804" s="734">
        <v>0</v>
      </c>
      <c r="AD804" s="625">
        <v>0</v>
      </c>
      <c r="AE804" s="625">
        <v>0</v>
      </c>
      <c r="AF804" s="625">
        <v>0</v>
      </c>
      <c r="AG804" s="625">
        <v>0</v>
      </c>
      <c r="AH804" s="625">
        <v>0</v>
      </c>
      <c r="AI804" s="38">
        <v>0</v>
      </c>
      <c r="AJ804" s="625">
        <v>0</v>
      </c>
      <c r="AK804" s="625">
        <v>0</v>
      </c>
      <c r="AL804" s="625">
        <v>0</v>
      </c>
      <c r="AM804" s="625">
        <v>112.11897</v>
      </c>
      <c r="AN804" s="625">
        <v>112.11897</v>
      </c>
      <c r="AO804" s="625">
        <v>0</v>
      </c>
      <c r="AP804" s="41" t="str">
        <f t="shared" si="236"/>
        <v>Reg AssetR</v>
      </c>
      <c r="AQ804" s="41" t="str">
        <f t="shared" si="237"/>
        <v>Reg AssetRR10PSC Assessment</v>
      </c>
      <c r="AR804" s="41" t="str">
        <f t="shared" si="238"/>
        <v>R10PSC Assessment</v>
      </c>
      <c r="CK804" s="625"/>
    </row>
    <row r="805" spans="1:89" s="41" customFormat="1" ht="12.75" customHeight="1">
      <c r="A805" s="25" t="s">
        <v>746</v>
      </c>
      <c r="B805" s="25" t="str">
        <f t="shared" si="251"/>
        <v>Reg Asset182301601227-ABE030903</v>
      </c>
      <c r="C805" s="736">
        <v>182301</v>
      </c>
      <c r="D805" s="738" t="s">
        <v>781</v>
      </c>
      <c r="E805" s="41" t="s">
        <v>766</v>
      </c>
      <c r="F805" s="41" t="str">
        <f t="shared" si="248"/>
        <v>OTHER REGULATORY ASSETS - ELECTRIC</v>
      </c>
      <c r="G805" s="41" t="s">
        <v>798</v>
      </c>
      <c r="H805" s="736" t="s">
        <v>820</v>
      </c>
      <c r="I805" s="25"/>
      <c r="J805" s="25" t="str">
        <f t="shared" si="249"/>
        <v/>
      </c>
      <c r="K805" s="25" t="str">
        <f t="shared" si="250"/>
        <v/>
      </c>
      <c r="L805" s="736" t="s">
        <v>2441</v>
      </c>
      <c r="M805" s="25" t="str">
        <f t="shared" si="234"/>
        <v>R</v>
      </c>
      <c r="N805" s="25" t="str">
        <f>IF(L805&lt;&gt;"",VLOOKUP(L805,Categories!$B$2:$D$41,2,FALSE),IF(F805&lt;&gt;"","No Cat",""))</f>
        <v>Rate Base</v>
      </c>
      <c r="O805" s="25" t="str">
        <f>IF($L805&lt;&gt;"",VLOOKUP($L805,Categories!$B$2:$D$41,3,FALSE),IF($F805&lt;&gt;"","No Cat",""))</f>
        <v>Deferred Debits &amp; Credits</v>
      </c>
      <c r="P805" s="736" t="s">
        <v>2482</v>
      </c>
      <c r="Q805" s="25" t="str">
        <f>VLOOKUP($P805,Allocators!$B$7:$F$19,5,FALSE)</f>
        <v>Electric</v>
      </c>
      <c r="R805" s="737">
        <f>VLOOKUP($P805,Allocators!$B$7:$F$19,2,FALSE)</f>
        <v>1</v>
      </c>
      <c r="S805" s="737">
        <f>VLOOKUP($P805,Allocators!$B$7:$F$19,3,FALSE)</f>
        <v>0</v>
      </c>
      <c r="T805" s="737" t="str">
        <f t="shared" si="235"/>
        <v>0.0%</v>
      </c>
      <c r="U805" s="2" t="str">
        <f t="shared" si="241"/>
        <v/>
      </c>
      <c r="V805" s="2" t="str">
        <f t="shared" si="242"/>
        <v/>
      </c>
      <c r="W805" s="2" t="str">
        <f t="shared" si="243"/>
        <v/>
      </c>
      <c r="X805" s="2">
        <f t="shared" si="239"/>
        <v>0</v>
      </c>
      <c r="Y805" s="2" t="str">
        <f t="shared" si="244"/>
        <v/>
      </c>
      <c r="Z805" s="2" t="str">
        <f t="shared" si="245"/>
        <v/>
      </c>
      <c r="AA805" s="2" t="str">
        <f t="shared" si="246"/>
        <v/>
      </c>
      <c r="AB805" s="2">
        <f t="shared" si="240"/>
        <v>0</v>
      </c>
      <c r="AC805" s="734">
        <v>0</v>
      </c>
      <c r="AD805" s="625">
        <v>0</v>
      </c>
      <c r="AE805" s="625">
        <v>0</v>
      </c>
      <c r="AF805" s="625">
        <v>0</v>
      </c>
      <c r="AG805" s="625">
        <v>0</v>
      </c>
      <c r="AH805" s="625">
        <v>0</v>
      </c>
      <c r="AI805" s="38">
        <v>0</v>
      </c>
      <c r="AJ805" s="625">
        <v>0</v>
      </c>
      <c r="AK805" s="625">
        <v>0</v>
      </c>
      <c r="AL805" s="625">
        <v>0</v>
      </c>
      <c r="AM805" s="625">
        <v>0</v>
      </c>
      <c r="AN805" s="625">
        <v>0</v>
      </c>
      <c r="AO805" s="625">
        <v>0</v>
      </c>
      <c r="AP805" s="41" t="str">
        <f t="shared" si="236"/>
        <v>Reg AssetR</v>
      </c>
      <c r="AQ805" s="41" t="str">
        <f t="shared" si="237"/>
        <v>Reg AssetRR10CTA Efficiency</v>
      </c>
      <c r="AR805" s="41" t="str">
        <f t="shared" si="238"/>
        <v>R10CTA Efficiency</v>
      </c>
      <c r="CK805" s="625"/>
    </row>
    <row r="806" spans="1:89" s="41" customFormat="1" ht="12.75" customHeight="1">
      <c r="A806" s="25" t="s">
        <v>746</v>
      </c>
      <c r="B806" s="25" t="str">
        <f t="shared" si="251"/>
        <v>Reg Asset182301601227-LBE030903</v>
      </c>
      <c r="C806" s="736">
        <v>182301</v>
      </c>
      <c r="D806" s="738" t="s">
        <v>782</v>
      </c>
      <c r="E806" s="41" t="s">
        <v>766</v>
      </c>
      <c r="F806" s="41" t="str">
        <f t="shared" si="248"/>
        <v>OTHER REGULATORY ASSETS - ELECTRIC</v>
      </c>
      <c r="G806" s="41" t="s">
        <v>798</v>
      </c>
      <c r="H806" s="736" t="s">
        <v>820</v>
      </c>
      <c r="I806" s="25"/>
      <c r="J806" s="25" t="str">
        <f t="shared" si="249"/>
        <v/>
      </c>
      <c r="K806" s="25" t="str">
        <f t="shared" si="250"/>
        <v/>
      </c>
      <c r="L806" s="736" t="s">
        <v>2441</v>
      </c>
      <c r="M806" s="25" t="str">
        <f t="shared" si="234"/>
        <v>R</v>
      </c>
      <c r="N806" s="25" t="str">
        <f>IF(L806&lt;&gt;"",VLOOKUP(L806,Categories!$B$2:$D$41,2,FALSE),IF(F806&lt;&gt;"","No Cat",""))</f>
        <v>Rate Base</v>
      </c>
      <c r="O806" s="25" t="str">
        <f>IF($L806&lt;&gt;"",VLOOKUP($L806,Categories!$B$2:$D$41,3,FALSE),IF($F806&lt;&gt;"","No Cat",""))</f>
        <v>Deferred Debits &amp; Credits</v>
      </c>
      <c r="P806" s="736" t="s">
        <v>2482</v>
      </c>
      <c r="Q806" s="25" t="str">
        <f>VLOOKUP($P806,Allocators!$B$7:$F$19,5,FALSE)</f>
        <v>Electric</v>
      </c>
      <c r="R806" s="737">
        <f>VLOOKUP($P806,Allocators!$B$7:$F$19,2,FALSE)</f>
        <v>1</v>
      </c>
      <c r="S806" s="737">
        <f>VLOOKUP($P806,Allocators!$B$7:$F$19,3,FALSE)</f>
        <v>0</v>
      </c>
      <c r="T806" s="737" t="str">
        <f t="shared" si="235"/>
        <v>0.0%</v>
      </c>
      <c r="U806" s="2">
        <f t="shared" si="241"/>
        <v>104.59296999999999</v>
      </c>
      <c r="V806" s="2">
        <f t="shared" si="242"/>
        <v>0</v>
      </c>
      <c r="W806" s="2">
        <f t="shared" si="243"/>
        <v>0</v>
      </c>
      <c r="X806" s="2">
        <f t="shared" si="239"/>
        <v>104.59296999999999</v>
      </c>
      <c r="Y806" s="2">
        <f t="shared" si="244"/>
        <v>104.59296999999999</v>
      </c>
      <c r="Z806" s="2">
        <f t="shared" si="245"/>
        <v>0</v>
      </c>
      <c r="AA806" s="2">
        <f t="shared" si="246"/>
        <v>0</v>
      </c>
      <c r="AB806" s="2">
        <f t="shared" si="240"/>
        <v>104.59297000000001</v>
      </c>
      <c r="AC806" s="734">
        <v>104.59297000000001</v>
      </c>
      <c r="AD806" s="625">
        <v>104.59297000000001</v>
      </c>
      <c r="AE806" s="625">
        <v>104.59297000000001</v>
      </c>
      <c r="AF806" s="625">
        <v>104.59297000000001</v>
      </c>
      <c r="AG806" s="625">
        <v>104.59297000000001</v>
      </c>
      <c r="AH806" s="625">
        <v>104.59297000000001</v>
      </c>
      <c r="AI806" s="625">
        <v>104.59297000000001</v>
      </c>
      <c r="AJ806" s="625">
        <v>104.59297000000001</v>
      </c>
      <c r="AK806" s="625">
        <v>104.59297000000001</v>
      </c>
      <c r="AL806" s="625">
        <v>104.59297000000001</v>
      </c>
      <c r="AM806" s="625">
        <v>104.59297000000001</v>
      </c>
      <c r="AN806" s="625">
        <v>104.59297000000001</v>
      </c>
      <c r="AO806" s="625">
        <v>104.59297000000001</v>
      </c>
      <c r="AP806" s="41" t="str">
        <f t="shared" si="236"/>
        <v>Reg AssetR</v>
      </c>
      <c r="AQ806" s="41" t="str">
        <f t="shared" si="237"/>
        <v>Reg AssetRR10CTA Efficiency</v>
      </c>
      <c r="AR806" s="41" t="str">
        <f t="shared" si="238"/>
        <v>R10CTA Efficiency</v>
      </c>
      <c r="CK806" s="625"/>
    </row>
    <row r="807" spans="1:89" s="41" customFormat="1" ht="12.75" customHeight="1">
      <c r="A807" s="25" t="s">
        <v>746</v>
      </c>
      <c r="B807" s="25" t="str">
        <f t="shared" si="251"/>
        <v>Reg Asset182301601227-NBE030903</v>
      </c>
      <c r="C807" s="736">
        <v>182301</v>
      </c>
      <c r="D807" s="738" t="s">
        <v>783</v>
      </c>
      <c r="E807" s="41" t="s">
        <v>766</v>
      </c>
      <c r="F807" s="41" t="str">
        <f t="shared" si="248"/>
        <v>OTHER REGULATORY ASSETS - ELECTRIC</v>
      </c>
      <c r="G807" s="41" t="s">
        <v>798</v>
      </c>
      <c r="H807" s="736" t="s">
        <v>820</v>
      </c>
      <c r="I807" s="25"/>
      <c r="J807" s="25" t="str">
        <f t="shared" si="249"/>
        <v/>
      </c>
      <c r="K807" s="25" t="str">
        <f t="shared" si="250"/>
        <v/>
      </c>
      <c r="L807" s="736" t="s">
        <v>2441</v>
      </c>
      <c r="M807" s="25" t="str">
        <f t="shared" ref="M807:M900" si="252">LEFT(L807,1)</f>
        <v>R</v>
      </c>
      <c r="N807" s="25" t="str">
        <f>IF(L807&lt;&gt;"",VLOOKUP(L807,Categories!$B$2:$D$41,2,FALSE),IF(F807&lt;&gt;"","No Cat",""))</f>
        <v>Rate Base</v>
      </c>
      <c r="O807" s="25" t="str">
        <f>IF($L807&lt;&gt;"",VLOOKUP($L807,Categories!$B$2:$D$41,3,FALSE),IF($F807&lt;&gt;"","No Cat",""))</f>
        <v>Deferred Debits &amp; Credits</v>
      </c>
      <c r="P807" s="736" t="s">
        <v>2482</v>
      </c>
      <c r="Q807" s="25" t="str">
        <f>VLOOKUP($P807,Allocators!$B$7:$F$19,5,FALSE)</f>
        <v>Electric</v>
      </c>
      <c r="R807" s="737">
        <f>VLOOKUP($P807,Allocators!$B$7:$F$19,2,FALSE)</f>
        <v>1</v>
      </c>
      <c r="S807" s="737">
        <f>VLOOKUP($P807,Allocators!$B$7:$F$19,3,FALSE)</f>
        <v>0</v>
      </c>
      <c r="T807" s="737" t="str">
        <f t="shared" ref="T807:T900" si="253">IF(P807="N",1,"0.0%")</f>
        <v>0.0%</v>
      </c>
      <c r="U807" s="2" t="str">
        <f t="shared" si="241"/>
        <v/>
      </c>
      <c r="V807" s="2" t="str">
        <f t="shared" si="242"/>
        <v/>
      </c>
      <c r="W807" s="2" t="str">
        <f t="shared" si="243"/>
        <v/>
      </c>
      <c r="X807" s="2">
        <f t="shared" si="239"/>
        <v>0</v>
      </c>
      <c r="Y807" s="2" t="str">
        <f t="shared" si="244"/>
        <v/>
      </c>
      <c r="Z807" s="2" t="str">
        <f t="shared" si="245"/>
        <v/>
      </c>
      <c r="AA807" s="2" t="str">
        <f t="shared" si="246"/>
        <v/>
      </c>
      <c r="AB807" s="2">
        <f t="shared" si="240"/>
        <v>0</v>
      </c>
      <c r="AC807" s="734">
        <v>0</v>
      </c>
      <c r="AD807" s="625">
        <v>0</v>
      </c>
      <c r="AE807" s="625">
        <v>0</v>
      </c>
      <c r="AF807" s="625">
        <v>0</v>
      </c>
      <c r="AG807" s="625">
        <v>0</v>
      </c>
      <c r="AH807" s="625">
        <v>0</v>
      </c>
      <c r="AI807" s="38">
        <v>0</v>
      </c>
      <c r="AJ807" s="625">
        <v>0</v>
      </c>
      <c r="AK807" s="625">
        <v>0</v>
      </c>
      <c r="AL807" s="625">
        <v>0</v>
      </c>
      <c r="AM807" s="625">
        <v>0</v>
      </c>
      <c r="AN807" s="625">
        <v>0</v>
      </c>
      <c r="AO807" s="625">
        <v>0</v>
      </c>
      <c r="AP807" s="41" t="str">
        <f t="shared" si="236"/>
        <v>Reg AssetR</v>
      </c>
      <c r="AQ807" s="41" t="str">
        <f t="shared" si="237"/>
        <v>Reg AssetRR10CTA Efficiency</v>
      </c>
      <c r="AR807" s="41" t="str">
        <f t="shared" si="238"/>
        <v>R10CTA Efficiency</v>
      </c>
      <c r="CK807" s="625"/>
    </row>
    <row r="808" spans="1:89" s="41" customFormat="1" ht="12.75" customHeight="1">
      <c r="A808" s="442" t="s">
        <v>746</v>
      </c>
      <c r="B808" s="442" t="str">
        <f t="shared" si="251"/>
        <v>Reg Asset182301601205BE030594</v>
      </c>
      <c r="C808" s="736">
        <v>182301</v>
      </c>
      <c r="D808" s="738">
        <v>601205</v>
      </c>
      <c r="E808" s="626" t="s">
        <v>767</v>
      </c>
      <c r="F808" s="626" t="str">
        <f t="shared" si="248"/>
        <v>OTHER REGULATORY ASSETS - ELECTRIC</v>
      </c>
      <c r="G808" s="626" t="s">
        <v>799</v>
      </c>
      <c r="H808" s="736" t="s">
        <v>821</v>
      </c>
      <c r="I808" s="442"/>
      <c r="J808" s="442" t="s">
        <v>7</v>
      </c>
      <c r="K808" s="442" t="str">
        <f t="shared" si="250"/>
        <v/>
      </c>
      <c r="L808" s="736" t="s">
        <v>2436</v>
      </c>
      <c r="M808" s="442" t="str">
        <f t="shared" si="252"/>
        <v>N</v>
      </c>
      <c r="N808" s="442" t="str">
        <f>IF(L808&lt;&gt;"",VLOOKUP(L808,Categories!$B$2:$D$41,2,FALSE),IF(F808&lt;&gt;"","No Cat",""))</f>
        <v>NRBASE</v>
      </c>
      <c r="O808" s="442" t="str">
        <f>IF($L808&lt;&gt;"",VLOOKUP($L808,Categories!$B$2:$D$41,3,FALSE),IF($F808&lt;&gt;"","No Cat",""))</f>
        <v>Deferrals Accruing Non-Cash Return   (other than ASGA)</v>
      </c>
      <c r="P808" s="736" t="s">
        <v>2468</v>
      </c>
      <c r="Q808" s="442" t="str">
        <f>VLOOKUP($P808,Allocators!$B$7:$F$19,5,FALSE)</f>
        <v>Not in Rate Base</v>
      </c>
      <c r="R808" s="737">
        <f>VLOOKUP($P808,Allocators!$B$7:$F$19,2,FALSE)</f>
        <v>0</v>
      </c>
      <c r="S808" s="737">
        <f>VLOOKUP($P808,Allocators!$B$7:$F$19,3,FALSE)</f>
        <v>0</v>
      </c>
      <c r="T808" s="737">
        <f t="shared" si="253"/>
        <v>1</v>
      </c>
      <c r="U808" s="2" t="str">
        <f t="shared" si="241"/>
        <v/>
      </c>
      <c r="V808" s="2" t="str">
        <f t="shared" si="242"/>
        <v/>
      </c>
      <c r="W808" s="2" t="str">
        <f t="shared" si="243"/>
        <v/>
      </c>
      <c r="X808" s="2">
        <f t="shared" si="239"/>
        <v>0</v>
      </c>
      <c r="Y808" s="2" t="str">
        <f t="shared" si="244"/>
        <v/>
      </c>
      <c r="Z808" s="2" t="str">
        <f t="shared" si="245"/>
        <v/>
      </c>
      <c r="AA808" s="2" t="str">
        <f t="shared" si="246"/>
        <v/>
      </c>
      <c r="AB808" s="2">
        <f t="shared" si="240"/>
        <v>0</v>
      </c>
      <c r="AC808" s="625">
        <v>0</v>
      </c>
      <c r="AD808" s="625">
        <v>0</v>
      </c>
      <c r="AE808" s="625">
        <v>0</v>
      </c>
      <c r="AF808" s="625">
        <v>0</v>
      </c>
      <c r="AG808" s="625">
        <v>0</v>
      </c>
      <c r="AH808" s="625">
        <v>0</v>
      </c>
      <c r="AI808" s="38">
        <v>0</v>
      </c>
      <c r="AJ808" s="625">
        <v>0</v>
      </c>
      <c r="AK808" s="625">
        <v>0</v>
      </c>
      <c r="AL808" s="625">
        <v>0</v>
      </c>
      <c r="AM808" s="625">
        <v>0</v>
      </c>
      <c r="AN808" s="625">
        <v>0</v>
      </c>
      <c r="AO808" s="625">
        <v>0</v>
      </c>
      <c r="AP808" s="41" t="str">
        <f t="shared" si="236"/>
        <v>Reg AssetN</v>
      </c>
      <c r="AQ808" s="41" t="str">
        <f t="shared" si="237"/>
        <v>Reg AssetNN10Low Income</v>
      </c>
      <c r="AR808" s="41" t="str">
        <f t="shared" si="238"/>
        <v>N10Low IncomeNCR</v>
      </c>
      <c r="CK808" s="625"/>
    </row>
    <row r="809" spans="1:89" s="41" customFormat="1" ht="12.75" customHeight="1">
      <c r="A809" s="25" t="s">
        <v>746</v>
      </c>
      <c r="B809" s="25" t="str">
        <f t="shared" si="251"/>
        <v>Reg Asset182301601227BE030903</v>
      </c>
      <c r="C809" s="736">
        <v>182301</v>
      </c>
      <c r="D809" s="738">
        <v>601227</v>
      </c>
      <c r="E809" s="41" t="s">
        <v>766</v>
      </c>
      <c r="F809" s="41" t="str">
        <f t="shared" si="248"/>
        <v>OTHER REGULATORY ASSETS - ELECTRIC</v>
      </c>
      <c r="G809" s="41" t="s">
        <v>798</v>
      </c>
      <c r="H809" s="736" t="s">
        <v>820</v>
      </c>
      <c r="I809" s="25"/>
      <c r="J809" s="25" t="str">
        <f t="shared" si="249"/>
        <v/>
      </c>
      <c r="K809" s="25" t="str">
        <f t="shared" si="250"/>
        <v/>
      </c>
      <c r="L809" s="736" t="s">
        <v>2441</v>
      </c>
      <c r="M809" s="25" t="str">
        <f t="shared" si="252"/>
        <v>R</v>
      </c>
      <c r="N809" s="25" t="str">
        <f>IF(L809&lt;&gt;"",VLOOKUP(L809,Categories!$B$2:$D$41,2,FALSE),IF(F809&lt;&gt;"","No Cat",""))</f>
        <v>Rate Base</v>
      </c>
      <c r="O809" s="25" t="str">
        <f>IF($L809&lt;&gt;"",VLOOKUP($L809,Categories!$B$2:$D$41,3,FALSE),IF($F809&lt;&gt;"","No Cat",""))</f>
        <v>Deferred Debits &amp; Credits</v>
      </c>
      <c r="P809" s="736" t="s">
        <v>2482</v>
      </c>
      <c r="Q809" s="25" t="str">
        <f>VLOOKUP($P809,Allocators!$B$7:$F$19,5,FALSE)</f>
        <v>Electric</v>
      </c>
      <c r="R809" s="737">
        <f>VLOOKUP($P809,Allocators!$B$7:$F$19,2,FALSE)</f>
        <v>1</v>
      </c>
      <c r="S809" s="737">
        <f>VLOOKUP($P809,Allocators!$B$7:$F$19,3,FALSE)</f>
        <v>0</v>
      </c>
      <c r="T809" s="737" t="str">
        <f t="shared" si="253"/>
        <v>0.0%</v>
      </c>
      <c r="U809" s="2" t="str">
        <f t="shared" si="241"/>
        <v/>
      </c>
      <c r="V809" s="2" t="str">
        <f t="shared" si="242"/>
        <v/>
      </c>
      <c r="W809" s="2" t="str">
        <f t="shared" si="243"/>
        <v/>
      </c>
      <c r="X809" s="2">
        <f t="shared" si="239"/>
        <v>0</v>
      </c>
      <c r="Y809" s="2" t="str">
        <f t="shared" si="244"/>
        <v/>
      </c>
      <c r="Z809" s="2" t="str">
        <f t="shared" si="245"/>
        <v/>
      </c>
      <c r="AA809" s="2" t="str">
        <f t="shared" si="246"/>
        <v/>
      </c>
      <c r="AB809" s="2">
        <f t="shared" si="240"/>
        <v>0</v>
      </c>
      <c r="AC809" s="625">
        <v>0</v>
      </c>
      <c r="AD809" s="625">
        <v>0</v>
      </c>
      <c r="AE809" s="625">
        <v>0</v>
      </c>
      <c r="AF809" s="625">
        <v>0</v>
      </c>
      <c r="AG809" s="625">
        <v>0</v>
      </c>
      <c r="AH809" s="625">
        <v>0</v>
      </c>
      <c r="AI809" s="38">
        <v>0</v>
      </c>
      <c r="AJ809" s="625">
        <v>0</v>
      </c>
      <c r="AK809" s="625">
        <v>0</v>
      </c>
      <c r="AL809" s="625">
        <v>0</v>
      </c>
      <c r="AM809" s="625">
        <v>0</v>
      </c>
      <c r="AN809" s="625">
        <v>0</v>
      </c>
      <c r="AO809" s="625">
        <v>0</v>
      </c>
      <c r="AP809" s="41" t="str">
        <f t="shared" si="236"/>
        <v>Reg AssetR</v>
      </c>
      <c r="AQ809" s="41" t="str">
        <f t="shared" si="237"/>
        <v>Reg AssetRR10CTA Efficiency</v>
      </c>
      <c r="AR809" s="41" t="str">
        <f t="shared" si="238"/>
        <v>R10CTA Efficiency</v>
      </c>
      <c r="CK809" s="625"/>
    </row>
    <row r="810" spans="1:89" s="41" customFormat="1" ht="12.75" customHeight="1">
      <c r="A810" s="442" t="s">
        <v>746</v>
      </c>
      <c r="B810" s="442" t="str">
        <f t="shared" si="251"/>
        <v>Reg Asset182301OPEB ELECTRICBE030246</v>
      </c>
      <c r="C810" s="736">
        <v>182301</v>
      </c>
      <c r="D810" s="738" t="s">
        <v>784</v>
      </c>
      <c r="E810" s="626" t="s">
        <v>758</v>
      </c>
      <c r="F810" s="626" t="str">
        <f t="shared" si="248"/>
        <v>OTHER REGULATORY ASSETS - ELECTRIC</v>
      </c>
      <c r="G810" s="626" t="s">
        <v>800</v>
      </c>
      <c r="H810" s="736" t="s">
        <v>812</v>
      </c>
      <c r="I810" s="442"/>
      <c r="J810" s="442" t="s">
        <v>7</v>
      </c>
      <c r="K810" s="442" t="str">
        <f t="shared" si="250"/>
        <v/>
      </c>
      <c r="L810" s="736" t="s">
        <v>2436</v>
      </c>
      <c r="M810" s="442" t="str">
        <f t="shared" si="252"/>
        <v>N</v>
      </c>
      <c r="N810" s="442" t="str">
        <f>IF(L810&lt;&gt;"",VLOOKUP(L810,Categories!$B$2:$D$41,2,FALSE),IF(F810&lt;&gt;"","No Cat",""))</f>
        <v>NRBASE</v>
      </c>
      <c r="O810" s="442" t="str">
        <f>IF($L810&lt;&gt;"",VLOOKUP($L810,Categories!$B$2:$D$41,3,FALSE),IF($F810&lt;&gt;"","No Cat",""))</f>
        <v>Deferrals Accruing Non-Cash Return   (other than ASGA)</v>
      </c>
      <c r="P810" s="736" t="s">
        <v>2468</v>
      </c>
      <c r="Q810" s="442" t="str">
        <f>VLOOKUP($P810,Allocators!$B$7:$F$19,5,FALSE)</f>
        <v>Not in Rate Base</v>
      </c>
      <c r="R810" s="737">
        <f>VLOOKUP($P810,Allocators!$B$7:$F$19,2,FALSE)</f>
        <v>0</v>
      </c>
      <c r="S810" s="737">
        <f>VLOOKUP($P810,Allocators!$B$7:$F$19,3,FALSE)</f>
        <v>0</v>
      </c>
      <c r="T810" s="737">
        <f t="shared" si="253"/>
        <v>1</v>
      </c>
      <c r="U810" s="2">
        <f t="shared" si="241"/>
        <v>0</v>
      </c>
      <c r="V810" s="2">
        <f t="shared" si="242"/>
        <v>0</v>
      </c>
      <c r="W810" s="2">
        <f t="shared" si="243"/>
        <v>-111.64003</v>
      </c>
      <c r="X810" s="2">
        <f t="shared" si="239"/>
        <v>-111.64003</v>
      </c>
      <c r="Y810" s="2">
        <f t="shared" si="244"/>
        <v>0</v>
      </c>
      <c r="Z810" s="2">
        <f t="shared" si="245"/>
        <v>0</v>
      </c>
      <c r="AA810" s="2">
        <f t="shared" si="246"/>
        <v>-617.22208000000001</v>
      </c>
      <c r="AB810" s="2">
        <f t="shared" si="240"/>
        <v>-617.22208000000001</v>
      </c>
      <c r="AC810" s="734">
        <v>404.81395999999995</v>
      </c>
      <c r="AD810" s="625">
        <v>333.64189000000005</v>
      </c>
      <c r="AE810" s="625">
        <v>235.42259000000007</v>
      </c>
      <c r="AF810" s="625">
        <v>139.34406000000013</v>
      </c>
      <c r="AG810" s="625">
        <v>47.913160000000119</v>
      </c>
      <c r="AH810" s="625">
        <v>-47.528549999999882</v>
      </c>
      <c r="AI810" s="625">
        <v>-145.54741999999987</v>
      </c>
      <c r="AJ810" s="625">
        <v>-222.09173999999987</v>
      </c>
      <c r="AK810" s="625">
        <v>-259.26103999999987</v>
      </c>
      <c r="AL810" s="625">
        <v>-346.54034999999988</v>
      </c>
      <c r="AM810" s="625">
        <v>-437.44504999999981</v>
      </c>
      <c r="AN810" s="625">
        <v>-531.38384999999982</v>
      </c>
      <c r="AO810" s="625">
        <v>-617.22208000000001</v>
      </c>
      <c r="AP810" s="41" t="str">
        <f t="shared" si="236"/>
        <v>Reg AssetN</v>
      </c>
      <c r="AQ810" s="41" t="str">
        <f t="shared" si="237"/>
        <v>Reg AssetNN10OPEB True-up</v>
      </c>
      <c r="AR810" s="41" t="str">
        <f t="shared" si="238"/>
        <v>N10OPEB True-upNCR</v>
      </c>
      <c r="CK810" s="625"/>
    </row>
    <row r="811" spans="1:89" s="41" customFormat="1" ht="12.75" customHeight="1">
      <c r="A811" s="442" t="s">
        <v>746</v>
      </c>
      <c r="B811" s="442" t="str">
        <f t="shared" si="251"/>
        <v>Reg Asset182301601201BE030594</v>
      </c>
      <c r="C811" s="736">
        <v>182301</v>
      </c>
      <c r="D811" s="738">
        <v>601201</v>
      </c>
      <c r="E811" s="626" t="s">
        <v>767</v>
      </c>
      <c r="F811" s="626" t="str">
        <f t="shared" si="248"/>
        <v>OTHER REGULATORY ASSETS - ELECTRIC</v>
      </c>
      <c r="G811" s="626" t="s">
        <v>801</v>
      </c>
      <c r="H811" s="736" t="s">
        <v>821</v>
      </c>
      <c r="I811" s="442"/>
      <c r="J811" s="442" t="s">
        <v>7</v>
      </c>
      <c r="K811" s="442" t="str">
        <f t="shared" si="250"/>
        <v/>
      </c>
      <c r="L811" s="736" t="s">
        <v>2436</v>
      </c>
      <c r="M811" s="442" t="str">
        <f t="shared" si="252"/>
        <v>N</v>
      </c>
      <c r="N811" s="442" t="str">
        <f>IF(L811&lt;&gt;"",VLOOKUP(L811,Categories!$B$2:$D$41,2,FALSE),IF(F811&lt;&gt;"","No Cat",""))</f>
        <v>NRBASE</v>
      </c>
      <c r="O811" s="442" t="str">
        <f>IF($L811&lt;&gt;"",VLOOKUP($L811,Categories!$B$2:$D$41,3,FALSE),IF($F811&lt;&gt;"","No Cat",""))</f>
        <v>Deferrals Accruing Non-Cash Return   (other than ASGA)</v>
      </c>
      <c r="P811" s="736" t="s">
        <v>2468</v>
      </c>
      <c r="Q811" s="442" t="str">
        <f>VLOOKUP($P811,Allocators!$B$7:$F$19,5,FALSE)</f>
        <v>Not in Rate Base</v>
      </c>
      <c r="R811" s="737">
        <f>VLOOKUP($P811,Allocators!$B$7:$F$19,2,FALSE)</f>
        <v>0</v>
      </c>
      <c r="S811" s="737">
        <f>VLOOKUP($P811,Allocators!$B$7:$F$19,3,FALSE)</f>
        <v>0</v>
      </c>
      <c r="T811" s="737">
        <f t="shared" si="253"/>
        <v>1</v>
      </c>
      <c r="U811" s="2" t="str">
        <f t="shared" si="241"/>
        <v/>
      </c>
      <c r="V811" s="2" t="str">
        <f t="shared" si="242"/>
        <v/>
      </c>
      <c r="W811" s="2" t="str">
        <f t="shared" si="243"/>
        <v/>
      </c>
      <c r="X811" s="2">
        <f t="shared" si="239"/>
        <v>0</v>
      </c>
      <c r="Y811" s="2" t="str">
        <f t="shared" si="244"/>
        <v/>
      </c>
      <c r="Z811" s="2" t="str">
        <f t="shared" si="245"/>
        <v/>
      </c>
      <c r="AA811" s="2" t="str">
        <f t="shared" si="246"/>
        <v/>
      </c>
      <c r="AB811" s="2">
        <f t="shared" si="240"/>
        <v>0</v>
      </c>
      <c r="AC811" s="625">
        <v>0</v>
      </c>
      <c r="AD811" s="625">
        <v>0</v>
      </c>
      <c r="AE811" s="625">
        <v>0</v>
      </c>
      <c r="AF811" s="625">
        <v>0</v>
      </c>
      <c r="AG811" s="625">
        <v>0</v>
      </c>
      <c r="AH811" s="625">
        <v>0</v>
      </c>
      <c r="AI811" s="38">
        <v>0</v>
      </c>
      <c r="AJ811" s="625">
        <v>0</v>
      </c>
      <c r="AK811" s="625">
        <v>0</v>
      </c>
      <c r="AL811" s="625">
        <v>0</v>
      </c>
      <c r="AM811" s="625">
        <v>0</v>
      </c>
      <c r="AN811" s="625">
        <v>0</v>
      </c>
      <c r="AO811" s="625">
        <v>0</v>
      </c>
      <c r="AP811" s="41" t="str">
        <f t="shared" si="236"/>
        <v>Reg AssetN</v>
      </c>
      <c r="AQ811" s="41" t="str">
        <f t="shared" si="237"/>
        <v>Reg AssetNN10Low Income</v>
      </c>
      <c r="AR811" s="41" t="str">
        <f t="shared" si="238"/>
        <v>N10Low IncomeNCR</v>
      </c>
      <c r="CK811" s="625"/>
    </row>
    <row r="812" spans="1:89" s="41" customFormat="1" ht="12.75" customHeight="1">
      <c r="A812" s="442" t="s">
        <v>746</v>
      </c>
      <c r="B812" s="442" t="str">
        <f t="shared" si="251"/>
        <v>Reg Asset182301601203BE030594</v>
      </c>
      <c r="C812" s="736">
        <v>182301</v>
      </c>
      <c r="D812" s="738">
        <v>601203</v>
      </c>
      <c r="E812" s="626" t="s">
        <v>767</v>
      </c>
      <c r="F812" s="626" t="str">
        <f t="shared" si="248"/>
        <v>OTHER REGULATORY ASSETS - ELECTRIC</v>
      </c>
      <c r="G812" s="626" t="s">
        <v>802</v>
      </c>
      <c r="H812" s="736" t="s">
        <v>821</v>
      </c>
      <c r="I812" s="442"/>
      <c r="J812" s="442" t="s">
        <v>7</v>
      </c>
      <c r="K812" s="442" t="str">
        <f t="shared" si="250"/>
        <v/>
      </c>
      <c r="L812" s="736" t="s">
        <v>2436</v>
      </c>
      <c r="M812" s="442" t="str">
        <f t="shared" si="252"/>
        <v>N</v>
      </c>
      <c r="N812" s="442" t="str">
        <f>IF(L812&lt;&gt;"",VLOOKUP(L812,Categories!$B$2:$D$41,2,FALSE),IF(F812&lt;&gt;"","No Cat",""))</f>
        <v>NRBASE</v>
      </c>
      <c r="O812" s="442" t="str">
        <f>IF($L812&lt;&gt;"",VLOOKUP($L812,Categories!$B$2:$D$41,3,FALSE),IF($F812&lt;&gt;"","No Cat",""))</f>
        <v>Deferrals Accruing Non-Cash Return   (other than ASGA)</v>
      </c>
      <c r="P812" s="736" t="s">
        <v>2468</v>
      </c>
      <c r="Q812" s="442" t="str">
        <f>VLOOKUP($P812,Allocators!$B$7:$F$19,5,FALSE)</f>
        <v>Not in Rate Base</v>
      </c>
      <c r="R812" s="737">
        <f>VLOOKUP($P812,Allocators!$B$7:$F$19,2,FALSE)</f>
        <v>0</v>
      </c>
      <c r="S812" s="737">
        <f>VLOOKUP($P812,Allocators!$B$7:$F$19,3,FALSE)</f>
        <v>0</v>
      </c>
      <c r="T812" s="737">
        <f t="shared" si="253"/>
        <v>1</v>
      </c>
      <c r="U812" s="2" t="str">
        <f t="shared" si="241"/>
        <v/>
      </c>
      <c r="V812" s="2" t="str">
        <f t="shared" si="242"/>
        <v/>
      </c>
      <c r="W812" s="2" t="str">
        <f t="shared" si="243"/>
        <v/>
      </c>
      <c r="X812" s="2">
        <f t="shared" si="239"/>
        <v>0</v>
      </c>
      <c r="Y812" s="2" t="str">
        <f t="shared" si="244"/>
        <v/>
      </c>
      <c r="Z812" s="2" t="str">
        <f t="shared" si="245"/>
        <v/>
      </c>
      <c r="AA812" s="2" t="str">
        <f t="shared" si="246"/>
        <v/>
      </c>
      <c r="AB812" s="2">
        <f t="shared" si="240"/>
        <v>0</v>
      </c>
      <c r="AC812" s="625">
        <v>0</v>
      </c>
      <c r="AD812" s="625">
        <v>0</v>
      </c>
      <c r="AE812" s="625">
        <v>0</v>
      </c>
      <c r="AF812" s="625">
        <v>0</v>
      </c>
      <c r="AG812" s="625">
        <v>0</v>
      </c>
      <c r="AH812" s="625">
        <v>0</v>
      </c>
      <c r="AI812" s="38">
        <v>0</v>
      </c>
      <c r="AJ812" s="625">
        <v>0</v>
      </c>
      <c r="AK812" s="625">
        <v>0</v>
      </c>
      <c r="AL812" s="625">
        <v>0</v>
      </c>
      <c r="AM812" s="625">
        <v>0</v>
      </c>
      <c r="AN812" s="625">
        <v>0</v>
      </c>
      <c r="AO812" s="625">
        <v>0</v>
      </c>
      <c r="AP812" s="41" t="str">
        <f t="shared" si="236"/>
        <v>Reg AssetN</v>
      </c>
      <c r="AQ812" s="41" t="str">
        <f t="shared" si="237"/>
        <v>Reg AssetNN10Low Income</v>
      </c>
      <c r="AR812" s="41" t="str">
        <f t="shared" si="238"/>
        <v>N10Low IncomeNCR</v>
      </c>
      <c r="CK812" s="625"/>
    </row>
    <row r="813" spans="1:89" s="41" customFormat="1" ht="12.75" customHeight="1">
      <c r="A813" s="25" t="s">
        <v>746</v>
      </c>
      <c r="B813" s="25" t="str">
        <f t="shared" si="251"/>
        <v>Reg Asset182301610219BE030598</v>
      </c>
      <c r="C813" s="736">
        <v>182301</v>
      </c>
      <c r="D813" s="738">
        <v>610219</v>
      </c>
      <c r="E813" s="41" t="s">
        <v>768</v>
      </c>
      <c r="F813" s="41" t="str">
        <f t="shared" si="248"/>
        <v>OTHER REGULATORY ASSETS - ELECTRIC</v>
      </c>
      <c r="G813" s="41" t="s">
        <v>803</v>
      </c>
      <c r="H813" s="736" t="s">
        <v>822</v>
      </c>
      <c r="I813" s="25"/>
      <c r="J813" s="442" t="s">
        <v>7</v>
      </c>
      <c r="K813" s="25" t="str">
        <f t="shared" si="250"/>
        <v/>
      </c>
      <c r="L813" s="736" t="s">
        <v>2436</v>
      </c>
      <c r="M813" s="25" t="str">
        <f t="shared" si="252"/>
        <v>N</v>
      </c>
      <c r="N813" s="25" t="str">
        <f>IF(L813&lt;&gt;"",VLOOKUP(L813,Categories!$B$2:$D$41,2,FALSE),IF(F813&lt;&gt;"","No Cat",""))</f>
        <v>NRBASE</v>
      </c>
      <c r="O813" s="25" t="str">
        <f>IF($L813&lt;&gt;"",VLOOKUP($L813,Categories!$B$2:$D$41,3,FALSE),IF($F813&lt;&gt;"","No Cat",""))</f>
        <v>Deferrals Accruing Non-Cash Return   (other than ASGA)</v>
      </c>
      <c r="P813" s="736" t="s">
        <v>2468</v>
      </c>
      <c r="Q813" s="25" t="str">
        <f>VLOOKUP($P813,Allocators!$B$7:$F$19,5,FALSE)</f>
        <v>Not in Rate Base</v>
      </c>
      <c r="R813" s="737">
        <f>VLOOKUP($P813,Allocators!$B$7:$F$19,2,FALSE)</f>
        <v>0</v>
      </c>
      <c r="S813" s="737">
        <f>VLOOKUP($P813,Allocators!$B$7:$F$19,3,FALSE)</f>
        <v>0</v>
      </c>
      <c r="T813" s="737">
        <f t="shared" si="253"/>
        <v>1</v>
      </c>
      <c r="U813" s="2">
        <f t="shared" si="241"/>
        <v>0</v>
      </c>
      <c r="V813" s="2">
        <f t="shared" si="242"/>
        <v>0</v>
      </c>
      <c r="W813" s="2">
        <f t="shared" si="243"/>
        <v>-62.078632916666699</v>
      </c>
      <c r="X813" s="2">
        <f t="shared" si="239"/>
        <v>-62.078632916666699</v>
      </c>
      <c r="Y813" s="2" t="str">
        <f t="shared" si="244"/>
        <v/>
      </c>
      <c r="Z813" s="2" t="str">
        <f t="shared" si="245"/>
        <v/>
      </c>
      <c r="AA813" s="2" t="str">
        <f t="shared" si="246"/>
        <v/>
      </c>
      <c r="AB813" s="2">
        <f t="shared" si="240"/>
        <v>0</v>
      </c>
      <c r="AC813" s="734">
        <v>-183.65652999999998</v>
      </c>
      <c r="AD813" s="625">
        <v>-199.85731999999999</v>
      </c>
      <c r="AE813" s="625">
        <v>-217.82468</v>
      </c>
      <c r="AF813" s="625">
        <v>-235.43332999999998</v>
      </c>
      <c r="AG813" s="625">
        <v>0</v>
      </c>
      <c r="AH813" s="625">
        <v>0</v>
      </c>
      <c r="AI813" s="38">
        <v>0</v>
      </c>
      <c r="AJ813" s="625">
        <v>0</v>
      </c>
      <c r="AK813" s="625">
        <v>0</v>
      </c>
      <c r="AL813" s="625">
        <v>0</v>
      </c>
      <c r="AM813" s="625">
        <v>0</v>
      </c>
      <c r="AN813" s="625">
        <v>0</v>
      </c>
      <c r="AO813" s="625">
        <v>0</v>
      </c>
      <c r="AP813" s="41" t="str">
        <f t="shared" si="236"/>
        <v>Reg AssetN</v>
      </c>
      <c r="AQ813" s="41" t="str">
        <f t="shared" si="237"/>
        <v>Reg AssetNN10Variable Rate Debt</v>
      </c>
      <c r="AR813" s="41" t="str">
        <f t="shared" si="238"/>
        <v>N10Variable Rate DebtNCR</v>
      </c>
      <c r="CK813" s="625"/>
    </row>
    <row r="814" spans="1:89" s="41" customFormat="1" ht="12.75" customHeight="1">
      <c r="A814" s="442" t="s">
        <v>746</v>
      </c>
      <c r="B814" s="442" t="str">
        <f t="shared" si="251"/>
        <v>Reg Asset182301601240BE030594</v>
      </c>
      <c r="C814" s="736">
        <v>182301</v>
      </c>
      <c r="D814" s="738">
        <v>601240</v>
      </c>
      <c r="E814" s="626" t="s">
        <v>767</v>
      </c>
      <c r="F814" s="626" t="str">
        <f t="shared" si="248"/>
        <v>OTHER REGULATORY ASSETS - ELECTRIC</v>
      </c>
      <c r="G814" s="626" t="s">
        <v>804</v>
      </c>
      <c r="H814" s="736" t="s">
        <v>821</v>
      </c>
      <c r="I814" s="442"/>
      <c r="J814" s="442" t="s">
        <v>7</v>
      </c>
      <c r="K814" s="442" t="str">
        <f t="shared" si="250"/>
        <v/>
      </c>
      <c r="L814" s="736" t="s">
        <v>2436</v>
      </c>
      <c r="M814" s="442" t="str">
        <f t="shared" si="252"/>
        <v>N</v>
      </c>
      <c r="N814" s="442" t="str">
        <f>IF(L814&lt;&gt;"",VLOOKUP(L814,Categories!$B$2:$D$41,2,FALSE),IF(F814&lt;&gt;"","No Cat",""))</f>
        <v>NRBASE</v>
      </c>
      <c r="O814" s="442" t="str">
        <f>IF($L814&lt;&gt;"",VLOOKUP($L814,Categories!$B$2:$D$41,3,FALSE),IF($F814&lt;&gt;"","No Cat",""))</f>
        <v>Deferrals Accruing Non-Cash Return   (other than ASGA)</v>
      </c>
      <c r="P814" s="736" t="s">
        <v>2468</v>
      </c>
      <c r="Q814" s="442" t="str">
        <f>VLOOKUP($P814,Allocators!$B$7:$F$19,5,FALSE)</f>
        <v>Not in Rate Base</v>
      </c>
      <c r="R814" s="737">
        <f>VLOOKUP($P814,Allocators!$B$7:$F$19,2,FALSE)</f>
        <v>0</v>
      </c>
      <c r="S814" s="737">
        <f>VLOOKUP($P814,Allocators!$B$7:$F$19,3,FALSE)</f>
        <v>0</v>
      </c>
      <c r="T814" s="737">
        <f t="shared" si="253"/>
        <v>1</v>
      </c>
      <c r="U814" s="2" t="str">
        <f t="shared" si="241"/>
        <v/>
      </c>
      <c r="V814" s="2" t="str">
        <f t="shared" si="242"/>
        <v/>
      </c>
      <c r="W814" s="2" t="str">
        <f t="shared" si="243"/>
        <v/>
      </c>
      <c r="X814" s="2">
        <f t="shared" si="239"/>
        <v>0</v>
      </c>
      <c r="Y814" s="2" t="str">
        <f t="shared" si="244"/>
        <v/>
      </c>
      <c r="Z814" s="2" t="str">
        <f t="shared" si="245"/>
        <v/>
      </c>
      <c r="AA814" s="2" t="str">
        <f t="shared" si="246"/>
        <v/>
      </c>
      <c r="AB814" s="2">
        <f t="shared" si="240"/>
        <v>0</v>
      </c>
      <c r="AC814" s="625">
        <v>0</v>
      </c>
      <c r="AD814" s="625">
        <v>0</v>
      </c>
      <c r="AE814" s="625">
        <v>0</v>
      </c>
      <c r="AF814" s="625">
        <v>0</v>
      </c>
      <c r="AG814" s="625">
        <v>0</v>
      </c>
      <c r="AH814" s="625">
        <v>0</v>
      </c>
      <c r="AI814" s="38">
        <v>0</v>
      </c>
      <c r="AJ814" s="625">
        <v>0</v>
      </c>
      <c r="AK814" s="625">
        <v>0</v>
      </c>
      <c r="AL814" s="625">
        <v>0</v>
      </c>
      <c r="AM814" s="625">
        <v>0</v>
      </c>
      <c r="AN814" s="625">
        <v>0</v>
      </c>
      <c r="AO814" s="625">
        <v>0</v>
      </c>
      <c r="AP814" s="41" t="str">
        <f t="shared" si="236"/>
        <v>Reg AssetN</v>
      </c>
      <c r="AQ814" s="41" t="str">
        <f t="shared" si="237"/>
        <v>Reg AssetNN10Low Income</v>
      </c>
      <c r="AR814" s="41" t="str">
        <f t="shared" si="238"/>
        <v>N10Low IncomeNCR</v>
      </c>
      <c r="CK814" s="625"/>
    </row>
    <row r="815" spans="1:89" s="41" customFormat="1" ht="12.75" customHeight="1">
      <c r="A815" s="442" t="s">
        <v>746</v>
      </c>
      <c r="B815" s="442" t="str">
        <f t="shared" si="251"/>
        <v>Reg Asset182301601237BE030904</v>
      </c>
      <c r="C815" s="736">
        <v>182301</v>
      </c>
      <c r="D815" s="738">
        <v>601237</v>
      </c>
      <c r="E815" s="626" t="s">
        <v>769</v>
      </c>
      <c r="F815" s="626" t="str">
        <f t="shared" si="248"/>
        <v>OTHER REGULATORY ASSETS - ELECTRIC</v>
      </c>
      <c r="G815" s="626" t="s">
        <v>805</v>
      </c>
      <c r="H815" s="736" t="s">
        <v>823</v>
      </c>
      <c r="I815" s="442"/>
      <c r="J815" s="442" t="s">
        <v>7</v>
      </c>
      <c r="K815" s="442" t="str">
        <f t="shared" si="250"/>
        <v/>
      </c>
      <c r="L815" s="736" t="s">
        <v>2436</v>
      </c>
      <c r="M815" s="442" t="str">
        <f t="shared" si="252"/>
        <v>N</v>
      </c>
      <c r="N815" s="442" t="str">
        <f>IF(L815&lt;&gt;"",VLOOKUP(L815,Categories!$B$2:$D$41,2,FALSE),IF(F815&lt;&gt;"","No Cat",""))</f>
        <v>NRBASE</v>
      </c>
      <c r="O815" s="442" t="str">
        <f>IF($L815&lt;&gt;"",VLOOKUP($L815,Categories!$B$2:$D$41,3,FALSE),IF($F815&lt;&gt;"","No Cat",""))</f>
        <v>Deferrals Accruing Non-Cash Return   (other than ASGA)</v>
      </c>
      <c r="P815" s="736" t="s">
        <v>2468</v>
      </c>
      <c r="Q815" s="442" t="str">
        <f>VLOOKUP($P815,Allocators!$B$7:$F$19,5,FALSE)</f>
        <v>Not in Rate Base</v>
      </c>
      <c r="R815" s="737">
        <f>VLOOKUP($P815,Allocators!$B$7:$F$19,2,FALSE)</f>
        <v>0</v>
      </c>
      <c r="S815" s="737">
        <f>VLOOKUP($P815,Allocators!$B$7:$F$19,3,FALSE)</f>
        <v>0</v>
      </c>
      <c r="T815" s="737">
        <f t="shared" si="253"/>
        <v>1</v>
      </c>
      <c r="U815" s="2" t="str">
        <f t="shared" si="241"/>
        <v/>
      </c>
      <c r="V815" s="2" t="str">
        <f t="shared" si="242"/>
        <v/>
      </c>
      <c r="W815" s="2" t="str">
        <f t="shared" si="243"/>
        <v/>
      </c>
      <c r="X815" s="2">
        <f t="shared" si="239"/>
        <v>0</v>
      </c>
      <c r="Y815" s="2" t="str">
        <f t="shared" si="244"/>
        <v/>
      </c>
      <c r="Z815" s="2" t="str">
        <f t="shared" si="245"/>
        <v/>
      </c>
      <c r="AA815" s="2" t="str">
        <f t="shared" si="246"/>
        <v/>
      </c>
      <c r="AB815" s="2">
        <f t="shared" si="240"/>
        <v>0</v>
      </c>
      <c r="AC815" s="625">
        <v>0</v>
      </c>
      <c r="AD815" s="625">
        <v>0</v>
      </c>
      <c r="AE815" s="625">
        <v>0</v>
      </c>
      <c r="AF815" s="625">
        <v>0</v>
      </c>
      <c r="AG815" s="625">
        <v>0</v>
      </c>
      <c r="AH815" s="625">
        <v>0</v>
      </c>
      <c r="AI815" s="38">
        <v>0</v>
      </c>
      <c r="AJ815" s="625">
        <v>0</v>
      </c>
      <c r="AK815" s="625">
        <v>0</v>
      </c>
      <c r="AL815" s="625">
        <v>0</v>
      </c>
      <c r="AM815" s="625">
        <v>0</v>
      </c>
      <c r="AN815" s="625">
        <v>0</v>
      </c>
      <c r="AO815" s="625">
        <v>0</v>
      </c>
      <c r="AP815" s="41" t="str">
        <f t="shared" si="236"/>
        <v>Reg AssetN</v>
      </c>
      <c r="AQ815" s="41" t="str">
        <f t="shared" si="237"/>
        <v>Reg AssetNN10RDM</v>
      </c>
      <c r="AR815" s="41" t="str">
        <f t="shared" si="238"/>
        <v>N10RDMNCR</v>
      </c>
      <c r="CK815" s="625"/>
    </row>
    <row r="816" spans="1:89" s="41" customFormat="1" ht="12.75" customHeight="1">
      <c r="A816" s="442" t="s">
        <v>746</v>
      </c>
      <c r="B816" s="442" t="str">
        <f t="shared" si="251"/>
        <v>Reg Asset182301601218BE030597</v>
      </c>
      <c r="C816" s="736">
        <v>182301</v>
      </c>
      <c r="D816" s="738">
        <v>601218</v>
      </c>
      <c r="E816" s="626" t="s">
        <v>770</v>
      </c>
      <c r="F816" s="626" t="str">
        <f t="shared" si="248"/>
        <v>OTHER REGULATORY ASSETS - ELECTRIC</v>
      </c>
      <c r="G816" s="626" t="s">
        <v>806</v>
      </c>
      <c r="H816" s="736" t="s">
        <v>824</v>
      </c>
      <c r="I816" s="442"/>
      <c r="J816" s="442" t="s">
        <v>7</v>
      </c>
      <c r="K816" s="442" t="str">
        <f t="shared" si="250"/>
        <v/>
      </c>
      <c r="L816" s="736" t="s">
        <v>2436</v>
      </c>
      <c r="M816" s="442" t="str">
        <f t="shared" si="252"/>
        <v>N</v>
      </c>
      <c r="N816" s="442" t="str">
        <f>IF(L816&lt;&gt;"",VLOOKUP(L816,Categories!$B$2:$D$41,2,FALSE),IF(F816&lt;&gt;"","No Cat",""))</f>
        <v>NRBASE</v>
      </c>
      <c r="O816" s="442" t="str">
        <f>IF($L816&lt;&gt;"",VLOOKUP($L816,Categories!$B$2:$D$41,3,FALSE),IF($F816&lt;&gt;"","No Cat",""))</f>
        <v>Deferrals Accruing Non-Cash Return   (other than ASGA)</v>
      </c>
      <c r="P816" s="736" t="s">
        <v>2468</v>
      </c>
      <c r="Q816" s="442" t="str">
        <f>VLOOKUP($P816,Allocators!$B$7:$F$19,5,FALSE)</f>
        <v>Not in Rate Base</v>
      </c>
      <c r="R816" s="737">
        <f>VLOOKUP($P816,Allocators!$B$7:$F$19,2,FALSE)</f>
        <v>0</v>
      </c>
      <c r="S816" s="737">
        <f>VLOOKUP($P816,Allocators!$B$7:$F$19,3,FALSE)</f>
        <v>0</v>
      </c>
      <c r="T816" s="737">
        <f t="shared" si="253"/>
        <v>1</v>
      </c>
      <c r="U816" s="2">
        <f t="shared" si="241"/>
        <v>0</v>
      </c>
      <c r="V816" s="2">
        <f t="shared" si="242"/>
        <v>0</v>
      </c>
      <c r="W816" s="2">
        <f t="shared" si="243"/>
        <v>83.913702916666693</v>
      </c>
      <c r="X816" s="2">
        <f t="shared" si="239"/>
        <v>83.913702916666693</v>
      </c>
      <c r="Y816" s="2">
        <f t="shared" si="244"/>
        <v>0</v>
      </c>
      <c r="Z816" s="2">
        <f t="shared" si="245"/>
        <v>0</v>
      </c>
      <c r="AA816" s="2">
        <f t="shared" si="246"/>
        <v>86.790930000000003</v>
      </c>
      <c r="AB816" s="2">
        <f t="shared" si="240"/>
        <v>86.790929999999989</v>
      </c>
      <c r="AC816" s="734">
        <v>81.100340000000003</v>
      </c>
      <c r="AD816" s="625">
        <v>81.559960000000004</v>
      </c>
      <c r="AE816" s="625">
        <v>82.022180000000006</v>
      </c>
      <c r="AF816" s="625">
        <v>82.487020000000001</v>
      </c>
      <c r="AG816" s="625">
        <v>82.954490000000007</v>
      </c>
      <c r="AH816" s="625">
        <v>83.424610000000001</v>
      </c>
      <c r="AI816" s="625">
        <v>83.89739999999999</v>
      </c>
      <c r="AJ816" s="625">
        <v>84.372869999999992</v>
      </c>
      <c r="AK816" s="625">
        <v>84.851029999999994</v>
      </c>
      <c r="AL816" s="625">
        <v>85.33189999999999</v>
      </c>
      <c r="AM816" s="625">
        <v>85.8155</v>
      </c>
      <c r="AN816" s="625">
        <v>86.301839999999999</v>
      </c>
      <c r="AO816" s="625">
        <v>86.790929999999989</v>
      </c>
      <c r="AP816" s="41" t="str">
        <f t="shared" si="236"/>
        <v>Reg AssetN</v>
      </c>
      <c r="AQ816" s="41" t="str">
        <f t="shared" si="237"/>
        <v>Reg AssetNN10CAIDI/SAIFI Study</v>
      </c>
      <c r="AR816" s="41" t="str">
        <f t="shared" si="238"/>
        <v>N10CAIDI/SAIFI StudyNCR</v>
      </c>
      <c r="CK816" s="625"/>
    </row>
    <row r="817" spans="1:89" s="41" customFormat="1" ht="12.75" customHeight="1">
      <c r="A817" s="442" t="s">
        <v>746</v>
      </c>
      <c r="B817" s="442" t="str">
        <f t="shared" si="251"/>
        <v>Reg Asset182301601237-11BE030904</v>
      </c>
      <c r="C817" s="736">
        <v>182301</v>
      </c>
      <c r="D817" s="738" t="s">
        <v>785</v>
      </c>
      <c r="E817" s="626" t="s">
        <v>769</v>
      </c>
      <c r="F817" s="626" t="str">
        <f t="shared" si="248"/>
        <v>OTHER REGULATORY ASSETS - ELECTRIC</v>
      </c>
      <c r="G817" s="626" t="s">
        <v>807</v>
      </c>
      <c r="H817" s="736" t="s">
        <v>823</v>
      </c>
      <c r="I817" s="442"/>
      <c r="J817" s="442" t="s">
        <v>7</v>
      </c>
      <c r="K817" s="442" t="str">
        <f t="shared" si="250"/>
        <v/>
      </c>
      <c r="L817" s="736" t="s">
        <v>2436</v>
      </c>
      <c r="M817" s="442" t="str">
        <f t="shared" si="252"/>
        <v>N</v>
      </c>
      <c r="N817" s="442" t="str">
        <f>IF(L817&lt;&gt;"",VLOOKUP(L817,Categories!$B$2:$D$41,2,FALSE),IF(F817&lt;&gt;"","No Cat",""))</f>
        <v>NRBASE</v>
      </c>
      <c r="O817" s="442" t="str">
        <f>IF($L817&lt;&gt;"",VLOOKUP($L817,Categories!$B$2:$D$41,3,FALSE),IF($F817&lt;&gt;"","No Cat",""))</f>
        <v>Deferrals Accruing Non-Cash Return   (other than ASGA)</v>
      </c>
      <c r="P817" s="736" t="s">
        <v>2468</v>
      </c>
      <c r="Q817" s="442" t="str">
        <f>VLOOKUP($P817,Allocators!$B$7:$F$19,5,FALSE)</f>
        <v>Not in Rate Base</v>
      </c>
      <c r="R817" s="737">
        <f>VLOOKUP($P817,Allocators!$B$7:$F$19,2,FALSE)</f>
        <v>0</v>
      </c>
      <c r="S817" s="737">
        <f>VLOOKUP($P817,Allocators!$B$7:$F$19,3,FALSE)</f>
        <v>0</v>
      </c>
      <c r="T817" s="737">
        <f t="shared" si="253"/>
        <v>1</v>
      </c>
      <c r="U817" s="2" t="str">
        <f t="shared" si="241"/>
        <v/>
      </c>
      <c r="V817" s="2" t="str">
        <f t="shared" si="242"/>
        <v/>
      </c>
      <c r="W817" s="2" t="str">
        <f t="shared" si="243"/>
        <v/>
      </c>
      <c r="X817" s="2">
        <f t="shared" si="239"/>
        <v>0</v>
      </c>
      <c r="Y817" s="2" t="str">
        <f t="shared" si="244"/>
        <v/>
      </c>
      <c r="Z817" s="2" t="str">
        <f t="shared" si="245"/>
        <v/>
      </c>
      <c r="AA817" s="2" t="str">
        <f t="shared" si="246"/>
        <v/>
      </c>
      <c r="AB817" s="2">
        <f t="shared" si="240"/>
        <v>0</v>
      </c>
      <c r="AC817" s="625">
        <v>0</v>
      </c>
      <c r="AD817" s="625">
        <v>0</v>
      </c>
      <c r="AE817" s="625">
        <v>0</v>
      </c>
      <c r="AF817" s="625">
        <v>0</v>
      </c>
      <c r="AG817" s="625">
        <v>0</v>
      </c>
      <c r="AH817" s="625">
        <v>0</v>
      </c>
      <c r="AI817" s="38">
        <v>0</v>
      </c>
      <c r="AJ817" s="625">
        <v>0</v>
      </c>
      <c r="AK817" s="625">
        <v>0</v>
      </c>
      <c r="AL817" s="625">
        <v>0</v>
      </c>
      <c r="AM817" s="625">
        <v>0</v>
      </c>
      <c r="AN817" s="625">
        <v>0</v>
      </c>
      <c r="AO817" s="625">
        <v>0</v>
      </c>
      <c r="AP817" s="41" t="str">
        <f t="shared" si="236"/>
        <v>Reg AssetN</v>
      </c>
      <c r="AQ817" s="41" t="str">
        <f t="shared" si="237"/>
        <v>Reg AssetNN10RDM</v>
      </c>
      <c r="AR817" s="41" t="str">
        <f t="shared" si="238"/>
        <v>N10RDMNCR</v>
      </c>
      <c r="CK817" s="625"/>
    </row>
    <row r="818" spans="1:89" s="41" customFormat="1" ht="12.75" customHeight="1">
      <c r="A818" s="442" t="s">
        <v>746</v>
      </c>
      <c r="B818" s="442" t="str">
        <f t="shared" si="251"/>
        <v>Reg Asset182301601237-12BE030904</v>
      </c>
      <c r="C818" s="736">
        <v>182301</v>
      </c>
      <c r="D818" s="738" t="s">
        <v>786</v>
      </c>
      <c r="E818" s="626" t="s">
        <v>769</v>
      </c>
      <c r="F818" s="626" t="str">
        <f t="shared" si="248"/>
        <v>OTHER REGULATORY ASSETS - ELECTRIC</v>
      </c>
      <c r="G818" s="626" t="s">
        <v>808</v>
      </c>
      <c r="H818" s="736" t="s">
        <v>823</v>
      </c>
      <c r="I818" s="442"/>
      <c r="J818" s="442" t="s">
        <v>7</v>
      </c>
      <c r="K818" s="442" t="str">
        <f t="shared" si="250"/>
        <v/>
      </c>
      <c r="L818" s="736" t="s">
        <v>2436</v>
      </c>
      <c r="M818" s="442" t="str">
        <f t="shared" si="252"/>
        <v>N</v>
      </c>
      <c r="N818" s="442" t="str">
        <f>IF(L818&lt;&gt;"",VLOOKUP(L818,Categories!$B$2:$D$41,2,FALSE),IF(F818&lt;&gt;"","No Cat",""))</f>
        <v>NRBASE</v>
      </c>
      <c r="O818" s="442" t="str">
        <f>IF($L818&lt;&gt;"",VLOOKUP($L818,Categories!$B$2:$D$41,3,FALSE),IF($F818&lt;&gt;"","No Cat",""))</f>
        <v>Deferrals Accruing Non-Cash Return   (other than ASGA)</v>
      </c>
      <c r="P818" s="736" t="s">
        <v>2468</v>
      </c>
      <c r="Q818" s="442" t="str">
        <f>VLOOKUP($P818,Allocators!$B$7:$F$19,5,FALSE)</f>
        <v>Not in Rate Base</v>
      </c>
      <c r="R818" s="737">
        <f>VLOOKUP($P818,Allocators!$B$7:$F$19,2,FALSE)</f>
        <v>0</v>
      </c>
      <c r="S818" s="737">
        <f>VLOOKUP($P818,Allocators!$B$7:$F$19,3,FALSE)</f>
        <v>0</v>
      </c>
      <c r="T818" s="737">
        <f t="shared" si="253"/>
        <v>1</v>
      </c>
      <c r="U818" s="2">
        <f t="shared" si="241"/>
        <v>0</v>
      </c>
      <c r="V818" s="2">
        <f t="shared" si="242"/>
        <v>0</v>
      </c>
      <c r="W818" s="2">
        <f t="shared" si="243"/>
        <v>2.3999999999999999E-14</v>
      </c>
      <c r="X818" s="2">
        <f t="shared" si="239"/>
        <v>2.3999999999999999E-14</v>
      </c>
      <c r="Y818" s="2" t="str">
        <f t="shared" si="244"/>
        <v/>
      </c>
      <c r="Z818" s="2" t="str">
        <f t="shared" si="245"/>
        <v/>
      </c>
      <c r="AA818" s="2" t="str">
        <f t="shared" si="246"/>
        <v/>
      </c>
      <c r="AB818" s="2">
        <f t="shared" si="240"/>
        <v>0</v>
      </c>
      <c r="AC818" s="734">
        <v>5.8207660913467408E-13</v>
      </c>
      <c r="AD818" s="625">
        <v>0</v>
      </c>
      <c r="AE818" s="625">
        <v>0</v>
      </c>
      <c r="AF818" s="625">
        <v>0</v>
      </c>
      <c r="AG818" s="625">
        <v>0</v>
      </c>
      <c r="AH818" s="625">
        <v>0</v>
      </c>
      <c r="AI818" s="38">
        <v>0</v>
      </c>
      <c r="AJ818" s="625">
        <v>0</v>
      </c>
      <c r="AK818" s="625">
        <v>0</v>
      </c>
      <c r="AL818" s="625">
        <v>0</v>
      </c>
      <c r="AM818" s="625">
        <v>0</v>
      </c>
      <c r="AN818" s="625">
        <v>0</v>
      </c>
      <c r="AO818" s="625">
        <v>0</v>
      </c>
      <c r="AP818" s="41" t="str">
        <f t="shared" si="236"/>
        <v>Reg AssetN</v>
      </c>
      <c r="AQ818" s="41" t="str">
        <f t="shared" si="237"/>
        <v>Reg AssetNN10RDM</v>
      </c>
      <c r="AR818" s="41" t="str">
        <f t="shared" si="238"/>
        <v>N10RDMNCR</v>
      </c>
      <c r="CK818" s="625"/>
    </row>
    <row r="819" spans="1:89" s="41" customFormat="1" ht="12.75" customHeight="1">
      <c r="A819" s="442" t="s">
        <v>746</v>
      </c>
      <c r="B819" s="442" t="str">
        <f t="shared" si="251"/>
        <v>Reg Asset182301601237-13BE030904</v>
      </c>
      <c r="C819" s="736">
        <v>182301</v>
      </c>
      <c r="D819" s="738" t="s">
        <v>2809</v>
      </c>
      <c r="E819" s="626" t="s">
        <v>769</v>
      </c>
      <c r="F819" s="626" t="str">
        <f t="shared" si="248"/>
        <v>OTHER REGULATORY ASSETS - ELECTRIC</v>
      </c>
      <c r="G819" s="626" t="s">
        <v>2810</v>
      </c>
      <c r="H819" s="736" t="s">
        <v>823</v>
      </c>
      <c r="I819" s="442"/>
      <c r="J819" s="442" t="s">
        <v>7</v>
      </c>
      <c r="K819" s="442" t="str">
        <f t="shared" si="250"/>
        <v/>
      </c>
      <c r="L819" s="736" t="s">
        <v>2436</v>
      </c>
      <c r="M819" s="442" t="str">
        <f t="shared" si="252"/>
        <v>N</v>
      </c>
      <c r="N819" s="442" t="str">
        <f>IF(L819&lt;&gt;"",VLOOKUP(L819,Categories!$B$2:$D$41,2,FALSE),IF(F819&lt;&gt;"","No Cat",""))</f>
        <v>NRBASE</v>
      </c>
      <c r="O819" s="442" t="str">
        <f>IF($L819&lt;&gt;"",VLOOKUP($L819,Categories!$B$2:$D$41,3,FALSE),IF($F819&lt;&gt;"","No Cat",""))</f>
        <v>Deferrals Accruing Non-Cash Return   (other than ASGA)</v>
      </c>
      <c r="P819" s="736" t="s">
        <v>2468</v>
      </c>
      <c r="Q819" s="442" t="str">
        <f>VLOOKUP($P819,Allocators!$B$7:$F$19,5,FALSE)</f>
        <v>Not in Rate Base</v>
      </c>
      <c r="R819" s="737">
        <f>VLOOKUP($P819,Allocators!$B$7:$F$19,2,FALSE)</f>
        <v>0</v>
      </c>
      <c r="S819" s="737">
        <f>VLOOKUP($P819,Allocators!$B$7:$F$19,3,FALSE)</f>
        <v>0</v>
      </c>
      <c r="T819" s="737">
        <f t="shared" ref="T819:T831" si="254">IF(P819="N",1,"0.0%")</f>
        <v>1</v>
      </c>
      <c r="U819" s="2">
        <f t="shared" si="241"/>
        <v>0</v>
      </c>
      <c r="V819" s="2">
        <f t="shared" si="242"/>
        <v>0</v>
      </c>
      <c r="W819" s="2">
        <f t="shared" si="243"/>
        <v>1416.0399920833299</v>
      </c>
      <c r="X819" s="2">
        <f t="shared" si="239"/>
        <v>1416.0399920833299</v>
      </c>
      <c r="Y819" s="2" t="str">
        <f t="shared" si="244"/>
        <v/>
      </c>
      <c r="Z819" s="2" t="str">
        <f t="shared" si="245"/>
        <v/>
      </c>
      <c r="AA819" s="2" t="str">
        <f t="shared" si="246"/>
        <v/>
      </c>
      <c r="AB819" s="2">
        <f t="shared" si="240"/>
        <v>0</v>
      </c>
      <c r="AC819" s="734">
        <v>3158.9209699999992</v>
      </c>
      <c r="AD819" s="625">
        <v>2883.3267700000006</v>
      </c>
      <c r="AE819" s="625">
        <v>2592.3194200000003</v>
      </c>
      <c r="AF819" s="625">
        <v>2303.0468300000002</v>
      </c>
      <c r="AG819" s="625">
        <v>2037.93914</v>
      </c>
      <c r="AH819" s="625">
        <v>1731.4315199999999</v>
      </c>
      <c r="AI819" s="625">
        <v>1391.49146</v>
      </c>
      <c r="AJ819" s="625">
        <v>1084.66029</v>
      </c>
      <c r="AK819" s="625">
        <v>781.67081999999994</v>
      </c>
      <c r="AL819" s="625">
        <v>452.41340999999994</v>
      </c>
      <c r="AM819" s="625">
        <v>154.71975999999992</v>
      </c>
      <c r="AN819" s="625">
        <v>0</v>
      </c>
      <c r="AO819" s="625">
        <v>0</v>
      </c>
      <c r="AP819" s="41" t="str">
        <f t="shared" si="236"/>
        <v>Reg AssetN</v>
      </c>
      <c r="AQ819" s="41" t="str">
        <f t="shared" si="237"/>
        <v>Reg AssetNN10RDM</v>
      </c>
      <c r="AR819" s="41" t="str">
        <f t="shared" si="238"/>
        <v>N10RDMNCR</v>
      </c>
      <c r="CK819" s="625"/>
    </row>
    <row r="820" spans="1:89" s="41" customFormat="1" ht="12.75" customHeight="1">
      <c r="A820" s="442" t="s">
        <v>746</v>
      </c>
      <c r="B820" s="442" t="str">
        <f t="shared" ref="B820" si="255">CONCATENATE(A820,C820,D820,E820)</f>
        <v>Reg Asset182301601237-14BE030904</v>
      </c>
      <c r="C820" s="736">
        <v>182301</v>
      </c>
      <c r="D820" s="738" t="s">
        <v>4327</v>
      </c>
      <c r="E820" s="626" t="s">
        <v>769</v>
      </c>
      <c r="F820" s="626" t="str">
        <f t="shared" si="248"/>
        <v>OTHER REGULATORY ASSETS - ELECTRIC</v>
      </c>
      <c r="G820" s="626" t="s">
        <v>4325</v>
      </c>
      <c r="H820" s="736" t="s">
        <v>823</v>
      </c>
      <c r="I820" s="442"/>
      <c r="J820" s="442" t="s">
        <v>7</v>
      </c>
      <c r="K820" s="442" t="str">
        <f t="shared" ref="K820" si="256">IF(L820="N3","Y","")</f>
        <v/>
      </c>
      <c r="L820" s="736" t="s">
        <v>2436</v>
      </c>
      <c r="M820" s="442" t="str">
        <f t="shared" ref="M820" si="257">LEFT(L820,1)</f>
        <v>N</v>
      </c>
      <c r="N820" s="442" t="str">
        <f>IF(L820&lt;&gt;"",VLOOKUP(L820,Categories!$B$2:$D$41,2,FALSE),IF(F820&lt;&gt;"","No Cat",""))</f>
        <v>NRBASE</v>
      </c>
      <c r="O820" s="442" t="str">
        <f>IF($L820&lt;&gt;"",VLOOKUP($L820,Categories!$B$2:$D$41,3,FALSE),IF($F820&lt;&gt;"","No Cat",""))</f>
        <v>Deferrals Accruing Non-Cash Return   (other than ASGA)</v>
      </c>
      <c r="P820" s="736" t="s">
        <v>2468</v>
      </c>
      <c r="Q820" s="442" t="str">
        <f>VLOOKUP($P820,Allocators!$B$7:$F$19,5,FALSE)</f>
        <v>Not in Rate Base</v>
      </c>
      <c r="R820" s="737">
        <f>VLOOKUP($P820,Allocators!$B$7:$F$19,2,FALSE)</f>
        <v>0</v>
      </c>
      <c r="S820" s="737">
        <f>VLOOKUP($P820,Allocators!$B$7:$F$19,3,FALSE)</f>
        <v>0</v>
      </c>
      <c r="T820" s="737">
        <f t="shared" ref="T820" si="258">IF(P820="N",1,"0.0%")</f>
        <v>1</v>
      </c>
      <c r="U820" s="2">
        <f t="shared" si="241"/>
        <v>0</v>
      </c>
      <c r="V820" s="2">
        <f t="shared" si="242"/>
        <v>0</v>
      </c>
      <c r="W820" s="2">
        <f t="shared" si="243"/>
        <v>2224.6469699999998</v>
      </c>
      <c r="X820" s="2">
        <f t="shared" si="239"/>
        <v>2224.6469699999998</v>
      </c>
      <c r="Y820" s="2">
        <f t="shared" si="244"/>
        <v>0</v>
      </c>
      <c r="Z820" s="2">
        <f t="shared" si="245"/>
        <v>0</v>
      </c>
      <c r="AA820" s="2">
        <f t="shared" si="246"/>
        <v>3324.3211799999999</v>
      </c>
      <c r="AB820" s="2">
        <f t="shared" si="240"/>
        <v>3324.3211799999995</v>
      </c>
      <c r="AC820" s="734">
        <v>700.83925999999974</v>
      </c>
      <c r="AD820" s="625">
        <v>1173.8234599999998</v>
      </c>
      <c r="AE820" s="625">
        <v>628.42809999999974</v>
      </c>
      <c r="AF820" s="625">
        <v>1069.9854799999998</v>
      </c>
      <c r="AG820" s="625">
        <v>1524.3820899999998</v>
      </c>
      <c r="AH820" s="625">
        <v>1704.7264299999999</v>
      </c>
      <c r="AI820" s="625">
        <v>1371.7074499999999</v>
      </c>
      <c r="AJ820" s="625">
        <v>2160.0475000000001</v>
      </c>
      <c r="AK820" s="625">
        <v>3779.6991699999999</v>
      </c>
      <c r="AL820" s="625">
        <v>3789.22532</v>
      </c>
      <c r="AM820" s="625">
        <v>3798.7514699999997</v>
      </c>
      <c r="AN820" s="625">
        <v>3682.4069499999991</v>
      </c>
      <c r="AO820" s="625">
        <v>3324.3211799999995</v>
      </c>
      <c r="AP820" s="41" t="str">
        <f t="shared" si="236"/>
        <v>Reg AssetN</v>
      </c>
      <c r="AQ820" s="41" t="str">
        <f t="shared" si="237"/>
        <v>Reg AssetNN10RDM</v>
      </c>
      <c r="AR820" s="41" t="str">
        <f t="shared" si="238"/>
        <v>N10RDMNCR</v>
      </c>
      <c r="CK820" s="625"/>
    </row>
    <row r="821" spans="1:89" s="41" customFormat="1" ht="12.75" customHeight="1">
      <c r="A821" s="442" t="s">
        <v>746</v>
      </c>
      <c r="B821" s="442" t="str">
        <f t="shared" ref="B821" si="259">CONCATENATE(A821,C821,D821,E821)</f>
        <v>Reg Asset182301601237-15BE030904</v>
      </c>
      <c r="C821" s="736">
        <v>182301</v>
      </c>
      <c r="D821" s="738" t="s">
        <v>4494</v>
      </c>
      <c r="E821" s="626" t="s">
        <v>769</v>
      </c>
      <c r="F821" s="626" t="str">
        <f t="shared" si="248"/>
        <v>OTHER REGULATORY ASSETS - ELECTRIC</v>
      </c>
      <c r="G821" s="626" t="s">
        <v>4495</v>
      </c>
      <c r="H821" s="736" t="s">
        <v>823</v>
      </c>
      <c r="I821" s="442"/>
      <c r="J821" s="442" t="s">
        <v>7</v>
      </c>
      <c r="K821" s="442"/>
      <c r="L821" s="736" t="s">
        <v>2436</v>
      </c>
      <c r="M821" s="442" t="str">
        <f t="shared" ref="M821" si="260">LEFT(L821,1)</f>
        <v>N</v>
      </c>
      <c r="N821" s="442" t="str">
        <f>IF(L821&lt;&gt;"",VLOOKUP(L821,Categories!$B$2:$D$41,2,FALSE),IF(F821&lt;&gt;"","No Cat",""))</f>
        <v>NRBASE</v>
      </c>
      <c r="O821" s="442" t="str">
        <f>IF($L821&lt;&gt;"",VLOOKUP($L821,Categories!$B$2:$D$41,3,FALSE),IF($F821&lt;&gt;"","No Cat",""))</f>
        <v>Deferrals Accruing Non-Cash Return   (other than ASGA)</v>
      </c>
      <c r="P821" s="736" t="s">
        <v>2468</v>
      </c>
      <c r="Q821" s="442" t="str">
        <f>VLOOKUP($P821,Allocators!$B$7:$F$19,5,FALSE)</f>
        <v>Not in Rate Base</v>
      </c>
      <c r="R821" s="737">
        <f>VLOOKUP($P821,Allocators!$B$7:$F$19,2,FALSE)</f>
        <v>0</v>
      </c>
      <c r="S821" s="737">
        <f>VLOOKUP($P821,Allocators!$B$7:$F$19,3,FALSE)</f>
        <v>0</v>
      </c>
      <c r="T821" s="737">
        <f t="shared" ref="T821" si="261">IF(P821="N",1,"0.0%")</f>
        <v>1</v>
      </c>
      <c r="U821" s="2">
        <f t="shared" si="241"/>
        <v>0</v>
      </c>
      <c r="V821" s="2">
        <f t="shared" si="242"/>
        <v>0</v>
      </c>
      <c r="W821" s="2">
        <f t="shared" si="243"/>
        <v>566.65470166666705</v>
      </c>
      <c r="X821" s="2">
        <f t="shared" si="239"/>
        <v>566.65470166666705</v>
      </c>
      <c r="Y821" s="2">
        <f t="shared" si="244"/>
        <v>0</v>
      </c>
      <c r="Z821" s="2">
        <f t="shared" si="245"/>
        <v>0</v>
      </c>
      <c r="AA821" s="2">
        <f t="shared" si="246"/>
        <v>5655.5499200000004</v>
      </c>
      <c r="AB821" s="2">
        <f t="shared" si="240"/>
        <v>5655.5499199999995</v>
      </c>
      <c r="AC821" s="734"/>
      <c r="AD821" s="625"/>
      <c r="AE821" s="625"/>
      <c r="AF821" s="625"/>
      <c r="AG821" s="625"/>
      <c r="AH821" s="625"/>
      <c r="AI821" s="625"/>
      <c r="AJ821" s="625"/>
      <c r="AK821" s="625"/>
      <c r="AL821" s="625">
        <v>422.78280999999998</v>
      </c>
      <c r="AM821" s="625">
        <v>1506.62879</v>
      </c>
      <c r="AN821" s="625">
        <v>2042.66986</v>
      </c>
      <c r="AO821" s="625">
        <v>5655.5499199999995</v>
      </c>
      <c r="AP821" s="41" t="str">
        <f t="shared" si="236"/>
        <v>Reg AssetN</v>
      </c>
      <c r="AQ821" s="41" t="str">
        <f t="shared" si="237"/>
        <v>Reg AssetNN10RDM</v>
      </c>
      <c r="AR821" s="41" t="str">
        <f t="shared" si="238"/>
        <v>N10RDMNCR</v>
      </c>
      <c r="CK821" s="625"/>
    </row>
    <row r="822" spans="1:89" s="41" customFormat="1" ht="12.75" customHeight="1">
      <c r="A822" s="442" t="s">
        <v>746</v>
      </c>
      <c r="B822" s="442" t="str">
        <f t="shared" ref="B822" si="262">CONCATENATE(A822,C822,D822,E822)</f>
        <v>Reg Asset182301601237-UBBE030904</v>
      </c>
      <c r="C822" s="736">
        <v>182301</v>
      </c>
      <c r="D822" s="738" t="s">
        <v>4097</v>
      </c>
      <c r="E822" s="626" t="s">
        <v>769</v>
      </c>
      <c r="F822" s="626" t="str">
        <f t="shared" si="248"/>
        <v>OTHER REGULATORY ASSETS - ELECTRIC</v>
      </c>
      <c r="G822" s="626" t="s">
        <v>4098</v>
      </c>
      <c r="H822" s="736" t="s">
        <v>4110</v>
      </c>
      <c r="I822" s="442"/>
      <c r="J822" s="442"/>
      <c r="K822" s="442" t="str">
        <f t="shared" si="250"/>
        <v/>
      </c>
      <c r="L822" s="736" t="s">
        <v>2393</v>
      </c>
      <c r="M822" s="442" t="str">
        <f t="shared" ref="M822:M830" si="263">LEFT(L822,1)</f>
        <v>A</v>
      </c>
      <c r="N822" s="442" t="str">
        <f>IF(L822&lt;&gt;"",VLOOKUP(L822,Categories!$B$2:$D$41,2,FALSE),IF(F822&lt;&gt;"","No Cat",""))</f>
        <v>All Other</v>
      </c>
      <c r="O822" s="442" t="str">
        <f>IF($L822&lt;&gt;"",VLOOKUP($L822,Categories!$B$2:$D$41,3,FALSE),IF($F822&lt;&gt;"","No Cat",""))</f>
        <v>EB-Cap</v>
      </c>
      <c r="P822" s="736" t="s">
        <v>2490</v>
      </c>
      <c r="Q822" s="442" t="str">
        <f>VLOOKUP($P822,Allocators!$B$7:$F$19,5,FALSE)</f>
        <v>Rate Base</v>
      </c>
      <c r="R822" s="737">
        <f>VLOOKUP($P822,Allocators!$B$7:$F$19,2,FALSE)</f>
        <v>0.70940000000000003</v>
      </c>
      <c r="S822" s="737">
        <f>VLOOKUP($P822,Allocators!$B$7:$F$19,3,FALSE)</f>
        <v>0.29060000000000002</v>
      </c>
      <c r="T822" s="737" t="str">
        <f t="shared" ref="T822:T825" si="264">IF(P822="N",1,"0.0%")</f>
        <v>0.0%</v>
      </c>
      <c r="U822" s="2">
        <f t="shared" si="241"/>
        <v>315.25447569783398</v>
      </c>
      <c r="V822" s="2">
        <f t="shared" si="242"/>
        <v>129.14145846883301</v>
      </c>
      <c r="W822" s="2">
        <f t="shared" si="243"/>
        <v>0</v>
      </c>
      <c r="X822" s="2">
        <f t="shared" si="239"/>
        <v>444.39593416666702</v>
      </c>
      <c r="Y822" s="2">
        <f t="shared" si="244"/>
        <v>-2273.438874214</v>
      </c>
      <c r="Z822" s="2">
        <f t="shared" si="245"/>
        <v>-931.29593578599997</v>
      </c>
      <c r="AA822" s="2">
        <f t="shared" si="246"/>
        <v>0</v>
      </c>
      <c r="AB822" s="2">
        <f t="shared" si="240"/>
        <v>-3204.7348099999999</v>
      </c>
      <c r="AC822" s="734">
        <v>1601.7609300000001</v>
      </c>
      <c r="AD822" s="625">
        <v>168.56028000000026</v>
      </c>
      <c r="AE822" s="625">
        <v>739.45328000000029</v>
      </c>
      <c r="AF822" s="625">
        <v>-484.13882999999981</v>
      </c>
      <c r="AG822" s="625">
        <v>-655.61058999999989</v>
      </c>
      <c r="AH822" s="625">
        <v>-594.02386999999987</v>
      </c>
      <c r="AI822" s="625">
        <v>607.0693</v>
      </c>
      <c r="AJ822" s="625">
        <v>1580.8903400000002</v>
      </c>
      <c r="AK822" s="625">
        <v>1508.0442600000001</v>
      </c>
      <c r="AL822" s="625">
        <v>1096.6908900000001</v>
      </c>
      <c r="AM822" s="625">
        <v>1648.12859</v>
      </c>
      <c r="AN822" s="625">
        <v>519.17449999999997</v>
      </c>
      <c r="AO822" s="625">
        <v>-3204.7348099999999</v>
      </c>
      <c r="AP822" s="41" t="str">
        <f t="shared" si="236"/>
        <v>Reg AssetA</v>
      </c>
      <c r="AQ822" s="41" t="str">
        <f t="shared" si="237"/>
        <v>Reg AssetAA2RDM Unbilled</v>
      </c>
      <c r="AR822" s="41" t="str">
        <f t="shared" si="238"/>
        <v>A2RDM Unbilled</v>
      </c>
      <c r="CK822" s="625"/>
    </row>
    <row r="823" spans="1:89" s="41" customFormat="1" ht="12.75" customHeight="1">
      <c r="A823" s="442" t="s">
        <v>746</v>
      </c>
      <c r="B823" s="442" t="str">
        <f t="shared" ref="B823:B825" si="265">CONCATENATE(A823,C823,D823,E823)</f>
        <v>Reg Asset182301601145BE030589</v>
      </c>
      <c r="C823" s="736">
        <v>182301</v>
      </c>
      <c r="D823" s="738">
        <v>601145</v>
      </c>
      <c r="E823" s="626" t="s">
        <v>4113</v>
      </c>
      <c r="F823" s="626" t="str">
        <f t="shared" si="248"/>
        <v>OTHER REGULATORY ASSETS - ELECTRIC</v>
      </c>
      <c r="G823" s="626" t="s">
        <v>2312</v>
      </c>
      <c r="H823" s="736" t="s">
        <v>1141</v>
      </c>
      <c r="I823" s="25"/>
      <c r="J823" s="25" t="str">
        <f t="shared" ref="J823" si="266">IF(L823="N10","Y",IF(L823="N8","Y",""))</f>
        <v/>
      </c>
      <c r="K823" s="25" t="str">
        <f t="shared" si="250"/>
        <v/>
      </c>
      <c r="L823" s="736" t="s">
        <v>2441</v>
      </c>
      <c r="M823" s="25" t="str">
        <f t="shared" si="263"/>
        <v>R</v>
      </c>
      <c r="N823" s="25" t="str">
        <f>IF(L823&lt;&gt;"",VLOOKUP(L823,Categories!$B$2:$D$41,2,FALSE),IF(F823&lt;&gt;"","No Cat",""))</f>
        <v>Rate Base</v>
      </c>
      <c r="O823" s="25" t="str">
        <f>IF($L823&lt;&gt;"",VLOOKUP($L823,Categories!$B$2:$D$41,3,FALSE),IF($F823&lt;&gt;"","No Cat",""))</f>
        <v>Deferred Debits &amp; Credits</v>
      </c>
      <c r="P823" s="736" t="s">
        <v>2482</v>
      </c>
      <c r="Q823" s="25" t="str">
        <f>VLOOKUP($P823,Allocators!$B$7:$F$19,5,FALSE)</f>
        <v>Electric</v>
      </c>
      <c r="R823" s="737">
        <f>VLOOKUP($P823,Allocators!$B$7:$F$19,2,FALSE)</f>
        <v>1</v>
      </c>
      <c r="S823" s="737">
        <f>VLOOKUP($P823,Allocators!$B$7:$F$19,3,FALSE)</f>
        <v>0</v>
      </c>
      <c r="T823" s="737" t="str">
        <f t="shared" si="264"/>
        <v>0.0%</v>
      </c>
      <c r="U823" s="2">
        <f t="shared" si="241"/>
        <v>6678.7678262500003</v>
      </c>
      <c r="V823" s="2">
        <f t="shared" si="242"/>
        <v>0</v>
      </c>
      <c r="W823" s="2">
        <f t="shared" si="243"/>
        <v>0</v>
      </c>
      <c r="X823" s="2">
        <f t="shared" si="239"/>
        <v>6678.7678262500003</v>
      </c>
      <c r="Y823" s="2" t="str">
        <f t="shared" si="244"/>
        <v/>
      </c>
      <c r="Z823" s="2" t="str">
        <f t="shared" si="245"/>
        <v/>
      </c>
      <c r="AA823" s="2" t="str">
        <f t="shared" si="246"/>
        <v/>
      </c>
      <c r="AB823" s="2">
        <f t="shared" si="240"/>
        <v>0</v>
      </c>
      <c r="AC823" s="734">
        <v>-1331.4114899999993</v>
      </c>
      <c r="AD823" s="625">
        <v>16669.673220000001</v>
      </c>
      <c r="AE823" s="625">
        <v>23393.807350000003</v>
      </c>
      <c r="AF823" s="625">
        <v>27868.492180000001</v>
      </c>
      <c r="AG823" s="625">
        <v>12406.566559999999</v>
      </c>
      <c r="AH823" s="625">
        <v>517.31441999999811</v>
      </c>
      <c r="AI823" s="625">
        <v>0</v>
      </c>
      <c r="AJ823" s="625">
        <v>0</v>
      </c>
      <c r="AK823" s="625">
        <v>0</v>
      </c>
      <c r="AL823" s="625">
        <v>0</v>
      </c>
      <c r="AM823" s="625">
        <v>345.18432000000007</v>
      </c>
      <c r="AN823" s="625">
        <v>-390.11838999999992</v>
      </c>
      <c r="AO823" s="625">
        <v>0</v>
      </c>
      <c r="AP823" s="41" t="str">
        <f t="shared" si="236"/>
        <v>Reg AssetR</v>
      </c>
      <c r="AQ823" s="41" t="str">
        <f t="shared" si="237"/>
        <v>Reg AssetRR10NBC True-up</v>
      </c>
      <c r="AR823" s="41" t="str">
        <f t="shared" si="238"/>
        <v>R10NBC True-up</v>
      </c>
      <c r="CK823" s="625"/>
    </row>
    <row r="824" spans="1:89" s="41" customFormat="1" ht="12.75" customHeight="1">
      <c r="A824" s="442" t="s">
        <v>746</v>
      </c>
      <c r="B824" s="442" t="str">
        <f t="shared" si="265"/>
        <v>Reg Asset182301Pension ElectricBE030409</v>
      </c>
      <c r="C824" s="736">
        <v>182301</v>
      </c>
      <c r="D824" s="738" t="s">
        <v>1157</v>
      </c>
      <c r="E824" s="626" t="s">
        <v>1156</v>
      </c>
      <c r="F824" s="626" t="str">
        <f t="shared" si="248"/>
        <v>OTHER REGULATORY ASSETS - ELECTRIC</v>
      </c>
      <c r="G824" s="626" t="s">
        <v>4295</v>
      </c>
      <c r="H824" s="736" t="s">
        <v>1159</v>
      </c>
      <c r="I824" s="25"/>
      <c r="J824" s="25" t="s">
        <v>7</v>
      </c>
      <c r="K824" s="25" t="str">
        <f t="shared" si="250"/>
        <v/>
      </c>
      <c r="L824" s="736" t="s">
        <v>2436</v>
      </c>
      <c r="M824" s="25" t="str">
        <f t="shared" si="263"/>
        <v>N</v>
      </c>
      <c r="N824" s="25" t="str">
        <f>IF(L824&lt;&gt;"",VLOOKUP(L824,Categories!$B$2:$D$41,2,FALSE),IF(F824&lt;&gt;"","No Cat",""))</f>
        <v>NRBASE</v>
      </c>
      <c r="O824" s="25" t="str">
        <f>IF($L824&lt;&gt;"",VLOOKUP($L824,Categories!$B$2:$D$41,3,FALSE),IF($F824&lt;&gt;"","No Cat",""))</f>
        <v>Deferrals Accruing Non-Cash Return   (other than ASGA)</v>
      </c>
      <c r="P824" s="736" t="s">
        <v>2468</v>
      </c>
      <c r="Q824" s="25" t="str">
        <f>VLOOKUP($P824,Allocators!$B$7:$F$19,5,FALSE)</f>
        <v>Not in Rate Base</v>
      </c>
      <c r="R824" s="737">
        <f>VLOOKUP($P824,Allocators!$B$7:$F$19,2,FALSE)</f>
        <v>0</v>
      </c>
      <c r="S824" s="737">
        <f>VLOOKUP($P824,Allocators!$B$7:$F$19,3,FALSE)</f>
        <v>0</v>
      </c>
      <c r="T824" s="737">
        <f t="shared" si="264"/>
        <v>1</v>
      </c>
      <c r="U824" s="2">
        <f t="shared" si="241"/>
        <v>0</v>
      </c>
      <c r="V824" s="2">
        <f t="shared" si="242"/>
        <v>0</v>
      </c>
      <c r="W824" s="2">
        <f t="shared" si="243"/>
        <v>9499.5506641666707</v>
      </c>
      <c r="X824" s="2">
        <f t="shared" si="239"/>
        <v>9499.5506641666707</v>
      </c>
      <c r="Y824" s="2">
        <f t="shared" si="244"/>
        <v>0</v>
      </c>
      <c r="Z824" s="2">
        <f t="shared" si="245"/>
        <v>0</v>
      </c>
      <c r="AA824" s="2">
        <f t="shared" si="246"/>
        <v>12551.269329999999</v>
      </c>
      <c r="AB824" s="2">
        <f t="shared" si="240"/>
        <v>12551.269330000003</v>
      </c>
      <c r="AC824" s="734">
        <v>6414.8497900000002</v>
      </c>
      <c r="AD824" s="625">
        <v>7041.3037300000005</v>
      </c>
      <c r="AE824" s="625">
        <v>7499.2603100000006</v>
      </c>
      <c r="AF824" s="625">
        <v>7965.0491900000006</v>
      </c>
      <c r="AG824" s="625">
        <v>8463.3393000000015</v>
      </c>
      <c r="AH824" s="625">
        <v>8928.5529100000022</v>
      </c>
      <c r="AI824" s="625">
        <v>9406.3976700000021</v>
      </c>
      <c r="AJ824" s="625">
        <v>9957.8880200000021</v>
      </c>
      <c r="AK824" s="625">
        <v>10550.614360000003</v>
      </c>
      <c r="AL824" s="625">
        <v>11073.988850000003</v>
      </c>
      <c r="AM824" s="625">
        <v>11582.335170000002</v>
      </c>
      <c r="AN824" s="625">
        <v>12042.818900000002</v>
      </c>
      <c r="AO824" s="625">
        <v>12551.269330000003</v>
      </c>
      <c r="AP824" s="41" t="str">
        <f t="shared" si="236"/>
        <v>Reg AssetN</v>
      </c>
      <c r="AQ824" s="41" t="str">
        <f t="shared" si="237"/>
        <v>Reg AssetNN10Pension True-up</v>
      </c>
      <c r="AR824" s="41" t="str">
        <f t="shared" si="238"/>
        <v>N10Pension True-upNCR</v>
      </c>
      <c r="CK824" s="625"/>
    </row>
    <row r="825" spans="1:89" s="41" customFormat="1" ht="12.75" customHeight="1">
      <c r="A825" s="442" t="s">
        <v>746</v>
      </c>
      <c r="B825" s="442" t="str">
        <f t="shared" si="265"/>
        <v>Reg Asset182301Pension Electric LBE030409</v>
      </c>
      <c r="C825" s="736">
        <v>182301</v>
      </c>
      <c r="D825" s="738" t="s">
        <v>4072</v>
      </c>
      <c r="E825" s="626" t="s">
        <v>1156</v>
      </c>
      <c r="F825" s="626" t="str">
        <f t="shared" si="248"/>
        <v>OTHER REGULATORY ASSETS - ELECTRIC</v>
      </c>
      <c r="G825" s="626" t="s">
        <v>4295</v>
      </c>
      <c r="H825" s="736" t="s">
        <v>1159</v>
      </c>
      <c r="I825" s="25"/>
      <c r="J825" s="25" t="s">
        <v>7</v>
      </c>
      <c r="K825" s="25" t="str">
        <f t="shared" si="250"/>
        <v/>
      </c>
      <c r="L825" s="736" t="s">
        <v>2436</v>
      </c>
      <c r="M825" s="25" t="str">
        <f t="shared" si="263"/>
        <v>N</v>
      </c>
      <c r="N825" s="25" t="str">
        <f>IF(L825&lt;&gt;"",VLOOKUP(L825,Categories!$B$2:$D$41,2,FALSE),IF(F825&lt;&gt;"","No Cat",""))</f>
        <v>NRBASE</v>
      </c>
      <c r="O825" s="25" t="str">
        <f>IF($L825&lt;&gt;"",VLOOKUP($L825,Categories!$B$2:$D$41,3,FALSE),IF($F825&lt;&gt;"","No Cat",""))</f>
        <v>Deferrals Accruing Non-Cash Return   (other than ASGA)</v>
      </c>
      <c r="P825" s="736" t="s">
        <v>2468</v>
      </c>
      <c r="Q825" s="25" t="str">
        <f>VLOOKUP($P825,Allocators!$B$7:$F$19,5,FALSE)</f>
        <v>Not in Rate Base</v>
      </c>
      <c r="R825" s="737">
        <f>VLOOKUP($P825,Allocators!$B$7:$F$19,2,FALSE)</f>
        <v>0</v>
      </c>
      <c r="S825" s="737">
        <f>VLOOKUP($P825,Allocators!$B$7:$F$19,3,FALSE)</f>
        <v>0</v>
      </c>
      <c r="T825" s="737">
        <f t="shared" si="264"/>
        <v>1</v>
      </c>
      <c r="U825" s="2">
        <f t="shared" si="241"/>
        <v>0</v>
      </c>
      <c r="V825" s="2">
        <f t="shared" si="242"/>
        <v>0</v>
      </c>
      <c r="W825" s="2">
        <f t="shared" si="243"/>
        <v>-3089.2366099999999</v>
      </c>
      <c r="X825" s="2">
        <f t="shared" si="239"/>
        <v>-3089.2366099999999</v>
      </c>
      <c r="Y825" s="2">
        <f t="shared" si="244"/>
        <v>0</v>
      </c>
      <c r="Z825" s="2">
        <f t="shared" si="245"/>
        <v>0</v>
      </c>
      <c r="AA825" s="2">
        <f t="shared" si="246"/>
        <v>-3089.2366099999999</v>
      </c>
      <c r="AB825" s="2">
        <f t="shared" si="240"/>
        <v>-3089.2366099999999</v>
      </c>
      <c r="AC825" s="734">
        <v>-3089.2366099999999</v>
      </c>
      <c r="AD825" s="625">
        <v>-3089.2366099999999</v>
      </c>
      <c r="AE825" s="625">
        <v>-3089.2366099999999</v>
      </c>
      <c r="AF825" s="625">
        <v>-3089.2366099999999</v>
      </c>
      <c r="AG825" s="625">
        <v>-3089.2366099999999</v>
      </c>
      <c r="AH825" s="625">
        <v>-3089.2366099999999</v>
      </c>
      <c r="AI825" s="625">
        <v>-3089.2366099999999</v>
      </c>
      <c r="AJ825" s="625">
        <v>-3089.2366099999999</v>
      </c>
      <c r="AK825" s="625">
        <v>-3089.2366099999999</v>
      </c>
      <c r="AL825" s="625">
        <v>-3089.2366099999999</v>
      </c>
      <c r="AM825" s="625">
        <v>-3089.2366099999999</v>
      </c>
      <c r="AN825" s="625">
        <v>-3089.2366099999999</v>
      </c>
      <c r="AO825" s="625">
        <v>-3089.2366099999999</v>
      </c>
      <c r="AP825" s="41" t="str">
        <f t="shared" si="236"/>
        <v>Reg AssetN</v>
      </c>
      <c r="AQ825" s="41" t="str">
        <f t="shared" si="237"/>
        <v>Reg AssetNN10Pension True-up</v>
      </c>
      <c r="AR825" s="41" t="str">
        <f t="shared" si="238"/>
        <v>N10Pension True-upNCR</v>
      </c>
      <c r="CK825" s="625"/>
    </row>
    <row r="826" spans="1:89" s="41" customFormat="1" ht="12.75" customHeight="1">
      <c r="A826" s="442" t="s">
        <v>746</v>
      </c>
      <c r="B826" s="442" t="str">
        <f t="shared" ref="B826" si="267">CONCATENATE(A826,C826,D826,E826)</f>
        <v>Reg Asset182301601266BE030223</v>
      </c>
      <c r="C826" s="736">
        <v>182301</v>
      </c>
      <c r="D826" s="738">
        <v>601266</v>
      </c>
      <c r="E826" s="626" t="s">
        <v>986</v>
      </c>
      <c r="F826" s="626" t="str">
        <f t="shared" si="248"/>
        <v>OTHER REGULATORY ASSETS - ELECTRIC</v>
      </c>
      <c r="G826" s="626" t="s">
        <v>4383</v>
      </c>
      <c r="H826" s="736" t="s">
        <v>4371</v>
      </c>
      <c r="I826" s="25"/>
      <c r="J826" s="25" t="s">
        <v>7</v>
      </c>
      <c r="K826" s="25" t="str">
        <f t="shared" ref="K826" si="268">IF(L826="N3","Y","")</f>
        <v/>
      </c>
      <c r="L826" s="736" t="s">
        <v>2436</v>
      </c>
      <c r="M826" s="25" t="str">
        <f t="shared" si="263"/>
        <v>N</v>
      </c>
      <c r="N826" s="25" t="str">
        <f>IF(L826&lt;&gt;"",VLOOKUP(L826,Categories!$B$2:$D$41,2,FALSE),IF(F826&lt;&gt;"","No Cat",""))</f>
        <v>NRBASE</v>
      </c>
      <c r="O826" s="25" t="str">
        <f>IF($L826&lt;&gt;"",VLOOKUP($L826,Categories!$B$2:$D$41,3,FALSE),IF($F826&lt;&gt;"","No Cat",""))</f>
        <v>Deferrals Accruing Non-Cash Return   (other than ASGA)</v>
      </c>
      <c r="P826" s="736" t="s">
        <v>2468</v>
      </c>
      <c r="Q826" s="25" t="str">
        <f>VLOOKUP($P826,Allocators!$B$7:$F$19,5,FALSE)</f>
        <v>Not in Rate Base</v>
      </c>
      <c r="R826" s="737">
        <f>VLOOKUP($P826,Allocators!$B$7:$F$19,2,FALSE)</f>
        <v>0</v>
      </c>
      <c r="S826" s="737">
        <f>VLOOKUP($P826,Allocators!$B$7:$F$19,3,FALSE)</f>
        <v>0</v>
      </c>
      <c r="T826" s="737">
        <f t="shared" ref="T826" si="269">IF(P826="N",1,"0.0%")</f>
        <v>1</v>
      </c>
      <c r="U826" s="2">
        <f t="shared" si="241"/>
        <v>0</v>
      </c>
      <c r="V826" s="2">
        <f t="shared" si="242"/>
        <v>0</v>
      </c>
      <c r="W826" s="2">
        <f t="shared" si="243"/>
        <v>7.5713350000000004</v>
      </c>
      <c r="X826" s="2">
        <f t="shared" si="239"/>
        <v>7.5713350000000004</v>
      </c>
      <c r="Y826" s="2">
        <f t="shared" si="244"/>
        <v>0</v>
      </c>
      <c r="Z826" s="2">
        <f t="shared" si="245"/>
        <v>0</v>
      </c>
      <c r="AA826" s="2">
        <f t="shared" si="246"/>
        <v>101.4978</v>
      </c>
      <c r="AB826" s="2">
        <f t="shared" si="240"/>
        <v>101.49780000000001</v>
      </c>
      <c r="AC826" s="734">
        <v>32.036560000000001</v>
      </c>
      <c r="AD826" s="625">
        <v>32.036560000000001</v>
      </c>
      <c r="AE826" s="625">
        <v>58.331490000000002</v>
      </c>
      <c r="AF826" s="625">
        <v>69.305480000000017</v>
      </c>
      <c r="AG826" s="625">
        <v>69.305480000000017</v>
      </c>
      <c r="AH826" s="625">
        <v>77.359590000000011</v>
      </c>
      <c r="AI826" s="625">
        <v>83.945490000000007</v>
      </c>
      <c r="AJ826" s="625">
        <v>83.945490000000007</v>
      </c>
      <c r="AK826" s="625">
        <v>87.553359999999998</v>
      </c>
      <c r="AL826" s="625">
        <v>-178.92378000000002</v>
      </c>
      <c r="AM826" s="625">
        <v>-178.92378000000002</v>
      </c>
      <c r="AN826" s="625">
        <v>-179.84654000000003</v>
      </c>
      <c r="AO826" s="625">
        <v>101.49780000000001</v>
      </c>
      <c r="AP826" s="41" t="str">
        <f t="shared" si="236"/>
        <v>Reg AssetN</v>
      </c>
      <c r="AQ826" s="41" t="str">
        <f t="shared" si="237"/>
        <v>Reg AssetNN10Allegany Sale Gain/Loss</v>
      </c>
      <c r="AR826" s="41" t="str">
        <f t="shared" si="238"/>
        <v>N10Allegany Sale Gain/LossNCR</v>
      </c>
      <c r="CK826" s="625"/>
    </row>
    <row r="827" spans="1:89" s="41" customFormat="1" ht="12.75" customHeight="1">
      <c r="A827" s="442" t="s">
        <v>746</v>
      </c>
      <c r="B827" s="442" t="str">
        <f t="shared" ref="B827" si="270">CONCATENATE(A827,C827,D827,E827)</f>
        <v>Reg Asset182301BE030223</v>
      </c>
      <c r="C827" s="736">
        <v>182301</v>
      </c>
      <c r="D827" s="738"/>
      <c r="E827" s="626" t="s">
        <v>986</v>
      </c>
      <c r="F827" s="626" t="str">
        <f t="shared" si="248"/>
        <v>OTHER REGULATORY ASSETS - ELECTRIC</v>
      </c>
      <c r="G827" s="736" t="s">
        <v>4366</v>
      </c>
      <c r="H827" s="736" t="s">
        <v>4371</v>
      </c>
      <c r="I827" s="25"/>
      <c r="J827" s="25" t="s">
        <v>7</v>
      </c>
      <c r="K827" s="25" t="str">
        <f t="shared" si="250"/>
        <v/>
      </c>
      <c r="L827" s="736" t="s">
        <v>2436</v>
      </c>
      <c r="M827" s="25" t="str">
        <f t="shared" si="263"/>
        <v>N</v>
      </c>
      <c r="N827" s="25" t="str">
        <f>IF(L827&lt;&gt;"",VLOOKUP(L827,Categories!$B$2:$D$41,2,FALSE),IF(F827&lt;&gt;"","No Cat",""))</f>
        <v>NRBASE</v>
      </c>
      <c r="O827" s="25" t="str">
        <f>IF($L827&lt;&gt;"",VLOOKUP($L827,Categories!$B$2:$D$41,3,FALSE),IF($F827&lt;&gt;"","No Cat",""))</f>
        <v>Deferrals Accruing Non-Cash Return   (other than ASGA)</v>
      </c>
      <c r="P827" s="736" t="s">
        <v>2468</v>
      </c>
      <c r="Q827" s="25" t="str">
        <f>VLOOKUP($P827,Allocators!$B$7:$F$19,5,FALSE)</f>
        <v>Not in Rate Base</v>
      </c>
      <c r="R827" s="737">
        <f>VLOOKUP($P827,Allocators!$B$7:$F$19,2,FALSE)</f>
        <v>0</v>
      </c>
      <c r="S827" s="737">
        <f>VLOOKUP($P827,Allocators!$B$7:$F$19,3,FALSE)</f>
        <v>0</v>
      </c>
      <c r="T827" s="737">
        <f t="shared" ref="T827" si="271">IF(P827="N",1,"0.0%")</f>
        <v>1</v>
      </c>
      <c r="U827" s="2">
        <f t="shared" si="241"/>
        <v>0</v>
      </c>
      <c r="V827" s="2">
        <f t="shared" si="242"/>
        <v>0</v>
      </c>
      <c r="W827" s="2">
        <f t="shared" si="243"/>
        <v>1037.9323633333299</v>
      </c>
      <c r="X827" s="2">
        <f t="shared" si="239"/>
        <v>1037.9323633333299</v>
      </c>
      <c r="Y827" s="2">
        <f t="shared" si="244"/>
        <v>0</v>
      </c>
      <c r="Z827" s="2">
        <f t="shared" si="245"/>
        <v>0</v>
      </c>
      <c r="AA827" s="2">
        <f t="shared" si="246"/>
        <v>-670.56860000000097</v>
      </c>
      <c r="AB827" s="2">
        <f t="shared" si="240"/>
        <v>-670.56860000000074</v>
      </c>
      <c r="AC827" s="734">
        <v>2549.5132799999997</v>
      </c>
      <c r="AD827" s="625">
        <v>2549.5132799999997</v>
      </c>
      <c r="AE827" s="625">
        <v>2012.3466099999996</v>
      </c>
      <c r="AF827" s="625">
        <v>1743.7632799999997</v>
      </c>
      <c r="AG827" s="625">
        <v>1484.6939999999995</v>
      </c>
      <c r="AH827" s="625">
        <v>1219.0287799999996</v>
      </c>
      <c r="AI827" s="625">
        <v>950.44544999999948</v>
      </c>
      <c r="AJ827" s="625">
        <v>686.96318999999949</v>
      </c>
      <c r="AK827" s="625">
        <v>418.37985999999944</v>
      </c>
      <c r="AL827" s="625">
        <v>418.37985999999944</v>
      </c>
      <c r="AM827" s="625">
        <v>150.39251999999945</v>
      </c>
      <c r="AN827" s="625">
        <v>-118.19081000000058</v>
      </c>
      <c r="AO827" s="625">
        <v>-670.56860000000074</v>
      </c>
      <c r="AP827" s="41" t="str">
        <f t="shared" si="236"/>
        <v>Reg AssetN</v>
      </c>
      <c r="AQ827" s="41" t="str">
        <f t="shared" si="237"/>
        <v>Reg AssetNN10Allegany Sale Gain/Loss</v>
      </c>
      <c r="AR827" s="41" t="str">
        <f t="shared" si="238"/>
        <v>N10Allegany Sale Gain/LossNCR</v>
      </c>
      <c r="CK827" s="625"/>
    </row>
    <row r="828" spans="1:89" s="41" customFormat="1" ht="12.75" customHeight="1">
      <c r="A828" s="442" t="s">
        <v>746</v>
      </c>
      <c r="B828" s="442" t="str">
        <f t="shared" ref="B828:B830" si="272">CONCATENATE(A828,C828,D828,E828)</f>
        <v>Reg Asset182301601133BE030581</v>
      </c>
      <c r="C828" s="736">
        <v>182301</v>
      </c>
      <c r="D828" s="738">
        <v>601133</v>
      </c>
      <c r="E828" s="626" t="s">
        <v>763</v>
      </c>
      <c r="F828" s="626" t="str">
        <f t="shared" si="248"/>
        <v>OTHER REGULATORY ASSETS - ELECTRIC</v>
      </c>
      <c r="G828" s="736" t="s">
        <v>794</v>
      </c>
      <c r="H828" s="736" t="s">
        <v>817</v>
      </c>
      <c r="I828" s="25"/>
      <c r="J828" s="442" t="s">
        <v>7</v>
      </c>
      <c r="K828" s="25"/>
      <c r="L828" s="736" t="s">
        <v>2436</v>
      </c>
      <c r="M828" s="442" t="str">
        <f t="shared" si="263"/>
        <v>N</v>
      </c>
      <c r="N828" s="442" t="str">
        <f>IF(L828&lt;&gt;"",VLOOKUP(L828,Categories!$B$2:$D$41,2,FALSE),IF(F828&lt;&gt;"","No Cat",""))</f>
        <v>NRBASE</v>
      </c>
      <c r="O828" s="442" t="str">
        <f>IF($L828&lt;&gt;"",VLOOKUP($L828,Categories!$B$2:$D$41,3,FALSE),IF($F828&lt;&gt;"","No Cat",""))</f>
        <v>Deferrals Accruing Non-Cash Return   (other than ASGA)</v>
      </c>
      <c r="P828" s="736" t="s">
        <v>2468</v>
      </c>
      <c r="Q828" s="25" t="str">
        <f>VLOOKUP($P828,Allocators!$B$7:$F$19,5,FALSE)</f>
        <v>Not in Rate Base</v>
      </c>
      <c r="R828" s="737">
        <f>VLOOKUP($P828,Allocators!$B$7:$F$19,2,FALSE)</f>
        <v>0</v>
      </c>
      <c r="S828" s="737">
        <f>VLOOKUP($P828,Allocators!$B$7:$F$19,3,FALSE)</f>
        <v>0</v>
      </c>
      <c r="T828" s="737">
        <f t="shared" ref="T828:T830" si="273">IF(P828="N",1,"0.0%")</f>
        <v>1</v>
      </c>
      <c r="U828" s="2">
        <f t="shared" si="241"/>
        <v>0</v>
      </c>
      <c r="V828" s="2">
        <f t="shared" si="242"/>
        <v>0</v>
      </c>
      <c r="W828" s="2">
        <f t="shared" si="243"/>
        <v>1336.7672570833299</v>
      </c>
      <c r="X828" s="2">
        <f t="shared" si="239"/>
        <v>1336.7672570833299</v>
      </c>
      <c r="Y828" s="2">
        <f t="shared" si="244"/>
        <v>0</v>
      </c>
      <c r="Z828" s="2">
        <f t="shared" si="245"/>
        <v>0</v>
      </c>
      <c r="AA828" s="2">
        <f t="shared" si="246"/>
        <v>2592.2953299999999</v>
      </c>
      <c r="AB828" s="2">
        <f t="shared" si="240"/>
        <v>2592.2953299999999</v>
      </c>
      <c r="AC828" s="734"/>
      <c r="AD828" s="625"/>
      <c r="AE828" s="625"/>
      <c r="AF828" s="625"/>
      <c r="AG828" s="625"/>
      <c r="AH828" s="625"/>
      <c r="AI828" s="625"/>
      <c r="AJ828" s="625">
        <v>3033.6460000000002</v>
      </c>
      <c r="AK828" s="625">
        <v>3029.9196699999998</v>
      </c>
      <c r="AL828" s="625">
        <v>2880.2947300000001</v>
      </c>
      <c r="AM828" s="625">
        <v>2880.2947300000001</v>
      </c>
      <c r="AN828" s="625">
        <v>2920.9042899999999</v>
      </c>
      <c r="AO828" s="625">
        <v>2592.2953299999999</v>
      </c>
      <c r="AP828" s="41" t="str">
        <f t="shared" si="236"/>
        <v>Reg AssetN</v>
      </c>
      <c r="AQ828" s="41" t="str">
        <f t="shared" si="237"/>
        <v>Reg AssetNN10PSC Assessment</v>
      </c>
      <c r="AR828" s="41" t="str">
        <f t="shared" si="238"/>
        <v>N10PSC AssessmentNCR</v>
      </c>
      <c r="CK828" s="625"/>
    </row>
    <row r="829" spans="1:89" s="41" customFormat="1" ht="12.75" customHeight="1">
      <c r="A829" s="442" t="s">
        <v>746</v>
      </c>
      <c r="B829" s="442" t="str">
        <f t="shared" si="272"/>
        <v>Reg Asset182301601133-CCBE030581</v>
      </c>
      <c r="C829" s="736">
        <v>182301</v>
      </c>
      <c r="D829" s="738" t="s">
        <v>4316</v>
      </c>
      <c r="E829" s="626" t="s">
        <v>763</v>
      </c>
      <c r="F829" s="626" t="str">
        <f t="shared" si="248"/>
        <v>OTHER REGULATORY ASSETS - ELECTRIC</v>
      </c>
      <c r="G829" s="736" t="s">
        <v>794</v>
      </c>
      <c r="H829" s="736" t="s">
        <v>817</v>
      </c>
      <c r="I829" s="25"/>
      <c r="J829" s="442" t="s">
        <v>7</v>
      </c>
      <c r="K829" s="25"/>
      <c r="L829" s="736" t="s">
        <v>2436</v>
      </c>
      <c r="M829" s="442" t="str">
        <f t="shared" si="263"/>
        <v>N</v>
      </c>
      <c r="N829" s="442" t="str">
        <f>IF(L829&lt;&gt;"",VLOOKUP(L829,Categories!$B$2:$D$41,2,FALSE),IF(F829&lt;&gt;"","No Cat",""))</f>
        <v>NRBASE</v>
      </c>
      <c r="O829" s="442" t="str">
        <f>IF($L829&lt;&gt;"",VLOOKUP($L829,Categories!$B$2:$D$41,3,FALSE),IF($F829&lt;&gt;"","No Cat",""))</f>
        <v>Deferrals Accruing Non-Cash Return   (other than ASGA)</v>
      </c>
      <c r="P829" s="736" t="s">
        <v>2468</v>
      </c>
      <c r="Q829" s="25" t="str">
        <f>VLOOKUP($P829,Allocators!$B$7:$F$19,5,FALSE)</f>
        <v>Not in Rate Base</v>
      </c>
      <c r="R829" s="737">
        <f>VLOOKUP($P829,Allocators!$B$7:$F$19,2,FALSE)</f>
        <v>0</v>
      </c>
      <c r="S829" s="737">
        <f>VLOOKUP($P829,Allocators!$B$7:$F$19,3,FALSE)</f>
        <v>0</v>
      </c>
      <c r="T829" s="737">
        <f t="shared" si="273"/>
        <v>1</v>
      </c>
      <c r="U829" s="2">
        <f t="shared" si="241"/>
        <v>0</v>
      </c>
      <c r="V829" s="2">
        <f t="shared" si="242"/>
        <v>0</v>
      </c>
      <c r="W829" s="2">
        <f t="shared" si="243"/>
        <v>7.9825362500000097</v>
      </c>
      <c r="X829" s="2">
        <f t="shared" si="239"/>
        <v>7.9825362500000097</v>
      </c>
      <c r="Y829" s="2">
        <f t="shared" si="244"/>
        <v>0</v>
      </c>
      <c r="Z829" s="2">
        <f t="shared" si="245"/>
        <v>0</v>
      </c>
      <c r="AA829" s="2">
        <f t="shared" si="246"/>
        <v>47.790109999999999</v>
      </c>
      <c r="AB829" s="2">
        <f t="shared" si="240"/>
        <v>47.790110000000013</v>
      </c>
      <c r="AC829" s="734"/>
      <c r="AD829" s="625"/>
      <c r="AE829" s="625"/>
      <c r="AF829" s="625"/>
      <c r="AG829" s="625"/>
      <c r="AH829" s="625"/>
      <c r="AI829" s="625"/>
      <c r="AJ829" s="625">
        <v>23.555020000000003</v>
      </c>
      <c r="AK829" s="625">
        <v>11.903680000000007</v>
      </c>
      <c r="AL829" s="625">
        <v>7.6156100000000082</v>
      </c>
      <c r="AM829" s="625">
        <v>7.6156100000000082</v>
      </c>
      <c r="AN829" s="625">
        <v>21.205460000000013</v>
      </c>
      <c r="AO829" s="625">
        <v>47.790110000000013</v>
      </c>
      <c r="AP829" s="41" t="str">
        <f t="shared" si="236"/>
        <v>Reg AssetN</v>
      </c>
      <c r="AQ829" s="41" t="str">
        <f t="shared" si="237"/>
        <v>Reg AssetNN10PSC Assessment</v>
      </c>
      <c r="AR829" s="41" t="str">
        <f t="shared" si="238"/>
        <v>N10PSC AssessmentNCR</v>
      </c>
      <c r="CK829" s="625"/>
    </row>
    <row r="830" spans="1:89" s="41" customFormat="1" ht="12.75" customHeight="1">
      <c r="A830" s="442" t="s">
        <v>746</v>
      </c>
      <c r="B830" s="442" t="str">
        <f t="shared" si="272"/>
        <v>Reg Asset182301601133-GenBE030581</v>
      </c>
      <c r="C830" s="736">
        <v>182301</v>
      </c>
      <c r="D830" s="738" t="s">
        <v>780</v>
      </c>
      <c r="E830" s="626" t="s">
        <v>763</v>
      </c>
      <c r="F830" s="626" t="str">
        <f t="shared" si="248"/>
        <v>OTHER REGULATORY ASSETS - ELECTRIC</v>
      </c>
      <c r="G830" s="736" t="s">
        <v>797</v>
      </c>
      <c r="H830" s="736" t="s">
        <v>817</v>
      </c>
      <c r="I830" s="25"/>
      <c r="J830" s="442" t="s">
        <v>7</v>
      </c>
      <c r="K830" s="25"/>
      <c r="L830" s="736" t="s">
        <v>2436</v>
      </c>
      <c r="M830" s="442" t="str">
        <f t="shared" si="263"/>
        <v>N</v>
      </c>
      <c r="N830" s="442" t="str">
        <f>IF(L830&lt;&gt;"",VLOOKUP(L830,Categories!$B$2:$D$41,2,FALSE),IF(F830&lt;&gt;"","No Cat",""))</f>
        <v>NRBASE</v>
      </c>
      <c r="O830" s="442" t="str">
        <f>IF($L830&lt;&gt;"",VLOOKUP($L830,Categories!$B$2:$D$41,3,FALSE),IF($F830&lt;&gt;"","No Cat",""))</f>
        <v>Deferrals Accruing Non-Cash Return   (other than ASGA)</v>
      </c>
      <c r="P830" s="736" t="s">
        <v>2468</v>
      </c>
      <c r="Q830" s="25" t="str">
        <f>VLOOKUP($P830,Allocators!$B$7:$F$19,5,FALSE)</f>
        <v>Not in Rate Base</v>
      </c>
      <c r="R830" s="737">
        <f>VLOOKUP($P830,Allocators!$B$7:$F$19,2,FALSE)</f>
        <v>0</v>
      </c>
      <c r="S830" s="737">
        <f>VLOOKUP($P830,Allocators!$B$7:$F$19,3,FALSE)</f>
        <v>0</v>
      </c>
      <c r="T830" s="737">
        <f t="shared" si="273"/>
        <v>1</v>
      </c>
      <c r="U830" s="2">
        <f t="shared" si="241"/>
        <v>0</v>
      </c>
      <c r="V830" s="2">
        <f t="shared" si="242"/>
        <v>0</v>
      </c>
      <c r="W830" s="2">
        <f t="shared" si="243"/>
        <v>52.867187916666701</v>
      </c>
      <c r="X830" s="2">
        <f t="shared" si="239"/>
        <v>52.867187916666701</v>
      </c>
      <c r="Y830" s="2">
        <f t="shared" si="244"/>
        <v>0</v>
      </c>
      <c r="Z830" s="2">
        <f t="shared" si="245"/>
        <v>0</v>
      </c>
      <c r="AA830" s="2">
        <f t="shared" si="246"/>
        <v>224.19309000000001</v>
      </c>
      <c r="AB830" s="2">
        <f t="shared" si="240"/>
        <v>224.19308999999998</v>
      </c>
      <c r="AC830" s="734"/>
      <c r="AD830" s="625"/>
      <c r="AE830" s="625"/>
      <c r="AF830" s="625"/>
      <c r="AG830" s="625"/>
      <c r="AH830" s="625"/>
      <c r="AI830" s="625"/>
      <c r="AJ830" s="625">
        <v>115.30096</v>
      </c>
      <c r="AK830" s="625">
        <v>103.48257000000001</v>
      </c>
      <c r="AL830" s="625">
        <v>98.880440000000007</v>
      </c>
      <c r="AM830" s="625">
        <v>98.880440000000007</v>
      </c>
      <c r="AN830" s="625">
        <v>105.7653</v>
      </c>
      <c r="AO830" s="625">
        <v>224.19308999999998</v>
      </c>
      <c r="AP830" s="41" t="str">
        <f t="shared" si="236"/>
        <v>Reg AssetN</v>
      </c>
      <c r="AQ830" s="41" t="str">
        <f t="shared" si="237"/>
        <v>Reg AssetNN10PSC Assessment</v>
      </c>
      <c r="AR830" s="41" t="str">
        <f t="shared" si="238"/>
        <v>N10PSC AssessmentNCR</v>
      </c>
      <c r="CK830" s="625"/>
    </row>
    <row r="831" spans="1:89" s="41" customFormat="1" ht="12.75" customHeight="1">
      <c r="A831" s="442" t="s">
        <v>746</v>
      </c>
      <c r="B831" s="442" t="str">
        <f t="shared" ref="B831" si="274">CONCATENATE(A831,C831,D831,E831)</f>
        <v>Reg Asset182301BEHUNGDT</v>
      </c>
      <c r="C831" s="736">
        <v>182301</v>
      </c>
      <c r="D831" s="738"/>
      <c r="E831" s="626" t="s">
        <v>4059</v>
      </c>
      <c r="F831" s="626" t="str">
        <f t="shared" si="248"/>
        <v>OTHER REGULATORY ASSETS - ELECTRIC</v>
      </c>
      <c r="G831" s="626" t="s">
        <v>4062</v>
      </c>
      <c r="H831" s="736" t="s">
        <v>2880</v>
      </c>
      <c r="I831" s="442"/>
      <c r="J831" s="442"/>
      <c r="K831" s="442" t="str">
        <f t="shared" si="250"/>
        <v/>
      </c>
      <c r="L831" s="736" t="s">
        <v>2441</v>
      </c>
      <c r="M831" s="442" t="str">
        <f t="shared" si="252"/>
        <v>R</v>
      </c>
      <c r="N831" s="442" t="str">
        <f>IF(L831&lt;&gt;"",VLOOKUP(L831,Categories!$B$2:$D$41,2,FALSE),IF(F831&lt;&gt;"","No Cat",""))</f>
        <v>Rate Base</v>
      </c>
      <c r="O831" s="442" t="str">
        <f>IF($L831&lt;&gt;"",VLOOKUP($L831,Categories!$B$2:$D$41,3,FALSE),IF($F831&lt;&gt;"","No Cat",""))</f>
        <v>Deferred Debits &amp; Credits</v>
      </c>
      <c r="P831" s="736" t="s">
        <v>2482</v>
      </c>
      <c r="Q831" s="442" t="str">
        <f>VLOOKUP($P831,Allocators!$B$7:$F$19,5,FALSE)</f>
        <v>Electric</v>
      </c>
      <c r="R831" s="737">
        <f>VLOOKUP($P831,Allocators!$B$7:$F$19,2,FALSE)</f>
        <v>1</v>
      </c>
      <c r="S831" s="737">
        <f>VLOOKUP($P831,Allocators!$B$7:$F$19,3,FALSE)</f>
        <v>0</v>
      </c>
      <c r="T831" s="737" t="str">
        <f t="shared" si="254"/>
        <v>0.0%</v>
      </c>
      <c r="U831" s="2" t="str">
        <f t="shared" si="241"/>
        <v/>
      </c>
      <c r="V831" s="2" t="str">
        <f t="shared" si="242"/>
        <v/>
      </c>
      <c r="W831" s="2" t="str">
        <f t="shared" si="243"/>
        <v/>
      </c>
      <c r="X831" s="2">
        <f t="shared" si="239"/>
        <v>0</v>
      </c>
      <c r="Y831" s="2" t="str">
        <f t="shared" si="244"/>
        <v/>
      </c>
      <c r="Z831" s="2" t="str">
        <f t="shared" si="245"/>
        <v/>
      </c>
      <c r="AA831" s="2" t="str">
        <f t="shared" si="246"/>
        <v/>
      </c>
      <c r="AB831" s="2">
        <f t="shared" si="240"/>
        <v>0</v>
      </c>
      <c r="AC831" s="734">
        <v>0</v>
      </c>
      <c r="AD831" s="625">
        <v>0</v>
      </c>
      <c r="AE831" s="625">
        <v>0</v>
      </c>
      <c r="AF831" s="625">
        <v>0</v>
      </c>
      <c r="AG831" s="625">
        <v>0</v>
      </c>
      <c r="AH831" s="625">
        <v>0</v>
      </c>
      <c r="AI831" s="38">
        <v>0</v>
      </c>
      <c r="AJ831" s="625">
        <v>0</v>
      </c>
      <c r="AK831" s="625">
        <v>0</v>
      </c>
      <c r="AL831" s="625">
        <v>0</v>
      </c>
      <c r="AM831" s="625">
        <v>0</v>
      </c>
      <c r="AN831" s="625">
        <v>0</v>
      </c>
      <c r="AO831" s="625">
        <v>0</v>
      </c>
      <c r="AP831" s="41" t="str">
        <f t="shared" si="236"/>
        <v>Reg AssetR</v>
      </c>
      <c r="AQ831" s="41" t="str">
        <f t="shared" si="237"/>
        <v>Reg AssetRR10Hung Deferred Taxes</v>
      </c>
      <c r="AR831" s="41" t="str">
        <f t="shared" si="238"/>
        <v>R10Hung Deferred Taxes</v>
      </c>
      <c r="CK831" s="625"/>
    </row>
    <row r="832" spans="1:89" s="41" customFormat="1" ht="12.75" customHeight="1">
      <c r="A832" s="25" t="s">
        <v>746</v>
      </c>
      <c r="B832" s="25" t="str">
        <f t="shared" si="251"/>
        <v>Reg Asset18230312A10022BG030238</v>
      </c>
      <c r="C832" s="736">
        <v>182303</v>
      </c>
      <c r="D832" s="738" t="s">
        <v>825</v>
      </c>
      <c r="E832" s="41" t="s">
        <v>934</v>
      </c>
      <c r="F832" s="41" t="str">
        <f t="shared" si="248"/>
        <v>OTHER REGULATORY ASSETS - GAS</v>
      </c>
      <c r="G832" s="41" t="s">
        <v>994</v>
      </c>
      <c r="H832" s="736" t="s">
        <v>809</v>
      </c>
      <c r="I832" s="25"/>
      <c r="J832" s="25" t="str">
        <f t="shared" si="249"/>
        <v/>
      </c>
      <c r="K832" s="442" t="str">
        <f t="shared" si="250"/>
        <v/>
      </c>
      <c r="L832" s="736" t="s">
        <v>2441</v>
      </c>
      <c r="M832" s="25" t="str">
        <f t="shared" si="252"/>
        <v>R</v>
      </c>
      <c r="N832" s="25" t="str">
        <f>IF(L832&lt;&gt;"",VLOOKUP(L832,Categories!$B$2:$D$41,2,FALSE),IF(F832&lt;&gt;"","No Cat",""))</f>
        <v>Rate Base</v>
      </c>
      <c r="O832" s="25" t="str">
        <f>IF($L832&lt;&gt;"",VLOOKUP($L832,Categories!$B$2:$D$41,3,FALSE),IF($F832&lt;&gt;"","No Cat",""))</f>
        <v>Deferred Debits &amp; Credits</v>
      </c>
      <c r="P832" s="736" t="s">
        <v>2483</v>
      </c>
      <c r="Q832" s="25" t="str">
        <f>VLOOKUP($P832,Allocators!$B$7:$F$19,5,FALSE)</f>
        <v>Gas</v>
      </c>
      <c r="R832" s="737">
        <f>VLOOKUP($P832,Allocators!$B$7:$F$19,2,FALSE)</f>
        <v>0</v>
      </c>
      <c r="S832" s="737">
        <f>VLOOKUP($P832,Allocators!$B$7:$F$19,3,FALSE)</f>
        <v>1</v>
      </c>
      <c r="T832" s="737" t="str">
        <f t="shared" si="253"/>
        <v>0.0%</v>
      </c>
      <c r="U832" s="2">
        <f t="shared" si="241"/>
        <v>0</v>
      </c>
      <c r="V832" s="2">
        <f t="shared" si="242"/>
        <v>92.942909999999998</v>
      </c>
      <c r="W832" s="2">
        <f t="shared" si="243"/>
        <v>0</v>
      </c>
      <c r="X832" s="2">
        <f t="shared" si="239"/>
        <v>92.942909999999998</v>
      </c>
      <c r="Y832" s="2">
        <f t="shared" si="244"/>
        <v>0</v>
      </c>
      <c r="Z832" s="2">
        <f t="shared" si="245"/>
        <v>92.942909999999998</v>
      </c>
      <c r="AA832" s="2">
        <f t="shared" si="246"/>
        <v>0</v>
      </c>
      <c r="AB832" s="2">
        <f t="shared" si="240"/>
        <v>92.942909999999998</v>
      </c>
      <c r="AC832" s="734">
        <v>92.942909999999998</v>
      </c>
      <c r="AD832" s="625">
        <v>92.942909999999998</v>
      </c>
      <c r="AE832" s="625">
        <v>92.942909999999998</v>
      </c>
      <c r="AF832" s="625">
        <v>92.942909999999998</v>
      </c>
      <c r="AG832" s="625">
        <v>92.942909999999998</v>
      </c>
      <c r="AH832" s="625">
        <v>92.942909999999998</v>
      </c>
      <c r="AI832" s="625">
        <v>92.942909999999998</v>
      </c>
      <c r="AJ832" s="625">
        <v>92.942909999999998</v>
      </c>
      <c r="AK832" s="625">
        <v>92.942909999999998</v>
      </c>
      <c r="AL832" s="625">
        <v>92.942909999999998</v>
      </c>
      <c r="AM832" s="625">
        <v>92.942909999999998</v>
      </c>
      <c r="AN832" s="625">
        <v>92.942909999999998</v>
      </c>
      <c r="AO832" s="625">
        <v>92.942909999999998</v>
      </c>
      <c r="AP832" s="41" t="str">
        <f t="shared" si="236"/>
        <v>Reg AssetR</v>
      </c>
      <c r="AQ832" s="41" t="str">
        <f t="shared" si="237"/>
        <v xml:space="preserve">Reg AssetRR10Low Income </v>
      </c>
      <c r="AR832" s="41" t="str">
        <f t="shared" si="238"/>
        <v xml:space="preserve">R10Low Income </v>
      </c>
      <c r="CK832" s="625"/>
    </row>
    <row r="833" spans="1:89" s="41" customFormat="1" ht="12.75" customHeight="1">
      <c r="A833" s="25" t="s">
        <v>746</v>
      </c>
      <c r="B833" s="25" t="str">
        <f t="shared" si="251"/>
        <v>Reg Asset18230312A10020BG030240</v>
      </c>
      <c r="C833" s="736">
        <v>182303</v>
      </c>
      <c r="D833" s="738" t="s">
        <v>826</v>
      </c>
      <c r="E833" s="41" t="s">
        <v>935</v>
      </c>
      <c r="F833" s="41" t="str">
        <f t="shared" si="248"/>
        <v>OTHER REGULATORY ASSETS - GAS</v>
      </c>
      <c r="G833" s="41" t="s">
        <v>995</v>
      </c>
      <c r="H833" s="736" t="s">
        <v>809</v>
      </c>
      <c r="I833" s="25"/>
      <c r="J833" s="25" t="str">
        <f t="shared" si="249"/>
        <v/>
      </c>
      <c r="K833" s="442" t="str">
        <f t="shared" si="250"/>
        <v/>
      </c>
      <c r="L833" s="736" t="s">
        <v>2441</v>
      </c>
      <c r="M833" s="25" t="str">
        <f t="shared" si="252"/>
        <v>R</v>
      </c>
      <c r="N833" s="25" t="str">
        <f>IF(L833&lt;&gt;"",VLOOKUP(L833,Categories!$B$2:$D$41,2,FALSE),IF(F833&lt;&gt;"","No Cat",""))</f>
        <v>Rate Base</v>
      </c>
      <c r="O833" s="25" t="str">
        <f>IF($L833&lt;&gt;"",VLOOKUP($L833,Categories!$B$2:$D$41,3,FALSE),IF($F833&lt;&gt;"","No Cat",""))</f>
        <v>Deferred Debits &amp; Credits</v>
      </c>
      <c r="P833" s="736" t="s">
        <v>2483</v>
      </c>
      <c r="Q833" s="25" t="str">
        <f>VLOOKUP($P833,Allocators!$B$7:$F$19,5,FALSE)</f>
        <v>Gas</v>
      </c>
      <c r="R833" s="737">
        <f>VLOOKUP($P833,Allocators!$B$7:$F$19,2,FALSE)</f>
        <v>0</v>
      </c>
      <c r="S833" s="737">
        <f>VLOOKUP($P833,Allocators!$B$7:$F$19,3,FALSE)</f>
        <v>1</v>
      </c>
      <c r="T833" s="737" t="str">
        <f t="shared" si="253"/>
        <v>0.0%</v>
      </c>
      <c r="U833" s="2">
        <f t="shared" si="241"/>
        <v>0</v>
      </c>
      <c r="V833" s="2">
        <f t="shared" si="242"/>
        <v>93.886610000000005</v>
      </c>
      <c r="W833" s="2">
        <f t="shared" si="243"/>
        <v>0</v>
      </c>
      <c r="X833" s="2">
        <f t="shared" si="239"/>
        <v>93.886610000000005</v>
      </c>
      <c r="Y833" s="2">
        <f t="shared" si="244"/>
        <v>0</v>
      </c>
      <c r="Z833" s="2">
        <f t="shared" si="245"/>
        <v>93.886610000000005</v>
      </c>
      <c r="AA833" s="2">
        <f t="shared" si="246"/>
        <v>0</v>
      </c>
      <c r="AB833" s="2">
        <f t="shared" si="240"/>
        <v>93.886610000000005</v>
      </c>
      <c r="AC833" s="734">
        <v>93.886610000000005</v>
      </c>
      <c r="AD833" s="625">
        <v>93.886610000000005</v>
      </c>
      <c r="AE833" s="625">
        <v>93.886610000000005</v>
      </c>
      <c r="AF833" s="625">
        <v>93.886610000000005</v>
      </c>
      <c r="AG833" s="625">
        <v>93.886610000000005</v>
      </c>
      <c r="AH833" s="625">
        <v>93.886610000000005</v>
      </c>
      <c r="AI833" s="625">
        <v>93.886610000000005</v>
      </c>
      <c r="AJ833" s="625">
        <v>93.886610000000005</v>
      </c>
      <c r="AK833" s="625">
        <v>93.886610000000005</v>
      </c>
      <c r="AL833" s="625">
        <v>93.886610000000005</v>
      </c>
      <c r="AM833" s="625">
        <v>93.886610000000005</v>
      </c>
      <c r="AN833" s="625">
        <v>93.886610000000005</v>
      </c>
      <c r="AO833" s="625">
        <v>93.886610000000005</v>
      </c>
      <c r="AP833" s="41" t="str">
        <f t="shared" si="236"/>
        <v>Reg AssetR</v>
      </c>
      <c r="AQ833" s="41" t="str">
        <f t="shared" si="237"/>
        <v xml:space="preserve">Reg AssetRR10Low Income </v>
      </c>
      <c r="AR833" s="41" t="str">
        <f t="shared" si="238"/>
        <v xml:space="preserve">R10Low Income </v>
      </c>
      <c r="CK833" s="625"/>
    </row>
    <row r="834" spans="1:89" s="41" customFormat="1" ht="12.75" customHeight="1">
      <c r="A834" s="25" t="s">
        <v>746</v>
      </c>
      <c r="B834" s="25" t="str">
        <f t="shared" si="251"/>
        <v>Reg Asset182303601060BG030404</v>
      </c>
      <c r="C834" s="736">
        <v>182303</v>
      </c>
      <c r="D834" s="738">
        <v>601060</v>
      </c>
      <c r="E834" s="41" t="s">
        <v>936</v>
      </c>
      <c r="F834" s="41" t="str">
        <f t="shared" si="248"/>
        <v>OTHER REGULATORY ASSETS - GAS</v>
      </c>
      <c r="G834" s="41" t="s">
        <v>996</v>
      </c>
      <c r="H834" s="736" t="s">
        <v>1126</v>
      </c>
      <c r="I834" s="25"/>
      <c r="J834" s="25" t="str">
        <f t="shared" si="249"/>
        <v/>
      </c>
      <c r="K834" s="25" t="str">
        <f t="shared" si="250"/>
        <v/>
      </c>
      <c r="L834" s="736" t="s">
        <v>2441</v>
      </c>
      <c r="M834" s="25" t="str">
        <f t="shared" si="252"/>
        <v>R</v>
      </c>
      <c r="N834" s="25" t="str">
        <f>IF(L834&lt;&gt;"",VLOOKUP(L834,Categories!$B$2:$D$41,2,FALSE),IF(F834&lt;&gt;"","No Cat",""))</f>
        <v>Rate Base</v>
      </c>
      <c r="O834" s="25" t="str">
        <f>IF($L834&lt;&gt;"",VLOOKUP($L834,Categories!$B$2:$D$41,3,FALSE),IF($F834&lt;&gt;"","No Cat",""))</f>
        <v>Deferred Debits &amp; Credits</v>
      </c>
      <c r="P834" s="736" t="s">
        <v>2483</v>
      </c>
      <c r="Q834" s="25" t="str">
        <f>VLOOKUP($P834,Allocators!$B$7:$F$19,5,FALSE)</f>
        <v>Gas</v>
      </c>
      <c r="R834" s="737">
        <f>VLOOKUP($P834,Allocators!$B$7:$F$19,2,FALSE)</f>
        <v>0</v>
      </c>
      <c r="S834" s="737">
        <f>VLOOKUP($P834,Allocators!$B$7:$F$19,3,FALSE)</f>
        <v>1</v>
      </c>
      <c r="T834" s="737" t="str">
        <f t="shared" si="253"/>
        <v>0.0%</v>
      </c>
      <c r="U834" s="2">
        <f t="shared" si="241"/>
        <v>0</v>
      </c>
      <c r="V834" s="2">
        <f t="shared" si="242"/>
        <v>734.73299999999995</v>
      </c>
      <c r="W834" s="2">
        <f t="shared" si="243"/>
        <v>0</v>
      </c>
      <c r="X834" s="2">
        <f t="shared" si="239"/>
        <v>734.73299999999995</v>
      </c>
      <c r="Y834" s="2">
        <f t="shared" si="244"/>
        <v>0</v>
      </c>
      <c r="Z834" s="2">
        <f t="shared" si="245"/>
        <v>734.73299999999995</v>
      </c>
      <c r="AA834" s="2">
        <f t="shared" si="246"/>
        <v>0</v>
      </c>
      <c r="AB834" s="2">
        <f t="shared" si="240"/>
        <v>734.73299999999995</v>
      </c>
      <c r="AC834" s="734">
        <v>734.73299999999995</v>
      </c>
      <c r="AD834" s="625">
        <v>734.73299999999995</v>
      </c>
      <c r="AE834" s="625">
        <v>734.73299999999995</v>
      </c>
      <c r="AF834" s="625">
        <v>734.73299999999995</v>
      </c>
      <c r="AG834" s="625">
        <v>734.73299999999995</v>
      </c>
      <c r="AH834" s="625">
        <v>734.73299999999995</v>
      </c>
      <c r="AI834" s="625">
        <v>734.73299999999995</v>
      </c>
      <c r="AJ834" s="625">
        <v>734.73299999999995</v>
      </c>
      <c r="AK834" s="625">
        <v>734.73299999999995</v>
      </c>
      <c r="AL834" s="625">
        <v>734.73299999999995</v>
      </c>
      <c r="AM834" s="625">
        <v>734.73299999999995</v>
      </c>
      <c r="AN834" s="625">
        <v>734.73299999999995</v>
      </c>
      <c r="AO834" s="625">
        <v>734.73299999999995</v>
      </c>
      <c r="AP834" s="41" t="str">
        <f t="shared" si="236"/>
        <v>Reg AssetR</v>
      </c>
      <c r="AQ834" s="41" t="str">
        <f t="shared" si="237"/>
        <v>Reg AssetRR10NYS Tax Audit</v>
      </c>
      <c r="AR834" s="41" t="str">
        <f t="shared" si="238"/>
        <v>R10NYS Tax Audit</v>
      </c>
      <c r="CK834" s="625"/>
    </row>
    <row r="835" spans="1:89" s="41" customFormat="1" ht="12.75" customHeight="1">
      <c r="A835" s="25" t="s">
        <v>746</v>
      </c>
      <c r="B835" s="25" t="str">
        <f t="shared" si="251"/>
        <v>Reg Asset182303601126-09BG030580</v>
      </c>
      <c r="C835" s="736">
        <v>182303</v>
      </c>
      <c r="D835" s="738" t="s">
        <v>827</v>
      </c>
      <c r="E835" s="41" t="s">
        <v>937</v>
      </c>
      <c r="F835" s="41" t="str">
        <f t="shared" si="248"/>
        <v>OTHER REGULATORY ASSETS - GAS</v>
      </c>
      <c r="G835" s="41" t="s">
        <v>997</v>
      </c>
      <c r="H835" s="736" t="s">
        <v>819</v>
      </c>
      <c r="I835" s="25"/>
      <c r="J835" s="25" t="str">
        <f t="shared" si="249"/>
        <v/>
      </c>
      <c r="K835" s="25" t="str">
        <f t="shared" si="250"/>
        <v/>
      </c>
      <c r="L835" s="736" t="s">
        <v>2441</v>
      </c>
      <c r="M835" s="25" t="str">
        <f t="shared" si="252"/>
        <v>R</v>
      </c>
      <c r="N835" s="25" t="str">
        <f>IF(L835&lt;&gt;"",VLOOKUP(L835,Categories!$B$2:$D$41,2,FALSE),IF(F835&lt;&gt;"","No Cat",""))</f>
        <v>Rate Base</v>
      </c>
      <c r="O835" s="25" t="str">
        <f>IF($L835&lt;&gt;"",VLOOKUP($L835,Categories!$B$2:$D$41,3,FALSE),IF($F835&lt;&gt;"","No Cat",""))</f>
        <v>Deferred Debits &amp; Credits</v>
      </c>
      <c r="P835" s="736" t="s">
        <v>2483</v>
      </c>
      <c r="Q835" s="25" t="str">
        <f>VLOOKUP($P835,Allocators!$B$7:$F$19,5,FALSE)</f>
        <v>Gas</v>
      </c>
      <c r="R835" s="737">
        <f>VLOOKUP($P835,Allocators!$B$7:$F$19,2,FALSE)</f>
        <v>0</v>
      </c>
      <c r="S835" s="737">
        <f>VLOOKUP($P835,Allocators!$B$7:$F$19,3,FALSE)</f>
        <v>1</v>
      </c>
      <c r="T835" s="737" t="str">
        <f t="shared" si="253"/>
        <v>0.0%</v>
      </c>
      <c r="U835" s="2">
        <f t="shared" si="241"/>
        <v>0</v>
      </c>
      <c r="V835" s="2">
        <f t="shared" si="242"/>
        <v>646.01076</v>
      </c>
      <c r="W835" s="2">
        <f t="shared" si="243"/>
        <v>0</v>
      </c>
      <c r="X835" s="2">
        <f t="shared" si="239"/>
        <v>646.01076</v>
      </c>
      <c r="Y835" s="2">
        <f t="shared" si="244"/>
        <v>0</v>
      </c>
      <c r="Z835" s="2">
        <f t="shared" si="245"/>
        <v>646.01076</v>
      </c>
      <c r="AA835" s="2">
        <f t="shared" si="246"/>
        <v>0</v>
      </c>
      <c r="AB835" s="2">
        <f t="shared" si="240"/>
        <v>646.01076</v>
      </c>
      <c r="AC835" s="734">
        <v>646.01076</v>
      </c>
      <c r="AD835" s="625">
        <v>646.01076</v>
      </c>
      <c r="AE835" s="625">
        <v>646.01076</v>
      </c>
      <c r="AF835" s="625">
        <v>646.01076</v>
      </c>
      <c r="AG835" s="625">
        <v>646.01076</v>
      </c>
      <c r="AH835" s="625">
        <v>646.01076</v>
      </c>
      <c r="AI835" s="625">
        <v>646.01076</v>
      </c>
      <c r="AJ835" s="625">
        <v>646.01076</v>
      </c>
      <c r="AK835" s="625">
        <v>646.01076</v>
      </c>
      <c r="AL835" s="625">
        <v>646.01076</v>
      </c>
      <c r="AM835" s="625">
        <v>646.01076</v>
      </c>
      <c r="AN835" s="625">
        <v>646.01076</v>
      </c>
      <c r="AO835" s="625">
        <v>646.01076</v>
      </c>
      <c r="AP835" s="41" t="str">
        <f t="shared" si="236"/>
        <v>Reg AssetR</v>
      </c>
      <c r="AQ835" s="41" t="str">
        <f t="shared" si="237"/>
        <v>Reg AssetRR10Cap Ex Deferral</v>
      </c>
      <c r="AR835" s="41" t="str">
        <f t="shared" si="238"/>
        <v>R10Cap Ex Deferral</v>
      </c>
      <c r="CK835" s="625"/>
    </row>
    <row r="836" spans="1:89" s="41" customFormat="1" ht="12.75" customHeight="1">
      <c r="A836" s="442" t="s">
        <v>746</v>
      </c>
      <c r="B836" s="442" t="str">
        <f t="shared" si="251"/>
        <v>Reg Asset182303601134/CC/U-O CollBG030582</v>
      </c>
      <c r="C836" s="736">
        <v>182303</v>
      </c>
      <c r="D836" s="738" t="s">
        <v>828</v>
      </c>
      <c r="E836" s="626" t="s">
        <v>938</v>
      </c>
      <c r="F836" s="626" t="str">
        <f t="shared" si="248"/>
        <v>OTHER REGULATORY ASSETS - GAS</v>
      </c>
      <c r="G836" s="626" t="s">
        <v>794</v>
      </c>
      <c r="H836" s="736" t="s">
        <v>817</v>
      </c>
      <c r="I836" s="442"/>
      <c r="J836" s="442" t="s">
        <v>7</v>
      </c>
      <c r="K836" s="442" t="str">
        <f t="shared" si="250"/>
        <v/>
      </c>
      <c r="L836" s="736" t="s">
        <v>2436</v>
      </c>
      <c r="M836" s="442" t="str">
        <f t="shared" si="252"/>
        <v>N</v>
      </c>
      <c r="N836" s="442" t="str">
        <f>IF(L836&lt;&gt;"",VLOOKUP(L836,Categories!$B$2:$D$41,2,FALSE),IF(F836&lt;&gt;"","No Cat",""))</f>
        <v>NRBASE</v>
      </c>
      <c r="O836" s="442" t="str">
        <f>IF($L836&lt;&gt;"",VLOOKUP($L836,Categories!$B$2:$D$41,3,FALSE),IF($F836&lt;&gt;"","No Cat",""))</f>
        <v>Deferrals Accruing Non-Cash Return   (other than ASGA)</v>
      </c>
      <c r="P836" s="736" t="s">
        <v>2468</v>
      </c>
      <c r="Q836" s="442" t="str">
        <f>VLOOKUP($P836,Allocators!$B$7:$F$19,5,FALSE)</f>
        <v>Not in Rate Base</v>
      </c>
      <c r="R836" s="737">
        <f>VLOOKUP($P836,Allocators!$B$7:$F$19,2,FALSE)</f>
        <v>0</v>
      </c>
      <c r="S836" s="737">
        <f>VLOOKUP($P836,Allocators!$B$7:$F$19,3,FALSE)</f>
        <v>0</v>
      </c>
      <c r="T836" s="737">
        <f t="shared" si="253"/>
        <v>1</v>
      </c>
      <c r="U836" s="2" t="str">
        <f t="shared" si="241"/>
        <v/>
      </c>
      <c r="V836" s="2" t="str">
        <f t="shared" si="242"/>
        <v/>
      </c>
      <c r="W836" s="2" t="str">
        <f t="shared" si="243"/>
        <v/>
      </c>
      <c r="X836" s="2">
        <f t="shared" si="239"/>
        <v>0</v>
      </c>
      <c r="Y836" s="2" t="str">
        <f t="shared" si="244"/>
        <v/>
      </c>
      <c r="Z836" s="2" t="str">
        <f t="shared" si="245"/>
        <v/>
      </c>
      <c r="AA836" s="2" t="str">
        <f t="shared" si="246"/>
        <v/>
      </c>
      <c r="AB836" s="2">
        <f t="shared" si="240"/>
        <v>0</v>
      </c>
      <c r="AC836" s="734">
        <v>0</v>
      </c>
      <c r="AD836" s="625">
        <v>0</v>
      </c>
      <c r="AE836" s="625">
        <v>0</v>
      </c>
      <c r="AF836" s="625">
        <v>0</v>
      </c>
      <c r="AG836" s="625">
        <v>0</v>
      </c>
      <c r="AH836" s="625">
        <v>0</v>
      </c>
      <c r="AI836" s="38">
        <v>0</v>
      </c>
      <c r="AJ836" s="625">
        <v>0</v>
      </c>
      <c r="AK836" s="625">
        <v>0</v>
      </c>
      <c r="AL836" s="625">
        <v>0</v>
      </c>
      <c r="AM836" s="625">
        <v>0</v>
      </c>
      <c r="AN836" s="625">
        <v>0</v>
      </c>
      <c r="AO836" s="625">
        <v>0</v>
      </c>
      <c r="AP836" s="41" t="str">
        <f t="shared" si="236"/>
        <v>Reg AssetN</v>
      </c>
      <c r="AQ836" s="41" t="str">
        <f t="shared" si="237"/>
        <v>Reg AssetNN10PSC Assessment</v>
      </c>
      <c r="AR836" s="41" t="str">
        <f t="shared" si="238"/>
        <v>N10PSC AssessmentNCR</v>
      </c>
      <c r="CK836" s="625"/>
    </row>
    <row r="837" spans="1:89" s="41" customFormat="1" ht="12.75" customHeight="1">
      <c r="A837" s="25" t="s">
        <v>746</v>
      </c>
      <c r="B837" s="25" t="str">
        <f t="shared" si="251"/>
        <v>Reg Asset182303601134-GenBG030580</v>
      </c>
      <c r="C837" s="736">
        <v>182303</v>
      </c>
      <c r="D837" s="738" t="s">
        <v>829</v>
      </c>
      <c r="E837" s="41" t="s">
        <v>937</v>
      </c>
      <c r="F837" s="41" t="str">
        <f t="shared" si="248"/>
        <v>OTHER REGULATORY ASSETS - GAS</v>
      </c>
      <c r="G837" s="41" t="s">
        <v>998</v>
      </c>
      <c r="H837" s="736" t="s">
        <v>817</v>
      </c>
      <c r="I837" s="25"/>
      <c r="J837" s="25" t="str">
        <f t="shared" si="249"/>
        <v/>
      </c>
      <c r="K837" s="25" t="str">
        <f t="shared" si="250"/>
        <v/>
      </c>
      <c r="L837" s="736" t="s">
        <v>2441</v>
      </c>
      <c r="M837" s="25" t="str">
        <f t="shared" si="252"/>
        <v>R</v>
      </c>
      <c r="N837" s="25" t="str">
        <f>IF(L837&lt;&gt;"",VLOOKUP(L837,Categories!$B$2:$D$41,2,FALSE),IF(F837&lt;&gt;"","No Cat",""))</f>
        <v>Rate Base</v>
      </c>
      <c r="O837" s="25" t="str">
        <f>IF($L837&lt;&gt;"",VLOOKUP($L837,Categories!$B$2:$D$41,3,FALSE),IF($F837&lt;&gt;"","No Cat",""))</f>
        <v>Deferred Debits &amp; Credits</v>
      </c>
      <c r="P837" s="736" t="s">
        <v>2483</v>
      </c>
      <c r="Q837" s="25" t="str">
        <f>VLOOKUP($P837,Allocators!$B$7:$F$19,5,FALSE)</f>
        <v>Gas</v>
      </c>
      <c r="R837" s="737">
        <f>VLOOKUP($P837,Allocators!$B$7:$F$19,2,FALSE)</f>
        <v>0</v>
      </c>
      <c r="S837" s="737">
        <f>VLOOKUP($P837,Allocators!$B$7:$F$19,3,FALSE)</f>
        <v>1</v>
      </c>
      <c r="T837" s="737" t="str">
        <f t="shared" si="253"/>
        <v>0.0%</v>
      </c>
      <c r="U837" s="2">
        <f t="shared" si="241"/>
        <v>0</v>
      </c>
      <c r="V837" s="2">
        <f t="shared" si="242"/>
        <v>-11.562606666666699</v>
      </c>
      <c r="W837" s="2">
        <f t="shared" si="243"/>
        <v>0</v>
      </c>
      <c r="X837" s="2">
        <f t="shared" si="239"/>
        <v>-11.562606666666699</v>
      </c>
      <c r="Y837" s="2">
        <f t="shared" si="244"/>
        <v>0</v>
      </c>
      <c r="Z837" s="2">
        <f t="shared" si="245"/>
        <v>-55.232500000000002</v>
      </c>
      <c r="AA837" s="2">
        <f t="shared" si="246"/>
        <v>0</v>
      </c>
      <c r="AB837" s="2">
        <f t="shared" si="240"/>
        <v>-55.232500000000009</v>
      </c>
      <c r="AC837" s="734">
        <v>0</v>
      </c>
      <c r="AD837" s="625">
        <v>0</v>
      </c>
      <c r="AE837" s="625">
        <v>0</v>
      </c>
      <c r="AF837" s="625">
        <v>0</v>
      </c>
      <c r="AG837" s="625">
        <v>0</v>
      </c>
      <c r="AH837" s="625">
        <v>0</v>
      </c>
      <c r="AI837" s="38">
        <v>0</v>
      </c>
      <c r="AJ837" s="625">
        <v>-6.22532</v>
      </c>
      <c r="AK837" s="625">
        <v>-5.7293400000000005</v>
      </c>
      <c r="AL837" s="625">
        <v>-5.2693400000000006</v>
      </c>
      <c r="AM837" s="625">
        <v>-44.229210000000009</v>
      </c>
      <c r="AN837" s="625">
        <v>-49.681820000000009</v>
      </c>
      <c r="AO837" s="625">
        <v>-55.232500000000009</v>
      </c>
      <c r="AP837" s="41" t="str">
        <f t="shared" si="236"/>
        <v>Reg AssetR</v>
      </c>
      <c r="AQ837" s="41" t="str">
        <f t="shared" si="237"/>
        <v>Reg AssetRR10PSC Assessment</v>
      </c>
      <c r="AR837" s="41" t="str">
        <f t="shared" si="238"/>
        <v>R10PSC Assessment</v>
      </c>
      <c r="CK837" s="625"/>
    </row>
    <row r="838" spans="1:89" s="41" customFormat="1" ht="12.75" customHeight="1">
      <c r="A838" s="442" t="s">
        <v>746</v>
      </c>
      <c r="B838" s="442" t="str">
        <f t="shared" si="251"/>
        <v>Reg Asset182303601228BG030903</v>
      </c>
      <c r="C838" s="736">
        <v>182303</v>
      </c>
      <c r="D838" s="738">
        <v>601228</v>
      </c>
      <c r="E838" s="626" t="s">
        <v>940</v>
      </c>
      <c r="F838" s="41" t="str">
        <f t="shared" si="248"/>
        <v>OTHER REGULATORY ASSETS - GAS</v>
      </c>
      <c r="G838" s="626" t="s">
        <v>1000</v>
      </c>
      <c r="H838" s="736" t="s">
        <v>820</v>
      </c>
      <c r="I838" s="442"/>
      <c r="J838" s="442"/>
      <c r="K838" s="442" t="str">
        <f t="shared" si="250"/>
        <v/>
      </c>
      <c r="L838" s="736" t="s">
        <v>2441</v>
      </c>
      <c r="M838" s="442" t="str">
        <f t="shared" ref="M838" si="275">LEFT(L838,1)</f>
        <v>R</v>
      </c>
      <c r="N838" s="442" t="str">
        <f>IF(L838&lt;&gt;"",VLOOKUP(L838,Categories!$B$2:$D$41,2,FALSE),IF(F838&lt;&gt;"","No Cat",""))</f>
        <v>Rate Base</v>
      </c>
      <c r="O838" s="442" t="str">
        <f>IF($L838&lt;&gt;"",VLOOKUP($L838,Categories!$B$2:$D$41,3,FALSE),IF($F838&lt;&gt;"","No Cat",""))</f>
        <v>Deferred Debits &amp; Credits</v>
      </c>
      <c r="P838" s="736" t="s">
        <v>2483</v>
      </c>
      <c r="Q838" s="442" t="str">
        <f>VLOOKUP($P838,Allocators!$B$7:$F$19,5,FALSE)</f>
        <v>Gas</v>
      </c>
      <c r="R838" s="737">
        <f>VLOOKUP($P838,Allocators!$B$7:$F$19,2,FALSE)</f>
        <v>0</v>
      </c>
      <c r="S838" s="737">
        <f>VLOOKUP($P838,Allocators!$B$7:$F$19,3,FALSE)</f>
        <v>1</v>
      </c>
      <c r="T838" s="737" t="str">
        <f t="shared" si="253"/>
        <v>0.0%</v>
      </c>
      <c r="U838" s="2">
        <f t="shared" si="241"/>
        <v>0</v>
      </c>
      <c r="V838" s="2">
        <f t="shared" si="242"/>
        <v>113.52670999999999</v>
      </c>
      <c r="W838" s="2">
        <f t="shared" si="243"/>
        <v>0</v>
      </c>
      <c r="X838" s="2">
        <f t="shared" si="239"/>
        <v>113.52670999999999</v>
      </c>
      <c r="Y838" s="2">
        <f t="shared" si="244"/>
        <v>0</v>
      </c>
      <c r="Z838" s="2">
        <f t="shared" si="245"/>
        <v>113.52670999999999</v>
      </c>
      <c r="AA838" s="2">
        <f t="shared" si="246"/>
        <v>0</v>
      </c>
      <c r="AB838" s="2">
        <f t="shared" si="240"/>
        <v>113.52671000000001</v>
      </c>
      <c r="AC838" s="734">
        <v>113.52671000000001</v>
      </c>
      <c r="AD838" s="625">
        <v>113.52671000000001</v>
      </c>
      <c r="AE838" s="625">
        <v>113.52671000000001</v>
      </c>
      <c r="AF838" s="625">
        <v>113.52671000000001</v>
      </c>
      <c r="AG838" s="625">
        <v>113.52671000000001</v>
      </c>
      <c r="AH838" s="625">
        <v>113.52671000000001</v>
      </c>
      <c r="AI838" s="625">
        <v>113.52671000000001</v>
      </c>
      <c r="AJ838" s="625">
        <v>113.52671000000001</v>
      </c>
      <c r="AK838" s="625">
        <v>113.52671000000001</v>
      </c>
      <c r="AL838" s="625">
        <v>113.52671000000001</v>
      </c>
      <c r="AM838" s="625">
        <v>113.52671000000001</v>
      </c>
      <c r="AN838" s="625">
        <v>113.52671000000001</v>
      </c>
      <c r="AO838" s="625">
        <v>113.52671000000001</v>
      </c>
      <c r="AP838" s="41" t="str">
        <f t="shared" si="236"/>
        <v>Reg AssetR</v>
      </c>
      <c r="AQ838" s="41" t="str">
        <f t="shared" si="237"/>
        <v>Reg AssetRR10CTA Efficiency</v>
      </c>
      <c r="AR838" s="41" t="str">
        <f t="shared" si="238"/>
        <v>R10CTA Efficiency</v>
      </c>
      <c r="CK838" s="625"/>
    </row>
    <row r="839" spans="1:89" s="41" customFormat="1" ht="12.75" customHeight="1">
      <c r="A839" s="25" t="s">
        <v>746</v>
      </c>
      <c r="B839" s="25" t="str">
        <f t="shared" si="251"/>
        <v>Reg Asset182303601128-ABG030906</v>
      </c>
      <c r="C839" s="736">
        <v>182303</v>
      </c>
      <c r="D839" s="738" t="s">
        <v>830</v>
      </c>
      <c r="E839" s="41" t="s">
        <v>939</v>
      </c>
      <c r="F839" s="41" t="str">
        <f t="shared" si="248"/>
        <v>OTHER REGULATORY ASSETS - GAS</v>
      </c>
      <c r="G839" s="41" t="s">
        <v>999</v>
      </c>
      <c r="H839" s="736" t="s">
        <v>820</v>
      </c>
      <c r="I839" s="25"/>
      <c r="J839" s="25" t="str">
        <f t="shared" si="249"/>
        <v/>
      </c>
      <c r="K839" s="442" t="str">
        <f t="shared" si="250"/>
        <v/>
      </c>
      <c r="L839" s="736" t="s">
        <v>2441</v>
      </c>
      <c r="M839" s="25" t="str">
        <f t="shared" si="252"/>
        <v>R</v>
      </c>
      <c r="N839" s="25" t="str">
        <f>IF(L839&lt;&gt;"",VLOOKUP(L839,Categories!$B$2:$D$41,2,FALSE),IF(F839&lt;&gt;"","No Cat",""))</f>
        <v>Rate Base</v>
      </c>
      <c r="O839" s="25" t="str">
        <f>IF($L839&lt;&gt;"",VLOOKUP($L839,Categories!$B$2:$D$41,3,FALSE),IF($F839&lt;&gt;"","No Cat",""))</f>
        <v>Deferred Debits &amp; Credits</v>
      </c>
      <c r="P839" s="736" t="s">
        <v>2483</v>
      </c>
      <c r="Q839" s="25" t="str">
        <f>VLOOKUP($P839,Allocators!$B$7:$F$19,5,FALSE)</f>
        <v>Gas</v>
      </c>
      <c r="R839" s="737">
        <f>VLOOKUP($P839,Allocators!$B$7:$F$19,2,FALSE)</f>
        <v>0</v>
      </c>
      <c r="S839" s="737">
        <f>VLOOKUP($P839,Allocators!$B$7:$F$19,3,FALSE)</f>
        <v>1</v>
      </c>
      <c r="T839" s="737" t="str">
        <f t="shared" si="253"/>
        <v>0.0%</v>
      </c>
      <c r="U839" s="2" t="str">
        <f t="shared" si="241"/>
        <v/>
      </c>
      <c r="V839" s="2" t="str">
        <f t="shared" si="242"/>
        <v/>
      </c>
      <c r="W839" s="2" t="str">
        <f t="shared" si="243"/>
        <v/>
      </c>
      <c r="X839" s="2">
        <f t="shared" si="239"/>
        <v>0</v>
      </c>
      <c r="Y839" s="2" t="str">
        <f t="shared" si="244"/>
        <v/>
      </c>
      <c r="Z839" s="2" t="str">
        <f t="shared" si="245"/>
        <v/>
      </c>
      <c r="AA839" s="2" t="str">
        <f t="shared" si="246"/>
        <v/>
      </c>
      <c r="AB839" s="2">
        <f t="shared" si="240"/>
        <v>0</v>
      </c>
      <c r="AC839" s="625">
        <v>0</v>
      </c>
      <c r="AD839" s="625">
        <v>0</v>
      </c>
      <c r="AE839" s="625">
        <v>0</v>
      </c>
      <c r="AF839" s="625">
        <v>0</v>
      </c>
      <c r="AG839" s="625">
        <v>0</v>
      </c>
      <c r="AH839" s="625">
        <v>0</v>
      </c>
      <c r="AI839" s="38">
        <v>0</v>
      </c>
      <c r="AJ839" s="625">
        <v>0</v>
      </c>
      <c r="AK839" s="625">
        <v>0</v>
      </c>
      <c r="AL839" s="625">
        <v>0</v>
      </c>
      <c r="AM839" s="625">
        <v>0</v>
      </c>
      <c r="AN839" s="625">
        <v>0</v>
      </c>
      <c r="AO839" s="625">
        <v>0</v>
      </c>
      <c r="AP839" s="41" t="str">
        <f t="shared" ref="AP839:AP902" si="276">CONCATENATE(A839,M839)</f>
        <v>Reg AssetR</v>
      </c>
      <c r="AQ839" s="41" t="str">
        <f t="shared" ref="AQ839:AQ902" si="277">CONCATENATE(AP839,L839,H839)</f>
        <v>Reg AssetRR10CTA Efficiency</v>
      </c>
      <c r="AR839" s="41" t="str">
        <f t="shared" ref="AR839:AR902" si="278">CONCATENATE(L839,H839,J839)</f>
        <v>R10CTA Efficiency</v>
      </c>
      <c r="CK839" s="625"/>
    </row>
    <row r="840" spans="1:89" s="41" customFormat="1" ht="12.75" customHeight="1">
      <c r="A840" s="25" t="s">
        <v>746</v>
      </c>
      <c r="B840" s="25" t="str">
        <f t="shared" si="251"/>
        <v>Reg Asset182303601228-ABG030903</v>
      </c>
      <c r="C840" s="736">
        <v>182303</v>
      </c>
      <c r="D840" s="738" t="s">
        <v>831</v>
      </c>
      <c r="E840" s="41" t="s">
        <v>940</v>
      </c>
      <c r="F840" s="41" t="str">
        <f t="shared" si="248"/>
        <v>OTHER REGULATORY ASSETS - GAS</v>
      </c>
      <c r="G840" s="41" t="s">
        <v>1000</v>
      </c>
      <c r="H840" s="736" t="s">
        <v>820</v>
      </c>
      <c r="I840" s="25"/>
      <c r="J840" s="25" t="str">
        <f t="shared" si="249"/>
        <v/>
      </c>
      <c r="K840" s="25" t="str">
        <f t="shared" si="250"/>
        <v/>
      </c>
      <c r="L840" s="736" t="s">
        <v>2441</v>
      </c>
      <c r="M840" s="25" t="str">
        <f t="shared" si="252"/>
        <v>R</v>
      </c>
      <c r="N840" s="25" t="str">
        <f>IF(L840&lt;&gt;"",VLOOKUP(L840,Categories!$B$2:$D$41,2,FALSE),IF(F840&lt;&gt;"","No Cat",""))</f>
        <v>Rate Base</v>
      </c>
      <c r="O840" s="25" t="str">
        <f>IF($L840&lt;&gt;"",VLOOKUP($L840,Categories!$B$2:$D$41,3,FALSE),IF($F840&lt;&gt;"","No Cat",""))</f>
        <v>Deferred Debits &amp; Credits</v>
      </c>
      <c r="P840" s="736" t="s">
        <v>2483</v>
      </c>
      <c r="Q840" s="25" t="str">
        <f>VLOOKUP($P840,Allocators!$B$7:$F$19,5,FALSE)</f>
        <v>Gas</v>
      </c>
      <c r="R840" s="737">
        <f>VLOOKUP($P840,Allocators!$B$7:$F$19,2,FALSE)</f>
        <v>0</v>
      </c>
      <c r="S840" s="737">
        <f>VLOOKUP($P840,Allocators!$B$7:$F$19,3,FALSE)</f>
        <v>1</v>
      </c>
      <c r="T840" s="737" t="str">
        <f t="shared" si="253"/>
        <v>0.0%</v>
      </c>
      <c r="U840" s="2" t="str">
        <f t="shared" si="241"/>
        <v/>
      </c>
      <c r="V840" s="2" t="str">
        <f t="shared" si="242"/>
        <v/>
      </c>
      <c r="W840" s="2" t="str">
        <f t="shared" si="243"/>
        <v/>
      </c>
      <c r="X840" s="2">
        <f t="shared" ref="X840:X903" si="279">IF(ISERROR(ROUND((SUM(AC840:AO840)-((AC840+AO840))/2)/12,15)),"",ROUND((SUM(AC840:AO840)-((AC840+AO840))/2)/12,15))</f>
        <v>0</v>
      </c>
      <c r="Y840" s="2" t="str">
        <f t="shared" si="244"/>
        <v/>
      </c>
      <c r="Z840" s="2" t="str">
        <f t="shared" si="245"/>
        <v/>
      </c>
      <c r="AA840" s="2" t="str">
        <f t="shared" si="246"/>
        <v/>
      </c>
      <c r="AB840" s="2">
        <f t="shared" ref="AB840:AB903" si="280">IF(AO840="",0,+AO840)</f>
        <v>0</v>
      </c>
      <c r="AC840" s="734">
        <v>0</v>
      </c>
      <c r="AD840" s="625">
        <v>0</v>
      </c>
      <c r="AE840" s="625">
        <v>0</v>
      </c>
      <c r="AF840" s="625">
        <v>0</v>
      </c>
      <c r="AG840" s="625">
        <v>0</v>
      </c>
      <c r="AH840" s="625">
        <v>0</v>
      </c>
      <c r="AI840" s="38">
        <v>0</v>
      </c>
      <c r="AJ840" s="625">
        <v>0</v>
      </c>
      <c r="AK840" s="625">
        <v>0</v>
      </c>
      <c r="AL840" s="625">
        <v>0</v>
      </c>
      <c r="AM840" s="625">
        <v>0</v>
      </c>
      <c r="AN840" s="625">
        <v>0</v>
      </c>
      <c r="AO840" s="625">
        <v>0</v>
      </c>
      <c r="AP840" s="41" t="str">
        <f t="shared" si="276"/>
        <v>Reg AssetR</v>
      </c>
      <c r="AQ840" s="41" t="str">
        <f t="shared" si="277"/>
        <v>Reg AssetRR10CTA Efficiency</v>
      </c>
      <c r="AR840" s="41" t="str">
        <f t="shared" si="278"/>
        <v>R10CTA Efficiency</v>
      </c>
      <c r="CK840" s="625"/>
    </row>
    <row r="841" spans="1:89" s="41" customFormat="1" ht="12.75" customHeight="1">
      <c r="A841" s="25" t="s">
        <v>746</v>
      </c>
      <c r="B841" s="25" t="str">
        <f t="shared" si="251"/>
        <v>Reg Asset182303601228-LBG030903</v>
      </c>
      <c r="C841" s="736">
        <v>182303</v>
      </c>
      <c r="D841" s="738" t="s">
        <v>832</v>
      </c>
      <c r="E841" s="41" t="s">
        <v>940</v>
      </c>
      <c r="F841" s="41" t="str">
        <f t="shared" si="248"/>
        <v>OTHER REGULATORY ASSETS - GAS</v>
      </c>
      <c r="G841" s="41" t="s">
        <v>1000</v>
      </c>
      <c r="H841" s="736" t="s">
        <v>820</v>
      </c>
      <c r="I841" s="25"/>
      <c r="J841" s="25" t="str">
        <f t="shared" si="249"/>
        <v/>
      </c>
      <c r="K841" s="25" t="str">
        <f t="shared" si="250"/>
        <v/>
      </c>
      <c r="L841" s="736" t="s">
        <v>2441</v>
      </c>
      <c r="M841" s="25" t="str">
        <f t="shared" si="252"/>
        <v>R</v>
      </c>
      <c r="N841" s="25" t="str">
        <f>IF(L841&lt;&gt;"",VLOOKUP(L841,Categories!$B$2:$D$41,2,FALSE),IF(F841&lt;&gt;"","No Cat",""))</f>
        <v>Rate Base</v>
      </c>
      <c r="O841" s="25" t="str">
        <f>IF($L841&lt;&gt;"",VLOOKUP($L841,Categories!$B$2:$D$41,3,FALSE),IF($F841&lt;&gt;"","No Cat",""))</f>
        <v>Deferred Debits &amp; Credits</v>
      </c>
      <c r="P841" s="736" t="s">
        <v>2483</v>
      </c>
      <c r="Q841" s="25" t="str">
        <f>VLOOKUP($P841,Allocators!$B$7:$F$19,5,FALSE)</f>
        <v>Gas</v>
      </c>
      <c r="R841" s="737">
        <f>VLOOKUP($P841,Allocators!$B$7:$F$19,2,FALSE)</f>
        <v>0</v>
      </c>
      <c r="S841" s="737">
        <f>VLOOKUP($P841,Allocators!$B$7:$F$19,3,FALSE)</f>
        <v>1</v>
      </c>
      <c r="T841" s="737" t="str">
        <f t="shared" si="253"/>
        <v>0.0%</v>
      </c>
      <c r="U841" s="2" t="str">
        <f t="shared" si="241"/>
        <v/>
      </c>
      <c r="V841" s="2" t="str">
        <f t="shared" si="242"/>
        <v/>
      </c>
      <c r="W841" s="2" t="str">
        <f t="shared" si="243"/>
        <v/>
      </c>
      <c r="X841" s="2">
        <f t="shared" si="279"/>
        <v>0</v>
      </c>
      <c r="Y841" s="2" t="str">
        <f t="shared" si="244"/>
        <v/>
      </c>
      <c r="Z841" s="2" t="str">
        <f t="shared" si="245"/>
        <v/>
      </c>
      <c r="AA841" s="2" t="str">
        <f t="shared" si="246"/>
        <v/>
      </c>
      <c r="AB841" s="2">
        <f t="shared" si="280"/>
        <v>0</v>
      </c>
      <c r="AC841" s="625">
        <v>0</v>
      </c>
      <c r="AD841" s="625">
        <v>0</v>
      </c>
      <c r="AE841" s="625">
        <v>0</v>
      </c>
      <c r="AF841" s="625">
        <v>0</v>
      </c>
      <c r="AG841" s="625">
        <v>0</v>
      </c>
      <c r="AH841" s="625">
        <v>0</v>
      </c>
      <c r="AI841" s="38">
        <v>0</v>
      </c>
      <c r="AJ841" s="625">
        <v>0</v>
      </c>
      <c r="AK841" s="625">
        <v>0</v>
      </c>
      <c r="AL841" s="625">
        <v>0</v>
      </c>
      <c r="AM841" s="625">
        <v>0</v>
      </c>
      <c r="AN841" s="625">
        <v>0</v>
      </c>
      <c r="AO841" s="625">
        <v>0</v>
      </c>
      <c r="AP841" s="41" t="str">
        <f t="shared" si="276"/>
        <v>Reg AssetR</v>
      </c>
      <c r="AQ841" s="41" t="str">
        <f t="shared" si="277"/>
        <v>Reg AssetRR10CTA Efficiency</v>
      </c>
      <c r="AR841" s="41" t="str">
        <f t="shared" si="278"/>
        <v>R10CTA Efficiency</v>
      </c>
      <c r="CK841" s="625"/>
    </row>
    <row r="842" spans="1:89" s="41" customFormat="1" ht="12.75" customHeight="1">
      <c r="A842" s="25" t="s">
        <v>746</v>
      </c>
      <c r="B842" s="25" t="str">
        <f t="shared" si="251"/>
        <v>Reg Asset182303601228-NBG030903</v>
      </c>
      <c r="C842" s="736">
        <v>182303</v>
      </c>
      <c r="D842" s="738" t="s">
        <v>833</v>
      </c>
      <c r="E842" s="41" t="s">
        <v>940</v>
      </c>
      <c r="F842" s="41" t="str">
        <f t="shared" si="248"/>
        <v>OTHER REGULATORY ASSETS - GAS</v>
      </c>
      <c r="G842" s="41" t="s">
        <v>1000</v>
      </c>
      <c r="H842" s="736" t="s">
        <v>820</v>
      </c>
      <c r="I842" s="25"/>
      <c r="J842" s="25" t="str">
        <f t="shared" si="249"/>
        <v/>
      </c>
      <c r="K842" s="25" t="str">
        <f t="shared" si="250"/>
        <v/>
      </c>
      <c r="L842" s="736" t="s">
        <v>2441</v>
      </c>
      <c r="M842" s="25" t="str">
        <f t="shared" si="252"/>
        <v>R</v>
      </c>
      <c r="N842" s="25" t="str">
        <f>IF(L842&lt;&gt;"",VLOOKUP(L842,Categories!$B$2:$D$41,2,FALSE),IF(F842&lt;&gt;"","No Cat",""))</f>
        <v>Rate Base</v>
      </c>
      <c r="O842" s="25" t="str">
        <f>IF($L842&lt;&gt;"",VLOOKUP($L842,Categories!$B$2:$D$41,3,FALSE),IF($F842&lt;&gt;"","No Cat",""))</f>
        <v>Deferred Debits &amp; Credits</v>
      </c>
      <c r="P842" s="736" t="s">
        <v>2483</v>
      </c>
      <c r="Q842" s="25" t="str">
        <f>VLOOKUP($P842,Allocators!$B$7:$F$19,5,FALSE)</f>
        <v>Gas</v>
      </c>
      <c r="R842" s="737">
        <f>VLOOKUP($P842,Allocators!$B$7:$F$19,2,FALSE)</f>
        <v>0</v>
      </c>
      <c r="S842" s="737">
        <f>VLOOKUP($P842,Allocators!$B$7:$F$19,3,FALSE)</f>
        <v>1</v>
      </c>
      <c r="T842" s="737" t="str">
        <f t="shared" si="253"/>
        <v>0.0%</v>
      </c>
      <c r="U842" s="2" t="str">
        <f t="shared" si="241"/>
        <v/>
      </c>
      <c r="V842" s="2" t="str">
        <f t="shared" si="242"/>
        <v/>
      </c>
      <c r="W842" s="2" t="str">
        <f t="shared" si="243"/>
        <v/>
      </c>
      <c r="X842" s="2">
        <f t="shared" si="279"/>
        <v>0</v>
      </c>
      <c r="Y842" s="2" t="str">
        <f t="shared" si="244"/>
        <v/>
      </c>
      <c r="Z842" s="2" t="str">
        <f t="shared" si="245"/>
        <v/>
      </c>
      <c r="AA842" s="2" t="str">
        <f t="shared" si="246"/>
        <v/>
      </c>
      <c r="AB842" s="2">
        <f t="shared" si="280"/>
        <v>0</v>
      </c>
      <c r="AC842" s="625">
        <v>0</v>
      </c>
      <c r="AD842" s="625">
        <v>0</v>
      </c>
      <c r="AE842" s="625">
        <v>0</v>
      </c>
      <c r="AF842" s="625">
        <v>0</v>
      </c>
      <c r="AG842" s="625">
        <v>0</v>
      </c>
      <c r="AH842" s="625">
        <v>0</v>
      </c>
      <c r="AI842" s="38">
        <v>0</v>
      </c>
      <c r="AJ842" s="625">
        <v>0</v>
      </c>
      <c r="AK842" s="625">
        <v>0</v>
      </c>
      <c r="AL842" s="625">
        <v>0</v>
      </c>
      <c r="AM842" s="625">
        <v>0</v>
      </c>
      <c r="AN842" s="625">
        <v>0</v>
      </c>
      <c r="AO842" s="625">
        <v>0</v>
      </c>
      <c r="AP842" s="41" t="str">
        <f t="shared" si="276"/>
        <v>Reg AssetR</v>
      </c>
      <c r="AQ842" s="41" t="str">
        <f t="shared" si="277"/>
        <v>Reg AssetRR10CTA Efficiency</v>
      </c>
      <c r="AR842" s="41" t="str">
        <f t="shared" si="278"/>
        <v>R10CTA Efficiency</v>
      </c>
      <c r="CK842" s="625"/>
    </row>
    <row r="843" spans="1:89" s="41" customFormat="1" ht="12.75" customHeight="1">
      <c r="A843" s="442" t="s">
        <v>746</v>
      </c>
      <c r="B843" s="442" t="str">
        <f t="shared" si="251"/>
        <v>Reg Asset182303OPEB GASBG030248</v>
      </c>
      <c r="C843" s="736">
        <v>182303</v>
      </c>
      <c r="D843" s="738" t="s">
        <v>834</v>
      </c>
      <c r="E843" s="626" t="s">
        <v>941</v>
      </c>
      <c r="F843" s="626" t="str">
        <f t="shared" si="248"/>
        <v>OTHER REGULATORY ASSETS - GAS</v>
      </c>
      <c r="G843" s="626" t="s">
        <v>926</v>
      </c>
      <c r="H843" s="736" t="s">
        <v>812</v>
      </c>
      <c r="I843" s="442"/>
      <c r="J843" s="442" t="s">
        <v>7</v>
      </c>
      <c r="K843" s="442" t="str">
        <f t="shared" si="250"/>
        <v/>
      </c>
      <c r="L843" s="736" t="s">
        <v>2436</v>
      </c>
      <c r="M843" s="442" t="str">
        <f t="shared" si="252"/>
        <v>N</v>
      </c>
      <c r="N843" s="442" t="str">
        <f>IF(L843&lt;&gt;"",VLOOKUP(L843,Categories!$B$2:$D$41,2,FALSE),IF(F843&lt;&gt;"","No Cat",""))</f>
        <v>NRBASE</v>
      </c>
      <c r="O843" s="442" t="str">
        <f>IF($L843&lt;&gt;"",VLOOKUP($L843,Categories!$B$2:$D$41,3,FALSE),IF($F843&lt;&gt;"","No Cat",""))</f>
        <v>Deferrals Accruing Non-Cash Return   (other than ASGA)</v>
      </c>
      <c r="P843" s="736" t="s">
        <v>2468</v>
      </c>
      <c r="Q843" s="442" t="str">
        <f>VLOOKUP($P843,Allocators!$B$7:$F$19,5,FALSE)</f>
        <v>Not in Rate Base</v>
      </c>
      <c r="R843" s="737">
        <f>VLOOKUP($P843,Allocators!$B$7:$F$19,2,FALSE)</f>
        <v>0</v>
      </c>
      <c r="S843" s="737">
        <f>VLOOKUP($P843,Allocators!$B$7:$F$19,3,FALSE)</f>
        <v>0</v>
      </c>
      <c r="T843" s="737">
        <f t="shared" si="253"/>
        <v>1</v>
      </c>
      <c r="U843" s="2">
        <f t="shared" si="241"/>
        <v>0</v>
      </c>
      <c r="V843" s="2">
        <f t="shared" si="242"/>
        <v>0</v>
      </c>
      <c r="W843" s="2">
        <f t="shared" si="243"/>
        <v>51.6799866666668</v>
      </c>
      <c r="X843" s="2">
        <f t="shared" si="279"/>
        <v>51.6799866666668</v>
      </c>
      <c r="Y843" s="2">
        <f t="shared" si="244"/>
        <v>0</v>
      </c>
      <c r="Z843" s="2">
        <f t="shared" si="245"/>
        <v>0</v>
      </c>
      <c r="AA843" s="2">
        <f t="shared" si="246"/>
        <v>-221.40858</v>
      </c>
      <c r="AB843" s="2">
        <f t="shared" si="280"/>
        <v>-221.40857999999989</v>
      </c>
      <c r="AC843" s="734">
        <v>325.68744000000044</v>
      </c>
      <c r="AD843" s="625">
        <v>284.35843000000006</v>
      </c>
      <c r="AE843" s="625">
        <v>233.48018000000008</v>
      </c>
      <c r="AF843" s="625">
        <v>187.2230100000001</v>
      </c>
      <c r="AG843" s="625">
        <v>141.13152000000008</v>
      </c>
      <c r="AH843" s="625">
        <v>92.949140000000085</v>
      </c>
      <c r="AI843" s="625">
        <v>37.835990000000081</v>
      </c>
      <c r="AJ843" s="625">
        <v>-11.439479999999916</v>
      </c>
      <c r="AK843" s="625">
        <v>-32.992259999999916</v>
      </c>
      <c r="AL843" s="625">
        <v>-64.576039999999907</v>
      </c>
      <c r="AM843" s="625">
        <v>-125.79744999999993</v>
      </c>
      <c r="AN843" s="625">
        <v>-174.15262999999993</v>
      </c>
      <c r="AO843" s="625">
        <v>-221.40857999999989</v>
      </c>
      <c r="AP843" s="41" t="str">
        <f t="shared" si="276"/>
        <v>Reg AssetN</v>
      </c>
      <c r="AQ843" s="41" t="str">
        <f t="shared" si="277"/>
        <v>Reg AssetNN10OPEB True-up</v>
      </c>
      <c r="AR843" s="41" t="str">
        <f t="shared" si="278"/>
        <v>N10OPEB True-upNCR</v>
      </c>
      <c r="CK843" s="625"/>
    </row>
    <row r="844" spans="1:89" s="41" customFormat="1" ht="12.75" customHeight="1">
      <c r="A844" s="442" t="s">
        <v>746</v>
      </c>
      <c r="B844" s="442" t="str">
        <f t="shared" si="251"/>
        <v>Reg Asset182303601202BG030594</v>
      </c>
      <c r="C844" s="736">
        <v>182303</v>
      </c>
      <c r="D844" s="738">
        <v>601202</v>
      </c>
      <c r="E844" s="626" t="s">
        <v>942</v>
      </c>
      <c r="F844" s="626" t="str">
        <f t="shared" si="248"/>
        <v>OTHER REGULATORY ASSETS - GAS</v>
      </c>
      <c r="G844" s="626" t="s">
        <v>1001</v>
      </c>
      <c r="H844" s="736" t="s">
        <v>821</v>
      </c>
      <c r="I844" s="442"/>
      <c r="J844" s="442" t="s">
        <v>7</v>
      </c>
      <c r="K844" s="442" t="str">
        <f t="shared" si="250"/>
        <v/>
      </c>
      <c r="L844" s="736" t="s">
        <v>2436</v>
      </c>
      <c r="M844" s="442" t="str">
        <f t="shared" si="252"/>
        <v>N</v>
      </c>
      <c r="N844" s="442" t="str">
        <f>IF(L844&lt;&gt;"",VLOOKUP(L844,Categories!$B$2:$D$41,2,FALSE),IF(F844&lt;&gt;"","No Cat",""))</f>
        <v>NRBASE</v>
      </c>
      <c r="O844" s="442" t="str">
        <f>IF($L844&lt;&gt;"",VLOOKUP($L844,Categories!$B$2:$D$41,3,FALSE),IF($F844&lt;&gt;"","No Cat",""))</f>
        <v>Deferrals Accruing Non-Cash Return   (other than ASGA)</v>
      </c>
      <c r="P844" s="736" t="s">
        <v>2468</v>
      </c>
      <c r="Q844" s="442" t="str">
        <f>VLOOKUP($P844,Allocators!$B$7:$F$19,5,FALSE)</f>
        <v>Not in Rate Base</v>
      </c>
      <c r="R844" s="737">
        <f>VLOOKUP($P844,Allocators!$B$7:$F$19,2,FALSE)</f>
        <v>0</v>
      </c>
      <c r="S844" s="737">
        <f>VLOOKUP($P844,Allocators!$B$7:$F$19,3,FALSE)</f>
        <v>0</v>
      </c>
      <c r="T844" s="737">
        <f t="shared" si="253"/>
        <v>1</v>
      </c>
      <c r="U844" s="2" t="str">
        <f t="shared" ref="U844:U907" si="281">IF(ABS(X844)=0,"",IF($R844="NO ALLOC","NO ALLOC",ROUND($R844*X844,15)))</f>
        <v/>
      </c>
      <c r="V844" s="2" t="str">
        <f t="shared" ref="V844:V907" si="282">IF(ABS(X844)=0,"",IF($S844="NO ALLOC","NO ALLOC",ROUND($S844*X844,15)))</f>
        <v/>
      </c>
      <c r="W844" s="2" t="str">
        <f t="shared" ref="W844:W907" si="283">IF(ABS(X844)=0,"",IF($T844="NO ALLOC","NO ALLOC",ROUND($T844*X844,15)))</f>
        <v/>
      </c>
      <c r="X844" s="2">
        <f t="shared" si="279"/>
        <v>0</v>
      </c>
      <c r="Y844" s="2" t="str">
        <f t="shared" ref="Y844:Y907" si="284">IF(ABS(AB844)=0,"",IF($R844="NO ALLOC","NO ALLOC",ROUND($R844*AB844,15)))</f>
        <v/>
      </c>
      <c r="Z844" s="2" t="str">
        <f t="shared" ref="Z844:Z907" si="285">IF(ABS(AB844)=0,"",IF($S844="NO ALLOC","NO ALLOC",ROUND($S844*AB844,15)))</f>
        <v/>
      </c>
      <c r="AA844" s="2" t="str">
        <f t="shared" ref="AA844:AA907" si="286">IF(ABS(AB844)=0,"",IF($T844="NO ALLOC","NO ALLOC",ROUND($T844*AB844,15)))</f>
        <v/>
      </c>
      <c r="AB844" s="2">
        <f t="shared" si="280"/>
        <v>0</v>
      </c>
      <c r="AC844" s="625">
        <v>0</v>
      </c>
      <c r="AD844" s="625">
        <v>0</v>
      </c>
      <c r="AE844" s="625">
        <v>0</v>
      </c>
      <c r="AF844" s="625">
        <v>0</v>
      </c>
      <c r="AG844" s="625">
        <v>0</v>
      </c>
      <c r="AH844" s="625">
        <v>0</v>
      </c>
      <c r="AI844" s="38">
        <v>0</v>
      </c>
      <c r="AJ844" s="625">
        <v>0</v>
      </c>
      <c r="AK844" s="625">
        <v>0</v>
      </c>
      <c r="AL844" s="625">
        <v>0</v>
      </c>
      <c r="AM844" s="625">
        <v>0</v>
      </c>
      <c r="AN844" s="625">
        <v>0</v>
      </c>
      <c r="AO844" s="625">
        <v>0</v>
      </c>
      <c r="AP844" s="41" t="str">
        <f t="shared" si="276"/>
        <v>Reg AssetN</v>
      </c>
      <c r="AQ844" s="41" t="str">
        <f t="shared" si="277"/>
        <v>Reg AssetNN10Low Income</v>
      </c>
      <c r="AR844" s="41" t="str">
        <f t="shared" si="278"/>
        <v>N10Low IncomeNCR</v>
      </c>
      <c r="CK844" s="625"/>
    </row>
    <row r="845" spans="1:89" s="41" customFormat="1" ht="12.75" customHeight="1">
      <c r="A845" s="442" t="s">
        <v>746</v>
      </c>
      <c r="B845" s="442" t="str">
        <f t="shared" si="251"/>
        <v>Reg Asset182303601204BG030594</v>
      </c>
      <c r="C845" s="736">
        <v>182303</v>
      </c>
      <c r="D845" s="738">
        <v>601204</v>
      </c>
      <c r="E845" s="626" t="s">
        <v>942</v>
      </c>
      <c r="F845" s="626" t="str">
        <f t="shared" si="248"/>
        <v>OTHER REGULATORY ASSETS - GAS</v>
      </c>
      <c r="G845" s="626" t="s">
        <v>1002</v>
      </c>
      <c r="H845" s="736" t="s">
        <v>821</v>
      </c>
      <c r="I845" s="442"/>
      <c r="J845" s="442" t="s">
        <v>7</v>
      </c>
      <c r="K845" s="442" t="str">
        <f t="shared" si="250"/>
        <v/>
      </c>
      <c r="L845" s="736" t="s">
        <v>2436</v>
      </c>
      <c r="M845" s="442" t="str">
        <f t="shared" si="252"/>
        <v>N</v>
      </c>
      <c r="N845" s="442" t="str">
        <f>IF(L845&lt;&gt;"",VLOOKUP(L845,Categories!$B$2:$D$41,2,FALSE),IF(F845&lt;&gt;"","No Cat",""))</f>
        <v>NRBASE</v>
      </c>
      <c r="O845" s="442" t="str">
        <f>IF($L845&lt;&gt;"",VLOOKUP($L845,Categories!$B$2:$D$41,3,FALSE),IF($F845&lt;&gt;"","No Cat",""))</f>
        <v>Deferrals Accruing Non-Cash Return   (other than ASGA)</v>
      </c>
      <c r="P845" s="736" t="s">
        <v>2468</v>
      </c>
      <c r="Q845" s="442" t="str">
        <f>VLOOKUP($P845,Allocators!$B$7:$F$19,5,FALSE)</f>
        <v>Not in Rate Base</v>
      </c>
      <c r="R845" s="737">
        <f>VLOOKUP($P845,Allocators!$B$7:$F$19,2,FALSE)</f>
        <v>0</v>
      </c>
      <c r="S845" s="737">
        <f>VLOOKUP($P845,Allocators!$B$7:$F$19,3,FALSE)</f>
        <v>0</v>
      </c>
      <c r="T845" s="737">
        <f t="shared" si="253"/>
        <v>1</v>
      </c>
      <c r="U845" s="2" t="str">
        <f t="shared" si="281"/>
        <v/>
      </c>
      <c r="V845" s="2" t="str">
        <f t="shared" si="282"/>
        <v/>
      </c>
      <c r="W845" s="2" t="str">
        <f t="shared" si="283"/>
        <v/>
      </c>
      <c r="X845" s="2">
        <f t="shared" si="279"/>
        <v>0</v>
      </c>
      <c r="Y845" s="2" t="str">
        <f t="shared" si="284"/>
        <v/>
      </c>
      <c r="Z845" s="2" t="str">
        <f t="shared" si="285"/>
        <v/>
      </c>
      <c r="AA845" s="2" t="str">
        <f t="shared" si="286"/>
        <v/>
      </c>
      <c r="AB845" s="2">
        <f t="shared" si="280"/>
        <v>0</v>
      </c>
      <c r="AC845" s="625">
        <v>0</v>
      </c>
      <c r="AD845" s="625">
        <v>0</v>
      </c>
      <c r="AE845" s="625">
        <v>0</v>
      </c>
      <c r="AF845" s="625">
        <v>0</v>
      </c>
      <c r="AG845" s="625">
        <v>0</v>
      </c>
      <c r="AH845" s="625">
        <v>0</v>
      </c>
      <c r="AI845" s="38">
        <v>0</v>
      </c>
      <c r="AJ845" s="625">
        <v>0</v>
      </c>
      <c r="AK845" s="625">
        <v>0</v>
      </c>
      <c r="AL845" s="625">
        <v>0</v>
      </c>
      <c r="AM845" s="625">
        <v>0</v>
      </c>
      <c r="AN845" s="625">
        <v>0</v>
      </c>
      <c r="AO845" s="625">
        <v>0</v>
      </c>
      <c r="AP845" s="41" t="str">
        <f t="shared" si="276"/>
        <v>Reg AssetN</v>
      </c>
      <c r="AQ845" s="41" t="str">
        <f t="shared" si="277"/>
        <v>Reg AssetNN10Low Income</v>
      </c>
      <c r="AR845" s="41" t="str">
        <f t="shared" si="278"/>
        <v>N10Low IncomeNCR</v>
      </c>
      <c r="CK845" s="625"/>
    </row>
    <row r="846" spans="1:89" s="41" customFormat="1" ht="12.75" customHeight="1">
      <c r="A846" s="25" t="s">
        <v>746</v>
      </c>
      <c r="B846" s="25" t="str">
        <f t="shared" si="251"/>
        <v>Reg Asset182303601220BG030598</v>
      </c>
      <c r="C846" s="736">
        <v>182303</v>
      </c>
      <c r="D846" s="738">
        <v>601220</v>
      </c>
      <c r="E846" s="41" t="s">
        <v>943</v>
      </c>
      <c r="F846" s="41" t="str">
        <f t="shared" si="248"/>
        <v>OTHER REGULATORY ASSETS - GAS</v>
      </c>
      <c r="G846" s="41" t="s">
        <v>1003</v>
      </c>
      <c r="H846" s="736" t="s">
        <v>822</v>
      </c>
      <c r="I846" s="25"/>
      <c r="J846" s="442" t="s">
        <v>7</v>
      </c>
      <c r="K846" s="25" t="str">
        <f t="shared" si="250"/>
        <v/>
      </c>
      <c r="L846" s="736" t="s">
        <v>2436</v>
      </c>
      <c r="M846" s="25" t="str">
        <f t="shared" si="252"/>
        <v>N</v>
      </c>
      <c r="N846" s="25" t="str">
        <f>IF(L846&lt;&gt;"",VLOOKUP(L846,Categories!$B$2:$D$41,2,FALSE),IF(F846&lt;&gt;"","No Cat",""))</f>
        <v>NRBASE</v>
      </c>
      <c r="O846" s="25" t="str">
        <f>IF($L846&lt;&gt;"",VLOOKUP($L846,Categories!$B$2:$D$41,3,FALSE),IF($F846&lt;&gt;"","No Cat",""))</f>
        <v>Deferrals Accruing Non-Cash Return   (other than ASGA)</v>
      </c>
      <c r="P846" s="736" t="s">
        <v>2468</v>
      </c>
      <c r="Q846" s="25" t="str">
        <f>VLOOKUP($P846,Allocators!$B$7:$F$19,5,FALSE)</f>
        <v>Not in Rate Base</v>
      </c>
      <c r="R846" s="737">
        <f>VLOOKUP($P846,Allocators!$B$7:$F$19,2,FALSE)</f>
        <v>0</v>
      </c>
      <c r="S846" s="737">
        <f>VLOOKUP($P846,Allocators!$B$7:$F$19,3,FALSE)</f>
        <v>0</v>
      </c>
      <c r="T846" s="737">
        <f t="shared" si="253"/>
        <v>1</v>
      </c>
      <c r="U846" s="2">
        <f t="shared" si="281"/>
        <v>0</v>
      </c>
      <c r="V846" s="2">
        <f t="shared" si="282"/>
        <v>0</v>
      </c>
      <c r="W846" s="2">
        <f t="shared" si="283"/>
        <v>-29.499797916666701</v>
      </c>
      <c r="X846" s="2">
        <f t="shared" si="279"/>
        <v>-29.499797916666701</v>
      </c>
      <c r="Y846" s="2" t="str">
        <f t="shared" si="284"/>
        <v/>
      </c>
      <c r="Z846" s="2" t="str">
        <f t="shared" si="285"/>
        <v/>
      </c>
      <c r="AA846" s="2" t="str">
        <f t="shared" si="286"/>
        <v/>
      </c>
      <c r="AB846" s="2">
        <f t="shared" si="280"/>
        <v>0</v>
      </c>
      <c r="AC846" s="734">
        <v>-87.304709999999986</v>
      </c>
      <c r="AD846" s="625">
        <v>-94.986170000000016</v>
      </c>
      <c r="AE846" s="625">
        <v>-103.50509000000001</v>
      </c>
      <c r="AF846" s="625">
        <v>-111.85396</v>
      </c>
      <c r="AG846" s="625">
        <v>0</v>
      </c>
      <c r="AH846" s="625">
        <v>0</v>
      </c>
      <c r="AI846" s="38">
        <v>0</v>
      </c>
      <c r="AJ846" s="625">
        <v>0</v>
      </c>
      <c r="AK846" s="625">
        <v>0</v>
      </c>
      <c r="AL846" s="625">
        <v>0</v>
      </c>
      <c r="AM846" s="625">
        <v>0</v>
      </c>
      <c r="AN846" s="625">
        <v>0</v>
      </c>
      <c r="AO846" s="625">
        <v>0</v>
      </c>
      <c r="AP846" s="41" t="str">
        <f t="shared" si="276"/>
        <v>Reg AssetN</v>
      </c>
      <c r="AQ846" s="41" t="str">
        <f t="shared" si="277"/>
        <v>Reg AssetNN10Variable Rate Debt</v>
      </c>
      <c r="AR846" s="41" t="str">
        <f t="shared" si="278"/>
        <v>N10Variable Rate DebtNCR</v>
      </c>
      <c r="CK846" s="625"/>
    </row>
    <row r="847" spans="1:89" s="41" customFormat="1" ht="12.75" customHeight="1">
      <c r="A847" s="442" t="s">
        <v>746</v>
      </c>
      <c r="B847" s="442" t="str">
        <f t="shared" si="251"/>
        <v>Reg Asset182303601238BG030904</v>
      </c>
      <c r="C847" s="736">
        <v>182303</v>
      </c>
      <c r="D847" s="738">
        <v>601238</v>
      </c>
      <c r="E847" s="626" t="s">
        <v>944</v>
      </c>
      <c r="F847" s="626" t="str">
        <f t="shared" si="248"/>
        <v>OTHER REGULATORY ASSETS - GAS</v>
      </c>
      <c r="G847" s="626" t="s">
        <v>1004</v>
      </c>
      <c r="H847" s="736" t="s">
        <v>823</v>
      </c>
      <c r="I847" s="442"/>
      <c r="J847" s="442" t="s">
        <v>7</v>
      </c>
      <c r="K847" s="442" t="str">
        <f t="shared" si="250"/>
        <v/>
      </c>
      <c r="L847" s="736" t="s">
        <v>2436</v>
      </c>
      <c r="M847" s="442" t="str">
        <f t="shared" si="252"/>
        <v>N</v>
      </c>
      <c r="N847" s="442" t="str">
        <f>IF(L847&lt;&gt;"",VLOOKUP(L847,Categories!$B$2:$D$41,2,FALSE),IF(F847&lt;&gt;"","No Cat",""))</f>
        <v>NRBASE</v>
      </c>
      <c r="O847" s="442" t="str">
        <f>IF($L847&lt;&gt;"",VLOOKUP($L847,Categories!$B$2:$D$41,3,FALSE),IF($F847&lt;&gt;"","No Cat",""))</f>
        <v>Deferrals Accruing Non-Cash Return   (other than ASGA)</v>
      </c>
      <c r="P847" s="736" t="s">
        <v>2468</v>
      </c>
      <c r="Q847" s="442" t="str">
        <f>VLOOKUP($P847,Allocators!$B$7:$F$19,5,FALSE)</f>
        <v>Not in Rate Base</v>
      </c>
      <c r="R847" s="737">
        <f>VLOOKUP($P847,Allocators!$B$7:$F$19,2,FALSE)</f>
        <v>0</v>
      </c>
      <c r="S847" s="737">
        <f>VLOOKUP($P847,Allocators!$B$7:$F$19,3,FALSE)</f>
        <v>0</v>
      </c>
      <c r="T847" s="737">
        <f t="shared" si="253"/>
        <v>1</v>
      </c>
      <c r="U847" s="2" t="str">
        <f t="shared" si="281"/>
        <v/>
      </c>
      <c r="V847" s="2" t="str">
        <f t="shared" si="282"/>
        <v/>
      </c>
      <c r="W847" s="2" t="str">
        <f t="shared" si="283"/>
        <v/>
      </c>
      <c r="X847" s="2">
        <f t="shared" si="279"/>
        <v>0</v>
      </c>
      <c r="Y847" s="2" t="str">
        <f t="shared" si="284"/>
        <v/>
      </c>
      <c r="Z847" s="2" t="str">
        <f t="shared" si="285"/>
        <v/>
      </c>
      <c r="AA847" s="2" t="str">
        <f t="shared" si="286"/>
        <v/>
      </c>
      <c r="AB847" s="2">
        <f t="shared" si="280"/>
        <v>0</v>
      </c>
      <c r="AC847" s="625">
        <v>0</v>
      </c>
      <c r="AD847" s="625">
        <v>0</v>
      </c>
      <c r="AE847" s="625">
        <v>0</v>
      </c>
      <c r="AF847" s="625">
        <v>0</v>
      </c>
      <c r="AG847" s="625">
        <v>0</v>
      </c>
      <c r="AH847" s="625">
        <v>0</v>
      </c>
      <c r="AI847" s="38">
        <v>0</v>
      </c>
      <c r="AJ847" s="625">
        <v>0</v>
      </c>
      <c r="AK847" s="625">
        <v>0</v>
      </c>
      <c r="AL847" s="625">
        <v>0</v>
      </c>
      <c r="AM847" s="625">
        <v>0</v>
      </c>
      <c r="AN847" s="625">
        <v>0</v>
      </c>
      <c r="AO847" s="625">
        <v>0</v>
      </c>
      <c r="AP847" s="41" t="str">
        <f t="shared" si="276"/>
        <v>Reg AssetN</v>
      </c>
      <c r="AQ847" s="41" t="str">
        <f t="shared" si="277"/>
        <v>Reg AssetNN10RDM</v>
      </c>
      <c r="AR847" s="41" t="str">
        <f t="shared" si="278"/>
        <v>N10RDMNCR</v>
      </c>
      <c r="CK847" s="625"/>
    </row>
    <row r="848" spans="1:89" s="41" customFormat="1" ht="12.75" customHeight="1">
      <c r="A848" s="442" t="s">
        <v>746</v>
      </c>
      <c r="B848" s="442" t="str">
        <f t="shared" si="251"/>
        <v>Reg Asset182303601241BG030594</v>
      </c>
      <c r="C848" s="736">
        <v>182303</v>
      </c>
      <c r="D848" s="738">
        <v>601241</v>
      </c>
      <c r="E848" s="626" t="s">
        <v>942</v>
      </c>
      <c r="F848" s="626" t="str">
        <f t="shared" si="248"/>
        <v>OTHER REGULATORY ASSETS - GAS</v>
      </c>
      <c r="G848" s="626" t="s">
        <v>1005</v>
      </c>
      <c r="H848" s="736" t="s">
        <v>821</v>
      </c>
      <c r="I848" s="442"/>
      <c r="J848" s="442" t="s">
        <v>7</v>
      </c>
      <c r="K848" s="442" t="str">
        <f t="shared" si="250"/>
        <v/>
      </c>
      <c r="L848" s="736" t="s">
        <v>2436</v>
      </c>
      <c r="M848" s="442" t="str">
        <f t="shared" si="252"/>
        <v>N</v>
      </c>
      <c r="N848" s="442" t="str">
        <f>IF(L848&lt;&gt;"",VLOOKUP(L848,Categories!$B$2:$D$41,2,FALSE),IF(F848&lt;&gt;"","No Cat",""))</f>
        <v>NRBASE</v>
      </c>
      <c r="O848" s="442" t="str">
        <f>IF($L848&lt;&gt;"",VLOOKUP($L848,Categories!$B$2:$D$41,3,FALSE),IF($F848&lt;&gt;"","No Cat",""))</f>
        <v>Deferrals Accruing Non-Cash Return   (other than ASGA)</v>
      </c>
      <c r="P848" s="736" t="s">
        <v>2468</v>
      </c>
      <c r="Q848" s="442" t="str">
        <f>VLOOKUP($P848,Allocators!$B$7:$F$19,5,FALSE)</f>
        <v>Not in Rate Base</v>
      </c>
      <c r="R848" s="737">
        <f>VLOOKUP($P848,Allocators!$B$7:$F$19,2,FALSE)</f>
        <v>0</v>
      </c>
      <c r="S848" s="737">
        <f>VLOOKUP($P848,Allocators!$B$7:$F$19,3,FALSE)</f>
        <v>0</v>
      </c>
      <c r="T848" s="737">
        <f t="shared" si="253"/>
        <v>1</v>
      </c>
      <c r="U848" s="2" t="str">
        <f t="shared" si="281"/>
        <v/>
      </c>
      <c r="V848" s="2" t="str">
        <f t="shared" si="282"/>
        <v/>
      </c>
      <c r="W848" s="2" t="str">
        <f t="shared" si="283"/>
        <v/>
      </c>
      <c r="X848" s="2">
        <f t="shared" si="279"/>
        <v>0</v>
      </c>
      <c r="Y848" s="2" t="str">
        <f t="shared" si="284"/>
        <v/>
      </c>
      <c r="Z848" s="2" t="str">
        <f t="shared" si="285"/>
        <v/>
      </c>
      <c r="AA848" s="2" t="str">
        <f t="shared" si="286"/>
        <v/>
      </c>
      <c r="AB848" s="2">
        <f t="shared" si="280"/>
        <v>0</v>
      </c>
      <c r="AC848" s="625">
        <v>0</v>
      </c>
      <c r="AD848" s="625">
        <v>0</v>
      </c>
      <c r="AE848" s="625">
        <v>0</v>
      </c>
      <c r="AF848" s="625">
        <v>0</v>
      </c>
      <c r="AG848" s="625">
        <v>0</v>
      </c>
      <c r="AH848" s="625">
        <v>0</v>
      </c>
      <c r="AI848" s="38">
        <v>0</v>
      </c>
      <c r="AJ848" s="625">
        <v>0</v>
      </c>
      <c r="AK848" s="625">
        <v>0</v>
      </c>
      <c r="AL848" s="625">
        <v>0</v>
      </c>
      <c r="AM848" s="625">
        <v>0</v>
      </c>
      <c r="AN848" s="625">
        <v>0</v>
      </c>
      <c r="AO848" s="625">
        <v>0</v>
      </c>
      <c r="AP848" s="41" t="str">
        <f t="shared" si="276"/>
        <v>Reg AssetN</v>
      </c>
      <c r="AQ848" s="41" t="str">
        <f t="shared" si="277"/>
        <v>Reg AssetNN10Low Income</v>
      </c>
      <c r="AR848" s="41" t="str">
        <f t="shared" si="278"/>
        <v>N10Low IncomeNCR</v>
      </c>
      <c r="CK848" s="625"/>
    </row>
    <row r="849" spans="1:89" s="41" customFormat="1" ht="12.75" customHeight="1">
      <c r="A849" s="442" t="s">
        <v>746</v>
      </c>
      <c r="B849" s="442" t="str">
        <f t="shared" si="251"/>
        <v>Reg Asset182303601206BG030594</v>
      </c>
      <c r="C849" s="736">
        <v>182303</v>
      </c>
      <c r="D849" s="738">
        <v>601206</v>
      </c>
      <c r="E849" s="626" t="s">
        <v>942</v>
      </c>
      <c r="F849" s="626" t="str">
        <f t="shared" si="248"/>
        <v>OTHER REGULATORY ASSETS - GAS</v>
      </c>
      <c r="G849" s="626" t="s">
        <v>1006</v>
      </c>
      <c r="H849" s="736" t="s">
        <v>821</v>
      </c>
      <c r="I849" s="442"/>
      <c r="J849" s="442" t="s">
        <v>7</v>
      </c>
      <c r="K849" s="442" t="str">
        <f t="shared" si="250"/>
        <v/>
      </c>
      <c r="L849" s="736" t="s">
        <v>2436</v>
      </c>
      <c r="M849" s="442" t="str">
        <f t="shared" si="252"/>
        <v>N</v>
      </c>
      <c r="N849" s="442" t="str">
        <f>IF(L849&lt;&gt;"",VLOOKUP(L849,Categories!$B$2:$D$41,2,FALSE),IF(F849&lt;&gt;"","No Cat",""))</f>
        <v>NRBASE</v>
      </c>
      <c r="O849" s="442" t="str">
        <f>IF($L849&lt;&gt;"",VLOOKUP($L849,Categories!$B$2:$D$41,3,FALSE),IF($F849&lt;&gt;"","No Cat",""))</f>
        <v>Deferrals Accruing Non-Cash Return   (other than ASGA)</v>
      </c>
      <c r="P849" s="736" t="s">
        <v>2468</v>
      </c>
      <c r="Q849" s="442" t="str">
        <f>VLOOKUP($P849,Allocators!$B$7:$F$19,5,FALSE)</f>
        <v>Not in Rate Base</v>
      </c>
      <c r="R849" s="737">
        <f>VLOOKUP($P849,Allocators!$B$7:$F$19,2,FALSE)</f>
        <v>0</v>
      </c>
      <c r="S849" s="737">
        <f>VLOOKUP($P849,Allocators!$B$7:$F$19,3,FALSE)</f>
        <v>0</v>
      </c>
      <c r="T849" s="737">
        <f t="shared" si="253"/>
        <v>1</v>
      </c>
      <c r="U849" s="2" t="str">
        <f t="shared" si="281"/>
        <v/>
      </c>
      <c r="V849" s="2" t="str">
        <f t="shared" si="282"/>
        <v/>
      </c>
      <c r="W849" s="2" t="str">
        <f t="shared" si="283"/>
        <v/>
      </c>
      <c r="X849" s="2">
        <f t="shared" si="279"/>
        <v>0</v>
      </c>
      <c r="Y849" s="2" t="str">
        <f t="shared" si="284"/>
        <v/>
      </c>
      <c r="Z849" s="2" t="str">
        <f t="shared" si="285"/>
        <v/>
      </c>
      <c r="AA849" s="2" t="str">
        <f t="shared" si="286"/>
        <v/>
      </c>
      <c r="AB849" s="2">
        <f t="shared" si="280"/>
        <v>0</v>
      </c>
      <c r="AC849" s="625">
        <v>0</v>
      </c>
      <c r="AD849" s="625">
        <v>0</v>
      </c>
      <c r="AE849" s="625">
        <v>0</v>
      </c>
      <c r="AF849" s="625">
        <v>0</v>
      </c>
      <c r="AG849" s="625">
        <v>0</v>
      </c>
      <c r="AH849" s="625">
        <v>0</v>
      </c>
      <c r="AI849" s="38">
        <v>0</v>
      </c>
      <c r="AJ849" s="625">
        <v>0</v>
      </c>
      <c r="AK849" s="625">
        <v>0</v>
      </c>
      <c r="AL849" s="625">
        <v>0</v>
      </c>
      <c r="AM849" s="625">
        <v>0</v>
      </c>
      <c r="AN849" s="625">
        <v>0</v>
      </c>
      <c r="AO849" s="625">
        <v>0</v>
      </c>
      <c r="AP849" s="41" t="str">
        <f t="shared" si="276"/>
        <v>Reg AssetN</v>
      </c>
      <c r="AQ849" s="41" t="str">
        <f t="shared" si="277"/>
        <v>Reg AssetNN10Low Income</v>
      </c>
      <c r="AR849" s="41" t="str">
        <f t="shared" si="278"/>
        <v>N10Low IncomeNCR</v>
      </c>
      <c r="CK849" s="625"/>
    </row>
    <row r="850" spans="1:89" s="41" customFormat="1" ht="12.75" customHeight="1">
      <c r="A850" s="442" t="s">
        <v>746</v>
      </c>
      <c r="B850" s="442" t="str">
        <f t="shared" si="251"/>
        <v>Reg Asset182303601238-11BG030904</v>
      </c>
      <c r="C850" s="736">
        <v>182303</v>
      </c>
      <c r="D850" s="738" t="s">
        <v>835</v>
      </c>
      <c r="E850" s="626" t="s">
        <v>944</v>
      </c>
      <c r="F850" s="626" t="str">
        <f t="shared" si="248"/>
        <v>OTHER REGULATORY ASSETS - GAS</v>
      </c>
      <c r="G850" s="626" t="s">
        <v>1007</v>
      </c>
      <c r="H850" s="736" t="s">
        <v>823</v>
      </c>
      <c r="I850" s="442"/>
      <c r="J850" s="442" t="s">
        <v>7</v>
      </c>
      <c r="K850" s="442" t="str">
        <f t="shared" si="250"/>
        <v/>
      </c>
      <c r="L850" s="736" t="s">
        <v>2436</v>
      </c>
      <c r="M850" s="442" t="str">
        <f t="shared" si="252"/>
        <v>N</v>
      </c>
      <c r="N850" s="442" t="str">
        <f>IF(L850&lt;&gt;"",VLOOKUP(L850,Categories!$B$2:$D$41,2,FALSE),IF(F850&lt;&gt;"","No Cat",""))</f>
        <v>NRBASE</v>
      </c>
      <c r="O850" s="442" t="str">
        <f>IF($L850&lt;&gt;"",VLOOKUP($L850,Categories!$B$2:$D$41,3,FALSE),IF($F850&lt;&gt;"","No Cat",""))</f>
        <v>Deferrals Accruing Non-Cash Return   (other than ASGA)</v>
      </c>
      <c r="P850" s="736" t="s">
        <v>2468</v>
      </c>
      <c r="Q850" s="442" t="str">
        <f>VLOOKUP($P850,Allocators!$B$7:$F$19,5,FALSE)</f>
        <v>Not in Rate Base</v>
      </c>
      <c r="R850" s="737">
        <f>VLOOKUP($P850,Allocators!$B$7:$F$19,2,FALSE)</f>
        <v>0</v>
      </c>
      <c r="S850" s="737">
        <f>VLOOKUP($P850,Allocators!$B$7:$F$19,3,FALSE)</f>
        <v>0</v>
      </c>
      <c r="T850" s="737">
        <f t="shared" si="253"/>
        <v>1</v>
      </c>
      <c r="U850" s="2" t="str">
        <f t="shared" si="281"/>
        <v/>
      </c>
      <c r="V850" s="2" t="str">
        <f t="shared" si="282"/>
        <v/>
      </c>
      <c r="W850" s="2" t="str">
        <f t="shared" si="283"/>
        <v/>
      </c>
      <c r="X850" s="2">
        <f t="shared" si="279"/>
        <v>0</v>
      </c>
      <c r="Y850" s="2" t="str">
        <f t="shared" si="284"/>
        <v/>
      </c>
      <c r="Z850" s="2" t="str">
        <f t="shared" si="285"/>
        <v/>
      </c>
      <c r="AA850" s="2" t="str">
        <f t="shared" si="286"/>
        <v/>
      </c>
      <c r="AB850" s="2">
        <f t="shared" si="280"/>
        <v>0</v>
      </c>
      <c r="AC850" s="625">
        <v>0</v>
      </c>
      <c r="AD850" s="625">
        <v>0</v>
      </c>
      <c r="AE850" s="625">
        <v>0</v>
      </c>
      <c r="AF850" s="625">
        <v>0</v>
      </c>
      <c r="AG850" s="625">
        <v>0</v>
      </c>
      <c r="AH850" s="625">
        <v>0</v>
      </c>
      <c r="AI850" s="38">
        <v>0</v>
      </c>
      <c r="AJ850" s="625">
        <v>0</v>
      </c>
      <c r="AK850" s="625">
        <v>0</v>
      </c>
      <c r="AL850" s="625">
        <v>0</v>
      </c>
      <c r="AM850" s="625">
        <v>0</v>
      </c>
      <c r="AN850" s="625">
        <v>0</v>
      </c>
      <c r="AO850" s="625">
        <v>0</v>
      </c>
      <c r="AP850" s="41" t="str">
        <f t="shared" si="276"/>
        <v>Reg AssetN</v>
      </c>
      <c r="AQ850" s="41" t="str">
        <f t="shared" si="277"/>
        <v>Reg AssetNN10RDM</v>
      </c>
      <c r="AR850" s="41" t="str">
        <f t="shared" si="278"/>
        <v>N10RDMNCR</v>
      </c>
      <c r="CK850" s="625"/>
    </row>
    <row r="851" spans="1:89" s="41" customFormat="1" ht="12.75" customHeight="1">
      <c r="A851" s="442" t="s">
        <v>746</v>
      </c>
      <c r="B851" s="442" t="str">
        <f t="shared" si="251"/>
        <v>Reg Asset182303601238-12BG030904</v>
      </c>
      <c r="C851" s="736">
        <v>182303</v>
      </c>
      <c r="D851" s="738" t="s">
        <v>836</v>
      </c>
      <c r="E851" s="626" t="s">
        <v>944</v>
      </c>
      <c r="F851" s="626" t="str">
        <f t="shared" si="248"/>
        <v>OTHER REGULATORY ASSETS - GAS</v>
      </c>
      <c r="G851" s="626" t="s">
        <v>1007</v>
      </c>
      <c r="H851" s="736" t="s">
        <v>823</v>
      </c>
      <c r="I851" s="442"/>
      <c r="J851" s="442" t="s">
        <v>7</v>
      </c>
      <c r="K851" s="442" t="str">
        <f t="shared" si="250"/>
        <v/>
      </c>
      <c r="L851" s="736" t="s">
        <v>2436</v>
      </c>
      <c r="M851" s="442" t="str">
        <f t="shared" si="252"/>
        <v>N</v>
      </c>
      <c r="N851" s="442" t="str">
        <f>IF(L851&lt;&gt;"",VLOOKUP(L851,Categories!$B$2:$D$41,2,FALSE),IF(F851&lt;&gt;"","No Cat",""))</f>
        <v>NRBASE</v>
      </c>
      <c r="O851" s="442" t="str">
        <f>IF($L851&lt;&gt;"",VLOOKUP($L851,Categories!$B$2:$D$41,3,FALSE),IF($F851&lt;&gt;"","No Cat",""))</f>
        <v>Deferrals Accruing Non-Cash Return   (other than ASGA)</v>
      </c>
      <c r="P851" s="736" t="s">
        <v>2468</v>
      </c>
      <c r="Q851" s="442" t="str">
        <f>VLOOKUP($P851,Allocators!$B$7:$F$19,5,FALSE)</f>
        <v>Not in Rate Base</v>
      </c>
      <c r="R851" s="737">
        <f>VLOOKUP($P851,Allocators!$B$7:$F$19,2,FALSE)</f>
        <v>0</v>
      </c>
      <c r="S851" s="737">
        <f>VLOOKUP($P851,Allocators!$B$7:$F$19,3,FALSE)</f>
        <v>0</v>
      </c>
      <c r="T851" s="737">
        <f t="shared" si="253"/>
        <v>1</v>
      </c>
      <c r="U851" s="2">
        <f t="shared" si="281"/>
        <v>0</v>
      </c>
      <c r="V851" s="2">
        <f t="shared" si="282"/>
        <v>0</v>
      </c>
      <c r="W851" s="2">
        <f t="shared" si="283"/>
        <v>-1.1550000004250001E-3</v>
      </c>
      <c r="X851" s="2">
        <f t="shared" si="279"/>
        <v>-1.1550000004250001E-3</v>
      </c>
      <c r="Y851" s="2">
        <f t="shared" si="284"/>
        <v>0</v>
      </c>
      <c r="Z851" s="2">
        <f t="shared" si="285"/>
        <v>0</v>
      </c>
      <c r="AA851" s="2">
        <f t="shared" si="286"/>
        <v>-4.4399999999999998E-13</v>
      </c>
      <c r="AB851" s="2">
        <f t="shared" si="280"/>
        <v>-4.4354231398813227E-13</v>
      </c>
      <c r="AC851" s="734">
        <v>-1.32E-3</v>
      </c>
      <c r="AD851" s="625">
        <v>-1.3200000004435423E-3</v>
      </c>
      <c r="AE851" s="625">
        <v>-1.3200000004435423E-3</v>
      </c>
      <c r="AF851" s="625">
        <v>-1.3200000004435423E-3</v>
      </c>
      <c r="AG851" s="625">
        <v>-1.3200000004435423E-3</v>
      </c>
      <c r="AH851" s="625">
        <v>-1.3200000004435423E-3</v>
      </c>
      <c r="AI851" s="625">
        <v>-1.3200000004435423E-3</v>
      </c>
      <c r="AJ851" s="625">
        <v>-1.3200000004435423E-3</v>
      </c>
      <c r="AK851" s="625">
        <v>-1.3200000004435423E-3</v>
      </c>
      <c r="AL851" s="625">
        <v>-1.3200000004435423E-3</v>
      </c>
      <c r="AM851" s="625">
        <v>-1.3200000004435423E-3</v>
      </c>
      <c r="AN851" s="625">
        <v>-4.4354231398813227E-13</v>
      </c>
      <c r="AO851" s="625">
        <v>-4.4354231398813227E-13</v>
      </c>
      <c r="AP851" s="41" t="str">
        <f t="shared" si="276"/>
        <v>Reg AssetN</v>
      </c>
      <c r="AQ851" s="41" t="str">
        <f t="shared" si="277"/>
        <v>Reg AssetNN10RDM</v>
      </c>
      <c r="AR851" s="41" t="str">
        <f t="shared" si="278"/>
        <v>N10RDMNCR</v>
      </c>
      <c r="CK851" s="625"/>
    </row>
    <row r="852" spans="1:89" s="41" customFormat="1" ht="12.75" customHeight="1">
      <c r="A852" s="442" t="s">
        <v>746</v>
      </c>
      <c r="B852" s="442" t="str">
        <f t="shared" si="251"/>
        <v>Reg Asset182303601238-iBG030904</v>
      </c>
      <c r="C852" s="736">
        <v>182303</v>
      </c>
      <c r="D852" s="738" t="s">
        <v>837</v>
      </c>
      <c r="E852" s="626" t="s">
        <v>944</v>
      </c>
      <c r="F852" s="626" t="str">
        <f t="shared" si="248"/>
        <v>OTHER REGULATORY ASSETS - GAS</v>
      </c>
      <c r="G852" s="626" t="s">
        <v>1007</v>
      </c>
      <c r="H852" s="736" t="s">
        <v>823</v>
      </c>
      <c r="I852" s="442"/>
      <c r="J852" s="442" t="s">
        <v>7</v>
      </c>
      <c r="K852" s="442" t="str">
        <f t="shared" si="250"/>
        <v/>
      </c>
      <c r="L852" s="736" t="s">
        <v>2436</v>
      </c>
      <c r="M852" s="442" t="str">
        <f t="shared" si="252"/>
        <v>N</v>
      </c>
      <c r="N852" s="442" t="str">
        <f>IF(L852&lt;&gt;"",VLOOKUP(L852,Categories!$B$2:$D$41,2,FALSE),IF(F852&lt;&gt;"","No Cat",""))</f>
        <v>NRBASE</v>
      </c>
      <c r="O852" s="442" t="str">
        <f>IF($L852&lt;&gt;"",VLOOKUP($L852,Categories!$B$2:$D$41,3,FALSE),IF($F852&lt;&gt;"","No Cat",""))</f>
        <v>Deferrals Accruing Non-Cash Return   (other than ASGA)</v>
      </c>
      <c r="P852" s="736" t="s">
        <v>2468</v>
      </c>
      <c r="Q852" s="442" t="str">
        <f>VLOOKUP($P852,Allocators!$B$7:$F$19,5,FALSE)</f>
        <v>Not in Rate Base</v>
      </c>
      <c r="R852" s="737">
        <f>VLOOKUP($P852,Allocators!$B$7:$F$19,2,FALSE)</f>
        <v>0</v>
      </c>
      <c r="S852" s="737">
        <f>VLOOKUP($P852,Allocators!$B$7:$F$19,3,FALSE)</f>
        <v>0</v>
      </c>
      <c r="T852" s="737">
        <f t="shared" si="253"/>
        <v>1</v>
      </c>
      <c r="U852" s="2" t="str">
        <f t="shared" si="281"/>
        <v/>
      </c>
      <c r="V852" s="2" t="str">
        <f t="shared" si="282"/>
        <v/>
      </c>
      <c r="W852" s="2" t="str">
        <f t="shared" si="283"/>
        <v/>
      </c>
      <c r="X852" s="2">
        <f t="shared" si="279"/>
        <v>0</v>
      </c>
      <c r="Y852" s="2" t="str">
        <f t="shared" si="284"/>
        <v/>
      </c>
      <c r="Z852" s="2" t="str">
        <f t="shared" si="285"/>
        <v/>
      </c>
      <c r="AA852" s="2" t="str">
        <f t="shared" si="286"/>
        <v/>
      </c>
      <c r="AB852" s="2">
        <f t="shared" si="280"/>
        <v>0</v>
      </c>
      <c r="AC852" s="625">
        <v>0</v>
      </c>
      <c r="AD852" s="625">
        <v>0</v>
      </c>
      <c r="AE852" s="625">
        <v>0</v>
      </c>
      <c r="AF852" s="625">
        <v>0</v>
      </c>
      <c r="AG852" s="625">
        <v>0</v>
      </c>
      <c r="AH852" s="625">
        <v>0</v>
      </c>
      <c r="AI852" s="38">
        <v>0</v>
      </c>
      <c r="AJ852" s="625">
        <v>0</v>
      </c>
      <c r="AK852" s="625">
        <v>0</v>
      </c>
      <c r="AL852" s="625">
        <v>0</v>
      </c>
      <c r="AM852" s="625">
        <v>0</v>
      </c>
      <c r="AN852" s="625">
        <v>0</v>
      </c>
      <c r="AO852" s="625">
        <v>0</v>
      </c>
      <c r="AP852" s="41" t="str">
        <f t="shared" si="276"/>
        <v>Reg AssetN</v>
      </c>
      <c r="AQ852" s="41" t="str">
        <f t="shared" si="277"/>
        <v>Reg AssetNN10RDM</v>
      </c>
      <c r="AR852" s="41" t="str">
        <f t="shared" si="278"/>
        <v>N10RDMNCR</v>
      </c>
      <c r="CK852" s="625"/>
    </row>
    <row r="853" spans="1:89" s="41" customFormat="1" ht="12.75" customHeight="1">
      <c r="A853" s="442" t="s">
        <v>746</v>
      </c>
      <c r="B853" s="442" t="str">
        <f t="shared" si="251"/>
        <v>Reg Asset182303601238-13BG030904</v>
      </c>
      <c r="C853" s="736">
        <v>182303</v>
      </c>
      <c r="D853" s="738" t="s">
        <v>2811</v>
      </c>
      <c r="E853" s="626" t="s">
        <v>944</v>
      </c>
      <c r="F853" s="626" t="s">
        <v>243</v>
      </c>
      <c r="G853" s="626" t="s">
        <v>1007</v>
      </c>
      <c r="H853" s="736" t="s">
        <v>823</v>
      </c>
      <c r="I853" s="442"/>
      <c r="J853" s="442" t="s">
        <v>7</v>
      </c>
      <c r="K853" s="442" t="str">
        <f t="shared" si="250"/>
        <v/>
      </c>
      <c r="L853" s="736" t="s">
        <v>2436</v>
      </c>
      <c r="M853" s="442" t="str">
        <f t="shared" ref="M853:M867" si="287">LEFT(L853,1)</f>
        <v>N</v>
      </c>
      <c r="N853" s="442" t="str">
        <f>IF(L853&lt;&gt;"",VLOOKUP(L853,Categories!$B$2:$D$41,2,FALSE),IF(F853&lt;&gt;"","No Cat",""))</f>
        <v>NRBASE</v>
      </c>
      <c r="O853" s="442" t="str">
        <f>IF($L853&lt;&gt;"",VLOOKUP($L853,Categories!$B$2:$D$41,3,FALSE),IF($F853&lt;&gt;"","No Cat",""))</f>
        <v>Deferrals Accruing Non-Cash Return   (other than ASGA)</v>
      </c>
      <c r="P853" s="736" t="s">
        <v>2468</v>
      </c>
      <c r="Q853" s="442" t="str">
        <f>VLOOKUP($P853,Allocators!$B$7:$F$19,5,FALSE)</f>
        <v>Not in Rate Base</v>
      </c>
      <c r="R853" s="737">
        <f>VLOOKUP($P853,Allocators!$B$7:$F$19,2,FALSE)</f>
        <v>0</v>
      </c>
      <c r="S853" s="737">
        <f>VLOOKUP($P853,Allocators!$B$7:$F$19,3,FALSE)</f>
        <v>0</v>
      </c>
      <c r="T853" s="737">
        <f t="shared" ref="T853:T865" si="288">IF(P853="N",1,"0.0%")</f>
        <v>1</v>
      </c>
      <c r="U853" s="2">
        <f t="shared" si="281"/>
        <v>0</v>
      </c>
      <c r="V853" s="2">
        <f t="shared" si="282"/>
        <v>0</v>
      </c>
      <c r="W853" s="2">
        <f t="shared" si="283"/>
        <v>-449.90550666666701</v>
      </c>
      <c r="X853" s="2">
        <f t="shared" si="279"/>
        <v>-449.90550666666701</v>
      </c>
      <c r="Y853" s="2">
        <f t="shared" si="284"/>
        <v>0</v>
      </c>
      <c r="Z853" s="2">
        <f t="shared" si="285"/>
        <v>0</v>
      </c>
      <c r="AA853" s="2">
        <f t="shared" si="286"/>
        <v>368.80835999999903</v>
      </c>
      <c r="AB853" s="2">
        <f t="shared" si="280"/>
        <v>368.80835999999937</v>
      </c>
      <c r="AC853" s="734">
        <v>-2499.4848200000001</v>
      </c>
      <c r="AD853" s="625">
        <v>-1920.3617000000006</v>
      </c>
      <c r="AE853" s="625">
        <v>-1401.9115800000009</v>
      </c>
      <c r="AF853" s="625">
        <v>-904.81569000000059</v>
      </c>
      <c r="AG853" s="625">
        <v>-375.71875000000057</v>
      </c>
      <c r="AH853" s="625">
        <v>-228.51982000000058</v>
      </c>
      <c r="AI853" s="625">
        <v>-123.94925000000059</v>
      </c>
      <c r="AJ853" s="625">
        <v>-17.556640000000581</v>
      </c>
      <c r="AK853" s="625">
        <v>73.454179999999425</v>
      </c>
      <c r="AL853" s="625">
        <v>190.81044999999941</v>
      </c>
      <c r="AM853" s="625">
        <v>6.2325899999994068</v>
      </c>
      <c r="AN853" s="625">
        <v>368.80835999999937</v>
      </c>
      <c r="AO853" s="625">
        <v>368.80835999999937</v>
      </c>
      <c r="AP853" s="41" t="str">
        <f t="shared" si="276"/>
        <v>Reg AssetN</v>
      </c>
      <c r="AQ853" s="41" t="str">
        <f t="shared" si="277"/>
        <v>Reg AssetNN10RDM</v>
      </c>
      <c r="AR853" s="41" t="str">
        <f t="shared" si="278"/>
        <v>N10RDMNCR</v>
      </c>
      <c r="CK853" s="625"/>
    </row>
    <row r="854" spans="1:89" s="41" customFormat="1" ht="12.75" customHeight="1">
      <c r="A854" s="442" t="s">
        <v>746</v>
      </c>
      <c r="B854" s="442" t="str">
        <f t="shared" ref="B854" si="289">CONCATENATE(A854,C854,D854,E854)</f>
        <v>Reg Asset182303601238-14BG030904</v>
      </c>
      <c r="C854" s="736">
        <v>182303</v>
      </c>
      <c r="D854" s="738" t="s">
        <v>4326</v>
      </c>
      <c r="E854" s="626" t="s">
        <v>944</v>
      </c>
      <c r="F854" s="626" t="s">
        <v>243</v>
      </c>
      <c r="G854" s="626" t="s">
        <v>1007</v>
      </c>
      <c r="H854" s="736" t="s">
        <v>823</v>
      </c>
      <c r="I854" s="442"/>
      <c r="J854" s="442" t="s">
        <v>7</v>
      </c>
      <c r="K854" s="442" t="str">
        <f t="shared" ref="K854" si="290">IF(L854="N3","Y","")</f>
        <v/>
      </c>
      <c r="L854" s="736" t="s">
        <v>2436</v>
      </c>
      <c r="M854" s="442" t="str">
        <f t="shared" ref="M854" si="291">LEFT(L854,1)</f>
        <v>N</v>
      </c>
      <c r="N854" s="442" t="str">
        <f>IF(L854&lt;&gt;"",VLOOKUP(L854,Categories!$B$2:$D$41,2,FALSE),IF(F854&lt;&gt;"","No Cat",""))</f>
        <v>NRBASE</v>
      </c>
      <c r="O854" s="442" t="str">
        <f>IF($L854&lt;&gt;"",VLOOKUP($L854,Categories!$B$2:$D$41,3,FALSE),IF($F854&lt;&gt;"","No Cat",""))</f>
        <v>Deferrals Accruing Non-Cash Return   (other than ASGA)</v>
      </c>
      <c r="P854" s="736" t="s">
        <v>2468</v>
      </c>
      <c r="Q854" s="442" t="str">
        <f>VLOOKUP($P854,Allocators!$B$7:$F$19,5,FALSE)</f>
        <v>Not in Rate Base</v>
      </c>
      <c r="R854" s="737">
        <f>VLOOKUP($P854,Allocators!$B$7:$F$19,2,FALSE)</f>
        <v>0</v>
      </c>
      <c r="S854" s="737">
        <f>VLOOKUP($P854,Allocators!$B$7:$F$19,3,FALSE)</f>
        <v>0</v>
      </c>
      <c r="T854" s="737">
        <f t="shared" ref="T854" si="292">IF(P854="N",1,"0.0%")</f>
        <v>1</v>
      </c>
      <c r="U854" s="2">
        <f t="shared" si="281"/>
        <v>0</v>
      </c>
      <c r="V854" s="2">
        <f t="shared" si="282"/>
        <v>0</v>
      </c>
      <c r="W854" s="2">
        <f t="shared" si="283"/>
        <v>-795.07191333333401</v>
      </c>
      <c r="X854" s="2">
        <f t="shared" si="279"/>
        <v>-795.07191333333401</v>
      </c>
      <c r="Y854" s="2">
        <f t="shared" si="284"/>
        <v>0</v>
      </c>
      <c r="Z854" s="2">
        <f t="shared" si="285"/>
        <v>0</v>
      </c>
      <c r="AA854" s="2">
        <f t="shared" si="286"/>
        <v>-807.08986000000004</v>
      </c>
      <c r="AB854" s="2">
        <f t="shared" si="280"/>
        <v>-807.08986000000016</v>
      </c>
      <c r="AC854" s="734">
        <v>-1515.5791200000001</v>
      </c>
      <c r="AD854" s="625">
        <v>-965.28598000000011</v>
      </c>
      <c r="AE854" s="625">
        <v>-1467.6814500000003</v>
      </c>
      <c r="AF854" s="625">
        <v>-594.49494000000016</v>
      </c>
      <c r="AG854" s="625">
        <v>56.286149999999793</v>
      </c>
      <c r="AH854" s="625">
        <v>-282.49205000000023</v>
      </c>
      <c r="AI854" s="625">
        <v>-511.78821000000022</v>
      </c>
      <c r="AJ854" s="625">
        <v>-760.64481000000012</v>
      </c>
      <c r="AK854" s="625">
        <v>-988.57177000000013</v>
      </c>
      <c r="AL854" s="625">
        <v>-989.36161000000016</v>
      </c>
      <c r="AM854" s="625">
        <v>-991.04103000000009</v>
      </c>
      <c r="AN854" s="625">
        <v>-884.4527700000001</v>
      </c>
      <c r="AO854" s="625">
        <v>-807.08986000000016</v>
      </c>
      <c r="AP854" s="41" t="str">
        <f t="shared" si="276"/>
        <v>Reg AssetN</v>
      </c>
      <c r="AQ854" s="41" t="str">
        <f t="shared" si="277"/>
        <v>Reg AssetNN10RDM</v>
      </c>
      <c r="AR854" s="41" t="str">
        <f t="shared" si="278"/>
        <v>N10RDMNCR</v>
      </c>
      <c r="CK854" s="625"/>
    </row>
    <row r="855" spans="1:89" s="41" customFormat="1" ht="12.75" customHeight="1">
      <c r="A855" s="442" t="s">
        <v>746</v>
      </c>
      <c r="B855" s="442" t="str">
        <f t="shared" ref="B855" si="293">CONCATENATE(A855,C855,D855,E855)</f>
        <v>Reg Asset182303601238-15BG030904</v>
      </c>
      <c r="C855" s="736">
        <v>182303</v>
      </c>
      <c r="D855" s="738" t="s">
        <v>4496</v>
      </c>
      <c r="E855" s="626" t="s">
        <v>944</v>
      </c>
      <c r="F855" s="626" t="s">
        <v>243</v>
      </c>
      <c r="G855" s="626" t="s">
        <v>4495</v>
      </c>
      <c r="H855" s="736" t="s">
        <v>823</v>
      </c>
      <c r="I855" s="442"/>
      <c r="J855" s="442" t="s">
        <v>7</v>
      </c>
      <c r="K855" s="442"/>
      <c r="L855" s="736" t="s">
        <v>2436</v>
      </c>
      <c r="M855" s="442" t="str">
        <f t="shared" ref="M855" si="294">LEFT(L855,1)</f>
        <v>N</v>
      </c>
      <c r="N855" s="442" t="str">
        <f>IF(L855&lt;&gt;"",VLOOKUP(L855,Categories!$B$2:$D$41,2,FALSE),IF(F855&lt;&gt;"","No Cat",""))</f>
        <v>NRBASE</v>
      </c>
      <c r="O855" s="442" t="str">
        <f>IF($L855&lt;&gt;"",VLOOKUP($L855,Categories!$B$2:$D$41,3,FALSE),IF($F855&lt;&gt;"","No Cat",""))</f>
        <v>Deferrals Accruing Non-Cash Return   (other than ASGA)</v>
      </c>
      <c r="P855" s="736" t="s">
        <v>2468</v>
      </c>
      <c r="Q855" s="442" t="str">
        <f>VLOOKUP($P855,Allocators!$B$7:$F$19,5,FALSE)</f>
        <v>Not in Rate Base</v>
      </c>
      <c r="R855" s="737">
        <f>VLOOKUP($P855,Allocators!$B$7:$F$19,2,FALSE)</f>
        <v>0</v>
      </c>
      <c r="S855" s="737">
        <f>VLOOKUP($P855,Allocators!$B$7:$F$19,3,FALSE)</f>
        <v>0</v>
      </c>
      <c r="T855" s="737">
        <f t="shared" ref="T855" si="295">IF(P855="N",1,"0.0%")</f>
        <v>1</v>
      </c>
      <c r="U855" s="2">
        <f t="shared" si="281"/>
        <v>0</v>
      </c>
      <c r="V855" s="2">
        <f t="shared" si="282"/>
        <v>0</v>
      </c>
      <c r="W855" s="2">
        <f t="shared" si="283"/>
        <v>-135.07061958333301</v>
      </c>
      <c r="X855" s="2">
        <f t="shared" si="279"/>
        <v>-135.07061958333301</v>
      </c>
      <c r="Y855" s="2">
        <f t="shared" si="284"/>
        <v>0</v>
      </c>
      <c r="Z855" s="2">
        <f t="shared" si="285"/>
        <v>0</v>
      </c>
      <c r="AA855" s="2">
        <f t="shared" si="286"/>
        <v>449.80849000000001</v>
      </c>
      <c r="AB855" s="2">
        <f t="shared" si="280"/>
        <v>449.80849000000001</v>
      </c>
      <c r="AC855" s="734"/>
      <c r="AD855" s="625"/>
      <c r="AE855" s="625"/>
      <c r="AF855" s="625"/>
      <c r="AG855" s="625"/>
      <c r="AH855" s="625"/>
      <c r="AI855" s="625"/>
      <c r="AJ855" s="625"/>
      <c r="AK855" s="625"/>
      <c r="AL855" s="625">
        <v>-218.13351</v>
      </c>
      <c r="AM855" s="625">
        <v>-627.84286999999995</v>
      </c>
      <c r="AN855" s="625">
        <v>-999.77530000000002</v>
      </c>
      <c r="AO855" s="625">
        <v>449.80849000000001</v>
      </c>
      <c r="AP855" s="41" t="str">
        <f t="shared" si="276"/>
        <v>Reg AssetN</v>
      </c>
      <c r="AQ855" s="41" t="str">
        <f t="shared" si="277"/>
        <v>Reg AssetNN10RDM</v>
      </c>
      <c r="AR855" s="41" t="str">
        <f t="shared" si="278"/>
        <v>N10RDMNCR</v>
      </c>
      <c r="CK855" s="625"/>
    </row>
    <row r="856" spans="1:89" s="41" customFormat="1" ht="12.75" customHeight="1">
      <c r="A856" s="442" t="s">
        <v>746</v>
      </c>
      <c r="B856" s="442" t="str">
        <f t="shared" ref="B856" si="296">CONCATENATE(A856,C856,D856,E856)</f>
        <v>Reg Asset182303601238-UBBG030904</v>
      </c>
      <c r="C856" s="736">
        <v>182303</v>
      </c>
      <c r="D856" s="738" t="s">
        <v>4095</v>
      </c>
      <c r="E856" s="626" t="s">
        <v>944</v>
      </c>
      <c r="F856" s="626" t="s">
        <v>243</v>
      </c>
      <c r="G856" s="626" t="s">
        <v>4096</v>
      </c>
      <c r="H856" s="736" t="s">
        <v>4110</v>
      </c>
      <c r="I856" s="442"/>
      <c r="J856" s="442"/>
      <c r="K856" s="442" t="str">
        <f t="shared" si="250"/>
        <v/>
      </c>
      <c r="L856" s="736" t="s">
        <v>2393</v>
      </c>
      <c r="M856" s="442" t="str">
        <f t="shared" ref="M856:M858" si="297">LEFT(L856,1)</f>
        <v>A</v>
      </c>
      <c r="N856" s="442" t="str">
        <f>IF(L856&lt;&gt;"",VLOOKUP(L856,Categories!$B$2:$D$41,2,FALSE),IF(F856&lt;&gt;"","No Cat",""))</f>
        <v>All Other</v>
      </c>
      <c r="O856" s="442" t="str">
        <f>IF($L856&lt;&gt;"",VLOOKUP($L856,Categories!$B$2:$D$41,3,FALSE),IF($F856&lt;&gt;"","No Cat",""))</f>
        <v>EB-Cap</v>
      </c>
      <c r="P856" s="736" t="s">
        <v>2490</v>
      </c>
      <c r="Q856" s="442" t="str">
        <f>VLOOKUP($P856,Allocators!$B$7:$F$19,5,FALSE)</f>
        <v>Rate Base</v>
      </c>
      <c r="R856" s="737">
        <f>VLOOKUP($P856,Allocators!$B$7:$F$19,2,FALSE)</f>
        <v>0.70940000000000003</v>
      </c>
      <c r="S856" s="737">
        <f>VLOOKUP($P856,Allocators!$B$7:$F$19,3,FALSE)</f>
        <v>0.29060000000000002</v>
      </c>
      <c r="T856" s="737" t="str">
        <f t="shared" ref="T856" si="298">IF(P856="N",1,"0.0%")</f>
        <v>0.0%</v>
      </c>
      <c r="U856" s="2">
        <f t="shared" si="281"/>
        <v>-834.61142978783596</v>
      </c>
      <c r="V856" s="2">
        <f t="shared" si="282"/>
        <v>-341.89185437883401</v>
      </c>
      <c r="W856" s="2">
        <f t="shared" si="283"/>
        <v>0</v>
      </c>
      <c r="X856" s="2">
        <f t="shared" si="279"/>
        <v>-1176.50328416667</v>
      </c>
      <c r="Y856" s="2">
        <f t="shared" si="284"/>
        <v>-949.20983239999998</v>
      </c>
      <c r="Z856" s="2">
        <f t="shared" si="285"/>
        <v>-388.83616760000001</v>
      </c>
      <c r="AA856" s="2">
        <f t="shared" si="286"/>
        <v>0</v>
      </c>
      <c r="AB856" s="2">
        <f t="shared" si="280"/>
        <v>-1338.0459999999998</v>
      </c>
      <c r="AC856" s="734">
        <v>-702.45553999999959</v>
      </c>
      <c r="AD856" s="625">
        <v>-2486.8261899999993</v>
      </c>
      <c r="AE856" s="625">
        <v>-1977.6289799999995</v>
      </c>
      <c r="AF856" s="625">
        <v>-2658.1184399999993</v>
      </c>
      <c r="AG856" s="625">
        <v>-3046.2071299999993</v>
      </c>
      <c r="AH856" s="625">
        <v>-2165.9474299999997</v>
      </c>
      <c r="AI856" s="625">
        <v>-1379.3751699999998</v>
      </c>
      <c r="AJ856" s="625">
        <v>-1035.6109999999999</v>
      </c>
      <c r="AK856" s="625">
        <v>-87.05938999999978</v>
      </c>
      <c r="AL856" s="625">
        <v>286.27925000000022</v>
      </c>
      <c r="AM856" s="625">
        <v>997.45984000000021</v>
      </c>
      <c r="AN856" s="625">
        <v>455.24600000000021</v>
      </c>
      <c r="AO856" s="625">
        <v>-1338.0459999999998</v>
      </c>
      <c r="AP856" s="41" t="str">
        <f t="shared" si="276"/>
        <v>Reg AssetA</v>
      </c>
      <c r="AQ856" s="41" t="str">
        <f t="shared" si="277"/>
        <v>Reg AssetAA2RDM Unbilled</v>
      </c>
      <c r="AR856" s="41" t="str">
        <f t="shared" si="278"/>
        <v>A2RDM Unbilled</v>
      </c>
      <c r="CK856" s="625"/>
    </row>
    <row r="857" spans="1:89" s="41" customFormat="1" ht="12.75" customHeight="1">
      <c r="A857" s="442" t="s">
        <v>746</v>
      </c>
      <c r="B857" s="442" t="str">
        <f t="shared" ref="B857" si="299">CONCATENATE(A857,C857,D857,E857)</f>
        <v>Reg Asset182303601238-ReclassBG039999</v>
      </c>
      <c r="C857" s="736">
        <v>182303</v>
      </c>
      <c r="D857" s="738" t="s">
        <v>4265</v>
      </c>
      <c r="E857" s="626" t="s">
        <v>1148</v>
      </c>
      <c r="F857" s="626" t="s">
        <v>243</v>
      </c>
      <c r="G857" s="626" t="s">
        <v>4264</v>
      </c>
      <c r="H857" s="736" t="s">
        <v>823</v>
      </c>
      <c r="I857" s="442"/>
      <c r="J857" s="442" t="s">
        <v>7</v>
      </c>
      <c r="K857" s="442" t="str">
        <f t="shared" si="250"/>
        <v/>
      </c>
      <c r="L857" s="736" t="s">
        <v>2436</v>
      </c>
      <c r="M857" s="442" t="str">
        <f t="shared" si="297"/>
        <v>N</v>
      </c>
      <c r="N857" s="442" t="str">
        <f>IF(L857&lt;&gt;"",VLOOKUP(L857,Categories!$B$2:$D$41,2,FALSE),IF(F857&lt;&gt;"","No Cat",""))</f>
        <v>NRBASE</v>
      </c>
      <c r="O857" s="442" t="str">
        <f>IF($L857&lt;&gt;"",VLOOKUP($L857,Categories!$B$2:$D$41,3,FALSE),IF($F857&lt;&gt;"","No Cat",""))</f>
        <v>Deferrals Accruing Non-Cash Return   (other than ASGA)</v>
      </c>
      <c r="P857" s="736" t="s">
        <v>2468</v>
      </c>
      <c r="Q857" s="442" t="str">
        <f>VLOOKUP($P857,Allocators!$B$7:$F$19,5,FALSE)</f>
        <v>Not in Rate Base</v>
      </c>
      <c r="R857" s="737">
        <f>VLOOKUP($P857,Allocators!$B$7:$F$19,2,FALSE)</f>
        <v>0</v>
      </c>
      <c r="S857" s="737">
        <f>VLOOKUP($P857,Allocators!$B$7:$F$19,3,FALSE)</f>
        <v>0</v>
      </c>
      <c r="T857" s="737">
        <f t="shared" ref="T857" si="300">IF(P857="N",1,"0.0%")</f>
        <v>1</v>
      </c>
      <c r="U857" s="2">
        <f t="shared" si="281"/>
        <v>0</v>
      </c>
      <c r="V857" s="2">
        <f t="shared" si="282"/>
        <v>0</v>
      </c>
      <c r="W857" s="2">
        <f t="shared" si="283"/>
        <v>2405.3880595833298</v>
      </c>
      <c r="X857" s="2">
        <f t="shared" si="279"/>
        <v>2405.3880595833298</v>
      </c>
      <c r="Y857" s="2">
        <f t="shared" si="284"/>
        <v>0</v>
      </c>
      <c r="Z857" s="2">
        <f t="shared" si="285"/>
        <v>0</v>
      </c>
      <c r="AA857" s="2">
        <f t="shared" si="286"/>
        <v>1326.51901</v>
      </c>
      <c r="AB857" s="2">
        <f t="shared" si="280"/>
        <v>1326.51901</v>
      </c>
      <c r="AC857" s="734">
        <v>4467.5208000000011</v>
      </c>
      <c r="AD857" s="625">
        <v>5372.4751900000001</v>
      </c>
      <c r="AE857" s="625">
        <v>4847.2233299999998</v>
      </c>
      <c r="AF857" s="625">
        <v>4157.4303900000004</v>
      </c>
      <c r="AG857" s="625">
        <v>3365.6410499999997</v>
      </c>
      <c r="AH857" s="625">
        <v>2676.9606199999998</v>
      </c>
      <c r="AI857" s="625">
        <v>2015.1139499999997</v>
      </c>
      <c r="AJ857" s="625">
        <v>1813.8137699999997</v>
      </c>
      <c r="AK857" s="625">
        <v>988.57176999999979</v>
      </c>
      <c r="AL857" s="625">
        <v>730.40673999999979</v>
      </c>
      <c r="AM857" s="625">
        <v>0</v>
      </c>
      <c r="AN857" s="625">
        <v>0</v>
      </c>
      <c r="AO857" s="625">
        <v>1326.51901</v>
      </c>
      <c r="AP857" s="41" t="str">
        <f t="shared" si="276"/>
        <v>Reg AssetN</v>
      </c>
      <c r="AQ857" s="41" t="str">
        <f t="shared" si="277"/>
        <v>Reg AssetNN10RDM</v>
      </c>
      <c r="AR857" s="41" t="str">
        <f t="shared" si="278"/>
        <v>N10RDMNCR</v>
      </c>
      <c r="CK857" s="625"/>
    </row>
    <row r="858" spans="1:89" s="41" customFormat="1" ht="12.75" customHeight="1">
      <c r="A858" s="442" t="s">
        <v>746</v>
      </c>
      <c r="B858" s="442" t="str">
        <f t="shared" ref="B858" si="301">CONCATENATE(A858,C858,D858,E858)</f>
        <v>Reg Asset182303POR-ReclassBG039999</v>
      </c>
      <c r="C858" s="736">
        <v>182303</v>
      </c>
      <c r="D858" s="738" t="s">
        <v>4359</v>
      </c>
      <c r="E858" s="626" t="s">
        <v>1148</v>
      </c>
      <c r="F858" s="626" t="s">
        <v>243</v>
      </c>
      <c r="G858" s="626" t="s">
        <v>4358</v>
      </c>
      <c r="H858" s="736" t="s">
        <v>1245</v>
      </c>
      <c r="I858" s="442"/>
      <c r="J858" s="442"/>
      <c r="K858" s="442" t="str">
        <f t="shared" si="250"/>
        <v/>
      </c>
      <c r="L858" s="736" t="s">
        <v>2421</v>
      </c>
      <c r="M858" s="442" t="str">
        <f t="shared" si="297"/>
        <v>N</v>
      </c>
      <c r="N858" s="442" t="str">
        <f>IF(L858&lt;&gt;"",VLOOKUP(L858,Categories!$B$2:$D$41,2,FALSE),IF(F858&lt;&gt;"","No Cat",""))</f>
        <v>NRBASE</v>
      </c>
      <c r="O858" s="442" t="str">
        <f>IF($L858&lt;&gt;"",VLOOKUP($L858,Categories!$B$2:$D$41,3,FALSE),IF($F858&lt;&gt;"","No Cat",""))</f>
        <v>Direct Assign Items Not in RB</v>
      </c>
      <c r="P858" s="736" t="s">
        <v>2468</v>
      </c>
      <c r="Q858" s="442" t="str">
        <f>VLOOKUP($P858,Allocators!$B$7:$F$19,5,FALSE)</f>
        <v>Not in Rate Base</v>
      </c>
      <c r="R858" s="737">
        <f>VLOOKUP($P858,Allocators!$B$7:$F$19,2,FALSE)</f>
        <v>0</v>
      </c>
      <c r="S858" s="737">
        <f>VLOOKUP($P858,Allocators!$B$7:$F$19,3,FALSE)</f>
        <v>0</v>
      </c>
      <c r="T858" s="737">
        <f t="shared" ref="T858" si="302">IF(P858="N",1,"0.0%")</f>
        <v>1</v>
      </c>
      <c r="U858" s="2">
        <f t="shared" si="281"/>
        <v>0</v>
      </c>
      <c r="V858" s="2">
        <f t="shared" si="282"/>
        <v>0</v>
      </c>
      <c r="W858" s="2">
        <f t="shared" si="283"/>
        <v>619.67661416666704</v>
      </c>
      <c r="X858" s="2">
        <f t="shared" si="279"/>
        <v>619.67661416666704</v>
      </c>
      <c r="Y858" s="2">
        <f t="shared" si="284"/>
        <v>0</v>
      </c>
      <c r="Z858" s="2">
        <f t="shared" si="285"/>
        <v>0</v>
      </c>
      <c r="AA858" s="2">
        <f t="shared" si="286"/>
        <v>1213.02001</v>
      </c>
      <c r="AB858" s="2">
        <f t="shared" si="280"/>
        <v>1213.0200099999997</v>
      </c>
      <c r="AC858" s="734">
        <v>1323.7073300000002</v>
      </c>
      <c r="AD858" s="625">
        <v>0</v>
      </c>
      <c r="AE858" s="625">
        <v>1098.3678200000002</v>
      </c>
      <c r="AF858" s="625">
        <v>951.21306000000004</v>
      </c>
      <c r="AG858" s="625">
        <v>877.14571000000001</v>
      </c>
      <c r="AH858" s="625">
        <v>0</v>
      </c>
      <c r="AI858" s="38">
        <v>0</v>
      </c>
      <c r="AJ858" s="625">
        <v>0</v>
      </c>
      <c r="AK858" s="625">
        <v>1009.59202</v>
      </c>
      <c r="AL858" s="625">
        <v>1084.37545</v>
      </c>
      <c r="AM858" s="625">
        <v>0</v>
      </c>
      <c r="AN858" s="625">
        <v>1147.0616399999999</v>
      </c>
      <c r="AO858" s="625">
        <v>1213.0200099999997</v>
      </c>
      <c r="AP858" s="41" t="str">
        <f t="shared" si="276"/>
        <v>Reg AssetN</v>
      </c>
      <c r="AQ858" s="41" t="str">
        <f t="shared" si="277"/>
        <v>Reg AssetNN2Purchase of Receivables</v>
      </c>
      <c r="AR858" s="41" t="str">
        <f t="shared" si="278"/>
        <v>N2Purchase of Receivables</v>
      </c>
      <c r="CK858" s="625"/>
    </row>
    <row r="859" spans="1:89" s="41" customFormat="1" ht="12.75" customHeight="1">
      <c r="A859" s="442" t="s">
        <v>746</v>
      </c>
      <c r="B859" s="442" t="str">
        <f t="shared" ref="B859:B861" si="303">CONCATENATE(A859,C859,D859,E859)</f>
        <v>Reg Asset182303BGHUNGDT</v>
      </c>
      <c r="C859" s="736">
        <v>182303</v>
      </c>
      <c r="D859" s="738"/>
      <c r="E859" s="626" t="s">
        <v>4057</v>
      </c>
      <c r="F859" s="626" t="s">
        <v>243</v>
      </c>
      <c r="G859" s="626" t="s">
        <v>4063</v>
      </c>
      <c r="H859" s="736" t="s">
        <v>2880</v>
      </c>
      <c r="I859" s="442"/>
      <c r="J859" s="442"/>
      <c r="K859" s="442" t="str">
        <f t="shared" si="250"/>
        <v/>
      </c>
      <c r="L859" s="736" t="s">
        <v>2441</v>
      </c>
      <c r="M859" s="442" t="str">
        <f t="shared" ref="M859:M864" si="304">LEFT(L859,1)</f>
        <v>R</v>
      </c>
      <c r="N859" s="442" t="str">
        <f>IF(L859&lt;&gt;"",VLOOKUP(L859,Categories!$B$2:$D$41,2,FALSE),IF(F859&lt;&gt;"","No Cat",""))</f>
        <v>Rate Base</v>
      </c>
      <c r="O859" s="442" t="str">
        <f>IF($L859&lt;&gt;"",VLOOKUP($L859,Categories!$B$2:$D$41,3,FALSE),IF($F859&lt;&gt;"","No Cat",""))</f>
        <v>Deferred Debits &amp; Credits</v>
      </c>
      <c r="P859" s="736" t="s">
        <v>2483</v>
      </c>
      <c r="Q859" s="442" t="str">
        <f>VLOOKUP($P859,Allocators!$B$7:$F$19,5,FALSE)</f>
        <v>Gas</v>
      </c>
      <c r="R859" s="737">
        <f>VLOOKUP($P859,Allocators!$B$7:$F$19,2,FALSE)</f>
        <v>0</v>
      </c>
      <c r="S859" s="737">
        <f>VLOOKUP($P859,Allocators!$B$7:$F$19,3,FALSE)</f>
        <v>1</v>
      </c>
      <c r="T859" s="737" t="str">
        <f t="shared" ref="T859:T861" si="305">IF(P859="N",1,"0.0%")</f>
        <v>0.0%</v>
      </c>
      <c r="U859" s="2" t="str">
        <f t="shared" si="281"/>
        <v/>
      </c>
      <c r="V859" s="2" t="str">
        <f t="shared" si="282"/>
        <v/>
      </c>
      <c r="W859" s="2" t="str">
        <f t="shared" si="283"/>
        <v/>
      </c>
      <c r="X859" s="2">
        <f t="shared" si="279"/>
        <v>0</v>
      </c>
      <c r="Y859" s="2" t="str">
        <f t="shared" si="284"/>
        <v/>
      </c>
      <c r="Z859" s="2" t="str">
        <f t="shared" si="285"/>
        <v/>
      </c>
      <c r="AA859" s="2" t="str">
        <f t="shared" si="286"/>
        <v/>
      </c>
      <c r="AB859" s="2">
        <f t="shared" si="280"/>
        <v>0</v>
      </c>
      <c r="AC859" s="734">
        <v>0</v>
      </c>
      <c r="AD859" s="625">
        <v>0</v>
      </c>
      <c r="AE859" s="625">
        <v>0</v>
      </c>
      <c r="AF859" s="625">
        <v>0</v>
      </c>
      <c r="AG859" s="625">
        <v>0</v>
      </c>
      <c r="AH859" s="625">
        <v>0</v>
      </c>
      <c r="AI859" s="38">
        <v>0</v>
      </c>
      <c r="AJ859" s="625">
        <v>0</v>
      </c>
      <c r="AK859" s="625">
        <v>0</v>
      </c>
      <c r="AL859" s="625">
        <v>0</v>
      </c>
      <c r="AM859" s="625">
        <v>0</v>
      </c>
      <c r="AN859" s="625">
        <v>0</v>
      </c>
      <c r="AO859" s="625">
        <v>0</v>
      </c>
      <c r="AP859" s="41" t="str">
        <f t="shared" si="276"/>
        <v>Reg AssetR</v>
      </c>
      <c r="AQ859" s="41" t="str">
        <f t="shared" si="277"/>
        <v>Reg AssetRR10Hung Deferred Taxes</v>
      </c>
      <c r="AR859" s="41" t="str">
        <f t="shared" si="278"/>
        <v>R10Hung Deferred Taxes</v>
      </c>
      <c r="CK859" s="625"/>
    </row>
    <row r="860" spans="1:89" s="41" customFormat="1" ht="12.75" customHeight="1">
      <c r="A860" s="442" t="s">
        <v>746</v>
      </c>
      <c r="B860" s="442" t="str">
        <f t="shared" si="303"/>
        <v>Reg Asset182303BG030410Pension Gas</v>
      </c>
      <c r="C860" s="736">
        <v>182303</v>
      </c>
      <c r="D860" s="738" t="s">
        <v>1223</v>
      </c>
      <c r="E860" s="626" t="s">
        <v>1224</v>
      </c>
      <c r="F860" s="626" t="s">
        <v>243</v>
      </c>
      <c r="G860" s="626" t="s">
        <v>4296</v>
      </c>
      <c r="H860" s="736" t="s">
        <v>1159</v>
      </c>
      <c r="I860" s="442"/>
      <c r="J860" s="442" t="s">
        <v>7</v>
      </c>
      <c r="K860" s="442"/>
      <c r="L860" s="736" t="s">
        <v>2436</v>
      </c>
      <c r="M860" s="25" t="str">
        <f t="shared" si="304"/>
        <v>N</v>
      </c>
      <c r="N860" s="25" t="str">
        <f>IF(L860&lt;&gt;"",VLOOKUP(L860,Categories!$B$2:$D$41,2,FALSE),IF(F860&lt;&gt;"","No Cat",""))</f>
        <v>NRBASE</v>
      </c>
      <c r="O860" s="25" t="str">
        <f>IF($L860&lt;&gt;"",VLOOKUP($L860,Categories!$B$2:$D$41,3,FALSE),IF($F860&lt;&gt;"","No Cat",""))</f>
        <v>Deferrals Accruing Non-Cash Return   (other than ASGA)</v>
      </c>
      <c r="P860" s="736" t="s">
        <v>2468</v>
      </c>
      <c r="Q860" s="25" t="str">
        <f>VLOOKUP($P860,Allocators!$B$7:$F$19,5,FALSE)</f>
        <v>Not in Rate Base</v>
      </c>
      <c r="R860" s="737">
        <f>VLOOKUP($P860,Allocators!$B$7:$F$19,2,FALSE)</f>
        <v>0</v>
      </c>
      <c r="S860" s="737">
        <f>VLOOKUP($P860,Allocators!$B$7:$F$19,3,FALSE)</f>
        <v>0</v>
      </c>
      <c r="T860" s="737">
        <f t="shared" si="305"/>
        <v>1</v>
      </c>
      <c r="U860" s="2">
        <f t="shared" si="281"/>
        <v>0</v>
      </c>
      <c r="V860" s="2">
        <f t="shared" si="282"/>
        <v>0</v>
      </c>
      <c r="W860" s="2">
        <f t="shared" si="283"/>
        <v>5946.1692425000001</v>
      </c>
      <c r="X860" s="2">
        <f t="shared" si="279"/>
        <v>5946.1692425000001</v>
      </c>
      <c r="Y860" s="2">
        <f t="shared" si="284"/>
        <v>0</v>
      </c>
      <c r="Z860" s="2">
        <f t="shared" si="285"/>
        <v>0</v>
      </c>
      <c r="AA860" s="2">
        <f t="shared" si="286"/>
        <v>7919.78305</v>
      </c>
      <c r="AB860" s="2">
        <f t="shared" si="280"/>
        <v>7919.78305</v>
      </c>
      <c r="AC860" s="734">
        <v>3930.06745</v>
      </c>
      <c r="AD860" s="625">
        <v>4304.4034399999991</v>
      </c>
      <c r="AE860" s="625">
        <v>4622.1115199999995</v>
      </c>
      <c r="AF860" s="625">
        <v>4968.9851499999995</v>
      </c>
      <c r="AG860" s="625">
        <v>5315.5084399999996</v>
      </c>
      <c r="AH860" s="625">
        <v>5645.6302500000002</v>
      </c>
      <c r="AI860" s="625">
        <v>5934.7698899999996</v>
      </c>
      <c r="AJ860" s="625">
        <v>6231.1031800000001</v>
      </c>
      <c r="AK860" s="625">
        <v>6574.2324900000003</v>
      </c>
      <c r="AL860" s="625">
        <v>6965.8508599999996</v>
      </c>
      <c r="AM860" s="625">
        <v>7272.5756299999994</v>
      </c>
      <c r="AN860" s="625">
        <v>7593.9348099999997</v>
      </c>
      <c r="AO860" s="625">
        <v>7919.78305</v>
      </c>
      <c r="AP860" s="41" t="str">
        <f t="shared" si="276"/>
        <v>Reg AssetN</v>
      </c>
      <c r="AQ860" s="41" t="str">
        <f t="shared" si="277"/>
        <v>Reg AssetNN10Pension True-up</v>
      </c>
      <c r="AR860" s="41" t="str">
        <f t="shared" si="278"/>
        <v>N10Pension True-upNCR</v>
      </c>
      <c r="CK860" s="625"/>
    </row>
    <row r="861" spans="1:89" s="41" customFormat="1" ht="12.75" customHeight="1">
      <c r="A861" s="442" t="s">
        <v>746</v>
      </c>
      <c r="B861" s="442" t="str">
        <f t="shared" si="303"/>
        <v>Reg Asset182303BG030410Pension Gas L</v>
      </c>
      <c r="C861" s="736">
        <v>182303</v>
      </c>
      <c r="D861" s="738" t="s">
        <v>1223</v>
      </c>
      <c r="E861" s="626" t="s">
        <v>4067</v>
      </c>
      <c r="F861" s="626" t="s">
        <v>243</v>
      </c>
      <c r="G861" s="626" t="s">
        <v>4296</v>
      </c>
      <c r="H861" s="736" t="s">
        <v>1159</v>
      </c>
      <c r="I861" s="442"/>
      <c r="J861" s="442" t="s">
        <v>7</v>
      </c>
      <c r="K861" s="442"/>
      <c r="L861" s="736" t="s">
        <v>2436</v>
      </c>
      <c r="M861" s="25" t="str">
        <f t="shared" si="304"/>
        <v>N</v>
      </c>
      <c r="N861" s="25" t="str">
        <f>IF(L861&lt;&gt;"",VLOOKUP(L861,Categories!$B$2:$D$41,2,FALSE),IF(F861&lt;&gt;"","No Cat",""))</f>
        <v>NRBASE</v>
      </c>
      <c r="O861" s="25" t="str">
        <f>IF($L861&lt;&gt;"",VLOOKUP($L861,Categories!$B$2:$D$41,3,FALSE),IF($F861&lt;&gt;"","No Cat",""))</f>
        <v>Deferrals Accruing Non-Cash Return   (other than ASGA)</v>
      </c>
      <c r="P861" s="736" t="s">
        <v>2468</v>
      </c>
      <c r="Q861" s="25" t="str">
        <f>VLOOKUP($P861,Allocators!$B$7:$F$19,5,FALSE)</f>
        <v>Not in Rate Base</v>
      </c>
      <c r="R861" s="737">
        <f>VLOOKUP($P861,Allocators!$B$7:$F$19,2,FALSE)</f>
        <v>0</v>
      </c>
      <c r="S861" s="737">
        <f>VLOOKUP($P861,Allocators!$B$7:$F$19,3,FALSE)</f>
        <v>0</v>
      </c>
      <c r="T861" s="737">
        <f t="shared" si="305"/>
        <v>1</v>
      </c>
      <c r="U861" s="2">
        <f t="shared" si="281"/>
        <v>0</v>
      </c>
      <c r="V861" s="2">
        <f t="shared" si="282"/>
        <v>0</v>
      </c>
      <c r="W861" s="2">
        <f t="shared" si="283"/>
        <v>-922.03709000000003</v>
      </c>
      <c r="X861" s="2">
        <f t="shared" si="279"/>
        <v>-922.03709000000003</v>
      </c>
      <c r="Y861" s="2">
        <f t="shared" si="284"/>
        <v>0</v>
      </c>
      <c r="Z861" s="2">
        <f t="shared" si="285"/>
        <v>0</v>
      </c>
      <c r="AA861" s="2">
        <f t="shared" si="286"/>
        <v>-922.03709000000003</v>
      </c>
      <c r="AB861" s="2">
        <f t="shared" si="280"/>
        <v>-922.03708999999992</v>
      </c>
      <c r="AC861" s="734">
        <v>-922.03708999999992</v>
      </c>
      <c r="AD861" s="625">
        <v>-922.03708999999992</v>
      </c>
      <c r="AE861" s="625">
        <v>-922.03708999999992</v>
      </c>
      <c r="AF861" s="625">
        <v>-922.03708999999992</v>
      </c>
      <c r="AG861" s="625">
        <v>-922.03708999999992</v>
      </c>
      <c r="AH861" s="625">
        <v>-922.03708999999992</v>
      </c>
      <c r="AI861" s="625">
        <v>-922.03708999999992</v>
      </c>
      <c r="AJ861" s="625">
        <v>-922.03708999999992</v>
      </c>
      <c r="AK861" s="625">
        <v>-922.03708999999992</v>
      </c>
      <c r="AL861" s="625">
        <v>-922.03708999999992</v>
      </c>
      <c r="AM861" s="625">
        <v>-922.03708999999992</v>
      </c>
      <c r="AN861" s="625">
        <v>-922.03708999999992</v>
      </c>
      <c r="AO861" s="625">
        <v>-922.03708999999992</v>
      </c>
      <c r="AP861" s="41" t="str">
        <f t="shared" si="276"/>
        <v>Reg AssetN</v>
      </c>
      <c r="AQ861" s="41" t="str">
        <f t="shared" si="277"/>
        <v>Reg AssetNN10Pension True-up</v>
      </c>
      <c r="AR861" s="41" t="str">
        <f t="shared" si="278"/>
        <v>N10Pension True-upNCR</v>
      </c>
      <c r="CK861" s="625"/>
    </row>
    <row r="862" spans="1:89" s="41" customFormat="1" ht="12.75" customHeight="1">
      <c r="A862" s="442" t="s">
        <v>746</v>
      </c>
      <c r="B862" s="442" t="str">
        <f t="shared" ref="B862" si="306">CONCATENATE(A862,C862,D862,E862)</f>
        <v>Reg Asset182303601269BG030936</v>
      </c>
      <c r="C862" s="736">
        <v>182303</v>
      </c>
      <c r="D862" s="738">
        <v>601269</v>
      </c>
      <c r="E862" s="626" t="s">
        <v>4406</v>
      </c>
      <c r="F862" s="626" t="s">
        <v>243</v>
      </c>
      <c r="G862" s="626" t="s">
        <v>4405</v>
      </c>
      <c r="H862" s="736" t="s">
        <v>4342</v>
      </c>
      <c r="I862" s="442"/>
      <c r="J862" s="442"/>
      <c r="K862" s="442"/>
      <c r="L862" s="736" t="s">
        <v>2441</v>
      </c>
      <c r="M862" s="25" t="str">
        <f t="shared" si="304"/>
        <v>R</v>
      </c>
      <c r="N862" s="25" t="str">
        <f>IF(L862&lt;&gt;"",VLOOKUP(L862,Categories!$B$2:$D$41,2,FALSE),IF(F862&lt;&gt;"","No Cat",""))</f>
        <v>Rate Base</v>
      </c>
      <c r="O862" s="25" t="str">
        <f>IF($L862&lt;&gt;"",VLOOKUP($L862,Categories!$B$2:$D$41,3,FALSE),IF($F862&lt;&gt;"","No Cat",""))</f>
        <v>Deferred Debits &amp; Credits</v>
      </c>
      <c r="P862" s="736" t="s">
        <v>2483</v>
      </c>
      <c r="Q862" s="25" t="str">
        <f>VLOOKUP($P862,Allocators!$B$7:$F$19,5,FALSE)</f>
        <v>Gas</v>
      </c>
      <c r="R862" s="737">
        <f>VLOOKUP($P862,Allocators!$B$7:$F$19,2,FALSE)</f>
        <v>0</v>
      </c>
      <c r="S862" s="737">
        <f>VLOOKUP($P862,Allocators!$B$7:$F$19,3,FALSE)</f>
        <v>1</v>
      </c>
      <c r="T862" s="737" t="str">
        <f t="shared" ref="T862:T864" si="307">IF(P862="N",1,"0.0%")</f>
        <v>0.0%</v>
      </c>
      <c r="U862" s="2">
        <f t="shared" si="281"/>
        <v>0</v>
      </c>
      <c r="V862" s="2">
        <f t="shared" si="282"/>
        <v>968.50001999999995</v>
      </c>
      <c r="W862" s="2">
        <f t="shared" si="283"/>
        <v>0</v>
      </c>
      <c r="X862" s="2">
        <f t="shared" si="279"/>
        <v>968.50001999999995</v>
      </c>
      <c r="Y862" s="2">
        <f t="shared" si="284"/>
        <v>0</v>
      </c>
      <c r="Z862" s="2">
        <f t="shared" si="285"/>
        <v>1937.0000399999999</v>
      </c>
      <c r="AA862" s="2">
        <f t="shared" si="286"/>
        <v>0</v>
      </c>
      <c r="AB862" s="2">
        <f t="shared" si="280"/>
        <v>1937.0000399999999</v>
      </c>
      <c r="AC862" s="734"/>
      <c r="AD862" s="625">
        <v>161.41667000000001</v>
      </c>
      <c r="AE862" s="625">
        <v>322.83334000000002</v>
      </c>
      <c r="AF862" s="625">
        <v>484.25001000000003</v>
      </c>
      <c r="AG862" s="625">
        <v>645.66668000000004</v>
      </c>
      <c r="AH862" s="625">
        <v>807.08335000000011</v>
      </c>
      <c r="AI862" s="625">
        <v>968.50002000000018</v>
      </c>
      <c r="AJ862" s="625">
        <v>1129.9166900000002</v>
      </c>
      <c r="AK862" s="625">
        <v>1291.3333600000001</v>
      </c>
      <c r="AL862" s="625">
        <v>1452.7500299999999</v>
      </c>
      <c r="AM862" s="625">
        <v>1614.1667</v>
      </c>
      <c r="AN862" s="625">
        <v>1775.5833699999998</v>
      </c>
      <c r="AO862" s="625">
        <v>1937.0000399999999</v>
      </c>
      <c r="AP862" s="41" t="str">
        <f t="shared" si="276"/>
        <v>Reg AssetR</v>
      </c>
      <c r="AQ862" s="41" t="str">
        <f t="shared" si="277"/>
        <v>Reg AssetRR10Continuation of Current Amorts (Until New Rates are Set)</v>
      </c>
      <c r="AR862" s="41" t="str">
        <f t="shared" si="278"/>
        <v>R10Continuation of Current Amorts (Until New Rates are Set)</v>
      </c>
      <c r="CK862" s="625"/>
    </row>
    <row r="863" spans="1:89" s="41" customFormat="1" ht="12.75" customHeight="1">
      <c r="A863" s="442" t="s">
        <v>746</v>
      </c>
      <c r="B863" s="442" t="str">
        <f t="shared" ref="B863:B864" si="308">CONCATENATE(A863,C863,D863,E863)</f>
        <v>Reg Asset182303601134BG030582</v>
      </c>
      <c r="C863" s="736">
        <v>182303</v>
      </c>
      <c r="D863" s="738">
        <v>601134</v>
      </c>
      <c r="E863" s="626" t="s">
        <v>938</v>
      </c>
      <c r="F863" s="626" t="s">
        <v>243</v>
      </c>
      <c r="G863" s="626" t="s">
        <v>794</v>
      </c>
      <c r="H863" s="736" t="s">
        <v>817</v>
      </c>
      <c r="I863" s="442"/>
      <c r="J863" s="442" t="s">
        <v>7</v>
      </c>
      <c r="K863" s="25"/>
      <c r="L863" s="736" t="s">
        <v>2436</v>
      </c>
      <c r="M863" s="442" t="str">
        <f t="shared" si="304"/>
        <v>N</v>
      </c>
      <c r="N863" s="442" t="str">
        <f>IF(L863&lt;&gt;"",VLOOKUP(L863,Categories!$B$2:$D$41,2,FALSE),IF(F863&lt;&gt;"","No Cat",""))</f>
        <v>NRBASE</v>
      </c>
      <c r="O863" s="442" t="str">
        <f>IF($L863&lt;&gt;"",VLOOKUP($L863,Categories!$B$2:$D$41,3,FALSE),IF($F863&lt;&gt;"","No Cat",""))</f>
        <v>Deferrals Accruing Non-Cash Return   (other than ASGA)</v>
      </c>
      <c r="P863" s="736" t="s">
        <v>2468</v>
      </c>
      <c r="Q863" s="25" t="str">
        <f>VLOOKUP($P863,Allocators!$B$7:$F$19,5,FALSE)</f>
        <v>Not in Rate Base</v>
      </c>
      <c r="R863" s="737">
        <f>VLOOKUP($P863,Allocators!$B$7:$F$19,2,FALSE)</f>
        <v>0</v>
      </c>
      <c r="S863" s="737">
        <f>VLOOKUP($P863,Allocators!$B$7:$F$19,3,FALSE)</f>
        <v>0</v>
      </c>
      <c r="T863" s="737">
        <f t="shared" si="307"/>
        <v>1</v>
      </c>
      <c r="U863" s="2">
        <f t="shared" si="281"/>
        <v>0</v>
      </c>
      <c r="V863" s="2">
        <f t="shared" si="282"/>
        <v>0</v>
      </c>
      <c r="W863" s="2">
        <f t="shared" si="283"/>
        <v>897.74727499999995</v>
      </c>
      <c r="X863" s="2">
        <f t="shared" si="279"/>
        <v>897.74727499999995</v>
      </c>
      <c r="Y863" s="2">
        <f t="shared" si="284"/>
        <v>0</v>
      </c>
      <c r="Z863" s="2">
        <f t="shared" si="285"/>
        <v>0</v>
      </c>
      <c r="AA863" s="2">
        <f t="shared" si="286"/>
        <v>1573.7292</v>
      </c>
      <c r="AB863" s="2">
        <f t="shared" si="280"/>
        <v>1573.7292000000002</v>
      </c>
      <c r="AC863" s="734"/>
      <c r="AD863" s="625"/>
      <c r="AE863" s="625"/>
      <c r="AF863" s="625"/>
      <c r="AG863" s="625"/>
      <c r="AH863" s="625"/>
      <c r="AI863" s="625"/>
      <c r="AJ863" s="625">
        <v>1581.38021</v>
      </c>
      <c r="AK863" s="625">
        <v>2088.4387299999999</v>
      </c>
      <c r="AL863" s="625">
        <v>2542.3164400000001</v>
      </c>
      <c r="AM863" s="625">
        <v>1943.0829899999999</v>
      </c>
      <c r="AN863" s="625">
        <v>1830.8843300000001</v>
      </c>
      <c r="AO863" s="625">
        <v>1573.7292000000002</v>
      </c>
      <c r="AP863" s="41" t="str">
        <f t="shared" si="276"/>
        <v>Reg AssetN</v>
      </c>
      <c r="AQ863" s="41" t="str">
        <f t="shared" si="277"/>
        <v>Reg AssetNN10PSC Assessment</v>
      </c>
      <c r="AR863" s="41" t="str">
        <f t="shared" si="278"/>
        <v>N10PSC AssessmentNCR</v>
      </c>
      <c r="CK863" s="625"/>
    </row>
    <row r="864" spans="1:89" s="41" customFormat="1" ht="12.75" customHeight="1">
      <c r="A864" s="442" t="s">
        <v>746</v>
      </c>
      <c r="B864" s="442" t="str">
        <f t="shared" si="308"/>
        <v>Reg Asset182303601134-CCBG030582</v>
      </c>
      <c r="C864" s="736">
        <v>182303</v>
      </c>
      <c r="D864" s="738" t="s">
        <v>4318</v>
      </c>
      <c r="E864" s="626" t="s">
        <v>938</v>
      </c>
      <c r="F864" s="626" t="s">
        <v>243</v>
      </c>
      <c r="G864" s="626" t="s">
        <v>4467</v>
      </c>
      <c r="H864" s="736" t="s">
        <v>817</v>
      </c>
      <c r="I864" s="442"/>
      <c r="J864" s="442" t="s">
        <v>7</v>
      </c>
      <c r="K864" s="25"/>
      <c r="L864" s="736" t="s">
        <v>2436</v>
      </c>
      <c r="M864" s="442" t="str">
        <f t="shared" si="304"/>
        <v>N</v>
      </c>
      <c r="N864" s="442" t="str">
        <f>IF(L864&lt;&gt;"",VLOOKUP(L864,Categories!$B$2:$D$41,2,FALSE),IF(F864&lt;&gt;"","No Cat",""))</f>
        <v>NRBASE</v>
      </c>
      <c r="O864" s="442" t="str">
        <f>IF($L864&lt;&gt;"",VLOOKUP($L864,Categories!$B$2:$D$41,3,FALSE),IF($F864&lt;&gt;"","No Cat",""))</f>
        <v>Deferrals Accruing Non-Cash Return   (other than ASGA)</v>
      </c>
      <c r="P864" s="736" t="s">
        <v>2468</v>
      </c>
      <c r="Q864" s="25" t="str">
        <f>VLOOKUP($P864,Allocators!$B$7:$F$19,5,FALSE)</f>
        <v>Not in Rate Base</v>
      </c>
      <c r="R864" s="737">
        <f>VLOOKUP($P864,Allocators!$B$7:$F$19,2,FALSE)</f>
        <v>0</v>
      </c>
      <c r="S864" s="737">
        <f>VLOOKUP($P864,Allocators!$B$7:$F$19,3,FALSE)</f>
        <v>0</v>
      </c>
      <c r="T864" s="737">
        <f t="shared" si="307"/>
        <v>1</v>
      </c>
      <c r="U864" s="2">
        <f t="shared" si="281"/>
        <v>0</v>
      </c>
      <c r="V864" s="2">
        <f t="shared" si="282"/>
        <v>0</v>
      </c>
      <c r="W864" s="2">
        <f t="shared" si="283"/>
        <v>-6.8064529166666601</v>
      </c>
      <c r="X864" s="2">
        <f t="shared" si="279"/>
        <v>-6.8064529166666601</v>
      </c>
      <c r="Y864" s="2">
        <f t="shared" si="284"/>
        <v>0</v>
      </c>
      <c r="Z864" s="2">
        <f t="shared" si="285"/>
        <v>0</v>
      </c>
      <c r="AA864" s="2">
        <f t="shared" si="286"/>
        <v>15.644030000000001</v>
      </c>
      <c r="AB864" s="2">
        <f t="shared" si="280"/>
        <v>15.644030000000006</v>
      </c>
      <c r="AC864" s="734"/>
      <c r="AD864" s="625"/>
      <c r="AE864" s="625"/>
      <c r="AF864" s="625"/>
      <c r="AG864" s="625"/>
      <c r="AH864" s="625"/>
      <c r="AI864" s="625"/>
      <c r="AJ864" s="625">
        <v>-48.83442999999999</v>
      </c>
      <c r="AK864" s="625">
        <v>-36.176049999999989</v>
      </c>
      <c r="AL864" s="625">
        <v>-18.535329999999991</v>
      </c>
      <c r="AM864" s="625">
        <v>1.9326500000000106</v>
      </c>
      <c r="AN864" s="625">
        <v>12.113710000000006</v>
      </c>
      <c r="AO864" s="625">
        <v>15.644030000000006</v>
      </c>
      <c r="AP864" s="41" t="str">
        <f t="shared" si="276"/>
        <v>Reg AssetN</v>
      </c>
      <c r="AQ864" s="41" t="str">
        <f t="shared" si="277"/>
        <v>Reg AssetNN10PSC Assessment</v>
      </c>
      <c r="AR864" s="41" t="str">
        <f t="shared" si="278"/>
        <v>N10PSC AssessmentNCR</v>
      </c>
      <c r="CK864" s="625"/>
    </row>
    <row r="865" spans="1:89" s="41" customFormat="1" ht="12.75" customHeight="1">
      <c r="A865" s="442" t="s">
        <v>746</v>
      </c>
      <c r="B865" s="442" t="str">
        <f t="shared" si="251"/>
        <v>Reg Asset182303601256BG030932</v>
      </c>
      <c r="C865" s="736">
        <v>182303</v>
      </c>
      <c r="D865" s="738">
        <v>601256</v>
      </c>
      <c r="E865" s="626" t="s">
        <v>4056</v>
      </c>
      <c r="F865" s="626" t="s">
        <v>243</v>
      </c>
      <c r="G865" s="626" t="s">
        <v>4064</v>
      </c>
      <c r="H865" s="736" t="s">
        <v>4377</v>
      </c>
      <c r="I865" s="442"/>
      <c r="J865" s="442"/>
      <c r="K865" s="442" t="str">
        <f t="shared" si="250"/>
        <v/>
      </c>
      <c r="L865" s="736" t="s">
        <v>2441</v>
      </c>
      <c r="M865" s="442" t="str">
        <f t="shared" si="287"/>
        <v>R</v>
      </c>
      <c r="N865" s="442" t="str">
        <f>IF(L865&lt;&gt;"",VLOOKUP(L865,Categories!$B$2:$D$41,2,FALSE),IF(F865&lt;&gt;"","No Cat",""))</f>
        <v>Rate Base</v>
      </c>
      <c r="O865" s="442" t="str">
        <f>IF($L865&lt;&gt;"",VLOOKUP($L865,Categories!$B$2:$D$41,3,FALSE),IF($F865&lt;&gt;"","No Cat",""))</f>
        <v>Deferred Debits &amp; Credits</v>
      </c>
      <c r="P865" s="736" t="s">
        <v>2483</v>
      </c>
      <c r="Q865" s="442" t="str">
        <f>VLOOKUP($P865,Allocators!$B$7:$F$19,5,FALSE)</f>
        <v>Gas</v>
      </c>
      <c r="R865" s="737">
        <f>VLOOKUP($P865,Allocators!$B$7:$F$19,2,FALSE)</f>
        <v>0</v>
      </c>
      <c r="S865" s="737">
        <f>VLOOKUP($P865,Allocators!$B$7:$F$19,3,FALSE)</f>
        <v>1</v>
      </c>
      <c r="T865" s="737" t="str">
        <f t="shared" si="288"/>
        <v>0.0%</v>
      </c>
      <c r="U865" s="2" t="str">
        <f t="shared" si="281"/>
        <v/>
      </c>
      <c r="V865" s="2" t="str">
        <f t="shared" si="282"/>
        <v/>
      </c>
      <c r="W865" s="2" t="str">
        <f t="shared" si="283"/>
        <v/>
      </c>
      <c r="X865" s="2">
        <f t="shared" si="279"/>
        <v>0</v>
      </c>
      <c r="Y865" s="2" t="str">
        <f t="shared" si="284"/>
        <v/>
      </c>
      <c r="Z865" s="2" t="str">
        <f t="shared" si="285"/>
        <v/>
      </c>
      <c r="AA865" s="2" t="str">
        <f t="shared" si="286"/>
        <v/>
      </c>
      <c r="AB865" s="2">
        <f t="shared" si="280"/>
        <v>0</v>
      </c>
      <c r="AC865" s="734">
        <v>0</v>
      </c>
      <c r="AD865" s="625">
        <v>0</v>
      </c>
      <c r="AE865" s="625">
        <v>0</v>
      </c>
      <c r="AF865" s="625">
        <v>0</v>
      </c>
      <c r="AG865" s="625">
        <v>0</v>
      </c>
      <c r="AH865" s="625">
        <v>0</v>
      </c>
      <c r="AI865" s="38">
        <v>0</v>
      </c>
      <c r="AJ865" s="625">
        <v>0</v>
      </c>
      <c r="AK865" s="625">
        <v>0</v>
      </c>
      <c r="AL865" s="625">
        <v>0</v>
      </c>
      <c r="AM865" s="625">
        <v>0</v>
      </c>
      <c r="AN865" s="625">
        <v>0</v>
      </c>
      <c r="AO865" s="625">
        <v>0</v>
      </c>
      <c r="AP865" s="41" t="str">
        <f t="shared" si="276"/>
        <v>Reg AssetR</v>
      </c>
      <c r="AQ865" s="41" t="str">
        <f t="shared" si="277"/>
        <v>Reg AssetRR10Funded DIT Tax True-up Deferral</v>
      </c>
      <c r="AR865" s="41" t="str">
        <f t="shared" si="278"/>
        <v>R10Funded DIT Tax True-up Deferral</v>
      </c>
      <c r="CK865" s="625"/>
    </row>
    <row r="866" spans="1:89" s="41" customFormat="1" ht="12.75" customHeight="1">
      <c r="A866" s="442" t="s">
        <v>746</v>
      </c>
      <c r="B866" s="442" t="str">
        <f t="shared" ref="B866:B867" si="309">CONCATENATE(A866,C866,D866,E866)</f>
        <v>Reg Asset182304601255BE030932</v>
      </c>
      <c r="C866" s="736">
        <v>182304</v>
      </c>
      <c r="D866" s="738">
        <v>601255</v>
      </c>
      <c r="E866" s="626" t="s">
        <v>4052</v>
      </c>
      <c r="F866" s="1" t="s">
        <v>4363</v>
      </c>
      <c r="G866" s="626" t="s">
        <v>4369</v>
      </c>
      <c r="H866" s="736" t="s">
        <v>4377</v>
      </c>
      <c r="I866" s="442"/>
      <c r="J866" s="442"/>
      <c r="K866" s="442" t="str">
        <f t="shared" si="250"/>
        <v/>
      </c>
      <c r="L866" s="736" t="s">
        <v>2441</v>
      </c>
      <c r="M866" s="442" t="str">
        <f t="shared" si="287"/>
        <v>R</v>
      </c>
      <c r="N866" s="442" t="str">
        <f>IF(L866&lt;&gt;"",VLOOKUP(L866,Categories!$B$2:$D$41,2,FALSE),IF(F866&lt;&gt;"","No Cat",""))</f>
        <v>Rate Base</v>
      </c>
      <c r="O866" s="442" t="str">
        <f>IF($L866&lt;&gt;"",VLOOKUP($L866,Categories!$B$2:$D$41,3,FALSE),IF($F866&lt;&gt;"","No Cat",""))</f>
        <v>Deferred Debits &amp; Credits</v>
      </c>
      <c r="P866" s="736" t="s">
        <v>2482</v>
      </c>
      <c r="Q866" s="442" t="str">
        <f>VLOOKUP($P866,Allocators!$B$7:$F$19,5,FALSE)</f>
        <v>Electric</v>
      </c>
      <c r="R866" s="737">
        <f>VLOOKUP($P866,Allocators!$B$7:$F$19,2,FALSE)</f>
        <v>1</v>
      </c>
      <c r="S866" s="737">
        <f>VLOOKUP($P866,Allocators!$B$7:$F$19,3,FALSE)</f>
        <v>0</v>
      </c>
      <c r="T866" s="737" t="str">
        <f t="shared" ref="T866:T867" si="310">IF(P866="N",1,"0.0%")</f>
        <v>0.0%</v>
      </c>
      <c r="U866" s="2">
        <f t="shared" si="281"/>
        <v>28775.137382916699</v>
      </c>
      <c r="V866" s="2">
        <f t="shared" si="282"/>
        <v>0</v>
      </c>
      <c r="W866" s="2">
        <f t="shared" si="283"/>
        <v>0</v>
      </c>
      <c r="X866" s="2">
        <f t="shared" si="279"/>
        <v>28775.137382916699</v>
      </c>
      <c r="Y866" s="2">
        <f t="shared" si="284"/>
        <v>33235.870929999903</v>
      </c>
      <c r="Z866" s="2">
        <f t="shared" si="285"/>
        <v>0</v>
      </c>
      <c r="AA866" s="2">
        <f t="shared" si="286"/>
        <v>0</v>
      </c>
      <c r="AB866" s="2">
        <f t="shared" si="280"/>
        <v>33235.870929999975</v>
      </c>
      <c r="AC866" s="734">
        <v>24651.278459999998</v>
      </c>
      <c r="AD866" s="625">
        <v>25336.036199999995</v>
      </c>
      <c r="AE866" s="625">
        <v>26020.793939999992</v>
      </c>
      <c r="AF866" s="625">
        <v>26705.551679999993</v>
      </c>
      <c r="AG866" s="625">
        <v>27390.30941999999</v>
      </c>
      <c r="AH866" s="625">
        <v>28075.067159999988</v>
      </c>
      <c r="AI866" s="625">
        <v>28759.824899999989</v>
      </c>
      <c r="AJ866" s="625">
        <v>29444.582639999986</v>
      </c>
      <c r="AK866" s="625">
        <v>30129.340379999983</v>
      </c>
      <c r="AL866" s="625">
        <v>30814.098119999984</v>
      </c>
      <c r="AM866" s="625">
        <v>31498.855859999981</v>
      </c>
      <c r="AN866" s="625">
        <v>32183.613599999979</v>
      </c>
      <c r="AO866" s="625">
        <v>33235.870929999975</v>
      </c>
      <c r="AP866" s="41" t="str">
        <f t="shared" si="276"/>
        <v>Reg AssetR</v>
      </c>
      <c r="AQ866" s="41" t="str">
        <f t="shared" si="277"/>
        <v>Reg AssetRR10Funded DIT Tax True-up Deferral</v>
      </c>
      <c r="AR866" s="41" t="str">
        <f t="shared" si="278"/>
        <v>R10Funded DIT Tax True-up Deferral</v>
      </c>
      <c r="CK866" s="625"/>
    </row>
    <row r="867" spans="1:89" s="41" customFormat="1" ht="12.75" customHeight="1">
      <c r="A867" s="442" t="s">
        <v>746</v>
      </c>
      <c r="B867" s="442" t="str">
        <f t="shared" si="309"/>
        <v>Reg Asset182304601256BG030932</v>
      </c>
      <c r="C867" s="736">
        <v>182304</v>
      </c>
      <c r="D867" s="738">
        <v>601256</v>
      </c>
      <c r="E867" s="626" t="s">
        <v>4056</v>
      </c>
      <c r="F867" s="1" t="s">
        <v>4363</v>
      </c>
      <c r="G867" s="626" t="s">
        <v>4370</v>
      </c>
      <c r="H867" s="736" t="s">
        <v>4377</v>
      </c>
      <c r="I867" s="442"/>
      <c r="J867" s="442"/>
      <c r="K867" s="442" t="str">
        <f t="shared" si="250"/>
        <v/>
      </c>
      <c r="L867" s="736" t="s">
        <v>2441</v>
      </c>
      <c r="M867" s="442" t="str">
        <f t="shared" si="287"/>
        <v>R</v>
      </c>
      <c r="N867" s="442" t="str">
        <f>IF(L867&lt;&gt;"",VLOOKUP(L867,Categories!$B$2:$D$41,2,FALSE),IF(F867&lt;&gt;"","No Cat",""))</f>
        <v>Rate Base</v>
      </c>
      <c r="O867" s="442" t="str">
        <f>IF($L867&lt;&gt;"",VLOOKUP($L867,Categories!$B$2:$D$41,3,FALSE),IF($F867&lt;&gt;"","No Cat",""))</f>
        <v>Deferred Debits &amp; Credits</v>
      </c>
      <c r="P867" s="736" t="s">
        <v>2483</v>
      </c>
      <c r="Q867" s="442" t="str">
        <f>VLOOKUP($P867,Allocators!$B$7:$F$19,5,FALSE)</f>
        <v>Gas</v>
      </c>
      <c r="R867" s="737">
        <f>VLOOKUP($P867,Allocators!$B$7:$F$19,2,FALSE)</f>
        <v>0</v>
      </c>
      <c r="S867" s="737">
        <f>VLOOKUP($P867,Allocators!$B$7:$F$19,3,FALSE)</f>
        <v>1</v>
      </c>
      <c r="T867" s="737" t="str">
        <f t="shared" si="310"/>
        <v>0.0%</v>
      </c>
      <c r="U867" s="2">
        <f t="shared" si="281"/>
        <v>0</v>
      </c>
      <c r="V867" s="2">
        <f t="shared" si="282"/>
        <v>23417.679055416698</v>
      </c>
      <c r="W867" s="2">
        <f t="shared" si="283"/>
        <v>0</v>
      </c>
      <c r="X867" s="2">
        <f t="shared" si="279"/>
        <v>23417.679055416698</v>
      </c>
      <c r="Y867" s="2">
        <f t="shared" si="284"/>
        <v>0</v>
      </c>
      <c r="Z867" s="2">
        <f t="shared" si="285"/>
        <v>26349.941210000001</v>
      </c>
      <c r="AA867" s="2">
        <f t="shared" si="286"/>
        <v>0</v>
      </c>
      <c r="AB867" s="2">
        <f t="shared" si="280"/>
        <v>26349.941210000012</v>
      </c>
      <c r="AC867" s="734">
        <v>20087.788359999999</v>
      </c>
      <c r="AD867" s="625">
        <v>20645.782480000002</v>
      </c>
      <c r="AE867" s="625">
        <v>21203.776600000001</v>
      </c>
      <c r="AF867" s="625">
        <v>21761.770720000004</v>
      </c>
      <c r="AG867" s="625">
        <v>22319.764840000003</v>
      </c>
      <c r="AH867" s="625">
        <v>22877.758960000003</v>
      </c>
      <c r="AI867" s="625">
        <v>23435.753080000006</v>
      </c>
      <c r="AJ867" s="625">
        <v>23993.747200000005</v>
      </c>
      <c r="AK867" s="625">
        <v>24551.741320000008</v>
      </c>
      <c r="AL867" s="625">
        <v>25109.735440000008</v>
      </c>
      <c r="AM867" s="625">
        <v>25667.729560000011</v>
      </c>
      <c r="AN867" s="625">
        <v>26225.72368000001</v>
      </c>
      <c r="AO867" s="625">
        <v>26349.941210000012</v>
      </c>
      <c r="AP867" s="41" t="str">
        <f t="shared" si="276"/>
        <v>Reg AssetR</v>
      </c>
      <c r="AQ867" s="41" t="str">
        <f t="shared" si="277"/>
        <v>Reg AssetRR10Funded DIT Tax True-up Deferral</v>
      </c>
      <c r="AR867" s="41" t="str">
        <f t="shared" si="278"/>
        <v>R10Funded DIT Tax True-up Deferral</v>
      </c>
      <c r="CK867" s="625"/>
    </row>
    <row r="868" spans="1:89" s="41" customFormat="1" ht="12.75" customHeight="1">
      <c r="A868" s="442" t="s">
        <v>746</v>
      </c>
      <c r="B868" s="442" t="str">
        <f t="shared" si="251"/>
        <v>Reg Asset182305601016E-09BE030251</v>
      </c>
      <c r="C868" s="736">
        <v>182305</v>
      </c>
      <c r="D868" s="738" t="s">
        <v>838</v>
      </c>
      <c r="E868" s="626" t="s">
        <v>945</v>
      </c>
      <c r="F868" s="626" t="str">
        <f t="shared" si="248"/>
        <v>OTH REG ASSETS-UNCONTROLLABLE/EXONGENOUS COSTS-EL</v>
      </c>
      <c r="G868" s="626" t="s">
        <v>1008</v>
      </c>
      <c r="H868" s="736" t="s">
        <v>1113</v>
      </c>
      <c r="I868" s="442"/>
      <c r="J868" s="442" t="s">
        <v>7</v>
      </c>
      <c r="K868" s="442" t="str">
        <f t="shared" si="250"/>
        <v/>
      </c>
      <c r="L868" s="736" t="s">
        <v>2436</v>
      </c>
      <c r="M868" s="442" t="str">
        <f t="shared" si="252"/>
        <v>N</v>
      </c>
      <c r="N868" s="442" t="str">
        <f>IF(L868&lt;&gt;"",VLOOKUP(L868,Categories!$B$2:$D$41,2,FALSE),IF(F868&lt;&gt;"","No Cat",""))</f>
        <v>NRBASE</v>
      </c>
      <c r="O868" s="442" t="str">
        <f>IF($L868&lt;&gt;"",VLOOKUP($L868,Categories!$B$2:$D$41,3,FALSE),IF($F868&lt;&gt;"","No Cat",""))</f>
        <v>Deferrals Accruing Non-Cash Return   (other than ASGA)</v>
      </c>
      <c r="P868" s="736" t="s">
        <v>2468</v>
      </c>
      <c r="Q868" s="442" t="str">
        <f>VLOOKUP($P868,Allocators!$B$7:$F$19,5,FALSE)</f>
        <v>Not in Rate Base</v>
      </c>
      <c r="R868" s="737">
        <f>VLOOKUP($P868,Allocators!$B$7:$F$19,2,FALSE)</f>
        <v>0</v>
      </c>
      <c r="S868" s="737">
        <f>VLOOKUP($P868,Allocators!$B$7:$F$19,3,FALSE)</f>
        <v>0</v>
      </c>
      <c r="T868" s="737">
        <f t="shared" si="253"/>
        <v>1</v>
      </c>
      <c r="U868" s="2" t="str">
        <f t="shared" si="281"/>
        <v/>
      </c>
      <c r="V868" s="2" t="str">
        <f t="shared" si="282"/>
        <v/>
      </c>
      <c r="W868" s="2" t="str">
        <f t="shared" si="283"/>
        <v/>
      </c>
      <c r="X868" s="2">
        <f t="shared" si="279"/>
        <v>0</v>
      </c>
      <c r="Y868" s="2" t="str">
        <f t="shared" si="284"/>
        <v/>
      </c>
      <c r="Z868" s="2" t="str">
        <f t="shared" si="285"/>
        <v/>
      </c>
      <c r="AA868" s="2" t="str">
        <f t="shared" si="286"/>
        <v/>
      </c>
      <c r="AB868" s="2">
        <f t="shared" si="280"/>
        <v>0</v>
      </c>
      <c r="AC868" s="625">
        <v>0</v>
      </c>
      <c r="AD868" s="625">
        <v>0</v>
      </c>
      <c r="AE868" s="625">
        <v>0</v>
      </c>
      <c r="AF868" s="625">
        <v>0</v>
      </c>
      <c r="AG868" s="625">
        <v>0</v>
      </c>
      <c r="AH868" s="625">
        <v>0</v>
      </c>
      <c r="AI868" s="625">
        <v>0</v>
      </c>
      <c r="AJ868" s="625">
        <v>0</v>
      </c>
      <c r="AK868" s="625">
        <v>0</v>
      </c>
      <c r="AL868" s="625">
        <v>0</v>
      </c>
      <c r="AM868" s="625">
        <v>0</v>
      </c>
      <c r="AN868" s="625">
        <v>0</v>
      </c>
      <c r="AO868" s="625">
        <v>0</v>
      </c>
      <c r="AP868" s="41" t="str">
        <f t="shared" si="276"/>
        <v>Reg AssetN</v>
      </c>
      <c r="AQ868" s="41" t="str">
        <f t="shared" si="277"/>
        <v>Reg AssetNN10Property Tax Deferral</v>
      </c>
      <c r="AR868" s="41" t="str">
        <f t="shared" si="278"/>
        <v>N10Property Tax DeferralNCR</v>
      </c>
      <c r="CK868" s="625"/>
    </row>
    <row r="869" spans="1:89" s="41" customFormat="1" ht="12.75" customHeight="1">
      <c r="A869" s="442" t="s">
        <v>746</v>
      </c>
      <c r="B869" s="442" t="str">
        <f t="shared" si="251"/>
        <v>Reg Asset182305601016E-10BE030251</v>
      </c>
      <c r="C869" s="736">
        <v>182305</v>
      </c>
      <c r="D869" s="738" t="s">
        <v>839</v>
      </c>
      <c r="E869" s="626" t="s">
        <v>945</v>
      </c>
      <c r="F869" s="626" t="str">
        <f t="shared" si="248"/>
        <v>OTH REG ASSETS-UNCONTROLLABLE/EXONGENOUS COSTS-EL</v>
      </c>
      <c r="G869" s="626" t="s">
        <v>1009</v>
      </c>
      <c r="H869" s="736" t="s">
        <v>1113</v>
      </c>
      <c r="I869" s="442"/>
      <c r="J869" s="442" t="s">
        <v>7</v>
      </c>
      <c r="K869" s="442" t="str">
        <f t="shared" si="250"/>
        <v/>
      </c>
      <c r="L869" s="736" t="s">
        <v>2436</v>
      </c>
      <c r="M869" s="442" t="str">
        <f t="shared" si="252"/>
        <v>N</v>
      </c>
      <c r="N869" s="442" t="str">
        <f>IF(L869&lt;&gt;"",VLOOKUP(L869,Categories!$B$2:$D$41,2,FALSE),IF(F869&lt;&gt;"","No Cat",""))</f>
        <v>NRBASE</v>
      </c>
      <c r="O869" s="442" t="str">
        <f>IF($L869&lt;&gt;"",VLOOKUP($L869,Categories!$B$2:$D$41,3,FALSE),IF($F869&lt;&gt;"","No Cat",""))</f>
        <v>Deferrals Accruing Non-Cash Return   (other than ASGA)</v>
      </c>
      <c r="P869" s="736" t="s">
        <v>2468</v>
      </c>
      <c r="Q869" s="442" t="str">
        <f>VLOOKUP($P869,Allocators!$B$7:$F$19,5,FALSE)</f>
        <v>Not in Rate Base</v>
      </c>
      <c r="R869" s="737">
        <f>VLOOKUP($P869,Allocators!$B$7:$F$19,2,FALSE)</f>
        <v>0</v>
      </c>
      <c r="S869" s="737">
        <f>VLOOKUP($P869,Allocators!$B$7:$F$19,3,FALSE)</f>
        <v>0</v>
      </c>
      <c r="T869" s="737">
        <f t="shared" si="253"/>
        <v>1</v>
      </c>
      <c r="U869" s="2" t="str">
        <f t="shared" si="281"/>
        <v/>
      </c>
      <c r="V869" s="2" t="str">
        <f t="shared" si="282"/>
        <v/>
      </c>
      <c r="W869" s="2" t="str">
        <f t="shared" si="283"/>
        <v/>
      </c>
      <c r="X869" s="2">
        <f t="shared" si="279"/>
        <v>0</v>
      </c>
      <c r="Y869" s="2" t="str">
        <f t="shared" si="284"/>
        <v/>
      </c>
      <c r="Z869" s="2" t="str">
        <f t="shared" si="285"/>
        <v/>
      </c>
      <c r="AA869" s="2" t="str">
        <f t="shared" si="286"/>
        <v/>
      </c>
      <c r="AB869" s="2">
        <f t="shared" si="280"/>
        <v>0</v>
      </c>
      <c r="AC869" s="625">
        <v>0</v>
      </c>
      <c r="AD869" s="625">
        <v>0</v>
      </c>
      <c r="AE869" s="625">
        <v>0</v>
      </c>
      <c r="AF869" s="625">
        <v>0</v>
      </c>
      <c r="AG869" s="625">
        <v>0</v>
      </c>
      <c r="AH869" s="625">
        <v>0</v>
      </c>
      <c r="AI869" s="38">
        <v>0</v>
      </c>
      <c r="AJ869" s="625">
        <v>0</v>
      </c>
      <c r="AK869" s="625">
        <v>0</v>
      </c>
      <c r="AL869" s="625">
        <v>0</v>
      </c>
      <c r="AM869" s="625">
        <v>0</v>
      </c>
      <c r="AN869" s="625">
        <v>0</v>
      </c>
      <c r="AO869" s="625">
        <v>0</v>
      </c>
      <c r="AP869" s="41" t="str">
        <f t="shared" si="276"/>
        <v>Reg AssetN</v>
      </c>
      <c r="AQ869" s="41" t="str">
        <f t="shared" si="277"/>
        <v>Reg AssetNN10Property Tax Deferral</v>
      </c>
      <c r="AR869" s="41" t="str">
        <f t="shared" si="278"/>
        <v>N10Property Tax DeferralNCR</v>
      </c>
      <c r="CK869" s="625"/>
    </row>
    <row r="870" spans="1:89" s="41" customFormat="1" ht="12.75" customHeight="1">
      <c r="A870" s="25" t="s">
        <v>746</v>
      </c>
      <c r="B870" s="25" t="str">
        <f t="shared" si="251"/>
        <v>Reg Asset182305601016E-ABE030251</v>
      </c>
      <c r="C870" s="736">
        <v>182305</v>
      </c>
      <c r="D870" s="738" t="s">
        <v>840</v>
      </c>
      <c r="E870" s="41" t="s">
        <v>945</v>
      </c>
      <c r="F870" s="41" t="str">
        <f t="shared" si="248"/>
        <v>OTH REG ASSETS-UNCONTROLLABLE/EXONGENOUS COSTS-EL</v>
      </c>
      <c r="G870" s="41" t="s">
        <v>1010</v>
      </c>
      <c r="H870" s="736" t="s">
        <v>1113</v>
      </c>
      <c r="I870" s="25"/>
      <c r="J870" s="25" t="str">
        <f t="shared" si="249"/>
        <v/>
      </c>
      <c r="K870" s="25" t="str">
        <f t="shared" si="250"/>
        <v/>
      </c>
      <c r="L870" s="736" t="s">
        <v>2441</v>
      </c>
      <c r="M870" s="25" t="str">
        <f t="shared" si="252"/>
        <v>R</v>
      </c>
      <c r="N870" s="25" t="str">
        <f>IF(L870&lt;&gt;"",VLOOKUP(L870,Categories!$B$2:$D$41,2,FALSE),IF(F870&lt;&gt;"","No Cat",""))</f>
        <v>Rate Base</v>
      </c>
      <c r="O870" s="25" t="str">
        <f>IF($L870&lt;&gt;"",VLOOKUP($L870,Categories!$B$2:$D$41,3,FALSE),IF($F870&lt;&gt;"","No Cat",""))</f>
        <v>Deferred Debits &amp; Credits</v>
      </c>
      <c r="P870" s="736" t="s">
        <v>2482</v>
      </c>
      <c r="Q870" s="25" t="str">
        <f>VLOOKUP($P870,Allocators!$B$7:$F$19,5,FALSE)</f>
        <v>Electric</v>
      </c>
      <c r="R870" s="737">
        <f>VLOOKUP($P870,Allocators!$B$7:$F$19,2,FALSE)</f>
        <v>1</v>
      </c>
      <c r="S870" s="737">
        <f>VLOOKUP($P870,Allocators!$B$7:$F$19,3,FALSE)</f>
        <v>0</v>
      </c>
      <c r="T870" s="737" t="str">
        <f t="shared" si="253"/>
        <v>0.0%</v>
      </c>
      <c r="U870" s="2">
        <f t="shared" si="281"/>
        <v>1.1640000000000001E-12</v>
      </c>
      <c r="V870" s="2">
        <f t="shared" si="282"/>
        <v>0</v>
      </c>
      <c r="W870" s="2">
        <f t="shared" si="283"/>
        <v>0</v>
      </c>
      <c r="X870" s="2">
        <f t="shared" si="279"/>
        <v>1.1640000000000001E-12</v>
      </c>
      <c r="Y870" s="2">
        <f t="shared" si="284"/>
        <v>1.1640000000000001E-12</v>
      </c>
      <c r="Z870" s="2">
        <f t="shared" si="285"/>
        <v>0</v>
      </c>
      <c r="AA870" s="2">
        <f t="shared" si="286"/>
        <v>0</v>
      </c>
      <c r="AB870" s="2">
        <f t="shared" si="280"/>
        <v>1.1641532182693482E-12</v>
      </c>
      <c r="AC870" s="734">
        <v>1.1641532182693482E-12</v>
      </c>
      <c r="AD870" s="625">
        <v>1.1641532182693482E-12</v>
      </c>
      <c r="AE870" s="625">
        <v>1.1641532182693482E-12</v>
      </c>
      <c r="AF870" s="625">
        <v>1.1641532182693482E-12</v>
      </c>
      <c r="AG870" s="625">
        <v>1.1641532182693482E-12</v>
      </c>
      <c r="AH870" s="625">
        <v>1.1641532182693482E-12</v>
      </c>
      <c r="AI870" s="625">
        <v>1.1641532182693482E-12</v>
      </c>
      <c r="AJ870" s="625">
        <v>1.1641532182693482E-12</v>
      </c>
      <c r="AK870" s="625">
        <v>1.1641532182693482E-12</v>
      </c>
      <c r="AL870" s="625">
        <v>1.1641532182693482E-12</v>
      </c>
      <c r="AM870" s="625">
        <v>1.1641532182693482E-12</v>
      </c>
      <c r="AN870" s="625">
        <v>1.1641532182693482E-12</v>
      </c>
      <c r="AO870" s="625">
        <v>1.1641532182693482E-12</v>
      </c>
      <c r="AP870" s="41" t="str">
        <f t="shared" si="276"/>
        <v>Reg AssetR</v>
      </c>
      <c r="AQ870" s="41" t="str">
        <f t="shared" si="277"/>
        <v>Reg AssetRR10Property Tax Deferral</v>
      </c>
      <c r="AR870" s="41" t="str">
        <f t="shared" si="278"/>
        <v>R10Property Tax Deferral</v>
      </c>
      <c r="CK870" s="625"/>
    </row>
    <row r="871" spans="1:89" s="41" customFormat="1" ht="12.75" customHeight="1">
      <c r="A871" s="442" t="s">
        <v>746</v>
      </c>
      <c r="B871" s="442" t="str">
        <f t="shared" si="251"/>
        <v>Reg Asset182305601016E-LBE030251</v>
      </c>
      <c r="C871" s="736">
        <v>182305</v>
      </c>
      <c r="D871" s="738" t="s">
        <v>841</v>
      </c>
      <c r="E871" s="626" t="s">
        <v>945</v>
      </c>
      <c r="F871" s="626" t="str">
        <f t="shared" si="248"/>
        <v>OTH REG ASSETS-UNCONTROLLABLE/EXONGENOUS COSTS-EL</v>
      </c>
      <c r="G871" s="626" t="s">
        <v>1010</v>
      </c>
      <c r="H871" s="736" t="s">
        <v>1113</v>
      </c>
      <c r="I871" s="442"/>
      <c r="J871" s="442" t="s">
        <v>7</v>
      </c>
      <c r="K871" s="442" t="str">
        <f t="shared" si="250"/>
        <v/>
      </c>
      <c r="L871" s="736" t="s">
        <v>2436</v>
      </c>
      <c r="M871" s="442" t="str">
        <f t="shared" si="252"/>
        <v>N</v>
      </c>
      <c r="N871" s="442" t="str">
        <f>IF(L871&lt;&gt;"",VLOOKUP(L871,Categories!$B$2:$D$41,2,FALSE),IF(F871&lt;&gt;"","No Cat",""))</f>
        <v>NRBASE</v>
      </c>
      <c r="O871" s="442" t="str">
        <f>IF($L871&lt;&gt;"",VLOOKUP($L871,Categories!$B$2:$D$41,3,FALSE),IF($F871&lt;&gt;"","No Cat",""))</f>
        <v>Deferrals Accruing Non-Cash Return   (other than ASGA)</v>
      </c>
      <c r="P871" s="736" t="s">
        <v>2468</v>
      </c>
      <c r="Q871" s="442" t="str">
        <f>VLOOKUP($P871,Allocators!$B$7:$F$19,5,FALSE)</f>
        <v>Not in Rate Base</v>
      </c>
      <c r="R871" s="737">
        <f>VLOOKUP($P871,Allocators!$B$7:$F$19,2,FALSE)</f>
        <v>0</v>
      </c>
      <c r="S871" s="737">
        <f>VLOOKUP($P871,Allocators!$B$7:$F$19,3,FALSE)</f>
        <v>0</v>
      </c>
      <c r="T871" s="737">
        <f t="shared" si="253"/>
        <v>1</v>
      </c>
      <c r="U871" s="2">
        <f t="shared" si="281"/>
        <v>0</v>
      </c>
      <c r="V871" s="2">
        <f t="shared" si="282"/>
        <v>0</v>
      </c>
      <c r="W871" s="2">
        <f t="shared" si="283"/>
        <v>5002.6346599999997</v>
      </c>
      <c r="X871" s="2">
        <f t="shared" si="279"/>
        <v>5002.6346599999997</v>
      </c>
      <c r="Y871" s="2" t="str">
        <f t="shared" si="284"/>
        <v/>
      </c>
      <c r="Z871" s="2" t="str">
        <f t="shared" si="285"/>
        <v/>
      </c>
      <c r="AA871" s="2" t="str">
        <f t="shared" si="286"/>
        <v/>
      </c>
      <c r="AB871" s="2">
        <f t="shared" si="280"/>
        <v>0</v>
      </c>
      <c r="AC871" s="734">
        <v>16986.23962</v>
      </c>
      <c r="AD871" s="625">
        <v>17082.504940000003</v>
      </c>
      <c r="AE871" s="625">
        <v>17179.31582</v>
      </c>
      <c r="AF871" s="625">
        <v>17276.675350000001</v>
      </c>
      <c r="AG871" s="625">
        <v>0</v>
      </c>
      <c r="AH871" s="625">
        <v>0</v>
      </c>
      <c r="AI871" s="38">
        <v>0</v>
      </c>
      <c r="AJ871" s="625">
        <v>0</v>
      </c>
      <c r="AK871" s="625">
        <v>0</v>
      </c>
      <c r="AL871" s="625">
        <v>0</v>
      </c>
      <c r="AM871" s="625">
        <v>0</v>
      </c>
      <c r="AN871" s="625">
        <v>0</v>
      </c>
      <c r="AO871" s="625">
        <v>0</v>
      </c>
      <c r="AP871" s="41" t="str">
        <f t="shared" si="276"/>
        <v>Reg AssetN</v>
      </c>
      <c r="AQ871" s="41" t="str">
        <f t="shared" si="277"/>
        <v>Reg AssetNN10Property Tax Deferral</v>
      </c>
      <c r="AR871" s="41" t="str">
        <f t="shared" si="278"/>
        <v>N10Property Tax DeferralNCR</v>
      </c>
      <c r="CK871" s="625"/>
    </row>
    <row r="872" spans="1:89" s="41" customFormat="1" ht="12.75" customHeight="1">
      <c r="A872" s="25" t="s">
        <v>746</v>
      </c>
      <c r="B872" s="25" t="str">
        <f t="shared" si="251"/>
        <v>Reg Asset182305601035-07BE030253</v>
      </c>
      <c r="C872" s="736">
        <v>182305</v>
      </c>
      <c r="D872" s="738" t="s">
        <v>842</v>
      </c>
      <c r="E872" s="41" t="s">
        <v>946</v>
      </c>
      <c r="F872" s="41" t="str">
        <f t="shared" si="248"/>
        <v>OTH REG ASSETS-UNCONTROLLABLE/EXONGENOUS COSTS-EL</v>
      </c>
      <c r="G872" s="41" t="s">
        <v>1011</v>
      </c>
      <c r="H872" s="736" t="s">
        <v>1114</v>
      </c>
      <c r="I872" s="25"/>
      <c r="J872" s="25" t="str">
        <f t="shared" si="249"/>
        <v/>
      </c>
      <c r="K872" s="25" t="str">
        <f t="shared" si="250"/>
        <v/>
      </c>
      <c r="L872" s="736" t="s">
        <v>2441</v>
      </c>
      <c r="M872" s="25" t="str">
        <f t="shared" si="252"/>
        <v>R</v>
      </c>
      <c r="N872" s="25" t="str">
        <f>IF(L872&lt;&gt;"",VLOOKUP(L872,Categories!$B$2:$D$41,2,FALSE),IF(F872&lt;&gt;"","No Cat",""))</f>
        <v>Rate Base</v>
      </c>
      <c r="O872" s="25" t="str">
        <f>IF($L872&lt;&gt;"",VLOOKUP($L872,Categories!$B$2:$D$41,3,FALSE),IF($F872&lt;&gt;"","No Cat",""))</f>
        <v>Deferred Debits &amp; Credits</v>
      </c>
      <c r="P872" s="736" t="s">
        <v>2482</v>
      </c>
      <c r="Q872" s="25" t="str">
        <f>VLOOKUP($P872,Allocators!$B$7:$F$19,5,FALSE)</f>
        <v>Electric</v>
      </c>
      <c r="R872" s="737">
        <f>VLOOKUP($P872,Allocators!$B$7:$F$19,2,FALSE)</f>
        <v>1</v>
      </c>
      <c r="S872" s="737">
        <f>VLOOKUP($P872,Allocators!$B$7:$F$19,3,FALSE)</f>
        <v>0</v>
      </c>
      <c r="T872" s="737" t="str">
        <f t="shared" si="253"/>
        <v>0.0%</v>
      </c>
      <c r="U872" s="2" t="str">
        <f t="shared" si="281"/>
        <v/>
      </c>
      <c r="V872" s="2" t="str">
        <f t="shared" si="282"/>
        <v/>
      </c>
      <c r="W872" s="2" t="str">
        <f t="shared" si="283"/>
        <v/>
      </c>
      <c r="X872" s="2">
        <f t="shared" si="279"/>
        <v>0</v>
      </c>
      <c r="Y872" s="2" t="str">
        <f t="shared" si="284"/>
        <v/>
      </c>
      <c r="Z872" s="2" t="str">
        <f t="shared" si="285"/>
        <v/>
      </c>
      <c r="AA872" s="2" t="str">
        <f t="shared" si="286"/>
        <v/>
      </c>
      <c r="AB872" s="2">
        <f t="shared" si="280"/>
        <v>0</v>
      </c>
      <c r="AC872" s="625">
        <v>0</v>
      </c>
      <c r="AD872" s="625">
        <v>0</v>
      </c>
      <c r="AE872" s="625">
        <v>0</v>
      </c>
      <c r="AF872" s="625">
        <v>0</v>
      </c>
      <c r="AG872" s="625">
        <v>0</v>
      </c>
      <c r="AH872" s="625">
        <v>0</v>
      </c>
      <c r="AI872" s="38">
        <v>0</v>
      </c>
      <c r="AJ872" s="625">
        <v>0</v>
      </c>
      <c r="AK872" s="625">
        <v>0</v>
      </c>
      <c r="AL872" s="625">
        <v>0</v>
      </c>
      <c r="AM872" s="625">
        <v>0</v>
      </c>
      <c r="AN872" s="625">
        <v>0</v>
      </c>
      <c r="AO872" s="625">
        <v>0</v>
      </c>
      <c r="AP872" s="41" t="str">
        <f t="shared" si="276"/>
        <v>Reg AssetR</v>
      </c>
      <c r="AQ872" s="41" t="str">
        <f t="shared" si="277"/>
        <v>Reg AssetRR10Sarbanes-Oxley</v>
      </c>
      <c r="AR872" s="41" t="str">
        <f t="shared" si="278"/>
        <v>R10Sarbanes-Oxley</v>
      </c>
      <c r="CK872" s="625"/>
    </row>
    <row r="873" spans="1:89" s="41" customFormat="1" ht="12.75" customHeight="1">
      <c r="A873" s="25" t="s">
        <v>746</v>
      </c>
      <c r="B873" s="25" t="str">
        <f t="shared" si="251"/>
        <v>Reg Asset182305601035-04BE030253</v>
      </c>
      <c r="C873" s="736">
        <v>182305</v>
      </c>
      <c r="D873" s="738" t="s">
        <v>843</v>
      </c>
      <c r="E873" s="41" t="s">
        <v>946</v>
      </c>
      <c r="F873" s="41" t="str">
        <f t="shared" si="248"/>
        <v>OTH REG ASSETS-UNCONTROLLABLE/EXONGENOUS COSTS-EL</v>
      </c>
      <c r="G873" s="41" t="s">
        <v>1012</v>
      </c>
      <c r="H873" s="736" t="s">
        <v>1114</v>
      </c>
      <c r="I873" s="25"/>
      <c r="J873" s="25" t="str">
        <f t="shared" si="249"/>
        <v/>
      </c>
      <c r="K873" s="25" t="str">
        <f t="shared" si="250"/>
        <v/>
      </c>
      <c r="L873" s="736" t="s">
        <v>2441</v>
      </c>
      <c r="M873" s="25" t="str">
        <f t="shared" si="252"/>
        <v>R</v>
      </c>
      <c r="N873" s="25" t="str">
        <f>IF(L873&lt;&gt;"",VLOOKUP(L873,Categories!$B$2:$D$41,2,FALSE),IF(F873&lt;&gt;"","No Cat",""))</f>
        <v>Rate Base</v>
      </c>
      <c r="O873" s="25" t="str">
        <f>IF($L873&lt;&gt;"",VLOOKUP($L873,Categories!$B$2:$D$41,3,FALSE),IF($F873&lt;&gt;"","No Cat",""))</f>
        <v>Deferred Debits &amp; Credits</v>
      </c>
      <c r="P873" s="736" t="s">
        <v>2482</v>
      </c>
      <c r="Q873" s="25" t="str">
        <f>VLOOKUP($P873,Allocators!$B$7:$F$19,5,FALSE)</f>
        <v>Electric</v>
      </c>
      <c r="R873" s="737">
        <f>VLOOKUP($P873,Allocators!$B$7:$F$19,2,FALSE)</f>
        <v>1</v>
      </c>
      <c r="S873" s="737">
        <f>VLOOKUP($P873,Allocators!$B$7:$F$19,3,FALSE)</f>
        <v>0</v>
      </c>
      <c r="T873" s="737" t="str">
        <f t="shared" si="253"/>
        <v>0.0%</v>
      </c>
      <c r="U873" s="2" t="str">
        <f t="shared" si="281"/>
        <v/>
      </c>
      <c r="V873" s="2" t="str">
        <f t="shared" si="282"/>
        <v/>
      </c>
      <c r="W873" s="2" t="str">
        <f t="shared" si="283"/>
        <v/>
      </c>
      <c r="X873" s="2">
        <f t="shared" si="279"/>
        <v>0</v>
      </c>
      <c r="Y873" s="2" t="str">
        <f t="shared" si="284"/>
        <v/>
      </c>
      <c r="Z873" s="2" t="str">
        <f t="shared" si="285"/>
        <v/>
      </c>
      <c r="AA873" s="2" t="str">
        <f t="shared" si="286"/>
        <v/>
      </c>
      <c r="AB873" s="2">
        <f t="shared" si="280"/>
        <v>0</v>
      </c>
      <c r="AC873" s="625">
        <v>0</v>
      </c>
      <c r="AD873" s="625">
        <v>0</v>
      </c>
      <c r="AE873" s="625">
        <v>0</v>
      </c>
      <c r="AF873" s="625">
        <v>0</v>
      </c>
      <c r="AG873" s="625">
        <v>0</v>
      </c>
      <c r="AH873" s="625">
        <v>0</v>
      </c>
      <c r="AI873" s="38">
        <v>0</v>
      </c>
      <c r="AJ873" s="625">
        <v>0</v>
      </c>
      <c r="AK873" s="625">
        <v>0</v>
      </c>
      <c r="AL873" s="625">
        <v>0</v>
      </c>
      <c r="AM873" s="625">
        <v>0</v>
      </c>
      <c r="AN873" s="625">
        <v>0</v>
      </c>
      <c r="AO873" s="625">
        <v>0</v>
      </c>
      <c r="AP873" s="41" t="str">
        <f t="shared" si="276"/>
        <v>Reg AssetR</v>
      </c>
      <c r="AQ873" s="41" t="str">
        <f t="shared" si="277"/>
        <v>Reg AssetRR10Sarbanes-Oxley</v>
      </c>
      <c r="AR873" s="41" t="str">
        <f t="shared" si="278"/>
        <v>R10Sarbanes-Oxley</v>
      </c>
      <c r="CK873" s="625"/>
    </row>
    <row r="874" spans="1:89" s="41" customFormat="1" ht="12.75" customHeight="1">
      <c r="A874" s="25" t="s">
        <v>746</v>
      </c>
      <c r="B874" s="25" t="str">
        <f t="shared" si="251"/>
        <v>Reg Asset182305601035-08BE030253</v>
      </c>
      <c r="C874" s="736">
        <v>182305</v>
      </c>
      <c r="D874" s="738" t="s">
        <v>844</v>
      </c>
      <c r="E874" s="41" t="s">
        <v>946</v>
      </c>
      <c r="F874" s="41" t="str">
        <f t="shared" si="248"/>
        <v>OTH REG ASSETS-UNCONTROLLABLE/EXONGENOUS COSTS-EL</v>
      </c>
      <c r="G874" s="41" t="s">
        <v>1013</v>
      </c>
      <c r="H874" s="736" t="s">
        <v>1114</v>
      </c>
      <c r="I874" s="25"/>
      <c r="J874" s="25" t="str">
        <f t="shared" si="249"/>
        <v/>
      </c>
      <c r="K874" s="25" t="str">
        <f t="shared" si="250"/>
        <v/>
      </c>
      <c r="L874" s="736" t="s">
        <v>2441</v>
      </c>
      <c r="M874" s="25" t="str">
        <f t="shared" si="252"/>
        <v>R</v>
      </c>
      <c r="N874" s="25" t="str">
        <f>IF(L874&lt;&gt;"",VLOOKUP(L874,Categories!$B$2:$D$41,2,FALSE),IF(F874&lt;&gt;"","No Cat",""))</f>
        <v>Rate Base</v>
      </c>
      <c r="O874" s="25" t="str">
        <f>IF($L874&lt;&gt;"",VLOOKUP($L874,Categories!$B$2:$D$41,3,FALSE),IF($F874&lt;&gt;"","No Cat",""))</f>
        <v>Deferred Debits &amp; Credits</v>
      </c>
      <c r="P874" s="736" t="s">
        <v>2482</v>
      </c>
      <c r="Q874" s="25" t="str">
        <f>VLOOKUP($P874,Allocators!$B$7:$F$19,5,FALSE)</f>
        <v>Electric</v>
      </c>
      <c r="R874" s="737">
        <f>VLOOKUP($P874,Allocators!$B$7:$F$19,2,FALSE)</f>
        <v>1</v>
      </c>
      <c r="S874" s="737">
        <f>VLOOKUP($P874,Allocators!$B$7:$F$19,3,FALSE)</f>
        <v>0</v>
      </c>
      <c r="T874" s="737" t="str">
        <f t="shared" si="253"/>
        <v>0.0%</v>
      </c>
      <c r="U874" s="2" t="str">
        <f t="shared" si="281"/>
        <v/>
      </c>
      <c r="V874" s="2" t="str">
        <f t="shared" si="282"/>
        <v/>
      </c>
      <c r="W874" s="2" t="str">
        <f t="shared" si="283"/>
        <v/>
      </c>
      <c r="X874" s="2">
        <f t="shared" si="279"/>
        <v>0</v>
      </c>
      <c r="Y874" s="2" t="str">
        <f t="shared" si="284"/>
        <v/>
      </c>
      <c r="Z874" s="2" t="str">
        <f t="shared" si="285"/>
        <v/>
      </c>
      <c r="AA874" s="2" t="str">
        <f t="shared" si="286"/>
        <v/>
      </c>
      <c r="AB874" s="2">
        <f t="shared" si="280"/>
        <v>0</v>
      </c>
      <c r="AC874" s="625">
        <v>0</v>
      </c>
      <c r="AD874" s="625">
        <v>0</v>
      </c>
      <c r="AE874" s="625">
        <v>0</v>
      </c>
      <c r="AF874" s="625">
        <v>0</v>
      </c>
      <c r="AG874" s="625">
        <v>0</v>
      </c>
      <c r="AH874" s="625">
        <v>0</v>
      </c>
      <c r="AI874" s="38">
        <v>0</v>
      </c>
      <c r="AJ874" s="625">
        <v>0</v>
      </c>
      <c r="AK874" s="625">
        <v>0</v>
      </c>
      <c r="AL874" s="625">
        <v>0</v>
      </c>
      <c r="AM874" s="625">
        <v>0</v>
      </c>
      <c r="AN874" s="625">
        <v>0</v>
      </c>
      <c r="AO874" s="625">
        <v>0</v>
      </c>
      <c r="AP874" s="41" t="str">
        <f t="shared" si="276"/>
        <v>Reg AssetR</v>
      </c>
      <c r="AQ874" s="41" t="str">
        <f t="shared" si="277"/>
        <v>Reg AssetRR10Sarbanes-Oxley</v>
      </c>
      <c r="AR874" s="41" t="str">
        <f t="shared" si="278"/>
        <v>R10Sarbanes-Oxley</v>
      </c>
      <c r="CK874" s="625"/>
    </row>
    <row r="875" spans="1:89" s="41" customFormat="1" ht="12.75" customHeight="1">
      <c r="A875" s="25" t="s">
        <v>746</v>
      </c>
      <c r="B875" s="25" t="str">
        <f t="shared" si="251"/>
        <v>Reg Asset182305601035-09BE030253</v>
      </c>
      <c r="C875" s="736">
        <v>182305</v>
      </c>
      <c r="D875" s="738" t="s">
        <v>845</v>
      </c>
      <c r="E875" s="41" t="s">
        <v>946</v>
      </c>
      <c r="F875" s="41" t="str">
        <f t="shared" si="248"/>
        <v>OTH REG ASSETS-UNCONTROLLABLE/EXONGENOUS COSTS-EL</v>
      </c>
      <c r="G875" s="41" t="s">
        <v>1014</v>
      </c>
      <c r="H875" s="736" t="s">
        <v>1114</v>
      </c>
      <c r="I875" s="25"/>
      <c r="J875" s="25" t="str">
        <f t="shared" si="249"/>
        <v/>
      </c>
      <c r="K875" s="25" t="str">
        <f t="shared" si="250"/>
        <v/>
      </c>
      <c r="L875" s="736" t="s">
        <v>2441</v>
      </c>
      <c r="M875" s="25" t="str">
        <f t="shared" si="252"/>
        <v>R</v>
      </c>
      <c r="N875" s="25" t="str">
        <f>IF(L875&lt;&gt;"",VLOOKUP(L875,Categories!$B$2:$D$41,2,FALSE),IF(F875&lt;&gt;"","No Cat",""))</f>
        <v>Rate Base</v>
      </c>
      <c r="O875" s="25" t="str">
        <f>IF($L875&lt;&gt;"",VLOOKUP($L875,Categories!$B$2:$D$41,3,FALSE),IF($F875&lt;&gt;"","No Cat",""))</f>
        <v>Deferred Debits &amp; Credits</v>
      </c>
      <c r="P875" s="736" t="s">
        <v>2482</v>
      </c>
      <c r="Q875" s="25" t="str">
        <f>VLOOKUP($P875,Allocators!$B$7:$F$19,5,FALSE)</f>
        <v>Electric</v>
      </c>
      <c r="R875" s="737">
        <f>VLOOKUP($P875,Allocators!$B$7:$F$19,2,FALSE)</f>
        <v>1</v>
      </c>
      <c r="S875" s="737">
        <f>VLOOKUP($P875,Allocators!$B$7:$F$19,3,FALSE)</f>
        <v>0</v>
      </c>
      <c r="T875" s="737" t="str">
        <f t="shared" si="253"/>
        <v>0.0%</v>
      </c>
      <c r="U875" s="2" t="str">
        <f t="shared" si="281"/>
        <v/>
      </c>
      <c r="V875" s="2" t="str">
        <f t="shared" si="282"/>
        <v/>
      </c>
      <c r="W875" s="2" t="str">
        <f t="shared" si="283"/>
        <v/>
      </c>
      <c r="X875" s="2">
        <f t="shared" si="279"/>
        <v>0</v>
      </c>
      <c r="Y875" s="2" t="str">
        <f t="shared" si="284"/>
        <v/>
      </c>
      <c r="Z875" s="2" t="str">
        <f t="shared" si="285"/>
        <v/>
      </c>
      <c r="AA875" s="2" t="str">
        <f t="shared" si="286"/>
        <v/>
      </c>
      <c r="AB875" s="2">
        <f t="shared" si="280"/>
        <v>0</v>
      </c>
      <c r="AC875" s="625">
        <v>0</v>
      </c>
      <c r="AD875" s="625">
        <v>0</v>
      </c>
      <c r="AE875" s="625">
        <v>0</v>
      </c>
      <c r="AF875" s="625">
        <v>0</v>
      </c>
      <c r="AG875" s="625">
        <v>0</v>
      </c>
      <c r="AH875" s="625">
        <v>0</v>
      </c>
      <c r="AI875" s="38">
        <v>0</v>
      </c>
      <c r="AJ875" s="625">
        <v>0</v>
      </c>
      <c r="AK875" s="625">
        <v>0</v>
      </c>
      <c r="AL875" s="625">
        <v>0</v>
      </c>
      <c r="AM875" s="625">
        <v>0</v>
      </c>
      <c r="AN875" s="625">
        <v>0</v>
      </c>
      <c r="AO875" s="625">
        <v>0</v>
      </c>
      <c r="AP875" s="41" t="str">
        <f t="shared" si="276"/>
        <v>Reg AssetR</v>
      </c>
      <c r="AQ875" s="41" t="str">
        <f t="shared" si="277"/>
        <v>Reg AssetRR10Sarbanes-Oxley</v>
      </c>
      <c r="AR875" s="41" t="str">
        <f t="shared" si="278"/>
        <v>R10Sarbanes-Oxley</v>
      </c>
      <c r="CK875" s="625"/>
    </row>
    <row r="876" spans="1:89" s="41" customFormat="1" ht="12.75" customHeight="1">
      <c r="A876" s="25" t="s">
        <v>746</v>
      </c>
      <c r="B876" s="25" t="str">
        <f t="shared" si="251"/>
        <v>Reg Asset182305601035-10BE030253</v>
      </c>
      <c r="C876" s="736">
        <v>182305</v>
      </c>
      <c r="D876" s="738" t="s">
        <v>846</v>
      </c>
      <c r="E876" s="41" t="s">
        <v>946</v>
      </c>
      <c r="F876" s="41" t="str">
        <f t="shared" si="248"/>
        <v>OTH REG ASSETS-UNCONTROLLABLE/EXONGENOUS COSTS-EL</v>
      </c>
      <c r="G876" s="41" t="s">
        <v>1015</v>
      </c>
      <c r="H876" s="736" t="s">
        <v>1114</v>
      </c>
      <c r="I876" s="25"/>
      <c r="J876" s="25" t="str">
        <f t="shared" si="249"/>
        <v/>
      </c>
      <c r="K876" s="25" t="str">
        <f t="shared" si="250"/>
        <v/>
      </c>
      <c r="L876" s="736" t="s">
        <v>2441</v>
      </c>
      <c r="M876" s="25" t="str">
        <f t="shared" si="252"/>
        <v>R</v>
      </c>
      <c r="N876" s="25" t="str">
        <f>IF(L876&lt;&gt;"",VLOOKUP(L876,Categories!$B$2:$D$41,2,FALSE),IF(F876&lt;&gt;"","No Cat",""))</f>
        <v>Rate Base</v>
      </c>
      <c r="O876" s="25" t="str">
        <f>IF($L876&lt;&gt;"",VLOOKUP($L876,Categories!$B$2:$D$41,3,FALSE),IF($F876&lt;&gt;"","No Cat",""))</f>
        <v>Deferred Debits &amp; Credits</v>
      </c>
      <c r="P876" s="736" t="s">
        <v>2482</v>
      </c>
      <c r="Q876" s="25" t="str">
        <f>VLOOKUP($P876,Allocators!$B$7:$F$19,5,FALSE)</f>
        <v>Electric</v>
      </c>
      <c r="R876" s="737">
        <f>VLOOKUP($P876,Allocators!$B$7:$F$19,2,FALSE)</f>
        <v>1</v>
      </c>
      <c r="S876" s="737">
        <f>VLOOKUP($P876,Allocators!$B$7:$F$19,3,FALSE)</f>
        <v>0</v>
      </c>
      <c r="T876" s="737" t="str">
        <f t="shared" si="253"/>
        <v>0.0%</v>
      </c>
      <c r="U876" s="2" t="str">
        <f t="shared" si="281"/>
        <v/>
      </c>
      <c r="V876" s="2" t="str">
        <f t="shared" si="282"/>
        <v/>
      </c>
      <c r="W876" s="2" t="str">
        <f t="shared" si="283"/>
        <v/>
      </c>
      <c r="X876" s="2">
        <f t="shared" si="279"/>
        <v>0</v>
      </c>
      <c r="Y876" s="2" t="str">
        <f t="shared" si="284"/>
        <v/>
      </c>
      <c r="Z876" s="2" t="str">
        <f t="shared" si="285"/>
        <v/>
      </c>
      <c r="AA876" s="2" t="str">
        <f t="shared" si="286"/>
        <v/>
      </c>
      <c r="AB876" s="2">
        <f t="shared" si="280"/>
        <v>0</v>
      </c>
      <c r="AC876" s="625">
        <v>0</v>
      </c>
      <c r="AD876" s="625">
        <v>0</v>
      </c>
      <c r="AE876" s="625">
        <v>0</v>
      </c>
      <c r="AF876" s="625">
        <v>0</v>
      </c>
      <c r="AG876" s="625">
        <v>0</v>
      </c>
      <c r="AH876" s="625">
        <v>0</v>
      </c>
      <c r="AI876" s="38">
        <v>0</v>
      </c>
      <c r="AJ876" s="625">
        <v>0</v>
      </c>
      <c r="AK876" s="625">
        <v>0</v>
      </c>
      <c r="AL876" s="625">
        <v>0</v>
      </c>
      <c r="AM876" s="625">
        <v>0</v>
      </c>
      <c r="AN876" s="625">
        <v>0</v>
      </c>
      <c r="AO876" s="625">
        <v>0</v>
      </c>
      <c r="AP876" s="41" t="str">
        <f t="shared" si="276"/>
        <v>Reg AssetR</v>
      </c>
      <c r="AQ876" s="41" t="str">
        <f t="shared" si="277"/>
        <v>Reg AssetRR10Sarbanes-Oxley</v>
      </c>
      <c r="AR876" s="41" t="str">
        <f t="shared" si="278"/>
        <v>R10Sarbanes-Oxley</v>
      </c>
      <c r="CK876" s="625"/>
    </row>
    <row r="877" spans="1:89" s="41" customFormat="1" ht="12.75" customHeight="1">
      <c r="A877" s="25" t="s">
        <v>746</v>
      </c>
      <c r="B877" s="25" t="str">
        <f t="shared" si="251"/>
        <v>Reg Asset182305601035-ABE030253</v>
      </c>
      <c r="C877" s="736">
        <v>182305</v>
      </c>
      <c r="D877" s="738" t="s">
        <v>847</v>
      </c>
      <c r="E877" s="41" t="s">
        <v>946</v>
      </c>
      <c r="F877" s="41" t="str">
        <f t="shared" si="248"/>
        <v>OTH REG ASSETS-UNCONTROLLABLE/EXONGENOUS COSTS-EL</v>
      </c>
      <c r="G877" s="41" t="s">
        <v>1016</v>
      </c>
      <c r="H877" s="736" t="s">
        <v>1114</v>
      </c>
      <c r="I877" s="25"/>
      <c r="J877" s="25" t="str">
        <f t="shared" si="249"/>
        <v/>
      </c>
      <c r="K877" s="25" t="str">
        <f t="shared" si="250"/>
        <v/>
      </c>
      <c r="L877" s="736" t="s">
        <v>2441</v>
      </c>
      <c r="M877" s="25" t="str">
        <f t="shared" si="252"/>
        <v>R</v>
      </c>
      <c r="N877" s="25" t="str">
        <f>IF(L877&lt;&gt;"",VLOOKUP(L877,Categories!$B$2:$D$41,2,FALSE),IF(F877&lt;&gt;"","No Cat",""))</f>
        <v>Rate Base</v>
      </c>
      <c r="O877" s="25" t="str">
        <f>IF($L877&lt;&gt;"",VLOOKUP($L877,Categories!$B$2:$D$41,3,FALSE),IF($F877&lt;&gt;"","No Cat",""))</f>
        <v>Deferred Debits &amp; Credits</v>
      </c>
      <c r="P877" s="736" t="s">
        <v>2482</v>
      </c>
      <c r="Q877" s="25" t="str">
        <f>VLOOKUP($P877,Allocators!$B$7:$F$19,5,FALSE)</f>
        <v>Electric</v>
      </c>
      <c r="R877" s="737">
        <f>VLOOKUP($P877,Allocators!$B$7:$F$19,2,FALSE)</f>
        <v>1</v>
      </c>
      <c r="S877" s="737">
        <f>VLOOKUP($P877,Allocators!$B$7:$F$19,3,FALSE)</f>
        <v>0</v>
      </c>
      <c r="T877" s="737" t="str">
        <f t="shared" si="253"/>
        <v>0.0%</v>
      </c>
      <c r="U877" s="2" t="str">
        <f t="shared" si="281"/>
        <v/>
      </c>
      <c r="V877" s="2" t="str">
        <f t="shared" si="282"/>
        <v/>
      </c>
      <c r="W877" s="2" t="str">
        <f t="shared" si="283"/>
        <v/>
      </c>
      <c r="X877" s="2">
        <f t="shared" si="279"/>
        <v>0</v>
      </c>
      <c r="Y877" s="2" t="str">
        <f t="shared" si="284"/>
        <v/>
      </c>
      <c r="Z877" s="2" t="str">
        <f t="shared" si="285"/>
        <v/>
      </c>
      <c r="AA877" s="2" t="str">
        <f t="shared" si="286"/>
        <v/>
      </c>
      <c r="AB877" s="2">
        <f t="shared" si="280"/>
        <v>0</v>
      </c>
      <c r="AC877" s="734">
        <v>0</v>
      </c>
      <c r="AD877" s="625">
        <v>0</v>
      </c>
      <c r="AE877" s="625">
        <v>0</v>
      </c>
      <c r="AF877" s="625">
        <v>0</v>
      </c>
      <c r="AG877" s="625">
        <v>0</v>
      </c>
      <c r="AH877" s="625">
        <v>0</v>
      </c>
      <c r="AI877" s="38">
        <v>0</v>
      </c>
      <c r="AJ877" s="625">
        <v>0</v>
      </c>
      <c r="AK877" s="625">
        <v>0</v>
      </c>
      <c r="AL877" s="625">
        <v>0</v>
      </c>
      <c r="AM877" s="625">
        <v>0</v>
      </c>
      <c r="AN877" s="625">
        <v>0</v>
      </c>
      <c r="AO877" s="625">
        <v>0</v>
      </c>
      <c r="AP877" s="41" t="str">
        <f t="shared" si="276"/>
        <v>Reg AssetR</v>
      </c>
      <c r="AQ877" s="41" t="str">
        <f t="shared" si="277"/>
        <v>Reg AssetRR10Sarbanes-Oxley</v>
      </c>
      <c r="AR877" s="41" t="str">
        <f t="shared" si="278"/>
        <v>R10Sarbanes-Oxley</v>
      </c>
      <c r="CK877" s="625"/>
    </row>
    <row r="878" spans="1:89" s="41" customFormat="1" ht="12.75" customHeight="1">
      <c r="A878" s="25" t="s">
        <v>746</v>
      </c>
      <c r="B878" s="25" t="str">
        <f t="shared" si="251"/>
        <v>Reg Asset182305601035-LBE030253</v>
      </c>
      <c r="C878" s="736">
        <v>182305</v>
      </c>
      <c r="D878" s="738" t="s">
        <v>848</v>
      </c>
      <c r="E878" s="41" t="s">
        <v>946</v>
      </c>
      <c r="F878" s="41" t="str">
        <f t="shared" si="248"/>
        <v>OTH REG ASSETS-UNCONTROLLABLE/EXONGENOUS COSTS-EL</v>
      </c>
      <c r="G878" s="41" t="s">
        <v>1016</v>
      </c>
      <c r="H878" s="736" t="s">
        <v>1114</v>
      </c>
      <c r="I878" s="25"/>
      <c r="J878" s="25" t="str">
        <f t="shared" si="249"/>
        <v/>
      </c>
      <c r="K878" s="25" t="str">
        <f t="shared" si="250"/>
        <v/>
      </c>
      <c r="L878" s="736" t="s">
        <v>2441</v>
      </c>
      <c r="M878" s="25" t="str">
        <f t="shared" si="252"/>
        <v>R</v>
      </c>
      <c r="N878" s="25" t="str">
        <f>IF(L878&lt;&gt;"",VLOOKUP(L878,Categories!$B$2:$D$41,2,FALSE),IF(F878&lt;&gt;"","No Cat",""))</f>
        <v>Rate Base</v>
      </c>
      <c r="O878" s="25" t="str">
        <f>IF($L878&lt;&gt;"",VLOOKUP($L878,Categories!$B$2:$D$41,3,FALSE),IF($F878&lt;&gt;"","No Cat",""))</f>
        <v>Deferred Debits &amp; Credits</v>
      </c>
      <c r="P878" s="736" t="s">
        <v>2482</v>
      </c>
      <c r="Q878" s="25" t="str">
        <f>VLOOKUP($P878,Allocators!$B$7:$F$19,5,FALSE)</f>
        <v>Electric</v>
      </c>
      <c r="R878" s="737">
        <f>VLOOKUP($P878,Allocators!$B$7:$F$19,2,FALSE)</f>
        <v>1</v>
      </c>
      <c r="S878" s="737">
        <f>VLOOKUP($P878,Allocators!$B$7:$F$19,3,FALSE)</f>
        <v>0</v>
      </c>
      <c r="T878" s="737" t="str">
        <f t="shared" si="253"/>
        <v>0.0%</v>
      </c>
      <c r="U878" s="2">
        <f t="shared" si="281"/>
        <v>386.43360999999999</v>
      </c>
      <c r="V878" s="2">
        <f t="shared" si="282"/>
        <v>0</v>
      </c>
      <c r="W878" s="2">
        <f t="shared" si="283"/>
        <v>0</v>
      </c>
      <c r="X878" s="2">
        <f t="shared" si="279"/>
        <v>386.43360999999999</v>
      </c>
      <c r="Y878" s="2">
        <f t="shared" si="284"/>
        <v>386.43360999999999</v>
      </c>
      <c r="Z878" s="2">
        <f t="shared" si="285"/>
        <v>0</v>
      </c>
      <c r="AA878" s="2">
        <f t="shared" si="286"/>
        <v>0</v>
      </c>
      <c r="AB878" s="2">
        <f t="shared" si="280"/>
        <v>386.43360999999999</v>
      </c>
      <c r="AC878" s="734">
        <v>386.43360999999999</v>
      </c>
      <c r="AD878" s="625">
        <v>386.43360999999999</v>
      </c>
      <c r="AE878" s="625">
        <v>386.43360999999999</v>
      </c>
      <c r="AF878" s="625">
        <v>386.43360999999999</v>
      </c>
      <c r="AG878" s="625">
        <v>386.43360999999999</v>
      </c>
      <c r="AH878" s="625">
        <v>386.43360999999999</v>
      </c>
      <c r="AI878" s="625">
        <v>386.43360999999999</v>
      </c>
      <c r="AJ878" s="625">
        <v>386.43360999999999</v>
      </c>
      <c r="AK878" s="625">
        <v>386.43360999999999</v>
      </c>
      <c r="AL878" s="625">
        <v>386.43360999999999</v>
      </c>
      <c r="AM878" s="625">
        <v>386.43360999999999</v>
      </c>
      <c r="AN878" s="625">
        <v>386.43360999999999</v>
      </c>
      <c r="AO878" s="625">
        <v>386.43360999999999</v>
      </c>
      <c r="AP878" s="41" t="str">
        <f t="shared" si="276"/>
        <v>Reg AssetR</v>
      </c>
      <c r="AQ878" s="41" t="str">
        <f t="shared" si="277"/>
        <v>Reg AssetRR10Sarbanes-Oxley</v>
      </c>
      <c r="AR878" s="41" t="str">
        <f t="shared" si="278"/>
        <v>R10Sarbanes-Oxley</v>
      </c>
      <c r="CK878" s="625"/>
    </row>
    <row r="879" spans="1:89" s="41" customFormat="1" ht="12.75" customHeight="1">
      <c r="A879" s="25" t="s">
        <v>746</v>
      </c>
      <c r="B879" s="25" t="str">
        <f t="shared" si="251"/>
        <v>Reg Asset182305601062-08BE030255</v>
      </c>
      <c r="C879" s="736">
        <v>182305</v>
      </c>
      <c r="D879" s="738" t="s">
        <v>849</v>
      </c>
      <c r="E879" s="41" t="s">
        <v>947</v>
      </c>
      <c r="F879" s="41" t="str">
        <f t="shared" si="248"/>
        <v>OTH REG ASSETS-UNCONTROLLABLE/EXONGENOUS COSTS-EL</v>
      </c>
      <c r="G879" s="41" t="s">
        <v>1017</v>
      </c>
      <c r="H879" s="736" t="s">
        <v>1115</v>
      </c>
      <c r="I879" s="25"/>
      <c r="J879" s="25" t="str">
        <f t="shared" si="249"/>
        <v/>
      </c>
      <c r="K879" s="25" t="str">
        <f t="shared" si="250"/>
        <v/>
      </c>
      <c r="L879" s="736" t="s">
        <v>2441</v>
      </c>
      <c r="M879" s="25" t="str">
        <f t="shared" si="252"/>
        <v>R</v>
      </c>
      <c r="N879" s="25" t="str">
        <f>IF(L879&lt;&gt;"",VLOOKUP(L879,Categories!$B$2:$D$41,2,FALSE),IF(F879&lt;&gt;"","No Cat",""))</f>
        <v>Rate Base</v>
      </c>
      <c r="O879" s="25" t="str">
        <f>IF($L879&lt;&gt;"",VLOOKUP($L879,Categories!$B$2:$D$41,3,FALSE),IF($F879&lt;&gt;"","No Cat",""))</f>
        <v>Deferred Debits &amp; Credits</v>
      </c>
      <c r="P879" s="736" t="s">
        <v>2482</v>
      </c>
      <c r="Q879" s="25" t="str">
        <f>VLOOKUP($P879,Allocators!$B$7:$F$19,5,FALSE)</f>
        <v>Electric</v>
      </c>
      <c r="R879" s="737">
        <f>VLOOKUP($P879,Allocators!$B$7:$F$19,2,FALSE)</f>
        <v>1</v>
      </c>
      <c r="S879" s="737">
        <f>VLOOKUP($P879,Allocators!$B$7:$F$19,3,FALSE)</f>
        <v>0</v>
      </c>
      <c r="T879" s="737" t="str">
        <f t="shared" si="253"/>
        <v>0.0%</v>
      </c>
      <c r="U879" s="2" t="str">
        <f t="shared" si="281"/>
        <v/>
      </c>
      <c r="V879" s="2" t="str">
        <f t="shared" si="282"/>
        <v/>
      </c>
      <c r="W879" s="2" t="str">
        <f t="shared" si="283"/>
        <v/>
      </c>
      <c r="X879" s="2">
        <f t="shared" si="279"/>
        <v>0</v>
      </c>
      <c r="Y879" s="2" t="str">
        <f t="shared" si="284"/>
        <v/>
      </c>
      <c r="Z879" s="2" t="str">
        <f t="shared" si="285"/>
        <v/>
      </c>
      <c r="AA879" s="2" t="str">
        <f t="shared" si="286"/>
        <v/>
      </c>
      <c r="AB879" s="2">
        <f t="shared" si="280"/>
        <v>0</v>
      </c>
      <c r="AC879" s="625">
        <v>0</v>
      </c>
      <c r="AD879" s="625">
        <v>0</v>
      </c>
      <c r="AE879" s="625">
        <v>0</v>
      </c>
      <c r="AF879" s="625">
        <v>0</v>
      </c>
      <c r="AG879" s="625">
        <v>0</v>
      </c>
      <c r="AH879" s="625">
        <v>0</v>
      </c>
      <c r="AI879" s="38">
        <v>0</v>
      </c>
      <c r="AJ879" s="625">
        <v>0</v>
      </c>
      <c r="AK879" s="625">
        <v>0</v>
      </c>
      <c r="AL879" s="625">
        <v>0</v>
      </c>
      <c r="AM879" s="625">
        <v>0</v>
      </c>
      <c r="AN879" s="625">
        <v>0</v>
      </c>
      <c r="AO879" s="625">
        <v>0</v>
      </c>
      <c r="AP879" s="41" t="str">
        <f t="shared" si="276"/>
        <v>Reg AssetR</v>
      </c>
      <c r="AQ879" s="41" t="str">
        <f t="shared" si="277"/>
        <v>Reg AssetRR10Stray Voltage</v>
      </c>
      <c r="AR879" s="41" t="str">
        <f t="shared" si="278"/>
        <v>R10Stray Voltage</v>
      </c>
      <c r="CK879" s="625"/>
    </row>
    <row r="880" spans="1:89" s="41" customFormat="1" ht="12.75" customHeight="1">
      <c r="A880" s="25" t="s">
        <v>746</v>
      </c>
      <c r="B880" s="25" t="str">
        <f t="shared" si="251"/>
        <v>Reg Asset182305601062-09BE030255</v>
      </c>
      <c r="C880" s="736">
        <v>182305</v>
      </c>
      <c r="D880" s="738" t="s">
        <v>850</v>
      </c>
      <c r="E880" s="41" t="s">
        <v>947</v>
      </c>
      <c r="F880" s="41" t="str">
        <f t="shared" si="248"/>
        <v>OTH REG ASSETS-UNCONTROLLABLE/EXONGENOUS COSTS-EL</v>
      </c>
      <c r="G880" s="41" t="s">
        <v>1018</v>
      </c>
      <c r="H880" s="736" t="s">
        <v>1115</v>
      </c>
      <c r="I880" s="25"/>
      <c r="J880" s="25" t="str">
        <f t="shared" si="249"/>
        <v/>
      </c>
      <c r="K880" s="25" t="str">
        <f t="shared" si="250"/>
        <v/>
      </c>
      <c r="L880" s="736" t="s">
        <v>2441</v>
      </c>
      <c r="M880" s="25" t="str">
        <f t="shared" si="252"/>
        <v>R</v>
      </c>
      <c r="N880" s="25" t="str">
        <f>IF(L880&lt;&gt;"",VLOOKUP(L880,Categories!$B$2:$D$41,2,FALSE),IF(F880&lt;&gt;"","No Cat",""))</f>
        <v>Rate Base</v>
      </c>
      <c r="O880" s="25" t="str">
        <f>IF($L880&lt;&gt;"",VLOOKUP($L880,Categories!$B$2:$D$41,3,FALSE),IF($F880&lt;&gt;"","No Cat",""))</f>
        <v>Deferred Debits &amp; Credits</v>
      </c>
      <c r="P880" s="736" t="s">
        <v>2482</v>
      </c>
      <c r="Q880" s="25" t="str">
        <f>VLOOKUP($P880,Allocators!$B$7:$F$19,5,FALSE)</f>
        <v>Electric</v>
      </c>
      <c r="R880" s="737">
        <f>VLOOKUP($P880,Allocators!$B$7:$F$19,2,FALSE)</f>
        <v>1</v>
      </c>
      <c r="S880" s="737">
        <f>VLOOKUP($P880,Allocators!$B$7:$F$19,3,FALSE)</f>
        <v>0</v>
      </c>
      <c r="T880" s="737" t="str">
        <f t="shared" si="253"/>
        <v>0.0%</v>
      </c>
      <c r="U880" s="2" t="str">
        <f t="shared" si="281"/>
        <v/>
      </c>
      <c r="V880" s="2" t="str">
        <f t="shared" si="282"/>
        <v/>
      </c>
      <c r="W880" s="2" t="str">
        <f t="shared" si="283"/>
        <v/>
      </c>
      <c r="X880" s="2">
        <f t="shared" si="279"/>
        <v>0</v>
      </c>
      <c r="Y880" s="2" t="str">
        <f t="shared" si="284"/>
        <v/>
      </c>
      <c r="Z880" s="2" t="str">
        <f t="shared" si="285"/>
        <v/>
      </c>
      <c r="AA880" s="2" t="str">
        <f t="shared" si="286"/>
        <v/>
      </c>
      <c r="AB880" s="2">
        <f t="shared" si="280"/>
        <v>0</v>
      </c>
      <c r="AC880" s="625">
        <v>0</v>
      </c>
      <c r="AD880" s="625">
        <v>0</v>
      </c>
      <c r="AE880" s="625">
        <v>0</v>
      </c>
      <c r="AF880" s="625">
        <v>0</v>
      </c>
      <c r="AG880" s="625">
        <v>0</v>
      </c>
      <c r="AH880" s="625">
        <v>0</v>
      </c>
      <c r="AI880" s="38">
        <v>0</v>
      </c>
      <c r="AJ880" s="625">
        <v>0</v>
      </c>
      <c r="AK880" s="625">
        <v>0</v>
      </c>
      <c r="AL880" s="625">
        <v>0</v>
      </c>
      <c r="AM880" s="625">
        <v>0</v>
      </c>
      <c r="AN880" s="625">
        <v>0</v>
      </c>
      <c r="AO880" s="625">
        <v>0</v>
      </c>
      <c r="AP880" s="41" t="str">
        <f t="shared" si="276"/>
        <v>Reg AssetR</v>
      </c>
      <c r="AQ880" s="41" t="str">
        <f t="shared" si="277"/>
        <v>Reg AssetRR10Stray Voltage</v>
      </c>
      <c r="AR880" s="41" t="str">
        <f t="shared" si="278"/>
        <v>R10Stray Voltage</v>
      </c>
      <c r="CK880" s="625"/>
    </row>
    <row r="881" spans="1:89" s="41" customFormat="1" ht="12.75" customHeight="1">
      <c r="A881" s="25" t="s">
        <v>746</v>
      </c>
      <c r="B881" s="25" t="str">
        <f t="shared" si="251"/>
        <v>Reg Asset182305601062-10BE030255</v>
      </c>
      <c r="C881" s="736">
        <v>182305</v>
      </c>
      <c r="D881" s="738" t="s">
        <v>851</v>
      </c>
      <c r="E881" s="41" t="s">
        <v>947</v>
      </c>
      <c r="F881" s="41" t="str">
        <f t="shared" si="248"/>
        <v>OTH REG ASSETS-UNCONTROLLABLE/EXONGENOUS COSTS-EL</v>
      </c>
      <c r="G881" s="41" t="s">
        <v>1019</v>
      </c>
      <c r="H881" s="736" t="s">
        <v>1115</v>
      </c>
      <c r="I881" s="25"/>
      <c r="J881" s="25" t="str">
        <f t="shared" si="249"/>
        <v/>
      </c>
      <c r="K881" s="25" t="str">
        <f t="shared" si="250"/>
        <v/>
      </c>
      <c r="L881" s="736" t="s">
        <v>2441</v>
      </c>
      <c r="M881" s="25" t="str">
        <f t="shared" si="252"/>
        <v>R</v>
      </c>
      <c r="N881" s="25" t="str">
        <f>IF(L881&lt;&gt;"",VLOOKUP(L881,Categories!$B$2:$D$41,2,FALSE),IF(F881&lt;&gt;"","No Cat",""))</f>
        <v>Rate Base</v>
      </c>
      <c r="O881" s="25" t="str">
        <f>IF($L881&lt;&gt;"",VLOOKUP($L881,Categories!$B$2:$D$41,3,FALSE),IF($F881&lt;&gt;"","No Cat",""))</f>
        <v>Deferred Debits &amp; Credits</v>
      </c>
      <c r="P881" s="736" t="s">
        <v>2482</v>
      </c>
      <c r="Q881" s="25" t="str">
        <f>VLOOKUP($P881,Allocators!$B$7:$F$19,5,FALSE)</f>
        <v>Electric</v>
      </c>
      <c r="R881" s="737">
        <f>VLOOKUP($P881,Allocators!$B$7:$F$19,2,FALSE)</f>
        <v>1</v>
      </c>
      <c r="S881" s="737">
        <f>VLOOKUP($P881,Allocators!$B$7:$F$19,3,FALSE)</f>
        <v>0</v>
      </c>
      <c r="T881" s="737" t="str">
        <f t="shared" si="253"/>
        <v>0.0%</v>
      </c>
      <c r="U881" s="2" t="str">
        <f t="shared" si="281"/>
        <v/>
      </c>
      <c r="V881" s="2" t="str">
        <f t="shared" si="282"/>
        <v/>
      </c>
      <c r="W881" s="2" t="str">
        <f t="shared" si="283"/>
        <v/>
      </c>
      <c r="X881" s="2">
        <f t="shared" si="279"/>
        <v>0</v>
      </c>
      <c r="Y881" s="2" t="str">
        <f t="shared" si="284"/>
        <v/>
      </c>
      <c r="Z881" s="2" t="str">
        <f t="shared" si="285"/>
        <v/>
      </c>
      <c r="AA881" s="2" t="str">
        <f t="shared" si="286"/>
        <v/>
      </c>
      <c r="AB881" s="2">
        <f t="shared" si="280"/>
        <v>0</v>
      </c>
      <c r="AC881" s="625">
        <v>0</v>
      </c>
      <c r="AD881" s="625">
        <v>0</v>
      </c>
      <c r="AE881" s="625">
        <v>0</v>
      </c>
      <c r="AF881" s="625">
        <v>0</v>
      </c>
      <c r="AG881" s="625">
        <v>0</v>
      </c>
      <c r="AH881" s="625">
        <v>0</v>
      </c>
      <c r="AI881" s="38">
        <v>0</v>
      </c>
      <c r="AJ881" s="625">
        <v>0</v>
      </c>
      <c r="AK881" s="625">
        <v>0</v>
      </c>
      <c r="AL881" s="625">
        <v>0</v>
      </c>
      <c r="AM881" s="625">
        <v>0</v>
      </c>
      <c r="AN881" s="625">
        <v>0</v>
      </c>
      <c r="AO881" s="625">
        <v>0</v>
      </c>
      <c r="AP881" s="41" t="str">
        <f t="shared" si="276"/>
        <v>Reg AssetR</v>
      </c>
      <c r="AQ881" s="41" t="str">
        <f t="shared" si="277"/>
        <v>Reg AssetRR10Stray Voltage</v>
      </c>
      <c r="AR881" s="41" t="str">
        <f t="shared" si="278"/>
        <v>R10Stray Voltage</v>
      </c>
      <c r="CK881" s="625"/>
    </row>
    <row r="882" spans="1:89" s="41" customFormat="1" ht="12.75" customHeight="1">
      <c r="A882" s="25" t="s">
        <v>746</v>
      </c>
      <c r="B882" s="25" t="str">
        <f t="shared" si="251"/>
        <v>Reg Asset182305601062-ABE030255</v>
      </c>
      <c r="C882" s="736">
        <v>182305</v>
      </c>
      <c r="D882" s="738" t="s">
        <v>852</v>
      </c>
      <c r="E882" s="41" t="s">
        <v>947</v>
      </c>
      <c r="F882" s="41" t="str">
        <f t="shared" ref="F882:F946" si="311">VLOOKUP(C882,$C$7:$F$787,4,FALSE)</f>
        <v>OTH REG ASSETS-UNCONTROLLABLE/EXONGENOUS COSTS-EL</v>
      </c>
      <c r="G882" s="41" t="s">
        <v>1017</v>
      </c>
      <c r="H882" s="736" t="s">
        <v>1115</v>
      </c>
      <c r="I882" s="25"/>
      <c r="J882" s="25" t="str">
        <f t="shared" si="249"/>
        <v/>
      </c>
      <c r="K882" s="25" t="str">
        <f t="shared" si="250"/>
        <v/>
      </c>
      <c r="L882" s="736" t="s">
        <v>2441</v>
      </c>
      <c r="M882" s="25" t="str">
        <f t="shared" si="252"/>
        <v>R</v>
      </c>
      <c r="N882" s="25" t="str">
        <f>IF(L882&lt;&gt;"",VLOOKUP(L882,Categories!$B$2:$D$41,2,FALSE),IF(F882&lt;&gt;"","No Cat",""))</f>
        <v>Rate Base</v>
      </c>
      <c r="O882" s="25" t="str">
        <f>IF($L882&lt;&gt;"",VLOOKUP($L882,Categories!$B$2:$D$41,3,FALSE),IF($F882&lt;&gt;"","No Cat",""))</f>
        <v>Deferred Debits &amp; Credits</v>
      </c>
      <c r="P882" s="736" t="s">
        <v>2482</v>
      </c>
      <c r="Q882" s="25" t="str">
        <f>VLOOKUP($P882,Allocators!$B$7:$F$19,5,FALSE)</f>
        <v>Electric</v>
      </c>
      <c r="R882" s="737">
        <f>VLOOKUP($P882,Allocators!$B$7:$F$19,2,FALSE)</f>
        <v>1</v>
      </c>
      <c r="S882" s="737">
        <f>VLOOKUP($P882,Allocators!$B$7:$F$19,3,FALSE)</f>
        <v>0</v>
      </c>
      <c r="T882" s="737" t="str">
        <f t="shared" si="253"/>
        <v>0.0%</v>
      </c>
      <c r="U882" s="2" t="str">
        <f t="shared" si="281"/>
        <v/>
      </c>
      <c r="V882" s="2" t="str">
        <f t="shared" si="282"/>
        <v/>
      </c>
      <c r="W882" s="2" t="str">
        <f t="shared" si="283"/>
        <v/>
      </c>
      <c r="X882" s="2">
        <f t="shared" si="279"/>
        <v>0</v>
      </c>
      <c r="Y882" s="2" t="str">
        <f t="shared" si="284"/>
        <v/>
      </c>
      <c r="Z882" s="2" t="str">
        <f t="shared" si="285"/>
        <v/>
      </c>
      <c r="AA882" s="2" t="str">
        <f t="shared" si="286"/>
        <v/>
      </c>
      <c r="AB882" s="2">
        <f t="shared" si="280"/>
        <v>0</v>
      </c>
      <c r="AC882" s="734">
        <v>0</v>
      </c>
      <c r="AD882" s="625">
        <v>0</v>
      </c>
      <c r="AE882" s="625">
        <v>0</v>
      </c>
      <c r="AF882" s="625">
        <v>0</v>
      </c>
      <c r="AG882" s="625">
        <v>0</v>
      </c>
      <c r="AH882" s="625">
        <v>0</v>
      </c>
      <c r="AI882" s="38">
        <v>0</v>
      </c>
      <c r="AJ882" s="625">
        <v>0</v>
      </c>
      <c r="AK882" s="625">
        <v>0</v>
      </c>
      <c r="AL882" s="625">
        <v>0</v>
      </c>
      <c r="AM882" s="625">
        <v>0</v>
      </c>
      <c r="AN882" s="625">
        <v>0</v>
      </c>
      <c r="AO882" s="625">
        <v>0</v>
      </c>
      <c r="AP882" s="41" t="str">
        <f t="shared" si="276"/>
        <v>Reg AssetR</v>
      </c>
      <c r="AQ882" s="41" t="str">
        <f t="shared" si="277"/>
        <v>Reg AssetRR10Stray Voltage</v>
      </c>
      <c r="AR882" s="41" t="str">
        <f t="shared" si="278"/>
        <v>R10Stray Voltage</v>
      </c>
      <c r="CK882" s="625"/>
    </row>
    <row r="883" spans="1:89" s="41" customFormat="1" ht="12.75" customHeight="1">
      <c r="A883" s="25" t="s">
        <v>746</v>
      </c>
      <c r="B883" s="25" t="str">
        <f t="shared" si="251"/>
        <v>Reg Asset182305601062-LBE030255</v>
      </c>
      <c r="C883" s="736">
        <v>182305</v>
      </c>
      <c r="D883" s="738" t="s">
        <v>853</v>
      </c>
      <c r="E883" s="41" t="s">
        <v>947</v>
      </c>
      <c r="F883" s="41" t="str">
        <f t="shared" si="311"/>
        <v>OTH REG ASSETS-UNCONTROLLABLE/EXONGENOUS COSTS-EL</v>
      </c>
      <c r="G883" s="41" t="s">
        <v>1017</v>
      </c>
      <c r="H883" s="736" t="s">
        <v>1115</v>
      </c>
      <c r="I883" s="25"/>
      <c r="J883" s="25" t="str">
        <f t="shared" ref="J883:J947" si="312">IF(L883="N10","Y",IF(L883="N8","Y",""))</f>
        <v/>
      </c>
      <c r="K883" s="25" t="str">
        <f t="shared" ref="K883:K947" si="313">IF(L883="N3","Y","")</f>
        <v/>
      </c>
      <c r="L883" s="736" t="s">
        <v>2441</v>
      </c>
      <c r="M883" s="25" t="str">
        <f t="shared" si="252"/>
        <v>R</v>
      </c>
      <c r="N883" s="25" t="str">
        <f>IF(L883&lt;&gt;"",VLOOKUP(L883,Categories!$B$2:$D$41,2,FALSE),IF(F883&lt;&gt;"","No Cat",""))</f>
        <v>Rate Base</v>
      </c>
      <c r="O883" s="25" t="str">
        <f>IF($L883&lt;&gt;"",VLOOKUP($L883,Categories!$B$2:$D$41,3,FALSE),IF($F883&lt;&gt;"","No Cat",""))</f>
        <v>Deferred Debits &amp; Credits</v>
      </c>
      <c r="P883" s="736" t="s">
        <v>2482</v>
      </c>
      <c r="Q883" s="25" t="str">
        <f>VLOOKUP($P883,Allocators!$B$7:$F$19,5,FALSE)</f>
        <v>Electric</v>
      </c>
      <c r="R883" s="737">
        <f>VLOOKUP($P883,Allocators!$B$7:$F$19,2,FALSE)</f>
        <v>1</v>
      </c>
      <c r="S883" s="737">
        <f>VLOOKUP($P883,Allocators!$B$7:$F$19,3,FALSE)</f>
        <v>0</v>
      </c>
      <c r="T883" s="737" t="str">
        <f t="shared" si="253"/>
        <v>0.0%</v>
      </c>
      <c r="U883" s="2">
        <f t="shared" si="281"/>
        <v>2966.2099699999999</v>
      </c>
      <c r="V883" s="2">
        <f t="shared" si="282"/>
        <v>0</v>
      </c>
      <c r="W883" s="2">
        <f t="shared" si="283"/>
        <v>0</v>
      </c>
      <c r="X883" s="2">
        <f t="shared" si="279"/>
        <v>2966.2099699999999</v>
      </c>
      <c r="Y883" s="2">
        <f t="shared" si="284"/>
        <v>2966.2099699999999</v>
      </c>
      <c r="Z883" s="2">
        <f t="shared" si="285"/>
        <v>0</v>
      </c>
      <c r="AA883" s="2">
        <f t="shared" si="286"/>
        <v>0</v>
      </c>
      <c r="AB883" s="2">
        <f t="shared" si="280"/>
        <v>2966.2099700000003</v>
      </c>
      <c r="AC883" s="734">
        <v>2966.2099700000003</v>
      </c>
      <c r="AD883" s="625">
        <v>2966.2099700000003</v>
      </c>
      <c r="AE883" s="625">
        <v>2966.2099700000003</v>
      </c>
      <c r="AF883" s="625">
        <v>2966.2099700000003</v>
      </c>
      <c r="AG883" s="625">
        <v>2966.2099700000003</v>
      </c>
      <c r="AH883" s="625">
        <v>2966.2099700000003</v>
      </c>
      <c r="AI883" s="625">
        <v>2966.2099700000003</v>
      </c>
      <c r="AJ883" s="625">
        <v>2966.2099700000003</v>
      </c>
      <c r="AK883" s="625">
        <v>2966.2099700000003</v>
      </c>
      <c r="AL883" s="625">
        <v>2966.2099700000003</v>
      </c>
      <c r="AM883" s="625">
        <v>2966.2099700000003</v>
      </c>
      <c r="AN883" s="625">
        <v>2966.2099700000003</v>
      </c>
      <c r="AO883" s="625">
        <v>2966.2099700000003</v>
      </c>
      <c r="AP883" s="41" t="str">
        <f t="shared" si="276"/>
        <v>Reg AssetR</v>
      </c>
      <c r="AQ883" s="41" t="str">
        <f t="shared" si="277"/>
        <v>Reg AssetRR10Stray Voltage</v>
      </c>
      <c r="AR883" s="41" t="str">
        <f t="shared" si="278"/>
        <v>R10Stray Voltage</v>
      </c>
      <c r="CK883" s="625"/>
    </row>
    <row r="884" spans="1:89" s="41" customFormat="1" ht="12.75" customHeight="1">
      <c r="A884" s="442" t="s">
        <v>746</v>
      </c>
      <c r="B884" s="442" t="str">
        <f t="shared" si="251"/>
        <v>Reg Asset182305601064BE030256</v>
      </c>
      <c r="C884" s="736">
        <v>182305</v>
      </c>
      <c r="D884" s="738">
        <v>601064</v>
      </c>
      <c r="E884" s="626" t="s">
        <v>948</v>
      </c>
      <c r="F884" s="626" t="str">
        <f t="shared" si="311"/>
        <v>OTH REG ASSETS-UNCONTROLLABLE/EXONGENOUS COSTS-EL</v>
      </c>
      <c r="G884" s="626" t="s">
        <v>1020</v>
      </c>
      <c r="H884" s="736" t="s">
        <v>1116</v>
      </c>
      <c r="I884" s="442"/>
      <c r="J884" s="25" t="str">
        <f t="shared" si="312"/>
        <v>Y</v>
      </c>
      <c r="K884" s="442" t="str">
        <f t="shared" si="313"/>
        <v/>
      </c>
      <c r="L884" s="736" t="s">
        <v>2436</v>
      </c>
      <c r="M884" s="442" t="str">
        <f t="shared" si="252"/>
        <v>N</v>
      </c>
      <c r="N884" s="442" t="str">
        <f>IF(L884&lt;&gt;"",VLOOKUP(L884,Categories!$B$2:$D$41,2,FALSE),IF(F884&lt;&gt;"","No Cat",""))</f>
        <v>NRBASE</v>
      </c>
      <c r="O884" s="442" t="str">
        <f>IF($L884&lt;&gt;"",VLOOKUP($L884,Categories!$B$2:$D$41,3,FALSE),IF($F884&lt;&gt;"","No Cat",""))</f>
        <v>Deferrals Accruing Non-Cash Return   (other than ASGA)</v>
      </c>
      <c r="P884" s="736" t="s">
        <v>2468</v>
      </c>
      <c r="Q884" s="442" t="str">
        <f>VLOOKUP($P884,Allocators!$B$7:$F$19,5,FALSE)</f>
        <v>Not in Rate Base</v>
      </c>
      <c r="R884" s="737">
        <f>VLOOKUP($P884,Allocators!$B$7:$F$19,2,FALSE)</f>
        <v>0</v>
      </c>
      <c r="S884" s="737">
        <f>VLOOKUP($P884,Allocators!$B$7:$F$19,3,FALSE)</f>
        <v>0</v>
      </c>
      <c r="T884" s="737">
        <f t="shared" si="253"/>
        <v>1</v>
      </c>
      <c r="U884" s="2" t="str">
        <f t="shared" si="281"/>
        <v/>
      </c>
      <c r="V884" s="2" t="str">
        <f t="shared" si="282"/>
        <v/>
      </c>
      <c r="W884" s="2" t="str">
        <f t="shared" si="283"/>
        <v/>
      </c>
      <c r="X884" s="2">
        <f t="shared" si="279"/>
        <v>0</v>
      </c>
      <c r="Y884" s="2" t="str">
        <f t="shared" si="284"/>
        <v/>
      </c>
      <c r="Z884" s="2" t="str">
        <f t="shared" si="285"/>
        <v/>
      </c>
      <c r="AA884" s="2" t="str">
        <f t="shared" si="286"/>
        <v/>
      </c>
      <c r="AB884" s="2">
        <f t="shared" si="280"/>
        <v>0</v>
      </c>
      <c r="AC884" s="734">
        <v>0</v>
      </c>
      <c r="AD884" s="625">
        <v>0</v>
      </c>
      <c r="AE884" s="625">
        <v>0</v>
      </c>
      <c r="AF884" s="625">
        <v>0</v>
      </c>
      <c r="AG884" s="625">
        <v>0</v>
      </c>
      <c r="AH884" s="625">
        <v>0</v>
      </c>
      <c r="AI884" s="38">
        <v>0</v>
      </c>
      <c r="AJ884" s="625">
        <v>0</v>
      </c>
      <c r="AK884" s="625">
        <v>0</v>
      </c>
      <c r="AL884" s="625">
        <v>0</v>
      </c>
      <c r="AM884" s="625">
        <v>0</v>
      </c>
      <c r="AN884" s="625">
        <v>0</v>
      </c>
      <c r="AO884" s="625">
        <v>0</v>
      </c>
      <c r="AP884" s="41" t="str">
        <f t="shared" si="276"/>
        <v>Reg AssetN</v>
      </c>
      <c r="AQ884" s="41" t="str">
        <f t="shared" si="277"/>
        <v>Reg AssetNN10NYISO May 8-9 2000</v>
      </c>
      <c r="AR884" s="41" t="str">
        <f t="shared" si="278"/>
        <v>N10NYISO May 8-9 2000Y</v>
      </c>
      <c r="CK884" s="625"/>
    </row>
    <row r="885" spans="1:89" s="41" customFormat="1" ht="12.75" customHeight="1">
      <c r="A885" s="25" t="s">
        <v>746</v>
      </c>
      <c r="B885" s="25" t="str">
        <f t="shared" si="251"/>
        <v>Reg Asset182305601019-07BE030259</v>
      </c>
      <c r="C885" s="736">
        <v>182305</v>
      </c>
      <c r="D885" s="738" t="s">
        <v>854</v>
      </c>
      <c r="E885" s="41" t="s">
        <v>949</v>
      </c>
      <c r="F885" s="41" t="str">
        <f t="shared" si="311"/>
        <v>OTH REG ASSETS-UNCONTROLLABLE/EXONGENOUS COSTS-EL</v>
      </c>
      <c r="G885" s="41" t="s">
        <v>1021</v>
      </c>
      <c r="H885" s="736" t="s">
        <v>1117</v>
      </c>
      <c r="I885" s="25"/>
      <c r="J885" s="25" t="str">
        <f t="shared" si="312"/>
        <v/>
      </c>
      <c r="K885" s="25" t="str">
        <f t="shared" si="313"/>
        <v/>
      </c>
      <c r="L885" s="736" t="s">
        <v>2441</v>
      </c>
      <c r="M885" s="25" t="str">
        <f t="shared" si="252"/>
        <v>R</v>
      </c>
      <c r="N885" s="25" t="str">
        <f>IF(L885&lt;&gt;"",VLOOKUP(L885,Categories!$B$2:$D$41,2,FALSE),IF(F885&lt;&gt;"","No Cat",""))</f>
        <v>Rate Base</v>
      </c>
      <c r="O885" s="25" t="str">
        <f>IF($L885&lt;&gt;"",VLOOKUP($L885,Categories!$B$2:$D$41,3,FALSE),IF($F885&lt;&gt;"","No Cat",""))</f>
        <v>Deferred Debits &amp; Credits</v>
      </c>
      <c r="P885" s="736" t="s">
        <v>2482</v>
      </c>
      <c r="Q885" s="25" t="str">
        <f>VLOOKUP($P885,Allocators!$B$7:$F$19,5,FALSE)</f>
        <v>Electric</v>
      </c>
      <c r="R885" s="737">
        <f>VLOOKUP($P885,Allocators!$B$7:$F$19,2,FALSE)</f>
        <v>1</v>
      </c>
      <c r="S885" s="737">
        <f>VLOOKUP($P885,Allocators!$B$7:$F$19,3,FALSE)</f>
        <v>0</v>
      </c>
      <c r="T885" s="737" t="str">
        <f t="shared" si="253"/>
        <v>0.0%</v>
      </c>
      <c r="U885" s="2" t="str">
        <f t="shared" si="281"/>
        <v/>
      </c>
      <c r="V885" s="2" t="str">
        <f t="shared" si="282"/>
        <v/>
      </c>
      <c r="W885" s="2" t="str">
        <f t="shared" si="283"/>
        <v/>
      </c>
      <c r="X885" s="2">
        <f t="shared" si="279"/>
        <v>0</v>
      </c>
      <c r="Y885" s="2" t="str">
        <f t="shared" si="284"/>
        <v/>
      </c>
      <c r="Z885" s="2" t="str">
        <f t="shared" si="285"/>
        <v/>
      </c>
      <c r="AA885" s="2" t="str">
        <f t="shared" si="286"/>
        <v/>
      </c>
      <c r="AB885" s="2">
        <f t="shared" si="280"/>
        <v>0</v>
      </c>
      <c r="AC885" s="625">
        <v>0</v>
      </c>
      <c r="AD885" s="625">
        <v>0</v>
      </c>
      <c r="AE885" s="625">
        <v>0</v>
      </c>
      <c r="AF885" s="625">
        <v>0</v>
      </c>
      <c r="AG885" s="625">
        <v>0</v>
      </c>
      <c r="AH885" s="625">
        <v>0</v>
      </c>
      <c r="AI885" s="38">
        <v>0</v>
      </c>
      <c r="AJ885" s="625">
        <v>0</v>
      </c>
      <c r="AK885" s="625">
        <v>0</v>
      </c>
      <c r="AL885" s="625">
        <v>0</v>
      </c>
      <c r="AM885" s="625">
        <v>0</v>
      </c>
      <c r="AN885" s="625">
        <v>0</v>
      </c>
      <c r="AO885" s="625">
        <v>0</v>
      </c>
      <c r="AP885" s="41" t="str">
        <f t="shared" si="276"/>
        <v>Reg AssetR</v>
      </c>
      <c r="AQ885" s="41" t="str">
        <f t="shared" si="277"/>
        <v>Reg AssetRR10Security Costs</v>
      </c>
      <c r="AR885" s="41" t="str">
        <f t="shared" si="278"/>
        <v>R10Security Costs</v>
      </c>
      <c r="CK885" s="625"/>
    </row>
    <row r="886" spans="1:89" s="41" customFormat="1" ht="12.75" customHeight="1">
      <c r="A886" s="25" t="s">
        <v>746</v>
      </c>
      <c r="B886" s="25" t="str">
        <f t="shared" si="251"/>
        <v>Reg Asset182305601019-04BE030259</v>
      </c>
      <c r="C886" s="736">
        <v>182305</v>
      </c>
      <c r="D886" s="738" t="s">
        <v>855</v>
      </c>
      <c r="E886" s="41" t="s">
        <v>949</v>
      </c>
      <c r="F886" s="41" t="str">
        <f t="shared" si="311"/>
        <v>OTH REG ASSETS-UNCONTROLLABLE/EXONGENOUS COSTS-EL</v>
      </c>
      <c r="G886" s="41" t="s">
        <v>1022</v>
      </c>
      <c r="H886" s="736" t="s">
        <v>1117</v>
      </c>
      <c r="I886" s="25"/>
      <c r="J886" s="25" t="str">
        <f t="shared" si="312"/>
        <v/>
      </c>
      <c r="K886" s="25" t="str">
        <f t="shared" si="313"/>
        <v/>
      </c>
      <c r="L886" s="736" t="s">
        <v>2441</v>
      </c>
      <c r="M886" s="25" t="str">
        <f t="shared" si="252"/>
        <v>R</v>
      </c>
      <c r="N886" s="25" t="str">
        <f>IF(L886&lt;&gt;"",VLOOKUP(L886,Categories!$B$2:$D$41,2,FALSE),IF(F886&lt;&gt;"","No Cat",""))</f>
        <v>Rate Base</v>
      </c>
      <c r="O886" s="25" t="str">
        <f>IF($L886&lt;&gt;"",VLOOKUP($L886,Categories!$B$2:$D$41,3,FALSE),IF($F886&lt;&gt;"","No Cat",""))</f>
        <v>Deferred Debits &amp; Credits</v>
      </c>
      <c r="P886" s="736" t="s">
        <v>2482</v>
      </c>
      <c r="Q886" s="25" t="str">
        <f>VLOOKUP($P886,Allocators!$B$7:$F$19,5,FALSE)</f>
        <v>Electric</v>
      </c>
      <c r="R886" s="737">
        <f>VLOOKUP($P886,Allocators!$B$7:$F$19,2,FALSE)</f>
        <v>1</v>
      </c>
      <c r="S886" s="737">
        <f>VLOOKUP($P886,Allocators!$B$7:$F$19,3,FALSE)</f>
        <v>0</v>
      </c>
      <c r="T886" s="737" t="str">
        <f t="shared" si="253"/>
        <v>0.0%</v>
      </c>
      <c r="U886" s="2" t="str">
        <f t="shared" si="281"/>
        <v/>
      </c>
      <c r="V886" s="2" t="str">
        <f t="shared" si="282"/>
        <v/>
      </c>
      <c r="W886" s="2" t="str">
        <f t="shared" si="283"/>
        <v/>
      </c>
      <c r="X886" s="2">
        <f t="shared" si="279"/>
        <v>0</v>
      </c>
      <c r="Y886" s="2" t="str">
        <f t="shared" si="284"/>
        <v/>
      </c>
      <c r="Z886" s="2" t="str">
        <f t="shared" si="285"/>
        <v/>
      </c>
      <c r="AA886" s="2" t="str">
        <f t="shared" si="286"/>
        <v/>
      </c>
      <c r="AB886" s="2">
        <f t="shared" si="280"/>
        <v>0</v>
      </c>
      <c r="AC886" s="625">
        <v>0</v>
      </c>
      <c r="AD886" s="625">
        <v>0</v>
      </c>
      <c r="AE886" s="625">
        <v>0</v>
      </c>
      <c r="AF886" s="625">
        <v>0</v>
      </c>
      <c r="AG886" s="625">
        <v>0</v>
      </c>
      <c r="AH886" s="625">
        <v>0</v>
      </c>
      <c r="AI886" s="38">
        <v>0</v>
      </c>
      <c r="AJ886" s="625">
        <v>0</v>
      </c>
      <c r="AK886" s="625">
        <v>0</v>
      </c>
      <c r="AL886" s="625">
        <v>0</v>
      </c>
      <c r="AM886" s="625">
        <v>0</v>
      </c>
      <c r="AN886" s="625">
        <v>0</v>
      </c>
      <c r="AO886" s="625">
        <v>0</v>
      </c>
      <c r="AP886" s="41" t="str">
        <f t="shared" si="276"/>
        <v>Reg AssetR</v>
      </c>
      <c r="AQ886" s="41" t="str">
        <f t="shared" si="277"/>
        <v>Reg AssetRR10Security Costs</v>
      </c>
      <c r="AR886" s="41" t="str">
        <f t="shared" si="278"/>
        <v>R10Security Costs</v>
      </c>
      <c r="CK886" s="625"/>
    </row>
    <row r="887" spans="1:89" s="41" customFormat="1" ht="12.75" customHeight="1">
      <c r="A887" s="25" t="s">
        <v>746</v>
      </c>
      <c r="B887" s="25" t="str">
        <f t="shared" si="251"/>
        <v>Reg Asset182305601019-08BE030259</v>
      </c>
      <c r="C887" s="736">
        <v>182305</v>
      </c>
      <c r="D887" s="738" t="s">
        <v>856</v>
      </c>
      <c r="E887" s="41" t="s">
        <v>949</v>
      </c>
      <c r="F887" s="41" t="str">
        <f t="shared" si="311"/>
        <v>OTH REG ASSETS-UNCONTROLLABLE/EXONGENOUS COSTS-EL</v>
      </c>
      <c r="G887" s="41" t="s">
        <v>1023</v>
      </c>
      <c r="H887" s="736" t="s">
        <v>1117</v>
      </c>
      <c r="I887" s="25"/>
      <c r="J887" s="25" t="str">
        <f t="shared" si="312"/>
        <v/>
      </c>
      <c r="K887" s="25" t="str">
        <f t="shared" si="313"/>
        <v/>
      </c>
      <c r="L887" s="736" t="s">
        <v>2441</v>
      </c>
      <c r="M887" s="25" t="str">
        <f t="shared" si="252"/>
        <v>R</v>
      </c>
      <c r="N887" s="25" t="str">
        <f>IF(L887&lt;&gt;"",VLOOKUP(L887,Categories!$B$2:$D$41,2,FALSE),IF(F887&lt;&gt;"","No Cat",""))</f>
        <v>Rate Base</v>
      </c>
      <c r="O887" s="25" t="str">
        <f>IF($L887&lt;&gt;"",VLOOKUP($L887,Categories!$B$2:$D$41,3,FALSE),IF($F887&lt;&gt;"","No Cat",""))</f>
        <v>Deferred Debits &amp; Credits</v>
      </c>
      <c r="P887" s="736" t="s">
        <v>2482</v>
      </c>
      <c r="Q887" s="25" t="str">
        <f>VLOOKUP($P887,Allocators!$B$7:$F$19,5,FALSE)</f>
        <v>Electric</v>
      </c>
      <c r="R887" s="737">
        <f>VLOOKUP($P887,Allocators!$B$7:$F$19,2,FALSE)</f>
        <v>1</v>
      </c>
      <c r="S887" s="737">
        <f>VLOOKUP($P887,Allocators!$B$7:$F$19,3,FALSE)</f>
        <v>0</v>
      </c>
      <c r="T887" s="737" t="str">
        <f t="shared" si="253"/>
        <v>0.0%</v>
      </c>
      <c r="U887" s="2" t="str">
        <f t="shared" si="281"/>
        <v/>
      </c>
      <c r="V887" s="2" t="str">
        <f t="shared" si="282"/>
        <v/>
      </c>
      <c r="W887" s="2" t="str">
        <f t="shared" si="283"/>
        <v/>
      </c>
      <c r="X887" s="2">
        <f t="shared" si="279"/>
        <v>0</v>
      </c>
      <c r="Y887" s="2" t="str">
        <f t="shared" si="284"/>
        <v/>
      </c>
      <c r="Z887" s="2" t="str">
        <f t="shared" si="285"/>
        <v/>
      </c>
      <c r="AA887" s="2" t="str">
        <f t="shared" si="286"/>
        <v/>
      </c>
      <c r="AB887" s="2">
        <f t="shared" si="280"/>
        <v>0</v>
      </c>
      <c r="AC887" s="625">
        <v>0</v>
      </c>
      <c r="AD887" s="625">
        <v>0</v>
      </c>
      <c r="AE887" s="625">
        <v>0</v>
      </c>
      <c r="AF887" s="625">
        <v>0</v>
      </c>
      <c r="AG887" s="625">
        <v>0</v>
      </c>
      <c r="AH887" s="625">
        <v>0</v>
      </c>
      <c r="AI887" s="38">
        <v>0</v>
      </c>
      <c r="AJ887" s="625">
        <v>0</v>
      </c>
      <c r="AK887" s="625">
        <v>0</v>
      </c>
      <c r="AL887" s="625">
        <v>0</v>
      </c>
      <c r="AM887" s="625">
        <v>0</v>
      </c>
      <c r="AN887" s="625">
        <v>0</v>
      </c>
      <c r="AO887" s="625">
        <v>0</v>
      </c>
      <c r="AP887" s="41" t="str">
        <f t="shared" si="276"/>
        <v>Reg AssetR</v>
      </c>
      <c r="AQ887" s="41" t="str">
        <f t="shared" si="277"/>
        <v>Reg AssetRR10Security Costs</v>
      </c>
      <c r="AR887" s="41" t="str">
        <f t="shared" si="278"/>
        <v>R10Security Costs</v>
      </c>
      <c r="CK887" s="625"/>
    </row>
    <row r="888" spans="1:89" s="41" customFormat="1" ht="12.75" customHeight="1">
      <c r="A888" s="25" t="s">
        <v>746</v>
      </c>
      <c r="B888" s="25" t="str">
        <f t="shared" si="251"/>
        <v>Reg Asset182305601019-09BE030259</v>
      </c>
      <c r="C888" s="736">
        <v>182305</v>
      </c>
      <c r="D888" s="738" t="s">
        <v>857</v>
      </c>
      <c r="E888" s="41" t="s">
        <v>949</v>
      </c>
      <c r="F888" s="41" t="str">
        <f t="shared" si="311"/>
        <v>OTH REG ASSETS-UNCONTROLLABLE/EXONGENOUS COSTS-EL</v>
      </c>
      <c r="G888" s="41" t="s">
        <v>1024</v>
      </c>
      <c r="H888" s="736" t="s">
        <v>1117</v>
      </c>
      <c r="I888" s="25"/>
      <c r="J888" s="25" t="str">
        <f t="shared" si="312"/>
        <v/>
      </c>
      <c r="K888" s="25" t="str">
        <f t="shared" si="313"/>
        <v/>
      </c>
      <c r="L888" s="736" t="s">
        <v>2441</v>
      </c>
      <c r="M888" s="25" t="str">
        <f t="shared" si="252"/>
        <v>R</v>
      </c>
      <c r="N888" s="25" t="str">
        <f>IF(L888&lt;&gt;"",VLOOKUP(L888,Categories!$B$2:$D$41,2,FALSE),IF(F888&lt;&gt;"","No Cat",""))</f>
        <v>Rate Base</v>
      </c>
      <c r="O888" s="25" t="str">
        <f>IF($L888&lt;&gt;"",VLOOKUP($L888,Categories!$B$2:$D$41,3,FALSE),IF($F888&lt;&gt;"","No Cat",""))</f>
        <v>Deferred Debits &amp; Credits</v>
      </c>
      <c r="P888" s="736" t="s">
        <v>2482</v>
      </c>
      <c r="Q888" s="25" t="str">
        <f>VLOOKUP($P888,Allocators!$B$7:$F$19,5,FALSE)</f>
        <v>Electric</v>
      </c>
      <c r="R888" s="737">
        <f>VLOOKUP($P888,Allocators!$B$7:$F$19,2,FALSE)</f>
        <v>1</v>
      </c>
      <c r="S888" s="737">
        <f>VLOOKUP($P888,Allocators!$B$7:$F$19,3,FALSE)</f>
        <v>0</v>
      </c>
      <c r="T888" s="737" t="str">
        <f t="shared" si="253"/>
        <v>0.0%</v>
      </c>
      <c r="U888" s="2" t="str">
        <f t="shared" si="281"/>
        <v/>
      </c>
      <c r="V888" s="2" t="str">
        <f t="shared" si="282"/>
        <v/>
      </c>
      <c r="W888" s="2" t="str">
        <f t="shared" si="283"/>
        <v/>
      </c>
      <c r="X888" s="2">
        <f t="shared" si="279"/>
        <v>0</v>
      </c>
      <c r="Y888" s="2" t="str">
        <f t="shared" si="284"/>
        <v/>
      </c>
      <c r="Z888" s="2" t="str">
        <f t="shared" si="285"/>
        <v/>
      </c>
      <c r="AA888" s="2" t="str">
        <f t="shared" si="286"/>
        <v/>
      </c>
      <c r="AB888" s="2">
        <f t="shared" si="280"/>
        <v>0</v>
      </c>
      <c r="AC888" s="625">
        <v>0</v>
      </c>
      <c r="AD888" s="625">
        <v>0</v>
      </c>
      <c r="AE888" s="625">
        <v>0</v>
      </c>
      <c r="AF888" s="625">
        <v>0</v>
      </c>
      <c r="AG888" s="625">
        <v>0</v>
      </c>
      <c r="AH888" s="625">
        <v>0</v>
      </c>
      <c r="AI888" s="38">
        <v>0</v>
      </c>
      <c r="AJ888" s="625">
        <v>0</v>
      </c>
      <c r="AK888" s="625">
        <v>0</v>
      </c>
      <c r="AL888" s="625">
        <v>0</v>
      </c>
      <c r="AM888" s="625">
        <v>0</v>
      </c>
      <c r="AN888" s="625">
        <v>0</v>
      </c>
      <c r="AO888" s="625">
        <v>0</v>
      </c>
      <c r="AP888" s="41" t="str">
        <f t="shared" si="276"/>
        <v>Reg AssetR</v>
      </c>
      <c r="AQ888" s="41" t="str">
        <f t="shared" si="277"/>
        <v>Reg AssetRR10Security Costs</v>
      </c>
      <c r="AR888" s="41" t="str">
        <f t="shared" si="278"/>
        <v>R10Security Costs</v>
      </c>
      <c r="CK888" s="625"/>
    </row>
    <row r="889" spans="1:89" s="41" customFormat="1" ht="12.75" customHeight="1">
      <c r="A889" s="25" t="s">
        <v>746</v>
      </c>
      <c r="B889" s="25" t="str">
        <f t="shared" si="251"/>
        <v>Reg Asset182305601019-10BE030259</v>
      </c>
      <c r="C889" s="736">
        <v>182305</v>
      </c>
      <c r="D889" s="738" t="s">
        <v>858</v>
      </c>
      <c r="E889" s="41" t="s">
        <v>949</v>
      </c>
      <c r="F889" s="41" t="str">
        <f t="shared" si="311"/>
        <v>OTH REG ASSETS-UNCONTROLLABLE/EXONGENOUS COSTS-EL</v>
      </c>
      <c r="G889" s="41" t="s">
        <v>1025</v>
      </c>
      <c r="H889" s="736" t="s">
        <v>1117</v>
      </c>
      <c r="I889" s="25"/>
      <c r="J889" s="25" t="str">
        <f t="shared" si="312"/>
        <v/>
      </c>
      <c r="K889" s="25" t="str">
        <f t="shared" si="313"/>
        <v/>
      </c>
      <c r="L889" s="736" t="s">
        <v>2441</v>
      </c>
      <c r="M889" s="25" t="str">
        <f t="shared" si="252"/>
        <v>R</v>
      </c>
      <c r="N889" s="25" t="str">
        <f>IF(L889&lt;&gt;"",VLOOKUP(L889,Categories!$B$2:$D$41,2,FALSE),IF(F889&lt;&gt;"","No Cat",""))</f>
        <v>Rate Base</v>
      </c>
      <c r="O889" s="25" t="str">
        <f>IF($L889&lt;&gt;"",VLOOKUP($L889,Categories!$B$2:$D$41,3,FALSE),IF($F889&lt;&gt;"","No Cat",""))</f>
        <v>Deferred Debits &amp; Credits</v>
      </c>
      <c r="P889" s="736" t="s">
        <v>2482</v>
      </c>
      <c r="Q889" s="25" t="str">
        <f>VLOOKUP($P889,Allocators!$B$7:$F$19,5,FALSE)</f>
        <v>Electric</v>
      </c>
      <c r="R889" s="737">
        <f>VLOOKUP($P889,Allocators!$B$7:$F$19,2,FALSE)</f>
        <v>1</v>
      </c>
      <c r="S889" s="737">
        <f>VLOOKUP($P889,Allocators!$B$7:$F$19,3,FALSE)</f>
        <v>0</v>
      </c>
      <c r="T889" s="737" t="str">
        <f t="shared" si="253"/>
        <v>0.0%</v>
      </c>
      <c r="U889" s="2" t="str">
        <f t="shared" si="281"/>
        <v/>
      </c>
      <c r="V889" s="2" t="str">
        <f t="shared" si="282"/>
        <v/>
      </c>
      <c r="W889" s="2" t="str">
        <f t="shared" si="283"/>
        <v/>
      </c>
      <c r="X889" s="2">
        <f t="shared" si="279"/>
        <v>0</v>
      </c>
      <c r="Y889" s="2" t="str">
        <f t="shared" si="284"/>
        <v/>
      </c>
      <c r="Z889" s="2" t="str">
        <f t="shared" si="285"/>
        <v/>
      </c>
      <c r="AA889" s="2" t="str">
        <f t="shared" si="286"/>
        <v/>
      </c>
      <c r="AB889" s="2">
        <f t="shared" si="280"/>
        <v>0</v>
      </c>
      <c r="AC889" s="625">
        <v>0</v>
      </c>
      <c r="AD889" s="625">
        <v>0</v>
      </c>
      <c r="AE889" s="625">
        <v>0</v>
      </c>
      <c r="AF889" s="625">
        <v>0</v>
      </c>
      <c r="AG889" s="625">
        <v>0</v>
      </c>
      <c r="AH889" s="625">
        <v>0</v>
      </c>
      <c r="AI889" s="38">
        <v>0</v>
      </c>
      <c r="AJ889" s="625">
        <v>0</v>
      </c>
      <c r="AK889" s="625">
        <v>0</v>
      </c>
      <c r="AL889" s="625">
        <v>0</v>
      </c>
      <c r="AM889" s="625">
        <v>0</v>
      </c>
      <c r="AN889" s="625">
        <v>0</v>
      </c>
      <c r="AO889" s="625">
        <v>0</v>
      </c>
      <c r="AP889" s="41" t="str">
        <f t="shared" si="276"/>
        <v>Reg AssetR</v>
      </c>
      <c r="AQ889" s="41" t="str">
        <f t="shared" si="277"/>
        <v>Reg AssetRR10Security Costs</v>
      </c>
      <c r="AR889" s="41" t="str">
        <f t="shared" si="278"/>
        <v>R10Security Costs</v>
      </c>
      <c r="CK889" s="625"/>
    </row>
    <row r="890" spans="1:89" s="41" customFormat="1" ht="12.75" customHeight="1">
      <c r="A890" s="25" t="s">
        <v>746</v>
      </c>
      <c r="B890" s="25" t="str">
        <f t="shared" si="251"/>
        <v>Reg Asset182305601019-ABE030259</v>
      </c>
      <c r="C890" s="736">
        <v>182305</v>
      </c>
      <c r="D890" s="738" t="s">
        <v>859</v>
      </c>
      <c r="E890" s="41" t="s">
        <v>949</v>
      </c>
      <c r="F890" s="41" t="str">
        <f t="shared" si="311"/>
        <v>OTH REG ASSETS-UNCONTROLLABLE/EXONGENOUS COSTS-EL</v>
      </c>
      <c r="G890" s="41" t="s">
        <v>1026</v>
      </c>
      <c r="H890" s="736" t="s">
        <v>1117</v>
      </c>
      <c r="I890" s="25"/>
      <c r="J890" s="25" t="str">
        <f t="shared" si="312"/>
        <v/>
      </c>
      <c r="K890" s="25" t="str">
        <f t="shared" si="313"/>
        <v/>
      </c>
      <c r="L890" s="736" t="s">
        <v>2441</v>
      </c>
      <c r="M890" s="25" t="str">
        <f t="shared" si="252"/>
        <v>R</v>
      </c>
      <c r="N890" s="25" t="str">
        <f>IF(L890&lt;&gt;"",VLOOKUP(L890,Categories!$B$2:$D$41,2,FALSE),IF(F890&lt;&gt;"","No Cat",""))</f>
        <v>Rate Base</v>
      </c>
      <c r="O890" s="25" t="str">
        <f>IF($L890&lt;&gt;"",VLOOKUP($L890,Categories!$B$2:$D$41,3,FALSE),IF($F890&lt;&gt;"","No Cat",""))</f>
        <v>Deferred Debits &amp; Credits</v>
      </c>
      <c r="P890" s="736" t="s">
        <v>2482</v>
      </c>
      <c r="Q890" s="25" t="str">
        <f>VLOOKUP($P890,Allocators!$B$7:$F$19,5,FALSE)</f>
        <v>Electric</v>
      </c>
      <c r="R890" s="737">
        <f>VLOOKUP($P890,Allocators!$B$7:$F$19,2,FALSE)</f>
        <v>1</v>
      </c>
      <c r="S890" s="737">
        <f>VLOOKUP($P890,Allocators!$B$7:$F$19,3,FALSE)</f>
        <v>0</v>
      </c>
      <c r="T890" s="737" t="str">
        <f t="shared" si="253"/>
        <v>0.0%</v>
      </c>
      <c r="U890" s="2" t="str">
        <f t="shared" si="281"/>
        <v/>
      </c>
      <c r="V890" s="2" t="str">
        <f t="shared" si="282"/>
        <v/>
      </c>
      <c r="W890" s="2" t="str">
        <f t="shared" si="283"/>
        <v/>
      </c>
      <c r="X890" s="2">
        <f t="shared" si="279"/>
        <v>0</v>
      </c>
      <c r="Y890" s="2" t="str">
        <f t="shared" si="284"/>
        <v/>
      </c>
      <c r="Z890" s="2" t="str">
        <f t="shared" si="285"/>
        <v/>
      </c>
      <c r="AA890" s="2" t="str">
        <f t="shared" si="286"/>
        <v/>
      </c>
      <c r="AB890" s="2">
        <f t="shared" si="280"/>
        <v>0</v>
      </c>
      <c r="AC890" s="734">
        <v>0</v>
      </c>
      <c r="AD890" s="625">
        <v>0</v>
      </c>
      <c r="AE890" s="625">
        <v>0</v>
      </c>
      <c r="AF890" s="625">
        <v>0</v>
      </c>
      <c r="AG890" s="625">
        <v>0</v>
      </c>
      <c r="AH890" s="625">
        <v>0</v>
      </c>
      <c r="AI890" s="38">
        <v>0</v>
      </c>
      <c r="AJ890" s="625">
        <v>0</v>
      </c>
      <c r="AK890" s="625">
        <v>0</v>
      </c>
      <c r="AL890" s="625">
        <v>0</v>
      </c>
      <c r="AM890" s="625">
        <v>0</v>
      </c>
      <c r="AN890" s="625">
        <v>0</v>
      </c>
      <c r="AO890" s="625">
        <v>0</v>
      </c>
      <c r="AP890" s="41" t="str">
        <f t="shared" si="276"/>
        <v>Reg AssetR</v>
      </c>
      <c r="AQ890" s="41" t="str">
        <f t="shared" si="277"/>
        <v>Reg AssetRR10Security Costs</v>
      </c>
      <c r="AR890" s="41" t="str">
        <f t="shared" si="278"/>
        <v>R10Security Costs</v>
      </c>
      <c r="CK890" s="625"/>
    </row>
    <row r="891" spans="1:89" s="41" customFormat="1" ht="12.75" customHeight="1">
      <c r="A891" s="25" t="s">
        <v>746</v>
      </c>
      <c r="B891" s="25" t="str">
        <f t="shared" ref="B891" si="314">CONCATENATE(A891,C891,D891,E891)</f>
        <v>Reg Asset182305601263BE030255</v>
      </c>
      <c r="C891" s="736">
        <v>182305</v>
      </c>
      <c r="D891" s="738">
        <v>601263</v>
      </c>
      <c r="E891" s="41" t="s">
        <v>947</v>
      </c>
      <c r="F891" s="41" t="str">
        <f t="shared" si="311"/>
        <v>OTH REG ASSETS-UNCONTROLLABLE/EXONGENOUS COSTS-EL</v>
      </c>
      <c r="G891" s="41" t="s">
        <v>4294</v>
      </c>
      <c r="H891" s="736" t="s">
        <v>1115</v>
      </c>
      <c r="I891" s="25"/>
      <c r="J891" s="25" t="s">
        <v>7</v>
      </c>
      <c r="K891" s="442" t="str">
        <f t="shared" si="313"/>
        <v/>
      </c>
      <c r="L891" s="736" t="s">
        <v>2436</v>
      </c>
      <c r="M891" s="25" t="str">
        <f t="shared" si="252"/>
        <v>N</v>
      </c>
      <c r="N891" s="25" t="str">
        <f>IF(L891&lt;&gt;"",VLOOKUP(L891,Categories!$B$2:$D$41,2,FALSE),IF(F891&lt;&gt;"","No Cat",""))</f>
        <v>NRBASE</v>
      </c>
      <c r="O891" s="25" t="str">
        <f>IF($L891&lt;&gt;"",VLOOKUP($L891,Categories!$B$2:$D$41,3,FALSE),IF($F891&lt;&gt;"","No Cat",""))</f>
        <v>Deferrals Accruing Non-Cash Return   (other than ASGA)</v>
      </c>
      <c r="P891" s="736" t="s">
        <v>2468</v>
      </c>
      <c r="Q891" s="25" t="str">
        <f>VLOOKUP($P891,Allocators!$B$7:$F$19,5,FALSE)</f>
        <v>Not in Rate Base</v>
      </c>
      <c r="R891" s="737">
        <f>VLOOKUP($P891,Allocators!$B$7:$F$19,2,FALSE)</f>
        <v>0</v>
      </c>
      <c r="S891" s="737">
        <f>VLOOKUP($P891,Allocators!$B$7:$F$19,3,FALSE)</f>
        <v>0</v>
      </c>
      <c r="T891" s="737">
        <f t="shared" ref="T891" si="315">IF(P891="N",1,"0.0%")</f>
        <v>1</v>
      </c>
      <c r="U891" s="2">
        <f t="shared" si="281"/>
        <v>0</v>
      </c>
      <c r="V891" s="2">
        <f t="shared" si="282"/>
        <v>0</v>
      </c>
      <c r="W891" s="2">
        <f t="shared" si="283"/>
        <v>-892.88007083333298</v>
      </c>
      <c r="X891" s="2">
        <f t="shared" si="279"/>
        <v>-892.88007083333298</v>
      </c>
      <c r="Y891" s="2">
        <f t="shared" si="284"/>
        <v>0</v>
      </c>
      <c r="Z891" s="2">
        <f t="shared" si="285"/>
        <v>0</v>
      </c>
      <c r="AA891" s="2">
        <f t="shared" si="286"/>
        <v>-1301.62986</v>
      </c>
      <c r="AB891" s="2">
        <f t="shared" si="280"/>
        <v>-1301.6298599999998</v>
      </c>
      <c r="AC891" s="734">
        <v>-497.24290000000002</v>
      </c>
      <c r="AD891" s="625">
        <v>-575.76199000000008</v>
      </c>
      <c r="AE891" s="625">
        <v>-652.53584000000012</v>
      </c>
      <c r="AF891" s="625">
        <v>-714.54031000000009</v>
      </c>
      <c r="AG891" s="625">
        <v>-756.96050000000014</v>
      </c>
      <c r="AH891" s="625">
        <v>-831.70506000000012</v>
      </c>
      <c r="AI891" s="625">
        <v>-881.05879000000016</v>
      </c>
      <c r="AJ891" s="625">
        <v>-941.24939000000018</v>
      </c>
      <c r="AK891" s="625">
        <v>-1019.26133</v>
      </c>
      <c r="AL891" s="625">
        <v>-1076.3689200000001</v>
      </c>
      <c r="AM891" s="625">
        <v>-1143.5638100000001</v>
      </c>
      <c r="AN891" s="625">
        <v>-1222.11853</v>
      </c>
      <c r="AO891" s="625">
        <v>-1301.6298599999998</v>
      </c>
      <c r="AP891" s="41" t="str">
        <f t="shared" si="276"/>
        <v>Reg AssetN</v>
      </c>
      <c r="AQ891" s="41" t="str">
        <f t="shared" si="277"/>
        <v>Reg AssetNN10Stray Voltage</v>
      </c>
      <c r="AR891" s="41" t="str">
        <f t="shared" si="278"/>
        <v>N10Stray VoltageNCR</v>
      </c>
      <c r="CK891" s="625"/>
    </row>
    <row r="892" spans="1:89" s="41" customFormat="1" ht="12.75" customHeight="1">
      <c r="A892" s="25" t="s">
        <v>746</v>
      </c>
      <c r="B892" s="25" t="str">
        <f t="shared" si="251"/>
        <v>Reg Asset182305601086-08BE030267</v>
      </c>
      <c r="C892" s="736">
        <v>182305</v>
      </c>
      <c r="D892" s="738" t="s">
        <v>860</v>
      </c>
      <c r="E892" s="41" t="s">
        <v>950</v>
      </c>
      <c r="F892" s="41" t="str">
        <f t="shared" si="311"/>
        <v>OTH REG ASSETS-UNCONTROLLABLE/EXONGENOUS COSTS-EL</v>
      </c>
      <c r="G892" s="41" t="s">
        <v>1027</v>
      </c>
      <c r="H892" s="736" t="s">
        <v>1118</v>
      </c>
      <c r="I892" s="25"/>
      <c r="J892" s="25" t="str">
        <f t="shared" si="312"/>
        <v/>
      </c>
      <c r="K892" s="25" t="str">
        <f t="shared" si="313"/>
        <v/>
      </c>
      <c r="L892" s="736" t="s">
        <v>2441</v>
      </c>
      <c r="M892" s="25" t="str">
        <f t="shared" si="252"/>
        <v>R</v>
      </c>
      <c r="N892" s="25" t="str">
        <f>IF(L892&lt;&gt;"",VLOOKUP(L892,Categories!$B$2:$D$41,2,FALSE),IF(F892&lt;&gt;"","No Cat",""))</f>
        <v>Rate Base</v>
      </c>
      <c r="O892" s="25" t="str">
        <f>IF($L892&lt;&gt;"",VLOOKUP($L892,Categories!$B$2:$D$41,3,FALSE),IF($F892&lt;&gt;"","No Cat",""))</f>
        <v>Deferred Debits &amp; Credits</v>
      </c>
      <c r="P892" s="736" t="s">
        <v>2482</v>
      </c>
      <c r="Q892" s="25" t="str">
        <f>VLOOKUP($P892,Allocators!$B$7:$F$19,5,FALSE)</f>
        <v>Electric</v>
      </c>
      <c r="R892" s="737">
        <f>VLOOKUP($P892,Allocators!$B$7:$F$19,2,FALSE)</f>
        <v>1</v>
      </c>
      <c r="S892" s="737">
        <f>VLOOKUP($P892,Allocators!$B$7:$F$19,3,FALSE)</f>
        <v>0</v>
      </c>
      <c r="T892" s="737" t="str">
        <f t="shared" si="253"/>
        <v>0.0%</v>
      </c>
      <c r="U892" s="2" t="str">
        <f t="shared" si="281"/>
        <v/>
      </c>
      <c r="V892" s="2" t="str">
        <f t="shared" si="282"/>
        <v/>
      </c>
      <c r="W892" s="2" t="str">
        <f t="shared" si="283"/>
        <v/>
      </c>
      <c r="X892" s="2">
        <f t="shared" si="279"/>
        <v>0</v>
      </c>
      <c r="Y892" s="2" t="str">
        <f t="shared" si="284"/>
        <v/>
      </c>
      <c r="Z892" s="2" t="str">
        <f t="shared" si="285"/>
        <v/>
      </c>
      <c r="AA892" s="2" t="str">
        <f t="shared" si="286"/>
        <v/>
      </c>
      <c r="AB892" s="2">
        <f t="shared" si="280"/>
        <v>0</v>
      </c>
      <c r="AC892" s="625">
        <v>0</v>
      </c>
      <c r="AD892" s="625">
        <v>0</v>
      </c>
      <c r="AE892" s="625">
        <v>0</v>
      </c>
      <c r="AF892" s="625">
        <v>0</v>
      </c>
      <c r="AG892" s="625">
        <v>0</v>
      </c>
      <c r="AH892" s="625">
        <v>0</v>
      </c>
      <c r="AI892" s="38">
        <v>0</v>
      </c>
      <c r="AJ892" s="625">
        <v>0</v>
      </c>
      <c r="AK892" s="625">
        <v>0</v>
      </c>
      <c r="AL892" s="625">
        <v>0</v>
      </c>
      <c r="AM892" s="625">
        <v>0</v>
      </c>
      <c r="AN892" s="625">
        <v>0</v>
      </c>
      <c r="AO892" s="625">
        <v>0</v>
      </c>
      <c r="AP892" s="41" t="str">
        <f t="shared" si="276"/>
        <v>Reg AssetR</v>
      </c>
      <c r="AQ892" s="41" t="str">
        <f t="shared" si="277"/>
        <v>Reg AssetRR10Medicare Part D</v>
      </c>
      <c r="AR892" s="41" t="str">
        <f t="shared" si="278"/>
        <v>R10Medicare Part D</v>
      </c>
      <c r="CK892" s="625"/>
    </row>
    <row r="893" spans="1:89" s="41" customFormat="1" ht="12.75" customHeight="1">
      <c r="A893" s="25" t="s">
        <v>746</v>
      </c>
      <c r="B893" s="25" t="str">
        <f t="shared" ref="B893:B956" si="316">CONCATENATE(A893,C893,D893,E893)</f>
        <v>Reg Asset182305601086-09BE030267</v>
      </c>
      <c r="C893" s="736">
        <v>182305</v>
      </c>
      <c r="D893" s="738" t="s">
        <v>861</v>
      </c>
      <c r="E893" s="41" t="s">
        <v>950</v>
      </c>
      <c r="F893" s="41" t="str">
        <f t="shared" si="311"/>
        <v>OTH REG ASSETS-UNCONTROLLABLE/EXONGENOUS COSTS-EL</v>
      </c>
      <c r="G893" s="41" t="s">
        <v>1028</v>
      </c>
      <c r="H893" s="736" t="s">
        <v>1118</v>
      </c>
      <c r="I893" s="25"/>
      <c r="J893" s="25" t="str">
        <f t="shared" si="312"/>
        <v/>
      </c>
      <c r="K893" s="25" t="str">
        <f t="shared" si="313"/>
        <v/>
      </c>
      <c r="L893" s="736" t="s">
        <v>2441</v>
      </c>
      <c r="M893" s="25" t="str">
        <f t="shared" si="252"/>
        <v>R</v>
      </c>
      <c r="N893" s="25" t="str">
        <f>IF(L893&lt;&gt;"",VLOOKUP(L893,Categories!$B$2:$D$41,2,FALSE),IF(F893&lt;&gt;"","No Cat",""))</f>
        <v>Rate Base</v>
      </c>
      <c r="O893" s="25" t="str">
        <f>IF($L893&lt;&gt;"",VLOOKUP($L893,Categories!$B$2:$D$41,3,FALSE),IF($F893&lt;&gt;"","No Cat",""))</f>
        <v>Deferred Debits &amp; Credits</v>
      </c>
      <c r="P893" s="736" t="s">
        <v>2482</v>
      </c>
      <c r="Q893" s="25" t="str">
        <f>VLOOKUP($P893,Allocators!$B$7:$F$19,5,FALSE)</f>
        <v>Electric</v>
      </c>
      <c r="R893" s="737">
        <f>VLOOKUP($P893,Allocators!$B$7:$F$19,2,FALSE)</f>
        <v>1</v>
      </c>
      <c r="S893" s="737">
        <f>VLOOKUP($P893,Allocators!$B$7:$F$19,3,FALSE)</f>
        <v>0</v>
      </c>
      <c r="T893" s="737" t="str">
        <f t="shared" si="253"/>
        <v>0.0%</v>
      </c>
      <c r="U893" s="2" t="str">
        <f t="shared" si="281"/>
        <v/>
      </c>
      <c r="V893" s="2" t="str">
        <f t="shared" si="282"/>
        <v/>
      </c>
      <c r="W893" s="2" t="str">
        <f t="shared" si="283"/>
        <v/>
      </c>
      <c r="X893" s="2">
        <f t="shared" si="279"/>
        <v>0</v>
      </c>
      <c r="Y893" s="2" t="str">
        <f t="shared" si="284"/>
        <v/>
      </c>
      <c r="Z893" s="2" t="str">
        <f t="shared" si="285"/>
        <v/>
      </c>
      <c r="AA893" s="2" t="str">
        <f t="shared" si="286"/>
        <v/>
      </c>
      <c r="AB893" s="2">
        <f t="shared" si="280"/>
        <v>0</v>
      </c>
      <c r="AC893" s="625">
        <v>0</v>
      </c>
      <c r="AD893" s="625">
        <v>0</v>
      </c>
      <c r="AE893" s="625">
        <v>0</v>
      </c>
      <c r="AF893" s="625">
        <v>0</v>
      </c>
      <c r="AG893" s="625">
        <v>0</v>
      </c>
      <c r="AH893" s="625">
        <v>0</v>
      </c>
      <c r="AI893" s="38">
        <v>0</v>
      </c>
      <c r="AJ893" s="625">
        <v>0</v>
      </c>
      <c r="AK893" s="625">
        <v>0</v>
      </c>
      <c r="AL893" s="625">
        <v>0</v>
      </c>
      <c r="AM893" s="625">
        <v>0</v>
      </c>
      <c r="AN893" s="625">
        <v>0</v>
      </c>
      <c r="AO893" s="625">
        <v>0</v>
      </c>
      <c r="AP893" s="41" t="str">
        <f t="shared" si="276"/>
        <v>Reg AssetR</v>
      </c>
      <c r="AQ893" s="41" t="str">
        <f t="shared" si="277"/>
        <v>Reg AssetRR10Medicare Part D</v>
      </c>
      <c r="AR893" s="41" t="str">
        <f t="shared" si="278"/>
        <v>R10Medicare Part D</v>
      </c>
      <c r="CK893" s="625"/>
    </row>
    <row r="894" spans="1:89" s="41" customFormat="1" ht="12.75" customHeight="1">
      <c r="A894" s="25" t="s">
        <v>746</v>
      </c>
      <c r="B894" s="25" t="str">
        <f t="shared" si="316"/>
        <v>Reg Asset182305601086-10BE030267</v>
      </c>
      <c r="C894" s="736">
        <v>182305</v>
      </c>
      <c r="D894" s="738" t="s">
        <v>862</v>
      </c>
      <c r="E894" s="41" t="s">
        <v>950</v>
      </c>
      <c r="F894" s="41" t="str">
        <f t="shared" si="311"/>
        <v>OTH REG ASSETS-UNCONTROLLABLE/EXONGENOUS COSTS-EL</v>
      </c>
      <c r="G894" s="41" t="s">
        <v>1029</v>
      </c>
      <c r="H894" s="736" t="s">
        <v>1118</v>
      </c>
      <c r="I894" s="25"/>
      <c r="J894" s="25" t="str">
        <f t="shared" si="312"/>
        <v/>
      </c>
      <c r="K894" s="25" t="str">
        <f t="shared" si="313"/>
        <v/>
      </c>
      <c r="L894" s="736" t="s">
        <v>2441</v>
      </c>
      <c r="M894" s="25" t="str">
        <f t="shared" si="252"/>
        <v>R</v>
      </c>
      <c r="N894" s="25" t="str">
        <f>IF(L894&lt;&gt;"",VLOOKUP(L894,Categories!$B$2:$D$41,2,FALSE),IF(F894&lt;&gt;"","No Cat",""))</f>
        <v>Rate Base</v>
      </c>
      <c r="O894" s="25" t="str">
        <f>IF($L894&lt;&gt;"",VLOOKUP($L894,Categories!$B$2:$D$41,3,FALSE),IF($F894&lt;&gt;"","No Cat",""))</f>
        <v>Deferred Debits &amp; Credits</v>
      </c>
      <c r="P894" s="736" t="s">
        <v>2482</v>
      </c>
      <c r="Q894" s="25" t="str">
        <f>VLOOKUP($P894,Allocators!$B$7:$F$19,5,FALSE)</f>
        <v>Electric</v>
      </c>
      <c r="R894" s="737">
        <f>VLOOKUP($P894,Allocators!$B$7:$F$19,2,FALSE)</f>
        <v>1</v>
      </c>
      <c r="S894" s="737">
        <f>VLOOKUP($P894,Allocators!$B$7:$F$19,3,FALSE)</f>
        <v>0</v>
      </c>
      <c r="T894" s="737" t="str">
        <f t="shared" si="253"/>
        <v>0.0%</v>
      </c>
      <c r="U894" s="2" t="str">
        <f t="shared" si="281"/>
        <v/>
      </c>
      <c r="V894" s="2" t="str">
        <f t="shared" si="282"/>
        <v/>
      </c>
      <c r="W894" s="2" t="str">
        <f t="shared" si="283"/>
        <v/>
      </c>
      <c r="X894" s="2">
        <f t="shared" si="279"/>
        <v>0</v>
      </c>
      <c r="Y894" s="2" t="str">
        <f t="shared" si="284"/>
        <v/>
      </c>
      <c r="Z894" s="2" t="str">
        <f t="shared" si="285"/>
        <v/>
      </c>
      <c r="AA894" s="2" t="str">
        <f t="shared" si="286"/>
        <v/>
      </c>
      <c r="AB894" s="2">
        <f t="shared" si="280"/>
        <v>0</v>
      </c>
      <c r="AC894" s="625">
        <v>0</v>
      </c>
      <c r="AD894" s="625">
        <v>0</v>
      </c>
      <c r="AE894" s="625">
        <v>0</v>
      </c>
      <c r="AF894" s="625">
        <v>0</v>
      </c>
      <c r="AG894" s="625">
        <v>0</v>
      </c>
      <c r="AH894" s="625">
        <v>0</v>
      </c>
      <c r="AI894" s="38">
        <v>0</v>
      </c>
      <c r="AJ894" s="625">
        <v>0</v>
      </c>
      <c r="AK894" s="625">
        <v>0</v>
      </c>
      <c r="AL894" s="625">
        <v>0</v>
      </c>
      <c r="AM894" s="625">
        <v>0</v>
      </c>
      <c r="AN894" s="625">
        <v>0</v>
      </c>
      <c r="AO894" s="625">
        <v>0</v>
      </c>
      <c r="AP894" s="41" t="str">
        <f t="shared" si="276"/>
        <v>Reg AssetR</v>
      </c>
      <c r="AQ894" s="41" t="str">
        <f t="shared" si="277"/>
        <v>Reg AssetRR10Medicare Part D</v>
      </c>
      <c r="AR894" s="41" t="str">
        <f t="shared" si="278"/>
        <v>R10Medicare Part D</v>
      </c>
      <c r="CK894" s="625"/>
    </row>
    <row r="895" spans="1:89" s="41" customFormat="1" ht="12.75" customHeight="1">
      <c r="A895" s="25" t="s">
        <v>746</v>
      </c>
      <c r="B895" s="25" t="str">
        <f t="shared" si="316"/>
        <v>Reg Asset182305601086-ABE030267</v>
      </c>
      <c r="C895" s="736">
        <v>182305</v>
      </c>
      <c r="D895" s="738" t="s">
        <v>863</v>
      </c>
      <c r="E895" s="41" t="s">
        <v>950</v>
      </c>
      <c r="F895" s="41" t="str">
        <f t="shared" si="311"/>
        <v>OTH REG ASSETS-UNCONTROLLABLE/EXONGENOUS COSTS-EL</v>
      </c>
      <c r="G895" s="41" t="s">
        <v>1030</v>
      </c>
      <c r="H895" s="736" t="s">
        <v>1118</v>
      </c>
      <c r="I895" s="25"/>
      <c r="J895" s="25" t="str">
        <f t="shared" si="312"/>
        <v/>
      </c>
      <c r="K895" s="25" t="str">
        <f t="shared" si="313"/>
        <v/>
      </c>
      <c r="L895" s="736" t="s">
        <v>2441</v>
      </c>
      <c r="M895" s="25" t="str">
        <f t="shared" si="252"/>
        <v>R</v>
      </c>
      <c r="N895" s="25" t="str">
        <f>IF(L895&lt;&gt;"",VLOOKUP(L895,Categories!$B$2:$D$41,2,FALSE),IF(F895&lt;&gt;"","No Cat",""))</f>
        <v>Rate Base</v>
      </c>
      <c r="O895" s="25" t="str">
        <f>IF($L895&lt;&gt;"",VLOOKUP($L895,Categories!$B$2:$D$41,3,FALSE),IF($F895&lt;&gt;"","No Cat",""))</f>
        <v>Deferred Debits &amp; Credits</v>
      </c>
      <c r="P895" s="736" t="s">
        <v>2482</v>
      </c>
      <c r="Q895" s="25" t="str">
        <f>VLOOKUP($P895,Allocators!$B$7:$F$19,5,FALSE)</f>
        <v>Electric</v>
      </c>
      <c r="R895" s="737">
        <f>VLOOKUP($P895,Allocators!$B$7:$F$19,2,FALSE)</f>
        <v>1</v>
      </c>
      <c r="S895" s="737">
        <f>VLOOKUP($P895,Allocators!$B$7:$F$19,3,FALSE)</f>
        <v>0</v>
      </c>
      <c r="T895" s="737" t="str">
        <f t="shared" si="253"/>
        <v>0.0%</v>
      </c>
      <c r="U895" s="2">
        <f t="shared" si="281"/>
        <v>-9.7719999999991994E-2</v>
      </c>
      <c r="V895" s="2">
        <f t="shared" si="282"/>
        <v>0</v>
      </c>
      <c r="W895" s="2">
        <f t="shared" si="283"/>
        <v>0</v>
      </c>
      <c r="X895" s="2">
        <f t="shared" si="279"/>
        <v>-9.7719999999991994E-2</v>
      </c>
      <c r="Y895" s="2" t="str">
        <f t="shared" si="284"/>
        <v/>
      </c>
      <c r="Z895" s="2" t="str">
        <f t="shared" si="285"/>
        <v/>
      </c>
      <c r="AA895" s="2" t="str">
        <f t="shared" si="286"/>
        <v/>
      </c>
      <c r="AB895" s="2">
        <f t="shared" si="280"/>
        <v>0</v>
      </c>
      <c r="AC895" s="734">
        <v>2.9103830456733704E-14</v>
      </c>
      <c r="AD895" s="625">
        <v>5.8207660913467408E-14</v>
      </c>
      <c r="AE895" s="625">
        <v>-1.172639999999971</v>
      </c>
      <c r="AF895" s="625">
        <v>0</v>
      </c>
      <c r="AG895" s="625">
        <v>0</v>
      </c>
      <c r="AH895" s="625">
        <v>0</v>
      </c>
      <c r="AI895" s="38">
        <v>0</v>
      </c>
      <c r="AJ895" s="625">
        <v>0</v>
      </c>
      <c r="AK895" s="625">
        <v>0</v>
      </c>
      <c r="AL895" s="625">
        <v>0</v>
      </c>
      <c r="AM895" s="625">
        <v>0</v>
      </c>
      <c r="AN895" s="625">
        <v>0</v>
      </c>
      <c r="AO895" s="625">
        <v>0</v>
      </c>
      <c r="AP895" s="41" t="str">
        <f t="shared" si="276"/>
        <v>Reg AssetR</v>
      </c>
      <c r="AQ895" s="41" t="str">
        <f t="shared" si="277"/>
        <v>Reg AssetRR10Medicare Part D</v>
      </c>
      <c r="AR895" s="41" t="str">
        <f t="shared" si="278"/>
        <v>R10Medicare Part D</v>
      </c>
      <c r="CK895" s="625"/>
    </row>
    <row r="896" spans="1:89" s="41" customFormat="1" ht="12.75" customHeight="1">
      <c r="A896" s="442" t="s">
        <v>746</v>
      </c>
      <c r="B896" s="442" t="str">
        <f t="shared" si="316"/>
        <v>Reg Asset182305601086-LBE030267</v>
      </c>
      <c r="C896" s="736">
        <v>182305</v>
      </c>
      <c r="D896" s="738" t="s">
        <v>864</v>
      </c>
      <c r="E896" s="626" t="s">
        <v>950</v>
      </c>
      <c r="F896" s="626" t="str">
        <f t="shared" si="311"/>
        <v>OTH REG ASSETS-UNCONTROLLABLE/EXONGENOUS COSTS-EL</v>
      </c>
      <c r="G896" s="626" t="s">
        <v>1030</v>
      </c>
      <c r="H896" s="736" t="s">
        <v>1118</v>
      </c>
      <c r="I896" s="442"/>
      <c r="J896" s="442" t="s">
        <v>7</v>
      </c>
      <c r="K896" s="442" t="str">
        <f t="shared" si="313"/>
        <v/>
      </c>
      <c r="L896" s="736" t="s">
        <v>2436</v>
      </c>
      <c r="M896" s="442" t="str">
        <f t="shared" si="252"/>
        <v>N</v>
      </c>
      <c r="N896" s="442" t="str">
        <f>IF(L896&lt;&gt;"",VLOOKUP(L896,Categories!$B$2:$D$41,2,FALSE),IF(F896&lt;&gt;"","No Cat",""))</f>
        <v>NRBASE</v>
      </c>
      <c r="O896" s="442" t="str">
        <f>IF($L896&lt;&gt;"",VLOOKUP($L896,Categories!$B$2:$D$41,3,FALSE),IF($F896&lt;&gt;"","No Cat",""))</f>
        <v>Deferrals Accruing Non-Cash Return   (other than ASGA)</v>
      </c>
      <c r="P896" s="736" t="s">
        <v>2468</v>
      </c>
      <c r="Q896" s="442" t="str">
        <f>VLOOKUP($P896,Allocators!$B$7:$F$19,5,FALSE)</f>
        <v>Not in Rate Base</v>
      </c>
      <c r="R896" s="737">
        <f>VLOOKUP($P896,Allocators!$B$7:$F$19,2,FALSE)</f>
        <v>0</v>
      </c>
      <c r="S896" s="737">
        <f>VLOOKUP($P896,Allocators!$B$7:$F$19,3,FALSE)</f>
        <v>0</v>
      </c>
      <c r="T896" s="737">
        <f t="shared" si="253"/>
        <v>1</v>
      </c>
      <c r="U896" s="2">
        <f t="shared" si="281"/>
        <v>0</v>
      </c>
      <c r="V896" s="2">
        <f t="shared" si="282"/>
        <v>0</v>
      </c>
      <c r="W896" s="2">
        <f t="shared" si="283"/>
        <v>-212.788555</v>
      </c>
      <c r="X896" s="2">
        <f t="shared" si="279"/>
        <v>-212.788555</v>
      </c>
      <c r="Y896" s="2">
        <f t="shared" si="284"/>
        <v>0</v>
      </c>
      <c r="Z896" s="2">
        <f t="shared" si="285"/>
        <v>0</v>
      </c>
      <c r="AA896" s="2">
        <f t="shared" si="286"/>
        <v>-220.18572</v>
      </c>
      <c r="AB896" s="2">
        <f t="shared" si="280"/>
        <v>-220.18572</v>
      </c>
      <c r="AC896" s="734">
        <v>-205.74885999999992</v>
      </c>
      <c r="AD896" s="625">
        <v>-206.91488999999999</v>
      </c>
      <c r="AE896" s="625">
        <v>-206.91488999999999</v>
      </c>
      <c r="AF896" s="625">
        <v>-209.26680999999999</v>
      </c>
      <c r="AG896" s="625">
        <v>-210.45277999999999</v>
      </c>
      <c r="AH896" s="625">
        <v>-211.64546999999999</v>
      </c>
      <c r="AI896" s="625">
        <v>-212.84492</v>
      </c>
      <c r="AJ896" s="625">
        <v>-214.05117000000001</v>
      </c>
      <c r="AK896" s="625">
        <v>-215.26425</v>
      </c>
      <c r="AL896" s="625">
        <v>-216.48420999999999</v>
      </c>
      <c r="AM896" s="625">
        <v>-217.71107999999998</v>
      </c>
      <c r="AN896" s="625">
        <v>-218.94489999999999</v>
      </c>
      <c r="AO896" s="625">
        <v>-220.18572</v>
      </c>
      <c r="AP896" s="41" t="str">
        <f t="shared" si="276"/>
        <v>Reg AssetN</v>
      </c>
      <c r="AQ896" s="41" t="str">
        <f t="shared" si="277"/>
        <v>Reg AssetNN10Medicare Part D</v>
      </c>
      <c r="AR896" s="41" t="str">
        <f t="shared" si="278"/>
        <v>N10Medicare Part DNCR</v>
      </c>
      <c r="CK896" s="625"/>
    </row>
    <row r="897" spans="1:89" s="41" customFormat="1" ht="12.75" customHeight="1">
      <c r="A897" s="442" t="s">
        <v>746</v>
      </c>
      <c r="B897" s="442" t="str">
        <f t="shared" si="316"/>
        <v>Reg Asset182305601088BE030268</v>
      </c>
      <c r="C897" s="736">
        <v>182305</v>
      </c>
      <c r="D897" s="738">
        <v>601088</v>
      </c>
      <c r="E897" s="626" t="s">
        <v>951</v>
      </c>
      <c r="F897" s="626" t="str">
        <f t="shared" si="311"/>
        <v>OTH REG ASSETS-UNCONTROLLABLE/EXONGENOUS COSTS-EL</v>
      </c>
      <c r="G897" s="626" t="s">
        <v>1031</v>
      </c>
      <c r="H897" s="736" t="s">
        <v>1119</v>
      </c>
      <c r="I897" s="442"/>
      <c r="J897" s="442" t="s">
        <v>7</v>
      </c>
      <c r="K897" s="442" t="str">
        <f t="shared" si="313"/>
        <v/>
      </c>
      <c r="L897" s="736" t="s">
        <v>2436</v>
      </c>
      <c r="M897" s="442" t="str">
        <f t="shared" si="252"/>
        <v>N</v>
      </c>
      <c r="N897" s="442" t="str">
        <f>IF(L897&lt;&gt;"",VLOOKUP(L897,Categories!$B$2:$D$41,2,FALSE),IF(F897&lt;&gt;"","No Cat",""))</f>
        <v>NRBASE</v>
      </c>
      <c r="O897" s="442" t="str">
        <f>IF($L897&lt;&gt;"",VLOOKUP($L897,Categories!$B$2:$D$41,3,FALSE),IF($F897&lt;&gt;"","No Cat",""))</f>
        <v>Deferrals Accruing Non-Cash Return   (other than ASGA)</v>
      </c>
      <c r="P897" s="736" t="s">
        <v>2468</v>
      </c>
      <c r="Q897" s="442" t="str">
        <f>VLOOKUP($P897,Allocators!$B$7:$F$19,5,FALSE)</f>
        <v>Not in Rate Base</v>
      </c>
      <c r="R897" s="737">
        <f>VLOOKUP($P897,Allocators!$B$7:$F$19,2,FALSE)</f>
        <v>0</v>
      </c>
      <c r="S897" s="737">
        <f>VLOOKUP($P897,Allocators!$B$7:$F$19,3,FALSE)</f>
        <v>0</v>
      </c>
      <c r="T897" s="737">
        <f t="shared" si="253"/>
        <v>1</v>
      </c>
      <c r="U897" s="2">
        <f t="shared" si="281"/>
        <v>0</v>
      </c>
      <c r="V897" s="2">
        <f t="shared" si="282"/>
        <v>0</v>
      </c>
      <c r="W897" s="2">
        <f t="shared" si="283"/>
        <v>1307.50172</v>
      </c>
      <c r="X897" s="2">
        <f t="shared" si="279"/>
        <v>1307.50172</v>
      </c>
      <c r="Y897" s="2">
        <f t="shared" si="284"/>
        <v>0</v>
      </c>
      <c r="Z897" s="2">
        <f t="shared" si="285"/>
        <v>0</v>
      </c>
      <c r="AA897" s="2">
        <f t="shared" si="286"/>
        <v>1352.33332</v>
      </c>
      <c r="AB897" s="2">
        <f t="shared" si="280"/>
        <v>1352.3333199999995</v>
      </c>
      <c r="AC897" s="734">
        <v>1263.6652599999995</v>
      </c>
      <c r="AD897" s="625">
        <v>1270.8267699999999</v>
      </c>
      <c r="AE897" s="625">
        <v>1278.0288699999999</v>
      </c>
      <c r="AF897" s="625">
        <v>1285.2717799999998</v>
      </c>
      <c r="AG897" s="625">
        <v>1292.5557399999998</v>
      </c>
      <c r="AH897" s="625">
        <v>1299.8809799999997</v>
      </c>
      <c r="AI897" s="625">
        <v>1307.2477299999998</v>
      </c>
      <c r="AJ897" s="625">
        <v>1314.6562299999998</v>
      </c>
      <c r="AK897" s="625">
        <v>1322.1067199999998</v>
      </c>
      <c r="AL897" s="625">
        <v>1329.5994299999998</v>
      </c>
      <c r="AM897" s="625">
        <v>1337.1346099999996</v>
      </c>
      <c r="AN897" s="625">
        <v>1344.7124899999994</v>
      </c>
      <c r="AO897" s="625">
        <v>1352.3333199999995</v>
      </c>
      <c r="AP897" s="41" t="str">
        <f t="shared" si="276"/>
        <v>Reg AssetN</v>
      </c>
      <c r="AQ897" s="41" t="str">
        <f t="shared" si="277"/>
        <v>Reg AssetNN10Vegetation Management</v>
      </c>
      <c r="AR897" s="41" t="str">
        <f t="shared" si="278"/>
        <v>N10Vegetation ManagementNCR</v>
      </c>
      <c r="CK897" s="625"/>
    </row>
    <row r="898" spans="1:89" s="41" customFormat="1" ht="12.75" customHeight="1">
      <c r="A898" s="442" t="s">
        <v>746</v>
      </c>
      <c r="B898" s="442" t="str">
        <f t="shared" si="316"/>
        <v>Reg Asset182305601088-08BE030268</v>
      </c>
      <c r="C898" s="736">
        <v>182305</v>
      </c>
      <c r="D898" s="738" t="s">
        <v>865</v>
      </c>
      <c r="E898" s="626" t="s">
        <v>951</v>
      </c>
      <c r="F898" s="626" t="str">
        <f t="shared" si="311"/>
        <v>OTH REG ASSETS-UNCONTROLLABLE/EXONGENOUS COSTS-EL</v>
      </c>
      <c r="G898" s="626" t="s">
        <v>1032</v>
      </c>
      <c r="H898" s="736" t="s">
        <v>1119</v>
      </c>
      <c r="I898" s="442"/>
      <c r="J898" s="442" t="s">
        <v>7</v>
      </c>
      <c r="K898" s="442" t="str">
        <f t="shared" si="313"/>
        <v/>
      </c>
      <c r="L898" s="736" t="s">
        <v>2436</v>
      </c>
      <c r="M898" s="442" t="str">
        <f t="shared" si="252"/>
        <v>N</v>
      </c>
      <c r="N898" s="442" t="str">
        <f>IF(L898&lt;&gt;"",VLOOKUP(L898,Categories!$B$2:$D$41,2,FALSE),IF(F898&lt;&gt;"","No Cat",""))</f>
        <v>NRBASE</v>
      </c>
      <c r="O898" s="442" t="str">
        <f>IF($L898&lt;&gt;"",VLOOKUP($L898,Categories!$B$2:$D$41,3,FALSE),IF($F898&lt;&gt;"","No Cat",""))</f>
        <v>Deferrals Accruing Non-Cash Return   (other than ASGA)</v>
      </c>
      <c r="P898" s="736" t="s">
        <v>2468</v>
      </c>
      <c r="Q898" s="442" t="str">
        <f>VLOOKUP($P898,Allocators!$B$7:$F$19,5,FALSE)</f>
        <v>Not in Rate Base</v>
      </c>
      <c r="R898" s="737">
        <f>VLOOKUP($P898,Allocators!$B$7:$F$19,2,FALSE)</f>
        <v>0</v>
      </c>
      <c r="S898" s="737">
        <f>VLOOKUP($P898,Allocators!$B$7:$F$19,3,FALSE)</f>
        <v>0</v>
      </c>
      <c r="T898" s="737">
        <f t="shared" si="253"/>
        <v>1</v>
      </c>
      <c r="U898" s="2" t="str">
        <f t="shared" si="281"/>
        <v/>
      </c>
      <c r="V898" s="2" t="str">
        <f t="shared" si="282"/>
        <v/>
      </c>
      <c r="W898" s="2" t="str">
        <f t="shared" si="283"/>
        <v/>
      </c>
      <c r="X898" s="2">
        <f t="shared" si="279"/>
        <v>0</v>
      </c>
      <c r="Y898" s="2" t="str">
        <f t="shared" si="284"/>
        <v/>
      </c>
      <c r="Z898" s="2" t="str">
        <f t="shared" si="285"/>
        <v/>
      </c>
      <c r="AA898" s="2" t="str">
        <f t="shared" si="286"/>
        <v/>
      </c>
      <c r="AB898" s="2">
        <f t="shared" si="280"/>
        <v>0</v>
      </c>
      <c r="AC898" s="625">
        <v>0</v>
      </c>
      <c r="AD898" s="625">
        <v>0</v>
      </c>
      <c r="AE898" s="625">
        <v>0</v>
      </c>
      <c r="AF898" s="625">
        <v>0</v>
      </c>
      <c r="AG898" s="625">
        <v>0</v>
      </c>
      <c r="AH898" s="625">
        <v>0</v>
      </c>
      <c r="AI898" s="38">
        <v>0</v>
      </c>
      <c r="AJ898" s="625">
        <v>0</v>
      </c>
      <c r="AK898" s="625">
        <v>0</v>
      </c>
      <c r="AL898" s="625">
        <v>0</v>
      </c>
      <c r="AM898" s="625">
        <v>0</v>
      </c>
      <c r="AN898" s="625">
        <v>0</v>
      </c>
      <c r="AO898" s="625">
        <v>0</v>
      </c>
      <c r="AP898" s="41" t="str">
        <f t="shared" si="276"/>
        <v>Reg AssetN</v>
      </c>
      <c r="AQ898" s="41" t="str">
        <f t="shared" si="277"/>
        <v>Reg AssetNN10Vegetation Management</v>
      </c>
      <c r="AR898" s="41" t="str">
        <f t="shared" si="278"/>
        <v>N10Vegetation ManagementNCR</v>
      </c>
      <c r="CK898" s="625"/>
    </row>
    <row r="899" spans="1:89" s="41" customFormat="1" ht="12.75" customHeight="1">
      <c r="A899" s="442" t="s">
        <v>746</v>
      </c>
      <c r="B899" s="442" t="str">
        <f t="shared" si="316"/>
        <v>Reg Asset182305601088-09BE030268</v>
      </c>
      <c r="C899" s="736">
        <v>182305</v>
      </c>
      <c r="D899" s="738" t="s">
        <v>866</v>
      </c>
      <c r="E899" s="626" t="s">
        <v>951</v>
      </c>
      <c r="F899" s="626" t="str">
        <f t="shared" si="311"/>
        <v>OTH REG ASSETS-UNCONTROLLABLE/EXONGENOUS COSTS-EL</v>
      </c>
      <c r="G899" s="626" t="s">
        <v>1033</v>
      </c>
      <c r="H899" s="736" t="s">
        <v>1119</v>
      </c>
      <c r="I899" s="442"/>
      <c r="J899" s="442" t="s">
        <v>7</v>
      </c>
      <c r="K899" s="442" t="str">
        <f t="shared" si="313"/>
        <v/>
      </c>
      <c r="L899" s="736" t="s">
        <v>2436</v>
      </c>
      <c r="M899" s="442" t="str">
        <f t="shared" si="252"/>
        <v>N</v>
      </c>
      <c r="N899" s="442" t="str">
        <f>IF(L899&lt;&gt;"",VLOOKUP(L899,Categories!$B$2:$D$41,2,FALSE),IF(F899&lt;&gt;"","No Cat",""))</f>
        <v>NRBASE</v>
      </c>
      <c r="O899" s="442" t="str">
        <f>IF($L899&lt;&gt;"",VLOOKUP($L899,Categories!$B$2:$D$41,3,FALSE),IF($F899&lt;&gt;"","No Cat",""))</f>
        <v>Deferrals Accruing Non-Cash Return   (other than ASGA)</v>
      </c>
      <c r="P899" s="736" t="s">
        <v>2468</v>
      </c>
      <c r="Q899" s="442" t="str">
        <f>VLOOKUP($P899,Allocators!$B$7:$F$19,5,FALSE)</f>
        <v>Not in Rate Base</v>
      </c>
      <c r="R899" s="737">
        <f>VLOOKUP($P899,Allocators!$B$7:$F$19,2,FALSE)</f>
        <v>0</v>
      </c>
      <c r="S899" s="737">
        <f>VLOOKUP($P899,Allocators!$B$7:$F$19,3,FALSE)</f>
        <v>0</v>
      </c>
      <c r="T899" s="737">
        <f t="shared" si="253"/>
        <v>1</v>
      </c>
      <c r="U899" s="2" t="str">
        <f t="shared" si="281"/>
        <v/>
      </c>
      <c r="V899" s="2" t="str">
        <f t="shared" si="282"/>
        <v/>
      </c>
      <c r="W899" s="2" t="str">
        <f t="shared" si="283"/>
        <v/>
      </c>
      <c r="X899" s="2">
        <f t="shared" si="279"/>
        <v>0</v>
      </c>
      <c r="Y899" s="2" t="str">
        <f t="shared" si="284"/>
        <v/>
      </c>
      <c r="Z899" s="2" t="str">
        <f t="shared" si="285"/>
        <v/>
      </c>
      <c r="AA899" s="2" t="str">
        <f t="shared" si="286"/>
        <v/>
      </c>
      <c r="AB899" s="2">
        <f t="shared" si="280"/>
        <v>0</v>
      </c>
      <c r="AC899" s="625">
        <v>0</v>
      </c>
      <c r="AD899" s="625">
        <v>0</v>
      </c>
      <c r="AE899" s="625">
        <v>0</v>
      </c>
      <c r="AF899" s="625">
        <v>0</v>
      </c>
      <c r="AG899" s="625">
        <v>0</v>
      </c>
      <c r="AH899" s="625">
        <v>0</v>
      </c>
      <c r="AI899" s="38">
        <v>0</v>
      </c>
      <c r="AJ899" s="625">
        <v>0</v>
      </c>
      <c r="AK899" s="625">
        <v>0</v>
      </c>
      <c r="AL899" s="625">
        <v>0</v>
      </c>
      <c r="AM899" s="625">
        <v>0</v>
      </c>
      <c r="AN899" s="625">
        <v>0</v>
      </c>
      <c r="AO899" s="625">
        <v>0</v>
      </c>
      <c r="AP899" s="41" t="str">
        <f t="shared" si="276"/>
        <v>Reg AssetN</v>
      </c>
      <c r="AQ899" s="41" t="str">
        <f t="shared" si="277"/>
        <v>Reg AssetNN10Vegetation Management</v>
      </c>
      <c r="AR899" s="41" t="str">
        <f t="shared" si="278"/>
        <v>N10Vegetation ManagementNCR</v>
      </c>
      <c r="CK899" s="625"/>
    </row>
    <row r="900" spans="1:89" s="41" customFormat="1" ht="12.75" customHeight="1">
      <c r="A900" s="442" t="s">
        <v>746</v>
      </c>
      <c r="B900" s="442" t="str">
        <f t="shared" si="316"/>
        <v>Reg Asset182305601088-10BE030268</v>
      </c>
      <c r="C900" s="736">
        <v>182305</v>
      </c>
      <c r="D900" s="738" t="s">
        <v>867</v>
      </c>
      <c r="E900" s="626" t="s">
        <v>951</v>
      </c>
      <c r="F900" s="626" t="str">
        <f t="shared" si="311"/>
        <v>OTH REG ASSETS-UNCONTROLLABLE/EXONGENOUS COSTS-EL</v>
      </c>
      <c r="G900" s="626" t="s">
        <v>1034</v>
      </c>
      <c r="H900" s="736" t="s">
        <v>1119</v>
      </c>
      <c r="I900" s="442"/>
      <c r="J900" s="442" t="s">
        <v>7</v>
      </c>
      <c r="K900" s="442" t="str">
        <f t="shared" si="313"/>
        <v/>
      </c>
      <c r="L900" s="736" t="s">
        <v>2436</v>
      </c>
      <c r="M900" s="442" t="str">
        <f t="shared" si="252"/>
        <v>N</v>
      </c>
      <c r="N900" s="442" t="str">
        <f>IF(L900&lt;&gt;"",VLOOKUP(L900,Categories!$B$2:$D$41,2,FALSE),IF(F900&lt;&gt;"","No Cat",""))</f>
        <v>NRBASE</v>
      </c>
      <c r="O900" s="442" t="str">
        <f>IF($L900&lt;&gt;"",VLOOKUP($L900,Categories!$B$2:$D$41,3,FALSE),IF($F900&lt;&gt;"","No Cat",""))</f>
        <v>Deferrals Accruing Non-Cash Return   (other than ASGA)</v>
      </c>
      <c r="P900" s="736" t="s">
        <v>2468</v>
      </c>
      <c r="Q900" s="442" t="str">
        <f>VLOOKUP($P900,Allocators!$B$7:$F$19,5,FALSE)</f>
        <v>Not in Rate Base</v>
      </c>
      <c r="R900" s="737">
        <f>VLOOKUP($P900,Allocators!$B$7:$F$19,2,FALSE)</f>
        <v>0</v>
      </c>
      <c r="S900" s="737">
        <f>VLOOKUP($P900,Allocators!$B$7:$F$19,3,FALSE)</f>
        <v>0</v>
      </c>
      <c r="T900" s="737">
        <f t="shared" si="253"/>
        <v>1</v>
      </c>
      <c r="U900" s="2" t="str">
        <f t="shared" si="281"/>
        <v/>
      </c>
      <c r="V900" s="2" t="str">
        <f t="shared" si="282"/>
        <v/>
      </c>
      <c r="W900" s="2" t="str">
        <f t="shared" si="283"/>
        <v/>
      </c>
      <c r="X900" s="2">
        <f t="shared" si="279"/>
        <v>0</v>
      </c>
      <c r="Y900" s="2" t="str">
        <f t="shared" si="284"/>
        <v/>
      </c>
      <c r="Z900" s="2" t="str">
        <f t="shared" si="285"/>
        <v/>
      </c>
      <c r="AA900" s="2" t="str">
        <f t="shared" si="286"/>
        <v/>
      </c>
      <c r="AB900" s="2">
        <f t="shared" si="280"/>
        <v>0</v>
      </c>
      <c r="AC900" s="625">
        <v>0</v>
      </c>
      <c r="AD900" s="625">
        <v>0</v>
      </c>
      <c r="AE900" s="625">
        <v>0</v>
      </c>
      <c r="AF900" s="625">
        <v>0</v>
      </c>
      <c r="AG900" s="625">
        <v>0</v>
      </c>
      <c r="AH900" s="625">
        <v>0</v>
      </c>
      <c r="AI900" s="38">
        <v>0</v>
      </c>
      <c r="AJ900" s="625">
        <v>0</v>
      </c>
      <c r="AK900" s="625">
        <v>0</v>
      </c>
      <c r="AL900" s="625">
        <v>0</v>
      </c>
      <c r="AM900" s="625">
        <v>0</v>
      </c>
      <c r="AN900" s="625">
        <v>0</v>
      </c>
      <c r="AO900" s="625">
        <v>0</v>
      </c>
      <c r="AP900" s="41" t="str">
        <f t="shared" si="276"/>
        <v>Reg AssetN</v>
      </c>
      <c r="AQ900" s="41" t="str">
        <f t="shared" si="277"/>
        <v>Reg AssetNN10Vegetation Management</v>
      </c>
      <c r="AR900" s="41" t="str">
        <f t="shared" si="278"/>
        <v>N10Vegetation ManagementNCR</v>
      </c>
      <c r="CK900" s="625"/>
    </row>
    <row r="901" spans="1:89" s="41" customFormat="1" ht="12.75" customHeight="1">
      <c r="A901" s="25" t="s">
        <v>746</v>
      </c>
      <c r="B901" s="25" t="str">
        <f t="shared" si="316"/>
        <v>Reg Asset182305SNF-INT-08BE030395</v>
      </c>
      <c r="C901" s="736">
        <v>182305</v>
      </c>
      <c r="D901" s="738" t="s">
        <v>868</v>
      </c>
      <c r="E901" s="41" t="s">
        <v>952</v>
      </c>
      <c r="F901" s="41" t="str">
        <f t="shared" si="311"/>
        <v>OTH REG ASSETS-UNCONTROLLABLE/EXONGENOUS COSTS-EL</v>
      </c>
      <c r="G901" s="41" t="s">
        <v>1035</v>
      </c>
      <c r="H901" s="736" t="s">
        <v>1120</v>
      </c>
      <c r="I901" s="25"/>
      <c r="J901" s="25" t="str">
        <f t="shared" si="312"/>
        <v/>
      </c>
      <c r="K901" s="25" t="str">
        <f t="shared" si="313"/>
        <v/>
      </c>
      <c r="L901" s="736" t="s">
        <v>2441</v>
      </c>
      <c r="M901" s="25" t="str">
        <f t="shared" ref="M901:M964" si="317">LEFT(L901,1)</f>
        <v>R</v>
      </c>
      <c r="N901" s="25" t="str">
        <f>IF(L901&lt;&gt;"",VLOOKUP(L901,Categories!$B$2:$D$41,2,FALSE),IF(F901&lt;&gt;"","No Cat",""))</f>
        <v>Rate Base</v>
      </c>
      <c r="O901" s="25" t="str">
        <f>IF($L901&lt;&gt;"",VLOOKUP($L901,Categories!$B$2:$D$41,3,FALSE),IF($F901&lt;&gt;"","No Cat",""))</f>
        <v>Deferred Debits &amp; Credits</v>
      </c>
      <c r="P901" s="736" t="s">
        <v>2482</v>
      </c>
      <c r="Q901" s="25" t="str">
        <f>VLOOKUP($P901,Allocators!$B$7:$F$19,5,FALSE)</f>
        <v>Electric</v>
      </c>
      <c r="R901" s="737">
        <f>VLOOKUP($P901,Allocators!$B$7:$F$19,2,FALSE)</f>
        <v>1</v>
      </c>
      <c r="S901" s="737">
        <f>VLOOKUP($P901,Allocators!$B$7:$F$19,3,FALSE)</f>
        <v>0</v>
      </c>
      <c r="T901" s="737" t="str">
        <f t="shared" ref="T901:T964" si="318">IF(P901="N",1,"0.0%")</f>
        <v>0.0%</v>
      </c>
      <c r="U901" s="2" t="str">
        <f t="shared" si="281"/>
        <v/>
      </c>
      <c r="V901" s="2" t="str">
        <f t="shared" si="282"/>
        <v/>
      </c>
      <c r="W901" s="2" t="str">
        <f t="shared" si="283"/>
        <v/>
      </c>
      <c r="X901" s="2">
        <f t="shared" si="279"/>
        <v>0</v>
      </c>
      <c r="Y901" s="2" t="str">
        <f t="shared" si="284"/>
        <v/>
      </c>
      <c r="Z901" s="2" t="str">
        <f t="shared" si="285"/>
        <v/>
      </c>
      <c r="AA901" s="2" t="str">
        <f t="shared" si="286"/>
        <v/>
      </c>
      <c r="AB901" s="2">
        <f t="shared" si="280"/>
        <v>0</v>
      </c>
      <c r="AC901" s="625">
        <v>0</v>
      </c>
      <c r="AD901" s="625">
        <v>0</v>
      </c>
      <c r="AE901" s="625">
        <v>0</v>
      </c>
      <c r="AF901" s="625">
        <v>0</v>
      </c>
      <c r="AG901" s="625">
        <v>0</v>
      </c>
      <c r="AH901" s="625">
        <v>0</v>
      </c>
      <c r="AI901" s="38">
        <v>0</v>
      </c>
      <c r="AJ901" s="625">
        <v>0</v>
      </c>
      <c r="AK901" s="625">
        <v>0</v>
      </c>
      <c r="AL901" s="625">
        <v>0</v>
      </c>
      <c r="AM901" s="625">
        <v>0</v>
      </c>
      <c r="AN901" s="625">
        <v>0</v>
      </c>
      <c r="AO901" s="625">
        <v>0</v>
      </c>
      <c r="AP901" s="41" t="str">
        <f t="shared" si="276"/>
        <v>Reg AssetR</v>
      </c>
      <c r="AQ901" s="41" t="str">
        <f t="shared" si="277"/>
        <v>Reg AssetRR10DOE Liability - True-up-2004</v>
      </c>
      <c r="AR901" s="41" t="str">
        <f t="shared" si="278"/>
        <v>R10DOE Liability - True-up-2004</v>
      </c>
      <c r="CK901" s="625"/>
    </row>
    <row r="902" spans="1:89" s="41" customFormat="1" ht="12.75" customHeight="1">
      <c r="A902" s="25" t="s">
        <v>746</v>
      </c>
      <c r="B902" s="25" t="str">
        <f t="shared" si="316"/>
        <v>Reg Asset182305SNF-INT-09BE030395</v>
      </c>
      <c r="C902" s="736">
        <v>182305</v>
      </c>
      <c r="D902" s="738" t="s">
        <v>869</v>
      </c>
      <c r="E902" s="41" t="s">
        <v>952</v>
      </c>
      <c r="F902" s="41" t="str">
        <f t="shared" si="311"/>
        <v>OTH REG ASSETS-UNCONTROLLABLE/EXONGENOUS COSTS-EL</v>
      </c>
      <c r="G902" s="41" t="s">
        <v>1036</v>
      </c>
      <c r="H902" s="736" t="s">
        <v>1120</v>
      </c>
      <c r="I902" s="25"/>
      <c r="J902" s="25" t="str">
        <f t="shared" si="312"/>
        <v/>
      </c>
      <c r="K902" s="25" t="str">
        <f t="shared" si="313"/>
        <v/>
      </c>
      <c r="L902" s="736" t="s">
        <v>2441</v>
      </c>
      <c r="M902" s="25" t="str">
        <f t="shared" si="317"/>
        <v>R</v>
      </c>
      <c r="N902" s="25" t="str">
        <f>IF(L902&lt;&gt;"",VLOOKUP(L902,Categories!$B$2:$D$41,2,FALSE),IF(F902&lt;&gt;"","No Cat",""))</f>
        <v>Rate Base</v>
      </c>
      <c r="O902" s="25" t="str">
        <f>IF($L902&lt;&gt;"",VLOOKUP($L902,Categories!$B$2:$D$41,3,FALSE),IF($F902&lt;&gt;"","No Cat",""))</f>
        <v>Deferred Debits &amp; Credits</v>
      </c>
      <c r="P902" s="736" t="s">
        <v>2482</v>
      </c>
      <c r="Q902" s="25" t="str">
        <f>VLOOKUP($P902,Allocators!$B$7:$F$19,5,FALSE)</f>
        <v>Electric</v>
      </c>
      <c r="R902" s="737">
        <f>VLOOKUP($P902,Allocators!$B$7:$F$19,2,FALSE)</f>
        <v>1</v>
      </c>
      <c r="S902" s="737">
        <f>VLOOKUP($P902,Allocators!$B$7:$F$19,3,FALSE)</f>
        <v>0</v>
      </c>
      <c r="T902" s="737" t="str">
        <f t="shared" si="318"/>
        <v>0.0%</v>
      </c>
      <c r="U902" s="2" t="str">
        <f t="shared" si="281"/>
        <v/>
      </c>
      <c r="V902" s="2" t="str">
        <f t="shared" si="282"/>
        <v/>
      </c>
      <c r="W902" s="2" t="str">
        <f t="shared" si="283"/>
        <v/>
      </c>
      <c r="X902" s="2">
        <f t="shared" si="279"/>
        <v>0</v>
      </c>
      <c r="Y902" s="2" t="str">
        <f t="shared" si="284"/>
        <v/>
      </c>
      <c r="Z902" s="2" t="str">
        <f t="shared" si="285"/>
        <v/>
      </c>
      <c r="AA902" s="2" t="str">
        <f t="shared" si="286"/>
        <v/>
      </c>
      <c r="AB902" s="2">
        <f t="shared" si="280"/>
        <v>0</v>
      </c>
      <c r="AC902" s="625">
        <v>0</v>
      </c>
      <c r="AD902" s="625">
        <v>0</v>
      </c>
      <c r="AE902" s="625">
        <v>0</v>
      </c>
      <c r="AF902" s="625">
        <v>0</v>
      </c>
      <c r="AG902" s="625">
        <v>0</v>
      </c>
      <c r="AH902" s="625">
        <v>0</v>
      </c>
      <c r="AI902" s="38">
        <v>0</v>
      </c>
      <c r="AJ902" s="625">
        <v>0</v>
      </c>
      <c r="AK902" s="625">
        <v>0</v>
      </c>
      <c r="AL902" s="625">
        <v>0</v>
      </c>
      <c r="AM902" s="625">
        <v>0</v>
      </c>
      <c r="AN902" s="625">
        <v>0</v>
      </c>
      <c r="AO902" s="625">
        <v>0</v>
      </c>
      <c r="AP902" s="41" t="str">
        <f t="shared" si="276"/>
        <v>Reg AssetR</v>
      </c>
      <c r="AQ902" s="41" t="str">
        <f t="shared" si="277"/>
        <v>Reg AssetRR10DOE Liability - True-up-2004</v>
      </c>
      <c r="AR902" s="41" t="str">
        <f t="shared" si="278"/>
        <v>R10DOE Liability - True-up-2004</v>
      </c>
      <c r="CK902" s="625"/>
    </row>
    <row r="903" spans="1:89" s="41" customFormat="1" ht="12.75" customHeight="1">
      <c r="A903" s="25" t="s">
        <v>746</v>
      </c>
      <c r="B903" s="25" t="str">
        <f t="shared" si="316"/>
        <v>Reg Asset182305SNF-INT-10BE030395</v>
      </c>
      <c r="C903" s="736">
        <v>182305</v>
      </c>
      <c r="D903" s="738" t="s">
        <v>870</v>
      </c>
      <c r="E903" s="41" t="s">
        <v>952</v>
      </c>
      <c r="F903" s="41" t="str">
        <f t="shared" si="311"/>
        <v>OTH REG ASSETS-UNCONTROLLABLE/EXONGENOUS COSTS-EL</v>
      </c>
      <c r="G903" s="41" t="s">
        <v>1037</v>
      </c>
      <c r="H903" s="736" t="s">
        <v>1120</v>
      </c>
      <c r="I903" s="25"/>
      <c r="J903" s="25" t="str">
        <f t="shared" si="312"/>
        <v/>
      </c>
      <c r="K903" s="25" t="str">
        <f t="shared" si="313"/>
        <v/>
      </c>
      <c r="L903" s="736" t="s">
        <v>2441</v>
      </c>
      <c r="M903" s="25" t="str">
        <f t="shared" si="317"/>
        <v>R</v>
      </c>
      <c r="N903" s="25" t="str">
        <f>IF(L903&lt;&gt;"",VLOOKUP(L903,Categories!$B$2:$D$41,2,FALSE),IF(F903&lt;&gt;"","No Cat",""))</f>
        <v>Rate Base</v>
      </c>
      <c r="O903" s="25" t="str">
        <f>IF($L903&lt;&gt;"",VLOOKUP($L903,Categories!$B$2:$D$41,3,FALSE),IF($F903&lt;&gt;"","No Cat",""))</f>
        <v>Deferred Debits &amp; Credits</v>
      </c>
      <c r="P903" s="736" t="s">
        <v>2482</v>
      </c>
      <c r="Q903" s="25" t="str">
        <f>VLOOKUP($P903,Allocators!$B$7:$F$19,5,FALSE)</f>
        <v>Electric</v>
      </c>
      <c r="R903" s="737">
        <f>VLOOKUP($P903,Allocators!$B$7:$F$19,2,FALSE)</f>
        <v>1</v>
      </c>
      <c r="S903" s="737">
        <f>VLOOKUP($P903,Allocators!$B$7:$F$19,3,FALSE)</f>
        <v>0</v>
      </c>
      <c r="T903" s="737" t="str">
        <f t="shared" si="318"/>
        <v>0.0%</v>
      </c>
      <c r="U903" s="2" t="str">
        <f t="shared" si="281"/>
        <v/>
      </c>
      <c r="V903" s="2" t="str">
        <f t="shared" si="282"/>
        <v/>
      </c>
      <c r="W903" s="2" t="str">
        <f t="shared" si="283"/>
        <v/>
      </c>
      <c r="X903" s="2">
        <f t="shared" si="279"/>
        <v>0</v>
      </c>
      <c r="Y903" s="2" t="str">
        <f t="shared" si="284"/>
        <v/>
      </c>
      <c r="Z903" s="2" t="str">
        <f t="shared" si="285"/>
        <v/>
      </c>
      <c r="AA903" s="2" t="str">
        <f t="shared" si="286"/>
        <v/>
      </c>
      <c r="AB903" s="2">
        <f t="shared" si="280"/>
        <v>0</v>
      </c>
      <c r="AC903" s="625">
        <v>0</v>
      </c>
      <c r="AD903" s="625">
        <v>0</v>
      </c>
      <c r="AE903" s="625">
        <v>0</v>
      </c>
      <c r="AF903" s="625">
        <v>0</v>
      </c>
      <c r="AG903" s="625">
        <v>0</v>
      </c>
      <c r="AH903" s="625">
        <v>0</v>
      </c>
      <c r="AI903" s="38">
        <v>0</v>
      </c>
      <c r="AJ903" s="625">
        <v>0</v>
      </c>
      <c r="AK903" s="625">
        <v>0</v>
      </c>
      <c r="AL903" s="625">
        <v>0</v>
      </c>
      <c r="AM903" s="625">
        <v>0</v>
      </c>
      <c r="AN903" s="625">
        <v>0</v>
      </c>
      <c r="AO903" s="625">
        <v>0</v>
      </c>
      <c r="AP903" s="41" t="str">
        <f t="shared" ref="AP903:AP966" si="319">CONCATENATE(A903,M903)</f>
        <v>Reg AssetR</v>
      </c>
      <c r="AQ903" s="41" t="str">
        <f t="shared" ref="AQ903:AQ966" si="320">CONCATENATE(AP903,L903,H903)</f>
        <v>Reg AssetRR10DOE Liability - True-up-2004</v>
      </c>
      <c r="AR903" s="41" t="str">
        <f t="shared" ref="AR903:AR966" si="321">CONCATENATE(L903,H903,J903)</f>
        <v>R10DOE Liability - True-up-2004</v>
      </c>
      <c r="CK903" s="625"/>
    </row>
    <row r="904" spans="1:89" s="41" customFormat="1" ht="12.75" customHeight="1">
      <c r="A904" s="442" t="s">
        <v>746</v>
      </c>
      <c r="B904" s="442" t="str">
        <f t="shared" si="316"/>
        <v>Reg Asset182305SNF-INT-NBE030416</v>
      </c>
      <c r="C904" s="736">
        <v>182305</v>
      </c>
      <c r="D904" s="738" t="s">
        <v>871</v>
      </c>
      <c r="E904" s="626" t="s">
        <v>759</v>
      </c>
      <c r="F904" s="626" t="str">
        <f t="shared" si="311"/>
        <v>OTH REG ASSETS-UNCONTROLLABLE/EXONGENOUS COSTS-EL</v>
      </c>
      <c r="G904" s="626" t="s">
        <v>1038</v>
      </c>
      <c r="H904" s="736" t="s">
        <v>1121</v>
      </c>
      <c r="I904" s="442"/>
      <c r="J904" s="442" t="s">
        <v>7</v>
      </c>
      <c r="K904" s="442" t="str">
        <f t="shared" si="313"/>
        <v/>
      </c>
      <c r="L904" s="736" t="s">
        <v>2436</v>
      </c>
      <c r="M904" s="442" t="str">
        <f t="shared" si="317"/>
        <v>N</v>
      </c>
      <c r="N904" s="442" t="str">
        <f>IF(L904&lt;&gt;"",VLOOKUP(L904,Categories!$B$2:$D$41,2,FALSE),IF(F904&lt;&gt;"","No Cat",""))</f>
        <v>NRBASE</v>
      </c>
      <c r="O904" s="442" t="str">
        <f>IF($L904&lt;&gt;"",VLOOKUP($L904,Categories!$B$2:$D$41,3,FALSE),IF($F904&lt;&gt;"","No Cat",""))</f>
        <v>Deferrals Accruing Non-Cash Return   (other than ASGA)</v>
      </c>
      <c r="P904" s="736" t="s">
        <v>2468</v>
      </c>
      <c r="Q904" s="442" t="str">
        <f>VLOOKUP($P904,Allocators!$B$7:$F$19,5,FALSE)</f>
        <v>Not in Rate Base</v>
      </c>
      <c r="R904" s="737">
        <f>VLOOKUP($P904,Allocators!$B$7:$F$19,2,FALSE)</f>
        <v>0</v>
      </c>
      <c r="S904" s="737">
        <f>VLOOKUP($P904,Allocators!$B$7:$F$19,3,FALSE)</f>
        <v>0</v>
      </c>
      <c r="T904" s="737">
        <f t="shared" si="318"/>
        <v>1</v>
      </c>
      <c r="U904" s="2" t="str">
        <f t="shared" si="281"/>
        <v/>
      </c>
      <c r="V904" s="2" t="str">
        <f t="shared" si="282"/>
        <v/>
      </c>
      <c r="W904" s="2" t="str">
        <f t="shared" si="283"/>
        <v/>
      </c>
      <c r="X904" s="2">
        <f t="shared" ref="X904:X967" si="322">IF(ISERROR(ROUND((SUM(AC904:AO904)-((AC904+AO904))/2)/12,15)),"",ROUND((SUM(AC904:AO904)-((AC904+AO904))/2)/12,15))</f>
        <v>0</v>
      </c>
      <c r="Y904" s="2" t="str">
        <f t="shared" si="284"/>
        <v/>
      </c>
      <c r="Z904" s="2" t="str">
        <f t="shared" si="285"/>
        <v/>
      </c>
      <c r="AA904" s="2" t="str">
        <f t="shared" si="286"/>
        <v/>
      </c>
      <c r="AB904" s="2">
        <f t="shared" ref="AB904:AB967" si="323">IF(AO904="",0,+AO904)</f>
        <v>0</v>
      </c>
      <c r="AC904" s="625">
        <v>0</v>
      </c>
      <c r="AD904" s="625">
        <v>0</v>
      </c>
      <c r="AE904" s="625">
        <v>0</v>
      </c>
      <c r="AF904" s="625">
        <v>0</v>
      </c>
      <c r="AG904" s="625">
        <v>0</v>
      </c>
      <c r="AH904" s="625">
        <v>0</v>
      </c>
      <c r="AI904" s="38">
        <v>0</v>
      </c>
      <c r="AJ904" s="625">
        <v>0</v>
      </c>
      <c r="AK904" s="625">
        <v>0</v>
      </c>
      <c r="AL904" s="625">
        <v>0</v>
      </c>
      <c r="AM904" s="625">
        <v>0</v>
      </c>
      <c r="AN904" s="625">
        <v>0</v>
      </c>
      <c r="AO904" s="625">
        <v>0</v>
      </c>
      <c r="AP904" s="41" t="str">
        <f t="shared" si="319"/>
        <v>Reg AssetN</v>
      </c>
      <c r="AQ904" s="41" t="str">
        <f t="shared" si="320"/>
        <v>Reg AssetNN10DOE Liability - True-up-2011</v>
      </c>
      <c r="AR904" s="41" t="str">
        <f t="shared" si="321"/>
        <v>N10DOE Liability - True-up-2011NCR</v>
      </c>
      <c r="CK904" s="625"/>
    </row>
    <row r="905" spans="1:89" s="41" customFormat="1" ht="12.75" customHeight="1">
      <c r="A905" s="25" t="s">
        <v>746</v>
      </c>
      <c r="B905" s="25" t="str">
        <f t="shared" si="316"/>
        <v>Reg Asset182305SNF-INT-ABE030395</v>
      </c>
      <c r="C905" s="736">
        <v>182305</v>
      </c>
      <c r="D905" s="738" t="s">
        <v>872</v>
      </c>
      <c r="E905" s="41" t="s">
        <v>952</v>
      </c>
      <c r="F905" s="41" t="str">
        <f t="shared" si="311"/>
        <v>OTH REG ASSETS-UNCONTROLLABLE/EXONGENOUS COSTS-EL</v>
      </c>
      <c r="G905" s="41" t="s">
        <v>1039</v>
      </c>
      <c r="H905" s="736" t="s">
        <v>1120</v>
      </c>
      <c r="I905" s="25"/>
      <c r="J905" s="25" t="str">
        <f t="shared" si="312"/>
        <v/>
      </c>
      <c r="K905" s="25" t="str">
        <f t="shared" si="313"/>
        <v/>
      </c>
      <c r="L905" s="736" t="s">
        <v>2441</v>
      </c>
      <c r="M905" s="25" t="str">
        <f t="shared" si="317"/>
        <v>R</v>
      </c>
      <c r="N905" s="25" t="str">
        <f>IF(L905&lt;&gt;"",VLOOKUP(L905,Categories!$B$2:$D$41,2,FALSE),IF(F905&lt;&gt;"","No Cat",""))</f>
        <v>Rate Base</v>
      </c>
      <c r="O905" s="25" t="str">
        <f>IF($L905&lt;&gt;"",VLOOKUP($L905,Categories!$B$2:$D$41,3,FALSE),IF($F905&lt;&gt;"","No Cat",""))</f>
        <v>Deferred Debits &amp; Credits</v>
      </c>
      <c r="P905" s="736" t="s">
        <v>2482</v>
      </c>
      <c r="Q905" s="25" t="str">
        <f>VLOOKUP($P905,Allocators!$B$7:$F$19,5,FALSE)</f>
        <v>Electric</v>
      </c>
      <c r="R905" s="737">
        <f>VLOOKUP($P905,Allocators!$B$7:$F$19,2,FALSE)</f>
        <v>1</v>
      </c>
      <c r="S905" s="737">
        <f>VLOOKUP($P905,Allocators!$B$7:$F$19,3,FALSE)</f>
        <v>0</v>
      </c>
      <c r="T905" s="737" t="str">
        <f t="shared" si="318"/>
        <v>0.0%</v>
      </c>
      <c r="U905" s="2" t="str">
        <f t="shared" si="281"/>
        <v/>
      </c>
      <c r="V905" s="2" t="str">
        <f t="shared" si="282"/>
        <v/>
      </c>
      <c r="W905" s="2" t="str">
        <f t="shared" si="283"/>
        <v/>
      </c>
      <c r="X905" s="2">
        <f t="shared" si="322"/>
        <v>0</v>
      </c>
      <c r="Y905" s="2" t="str">
        <f t="shared" si="284"/>
        <v/>
      </c>
      <c r="Z905" s="2" t="str">
        <f t="shared" si="285"/>
        <v/>
      </c>
      <c r="AA905" s="2" t="str">
        <f t="shared" si="286"/>
        <v/>
      </c>
      <c r="AB905" s="2">
        <f t="shared" si="323"/>
        <v>0</v>
      </c>
      <c r="AC905" s="625">
        <v>0</v>
      </c>
      <c r="AD905" s="625">
        <v>0</v>
      </c>
      <c r="AE905" s="625">
        <v>0</v>
      </c>
      <c r="AF905" s="625">
        <v>0</v>
      </c>
      <c r="AG905" s="625">
        <v>0</v>
      </c>
      <c r="AH905" s="625">
        <v>0</v>
      </c>
      <c r="AI905" s="38">
        <v>0</v>
      </c>
      <c r="AJ905" s="625">
        <v>0</v>
      </c>
      <c r="AK905" s="625">
        <v>0</v>
      </c>
      <c r="AL905" s="625">
        <v>0</v>
      </c>
      <c r="AM905" s="625">
        <v>0</v>
      </c>
      <c r="AN905" s="625">
        <v>0</v>
      </c>
      <c r="AO905" s="625">
        <v>0</v>
      </c>
      <c r="AP905" s="41" t="str">
        <f t="shared" si="319"/>
        <v>Reg AssetR</v>
      </c>
      <c r="AQ905" s="41" t="str">
        <f t="shared" si="320"/>
        <v>Reg AssetRR10DOE Liability - True-up-2004</v>
      </c>
      <c r="AR905" s="41" t="str">
        <f t="shared" si="321"/>
        <v>R10DOE Liability - True-up-2004</v>
      </c>
      <c r="CK905" s="625"/>
    </row>
    <row r="906" spans="1:89" s="41" customFormat="1" ht="12.75" customHeight="1">
      <c r="A906" s="25" t="s">
        <v>746</v>
      </c>
      <c r="B906" s="25" t="str">
        <f t="shared" si="316"/>
        <v>Reg Asset182305SNF-INT-LBE030395</v>
      </c>
      <c r="C906" s="736">
        <v>182305</v>
      </c>
      <c r="D906" s="738" t="s">
        <v>873</v>
      </c>
      <c r="E906" s="41" t="s">
        <v>952</v>
      </c>
      <c r="F906" s="41" t="str">
        <f t="shared" si="311"/>
        <v>OTH REG ASSETS-UNCONTROLLABLE/EXONGENOUS COSTS-EL</v>
      </c>
      <c r="G906" s="41" t="s">
        <v>1039</v>
      </c>
      <c r="H906" s="736" t="s">
        <v>1120</v>
      </c>
      <c r="I906" s="25"/>
      <c r="J906" s="25" t="str">
        <f t="shared" si="312"/>
        <v/>
      </c>
      <c r="K906" s="25" t="str">
        <f t="shared" si="313"/>
        <v/>
      </c>
      <c r="L906" s="736" t="s">
        <v>2441</v>
      </c>
      <c r="M906" s="25" t="str">
        <f t="shared" si="317"/>
        <v>R</v>
      </c>
      <c r="N906" s="25" t="str">
        <f>IF(L906&lt;&gt;"",VLOOKUP(L906,Categories!$B$2:$D$41,2,FALSE),IF(F906&lt;&gt;"","No Cat",""))</f>
        <v>Rate Base</v>
      </c>
      <c r="O906" s="25" t="str">
        <f>IF($L906&lt;&gt;"",VLOOKUP($L906,Categories!$B$2:$D$41,3,FALSE),IF($F906&lt;&gt;"","No Cat",""))</f>
        <v>Deferred Debits &amp; Credits</v>
      </c>
      <c r="P906" s="736" t="s">
        <v>2482</v>
      </c>
      <c r="Q906" s="25" t="str">
        <f>VLOOKUP($P906,Allocators!$B$7:$F$19,5,FALSE)</f>
        <v>Electric</v>
      </c>
      <c r="R906" s="737">
        <f>VLOOKUP($P906,Allocators!$B$7:$F$19,2,FALSE)</f>
        <v>1</v>
      </c>
      <c r="S906" s="737">
        <f>VLOOKUP($P906,Allocators!$B$7:$F$19,3,FALSE)</f>
        <v>0</v>
      </c>
      <c r="T906" s="737" t="str">
        <f t="shared" si="318"/>
        <v>0.0%</v>
      </c>
      <c r="U906" s="2" t="str">
        <f t="shared" si="281"/>
        <v/>
      </c>
      <c r="V906" s="2" t="str">
        <f t="shared" si="282"/>
        <v/>
      </c>
      <c r="W906" s="2" t="str">
        <f t="shared" si="283"/>
        <v/>
      </c>
      <c r="X906" s="2">
        <f t="shared" si="322"/>
        <v>0</v>
      </c>
      <c r="Y906" s="2" t="str">
        <f t="shared" si="284"/>
        <v/>
      </c>
      <c r="Z906" s="2" t="str">
        <f t="shared" si="285"/>
        <v/>
      </c>
      <c r="AA906" s="2" t="str">
        <f t="shared" si="286"/>
        <v/>
      </c>
      <c r="AB906" s="2">
        <f t="shared" si="323"/>
        <v>0</v>
      </c>
      <c r="AC906" s="625">
        <v>0</v>
      </c>
      <c r="AD906" s="625">
        <v>0</v>
      </c>
      <c r="AE906" s="625">
        <v>0</v>
      </c>
      <c r="AF906" s="625">
        <v>0</v>
      </c>
      <c r="AG906" s="625">
        <v>0</v>
      </c>
      <c r="AH906" s="625">
        <v>0</v>
      </c>
      <c r="AI906" s="38">
        <v>0</v>
      </c>
      <c r="AJ906" s="625">
        <v>0</v>
      </c>
      <c r="AK906" s="625">
        <v>0</v>
      </c>
      <c r="AL906" s="625">
        <v>0</v>
      </c>
      <c r="AM906" s="625">
        <v>0</v>
      </c>
      <c r="AN906" s="625">
        <v>0</v>
      </c>
      <c r="AO906" s="625">
        <v>0</v>
      </c>
      <c r="AP906" s="41" t="str">
        <f t="shared" si="319"/>
        <v>Reg AssetR</v>
      </c>
      <c r="AQ906" s="41" t="str">
        <f t="shared" si="320"/>
        <v>Reg AssetRR10DOE Liability - True-up-2004</v>
      </c>
      <c r="AR906" s="41" t="str">
        <f t="shared" si="321"/>
        <v>R10DOE Liability - True-up-2004</v>
      </c>
      <c r="CK906" s="625"/>
    </row>
    <row r="907" spans="1:89" s="41" customFormat="1" ht="12.75" customHeight="1">
      <c r="A907" s="442" t="s">
        <v>746</v>
      </c>
      <c r="B907" s="442" t="str">
        <f t="shared" si="316"/>
        <v>Reg Asset182305601090-OffsetBE030416</v>
      </c>
      <c r="C907" s="736">
        <v>182305</v>
      </c>
      <c r="D907" s="738" t="s">
        <v>874</v>
      </c>
      <c r="E907" s="626" t="s">
        <v>759</v>
      </c>
      <c r="F907" s="626" t="str">
        <f t="shared" si="311"/>
        <v>OTH REG ASSETS-UNCONTROLLABLE/EXONGENOUS COSTS-EL</v>
      </c>
      <c r="G907" s="626" t="s">
        <v>1040</v>
      </c>
      <c r="H907" s="736" t="s">
        <v>813</v>
      </c>
      <c r="I907" s="442"/>
      <c r="J907" s="442" t="s">
        <v>7</v>
      </c>
      <c r="K907" s="442" t="str">
        <f t="shared" si="313"/>
        <v/>
      </c>
      <c r="L907" s="736" t="s">
        <v>2436</v>
      </c>
      <c r="M907" s="442" t="str">
        <f t="shared" si="317"/>
        <v>N</v>
      </c>
      <c r="N907" s="442" t="str">
        <f>IF(L907&lt;&gt;"",VLOOKUP(L907,Categories!$B$2:$D$41,2,FALSE),IF(F907&lt;&gt;"","No Cat",""))</f>
        <v>NRBASE</v>
      </c>
      <c r="O907" s="442" t="str">
        <f>IF($L907&lt;&gt;"",VLOOKUP($L907,Categories!$B$2:$D$41,3,FALSE),IF($F907&lt;&gt;"","No Cat",""))</f>
        <v>Deferrals Accruing Non-Cash Return   (other than ASGA)</v>
      </c>
      <c r="P907" s="736" t="s">
        <v>2468</v>
      </c>
      <c r="Q907" s="442" t="str">
        <f>VLOOKUP($P907,Allocators!$B$7:$F$19,5,FALSE)</f>
        <v>Not in Rate Base</v>
      </c>
      <c r="R907" s="737">
        <f>VLOOKUP($P907,Allocators!$B$7:$F$19,2,FALSE)</f>
        <v>0</v>
      </c>
      <c r="S907" s="737">
        <f>VLOOKUP($P907,Allocators!$B$7:$F$19,3,FALSE)</f>
        <v>0</v>
      </c>
      <c r="T907" s="737">
        <f t="shared" si="318"/>
        <v>1</v>
      </c>
      <c r="U907" s="2" t="str">
        <f t="shared" si="281"/>
        <v/>
      </c>
      <c r="V907" s="2" t="str">
        <f t="shared" si="282"/>
        <v/>
      </c>
      <c r="W907" s="2" t="str">
        <f t="shared" si="283"/>
        <v/>
      </c>
      <c r="X907" s="2">
        <f t="shared" si="322"/>
        <v>0</v>
      </c>
      <c r="Y907" s="2" t="str">
        <f t="shared" si="284"/>
        <v/>
      </c>
      <c r="Z907" s="2" t="str">
        <f t="shared" si="285"/>
        <v/>
      </c>
      <c r="AA907" s="2" t="str">
        <f t="shared" si="286"/>
        <v/>
      </c>
      <c r="AB907" s="2">
        <f t="shared" si="323"/>
        <v>0</v>
      </c>
      <c r="AC907" s="625">
        <v>0</v>
      </c>
      <c r="AD907" s="625">
        <v>0</v>
      </c>
      <c r="AE907" s="625">
        <v>0</v>
      </c>
      <c r="AF907" s="625">
        <v>0</v>
      </c>
      <c r="AG907" s="625">
        <v>0</v>
      </c>
      <c r="AH907" s="625">
        <v>0</v>
      </c>
      <c r="AI907" s="38">
        <v>0</v>
      </c>
      <c r="AJ907" s="625">
        <v>0</v>
      </c>
      <c r="AK907" s="625">
        <v>0</v>
      </c>
      <c r="AL907" s="625">
        <v>0</v>
      </c>
      <c r="AM907" s="625">
        <v>0</v>
      </c>
      <c r="AN907" s="625">
        <v>0</v>
      </c>
      <c r="AO907" s="625">
        <v>0</v>
      </c>
      <c r="AP907" s="41" t="str">
        <f t="shared" si="319"/>
        <v>Reg AssetN</v>
      </c>
      <c r="AQ907" s="41" t="str">
        <f t="shared" si="320"/>
        <v>Reg AssetNN10ESM</v>
      </c>
      <c r="AR907" s="41" t="str">
        <f t="shared" si="321"/>
        <v>N10ESMNCR</v>
      </c>
      <c r="CK907" s="625"/>
    </row>
    <row r="908" spans="1:89" s="41" customFormat="1" ht="12.75" customHeight="1">
      <c r="A908" s="442" t="s">
        <v>746</v>
      </c>
      <c r="B908" s="442" t="str">
        <f t="shared" si="316"/>
        <v>Reg Asset182305601090-LimitBE030416</v>
      </c>
      <c r="C908" s="736">
        <v>182305</v>
      </c>
      <c r="D908" s="738" t="s">
        <v>875</v>
      </c>
      <c r="E908" s="626" t="s">
        <v>759</v>
      </c>
      <c r="F908" s="626" t="str">
        <f t="shared" si="311"/>
        <v>OTH REG ASSETS-UNCONTROLLABLE/EXONGENOUS COSTS-EL</v>
      </c>
      <c r="G908" s="626" t="s">
        <v>1041</v>
      </c>
      <c r="H908" s="736" t="s">
        <v>813</v>
      </c>
      <c r="I908" s="442"/>
      <c r="J908" s="442" t="s">
        <v>7</v>
      </c>
      <c r="K908" s="442" t="str">
        <f t="shared" si="313"/>
        <v/>
      </c>
      <c r="L908" s="736" t="s">
        <v>2436</v>
      </c>
      <c r="M908" s="442" t="str">
        <f t="shared" si="317"/>
        <v>N</v>
      </c>
      <c r="N908" s="442" t="str">
        <f>IF(L908&lt;&gt;"",VLOOKUP(L908,Categories!$B$2:$D$41,2,FALSE),IF(F908&lt;&gt;"","No Cat",""))</f>
        <v>NRBASE</v>
      </c>
      <c r="O908" s="442" t="str">
        <f>IF($L908&lt;&gt;"",VLOOKUP($L908,Categories!$B$2:$D$41,3,FALSE),IF($F908&lt;&gt;"","No Cat",""))</f>
        <v>Deferrals Accruing Non-Cash Return   (other than ASGA)</v>
      </c>
      <c r="P908" s="736" t="s">
        <v>2468</v>
      </c>
      <c r="Q908" s="442" t="str">
        <f>VLOOKUP($P908,Allocators!$B$7:$F$19,5,FALSE)</f>
        <v>Not in Rate Base</v>
      </c>
      <c r="R908" s="737">
        <f>VLOOKUP($P908,Allocators!$B$7:$F$19,2,FALSE)</f>
        <v>0</v>
      </c>
      <c r="S908" s="737">
        <f>VLOOKUP($P908,Allocators!$B$7:$F$19,3,FALSE)</f>
        <v>0</v>
      </c>
      <c r="T908" s="737">
        <f t="shared" si="318"/>
        <v>1</v>
      </c>
      <c r="U908" s="2" t="str">
        <f t="shared" ref="U908:U971" si="324">IF(ABS(X908)=0,"",IF($R908="NO ALLOC","NO ALLOC",ROUND($R908*X908,15)))</f>
        <v/>
      </c>
      <c r="V908" s="2" t="str">
        <f t="shared" ref="V908:V971" si="325">IF(ABS(X908)=0,"",IF($S908="NO ALLOC","NO ALLOC",ROUND($S908*X908,15)))</f>
        <v/>
      </c>
      <c r="W908" s="2" t="str">
        <f t="shared" ref="W908:W971" si="326">IF(ABS(X908)=0,"",IF($T908="NO ALLOC","NO ALLOC",ROUND($T908*X908,15)))</f>
        <v/>
      </c>
      <c r="X908" s="2">
        <f t="shared" si="322"/>
        <v>0</v>
      </c>
      <c r="Y908" s="2" t="str">
        <f t="shared" ref="Y908:Y971" si="327">IF(ABS(AB908)=0,"",IF($R908="NO ALLOC","NO ALLOC",ROUND($R908*AB908,15)))</f>
        <v/>
      </c>
      <c r="Z908" s="2" t="str">
        <f t="shared" ref="Z908:Z971" si="328">IF(ABS(AB908)=0,"",IF($S908="NO ALLOC","NO ALLOC",ROUND($S908*AB908,15)))</f>
        <v/>
      </c>
      <c r="AA908" s="2" t="str">
        <f t="shared" ref="AA908:AA971" si="329">IF(ABS(AB908)=0,"",IF($T908="NO ALLOC","NO ALLOC",ROUND($T908*AB908,15)))</f>
        <v/>
      </c>
      <c r="AB908" s="2">
        <f t="shared" si="323"/>
        <v>0</v>
      </c>
      <c r="AC908" s="625">
        <v>0</v>
      </c>
      <c r="AD908" s="625">
        <v>0</v>
      </c>
      <c r="AE908" s="625">
        <v>0</v>
      </c>
      <c r="AF908" s="625">
        <v>0</v>
      </c>
      <c r="AG908" s="625">
        <v>0</v>
      </c>
      <c r="AH908" s="625">
        <v>0</v>
      </c>
      <c r="AI908" s="38">
        <v>0</v>
      </c>
      <c r="AJ908" s="625">
        <v>0</v>
      </c>
      <c r="AK908" s="625">
        <v>0</v>
      </c>
      <c r="AL908" s="625">
        <v>0</v>
      </c>
      <c r="AM908" s="625">
        <v>0</v>
      </c>
      <c r="AN908" s="625">
        <v>0</v>
      </c>
      <c r="AO908" s="625">
        <v>0</v>
      </c>
      <c r="AP908" s="41" t="str">
        <f t="shared" si="319"/>
        <v>Reg AssetN</v>
      </c>
      <c r="AQ908" s="41" t="str">
        <f t="shared" si="320"/>
        <v>Reg AssetNN10ESM</v>
      </c>
      <c r="AR908" s="41" t="str">
        <f t="shared" si="321"/>
        <v>N10ESMNCR</v>
      </c>
      <c r="CK908" s="625"/>
    </row>
    <row r="909" spans="1:89" s="41" customFormat="1" ht="12.75" customHeight="1">
      <c r="A909" s="442" t="s">
        <v>746</v>
      </c>
      <c r="B909" s="442" t="str">
        <f t="shared" si="316"/>
        <v>Reg Asset182305601063EBE030412</v>
      </c>
      <c r="C909" s="736">
        <v>182305</v>
      </c>
      <c r="D909" s="738" t="s">
        <v>876</v>
      </c>
      <c r="E909" s="626" t="s">
        <v>953</v>
      </c>
      <c r="F909" s="626" t="str">
        <f t="shared" si="311"/>
        <v>OTH REG ASSETS-UNCONTROLLABLE/EXONGENOUS COSTS-EL</v>
      </c>
      <c r="G909" s="626" t="s">
        <v>1042</v>
      </c>
      <c r="H909" s="736" t="s">
        <v>1122</v>
      </c>
      <c r="I909" s="442"/>
      <c r="J909" s="442" t="s">
        <v>7</v>
      </c>
      <c r="K909" s="442" t="str">
        <f t="shared" si="313"/>
        <v/>
      </c>
      <c r="L909" s="736" t="s">
        <v>2436</v>
      </c>
      <c r="M909" s="442" t="str">
        <f t="shared" si="317"/>
        <v>N</v>
      </c>
      <c r="N909" s="442" t="str">
        <f>IF(L909&lt;&gt;"",VLOOKUP(L909,Categories!$B$2:$D$41,2,FALSE),IF(F909&lt;&gt;"","No Cat",""))</f>
        <v>NRBASE</v>
      </c>
      <c r="O909" s="442" t="str">
        <f>IF($L909&lt;&gt;"",VLOOKUP($L909,Categories!$B$2:$D$41,3,FALSE),IF($F909&lt;&gt;"","No Cat",""))</f>
        <v>Deferrals Accruing Non-Cash Return   (other than ASGA)</v>
      </c>
      <c r="P909" s="736" t="s">
        <v>2468</v>
      </c>
      <c r="Q909" s="442" t="str">
        <f>VLOOKUP($P909,Allocators!$B$7:$F$19,5,FALSE)</f>
        <v>Not in Rate Base</v>
      </c>
      <c r="R909" s="737">
        <f>VLOOKUP($P909,Allocators!$B$7:$F$19,2,FALSE)</f>
        <v>0</v>
      </c>
      <c r="S909" s="737">
        <f>VLOOKUP($P909,Allocators!$B$7:$F$19,3,FALSE)</f>
        <v>0</v>
      </c>
      <c r="T909" s="737">
        <f t="shared" si="318"/>
        <v>1</v>
      </c>
      <c r="U909" s="2" t="str">
        <f t="shared" si="324"/>
        <v/>
      </c>
      <c r="V909" s="2" t="str">
        <f t="shared" si="325"/>
        <v/>
      </c>
      <c r="W909" s="2" t="str">
        <f t="shared" si="326"/>
        <v/>
      </c>
      <c r="X909" s="2">
        <f t="shared" si="322"/>
        <v>0</v>
      </c>
      <c r="Y909" s="2" t="str">
        <f t="shared" si="327"/>
        <v/>
      </c>
      <c r="Z909" s="2" t="str">
        <f t="shared" si="328"/>
        <v/>
      </c>
      <c r="AA909" s="2" t="str">
        <f t="shared" si="329"/>
        <v/>
      </c>
      <c r="AB909" s="2">
        <f t="shared" si="323"/>
        <v>0</v>
      </c>
      <c r="AC909" s="625">
        <v>0</v>
      </c>
      <c r="AD909" s="625">
        <v>0</v>
      </c>
      <c r="AE909" s="625">
        <v>0</v>
      </c>
      <c r="AF909" s="625">
        <v>0</v>
      </c>
      <c r="AG909" s="625">
        <v>0</v>
      </c>
      <c r="AH909" s="625">
        <v>0</v>
      </c>
      <c r="AI909" s="38">
        <v>0</v>
      </c>
      <c r="AJ909" s="625">
        <v>0</v>
      </c>
      <c r="AK909" s="625">
        <v>0</v>
      </c>
      <c r="AL909" s="625">
        <v>0</v>
      </c>
      <c r="AM909" s="625">
        <v>0</v>
      </c>
      <c r="AN909" s="625">
        <v>0</v>
      </c>
      <c r="AO909" s="625">
        <v>0</v>
      </c>
      <c r="AP909" s="41" t="str">
        <f t="shared" si="319"/>
        <v>Reg AssetN</v>
      </c>
      <c r="AQ909" s="41" t="str">
        <f t="shared" si="320"/>
        <v>Reg AssetNN10Service Quality Performance</v>
      </c>
      <c r="AR909" s="41" t="str">
        <f t="shared" si="321"/>
        <v>N10Service Quality PerformanceNCR</v>
      </c>
      <c r="CK909" s="625"/>
    </row>
    <row r="910" spans="1:89" s="41" customFormat="1" ht="12.75" customHeight="1">
      <c r="A910" s="442" t="s">
        <v>746</v>
      </c>
      <c r="B910" s="442" t="str">
        <f t="shared" si="316"/>
        <v>Reg Asset182305601093BE030265</v>
      </c>
      <c r="C910" s="736">
        <v>182305</v>
      </c>
      <c r="D910" s="738">
        <v>601093</v>
      </c>
      <c r="E910" s="626" t="s">
        <v>954</v>
      </c>
      <c r="F910" s="626" t="str">
        <f t="shared" si="311"/>
        <v>OTH REG ASSETS-UNCONTROLLABLE/EXONGENOUS COSTS-EL</v>
      </c>
      <c r="G910" s="626" t="s">
        <v>1043</v>
      </c>
      <c r="H910" s="736" t="s">
        <v>1123</v>
      </c>
      <c r="I910" s="442"/>
      <c r="J910" s="442" t="s">
        <v>7</v>
      </c>
      <c r="K910" s="442" t="str">
        <f t="shared" si="313"/>
        <v/>
      </c>
      <c r="L910" s="736" t="s">
        <v>2436</v>
      </c>
      <c r="M910" s="442" t="str">
        <f t="shared" si="317"/>
        <v>N</v>
      </c>
      <c r="N910" s="442" t="str">
        <f>IF(L910&lt;&gt;"",VLOOKUP(L910,Categories!$B$2:$D$41,2,FALSE),IF(F910&lt;&gt;"","No Cat",""))</f>
        <v>NRBASE</v>
      </c>
      <c r="O910" s="442" t="str">
        <f>IF($L910&lt;&gt;"",VLOOKUP($L910,Categories!$B$2:$D$41,3,FALSE),IF($F910&lt;&gt;"","No Cat",""))</f>
        <v>Deferrals Accruing Non-Cash Return   (other than ASGA)</v>
      </c>
      <c r="P910" s="736" t="s">
        <v>2468</v>
      </c>
      <c r="Q910" s="442" t="str">
        <f>VLOOKUP($P910,Allocators!$B$7:$F$19,5,FALSE)</f>
        <v>Not in Rate Base</v>
      </c>
      <c r="R910" s="737">
        <f>VLOOKUP($P910,Allocators!$B$7:$F$19,2,FALSE)</f>
        <v>0</v>
      </c>
      <c r="S910" s="737">
        <f>VLOOKUP($P910,Allocators!$B$7:$F$19,3,FALSE)</f>
        <v>0</v>
      </c>
      <c r="T910" s="737">
        <f t="shared" si="318"/>
        <v>1</v>
      </c>
      <c r="U910" s="2" t="str">
        <f t="shared" si="324"/>
        <v/>
      </c>
      <c r="V910" s="2" t="str">
        <f t="shared" si="325"/>
        <v/>
      </c>
      <c r="W910" s="2" t="str">
        <f t="shared" si="326"/>
        <v/>
      </c>
      <c r="X910" s="2">
        <f t="shared" si="322"/>
        <v>0</v>
      </c>
      <c r="Y910" s="2" t="str">
        <f t="shared" si="327"/>
        <v/>
      </c>
      <c r="Z910" s="2" t="str">
        <f t="shared" si="328"/>
        <v/>
      </c>
      <c r="AA910" s="2" t="str">
        <f t="shared" si="329"/>
        <v/>
      </c>
      <c r="AB910" s="2">
        <f t="shared" si="323"/>
        <v>0</v>
      </c>
      <c r="AC910" s="625">
        <v>0</v>
      </c>
      <c r="AD910" s="625">
        <v>0</v>
      </c>
      <c r="AE910" s="625">
        <v>0</v>
      </c>
      <c r="AF910" s="625">
        <v>0</v>
      </c>
      <c r="AG910" s="625">
        <v>0</v>
      </c>
      <c r="AH910" s="625">
        <v>0</v>
      </c>
      <c r="AI910" s="38">
        <v>0</v>
      </c>
      <c r="AJ910" s="625">
        <v>0</v>
      </c>
      <c r="AK910" s="625">
        <v>0</v>
      </c>
      <c r="AL910" s="625">
        <v>0</v>
      </c>
      <c r="AM910" s="625">
        <v>0</v>
      </c>
      <c r="AN910" s="625">
        <v>0</v>
      </c>
      <c r="AO910" s="625">
        <v>0</v>
      </c>
      <c r="AP910" s="41" t="str">
        <f t="shared" si="319"/>
        <v>Reg AssetN</v>
      </c>
      <c r="AQ910" s="41" t="str">
        <f t="shared" si="320"/>
        <v>Reg AssetNN10NCR - Electric</v>
      </c>
      <c r="AR910" s="41" t="str">
        <f t="shared" si="321"/>
        <v>N10NCR - ElectricNCR</v>
      </c>
      <c r="CK910" s="625"/>
    </row>
    <row r="911" spans="1:89" s="41" customFormat="1" ht="12.75" customHeight="1">
      <c r="A911" s="25" t="s">
        <v>746</v>
      </c>
      <c r="B911" s="25" t="str">
        <f t="shared" si="316"/>
        <v>Reg Asset182305601092-LBE030411</v>
      </c>
      <c r="C911" s="736">
        <v>182305</v>
      </c>
      <c r="D911" s="738" t="s">
        <v>877</v>
      </c>
      <c r="E911" s="41" t="s">
        <v>955</v>
      </c>
      <c r="F911" s="41" t="str">
        <f t="shared" si="311"/>
        <v>OTH REG ASSETS-UNCONTROLLABLE/EXONGENOUS COSTS-EL</v>
      </c>
      <c r="G911" s="41" t="s">
        <v>1044</v>
      </c>
      <c r="H911" s="736" t="s">
        <v>1124</v>
      </c>
      <c r="I911" s="25"/>
      <c r="J911" s="25" t="str">
        <f t="shared" si="312"/>
        <v/>
      </c>
      <c r="K911" s="25" t="str">
        <f t="shared" si="313"/>
        <v/>
      </c>
      <c r="L911" s="736" t="s">
        <v>2441</v>
      </c>
      <c r="M911" s="25" t="str">
        <f t="shared" si="317"/>
        <v>R</v>
      </c>
      <c r="N911" s="25" t="str">
        <f>IF(L911&lt;&gt;"",VLOOKUP(L911,Categories!$B$2:$D$41,2,FALSE),IF(F911&lt;&gt;"","No Cat",""))</f>
        <v>Rate Base</v>
      </c>
      <c r="O911" s="25" t="str">
        <f>IF($L911&lt;&gt;"",VLOOKUP($L911,Categories!$B$2:$D$41,3,FALSE),IF($F911&lt;&gt;"","No Cat",""))</f>
        <v>Deferred Debits &amp; Credits</v>
      </c>
      <c r="P911" s="736" t="s">
        <v>2482</v>
      </c>
      <c r="Q911" s="25" t="str">
        <f>VLOOKUP($P911,Allocators!$B$7:$F$19,5,FALSE)</f>
        <v>Electric</v>
      </c>
      <c r="R911" s="737">
        <f>VLOOKUP($P911,Allocators!$B$7:$F$19,2,FALSE)</f>
        <v>1</v>
      </c>
      <c r="S911" s="737">
        <f>VLOOKUP($P911,Allocators!$B$7:$F$19,3,FALSE)</f>
        <v>0</v>
      </c>
      <c r="T911" s="737" t="str">
        <f t="shared" si="318"/>
        <v>0.0%</v>
      </c>
      <c r="U911" s="2">
        <f t="shared" si="324"/>
        <v>-0.211580833333333</v>
      </c>
      <c r="V911" s="2">
        <f t="shared" si="325"/>
        <v>0</v>
      </c>
      <c r="W911" s="2">
        <f t="shared" si="326"/>
        <v>0</v>
      </c>
      <c r="X911" s="2">
        <f t="shared" si="322"/>
        <v>-0.211580833333333</v>
      </c>
      <c r="Y911" s="2" t="str">
        <f t="shared" si="327"/>
        <v/>
      </c>
      <c r="Z911" s="2" t="str">
        <f t="shared" si="328"/>
        <v/>
      </c>
      <c r="AA911" s="2" t="str">
        <f t="shared" si="329"/>
        <v/>
      </c>
      <c r="AB911" s="2">
        <f t="shared" si="323"/>
        <v>0</v>
      </c>
      <c r="AC911" s="734">
        <v>-5.0779399999999999</v>
      </c>
      <c r="AD911" s="625">
        <v>0</v>
      </c>
      <c r="AE911" s="625">
        <v>0</v>
      </c>
      <c r="AF911" s="625">
        <v>0</v>
      </c>
      <c r="AG911" s="625">
        <v>0</v>
      </c>
      <c r="AH911" s="625">
        <v>0</v>
      </c>
      <c r="AI911" s="38">
        <v>0</v>
      </c>
      <c r="AJ911" s="625">
        <v>0</v>
      </c>
      <c r="AK911" s="625">
        <v>0</v>
      </c>
      <c r="AL911" s="625">
        <v>0</v>
      </c>
      <c r="AM911" s="625">
        <v>0</v>
      </c>
      <c r="AN911" s="625">
        <v>0</v>
      </c>
      <c r="AO911" s="625">
        <v>0</v>
      </c>
      <c r="AP911" s="41" t="str">
        <f t="shared" si="319"/>
        <v>Reg AssetR</v>
      </c>
      <c r="AQ911" s="41" t="str">
        <f t="shared" si="320"/>
        <v>Reg AssetRR10R&amp;D Tax Credit Deferral</v>
      </c>
      <c r="AR911" s="41" t="str">
        <f t="shared" si="321"/>
        <v>R10R&amp;D Tax Credit Deferral</v>
      </c>
      <c r="CK911" s="625"/>
    </row>
    <row r="912" spans="1:89" s="41" customFormat="1" ht="12.75" customHeight="1">
      <c r="A912" s="25" t="s">
        <v>746</v>
      </c>
      <c r="B912" s="25" t="str">
        <f t="shared" si="316"/>
        <v>Reg Asset182305601092-ABE030411</v>
      </c>
      <c r="C912" s="736">
        <v>182305</v>
      </c>
      <c r="D912" s="738" t="s">
        <v>878</v>
      </c>
      <c r="E912" s="41" t="s">
        <v>955</v>
      </c>
      <c r="F912" s="41" t="str">
        <f t="shared" si="311"/>
        <v>OTH REG ASSETS-UNCONTROLLABLE/EXONGENOUS COSTS-EL</v>
      </c>
      <c r="G912" s="41" t="s">
        <v>1045</v>
      </c>
      <c r="H912" s="736" t="s">
        <v>1124</v>
      </c>
      <c r="I912" s="25"/>
      <c r="J912" s="25" t="str">
        <f t="shared" si="312"/>
        <v/>
      </c>
      <c r="K912" s="25" t="str">
        <f t="shared" si="313"/>
        <v/>
      </c>
      <c r="L912" s="736" t="s">
        <v>2441</v>
      </c>
      <c r="M912" s="25" t="str">
        <f t="shared" si="317"/>
        <v>R</v>
      </c>
      <c r="N912" s="25" t="str">
        <f>IF(L912&lt;&gt;"",VLOOKUP(L912,Categories!$B$2:$D$41,2,FALSE),IF(F912&lt;&gt;"","No Cat",""))</f>
        <v>Rate Base</v>
      </c>
      <c r="O912" s="25" t="str">
        <f>IF($L912&lt;&gt;"",VLOOKUP($L912,Categories!$B$2:$D$41,3,FALSE),IF($F912&lt;&gt;"","No Cat",""))</f>
        <v>Deferred Debits &amp; Credits</v>
      </c>
      <c r="P912" s="736" t="s">
        <v>2482</v>
      </c>
      <c r="Q912" s="25" t="str">
        <f>VLOOKUP($P912,Allocators!$B$7:$F$19,5,FALSE)</f>
        <v>Electric</v>
      </c>
      <c r="R912" s="737">
        <f>VLOOKUP($P912,Allocators!$B$7:$F$19,2,FALSE)</f>
        <v>1</v>
      </c>
      <c r="S912" s="737">
        <f>VLOOKUP($P912,Allocators!$B$7:$F$19,3,FALSE)</f>
        <v>0</v>
      </c>
      <c r="T912" s="737" t="str">
        <f t="shared" si="318"/>
        <v>0.0%</v>
      </c>
      <c r="U912" s="2">
        <f t="shared" si="324"/>
        <v>-2.0000000000000002E-15</v>
      </c>
      <c r="V912" s="2">
        <f t="shared" si="325"/>
        <v>0</v>
      </c>
      <c r="W912" s="2">
        <f t="shared" si="326"/>
        <v>0</v>
      </c>
      <c r="X912" s="2">
        <f t="shared" si="322"/>
        <v>-2.0000000000000002E-15</v>
      </c>
      <c r="Y912" s="2" t="str">
        <f t="shared" si="327"/>
        <v/>
      </c>
      <c r="Z912" s="2" t="str">
        <f t="shared" si="328"/>
        <v/>
      </c>
      <c r="AA912" s="2" t="str">
        <f t="shared" si="329"/>
        <v/>
      </c>
      <c r="AB912" s="2">
        <f t="shared" si="323"/>
        <v>0</v>
      </c>
      <c r="AC912" s="734">
        <v>-5.638867150992155E-14</v>
      </c>
      <c r="AD912" s="625">
        <v>0</v>
      </c>
      <c r="AE912" s="625">
        <v>0</v>
      </c>
      <c r="AF912" s="625">
        <v>0</v>
      </c>
      <c r="AG912" s="625">
        <v>0</v>
      </c>
      <c r="AH912" s="625">
        <v>0</v>
      </c>
      <c r="AI912" s="38">
        <v>0</v>
      </c>
      <c r="AJ912" s="625">
        <v>0</v>
      </c>
      <c r="AK912" s="625">
        <v>0</v>
      </c>
      <c r="AL912" s="625">
        <v>0</v>
      </c>
      <c r="AM912" s="625">
        <v>0</v>
      </c>
      <c r="AN912" s="625">
        <v>0</v>
      </c>
      <c r="AO912" s="625">
        <v>0</v>
      </c>
      <c r="AP912" s="41" t="str">
        <f t="shared" si="319"/>
        <v>Reg AssetR</v>
      </c>
      <c r="AQ912" s="41" t="str">
        <f t="shared" si="320"/>
        <v>Reg AssetRR10R&amp;D Tax Credit Deferral</v>
      </c>
      <c r="AR912" s="41" t="str">
        <f t="shared" si="321"/>
        <v>R10R&amp;D Tax Credit Deferral</v>
      </c>
      <c r="CK912" s="625"/>
    </row>
    <row r="913" spans="1:89" s="41" customFormat="1" ht="12.75" customHeight="1">
      <c r="A913" s="25" t="s">
        <v>746</v>
      </c>
      <c r="B913" s="25" t="str">
        <f t="shared" si="316"/>
        <v>Reg Asset182305601099-08BE030271</v>
      </c>
      <c r="C913" s="736">
        <v>182305</v>
      </c>
      <c r="D913" s="738" t="s">
        <v>879</v>
      </c>
      <c r="E913" s="41" t="s">
        <v>956</v>
      </c>
      <c r="F913" s="41" t="str">
        <f t="shared" si="311"/>
        <v>OTH REG ASSETS-UNCONTROLLABLE/EXONGENOUS COSTS-EL</v>
      </c>
      <c r="G913" s="41" t="s">
        <v>1046</v>
      </c>
      <c r="H913" s="736" t="s">
        <v>1125</v>
      </c>
      <c r="I913" s="25"/>
      <c r="J913" s="25" t="str">
        <f t="shared" si="312"/>
        <v/>
      </c>
      <c r="K913" s="25" t="str">
        <f t="shared" si="313"/>
        <v/>
      </c>
      <c r="L913" s="736" t="s">
        <v>2441</v>
      </c>
      <c r="M913" s="25" t="str">
        <f t="shared" si="317"/>
        <v>R</v>
      </c>
      <c r="N913" s="25" t="str">
        <f>IF(L913&lt;&gt;"",VLOOKUP(L913,Categories!$B$2:$D$41,2,FALSE),IF(F913&lt;&gt;"","No Cat",""))</f>
        <v>Rate Base</v>
      </c>
      <c r="O913" s="25" t="str">
        <f>IF($L913&lt;&gt;"",VLOOKUP($L913,Categories!$B$2:$D$41,3,FALSE),IF($F913&lt;&gt;"","No Cat",""))</f>
        <v>Deferred Debits &amp; Credits</v>
      </c>
      <c r="P913" s="736" t="s">
        <v>2482</v>
      </c>
      <c r="Q913" s="25" t="str">
        <f>VLOOKUP($P913,Allocators!$B$7:$F$19,5,FALSE)</f>
        <v>Electric</v>
      </c>
      <c r="R913" s="737">
        <f>VLOOKUP($P913,Allocators!$B$7:$F$19,2,FALSE)</f>
        <v>1</v>
      </c>
      <c r="S913" s="737">
        <f>VLOOKUP($P913,Allocators!$B$7:$F$19,3,FALSE)</f>
        <v>0</v>
      </c>
      <c r="T913" s="737" t="str">
        <f t="shared" si="318"/>
        <v>0.0%</v>
      </c>
      <c r="U913" s="2" t="str">
        <f t="shared" si="324"/>
        <v/>
      </c>
      <c r="V913" s="2" t="str">
        <f t="shared" si="325"/>
        <v/>
      </c>
      <c r="W913" s="2" t="str">
        <f t="shared" si="326"/>
        <v/>
      </c>
      <c r="X913" s="2">
        <f t="shared" si="322"/>
        <v>0</v>
      </c>
      <c r="Y913" s="2" t="str">
        <f t="shared" si="327"/>
        <v/>
      </c>
      <c r="Z913" s="2" t="str">
        <f t="shared" si="328"/>
        <v/>
      </c>
      <c r="AA913" s="2" t="str">
        <f t="shared" si="329"/>
        <v/>
      </c>
      <c r="AB913" s="2">
        <f t="shared" si="323"/>
        <v>0</v>
      </c>
      <c r="AC913" s="625">
        <v>0</v>
      </c>
      <c r="AD913" s="625">
        <v>0</v>
      </c>
      <c r="AE913" s="625">
        <v>0</v>
      </c>
      <c r="AF913" s="625">
        <v>0</v>
      </c>
      <c r="AG913" s="625">
        <v>0</v>
      </c>
      <c r="AH913" s="625">
        <v>0</v>
      </c>
      <c r="AI913" s="38">
        <v>0</v>
      </c>
      <c r="AJ913" s="625">
        <v>0</v>
      </c>
      <c r="AK913" s="625">
        <v>0</v>
      </c>
      <c r="AL913" s="625">
        <v>0</v>
      </c>
      <c r="AM913" s="625">
        <v>0</v>
      </c>
      <c r="AN913" s="625">
        <v>0</v>
      </c>
      <c r="AO913" s="625">
        <v>0</v>
      </c>
      <c r="AP913" s="41" t="str">
        <f t="shared" si="319"/>
        <v>Reg AssetR</v>
      </c>
      <c r="AQ913" s="41" t="str">
        <f t="shared" si="320"/>
        <v>Reg AssetRR10NYS Tax Rate to 7.1%</v>
      </c>
      <c r="AR913" s="41" t="str">
        <f t="shared" si="321"/>
        <v>R10NYS Tax Rate to 7.1%</v>
      </c>
      <c r="CK913" s="625"/>
    </row>
    <row r="914" spans="1:89" s="41" customFormat="1" ht="12.75" customHeight="1">
      <c r="A914" s="25" t="s">
        <v>746</v>
      </c>
      <c r="B914" s="25" t="str">
        <f t="shared" si="316"/>
        <v>Reg Asset182305601099-09BE030271</v>
      </c>
      <c r="C914" s="736">
        <v>182305</v>
      </c>
      <c r="D914" s="738" t="s">
        <v>880</v>
      </c>
      <c r="E914" s="41" t="s">
        <v>956</v>
      </c>
      <c r="F914" s="41" t="str">
        <f t="shared" si="311"/>
        <v>OTH REG ASSETS-UNCONTROLLABLE/EXONGENOUS COSTS-EL</v>
      </c>
      <c r="G914" s="41" t="s">
        <v>1047</v>
      </c>
      <c r="H914" s="736" t="s">
        <v>1125</v>
      </c>
      <c r="I914" s="25"/>
      <c r="J914" s="25" t="str">
        <f t="shared" si="312"/>
        <v/>
      </c>
      <c r="K914" s="25" t="str">
        <f t="shared" si="313"/>
        <v/>
      </c>
      <c r="L914" s="736" t="s">
        <v>2441</v>
      </c>
      <c r="M914" s="25" t="str">
        <f t="shared" si="317"/>
        <v>R</v>
      </c>
      <c r="N914" s="25" t="str">
        <f>IF(L914&lt;&gt;"",VLOOKUP(L914,Categories!$B$2:$D$41,2,FALSE),IF(F914&lt;&gt;"","No Cat",""))</f>
        <v>Rate Base</v>
      </c>
      <c r="O914" s="25" t="str">
        <f>IF($L914&lt;&gt;"",VLOOKUP($L914,Categories!$B$2:$D$41,3,FALSE),IF($F914&lt;&gt;"","No Cat",""))</f>
        <v>Deferred Debits &amp; Credits</v>
      </c>
      <c r="P914" s="736" t="s">
        <v>2482</v>
      </c>
      <c r="Q914" s="25" t="str">
        <f>VLOOKUP($P914,Allocators!$B$7:$F$19,5,FALSE)</f>
        <v>Electric</v>
      </c>
      <c r="R914" s="737">
        <f>VLOOKUP($P914,Allocators!$B$7:$F$19,2,FALSE)</f>
        <v>1</v>
      </c>
      <c r="S914" s="737">
        <f>VLOOKUP($P914,Allocators!$B$7:$F$19,3,FALSE)</f>
        <v>0</v>
      </c>
      <c r="T914" s="737" t="str">
        <f t="shared" si="318"/>
        <v>0.0%</v>
      </c>
      <c r="U914" s="2" t="str">
        <f t="shared" si="324"/>
        <v/>
      </c>
      <c r="V914" s="2" t="str">
        <f t="shared" si="325"/>
        <v/>
      </c>
      <c r="W914" s="2" t="str">
        <f t="shared" si="326"/>
        <v/>
      </c>
      <c r="X914" s="2">
        <f t="shared" si="322"/>
        <v>0</v>
      </c>
      <c r="Y914" s="2" t="str">
        <f t="shared" si="327"/>
        <v/>
      </c>
      <c r="Z914" s="2" t="str">
        <f t="shared" si="328"/>
        <v/>
      </c>
      <c r="AA914" s="2" t="str">
        <f t="shared" si="329"/>
        <v/>
      </c>
      <c r="AB914" s="2">
        <f t="shared" si="323"/>
        <v>0</v>
      </c>
      <c r="AC914" s="625">
        <v>0</v>
      </c>
      <c r="AD914" s="625">
        <v>0</v>
      </c>
      <c r="AE914" s="625">
        <v>0</v>
      </c>
      <c r="AF914" s="625">
        <v>0</v>
      </c>
      <c r="AG914" s="625">
        <v>0</v>
      </c>
      <c r="AH914" s="625">
        <v>0</v>
      </c>
      <c r="AI914" s="38">
        <v>0</v>
      </c>
      <c r="AJ914" s="625">
        <v>0</v>
      </c>
      <c r="AK914" s="625">
        <v>0</v>
      </c>
      <c r="AL914" s="625">
        <v>0</v>
      </c>
      <c r="AM914" s="625">
        <v>0</v>
      </c>
      <c r="AN914" s="625">
        <v>0</v>
      </c>
      <c r="AO914" s="625">
        <v>0</v>
      </c>
      <c r="AP914" s="41" t="str">
        <f t="shared" si="319"/>
        <v>Reg AssetR</v>
      </c>
      <c r="AQ914" s="41" t="str">
        <f t="shared" si="320"/>
        <v>Reg AssetRR10NYS Tax Rate to 7.1%</v>
      </c>
      <c r="AR914" s="41" t="str">
        <f t="shared" si="321"/>
        <v>R10NYS Tax Rate to 7.1%</v>
      </c>
      <c r="CK914" s="625"/>
    </row>
    <row r="915" spans="1:89" s="41" customFormat="1" ht="12.75" customHeight="1">
      <c r="A915" s="25" t="s">
        <v>746</v>
      </c>
      <c r="B915" s="25" t="str">
        <f t="shared" si="316"/>
        <v>Reg Asset182305601099-10BE030271</v>
      </c>
      <c r="C915" s="736">
        <v>182305</v>
      </c>
      <c r="D915" s="738" t="s">
        <v>881</v>
      </c>
      <c r="E915" s="41" t="s">
        <v>956</v>
      </c>
      <c r="F915" s="41" t="str">
        <f t="shared" si="311"/>
        <v>OTH REG ASSETS-UNCONTROLLABLE/EXONGENOUS COSTS-EL</v>
      </c>
      <c r="G915" s="41" t="s">
        <v>1048</v>
      </c>
      <c r="H915" s="736" t="s">
        <v>1125</v>
      </c>
      <c r="I915" s="25"/>
      <c r="J915" s="25" t="str">
        <f t="shared" si="312"/>
        <v/>
      </c>
      <c r="K915" s="25" t="str">
        <f t="shared" si="313"/>
        <v/>
      </c>
      <c r="L915" s="736" t="s">
        <v>2441</v>
      </c>
      <c r="M915" s="25" t="str">
        <f t="shared" si="317"/>
        <v>R</v>
      </c>
      <c r="N915" s="25" t="str">
        <f>IF(L915&lt;&gt;"",VLOOKUP(L915,Categories!$B$2:$D$41,2,FALSE),IF(F915&lt;&gt;"","No Cat",""))</f>
        <v>Rate Base</v>
      </c>
      <c r="O915" s="25" t="str">
        <f>IF($L915&lt;&gt;"",VLOOKUP($L915,Categories!$B$2:$D$41,3,FALSE),IF($F915&lt;&gt;"","No Cat",""))</f>
        <v>Deferred Debits &amp; Credits</v>
      </c>
      <c r="P915" s="736" t="s">
        <v>2482</v>
      </c>
      <c r="Q915" s="25" t="str">
        <f>VLOOKUP($P915,Allocators!$B$7:$F$19,5,FALSE)</f>
        <v>Electric</v>
      </c>
      <c r="R915" s="737">
        <f>VLOOKUP($P915,Allocators!$B$7:$F$19,2,FALSE)</f>
        <v>1</v>
      </c>
      <c r="S915" s="737">
        <f>VLOOKUP($P915,Allocators!$B$7:$F$19,3,FALSE)</f>
        <v>0</v>
      </c>
      <c r="T915" s="737" t="str">
        <f t="shared" si="318"/>
        <v>0.0%</v>
      </c>
      <c r="U915" s="2" t="str">
        <f t="shared" si="324"/>
        <v/>
      </c>
      <c r="V915" s="2" t="str">
        <f t="shared" si="325"/>
        <v/>
      </c>
      <c r="W915" s="2" t="str">
        <f t="shared" si="326"/>
        <v/>
      </c>
      <c r="X915" s="2">
        <f t="shared" si="322"/>
        <v>0</v>
      </c>
      <c r="Y915" s="2" t="str">
        <f t="shared" si="327"/>
        <v/>
      </c>
      <c r="Z915" s="2" t="str">
        <f t="shared" si="328"/>
        <v/>
      </c>
      <c r="AA915" s="2" t="str">
        <f t="shared" si="329"/>
        <v/>
      </c>
      <c r="AB915" s="2">
        <f t="shared" si="323"/>
        <v>0</v>
      </c>
      <c r="AC915" s="625">
        <v>0</v>
      </c>
      <c r="AD915" s="625">
        <v>0</v>
      </c>
      <c r="AE915" s="625">
        <v>0</v>
      </c>
      <c r="AF915" s="625">
        <v>0</v>
      </c>
      <c r="AG915" s="625">
        <v>0</v>
      </c>
      <c r="AH915" s="625">
        <v>0</v>
      </c>
      <c r="AI915" s="38">
        <v>0</v>
      </c>
      <c r="AJ915" s="625">
        <v>0</v>
      </c>
      <c r="AK915" s="625">
        <v>0</v>
      </c>
      <c r="AL915" s="625">
        <v>0</v>
      </c>
      <c r="AM915" s="625">
        <v>0</v>
      </c>
      <c r="AN915" s="625">
        <v>0</v>
      </c>
      <c r="AO915" s="625">
        <v>0</v>
      </c>
      <c r="AP915" s="41" t="str">
        <f t="shared" si="319"/>
        <v>Reg AssetR</v>
      </c>
      <c r="AQ915" s="41" t="str">
        <f t="shared" si="320"/>
        <v>Reg AssetRR10NYS Tax Rate to 7.1%</v>
      </c>
      <c r="AR915" s="41" t="str">
        <f t="shared" si="321"/>
        <v>R10NYS Tax Rate to 7.1%</v>
      </c>
      <c r="CK915" s="625"/>
    </row>
    <row r="916" spans="1:89" s="41" customFormat="1" ht="12.75" customHeight="1">
      <c r="A916" s="25" t="s">
        <v>746</v>
      </c>
      <c r="B916" s="25" t="str">
        <f t="shared" si="316"/>
        <v>Reg Asset182305601102BE030389</v>
      </c>
      <c r="C916" s="736">
        <v>182305</v>
      </c>
      <c r="D916" s="738">
        <v>601102</v>
      </c>
      <c r="E916" s="41" t="s">
        <v>957</v>
      </c>
      <c r="F916" s="41" t="str">
        <f t="shared" si="311"/>
        <v>OTH REG ASSETS-UNCONTROLLABLE/EXONGENOUS COSTS-EL</v>
      </c>
      <c r="G916" s="41" t="s">
        <v>1049</v>
      </c>
      <c r="H916" s="736" t="s">
        <v>1126</v>
      </c>
      <c r="I916" s="25"/>
      <c r="J916" s="25" t="str">
        <f t="shared" si="312"/>
        <v/>
      </c>
      <c r="K916" s="25" t="str">
        <f t="shared" si="313"/>
        <v/>
      </c>
      <c r="L916" s="736" t="s">
        <v>2441</v>
      </c>
      <c r="M916" s="25" t="str">
        <f t="shared" si="317"/>
        <v>R</v>
      </c>
      <c r="N916" s="25" t="str">
        <f>IF(L916&lt;&gt;"",VLOOKUP(L916,Categories!$B$2:$D$41,2,FALSE),IF(F916&lt;&gt;"","No Cat",""))</f>
        <v>Rate Base</v>
      </c>
      <c r="O916" s="25" t="str">
        <f>IF($L916&lt;&gt;"",VLOOKUP($L916,Categories!$B$2:$D$41,3,FALSE),IF($F916&lt;&gt;"","No Cat",""))</f>
        <v>Deferred Debits &amp; Credits</v>
      </c>
      <c r="P916" s="736" t="s">
        <v>2482</v>
      </c>
      <c r="Q916" s="25" t="str">
        <f>VLOOKUP($P916,Allocators!$B$7:$F$19,5,FALSE)</f>
        <v>Electric</v>
      </c>
      <c r="R916" s="737">
        <f>VLOOKUP($P916,Allocators!$B$7:$F$19,2,FALSE)</f>
        <v>1</v>
      </c>
      <c r="S916" s="737">
        <f>VLOOKUP($P916,Allocators!$B$7:$F$19,3,FALSE)</f>
        <v>0</v>
      </c>
      <c r="T916" s="737" t="str">
        <f t="shared" si="318"/>
        <v>0.0%</v>
      </c>
      <c r="U916" s="2" t="str">
        <f t="shared" si="324"/>
        <v/>
      </c>
      <c r="V916" s="2" t="str">
        <f t="shared" si="325"/>
        <v/>
      </c>
      <c r="W916" s="2" t="str">
        <f t="shared" si="326"/>
        <v/>
      </c>
      <c r="X916" s="2">
        <f t="shared" si="322"/>
        <v>0</v>
      </c>
      <c r="Y916" s="2" t="str">
        <f t="shared" si="327"/>
        <v/>
      </c>
      <c r="Z916" s="2" t="str">
        <f t="shared" si="328"/>
        <v/>
      </c>
      <c r="AA916" s="2" t="str">
        <f t="shared" si="329"/>
        <v/>
      </c>
      <c r="AB916" s="2">
        <f t="shared" si="323"/>
        <v>0</v>
      </c>
      <c r="AC916" s="625">
        <v>0</v>
      </c>
      <c r="AD916" s="625">
        <v>0</v>
      </c>
      <c r="AE916" s="625">
        <v>0</v>
      </c>
      <c r="AF916" s="625">
        <v>0</v>
      </c>
      <c r="AG916" s="625">
        <v>0</v>
      </c>
      <c r="AH916" s="625">
        <v>0</v>
      </c>
      <c r="AI916" s="38">
        <v>0</v>
      </c>
      <c r="AJ916" s="625">
        <v>0</v>
      </c>
      <c r="AK916" s="625">
        <v>0</v>
      </c>
      <c r="AL916" s="625">
        <v>0</v>
      </c>
      <c r="AM916" s="625">
        <v>0</v>
      </c>
      <c r="AN916" s="625">
        <v>0</v>
      </c>
      <c r="AO916" s="625">
        <v>0</v>
      </c>
      <c r="AP916" s="41" t="str">
        <f t="shared" si="319"/>
        <v>Reg AssetR</v>
      </c>
      <c r="AQ916" s="41" t="str">
        <f t="shared" si="320"/>
        <v>Reg AssetRR10NYS Tax Audit</v>
      </c>
      <c r="AR916" s="41" t="str">
        <f t="shared" si="321"/>
        <v>R10NYS Tax Audit</v>
      </c>
      <c r="CK916" s="625"/>
    </row>
    <row r="917" spans="1:89" s="41" customFormat="1" ht="12.75" customHeight="1">
      <c r="A917" s="25" t="s">
        <v>746</v>
      </c>
      <c r="B917" s="25" t="str">
        <f t="shared" si="316"/>
        <v>Reg Asset182305601099-ABE030271</v>
      </c>
      <c r="C917" s="736">
        <v>182305</v>
      </c>
      <c r="D917" s="738" t="s">
        <v>882</v>
      </c>
      <c r="E917" s="41" t="s">
        <v>956</v>
      </c>
      <c r="F917" s="41" t="str">
        <f t="shared" si="311"/>
        <v>OTH REG ASSETS-UNCONTROLLABLE/EXONGENOUS COSTS-EL</v>
      </c>
      <c r="G917" s="41" t="s">
        <v>1050</v>
      </c>
      <c r="H917" s="736" t="s">
        <v>1125</v>
      </c>
      <c r="I917" s="25"/>
      <c r="J917" s="25" t="str">
        <f t="shared" si="312"/>
        <v/>
      </c>
      <c r="K917" s="25" t="str">
        <f t="shared" si="313"/>
        <v/>
      </c>
      <c r="L917" s="736" t="s">
        <v>2441</v>
      </c>
      <c r="M917" s="25" t="str">
        <f t="shared" si="317"/>
        <v>R</v>
      </c>
      <c r="N917" s="25" t="str">
        <f>IF(L917&lt;&gt;"",VLOOKUP(L917,Categories!$B$2:$D$41,2,FALSE),IF(F917&lt;&gt;"","No Cat",""))</f>
        <v>Rate Base</v>
      </c>
      <c r="O917" s="25" t="str">
        <f>IF($L917&lt;&gt;"",VLOOKUP($L917,Categories!$B$2:$D$41,3,FALSE),IF($F917&lt;&gt;"","No Cat",""))</f>
        <v>Deferred Debits &amp; Credits</v>
      </c>
      <c r="P917" s="736" t="s">
        <v>2482</v>
      </c>
      <c r="Q917" s="25" t="str">
        <f>VLOOKUP($P917,Allocators!$B$7:$F$19,5,FALSE)</f>
        <v>Electric</v>
      </c>
      <c r="R917" s="737">
        <f>VLOOKUP($P917,Allocators!$B$7:$F$19,2,FALSE)</f>
        <v>1</v>
      </c>
      <c r="S917" s="737">
        <f>VLOOKUP($P917,Allocators!$B$7:$F$19,3,FALSE)</f>
        <v>0</v>
      </c>
      <c r="T917" s="737" t="str">
        <f t="shared" si="318"/>
        <v>0.0%</v>
      </c>
      <c r="U917" s="2">
        <f t="shared" si="324"/>
        <v>-1.0000000000000001E-15</v>
      </c>
      <c r="V917" s="2">
        <f t="shared" si="325"/>
        <v>0</v>
      </c>
      <c r="W917" s="2">
        <f t="shared" si="326"/>
        <v>0</v>
      </c>
      <c r="X917" s="2">
        <f t="shared" si="322"/>
        <v>-1.0000000000000001E-15</v>
      </c>
      <c r="Y917" s="2" t="str">
        <f t="shared" si="327"/>
        <v/>
      </c>
      <c r="Z917" s="2" t="str">
        <f t="shared" si="328"/>
        <v/>
      </c>
      <c r="AA917" s="2" t="str">
        <f t="shared" si="329"/>
        <v/>
      </c>
      <c r="AB917" s="2">
        <f t="shared" si="323"/>
        <v>0</v>
      </c>
      <c r="AC917" s="734">
        <v>-2.5465851649641991E-14</v>
      </c>
      <c r="AD917" s="625">
        <v>0</v>
      </c>
      <c r="AE917" s="625">
        <v>0</v>
      </c>
      <c r="AF917" s="625">
        <v>0</v>
      </c>
      <c r="AG917" s="625">
        <v>0</v>
      </c>
      <c r="AH917" s="625">
        <v>0</v>
      </c>
      <c r="AI917" s="38">
        <v>0</v>
      </c>
      <c r="AJ917" s="625">
        <v>0</v>
      </c>
      <c r="AK917" s="625">
        <v>0</v>
      </c>
      <c r="AL917" s="625">
        <v>0</v>
      </c>
      <c r="AM917" s="625">
        <v>0</v>
      </c>
      <c r="AN917" s="625">
        <v>0</v>
      </c>
      <c r="AO917" s="625">
        <v>0</v>
      </c>
      <c r="AP917" s="41" t="str">
        <f t="shared" si="319"/>
        <v>Reg AssetR</v>
      </c>
      <c r="AQ917" s="41" t="str">
        <f t="shared" si="320"/>
        <v>Reg AssetRR10NYS Tax Rate to 7.1%</v>
      </c>
      <c r="AR917" s="41" t="str">
        <f t="shared" si="321"/>
        <v>R10NYS Tax Rate to 7.1%</v>
      </c>
      <c r="CK917" s="625"/>
    </row>
    <row r="918" spans="1:89" s="41" customFormat="1" ht="12.75" customHeight="1">
      <c r="A918" s="25" t="s">
        <v>746</v>
      </c>
      <c r="B918" s="25" t="str">
        <f t="shared" si="316"/>
        <v>Reg Asset182305601099-LBE030271</v>
      </c>
      <c r="C918" s="736">
        <v>182305</v>
      </c>
      <c r="D918" s="738" t="s">
        <v>883</v>
      </c>
      <c r="E918" s="41" t="s">
        <v>956</v>
      </c>
      <c r="F918" s="41" t="str">
        <f t="shared" si="311"/>
        <v>OTH REG ASSETS-UNCONTROLLABLE/EXONGENOUS COSTS-EL</v>
      </c>
      <c r="G918" s="41" t="s">
        <v>1050</v>
      </c>
      <c r="H918" s="736" t="s">
        <v>1125</v>
      </c>
      <c r="I918" s="25"/>
      <c r="J918" s="25" t="str">
        <f t="shared" si="312"/>
        <v/>
      </c>
      <c r="K918" s="25" t="str">
        <f t="shared" si="313"/>
        <v/>
      </c>
      <c r="L918" s="736" t="s">
        <v>2441</v>
      </c>
      <c r="M918" s="25" t="str">
        <f t="shared" si="317"/>
        <v>R</v>
      </c>
      <c r="N918" s="25" t="str">
        <f>IF(L918&lt;&gt;"",VLOOKUP(L918,Categories!$B$2:$D$41,2,FALSE),IF(F918&lt;&gt;"","No Cat",""))</f>
        <v>Rate Base</v>
      </c>
      <c r="O918" s="25" t="str">
        <f>IF($L918&lt;&gt;"",VLOOKUP($L918,Categories!$B$2:$D$41,3,FALSE),IF($F918&lt;&gt;"","No Cat",""))</f>
        <v>Deferred Debits &amp; Credits</v>
      </c>
      <c r="P918" s="736" t="s">
        <v>2482</v>
      </c>
      <c r="Q918" s="25" t="str">
        <f>VLOOKUP($P918,Allocators!$B$7:$F$19,5,FALSE)</f>
        <v>Electric</v>
      </c>
      <c r="R918" s="737">
        <f>VLOOKUP($P918,Allocators!$B$7:$F$19,2,FALSE)</f>
        <v>1</v>
      </c>
      <c r="S918" s="737">
        <f>VLOOKUP($P918,Allocators!$B$7:$F$19,3,FALSE)</f>
        <v>0</v>
      </c>
      <c r="T918" s="737" t="str">
        <f t="shared" si="318"/>
        <v>0.0%</v>
      </c>
      <c r="U918" s="2">
        <f t="shared" si="324"/>
        <v>-319.08900999999997</v>
      </c>
      <c r="V918" s="2">
        <f t="shared" si="325"/>
        <v>0</v>
      </c>
      <c r="W918" s="2">
        <f t="shared" si="326"/>
        <v>0</v>
      </c>
      <c r="X918" s="2">
        <f t="shared" si="322"/>
        <v>-319.08900999999997</v>
      </c>
      <c r="Y918" s="2">
        <f t="shared" si="327"/>
        <v>-319.08900999999997</v>
      </c>
      <c r="Z918" s="2">
        <f t="shared" si="328"/>
        <v>0</v>
      </c>
      <c r="AA918" s="2">
        <f t="shared" si="329"/>
        <v>0</v>
      </c>
      <c r="AB918" s="2">
        <f t="shared" si="323"/>
        <v>-319.08901000000003</v>
      </c>
      <c r="AC918" s="734">
        <v>-319.08901000000003</v>
      </c>
      <c r="AD918" s="625">
        <v>-319.08901000000003</v>
      </c>
      <c r="AE918" s="625">
        <v>-319.08901000000003</v>
      </c>
      <c r="AF918" s="625">
        <v>-319.08901000000003</v>
      </c>
      <c r="AG918" s="625">
        <v>-319.08901000000003</v>
      </c>
      <c r="AH918" s="625">
        <v>-319.08901000000003</v>
      </c>
      <c r="AI918" s="625">
        <v>-319.08901000000003</v>
      </c>
      <c r="AJ918" s="625">
        <v>-319.08901000000003</v>
      </c>
      <c r="AK918" s="625">
        <v>-319.08901000000003</v>
      </c>
      <c r="AL918" s="625">
        <v>-319.08901000000003</v>
      </c>
      <c r="AM918" s="625">
        <v>-319.08901000000003</v>
      </c>
      <c r="AN918" s="625">
        <v>-319.08901000000003</v>
      </c>
      <c r="AO918" s="625">
        <v>-319.08901000000003</v>
      </c>
      <c r="AP918" s="41" t="str">
        <f t="shared" si="319"/>
        <v>Reg AssetR</v>
      </c>
      <c r="AQ918" s="41" t="str">
        <f t="shared" si="320"/>
        <v>Reg AssetRR10NYS Tax Rate to 7.1%</v>
      </c>
      <c r="AR918" s="41" t="str">
        <f t="shared" si="321"/>
        <v>R10NYS Tax Rate to 7.1%</v>
      </c>
      <c r="CK918" s="625"/>
    </row>
    <row r="919" spans="1:89" s="41" customFormat="1" ht="12.75" customHeight="1">
      <c r="A919" s="25" t="s">
        <v>746</v>
      </c>
      <c r="B919" s="25" t="str">
        <f t="shared" si="316"/>
        <v>Reg Asset182305601109BE030565</v>
      </c>
      <c r="C919" s="736">
        <v>182305</v>
      </c>
      <c r="D919" s="738">
        <v>601109</v>
      </c>
      <c r="E919" s="41" t="s">
        <v>958</v>
      </c>
      <c r="F919" s="41" t="str">
        <f t="shared" si="311"/>
        <v>OTH REG ASSETS-UNCONTROLLABLE/EXONGENOUS COSTS-EL</v>
      </c>
      <c r="G919" s="41" t="s">
        <v>1051</v>
      </c>
      <c r="H919" s="736" t="s">
        <v>1127</v>
      </c>
      <c r="I919" s="25"/>
      <c r="J919" s="25" t="str">
        <f t="shared" si="312"/>
        <v/>
      </c>
      <c r="K919" s="25" t="str">
        <f t="shared" si="313"/>
        <v/>
      </c>
      <c r="L919" s="736" t="s">
        <v>2441</v>
      </c>
      <c r="M919" s="25" t="str">
        <f t="shared" si="317"/>
        <v>R</v>
      </c>
      <c r="N919" s="25" t="str">
        <f>IF(L919&lt;&gt;"",VLOOKUP(L919,Categories!$B$2:$D$41,2,FALSE),IF(F919&lt;&gt;"","No Cat",""))</f>
        <v>Rate Base</v>
      </c>
      <c r="O919" s="25" t="str">
        <f>IF($L919&lt;&gt;"",VLOOKUP($L919,Categories!$B$2:$D$41,3,FALSE),IF($F919&lt;&gt;"","No Cat",""))</f>
        <v>Deferred Debits &amp; Credits</v>
      </c>
      <c r="P919" s="736" t="s">
        <v>2482</v>
      </c>
      <c r="Q919" s="25" t="str">
        <f>VLOOKUP($P919,Allocators!$B$7:$F$19,5,FALSE)</f>
        <v>Electric</v>
      </c>
      <c r="R919" s="737">
        <f>VLOOKUP($P919,Allocators!$B$7:$F$19,2,FALSE)</f>
        <v>1</v>
      </c>
      <c r="S919" s="737">
        <f>VLOOKUP($P919,Allocators!$B$7:$F$19,3,FALSE)</f>
        <v>0</v>
      </c>
      <c r="T919" s="737" t="str">
        <f t="shared" si="318"/>
        <v>0.0%</v>
      </c>
      <c r="U919" s="2" t="str">
        <f t="shared" si="324"/>
        <v/>
      </c>
      <c r="V919" s="2" t="str">
        <f t="shared" si="325"/>
        <v/>
      </c>
      <c r="W919" s="2" t="str">
        <f t="shared" si="326"/>
        <v/>
      </c>
      <c r="X919" s="2">
        <f t="shared" si="322"/>
        <v>0</v>
      </c>
      <c r="Y919" s="2" t="str">
        <f t="shared" si="327"/>
        <v/>
      </c>
      <c r="Z919" s="2" t="str">
        <f t="shared" si="328"/>
        <v/>
      </c>
      <c r="AA919" s="2" t="str">
        <f t="shared" si="329"/>
        <v/>
      </c>
      <c r="AB919" s="2">
        <f t="shared" si="323"/>
        <v>0</v>
      </c>
      <c r="AC919" s="625">
        <v>0</v>
      </c>
      <c r="AD919" s="625">
        <v>0</v>
      </c>
      <c r="AE919" s="625">
        <v>0</v>
      </c>
      <c r="AF919" s="625">
        <v>0</v>
      </c>
      <c r="AG919" s="625">
        <v>0</v>
      </c>
      <c r="AH919" s="625">
        <v>0</v>
      </c>
      <c r="AI919" s="38">
        <v>0</v>
      </c>
      <c r="AJ919" s="625">
        <v>0</v>
      </c>
      <c r="AK919" s="625">
        <v>0</v>
      </c>
      <c r="AL919" s="625">
        <v>0</v>
      </c>
      <c r="AM919" s="625">
        <v>0</v>
      </c>
      <c r="AN919" s="625">
        <v>0</v>
      </c>
      <c r="AO919" s="625">
        <v>0</v>
      </c>
      <c r="AP919" s="41" t="str">
        <f t="shared" si="319"/>
        <v>Reg AssetR</v>
      </c>
      <c r="AQ919" s="41" t="str">
        <f t="shared" si="320"/>
        <v>Reg AssetRR10Electric Reliability Organization</v>
      </c>
      <c r="AR919" s="41" t="str">
        <f t="shared" si="321"/>
        <v>R10Electric Reliability Organization</v>
      </c>
      <c r="CK919" s="625"/>
    </row>
    <row r="920" spans="1:89" s="41" customFormat="1" ht="12.75" customHeight="1">
      <c r="A920" s="25" t="s">
        <v>746</v>
      </c>
      <c r="B920" s="25" t="str">
        <f t="shared" si="316"/>
        <v>Reg Asset182305601109-ABE030565</v>
      </c>
      <c r="C920" s="736">
        <v>182305</v>
      </c>
      <c r="D920" s="738" t="s">
        <v>884</v>
      </c>
      <c r="E920" s="41" t="s">
        <v>958</v>
      </c>
      <c r="F920" s="41" t="str">
        <f t="shared" si="311"/>
        <v>OTH REG ASSETS-UNCONTROLLABLE/EXONGENOUS COSTS-EL</v>
      </c>
      <c r="G920" s="41" t="s">
        <v>1051</v>
      </c>
      <c r="H920" s="736" t="s">
        <v>1127</v>
      </c>
      <c r="I920" s="25"/>
      <c r="J920" s="25" t="str">
        <f t="shared" si="312"/>
        <v/>
      </c>
      <c r="K920" s="25" t="str">
        <f t="shared" si="313"/>
        <v/>
      </c>
      <c r="L920" s="736" t="s">
        <v>2441</v>
      </c>
      <c r="M920" s="25" t="str">
        <f t="shared" si="317"/>
        <v>R</v>
      </c>
      <c r="N920" s="25" t="str">
        <f>IF(L920&lt;&gt;"",VLOOKUP(L920,Categories!$B$2:$D$41,2,FALSE),IF(F920&lt;&gt;"","No Cat",""))</f>
        <v>Rate Base</v>
      </c>
      <c r="O920" s="25" t="str">
        <f>IF($L920&lt;&gt;"",VLOOKUP($L920,Categories!$B$2:$D$41,3,FALSE),IF($F920&lt;&gt;"","No Cat",""))</f>
        <v>Deferred Debits &amp; Credits</v>
      </c>
      <c r="P920" s="736" t="s">
        <v>2482</v>
      </c>
      <c r="Q920" s="25" t="str">
        <f>VLOOKUP($P920,Allocators!$B$7:$F$19,5,FALSE)</f>
        <v>Electric</v>
      </c>
      <c r="R920" s="737">
        <f>VLOOKUP($P920,Allocators!$B$7:$F$19,2,FALSE)</f>
        <v>1</v>
      </c>
      <c r="S920" s="737">
        <f>VLOOKUP($P920,Allocators!$B$7:$F$19,3,FALSE)</f>
        <v>0</v>
      </c>
      <c r="T920" s="737" t="str">
        <f t="shared" si="318"/>
        <v>0.0%</v>
      </c>
      <c r="U920" s="2" t="str">
        <f t="shared" si="324"/>
        <v/>
      </c>
      <c r="V920" s="2" t="str">
        <f t="shared" si="325"/>
        <v/>
      </c>
      <c r="W920" s="2" t="str">
        <f t="shared" si="326"/>
        <v/>
      </c>
      <c r="X920" s="2">
        <f t="shared" si="322"/>
        <v>0</v>
      </c>
      <c r="Y920" s="2" t="str">
        <f t="shared" si="327"/>
        <v/>
      </c>
      <c r="Z920" s="2" t="str">
        <f t="shared" si="328"/>
        <v/>
      </c>
      <c r="AA920" s="2" t="str">
        <f t="shared" si="329"/>
        <v/>
      </c>
      <c r="AB920" s="2">
        <f t="shared" si="323"/>
        <v>0</v>
      </c>
      <c r="AC920" s="734">
        <v>0</v>
      </c>
      <c r="AD920" s="625">
        <v>0</v>
      </c>
      <c r="AE920" s="625">
        <v>0</v>
      </c>
      <c r="AF920" s="625">
        <v>0</v>
      </c>
      <c r="AG920" s="625">
        <v>0</v>
      </c>
      <c r="AH920" s="625">
        <v>0</v>
      </c>
      <c r="AI920" s="38">
        <v>0</v>
      </c>
      <c r="AJ920" s="625">
        <v>0</v>
      </c>
      <c r="AK920" s="625">
        <v>0</v>
      </c>
      <c r="AL920" s="625">
        <v>0</v>
      </c>
      <c r="AM920" s="625">
        <v>0</v>
      </c>
      <c r="AN920" s="625">
        <v>0</v>
      </c>
      <c r="AO920" s="625">
        <v>0</v>
      </c>
      <c r="AP920" s="41" t="str">
        <f t="shared" si="319"/>
        <v>Reg AssetR</v>
      </c>
      <c r="AQ920" s="41" t="str">
        <f t="shared" si="320"/>
        <v>Reg AssetRR10Electric Reliability Organization</v>
      </c>
      <c r="AR920" s="41" t="str">
        <f t="shared" si="321"/>
        <v>R10Electric Reliability Organization</v>
      </c>
      <c r="CK920" s="625"/>
    </row>
    <row r="921" spans="1:89" s="41" customFormat="1" ht="12.75" customHeight="1">
      <c r="A921" s="25" t="s">
        <v>746</v>
      </c>
      <c r="B921" s="25" t="str">
        <f t="shared" si="316"/>
        <v>Reg Asset182305601109-LBE030565</v>
      </c>
      <c r="C921" s="736">
        <v>182305</v>
      </c>
      <c r="D921" s="738" t="s">
        <v>885</v>
      </c>
      <c r="E921" s="41" t="s">
        <v>958</v>
      </c>
      <c r="F921" s="41" t="str">
        <f t="shared" si="311"/>
        <v>OTH REG ASSETS-UNCONTROLLABLE/EXONGENOUS COSTS-EL</v>
      </c>
      <c r="G921" s="41" t="s">
        <v>1051</v>
      </c>
      <c r="H921" s="736" t="s">
        <v>1127</v>
      </c>
      <c r="I921" s="25"/>
      <c r="J921" s="25" t="str">
        <f t="shared" si="312"/>
        <v/>
      </c>
      <c r="K921" s="25" t="str">
        <f t="shared" si="313"/>
        <v/>
      </c>
      <c r="L921" s="736" t="s">
        <v>2441</v>
      </c>
      <c r="M921" s="25" t="str">
        <f t="shared" si="317"/>
        <v>R</v>
      </c>
      <c r="N921" s="25" t="str">
        <f>IF(L921&lt;&gt;"",VLOOKUP(L921,Categories!$B$2:$D$41,2,FALSE),IF(F921&lt;&gt;"","No Cat",""))</f>
        <v>Rate Base</v>
      </c>
      <c r="O921" s="25" t="str">
        <f>IF($L921&lt;&gt;"",VLOOKUP($L921,Categories!$B$2:$D$41,3,FALSE),IF($F921&lt;&gt;"","No Cat",""))</f>
        <v>Deferred Debits &amp; Credits</v>
      </c>
      <c r="P921" s="736" t="s">
        <v>2482</v>
      </c>
      <c r="Q921" s="25" t="str">
        <f>VLOOKUP($P921,Allocators!$B$7:$F$19,5,FALSE)</f>
        <v>Electric</v>
      </c>
      <c r="R921" s="737">
        <f>VLOOKUP($P921,Allocators!$B$7:$F$19,2,FALSE)</f>
        <v>1</v>
      </c>
      <c r="S921" s="737">
        <f>VLOOKUP($P921,Allocators!$B$7:$F$19,3,FALSE)</f>
        <v>0</v>
      </c>
      <c r="T921" s="737" t="str">
        <f t="shared" si="318"/>
        <v>0.0%</v>
      </c>
      <c r="U921" s="2">
        <f t="shared" si="324"/>
        <v>303.63474000000002</v>
      </c>
      <c r="V921" s="2">
        <f t="shared" si="325"/>
        <v>0</v>
      </c>
      <c r="W921" s="2">
        <f t="shared" si="326"/>
        <v>0</v>
      </c>
      <c r="X921" s="2">
        <f t="shared" si="322"/>
        <v>303.63474000000002</v>
      </c>
      <c r="Y921" s="2">
        <f t="shared" si="327"/>
        <v>303.63474000000002</v>
      </c>
      <c r="Z921" s="2">
        <f t="shared" si="328"/>
        <v>0</v>
      </c>
      <c r="AA921" s="2">
        <f t="shared" si="329"/>
        <v>0</v>
      </c>
      <c r="AB921" s="2">
        <f t="shared" si="323"/>
        <v>303.63473999999997</v>
      </c>
      <c r="AC921" s="734">
        <v>303.63473999999997</v>
      </c>
      <c r="AD921" s="625">
        <v>303.63473999999997</v>
      </c>
      <c r="AE921" s="625">
        <v>303.63473999999997</v>
      </c>
      <c r="AF921" s="625">
        <v>303.63473999999997</v>
      </c>
      <c r="AG921" s="625">
        <v>303.63473999999997</v>
      </c>
      <c r="AH921" s="625">
        <v>303.63473999999997</v>
      </c>
      <c r="AI921" s="625">
        <v>303.63473999999997</v>
      </c>
      <c r="AJ921" s="625">
        <v>303.63473999999997</v>
      </c>
      <c r="AK921" s="625">
        <v>303.63473999999997</v>
      </c>
      <c r="AL921" s="625">
        <v>303.63473999999997</v>
      </c>
      <c r="AM921" s="625">
        <v>303.63473999999997</v>
      </c>
      <c r="AN921" s="625">
        <v>303.63473999999997</v>
      </c>
      <c r="AO921" s="625">
        <v>303.63473999999997</v>
      </c>
      <c r="AP921" s="41" t="str">
        <f t="shared" si="319"/>
        <v>Reg AssetR</v>
      </c>
      <c r="AQ921" s="41" t="str">
        <f t="shared" si="320"/>
        <v>Reg AssetRR10Electric Reliability Organization</v>
      </c>
      <c r="AR921" s="41" t="str">
        <f t="shared" si="321"/>
        <v>R10Electric Reliability Organization</v>
      </c>
      <c r="CK921" s="625"/>
    </row>
    <row r="922" spans="1:89" s="41" customFormat="1" ht="12.75" customHeight="1">
      <c r="A922" s="25" t="s">
        <v>746</v>
      </c>
      <c r="B922" s="25" t="str">
        <f t="shared" si="316"/>
        <v>Reg Asset182305601059-ABE030156</v>
      </c>
      <c r="C922" s="736">
        <v>182305</v>
      </c>
      <c r="D922" s="738" t="s">
        <v>886</v>
      </c>
      <c r="E922" s="41" t="s">
        <v>959</v>
      </c>
      <c r="F922" s="41" t="str">
        <f t="shared" si="311"/>
        <v>OTH REG ASSETS-UNCONTROLLABLE/EXONGENOUS COSTS-EL</v>
      </c>
      <c r="G922" s="41" t="s">
        <v>1052</v>
      </c>
      <c r="H922" s="736" t="s">
        <v>1126</v>
      </c>
      <c r="I922" s="25"/>
      <c r="J922" s="25" t="str">
        <f t="shared" si="312"/>
        <v/>
      </c>
      <c r="K922" s="25" t="str">
        <f t="shared" si="313"/>
        <v/>
      </c>
      <c r="L922" s="736" t="s">
        <v>2441</v>
      </c>
      <c r="M922" s="25" t="str">
        <f t="shared" si="317"/>
        <v>R</v>
      </c>
      <c r="N922" s="25" t="str">
        <f>IF(L922&lt;&gt;"",VLOOKUP(L922,Categories!$B$2:$D$41,2,FALSE),IF(F922&lt;&gt;"","No Cat",""))</f>
        <v>Rate Base</v>
      </c>
      <c r="O922" s="25" t="str">
        <f>IF($L922&lt;&gt;"",VLOOKUP($L922,Categories!$B$2:$D$41,3,FALSE),IF($F922&lt;&gt;"","No Cat",""))</f>
        <v>Deferred Debits &amp; Credits</v>
      </c>
      <c r="P922" s="736" t="s">
        <v>2482</v>
      </c>
      <c r="Q922" s="25" t="str">
        <f>VLOOKUP($P922,Allocators!$B$7:$F$19,5,FALSE)</f>
        <v>Electric</v>
      </c>
      <c r="R922" s="737">
        <f>VLOOKUP($P922,Allocators!$B$7:$F$19,2,FALSE)</f>
        <v>1</v>
      </c>
      <c r="S922" s="737">
        <f>VLOOKUP($P922,Allocators!$B$7:$F$19,3,FALSE)</f>
        <v>0</v>
      </c>
      <c r="T922" s="737" t="str">
        <f t="shared" si="318"/>
        <v>0.0%</v>
      </c>
      <c r="U922" s="2" t="str">
        <f t="shared" si="324"/>
        <v/>
      </c>
      <c r="V922" s="2" t="str">
        <f t="shared" si="325"/>
        <v/>
      </c>
      <c r="W922" s="2" t="str">
        <f t="shared" si="326"/>
        <v/>
      </c>
      <c r="X922" s="2">
        <f t="shared" si="322"/>
        <v>0</v>
      </c>
      <c r="Y922" s="2" t="str">
        <f t="shared" si="327"/>
        <v/>
      </c>
      <c r="Z922" s="2" t="str">
        <f t="shared" si="328"/>
        <v/>
      </c>
      <c r="AA922" s="2" t="str">
        <f t="shared" si="329"/>
        <v/>
      </c>
      <c r="AB922" s="2">
        <f t="shared" si="323"/>
        <v>0</v>
      </c>
      <c r="AC922" s="734">
        <v>0</v>
      </c>
      <c r="AD922" s="625">
        <v>0</v>
      </c>
      <c r="AE922" s="625">
        <v>0</v>
      </c>
      <c r="AF922" s="625">
        <v>0</v>
      </c>
      <c r="AG922" s="625">
        <v>0</v>
      </c>
      <c r="AH922" s="625">
        <v>0</v>
      </c>
      <c r="AI922" s="38">
        <v>0</v>
      </c>
      <c r="AJ922" s="625">
        <v>0</v>
      </c>
      <c r="AK922" s="625">
        <v>0</v>
      </c>
      <c r="AL922" s="625">
        <v>0</v>
      </c>
      <c r="AM922" s="625">
        <v>0</v>
      </c>
      <c r="AN922" s="625">
        <v>0</v>
      </c>
      <c r="AO922" s="625">
        <v>0</v>
      </c>
      <c r="AP922" s="41" t="str">
        <f t="shared" si="319"/>
        <v>Reg AssetR</v>
      </c>
      <c r="AQ922" s="41" t="str">
        <f t="shared" si="320"/>
        <v>Reg AssetRR10NYS Tax Audit</v>
      </c>
      <c r="AR922" s="41" t="str">
        <f t="shared" si="321"/>
        <v>R10NYS Tax Audit</v>
      </c>
      <c r="CK922" s="625"/>
    </row>
    <row r="923" spans="1:89" s="41" customFormat="1" ht="12.75" customHeight="1">
      <c r="A923" s="25" t="s">
        <v>746</v>
      </c>
      <c r="B923" s="25" t="str">
        <f t="shared" si="316"/>
        <v>Reg Asset182305601059-LBE030156</v>
      </c>
      <c r="C923" s="736">
        <v>182305</v>
      </c>
      <c r="D923" s="738" t="s">
        <v>887</v>
      </c>
      <c r="E923" s="41" t="s">
        <v>959</v>
      </c>
      <c r="F923" s="41" t="str">
        <f t="shared" si="311"/>
        <v>OTH REG ASSETS-UNCONTROLLABLE/EXONGENOUS COSTS-EL</v>
      </c>
      <c r="G923" s="41" t="s">
        <v>1053</v>
      </c>
      <c r="H923" s="736" t="s">
        <v>1126</v>
      </c>
      <c r="I923" s="25"/>
      <c r="J923" s="25" t="str">
        <f t="shared" si="312"/>
        <v/>
      </c>
      <c r="K923" s="25" t="str">
        <f t="shared" si="313"/>
        <v/>
      </c>
      <c r="L923" s="736" t="s">
        <v>2441</v>
      </c>
      <c r="M923" s="25" t="str">
        <f t="shared" si="317"/>
        <v>R</v>
      </c>
      <c r="N923" s="25" t="str">
        <f>IF(L923&lt;&gt;"",VLOOKUP(L923,Categories!$B$2:$D$41,2,FALSE),IF(F923&lt;&gt;"","No Cat",""))</f>
        <v>Rate Base</v>
      </c>
      <c r="O923" s="25" t="str">
        <f>IF($L923&lt;&gt;"",VLOOKUP($L923,Categories!$B$2:$D$41,3,FALSE),IF($F923&lt;&gt;"","No Cat",""))</f>
        <v>Deferred Debits &amp; Credits</v>
      </c>
      <c r="P923" s="736" t="s">
        <v>2482</v>
      </c>
      <c r="Q923" s="25" t="str">
        <f>VLOOKUP($P923,Allocators!$B$7:$F$19,5,FALSE)</f>
        <v>Electric</v>
      </c>
      <c r="R923" s="737">
        <f>VLOOKUP($P923,Allocators!$B$7:$F$19,2,FALSE)</f>
        <v>1</v>
      </c>
      <c r="S923" s="737">
        <f>VLOOKUP($P923,Allocators!$B$7:$F$19,3,FALSE)</f>
        <v>0</v>
      </c>
      <c r="T923" s="737" t="str">
        <f t="shared" si="318"/>
        <v>0.0%</v>
      </c>
      <c r="U923" s="2">
        <f t="shared" si="324"/>
        <v>-181.88962000000001</v>
      </c>
      <c r="V923" s="2">
        <f t="shared" si="325"/>
        <v>0</v>
      </c>
      <c r="W923" s="2">
        <f t="shared" si="326"/>
        <v>0</v>
      </c>
      <c r="X923" s="2">
        <f t="shared" si="322"/>
        <v>-181.88962000000001</v>
      </c>
      <c r="Y923" s="2">
        <f t="shared" si="327"/>
        <v>-181.88962000000001</v>
      </c>
      <c r="Z923" s="2">
        <f t="shared" si="328"/>
        <v>0</v>
      </c>
      <c r="AA923" s="2">
        <f t="shared" si="329"/>
        <v>0</v>
      </c>
      <c r="AB923" s="2">
        <f t="shared" si="323"/>
        <v>-181.88962000000001</v>
      </c>
      <c r="AC923" s="734">
        <v>-181.88962000000001</v>
      </c>
      <c r="AD923" s="625">
        <v>-181.88962000000001</v>
      </c>
      <c r="AE923" s="625">
        <v>-181.88962000000001</v>
      </c>
      <c r="AF923" s="625">
        <v>-181.88962000000001</v>
      </c>
      <c r="AG923" s="625">
        <v>-181.88962000000001</v>
      </c>
      <c r="AH923" s="625">
        <v>-181.88962000000001</v>
      </c>
      <c r="AI923" s="625">
        <v>-181.88962000000001</v>
      </c>
      <c r="AJ923" s="625">
        <v>-181.88962000000001</v>
      </c>
      <c r="AK923" s="625">
        <v>-181.88962000000001</v>
      </c>
      <c r="AL923" s="625">
        <v>-181.88962000000001</v>
      </c>
      <c r="AM923" s="625">
        <v>-181.88962000000001</v>
      </c>
      <c r="AN923" s="625">
        <v>-181.88962000000001</v>
      </c>
      <c r="AO923" s="625">
        <v>-181.88962000000001</v>
      </c>
      <c r="AP923" s="41" t="str">
        <f t="shared" si="319"/>
        <v>Reg AssetR</v>
      </c>
      <c r="AQ923" s="41" t="str">
        <f t="shared" si="320"/>
        <v>Reg AssetRR10NYS Tax Audit</v>
      </c>
      <c r="AR923" s="41" t="str">
        <f t="shared" si="321"/>
        <v>R10NYS Tax Audit</v>
      </c>
      <c r="CK923" s="625"/>
    </row>
    <row r="924" spans="1:89" s="41" customFormat="1" ht="12.75" customHeight="1">
      <c r="A924" s="25" t="s">
        <v>746</v>
      </c>
      <c r="B924" s="25" t="str">
        <f t="shared" si="316"/>
        <v>Reg Asset182305601231-ABE030251</v>
      </c>
      <c r="C924" s="736">
        <v>182305</v>
      </c>
      <c r="D924" s="738" t="s">
        <v>888</v>
      </c>
      <c r="E924" s="41" t="s">
        <v>945</v>
      </c>
      <c r="F924" s="41" t="str">
        <f t="shared" si="311"/>
        <v>OTH REG ASSETS-UNCONTROLLABLE/EXONGENOUS COSTS-EL</v>
      </c>
      <c r="G924" s="41" t="s">
        <v>1054</v>
      </c>
      <c r="H924" s="736" t="s">
        <v>1128</v>
      </c>
      <c r="I924" s="25"/>
      <c r="J924" s="25" t="str">
        <f t="shared" si="312"/>
        <v/>
      </c>
      <c r="K924" s="25" t="str">
        <f t="shared" si="313"/>
        <v/>
      </c>
      <c r="L924" s="736" t="s">
        <v>2441</v>
      </c>
      <c r="M924" s="25" t="str">
        <f t="shared" si="317"/>
        <v>R</v>
      </c>
      <c r="N924" s="25" t="str">
        <f>IF(L924&lt;&gt;"",VLOOKUP(L924,Categories!$B$2:$D$41,2,FALSE),IF(F924&lt;&gt;"","No Cat",""))</f>
        <v>Rate Base</v>
      </c>
      <c r="O924" s="25" t="str">
        <f>IF($L924&lt;&gt;"",VLOOKUP($L924,Categories!$B$2:$D$41,3,FALSE),IF($F924&lt;&gt;"","No Cat",""))</f>
        <v>Deferred Debits &amp; Credits</v>
      </c>
      <c r="P924" s="736" t="s">
        <v>2482</v>
      </c>
      <c r="Q924" s="25" t="str">
        <f>VLOOKUP($P924,Allocators!$B$7:$F$19,5,FALSE)</f>
        <v>Electric</v>
      </c>
      <c r="R924" s="737">
        <f>VLOOKUP($P924,Allocators!$B$7:$F$19,2,FALSE)</f>
        <v>1</v>
      </c>
      <c r="S924" s="737">
        <f>VLOOKUP($P924,Allocators!$B$7:$F$19,3,FALSE)</f>
        <v>0</v>
      </c>
      <c r="T924" s="737" t="str">
        <f t="shared" si="318"/>
        <v>0.0%</v>
      </c>
      <c r="U924" s="2" t="str">
        <f t="shared" si="324"/>
        <v/>
      </c>
      <c r="V924" s="2" t="str">
        <f t="shared" si="325"/>
        <v/>
      </c>
      <c r="W924" s="2" t="str">
        <f t="shared" si="326"/>
        <v/>
      </c>
      <c r="X924" s="2">
        <f t="shared" si="322"/>
        <v>0</v>
      </c>
      <c r="Y924" s="2" t="str">
        <f t="shared" si="327"/>
        <v/>
      </c>
      <c r="Z924" s="2" t="str">
        <f t="shared" si="328"/>
        <v/>
      </c>
      <c r="AA924" s="2" t="str">
        <f t="shared" si="329"/>
        <v/>
      </c>
      <c r="AB924" s="2">
        <f t="shared" si="323"/>
        <v>0</v>
      </c>
      <c r="AC924" s="734">
        <v>0</v>
      </c>
      <c r="AD924" s="625">
        <v>0</v>
      </c>
      <c r="AE924" s="625">
        <v>0</v>
      </c>
      <c r="AF924" s="625">
        <v>0</v>
      </c>
      <c r="AG924" s="625">
        <v>0</v>
      </c>
      <c r="AH924" s="625">
        <v>0</v>
      </c>
      <c r="AI924" s="38">
        <v>0</v>
      </c>
      <c r="AJ924" s="625">
        <v>0</v>
      </c>
      <c r="AK924" s="625">
        <v>0</v>
      </c>
      <c r="AL924" s="625">
        <v>0</v>
      </c>
      <c r="AM924" s="625">
        <v>0</v>
      </c>
      <c r="AN924" s="625">
        <v>0</v>
      </c>
      <c r="AO924" s="625">
        <v>0</v>
      </c>
      <c r="AP924" s="41" t="str">
        <f t="shared" si="319"/>
        <v>Reg AssetR</v>
      </c>
      <c r="AQ924" s="41" t="str">
        <f t="shared" si="320"/>
        <v>Reg AssetRR10CTA Property Tax</v>
      </c>
      <c r="AR924" s="41" t="str">
        <f t="shared" si="321"/>
        <v>R10CTA Property Tax</v>
      </c>
      <c r="CK924" s="625"/>
    </row>
    <row r="925" spans="1:89" s="41" customFormat="1" ht="12.75" customHeight="1">
      <c r="A925" s="25" t="s">
        <v>746</v>
      </c>
      <c r="B925" s="25" t="str">
        <f t="shared" si="316"/>
        <v>Reg Asset182305601030E-ABE030263</v>
      </c>
      <c r="C925" s="736">
        <v>182305</v>
      </c>
      <c r="D925" s="738" t="s">
        <v>889</v>
      </c>
      <c r="E925" s="41" t="s">
        <v>960</v>
      </c>
      <c r="F925" s="41" t="str">
        <f t="shared" si="311"/>
        <v>OTH REG ASSETS-UNCONTROLLABLE/EXONGENOUS COSTS-EL</v>
      </c>
      <c r="G925" s="41" t="s">
        <v>1055</v>
      </c>
      <c r="H925" s="736" t="s">
        <v>822</v>
      </c>
      <c r="I925" s="25"/>
      <c r="J925" s="25" t="str">
        <f t="shared" si="312"/>
        <v/>
      </c>
      <c r="K925" s="25" t="str">
        <f t="shared" si="313"/>
        <v/>
      </c>
      <c r="L925" s="736" t="s">
        <v>2441</v>
      </c>
      <c r="M925" s="25" t="str">
        <f t="shared" si="317"/>
        <v>R</v>
      </c>
      <c r="N925" s="25" t="str">
        <f>IF(L925&lt;&gt;"",VLOOKUP(L925,Categories!$B$2:$D$41,2,FALSE),IF(F925&lt;&gt;"","No Cat",""))</f>
        <v>Rate Base</v>
      </c>
      <c r="O925" s="25" t="str">
        <f>IF($L925&lt;&gt;"",VLOOKUP($L925,Categories!$B$2:$D$41,3,FALSE),IF($F925&lt;&gt;"","No Cat",""))</f>
        <v>Deferred Debits &amp; Credits</v>
      </c>
      <c r="P925" s="736" t="s">
        <v>2482</v>
      </c>
      <c r="Q925" s="25" t="str">
        <f>VLOOKUP($P925,Allocators!$B$7:$F$19,5,FALSE)</f>
        <v>Electric</v>
      </c>
      <c r="R925" s="737">
        <f>VLOOKUP($P925,Allocators!$B$7:$F$19,2,FALSE)</f>
        <v>1</v>
      </c>
      <c r="S925" s="737">
        <f>VLOOKUP($P925,Allocators!$B$7:$F$19,3,FALSE)</f>
        <v>0</v>
      </c>
      <c r="T925" s="737" t="str">
        <f t="shared" si="318"/>
        <v>0.0%</v>
      </c>
      <c r="U925" s="2" t="str">
        <f t="shared" si="324"/>
        <v/>
      </c>
      <c r="V925" s="2" t="str">
        <f t="shared" si="325"/>
        <v/>
      </c>
      <c r="W925" s="2" t="str">
        <f t="shared" si="326"/>
        <v/>
      </c>
      <c r="X925" s="2">
        <f t="shared" si="322"/>
        <v>0</v>
      </c>
      <c r="Y925" s="2" t="str">
        <f t="shared" si="327"/>
        <v/>
      </c>
      <c r="Z925" s="2" t="str">
        <f t="shared" si="328"/>
        <v/>
      </c>
      <c r="AA925" s="2" t="str">
        <f t="shared" si="329"/>
        <v/>
      </c>
      <c r="AB925" s="2">
        <f t="shared" si="323"/>
        <v>0</v>
      </c>
      <c r="AC925" s="734">
        <v>0</v>
      </c>
      <c r="AD925" s="625">
        <v>0</v>
      </c>
      <c r="AE925" s="625">
        <v>0</v>
      </c>
      <c r="AF925" s="625">
        <v>0</v>
      </c>
      <c r="AG925" s="625">
        <v>0</v>
      </c>
      <c r="AH925" s="625">
        <v>0</v>
      </c>
      <c r="AI925" s="38">
        <v>0</v>
      </c>
      <c r="AJ925" s="625">
        <v>0</v>
      </c>
      <c r="AK925" s="625">
        <v>0</v>
      </c>
      <c r="AL925" s="625">
        <v>0</v>
      </c>
      <c r="AM925" s="625">
        <v>0</v>
      </c>
      <c r="AN925" s="625">
        <v>0</v>
      </c>
      <c r="AO925" s="625">
        <v>0</v>
      </c>
      <c r="AP925" s="41" t="str">
        <f t="shared" si="319"/>
        <v>Reg AssetR</v>
      </c>
      <c r="AQ925" s="41" t="str">
        <f t="shared" si="320"/>
        <v>Reg AssetRR10Variable Rate Debt</v>
      </c>
      <c r="AR925" s="41" t="str">
        <f t="shared" si="321"/>
        <v>R10Variable Rate Debt</v>
      </c>
      <c r="CK925" s="625"/>
    </row>
    <row r="926" spans="1:89" s="41" customFormat="1" ht="12.75" customHeight="1">
      <c r="A926" s="442" t="s">
        <v>746</v>
      </c>
      <c r="B926" s="442" t="str">
        <f t="shared" si="316"/>
        <v>Reg Asset182305601030E-LBE030263</v>
      </c>
      <c r="C926" s="736">
        <v>182305</v>
      </c>
      <c r="D926" s="738" t="s">
        <v>890</v>
      </c>
      <c r="E926" s="626" t="s">
        <v>960</v>
      </c>
      <c r="F926" s="626" t="str">
        <f t="shared" si="311"/>
        <v>OTH REG ASSETS-UNCONTROLLABLE/EXONGENOUS COSTS-EL</v>
      </c>
      <c r="G926" s="626" t="s">
        <v>1056</v>
      </c>
      <c r="H926" s="736" t="s">
        <v>822</v>
      </c>
      <c r="I926" s="442"/>
      <c r="J926" s="442" t="s">
        <v>7</v>
      </c>
      <c r="K926" s="442" t="str">
        <f t="shared" si="313"/>
        <v/>
      </c>
      <c r="L926" s="736" t="s">
        <v>2436</v>
      </c>
      <c r="M926" s="442" t="str">
        <f t="shared" si="317"/>
        <v>N</v>
      </c>
      <c r="N926" s="442" t="str">
        <f>IF(L926&lt;&gt;"",VLOOKUP(L926,Categories!$B$2:$D$41,2,FALSE),IF(F926&lt;&gt;"","No Cat",""))</f>
        <v>NRBASE</v>
      </c>
      <c r="O926" s="442" t="str">
        <f>IF($L926&lt;&gt;"",VLOOKUP($L926,Categories!$B$2:$D$41,3,FALSE),IF($F926&lt;&gt;"","No Cat",""))</f>
        <v>Deferrals Accruing Non-Cash Return   (other than ASGA)</v>
      </c>
      <c r="P926" s="736" t="s">
        <v>2468</v>
      </c>
      <c r="Q926" s="442" t="str">
        <f>VLOOKUP($P926,Allocators!$B$7:$F$19,5,FALSE)</f>
        <v>Not in Rate Base</v>
      </c>
      <c r="R926" s="737">
        <f>VLOOKUP($P926,Allocators!$B$7:$F$19,2,FALSE)</f>
        <v>0</v>
      </c>
      <c r="S926" s="737">
        <f>VLOOKUP($P926,Allocators!$B$7:$F$19,3,FALSE)</f>
        <v>0</v>
      </c>
      <c r="T926" s="737">
        <f t="shared" si="318"/>
        <v>1</v>
      </c>
      <c r="U926" s="2">
        <f t="shared" si="324"/>
        <v>0</v>
      </c>
      <c r="V926" s="2">
        <f t="shared" si="325"/>
        <v>0</v>
      </c>
      <c r="W926" s="2">
        <f t="shared" si="326"/>
        <v>35.143324583333303</v>
      </c>
      <c r="X926" s="2">
        <f t="shared" si="322"/>
        <v>35.143324583333303</v>
      </c>
      <c r="Y926" s="2" t="str">
        <f t="shared" si="327"/>
        <v/>
      </c>
      <c r="Z926" s="2" t="str">
        <f t="shared" si="328"/>
        <v/>
      </c>
      <c r="AA926" s="2" t="str">
        <f t="shared" si="329"/>
        <v/>
      </c>
      <c r="AB926" s="2">
        <f t="shared" si="323"/>
        <v>0</v>
      </c>
      <c r="AC926" s="734">
        <v>119.32771000000001</v>
      </c>
      <c r="AD926" s="625">
        <v>120.00397</v>
      </c>
      <c r="AE926" s="625">
        <v>120.68406</v>
      </c>
      <c r="AF926" s="625">
        <v>121.36801</v>
      </c>
      <c r="AG926" s="625">
        <v>0</v>
      </c>
      <c r="AH926" s="625">
        <v>0</v>
      </c>
      <c r="AI926" s="38">
        <v>0</v>
      </c>
      <c r="AJ926" s="625">
        <v>0</v>
      </c>
      <c r="AK926" s="625">
        <v>0</v>
      </c>
      <c r="AL926" s="625">
        <v>0</v>
      </c>
      <c r="AM926" s="625">
        <v>0</v>
      </c>
      <c r="AN926" s="625">
        <v>0</v>
      </c>
      <c r="AO926" s="625">
        <v>0</v>
      </c>
      <c r="AP926" s="41" t="str">
        <f t="shared" si="319"/>
        <v>Reg AssetN</v>
      </c>
      <c r="AQ926" s="41" t="str">
        <f t="shared" si="320"/>
        <v>Reg AssetNN10Variable Rate Debt</v>
      </c>
      <c r="AR926" s="41" t="str">
        <f t="shared" si="321"/>
        <v>N10Variable Rate DebtNCR</v>
      </c>
      <c r="CK926" s="625"/>
    </row>
    <row r="927" spans="1:89" s="41" customFormat="1" ht="12.75" customHeight="1">
      <c r="A927" s="442" t="s">
        <v>746</v>
      </c>
      <c r="B927" s="442" t="str">
        <f t="shared" si="316"/>
        <v>Reg Asset182305601256BE030925</v>
      </c>
      <c r="C927" s="736">
        <v>182305</v>
      </c>
      <c r="D927" s="738">
        <v>601256</v>
      </c>
      <c r="E927" s="626" t="s">
        <v>961</v>
      </c>
      <c r="F927" s="626" t="str">
        <f t="shared" si="311"/>
        <v>OTH REG ASSETS-UNCONTROLLABLE/EXONGENOUS COSTS-EL</v>
      </c>
      <c r="G927" s="626" t="s">
        <v>1057</v>
      </c>
      <c r="H927" s="736" t="s">
        <v>1129</v>
      </c>
      <c r="I927" s="442"/>
      <c r="J927" s="442" t="s">
        <v>7</v>
      </c>
      <c r="K927" s="442" t="str">
        <f t="shared" si="313"/>
        <v/>
      </c>
      <c r="L927" s="736" t="s">
        <v>2436</v>
      </c>
      <c r="M927" s="442" t="str">
        <f t="shared" si="317"/>
        <v>N</v>
      </c>
      <c r="N927" s="442" t="str">
        <f>IF(L927&lt;&gt;"",VLOOKUP(L927,Categories!$B$2:$D$41,2,FALSE),IF(F927&lt;&gt;"","No Cat",""))</f>
        <v>NRBASE</v>
      </c>
      <c r="O927" s="442" t="str">
        <f>IF($L927&lt;&gt;"",VLOOKUP($L927,Categories!$B$2:$D$41,3,FALSE),IF($F927&lt;&gt;"","No Cat",""))</f>
        <v>Deferrals Accruing Non-Cash Return   (other than ASGA)</v>
      </c>
      <c r="P927" s="736" t="s">
        <v>2468</v>
      </c>
      <c r="Q927" s="442" t="str">
        <f>VLOOKUP($P927,Allocators!$B$7:$F$19,5,FALSE)</f>
        <v>Not in Rate Base</v>
      </c>
      <c r="R927" s="737">
        <f>VLOOKUP($P927,Allocators!$B$7:$F$19,2,FALSE)</f>
        <v>0</v>
      </c>
      <c r="S927" s="737">
        <f>VLOOKUP($P927,Allocators!$B$7:$F$19,3,FALSE)</f>
        <v>0</v>
      </c>
      <c r="T927" s="737">
        <f t="shared" si="318"/>
        <v>1</v>
      </c>
      <c r="U927" s="2">
        <f t="shared" si="324"/>
        <v>0</v>
      </c>
      <c r="V927" s="2">
        <f t="shared" si="325"/>
        <v>0</v>
      </c>
      <c r="W927" s="2">
        <f t="shared" si="326"/>
        <v>65.437477916666694</v>
      </c>
      <c r="X927" s="2">
        <f t="shared" si="322"/>
        <v>65.437477916666694</v>
      </c>
      <c r="Y927" s="2">
        <f t="shared" si="327"/>
        <v>0</v>
      </c>
      <c r="Z927" s="2">
        <f t="shared" si="328"/>
        <v>0</v>
      </c>
      <c r="AA927" s="2">
        <f t="shared" si="329"/>
        <v>69.824910000000003</v>
      </c>
      <c r="AB927" s="2">
        <f t="shared" si="323"/>
        <v>69.824909999999988</v>
      </c>
      <c r="AC927" s="734">
        <v>65.246719999999996</v>
      </c>
      <c r="AD927" s="625">
        <v>65.246719999999996</v>
      </c>
      <c r="AE927" s="625">
        <v>65.246719999999996</v>
      </c>
      <c r="AF927" s="625">
        <v>65.246719999999996</v>
      </c>
      <c r="AG927" s="625">
        <v>65.246719999999996</v>
      </c>
      <c r="AH927" s="625">
        <v>65.246719999999996</v>
      </c>
      <c r="AI927" s="625">
        <v>65.246719999999996</v>
      </c>
      <c r="AJ927" s="625">
        <v>65.246719999999996</v>
      </c>
      <c r="AK927" s="625">
        <v>65.246719999999996</v>
      </c>
      <c r="AL927" s="625">
        <v>65.246719999999996</v>
      </c>
      <c r="AM927" s="625">
        <v>65.246719999999996</v>
      </c>
      <c r="AN927" s="625">
        <v>65.246719999999996</v>
      </c>
      <c r="AO927" s="625">
        <v>69.824909999999988</v>
      </c>
      <c r="AP927" s="41" t="str">
        <f t="shared" si="319"/>
        <v>Reg AssetN</v>
      </c>
      <c r="AQ927" s="41" t="str">
        <f t="shared" si="320"/>
        <v>Reg AssetNN10Unit of Property CTA</v>
      </c>
      <c r="AR927" s="41" t="str">
        <f t="shared" si="321"/>
        <v>N10Unit of Property CTANCR</v>
      </c>
      <c r="CK927" s="625"/>
    </row>
    <row r="928" spans="1:89" s="41" customFormat="1" ht="12.75" customHeight="1">
      <c r="A928" s="442" t="s">
        <v>746</v>
      </c>
      <c r="B928" s="442" t="str">
        <f t="shared" si="316"/>
        <v>Reg Asset182306601016G-07BG030252</v>
      </c>
      <c r="C928" s="736">
        <v>182306</v>
      </c>
      <c r="D928" s="738" t="s">
        <v>891</v>
      </c>
      <c r="E928" s="626" t="s">
        <v>962</v>
      </c>
      <c r="F928" s="626" t="str">
        <f t="shared" si="311"/>
        <v>OTH REG ASSETS-UNCONTROLLABLE/EXONGENOUS COSTS-GA</v>
      </c>
      <c r="G928" s="626" t="s">
        <v>1058</v>
      </c>
      <c r="H928" s="736" t="s">
        <v>1113</v>
      </c>
      <c r="I928" s="442"/>
      <c r="J928" s="442" t="s">
        <v>7</v>
      </c>
      <c r="K928" s="442" t="str">
        <f t="shared" si="313"/>
        <v/>
      </c>
      <c r="L928" s="736" t="s">
        <v>2436</v>
      </c>
      <c r="M928" s="442" t="str">
        <f t="shared" si="317"/>
        <v>N</v>
      </c>
      <c r="N928" s="442" t="str">
        <f>IF(L928&lt;&gt;"",VLOOKUP(L928,Categories!$B$2:$D$41,2,FALSE),IF(F928&lt;&gt;"","No Cat",""))</f>
        <v>NRBASE</v>
      </c>
      <c r="O928" s="442" t="str">
        <f>IF($L928&lt;&gt;"",VLOOKUP($L928,Categories!$B$2:$D$41,3,FALSE),IF($F928&lt;&gt;"","No Cat",""))</f>
        <v>Deferrals Accruing Non-Cash Return   (other than ASGA)</v>
      </c>
      <c r="P928" s="736" t="s">
        <v>2468</v>
      </c>
      <c r="Q928" s="442" t="str">
        <f>VLOOKUP($P928,Allocators!$B$7:$F$19,5,FALSE)</f>
        <v>Not in Rate Base</v>
      </c>
      <c r="R928" s="737">
        <f>VLOOKUP($P928,Allocators!$B$7:$F$19,2,FALSE)</f>
        <v>0</v>
      </c>
      <c r="S928" s="737">
        <f>VLOOKUP($P928,Allocators!$B$7:$F$19,3,FALSE)</f>
        <v>0</v>
      </c>
      <c r="T928" s="737">
        <f t="shared" si="318"/>
        <v>1</v>
      </c>
      <c r="U928" s="2" t="str">
        <f t="shared" si="324"/>
        <v/>
      </c>
      <c r="V928" s="2" t="str">
        <f t="shared" si="325"/>
        <v/>
      </c>
      <c r="W928" s="2" t="str">
        <f t="shared" si="326"/>
        <v/>
      </c>
      <c r="X928" s="2">
        <f t="shared" si="322"/>
        <v>0</v>
      </c>
      <c r="Y928" s="2" t="str">
        <f t="shared" si="327"/>
        <v/>
      </c>
      <c r="Z928" s="2" t="str">
        <f t="shared" si="328"/>
        <v/>
      </c>
      <c r="AA928" s="2" t="str">
        <f t="shared" si="329"/>
        <v/>
      </c>
      <c r="AB928" s="2">
        <f t="shared" si="323"/>
        <v>0</v>
      </c>
      <c r="AC928" s="625">
        <v>0</v>
      </c>
      <c r="AD928" s="625">
        <v>0</v>
      </c>
      <c r="AE928" s="625">
        <v>0</v>
      </c>
      <c r="AF928" s="625">
        <v>0</v>
      </c>
      <c r="AG928" s="625">
        <v>0</v>
      </c>
      <c r="AH928" s="625">
        <v>0</v>
      </c>
      <c r="AI928" s="38">
        <v>0</v>
      </c>
      <c r="AJ928" s="625">
        <v>0</v>
      </c>
      <c r="AK928" s="625">
        <v>0</v>
      </c>
      <c r="AL928" s="625">
        <v>0</v>
      </c>
      <c r="AM928" s="625">
        <v>0</v>
      </c>
      <c r="AN928" s="625">
        <v>0</v>
      </c>
      <c r="AO928" s="625">
        <v>0</v>
      </c>
      <c r="AP928" s="41" t="str">
        <f t="shared" si="319"/>
        <v>Reg AssetN</v>
      </c>
      <c r="AQ928" s="41" t="str">
        <f t="shared" si="320"/>
        <v>Reg AssetNN10Property Tax Deferral</v>
      </c>
      <c r="AR928" s="41" t="str">
        <f t="shared" si="321"/>
        <v>N10Property Tax DeferralNCR</v>
      </c>
      <c r="CK928" s="625"/>
    </row>
    <row r="929" spans="1:89" s="41" customFormat="1" ht="12.75" customHeight="1">
      <c r="A929" s="442" t="s">
        <v>746</v>
      </c>
      <c r="B929" s="442" t="str">
        <f t="shared" si="316"/>
        <v>Reg Asset182306601016G-05BG030252</v>
      </c>
      <c r="C929" s="736">
        <v>182306</v>
      </c>
      <c r="D929" s="738" t="s">
        <v>892</v>
      </c>
      <c r="E929" s="626" t="s">
        <v>962</v>
      </c>
      <c r="F929" s="626" t="str">
        <f t="shared" si="311"/>
        <v>OTH REG ASSETS-UNCONTROLLABLE/EXONGENOUS COSTS-GA</v>
      </c>
      <c r="G929" s="626" t="s">
        <v>1059</v>
      </c>
      <c r="H929" s="736" t="s">
        <v>1113</v>
      </c>
      <c r="I929" s="442"/>
      <c r="J929" s="442" t="s">
        <v>7</v>
      </c>
      <c r="K929" s="442" t="str">
        <f t="shared" si="313"/>
        <v/>
      </c>
      <c r="L929" s="736" t="s">
        <v>2436</v>
      </c>
      <c r="M929" s="442" t="str">
        <f t="shared" si="317"/>
        <v>N</v>
      </c>
      <c r="N929" s="442" t="str">
        <f>IF(L929&lt;&gt;"",VLOOKUP(L929,Categories!$B$2:$D$41,2,FALSE),IF(F929&lt;&gt;"","No Cat",""))</f>
        <v>NRBASE</v>
      </c>
      <c r="O929" s="442" t="str">
        <f>IF($L929&lt;&gt;"",VLOOKUP($L929,Categories!$B$2:$D$41,3,FALSE),IF($F929&lt;&gt;"","No Cat",""))</f>
        <v>Deferrals Accruing Non-Cash Return   (other than ASGA)</v>
      </c>
      <c r="P929" s="736" t="s">
        <v>2468</v>
      </c>
      <c r="Q929" s="442" t="str">
        <f>VLOOKUP($P929,Allocators!$B$7:$F$19,5,FALSE)</f>
        <v>Not in Rate Base</v>
      </c>
      <c r="R929" s="737">
        <f>VLOOKUP($P929,Allocators!$B$7:$F$19,2,FALSE)</f>
        <v>0</v>
      </c>
      <c r="S929" s="737">
        <f>VLOOKUP($P929,Allocators!$B$7:$F$19,3,FALSE)</f>
        <v>0</v>
      </c>
      <c r="T929" s="737">
        <f t="shared" si="318"/>
        <v>1</v>
      </c>
      <c r="U929" s="2" t="str">
        <f t="shared" si="324"/>
        <v/>
      </c>
      <c r="V929" s="2" t="str">
        <f t="shared" si="325"/>
        <v/>
      </c>
      <c r="W929" s="2" t="str">
        <f t="shared" si="326"/>
        <v/>
      </c>
      <c r="X929" s="2">
        <f t="shared" si="322"/>
        <v>0</v>
      </c>
      <c r="Y929" s="2" t="str">
        <f t="shared" si="327"/>
        <v/>
      </c>
      <c r="Z929" s="2" t="str">
        <f t="shared" si="328"/>
        <v/>
      </c>
      <c r="AA929" s="2" t="str">
        <f t="shared" si="329"/>
        <v/>
      </c>
      <c r="AB929" s="2">
        <f t="shared" si="323"/>
        <v>0</v>
      </c>
      <c r="AC929" s="625">
        <v>0</v>
      </c>
      <c r="AD929" s="625">
        <v>0</v>
      </c>
      <c r="AE929" s="625">
        <v>0</v>
      </c>
      <c r="AF929" s="625">
        <v>0</v>
      </c>
      <c r="AG929" s="625">
        <v>0</v>
      </c>
      <c r="AH929" s="625">
        <v>0</v>
      </c>
      <c r="AI929" s="38">
        <v>0</v>
      </c>
      <c r="AJ929" s="625">
        <v>0</v>
      </c>
      <c r="AK929" s="625">
        <v>0</v>
      </c>
      <c r="AL929" s="625">
        <v>0</v>
      </c>
      <c r="AM929" s="625">
        <v>0</v>
      </c>
      <c r="AN929" s="625">
        <v>0</v>
      </c>
      <c r="AO929" s="625">
        <v>0</v>
      </c>
      <c r="AP929" s="41" t="str">
        <f t="shared" si="319"/>
        <v>Reg AssetN</v>
      </c>
      <c r="AQ929" s="41" t="str">
        <f t="shared" si="320"/>
        <v>Reg AssetNN10Property Tax Deferral</v>
      </c>
      <c r="AR929" s="41" t="str">
        <f t="shared" si="321"/>
        <v>N10Property Tax DeferralNCR</v>
      </c>
      <c r="CK929" s="625"/>
    </row>
    <row r="930" spans="1:89" s="41" customFormat="1" ht="12.75" customHeight="1">
      <c r="A930" s="442" t="s">
        <v>746</v>
      </c>
      <c r="B930" s="442" t="str">
        <f t="shared" si="316"/>
        <v>Reg Asset182306601016G-06BG030252</v>
      </c>
      <c r="C930" s="736">
        <v>182306</v>
      </c>
      <c r="D930" s="738" t="s">
        <v>893</v>
      </c>
      <c r="E930" s="626" t="s">
        <v>962</v>
      </c>
      <c r="F930" s="626" t="str">
        <f t="shared" si="311"/>
        <v>OTH REG ASSETS-UNCONTROLLABLE/EXONGENOUS COSTS-GA</v>
      </c>
      <c r="G930" s="626" t="s">
        <v>1060</v>
      </c>
      <c r="H930" s="736" t="s">
        <v>1113</v>
      </c>
      <c r="I930" s="442"/>
      <c r="J930" s="442" t="s">
        <v>7</v>
      </c>
      <c r="K930" s="442" t="str">
        <f t="shared" si="313"/>
        <v/>
      </c>
      <c r="L930" s="736" t="s">
        <v>2436</v>
      </c>
      <c r="M930" s="442" t="str">
        <f t="shared" si="317"/>
        <v>N</v>
      </c>
      <c r="N930" s="442" t="str">
        <f>IF(L930&lt;&gt;"",VLOOKUP(L930,Categories!$B$2:$D$41,2,FALSE),IF(F930&lt;&gt;"","No Cat",""))</f>
        <v>NRBASE</v>
      </c>
      <c r="O930" s="442" t="str">
        <f>IF($L930&lt;&gt;"",VLOOKUP($L930,Categories!$B$2:$D$41,3,FALSE),IF($F930&lt;&gt;"","No Cat",""))</f>
        <v>Deferrals Accruing Non-Cash Return   (other than ASGA)</v>
      </c>
      <c r="P930" s="736" t="s">
        <v>2468</v>
      </c>
      <c r="Q930" s="442" t="str">
        <f>VLOOKUP($P930,Allocators!$B$7:$F$19,5,FALSE)</f>
        <v>Not in Rate Base</v>
      </c>
      <c r="R930" s="737">
        <f>VLOOKUP($P930,Allocators!$B$7:$F$19,2,FALSE)</f>
        <v>0</v>
      </c>
      <c r="S930" s="737">
        <f>VLOOKUP($P930,Allocators!$B$7:$F$19,3,FALSE)</f>
        <v>0</v>
      </c>
      <c r="T930" s="737">
        <f t="shared" si="318"/>
        <v>1</v>
      </c>
      <c r="U930" s="2" t="str">
        <f t="shared" si="324"/>
        <v/>
      </c>
      <c r="V930" s="2" t="str">
        <f t="shared" si="325"/>
        <v/>
      </c>
      <c r="W930" s="2" t="str">
        <f t="shared" si="326"/>
        <v/>
      </c>
      <c r="X930" s="2">
        <f t="shared" si="322"/>
        <v>0</v>
      </c>
      <c r="Y930" s="2" t="str">
        <f t="shared" si="327"/>
        <v/>
      </c>
      <c r="Z930" s="2" t="str">
        <f t="shared" si="328"/>
        <v/>
      </c>
      <c r="AA930" s="2" t="str">
        <f t="shared" si="329"/>
        <v/>
      </c>
      <c r="AB930" s="2">
        <f t="shared" si="323"/>
        <v>0</v>
      </c>
      <c r="AC930" s="625">
        <v>0</v>
      </c>
      <c r="AD930" s="625">
        <v>0</v>
      </c>
      <c r="AE930" s="625">
        <v>0</v>
      </c>
      <c r="AF930" s="625">
        <v>0</v>
      </c>
      <c r="AG930" s="625">
        <v>0</v>
      </c>
      <c r="AH930" s="625">
        <v>0</v>
      </c>
      <c r="AI930" s="38">
        <v>0</v>
      </c>
      <c r="AJ930" s="625">
        <v>0</v>
      </c>
      <c r="AK930" s="625">
        <v>0</v>
      </c>
      <c r="AL930" s="625">
        <v>0</v>
      </c>
      <c r="AM930" s="625">
        <v>0</v>
      </c>
      <c r="AN930" s="625">
        <v>0</v>
      </c>
      <c r="AO930" s="625">
        <v>0</v>
      </c>
      <c r="AP930" s="41" t="str">
        <f t="shared" si="319"/>
        <v>Reg AssetN</v>
      </c>
      <c r="AQ930" s="41" t="str">
        <f t="shared" si="320"/>
        <v>Reg AssetNN10Property Tax Deferral</v>
      </c>
      <c r="AR930" s="41" t="str">
        <f t="shared" si="321"/>
        <v>N10Property Tax DeferralNCR</v>
      </c>
      <c r="CK930" s="625"/>
    </row>
    <row r="931" spans="1:89" s="41" customFormat="1" ht="12.75" customHeight="1">
      <c r="A931" s="442" t="s">
        <v>746</v>
      </c>
      <c r="B931" s="442" t="str">
        <f t="shared" si="316"/>
        <v>Reg Asset182306601016G-08BG030252</v>
      </c>
      <c r="C931" s="736">
        <v>182306</v>
      </c>
      <c r="D931" s="738" t="s">
        <v>894</v>
      </c>
      <c r="E931" s="626" t="s">
        <v>962</v>
      </c>
      <c r="F931" s="626" t="str">
        <f t="shared" si="311"/>
        <v>OTH REG ASSETS-UNCONTROLLABLE/EXONGENOUS COSTS-GA</v>
      </c>
      <c r="G931" s="626" t="s">
        <v>1061</v>
      </c>
      <c r="H931" s="736" t="s">
        <v>1113</v>
      </c>
      <c r="I931" s="442"/>
      <c r="J931" s="442" t="s">
        <v>7</v>
      </c>
      <c r="K931" s="442" t="str">
        <f t="shared" si="313"/>
        <v/>
      </c>
      <c r="L931" s="736" t="s">
        <v>2436</v>
      </c>
      <c r="M931" s="442" t="str">
        <f t="shared" si="317"/>
        <v>N</v>
      </c>
      <c r="N931" s="442" t="str">
        <f>IF(L931&lt;&gt;"",VLOOKUP(L931,Categories!$B$2:$D$41,2,FALSE),IF(F931&lt;&gt;"","No Cat",""))</f>
        <v>NRBASE</v>
      </c>
      <c r="O931" s="442" t="str">
        <f>IF($L931&lt;&gt;"",VLOOKUP($L931,Categories!$B$2:$D$41,3,FALSE),IF($F931&lt;&gt;"","No Cat",""))</f>
        <v>Deferrals Accruing Non-Cash Return   (other than ASGA)</v>
      </c>
      <c r="P931" s="736" t="s">
        <v>2468</v>
      </c>
      <c r="Q931" s="442" t="str">
        <f>VLOOKUP($P931,Allocators!$B$7:$F$19,5,FALSE)</f>
        <v>Not in Rate Base</v>
      </c>
      <c r="R931" s="737">
        <f>VLOOKUP($P931,Allocators!$B$7:$F$19,2,FALSE)</f>
        <v>0</v>
      </c>
      <c r="S931" s="737">
        <f>VLOOKUP($P931,Allocators!$B$7:$F$19,3,FALSE)</f>
        <v>0</v>
      </c>
      <c r="T931" s="737">
        <f t="shared" si="318"/>
        <v>1</v>
      </c>
      <c r="U931" s="2" t="str">
        <f t="shared" si="324"/>
        <v/>
      </c>
      <c r="V931" s="2" t="str">
        <f t="shared" si="325"/>
        <v/>
      </c>
      <c r="W931" s="2" t="str">
        <f t="shared" si="326"/>
        <v/>
      </c>
      <c r="X931" s="2">
        <f t="shared" si="322"/>
        <v>0</v>
      </c>
      <c r="Y931" s="2" t="str">
        <f t="shared" si="327"/>
        <v/>
      </c>
      <c r="Z931" s="2" t="str">
        <f t="shared" si="328"/>
        <v/>
      </c>
      <c r="AA931" s="2" t="str">
        <f t="shared" si="329"/>
        <v/>
      </c>
      <c r="AB931" s="2">
        <f t="shared" si="323"/>
        <v>0</v>
      </c>
      <c r="AC931" s="625">
        <v>0</v>
      </c>
      <c r="AD931" s="625">
        <v>0</v>
      </c>
      <c r="AE931" s="625">
        <v>0</v>
      </c>
      <c r="AF931" s="625">
        <v>0</v>
      </c>
      <c r="AG931" s="625">
        <v>0</v>
      </c>
      <c r="AH931" s="625">
        <v>0</v>
      </c>
      <c r="AI931" s="38">
        <v>0</v>
      </c>
      <c r="AJ931" s="625">
        <v>0</v>
      </c>
      <c r="AK931" s="625">
        <v>0</v>
      </c>
      <c r="AL931" s="625">
        <v>0</v>
      </c>
      <c r="AM931" s="625">
        <v>0</v>
      </c>
      <c r="AN931" s="625">
        <v>0</v>
      </c>
      <c r="AO931" s="625">
        <v>0</v>
      </c>
      <c r="AP931" s="41" t="str">
        <f t="shared" si="319"/>
        <v>Reg AssetN</v>
      </c>
      <c r="AQ931" s="41" t="str">
        <f t="shared" si="320"/>
        <v>Reg AssetNN10Property Tax Deferral</v>
      </c>
      <c r="AR931" s="41" t="str">
        <f t="shared" si="321"/>
        <v>N10Property Tax DeferralNCR</v>
      </c>
      <c r="CK931" s="625"/>
    </row>
    <row r="932" spans="1:89" s="41" customFormat="1" ht="12.75" customHeight="1">
      <c r="A932" s="442" t="s">
        <v>746</v>
      </c>
      <c r="B932" s="442" t="str">
        <f t="shared" si="316"/>
        <v>Reg Asset182306601016G-09BG030252</v>
      </c>
      <c r="C932" s="736">
        <v>182306</v>
      </c>
      <c r="D932" s="738" t="s">
        <v>895</v>
      </c>
      <c r="E932" s="626" t="s">
        <v>962</v>
      </c>
      <c r="F932" s="626" t="str">
        <f t="shared" si="311"/>
        <v>OTH REG ASSETS-UNCONTROLLABLE/EXONGENOUS COSTS-GA</v>
      </c>
      <c r="G932" s="626" t="s">
        <v>1062</v>
      </c>
      <c r="H932" s="736" t="s">
        <v>1113</v>
      </c>
      <c r="I932" s="442"/>
      <c r="J932" s="442" t="s">
        <v>7</v>
      </c>
      <c r="K932" s="442" t="str">
        <f t="shared" si="313"/>
        <v/>
      </c>
      <c r="L932" s="736" t="s">
        <v>2436</v>
      </c>
      <c r="M932" s="442" t="str">
        <f t="shared" si="317"/>
        <v>N</v>
      </c>
      <c r="N932" s="442" t="str">
        <f>IF(L932&lt;&gt;"",VLOOKUP(L932,Categories!$B$2:$D$41,2,FALSE),IF(F932&lt;&gt;"","No Cat",""))</f>
        <v>NRBASE</v>
      </c>
      <c r="O932" s="442" t="str">
        <f>IF($L932&lt;&gt;"",VLOOKUP($L932,Categories!$B$2:$D$41,3,FALSE),IF($F932&lt;&gt;"","No Cat",""))</f>
        <v>Deferrals Accruing Non-Cash Return   (other than ASGA)</v>
      </c>
      <c r="P932" s="736" t="s">
        <v>2468</v>
      </c>
      <c r="Q932" s="442" t="str">
        <f>VLOOKUP($P932,Allocators!$B$7:$F$19,5,FALSE)</f>
        <v>Not in Rate Base</v>
      </c>
      <c r="R932" s="737">
        <f>VLOOKUP($P932,Allocators!$B$7:$F$19,2,FALSE)</f>
        <v>0</v>
      </c>
      <c r="S932" s="737">
        <f>VLOOKUP($P932,Allocators!$B$7:$F$19,3,FALSE)</f>
        <v>0</v>
      </c>
      <c r="T932" s="737">
        <f t="shared" si="318"/>
        <v>1</v>
      </c>
      <c r="U932" s="2" t="str">
        <f t="shared" si="324"/>
        <v/>
      </c>
      <c r="V932" s="2" t="str">
        <f t="shared" si="325"/>
        <v/>
      </c>
      <c r="W932" s="2" t="str">
        <f t="shared" si="326"/>
        <v/>
      </c>
      <c r="X932" s="2">
        <f t="shared" si="322"/>
        <v>0</v>
      </c>
      <c r="Y932" s="2" t="str">
        <f t="shared" si="327"/>
        <v/>
      </c>
      <c r="Z932" s="2" t="str">
        <f t="shared" si="328"/>
        <v/>
      </c>
      <c r="AA932" s="2" t="str">
        <f t="shared" si="329"/>
        <v/>
      </c>
      <c r="AB932" s="2">
        <f t="shared" si="323"/>
        <v>0</v>
      </c>
      <c r="AC932" s="625">
        <v>0</v>
      </c>
      <c r="AD932" s="625">
        <v>0</v>
      </c>
      <c r="AE932" s="625">
        <v>0</v>
      </c>
      <c r="AF932" s="625">
        <v>0</v>
      </c>
      <c r="AG932" s="625">
        <v>0</v>
      </c>
      <c r="AH932" s="625">
        <v>0</v>
      </c>
      <c r="AI932" s="38">
        <v>0</v>
      </c>
      <c r="AJ932" s="625">
        <v>0</v>
      </c>
      <c r="AK932" s="625">
        <v>0</v>
      </c>
      <c r="AL932" s="625">
        <v>0</v>
      </c>
      <c r="AM932" s="625">
        <v>0</v>
      </c>
      <c r="AN932" s="625">
        <v>0</v>
      </c>
      <c r="AO932" s="625">
        <v>0</v>
      </c>
      <c r="AP932" s="41" t="str">
        <f t="shared" si="319"/>
        <v>Reg AssetN</v>
      </c>
      <c r="AQ932" s="41" t="str">
        <f t="shared" si="320"/>
        <v>Reg AssetNN10Property Tax Deferral</v>
      </c>
      <c r="AR932" s="41" t="str">
        <f t="shared" si="321"/>
        <v>N10Property Tax DeferralNCR</v>
      </c>
      <c r="CK932" s="625"/>
    </row>
    <row r="933" spans="1:89" s="41" customFormat="1" ht="12.75" customHeight="1">
      <c r="A933" s="442" t="s">
        <v>746</v>
      </c>
      <c r="B933" s="442" t="str">
        <f t="shared" si="316"/>
        <v>Reg Asset182306601016G-10BG030252</v>
      </c>
      <c r="C933" s="736">
        <v>182306</v>
      </c>
      <c r="D933" s="738" t="s">
        <v>896</v>
      </c>
      <c r="E933" s="626" t="s">
        <v>962</v>
      </c>
      <c r="F933" s="626" t="str">
        <f t="shared" si="311"/>
        <v>OTH REG ASSETS-UNCONTROLLABLE/EXONGENOUS COSTS-GA</v>
      </c>
      <c r="G933" s="626" t="s">
        <v>1063</v>
      </c>
      <c r="H933" s="736" t="s">
        <v>1113</v>
      </c>
      <c r="I933" s="442"/>
      <c r="J933" s="442" t="s">
        <v>7</v>
      </c>
      <c r="K933" s="442" t="str">
        <f t="shared" si="313"/>
        <v/>
      </c>
      <c r="L933" s="736" t="s">
        <v>2436</v>
      </c>
      <c r="M933" s="442" t="str">
        <f t="shared" si="317"/>
        <v>N</v>
      </c>
      <c r="N933" s="442" t="str">
        <f>IF(L933&lt;&gt;"",VLOOKUP(L933,Categories!$B$2:$D$41,2,FALSE),IF(F933&lt;&gt;"","No Cat",""))</f>
        <v>NRBASE</v>
      </c>
      <c r="O933" s="442" t="str">
        <f>IF($L933&lt;&gt;"",VLOOKUP($L933,Categories!$B$2:$D$41,3,FALSE),IF($F933&lt;&gt;"","No Cat",""))</f>
        <v>Deferrals Accruing Non-Cash Return   (other than ASGA)</v>
      </c>
      <c r="P933" s="736" t="s">
        <v>2468</v>
      </c>
      <c r="Q933" s="442" t="str">
        <f>VLOOKUP($P933,Allocators!$B$7:$F$19,5,FALSE)</f>
        <v>Not in Rate Base</v>
      </c>
      <c r="R933" s="737">
        <f>VLOOKUP($P933,Allocators!$B$7:$F$19,2,FALSE)</f>
        <v>0</v>
      </c>
      <c r="S933" s="737">
        <f>VLOOKUP($P933,Allocators!$B$7:$F$19,3,FALSE)</f>
        <v>0</v>
      </c>
      <c r="T933" s="737">
        <f t="shared" si="318"/>
        <v>1</v>
      </c>
      <c r="U933" s="2" t="str">
        <f t="shared" si="324"/>
        <v/>
      </c>
      <c r="V933" s="2" t="str">
        <f t="shared" si="325"/>
        <v/>
      </c>
      <c r="W933" s="2" t="str">
        <f t="shared" si="326"/>
        <v/>
      </c>
      <c r="X933" s="2">
        <f t="shared" si="322"/>
        <v>0</v>
      </c>
      <c r="Y933" s="2" t="str">
        <f t="shared" si="327"/>
        <v/>
      </c>
      <c r="Z933" s="2" t="str">
        <f t="shared" si="328"/>
        <v/>
      </c>
      <c r="AA933" s="2" t="str">
        <f t="shared" si="329"/>
        <v/>
      </c>
      <c r="AB933" s="2">
        <f t="shared" si="323"/>
        <v>0</v>
      </c>
      <c r="AC933" s="625">
        <v>0</v>
      </c>
      <c r="AD933" s="625">
        <v>0</v>
      </c>
      <c r="AE933" s="625">
        <v>0</v>
      </c>
      <c r="AF933" s="625">
        <v>0</v>
      </c>
      <c r="AG933" s="625">
        <v>0</v>
      </c>
      <c r="AH933" s="625">
        <v>0</v>
      </c>
      <c r="AI933" s="38">
        <v>0</v>
      </c>
      <c r="AJ933" s="625">
        <v>0</v>
      </c>
      <c r="AK933" s="625">
        <v>0</v>
      </c>
      <c r="AL933" s="625">
        <v>0</v>
      </c>
      <c r="AM933" s="625">
        <v>0</v>
      </c>
      <c r="AN933" s="625">
        <v>0</v>
      </c>
      <c r="AO933" s="625">
        <v>0</v>
      </c>
      <c r="AP933" s="41" t="str">
        <f t="shared" si="319"/>
        <v>Reg AssetN</v>
      </c>
      <c r="AQ933" s="41" t="str">
        <f t="shared" si="320"/>
        <v>Reg AssetNN10Property Tax Deferral</v>
      </c>
      <c r="AR933" s="41" t="str">
        <f t="shared" si="321"/>
        <v>N10Property Tax DeferralNCR</v>
      </c>
      <c r="CK933" s="625"/>
    </row>
    <row r="934" spans="1:89" s="41" customFormat="1" ht="12.75" customHeight="1">
      <c r="A934" s="25" t="s">
        <v>746</v>
      </c>
      <c r="B934" s="25" t="str">
        <f t="shared" si="316"/>
        <v>Reg Asset182306601016G-ABG030252</v>
      </c>
      <c r="C934" s="736">
        <v>182306</v>
      </c>
      <c r="D934" s="738" t="s">
        <v>897</v>
      </c>
      <c r="E934" s="41" t="s">
        <v>962</v>
      </c>
      <c r="F934" s="41" t="str">
        <f t="shared" si="311"/>
        <v>OTH REG ASSETS-UNCONTROLLABLE/EXONGENOUS COSTS-GA</v>
      </c>
      <c r="G934" s="41" t="s">
        <v>1064</v>
      </c>
      <c r="H934" s="736" t="s">
        <v>1113</v>
      </c>
      <c r="I934" s="25"/>
      <c r="J934" s="25" t="str">
        <f t="shared" si="312"/>
        <v/>
      </c>
      <c r="K934" s="25" t="str">
        <f t="shared" si="313"/>
        <v/>
      </c>
      <c r="L934" s="736" t="s">
        <v>2441</v>
      </c>
      <c r="M934" s="25" t="str">
        <f t="shared" si="317"/>
        <v>R</v>
      </c>
      <c r="N934" s="25" t="str">
        <f>IF(L934&lt;&gt;"",VLOOKUP(L934,Categories!$B$2:$D$41,2,FALSE),IF(F934&lt;&gt;"","No Cat",""))</f>
        <v>Rate Base</v>
      </c>
      <c r="O934" s="25" t="str">
        <f>IF($L934&lt;&gt;"",VLOOKUP($L934,Categories!$B$2:$D$41,3,FALSE),IF($F934&lt;&gt;"","No Cat",""))</f>
        <v>Deferred Debits &amp; Credits</v>
      </c>
      <c r="P934" s="736" t="s">
        <v>2483</v>
      </c>
      <c r="Q934" s="25" t="str">
        <f>VLOOKUP($P934,Allocators!$B$7:$F$19,5,FALSE)</f>
        <v>Gas</v>
      </c>
      <c r="R934" s="737">
        <f>VLOOKUP($P934,Allocators!$B$7:$F$19,2,FALSE)</f>
        <v>0</v>
      </c>
      <c r="S934" s="737">
        <f>VLOOKUP($P934,Allocators!$B$7:$F$19,3,FALSE)</f>
        <v>1</v>
      </c>
      <c r="T934" s="737" t="str">
        <f t="shared" si="318"/>
        <v>0.0%</v>
      </c>
      <c r="U934" s="2" t="str">
        <f t="shared" si="324"/>
        <v/>
      </c>
      <c r="V934" s="2" t="str">
        <f t="shared" si="325"/>
        <v/>
      </c>
      <c r="W934" s="2" t="str">
        <f t="shared" si="326"/>
        <v/>
      </c>
      <c r="X934" s="2">
        <f t="shared" si="322"/>
        <v>0</v>
      </c>
      <c r="Y934" s="2" t="str">
        <f t="shared" si="327"/>
        <v/>
      </c>
      <c r="Z934" s="2" t="str">
        <f t="shared" si="328"/>
        <v/>
      </c>
      <c r="AA934" s="2" t="str">
        <f t="shared" si="329"/>
        <v/>
      </c>
      <c r="AB934" s="2">
        <f t="shared" si="323"/>
        <v>0</v>
      </c>
      <c r="AC934" s="734">
        <v>0</v>
      </c>
      <c r="AD934" s="625">
        <v>0</v>
      </c>
      <c r="AE934" s="625">
        <v>0</v>
      </c>
      <c r="AF934" s="625">
        <v>0</v>
      </c>
      <c r="AG934" s="625">
        <v>0</v>
      </c>
      <c r="AH934" s="625">
        <v>0</v>
      </c>
      <c r="AI934" s="38">
        <v>0</v>
      </c>
      <c r="AJ934" s="625">
        <v>0</v>
      </c>
      <c r="AK934" s="625">
        <v>0</v>
      </c>
      <c r="AL934" s="625">
        <v>0</v>
      </c>
      <c r="AM934" s="625">
        <v>0</v>
      </c>
      <c r="AN934" s="625">
        <v>0</v>
      </c>
      <c r="AO934" s="625">
        <v>0</v>
      </c>
      <c r="AP934" s="41" t="str">
        <f t="shared" si="319"/>
        <v>Reg AssetR</v>
      </c>
      <c r="AQ934" s="41" t="str">
        <f t="shared" si="320"/>
        <v>Reg AssetRR10Property Tax Deferral</v>
      </c>
      <c r="AR934" s="41" t="str">
        <f t="shared" si="321"/>
        <v>R10Property Tax Deferral</v>
      </c>
      <c r="CK934" s="625"/>
    </row>
    <row r="935" spans="1:89" s="41" customFormat="1" ht="12.75" customHeight="1">
      <c r="A935" s="442" t="s">
        <v>746</v>
      </c>
      <c r="B935" s="442" t="str">
        <f t="shared" si="316"/>
        <v>Reg Asset182306601016G-LBG030252</v>
      </c>
      <c r="C935" s="736">
        <v>182306</v>
      </c>
      <c r="D935" s="738" t="s">
        <v>898</v>
      </c>
      <c r="E935" s="626" t="s">
        <v>962</v>
      </c>
      <c r="F935" s="626" t="str">
        <f t="shared" si="311"/>
        <v>OTH REG ASSETS-UNCONTROLLABLE/EXONGENOUS COSTS-GA</v>
      </c>
      <c r="G935" s="626" t="s">
        <v>1064</v>
      </c>
      <c r="H935" s="736" t="s">
        <v>1113</v>
      </c>
      <c r="I935" s="442"/>
      <c r="J935" s="442" t="s">
        <v>7</v>
      </c>
      <c r="K935" s="442" t="str">
        <f t="shared" si="313"/>
        <v/>
      </c>
      <c r="L935" s="736" t="s">
        <v>2436</v>
      </c>
      <c r="M935" s="442" t="str">
        <f t="shared" si="317"/>
        <v>N</v>
      </c>
      <c r="N935" s="442" t="str">
        <f>IF(L935&lt;&gt;"",VLOOKUP(L935,Categories!$B$2:$D$41,2,FALSE),IF(F935&lt;&gt;"","No Cat",""))</f>
        <v>NRBASE</v>
      </c>
      <c r="O935" s="442" t="str">
        <f>IF($L935&lt;&gt;"",VLOOKUP($L935,Categories!$B$2:$D$41,3,FALSE),IF($F935&lt;&gt;"","No Cat",""))</f>
        <v>Deferrals Accruing Non-Cash Return   (other than ASGA)</v>
      </c>
      <c r="P935" s="736" t="s">
        <v>2468</v>
      </c>
      <c r="Q935" s="442" t="str">
        <f>VLOOKUP($P935,Allocators!$B$7:$F$19,5,FALSE)</f>
        <v>Not in Rate Base</v>
      </c>
      <c r="R935" s="737">
        <f>VLOOKUP($P935,Allocators!$B$7:$F$19,2,FALSE)</f>
        <v>0</v>
      </c>
      <c r="S935" s="737">
        <f>VLOOKUP($P935,Allocators!$B$7:$F$19,3,FALSE)</f>
        <v>0</v>
      </c>
      <c r="T935" s="737">
        <f t="shared" si="318"/>
        <v>1</v>
      </c>
      <c r="U935" s="2">
        <f t="shared" si="324"/>
        <v>0</v>
      </c>
      <c r="V935" s="2">
        <f t="shared" si="325"/>
        <v>0</v>
      </c>
      <c r="W935" s="2">
        <f t="shared" si="326"/>
        <v>3988.4306537500001</v>
      </c>
      <c r="X935" s="2">
        <f t="shared" si="322"/>
        <v>3988.4306537500001</v>
      </c>
      <c r="Y935" s="2" t="str">
        <f t="shared" si="327"/>
        <v/>
      </c>
      <c r="Z935" s="2" t="str">
        <f t="shared" si="328"/>
        <v/>
      </c>
      <c r="AA935" s="2" t="str">
        <f t="shared" si="329"/>
        <v/>
      </c>
      <c r="AB935" s="2">
        <f t="shared" si="323"/>
        <v>0</v>
      </c>
      <c r="AC935" s="734">
        <v>13542.551750000001</v>
      </c>
      <c r="AD935" s="625">
        <v>13619.30082</v>
      </c>
      <c r="AE935" s="625">
        <v>13696.484849999999</v>
      </c>
      <c r="AF935" s="625">
        <v>13774.106299999999</v>
      </c>
      <c r="AG935" s="625">
        <v>0</v>
      </c>
      <c r="AH935" s="625">
        <v>0</v>
      </c>
      <c r="AI935" s="38">
        <v>0</v>
      </c>
      <c r="AJ935" s="625">
        <v>0</v>
      </c>
      <c r="AK935" s="625">
        <v>0</v>
      </c>
      <c r="AL935" s="625">
        <v>0</v>
      </c>
      <c r="AM935" s="625">
        <v>0</v>
      </c>
      <c r="AN935" s="625">
        <v>0</v>
      </c>
      <c r="AO935" s="625">
        <v>0</v>
      </c>
      <c r="AP935" s="41" t="str">
        <f t="shared" si="319"/>
        <v>Reg AssetN</v>
      </c>
      <c r="AQ935" s="41" t="str">
        <f t="shared" si="320"/>
        <v>Reg AssetNN10Property Tax Deferral</v>
      </c>
      <c r="AR935" s="41" t="str">
        <f t="shared" si="321"/>
        <v>N10Property Tax DeferralNCR</v>
      </c>
      <c r="CK935" s="625"/>
    </row>
    <row r="936" spans="1:89" s="41" customFormat="1" ht="12.75" customHeight="1">
      <c r="A936" s="25" t="s">
        <v>746</v>
      </c>
      <c r="B936" s="25" t="str">
        <f t="shared" si="316"/>
        <v>Reg Asset182306601036BG030254</v>
      </c>
      <c r="C936" s="736">
        <v>182306</v>
      </c>
      <c r="D936" s="738">
        <v>601036</v>
      </c>
      <c r="E936" s="41" t="s">
        <v>963</v>
      </c>
      <c r="F936" s="41" t="str">
        <f t="shared" si="311"/>
        <v>OTH REG ASSETS-UNCONTROLLABLE/EXONGENOUS COSTS-GA</v>
      </c>
      <c r="G936" s="41" t="s">
        <v>1065</v>
      </c>
      <c r="H936" s="736" t="s">
        <v>1114</v>
      </c>
      <c r="I936" s="25"/>
      <c r="J936" s="25" t="str">
        <f t="shared" si="312"/>
        <v/>
      </c>
      <c r="K936" s="25" t="str">
        <f t="shared" si="313"/>
        <v/>
      </c>
      <c r="L936" s="736" t="s">
        <v>2441</v>
      </c>
      <c r="M936" s="25" t="str">
        <f t="shared" si="317"/>
        <v>R</v>
      </c>
      <c r="N936" s="25" t="str">
        <f>IF(L936&lt;&gt;"",VLOOKUP(L936,Categories!$B$2:$D$41,2,FALSE),IF(F936&lt;&gt;"","No Cat",""))</f>
        <v>Rate Base</v>
      </c>
      <c r="O936" s="25" t="str">
        <f>IF($L936&lt;&gt;"",VLOOKUP($L936,Categories!$B$2:$D$41,3,FALSE),IF($F936&lt;&gt;"","No Cat",""))</f>
        <v>Deferred Debits &amp; Credits</v>
      </c>
      <c r="P936" s="736" t="s">
        <v>2483</v>
      </c>
      <c r="Q936" s="25" t="str">
        <f>VLOOKUP($P936,Allocators!$B$7:$F$19,5,FALSE)</f>
        <v>Gas</v>
      </c>
      <c r="R936" s="737">
        <f>VLOOKUP($P936,Allocators!$B$7:$F$19,2,FALSE)</f>
        <v>0</v>
      </c>
      <c r="S936" s="737">
        <f>VLOOKUP($P936,Allocators!$B$7:$F$19,3,FALSE)</f>
        <v>1</v>
      </c>
      <c r="T936" s="737" t="str">
        <f t="shared" si="318"/>
        <v>0.0%</v>
      </c>
      <c r="U936" s="2" t="str">
        <f t="shared" si="324"/>
        <v/>
      </c>
      <c r="V936" s="2" t="str">
        <f t="shared" si="325"/>
        <v/>
      </c>
      <c r="W936" s="2" t="str">
        <f t="shared" si="326"/>
        <v/>
      </c>
      <c r="X936" s="2">
        <f t="shared" si="322"/>
        <v>0</v>
      </c>
      <c r="Y936" s="2" t="str">
        <f t="shared" si="327"/>
        <v/>
      </c>
      <c r="Z936" s="2" t="str">
        <f t="shared" si="328"/>
        <v/>
      </c>
      <c r="AA936" s="2" t="str">
        <f t="shared" si="329"/>
        <v/>
      </c>
      <c r="AB936" s="2">
        <f t="shared" si="323"/>
        <v>0</v>
      </c>
      <c r="AC936" s="625">
        <v>0</v>
      </c>
      <c r="AD936" s="625">
        <v>0</v>
      </c>
      <c r="AE936" s="625">
        <v>0</v>
      </c>
      <c r="AF936" s="625">
        <v>0</v>
      </c>
      <c r="AG936" s="625">
        <v>0</v>
      </c>
      <c r="AH936" s="625">
        <v>0</v>
      </c>
      <c r="AI936" s="38">
        <v>0</v>
      </c>
      <c r="AJ936" s="625">
        <v>0</v>
      </c>
      <c r="AK936" s="625">
        <v>0</v>
      </c>
      <c r="AL936" s="625">
        <v>0</v>
      </c>
      <c r="AM936" s="625">
        <v>0</v>
      </c>
      <c r="AN936" s="625">
        <v>0</v>
      </c>
      <c r="AO936" s="625">
        <v>0</v>
      </c>
      <c r="AP936" s="41" t="str">
        <f t="shared" si="319"/>
        <v>Reg AssetR</v>
      </c>
      <c r="AQ936" s="41" t="str">
        <f t="shared" si="320"/>
        <v>Reg AssetRR10Sarbanes-Oxley</v>
      </c>
      <c r="AR936" s="41" t="str">
        <f t="shared" si="321"/>
        <v>R10Sarbanes-Oxley</v>
      </c>
      <c r="CK936" s="625"/>
    </row>
    <row r="937" spans="1:89" s="41" customFormat="1" ht="12.75" customHeight="1">
      <c r="A937" s="25" t="s">
        <v>746</v>
      </c>
      <c r="B937" s="25" t="str">
        <f t="shared" si="316"/>
        <v>Reg Asset182306601036-06BG030254</v>
      </c>
      <c r="C937" s="736">
        <v>182306</v>
      </c>
      <c r="D937" s="738" t="s">
        <v>899</v>
      </c>
      <c r="E937" s="41" t="s">
        <v>963</v>
      </c>
      <c r="F937" s="41" t="str">
        <f t="shared" si="311"/>
        <v>OTH REG ASSETS-UNCONTROLLABLE/EXONGENOUS COSTS-GA</v>
      </c>
      <c r="G937" s="41" t="s">
        <v>1066</v>
      </c>
      <c r="H937" s="736" t="s">
        <v>1114</v>
      </c>
      <c r="I937" s="25"/>
      <c r="J937" s="25" t="str">
        <f t="shared" si="312"/>
        <v/>
      </c>
      <c r="K937" s="25" t="str">
        <f t="shared" si="313"/>
        <v/>
      </c>
      <c r="L937" s="736" t="s">
        <v>2441</v>
      </c>
      <c r="M937" s="25" t="str">
        <f t="shared" si="317"/>
        <v>R</v>
      </c>
      <c r="N937" s="25" t="str">
        <f>IF(L937&lt;&gt;"",VLOOKUP(L937,Categories!$B$2:$D$41,2,FALSE),IF(F937&lt;&gt;"","No Cat",""))</f>
        <v>Rate Base</v>
      </c>
      <c r="O937" s="25" t="str">
        <f>IF($L937&lt;&gt;"",VLOOKUP($L937,Categories!$B$2:$D$41,3,FALSE),IF($F937&lt;&gt;"","No Cat",""))</f>
        <v>Deferred Debits &amp; Credits</v>
      </c>
      <c r="P937" s="736" t="s">
        <v>2483</v>
      </c>
      <c r="Q937" s="25" t="str">
        <f>VLOOKUP($P937,Allocators!$B$7:$F$19,5,FALSE)</f>
        <v>Gas</v>
      </c>
      <c r="R937" s="737">
        <f>VLOOKUP($P937,Allocators!$B$7:$F$19,2,FALSE)</f>
        <v>0</v>
      </c>
      <c r="S937" s="737">
        <f>VLOOKUP($P937,Allocators!$B$7:$F$19,3,FALSE)</f>
        <v>1</v>
      </c>
      <c r="T937" s="737" t="str">
        <f t="shared" si="318"/>
        <v>0.0%</v>
      </c>
      <c r="U937" s="2" t="str">
        <f t="shared" si="324"/>
        <v/>
      </c>
      <c r="V937" s="2" t="str">
        <f t="shared" si="325"/>
        <v/>
      </c>
      <c r="W937" s="2" t="str">
        <f t="shared" si="326"/>
        <v/>
      </c>
      <c r="X937" s="2">
        <f t="shared" si="322"/>
        <v>0</v>
      </c>
      <c r="Y937" s="2" t="str">
        <f t="shared" si="327"/>
        <v/>
      </c>
      <c r="Z937" s="2" t="str">
        <f t="shared" si="328"/>
        <v/>
      </c>
      <c r="AA937" s="2" t="str">
        <f t="shared" si="329"/>
        <v/>
      </c>
      <c r="AB937" s="2">
        <f t="shared" si="323"/>
        <v>0</v>
      </c>
      <c r="AC937" s="625">
        <v>0</v>
      </c>
      <c r="AD937" s="625">
        <v>0</v>
      </c>
      <c r="AE937" s="625">
        <v>0</v>
      </c>
      <c r="AF937" s="625">
        <v>0</v>
      </c>
      <c r="AG937" s="625">
        <v>0</v>
      </c>
      <c r="AH937" s="625">
        <v>0</v>
      </c>
      <c r="AI937" s="38">
        <v>0</v>
      </c>
      <c r="AJ937" s="625">
        <v>0</v>
      </c>
      <c r="AK937" s="625">
        <v>0</v>
      </c>
      <c r="AL937" s="625">
        <v>0</v>
      </c>
      <c r="AM937" s="625">
        <v>0</v>
      </c>
      <c r="AN937" s="625">
        <v>0</v>
      </c>
      <c r="AO937" s="625">
        <v>0</v>
      </c>
      <c r="AP937" s="41" t="str">
        <f t="shared" si="319"/>
        <v>Reg AssetR</v>
      </c>
      <c r="AQ937" s="41" t="str">
        <f t="shared" si="320"/>
        <v>Reg AssetRR10Sarbanes-Oxley</v>
      </c>
      <c r="AR937" s="41" t="str">
        <f t="shared" si="321"/>
        <v>R10Sarbanes-Oxley</v>
      </c>
      <c r="CK937" s="625"/>
    </row>
    <row r="938" spans="1:89" s="41" customFormat="1" ht="12.75" customHeight="1">
      <c r="A938" s="25" t="s">
        <v>746</v>
      </c>
      <c r="B938" s="25" t="str">
        <f t="shared" si="316"/>
        <v>Reg Asset182306601036-07BG030254</v>
      </c>
      <c r="C938" s="736">
        <v>182306</v>
      </c>
      <c r="D938" s="738" t="s">
        <v>900</v>
      </c>
      <c r="E938" s="41" t="s">
        <v>963</v>
      </c>
      <c r="F938" s="41" t="str">
        <f t="shared" si="311"/>
        <v>OTH REG ASSETS-UNCONTROLLABLE/EXONGENOUS COSTS-GA</v>
      </c>
      <c r="G938" s="41" t="s">
        <v>1067</v>
      </c>
      <c r="H938" s="736" t="s">
        <v>1114</v>
      </c>
      <c r="I938" s="25"/>
      <c r="J938" s="25" t="str">
        <f t="shared" si="312"/>
        <v/>
      </c>
      <c r="K938" s="25" t="str">
        <f t="shared" si="313"/>
        <v/>
      </c>
      <c r="L938" s="736" t="s">
        <v>2441</v>
      </c>
      <c r="M938" s="25" t="str">
        <f t="shared" si="317"/>
        <v>R</v>
      </c>
      <c r="N938" s="25" t="str">
        <f>IF(L938&lt;&gt;"",VLOOKUP(L938,Categories!$B$2:$D$41,2,FALSE),IF(F938&lt;&gt;"","No Cat",""))</f>
        <v>Rate Base</v>
      </c>
      <c r="O938" s="25" t="str">
        <f>IF($L938&lt;&gt;"",VLOOKUP($L938,Categories!$B$2:$D$41,3,FALSE),IF($F938&lt;&gt;"","No Cat",""))</f>
        <v>Deferred Debits &amp; Credits</v>
      </c>
      <c r="P938" s="736" t="s">
        <v>2483</v>
      </c>
      <c r="Q938" s="25" t="str">
        <f>VLOOKUP($P938,Allocators!$B$7:$F$19,5,FALSE)</f>
        <v>Gas</v>
      </c>
      <c r="R938" s="737">
        <f>VLOOKUP($P938,Allocators!$B$7:$F$19,2,FALSE)</f>
        <v>0</v>
      </c>
      <c r="S938" s="737">
        <f>VLOOKUP($P938,Allocators!$B$7:$F$19,3,FALSE)</f>
        <v>1</v>
      </c>
      <c r="T938" s="737" t="str">
        <f t="shared" si="318"/>
        <v>0.0%</v>
      </c>
      <c r="U938" s="2" t="str">
        <f t="shared" si="324"/>
        <v/>
      </c>
      <c r="V938" s="2" t="str">
        <f t="shared" si="325"/>
        <v/>
      </c>
      <c r="W938" s="2" t="str">
        <f t="shared" si="326"/>
        <v/>
      </c>
      <c r="X938" s="2">
        <f t="shared" si="322"/>
        <v>0</v>
      </c>
      <c r="Y938" s="2" t="str">
        <f t="shared" si="327"/>
        <v/>
      </c>
      <c r="Z938" s="2" t="str">
        <f t="shared" si="328"/>
        <v/>
      </c>
      <c r="AA938" s="2" t="str">
        <f t="shared" si="329"/>
        <v/>
      </c>
      <c r="AB938" s="2">
        <f t="shared" si="323"/>
        <v>0</v>
      </c>
      <c r="AC938" s="625">
        <v>0</v>
      </c>
      <c r="AD938" s="625">
        <v>0</v>
      </c>
      <c r="AE938" s="625">
        <v>0</v>
      </c>
      <c r="AF938" s="625">
        <v>0</v>
      </c>
      <c r="AG938" s="625">
        <v>0</v>
      </c>
      <c r="AH938" s="625">
        <v>0</v>
      </c>
      <c r="AI938" s="38">
        <v>0</v>
      </c>
      <c r="AJ938" s="625">
        <v>0</v>
      </c>
      <c r="AK938" s="625">
        <v>0</v>
      </c>
      <c r="AL938" s="625">
        <v>0</v>
      </c>
      <c r="AM938" s="625">
        <v>0</v>
      </c>
      <c r="AN938" s="625">
        <v>0</v>
      </c>
      <c r="AO938" s="625">
        <v>0</v>
      </c>
      <c r="AP938" s="41" t="str">
        <f t="shared" si="319"/>
        <v>Reg AssetR</v>
      </c>
      <c r="AQ938" s="41" t="str">
        <f t="shared" si="320"/>
        <v>Reg AssetRR10Sarbanes-Oxley</v>
      </c>
      <c r="AR938" s="41" t="str">
        <f t="shared" si="321"/>
        <v>R10Sarbanes-Oxley</v>
      </c>
      <c r="CK938" s="625"/>
    </row>
    <row r="939" spans="1:89" s="41" customFormat="1" ht="12.75" customHeight="1">
      <c r="A939" s="25" t="s">
        <v>746</v>
      </c>
      <c r="B939" s="25" t="str">
        <f t="shared" si="316"/>
        <v>Reg Asset182306601036-08BG030254</v>
      </c>
      <c r="C939" s="736">
        <v>182306</v>
      </c>
      <c r="D939" s="738" t="s">
        <v>901</v>
      </c>
      <c r="E939" s="41" t="s">
        <v>963</v>
      </c>
      <c r="F939" s="41" t="str">
        <f t="shared" si="311"/>
        <v>OTH REG ASSETS-UNCONTROLLABLE/EXONGENOUS COSTS-GA</v>
      </c>
      <c r="G939" s="41" t="s">
        <v>1068</v>
      </c>
      <c r="H939" s="736" t="s">
        <v>1114</v>
      </c>
      <c r="I939" s="25"/>
      <c r="J939" s="25" t="str">
        <f t="shared" si="312"/>
        <v/>
      </c>
      <c r="K939" s="25" t="str">
        <f t="shared" si="313"/>
        <v/>
      </c>
      <c r="L939" s="736" t="s">
        <v>2441</v>
      </c>
      <c r="M939" s="25" t="str">
        <f t="shared" si="317"/>
        <v>R</v>
      </c>
      <c r="N939" s="25" t="str">
        <f>IF(L939&lt;&gt;"",VLOOKUP(L939,Categories!$B$2:$D$41,2,FALSE),IF(F939&lt;&gt;"","No Cat",""))</f>
        <v>Rate Base</v>
      </c>
      <c r="O939" s="25" t="str">
        <f>IF($L939&lt;&gt;"",VLOOKUP($L939,Categories!$B$2:$D$41,3,FALSE),IF($F939&lt;&gt;"","No Cat",""))</f>
        <v>Deferred Debits &amp; Credits</v>
      </c>
      <c r="P939" s="736" t="s">
        <v>2483</v>
      </c>
      <c r="Q939" s="25" t="str">
        <f>VLOOKUP($P939,Allocators!$B$7:$F$19,5,FALSE)</f>
        <v>Gas</v>
      </c>
      <c r="R939" s="737">
        <f>VLOOKUP($P939,Allocators!$B$7:$F$19,2,FALSE)</f>
        <v>0</v>
      </c>
      <c r="S939" s="737">
        <f>VLOOKUP($P939,Allocators!$B$7:$F$19,3,FALSE)</f>
        <v>1</v>
      </c>
      <c r="T939" s="737" t="str">
        <f t="shared" si="318"/>
        <v>0.0%</v>
      </c>
      <c r="U939" s="2" t="str">
        <f t="shared" si="324"/>
        <v/>
      </c>
      <c r="V939" s="2" t="str">
        <f t="shared" si="325"/>
        <v/>
      </c>
      <c r="W939" s="2" t="str">
        <f t="shared" si="326"/>
        <v/>
      </c>
      <c r="X939" s="2">
        <f t="shared" si="322"/>
        <v>0</v>
      </c>
      <c r="Y939" s="2" t="str">
        <f t="shared" si="327"/>
        <v/>
      </c>
      <c r="Z939" s="2" t="str">
        <f t="shared" si="328"/>
        <v/>
      </c>
      <c r="AA939" s="2" t="str">
        <f t="shared" si="329"/>
        <v/>
      </c>
      <c r="AB939" s="2">
        <f t="shared" si="323"/>
        <v>0</v>
      </c>
      <c r="AC939" s="625">
        <v>0</v>
      </c>
      <c r="AD939" s="625">
        <v>0</v>
      </c>
      <c r="AE939" s="625">
        <v>0</v>
      </c>
      <c r="AF939" s="625">
        <v>0</v>
      </c>
      <c r="AG939" s="625">
        <v>0</v>
      </c>
      <c r="AH939" s="625">
        <v>0</v>
      </c>
      <c r="AI939" s="38">
        <v>0</v>
      </c>
      <c r="AJ939" s="625">
        <v>0</v>
      </c>
      <c r="AK939" s="625">
        <v>0</v>
      </c>
      <c r="AL939" s="625">
        <v>0</v>
      </c>
      <c r="AM939" s="625">
        <v>0</v>
      </c>
      <c r="AN939" s="625">
        <v>0</v>
      </c>
      <c r="AO939" s="625">
        <v>0</v>
      </c>
      <c r="AP939" s="41" t="str">
        <f t="shared" si="319"/>
        <v>Reg AssetR</v>
      </c>
      <c r="AQ939" s="41" t="str">
        <f t="shared" si="320"/>
        <v>Reg AssetRR10Sarbanes-Oxley</v>
      </c>
      <c r="AR939" s="41" t="str">
        <f t="shared" si="321"/>
        <v>R10Sarbanes-Oxley</v>
      </c>
      <c r="CK939" s="625"/>
    </row>
    <row r="940" spans="1:89" s="41" customFormat="1" ht="12.75" customHeight="1">
      <c r="A940" s="25" t="s">
        <v>746</v>
      </c>
      <c r="B940" s="25" t="str">
        <f t="shared" si="316"/>
        <v>Reg Asset182306601036-09BG030254</v>
      </c>
      <c r="C940" s="736">
        <v>182306</v>
      </c>
      <c r="D940" s="738" t="s">
        <v>902</v>
      </c>
      <c r="E940" s="41" t="s">
        <v>963</v>
      </c>
      <c r="F940" s="41" t="str">
        <f t="shared" si="311"/>
        <v>OTH REG ASSETS-UNCONTROLLABLE/EXONGENOUS COSTS-GA</v>
      </c>
      <c r="G940" s="41" t="s">
        <v>1069</v>
      </c>
      <c r="H940" s="736" t="s">
        <v>1114</v>
      </c>
      <c r="I940" s="25"/>
      <c r="J940" s="25" t="str">
        <f t="shared" si="312"/>
        <v/>
      </c>
      <c r="K940" s="25" t="str">
        <f t="shared" si="313"/>
        <v/>
      </c>
      <c r="L940" s="736" t="s">
        <v>2441</v>
      </c>
      <c r="M940" s="25" t="str">
        <f t="shared" si="317"/>
        <v>R</v>
      </c>
      <c r="N940" s="25" t="str">
        <f>IF(L940&lt;&gt;"",VLOOKUP(L940,Categories!$B$2:$D$41,2,FALSE),IF(F940&lt;&gt;"","No Cat",""))</f>
        <v>Rate Base</v>
      </c>
      <c r="O940" s="25" t="str">
        <f>IF($L940&lt;&gt;"",VLOOKUP($L940,Categories!$B$2:$D$41,3,FALSE),IF($F940&lt;&gt;"","No Cat",""))</f>
        <v>Deferred Debits &amp; Credits</v>
      </c>
      <c r="P940" s="736" t="s">
        <v>2483</v>
      </c>
      <c r="Q940" s="25" t="str">
        <f>VLOOKUP($P940,Allocators!$B$7:$F$19,5,FALSE)</f>
        <v>Gas</v>
      </c>
      <c r="R940" s="737">
        <f>VLOOKUP($P940,Allocators!$B$7:$F$19,2,FALSE)</f>
        <v>0</v>
      </c>
      <c r="S940" s="737">
        <f>VLOOKUP($P940,Allocators!$B$7:$F$19,3,FALSE)</f>
        <v>1</v>
      </c>
      <c r="T940" s="737" t="str">
        <f t="shared" si="318"/>
        <v>0.0%</v>
      </c>
      <c r="U940" s="2" t="str">
        <f t="shared" si="324"/>
        <v/>
      </c>
      <c r="V940" s="2" t="str">
        <f t="shared" si="325"/>
        <v/>
      </c>
      <c r="W940" s="2" t="str">
        <f t="shared" si="326"/>
        <v/>
      </c>
      <c r="X940" s="2">
        <f t="shared" si="322"/>
        <v>0</v>
      </c>
      <c r="Y940" s="2" t="str">
        <f t="shared" si="327"/>
        <v/>
      </c>
      <c r="Z940" s="2" t="str">
        <f t="shared" si="328"/>
        <v/>
      </c>
      <c r="AA940" s="2" t="str">
        <f t="shared" si="329"/>
        <v/>
      </c>
      <c r="AB940" s="2">
        <f t="shared" si="323"/>
        <v>0</v>
      </c>
      <c r="AC940" s="625">
        <v>0</v>
      </c>
      <c r="AD940" s="625">
        <v>0</v>
      </c>
      <c r="AE940" s="625">
        <v>0</v>
      </c>
      <c r="AF940" s="625">
        <v>0</v>
      </c>
      <c r="AG940" s="625">
        <v>0</v>
      </c>
      <c r="AH940" s="625">
        <v>0</v>
      </c>
      <c r="AI940" s="38">
        <v>0</v>
      </c>
      <c r="AJ940" s="625">
        <v>0</v>
      </c>
      <c r="AK940" s="625">
        <v>0</v>
      </c>
      <c r="AL940" s="625">
        <v>0</v>
      </c>
      <c r="AM940" s="625">
        <v>0</v>
      </c>
      <c r="AN940" s="625">
        <v>0</v>
      </c>
      <c r="AO940" s="625">
        <v>0</v>
      </c>
      <c r="AP940" s="41" t="str">
        <f t="shared" si="319"/>
        <v>Reg AssetR</v>
      </c>
      <c r="AQ940" s="41" t="str">
        <f t="shared" si="320"/>
        <v>Reg AssetRR10Sarbanes-Oxley</v>
      </c>
      <c r="AR940" s="41" t="str">
        <f t="shared" si="321"/>
        <v>R10Sarbanes-Oxley</v>
      </c>
      <c r="CK940" s="625"/>
    </row>
    <row r="941" spans="1:89" s="41" customFormat="1" ht="12.75" customHeight="1">
      <c r="A941" s="25" t="s">
        <v>746</v>
      </c>
      <c r="B941" s="25" t="str">
        <f t="shared" si="316"/>
        <v>Reg Asset182306601036-10BG030254</v>
      </c>
      <c r="C941" s="736">
        <v>182306</v>
      </c>
      <c r="D941" s="738" t="s">
        <v>903</v>
      </c>
      <c r="E941" s="41" t="s">
        <v>963</v>
      </c>
      <c r="F941" s="41" t="str">
        <f t="shared" si="311"/>
        <v>OTH REG ASSETS-UNCONTROLLABLE/EXONGENOUS COSTS-GA</v>
      </c>
      <c r="G941" s="41" t="s">
        <v>1070</v>
      </c>
      <c r="H941" s="736" t="s">
        <v>1114</v>
      </c>
      <c r="I941" s="25"/>
      <c r="J941" s="25" t="str">
        <f t="shared" si="312"/>
        <v/>
      </c>
      <c r="K941" s="25" t="str">
        <f t="shared" si="313"/>
        <v/>
      </c>
      <c r="L941" s="736" t="s">
        <v>2441</v>
      </c>
      <c r="M941" s="25" t="str">
        <f t="shared" si="317"/>
        <v>R</v>
      </c>
      <c r="N941" s="25" t="str">
        <f>IF(L941&lt;&gt;"",VLOOKUP(L941,Categories!$B$2:$D$41,2,FALSE),IF(F941&lt;&gt;"","No Cat",""))</f>
        <v>Rate Base</v>
      </c>
      <c r="O941" s="25" t="str">
        <f>IF($L941&lt;&gt;"",VLOOKUP($L941,Categories!$B$2:$D$41,3,FALSE),IF($F941&lt;&gt;"","No Cat",""))</f>
        <v>Deferred Debits &amp; Credits</v>
      </c>
      <c r="P941" s="736" t="s">
        <v>2483</v>
      </c>
      <c r="Q941" s="25" t="str">
        <f>VLOOKUP($P941,Allocators!$B$7:$F$19,5,FALSE)</f>
        <v>Gas</v>
      </c>
      <c r="R941" s="737">
        <f>VLOOKUP($P941,Allocators!$B$7:$F$19,2,FALSE)</f>
        <v>0</v>
      </c>
      <c r="S941" s="737">
        <f>VLOOKUP($P941,Allocators!$B$7:$F$19,3,FALSE)</f>
        <v>1</v>
      </c>
      <c r="T941" s="737" t="str">
        <f t="shared" si="318"/>
        <v>0.0%</v>
      </c>
      <c r="U941" s="2" t="str">
        <f t="shared" si="324"/>
        <v/>
      </c>
      <c r="V941" s="2" t="str">
        <f t="shared" si="325"/>
        <v/>
      </c>
      <c r="W941" s="2" t="str">
        <f t="shared" si="326"/>
        <v/>
      </c>
      <c r="X941" s="2">
        <f t="shared" si="322"/>
        <v>0</v>
      </c>
      <c r="Y941" s="2" t="str">
        <f t="shared" si="327"/>
        <v/>
      </c>
      <c r="Z941" s="2" t="str">
        <f t="shared" si="328"/>
        <v/>
      </c>
      <c r="AA941" s="2" t="str">
        <f t="shared" si="329"/>
        <v/>
      </c>
      <c r="AB941" s="2">
        <f t="shared" si="323"/>
        <v>0</v>
      </c>
      <c r="AC941" s="625">
        <v>0</v>
      </c>
      <c r="AD941" s="625">
        <v>0</v>
      </c>
      <c r="AE941" s="625">
        <v>0</v>
      </c>
      <c r="AF941" s="625">
        <v>0</v>
      </c>
      <c r="AG941" s="625">
        <v>0</v>
      </c>
      <c r="AH941" s="625">
        <v>0</v>
      </c>
      <c r="AI941" s="38">
        <v>0</v>
      </c>
      <c r="AJ941" s="625">
        <v>0</v>
      </c>
      <c r="AK941" s="625">
        <v>0</v>
      </c>
      <c r="AL941" s="625">
        <v>0</v>
      </c>
      <c r="AM941" s="625">
        <v>0</v>
      </c>
      <c r="AN941" s="625">
        <v>0</v>
      </c>
      <c r="AO941" s="625">
        <v>0</v>
      </c>
      <c r="AP941" s="41" t="str">
        <f t="shared" si="319"/>
        <v>Reg AssetR</v>
      </c>
      <c r="AQ941" s="41" t="str">
        <f t="shared" si="320"/>
        <v>Reg AssetRR10Sarbanes-Oxley</v>
      </c>
      <c r="AR941" s="41" t="str">
        <f t="shared" si="321"/>
        <v>R10Sarbanes-Oxley</v>
      </c>
      <c r="CK941" s="625"/>
    </row>
    <row r="942" spans="1:89" s="41" customFormat="1" ht="12.75" customHeight="1">
      <c r="A942" s="25" t="s">
        <v>746</v>
      </c>
      <c r="B942" s="25" t="str">
        <f t="shared" si="316"/>
        <v>Reg Asset182306601036-ABG030254</v>
      </c>
      <c r="C942" s="736">
        <v>182306</v>
      </c>
      <c r="D942" s="738" t="s">
        <v>904</v>
      </c>
      <c r="E942" s="41" t="s">
        <v>963</v>
      </c>
      <c r="F942" s="41" t="str">
        <f t="shared" si="311"/>
        <v>OTH REG ASSETS-UNCONTROLLABLE/EXONGENOUS COSTS-GA</v>
      </c>
      <c r="G942" s="41" t="s">
        <v>1065</v>
      </c>
      <c r="H942" s="736" t="s">
        <v>1114</v>
      </c>
      <c r="I942" s="25"/>
      <c r="J942" s="25" t="str">
        <f t="shared" si="312"/>
        <v/>
      </c>
      <c r="K942" s="25" t="str">
        <f t="shared" si="313"/>
        <v/>
      </c>
      <c r="L942" s="736" t="s">
        <v>2441</v>
      </c>
      <c r="M942" s="25" t="str">
        <f t="shared" si="317"/>
        <v>R</v>
      </c>
      <c r="N942" s="25" t="str">
        <f>IF(L942&lt;&gt;"",VLOOKUP(L942,Categories!$B$2:$D$41,2,FALSE),IF(F942&lt;&gt;"","No Cat",""))</f>
        <v>Rate Base</v>
      </c>
      <c r="O942" s="25" t="str">
        <f>IF($L942&lt;&gt;"",VLOOKUP($L942,Categories!$B$2:$D$41,3,FALSE),IF($F942&lt;&gt;"","No Cat",""))</f>
        <v>Deferred Debits &amp; Credits</v>
      </c>
      <c r="P942" s="736" t="s">
        <v>2483</v>
      </c>
      <c r="Q942" s="25" t="str">
        <f>VLOOKUP($P942,Allocators!$B$7:$F$19,5,FALSE)</f>
        <v>Gas</v>
      </c>
      <c r="R942" s="737">
        <f>VLOOKUP($P942,Allocators!$B$7:$F$19,2,FALSE)</f>
        <v>0</v>
      </c>
      <c r="S942" s="737">
        <f>VLOOKUP($P942,Allocators!$B$7:$F$19,3,FALSE)</f>
        <v>1</v>
      </c>
      <c r="T942" s="737" t="str">
        <f t="shared" si="318"/>
        <v>0.0%</v>
      </c>
      <c r="U942" s="2" t="str">
        <f t="shared" si="324"/>
        <v/>
      </c>
      <c r="V942" s="2" t="str">
        <f t="shared" si="325"/>
        <v/>
      </c>
      <c r="W942" s="2" t="str">
        <f t="shared" si="326"/>
        <v/>
      </c>
      <c r="X942" s="2">
        <f t="shared" si="322"/>
        <v>0</v>
      </c>
      <c r="Y942" s="2" t="str">
        <f t="shared" si="327"/>
        <v/>
      </c>
      <c r="Z942" s="2" t="str">
        <f t="shared" si="328"/>
        <v/>
      </c>
      <c r="AA942" s="2" t="str">
        <f t="shared" si="329"/>
        <v/>
      </c>
      <c r="AB942" s="2">
        <f t="shared" si="323"/>
        <v>0</v>
      </c>
      <c r="AC942" s="734">
        <v>0</v>
      </c>
      <c r="AD942" s="625">
        <v>0</v>
      </c>
      <c r="AE942" s="625">
        <v>0</v>
      </c>
      <c r="AF942" s="625">
        <v>0</v>
      </c>
      <c r="AG942" s="625">
        <v>0</v>
      </c>
      <c r="AH942" s="625">
        <v>0</v>
      </c>
      <c r="AI942" s="38">
        <v>0</v>
      </c>
      <c r="AJ942" s="625">
        <v>0</v>
      </c>
      <c r="AK942" s="625">
        <v>0</v>
      </c>
      <c r="AL942" s="625">
        <v>0</v>
      </c>
      <c r="AM942" s="625">
        <v>0</v>
      </c>
      <c r="AN942" s="625">
        <v>0</v>
      </c>
      <c r="AO942" s="625">
        <v>0</v>
      </c>
      <c r="AP942" s="41" t="str">
        <f t="shared" si="319"/>
        <v>Reg AssetR</v>
      </c>
      <c r="AQ942" s="41" t="str">
        <f t="shared" si="320"/>
        <v>Reg AssetRR10Sarbanes-Oxley</v>
      </c>
      <c r="AR942" s="41" t="str">
        <f t="shared" si="321"/>
        <v>R10Sarbanes-Oxley</v>
      </c>
      <c r="CK942" s="625"/>
    </row>
    <row r="943" spans="1:89" s="41" customFormat="1" ht="12.75" customHeight="1">
      <c r="A943" s="25" t="s">
        <v>746</v>
      </c>
      <c r="B943" s="25" t="str">
        <f t="shared" si="316"/>
        <v>Reg Asset182306601036-LBG030254</v>
      </c>
      <c r="C943" s="736">
        <v>182306</v>
      </c>
      <c r="D943" s="738" t="s">
        <v>905</v>
      </c>
      <c r="E943" s="41" t="s">
        <v>963</v>
      </c>
      <c r="F943" s="41" t="str">
        <f t="shared" si="311"/>
        <v>OTH REG ASSETS-UNCONTROLLABLE/EXONGENOUS COSTS-GA</v>
      </c>
      <c r="G943" s="41" t="s">
        <v>1065</v>
      </c>
      <c r="H943" s="736" t="s">
        <v>1114</v>
      </c>
      <c r="I943" s="25"/>
      <c r="J943" s="25" t="str">
        <f t="shared" si="312"/>
        <v/>
      </c>
      <c r="K943" s="25" t="str">
        <f t="shared" si="313"/>
        <v/>
      </c>
      <c r="L943" s="736" t="s">
        <v>2441</v>
      </c>
      <c r="M943" s="25" t="str">
        <f t="shared" si="317"/>
        <v>R</v>
      </c>
      <c r="N943" s="25" t="str">
        <f>IF(L943&lt;&gt;"",VLOOKUP(L943,Categories!$B$2:$D$41,2,FALSE),IF(F943&lt;&gt;"","No Cat",""))</f>
        <v>Rate Base</v>
      </c>
      <c r="O943" s="25" t="str">
        <f>IF($L943&lt;&gt;"",VLOOKUP($L943,Categories!$B$2:$D$41,3,FALSE),IF($F943&lt;&gt;"","No Cat",""))</f>
        <v>Deferred Debits &amp; Credits</v>
      </c>
      <c r="P943" s="736" t="s">
        <v>2483</v>
      </c>
      <c r="Q943" s="25" t="str">
        <f>VLOOKUP($P943,Allocators!$B$7:$F$19,5,FALSE)</f>
        <v>Gas</v>
      </c>
      <c r="R943" s="737">
        <f>VLOOKUP($P943,Allocators!$B$7:$F$19,2,FALSE)</f>
        <v>0</v>
      </c>
      <c r="S943" s="737">
        <f>VLOOKUP($P943,Allocators!$B$7:$F$19,3,FALSE)</f>
        <v>1</v>
      </c>
      <c r="T943" s="737" t="str">
        <f t="shared" si="318"/>
        <v>0.0%</v>
      </c>
      <c r="U943" s="2">
        <f t="shared" si="324"/>
        <v>0</v>
      </c>
      <c r="V943" s="2">
        <f t="shared" si="325"/>
        <v>193.91578999999999</v>
      </c>
      <c r="W943" s="2">
        <f t="shared" si="326"/>
        <v>0</v>
      </c>
      <c r="X943" s="2">
        <f t="shared" si="322"/>
        <v>193.91578999999999</v>
      </c>
      <c r="Y943" s="2">
        <f t="shared" si="327"/>
        <v>0</v>
      </c>
      <c r="Z943" s="2">
        <f t="shared" si="328"/>
        <v>193.91578999999999</v>
      </c>
      <c r="AA943" s="2">
        <f t="shared" si="329"/>
        <v>0</v>
      </c>
      <c r="AB943" s="2">
        <f t="shared" si="323"/>
        <v>193.91579000000002</v>
      </c>
      <c r="AC943" s="734">
        <v>193.91579000000002</v>
      </c>
      <c r="AD943" s="625">
        <v>193.91579000000002</v>
      </c>
      <c r="AE943" s="625">
        <v>193.91579000000002</v>
      </c>
      <c r="AF943" s="625">
        <v>193.91579000000002</v>
      </c>
      <c r="AG943" s="625">
        <v>193.91579000000002</v>
      </c>
      <c r="AH943" s="625">
        <v>193.91579000000002</v>
      </c>
      <c r="AI943" s="625">
        <v>193.91579000000002</v>
      </c>
      <c r="AJ943" s="625">
        <v>193.91579000000002</v>
      </c>
      <c r="AK943" s="625">
        <v>193.91579000000002</v>
      </c>
      <c r="AL943" s="625">
        <v>193.91579000000002</v>
      </c>
      <c r="AM943" s="625">
        <v>193.91579000000002</v>
      </c>
      <c r="AN943" s="625">
        <v>193.91579000000002</v>
      </c>
      <c r="AO943" s="625">
        <v>193.91579000000002</v>
      </c>
      <c r="AP943" s="41" t="str">
        <f t="shared" si="319"/>
        <v>Reg AssetR</v>
      </c>
      <c r="AQ943" s="41" t="str">
        <f t="shared" si="320"/>
        <v>Reg AssetRR10Sarbanes-Oxley</v>
      </c>
      <c r="AR943" s="41" t="str">
        <f t="shared" si="321"/>
        <v>R10Sarbanes-Oxley</v>
      </c>
      <c r="CK943" s="625"/>
    </row>
    <row r="944" spans="1:89" s="41" customFormat="1" ht="12.75" customHeight="1">
      <c r="A944" s="25" t="s">
        <v>746</v>
      </c>
      <c r="B944" s="25" t="str">
        <f t="shared" si="316"/>
        <v>Reg Asset182306601020-07BG030260</v>
      </c>
      <c r="C944" s="736">
        <v>182306</v>
      </c>
      <c r="D944" s="738" t="s">
        <v>906</v>
      </c>
      <c r="E944" s="41" t="s">
        <v>964</v>
      </c>
      <c r="F944" s="41" t="str">
        <f t="shared" si="311"/>
        <v>OTH REG ASSETS-UNCONTROLLABLE/EXONGENOUS COSTS-GA</v>
      </c>
      <c r="G944" s="41" t="s">
        <v>1071</v>
      </c>
      <c r="H944" s="736" t="s">
        <v>1117</v>
      </c>
      <c r="I944" s="25"/>
      <c r="J944" s="25" t="str">
        <f t="shared" si="312"/>
        <v/>
      </c>
      <c r="K944" s="25" t="str">
        <f t="shared" si="313"/>
        <v/>
      </c>
      <c r="L944" s="736" t="s">
        <v>2441</v>
      </c>
      <c r="M944" s="25" t="str">
        <f t="shared" si="317"/>
        <v>R</v>
      </c>
      <c r="N944" s="25" t="str">
        <f>IF(L944&lt;&gt;"",VLOOKUP(L944,Categories!$B$2:$D$41,2,FALSE),IF(F944&lt;&gt;"","No Cat",""))</f>
        <v>Rate Base</v>
      </c>
      <c r="O944" s="25" t="str">
        <f>IF($L944&lt;&gt;"",VLOOKUP($L944,Categories!$B$2:$D$41,3,FALSE),IF($F944&lt;&gt;"","No Cat",""))</f>
        <v>Deferred Debits &amp; Credits</v>
      </c>
      <c r="P944" s="736" t="s">
        <v>2483</v>
      </c>
      <c r="Q944" s="25" t="str">
        <f>VLOOKUP($P944,Allocators!$B$7:$F$19,5,FALSE)</f>
        <v>Gas</v>
      </c>
      <c r="R944" s="737">
        <f>VLOOKUP($P944,Allocators!$B$7:$F$19,2,FALSE)</f>
        <v>0</v>
      </c>
      <c r="S944" s="737">
        <f>VLOOKUP($P944,Allocators!$B$7:$F$19,3,FALSE)</f>
        <v>1</v>
      </c>
      <c r="T944" s="737" t="str">
        <f t="shared" si="318"/>
        <v>0.0%</v>
      </c>
      <c r="U944" s="2" t="str">
        <f t="shared" si="324"/>
        <v/>
      </c>
      <c r="V944" s="2" t="str">
        <f t="shared" si="325"/>
        <v/>
      </c>
      <c r="W944" s="2" t="str">
        <f t="shared" si="326"/>
        <v/>
      </c>
      <c r="X944" s="2">
        <f t="shared" si="322"/>
        <v>0</v>
      </c>
      <c r="Y944" s="2" t="str">
        <f t="shared" si="327"/>
        <v/>
      </c>
      <c r="Z944" s="2" t="str">
        <f t="shared" si="328"/>
        <v/>
      </c>
      <c r="AA944" s="2" t="str">
        <f t="shared" si="329"/>
        <v/>
      </c>
      <c r="AB944" s="2">
        <f t="shared" si="323"/>
        <v>0</v>
      </c>
      <c r="AC944" s="625">
        <v>0</v>
      </c>
      <c r="AD944" s="625">
        <v>0</v>
      </c>
      <c r="AE944" s="625">
        <v>0</v>
      </c>
      <c r="AF944" s="625">
        <v>0</v>
      </c>
      <c r="AG944" s="625">
        <v>0</v>
      </c>
      <c r="AH944" s="625">
        <v>0</v>
      </c>
      <c r="AI944" s="38">
        <v>0</v>
      </c>
      <c r="AJ944" s="625">
        <v>0</v>
      </c>
      <c r="AK944" s="625">
        <v>0</v>
      </c>
      <c r="AL944" s="625">
        <v>0</v>
      </c>
      <c r="AM944" s="625">
        <v>0</v>
      </c>
      <c r="AN944" s="625">
        <v>0</v>
      </c>
      <c r="AO944" s="625">
        <v>0</v>
      </c>
      <c r="AP944" s="41" t="str">
        <f t="shared" si="319"/>
        <v>Reg AssetR</v>
      </c>
      <c r="AQ944" s="41" t="str">
        <f t="shared" si="320"/>
        <v>Reg AssetRR10Security Costs</v>
      </c>
      <c r="AR944" s="41" t="str">
        <f t="shared" si="321"/>
        <v>R10Security Costs</v>
      </c>
      <c r="CK944" s="625"/>
    </row>
    <row r="945" spans="1:89" s="41" customFormat="1" ht="12.75" customHeight="1">
      <c r="A945" s="25" t="s">
        <v>746</v>
      </c>
      <c r="B945" s="25" t="str">
        <f t="shared" si="316"/>
        <v>Reg Asset182306601020-04BG030260</v>
      </c>
      <c r="C945" s="736">
        <v>182306</v>
      </c>
      <c r="D945" s="738" t="s">
        <v>907</v>
      </c>
      <c r="E945" s="41" t="s">
        <v>964</v>
      </c>
      <c r="F945" s="41" t="str">
        <f t="shared" si="311"/>
        <v>OTH REG ASSETS-UNCONTROLLABLE/EXONGENOUS COSTS-GA</v>
      </c>
      <c r="G945" s="41" t="s">
        <v>1072</v>
      </c>
      <c r="H945" s="736" t="s">
        <v>1117</v>
      </c>
      <c r="I945" s="25"/>
      <c r="J945" s="25" t="str">
        <f t="shared" si="312"/>
        <v/>
      </c>
      <c r="K945" s="25" t="str">
        <f t="shared" si="313"/>
        <v/>
      </c>
      <c r="L945" s="736" t="s">
        <v>2441</v>
      </c>
      <c r="M945" s="25" t="str">
        <f t="shared" si="317"/>
        <v>R</v>
      </c>
      <c r="N945" s="25" t="str">
        <f>IF(L945&lt;&gt;"",VLOOKUP(L945,Categories!$B$2:$D$41,2,FALSE),IF(F945&lt;&gt;"","No Cat",""))</f>
        <v>Rate Base</v>
      </c>
      <c r="O945" s="25" t="str">
        <f>IF($L945&lt;&gt;"",VLOOKUP($L945,Categories!$B$2:$D$41,3,FALSE),IF($F945&lt;&gt;"","No Cat",""))</f>
        <v>Deferred Debits &amp; Credits</v>
      </c>
      <c r="P945" s="736" t="s">
        <v>2483</v>
      </c>
      <c r="Q945" s="25" t="str">
        <f>VLOOKUP($P945,Allocators!$B$7:$F$19,5,FALSE)</f>
        <v>Gas</v>
      </c>
      <c r="R945" s="737">
        <f>VLOOKUP($P945,Allocators!$B$7:$F$19,2,FALSE)</f>
        <v>0</v>
      </c>
      <c r="S945" s="737">
        <f>VLOOKUP($P945,Allocators!$B$7:$F$19,3,FALSE)</f>
        <v>1</v>
      </c>
      <c r="T945" s="737" t="str">
        <f t="shared" si="318"/>
        <v>0.0%</v>
      </c>
      <c r="U945" s="2" t="str">
        <f t="shared" si="324"/>
        <v/>
      </c>
      <c r="V945" s="2" t="str">
        <f t="shared" si="325"/>
        <v/>
      </c>
      <c r="W945" s="2" t="str">
        <f t="shared" si="326"/>
        <v/>
      </c>
      <c r="X945" s="2">
        <f t="shared" si="322"/>
        <v>0</v>
      </c>
      <c r="Y945" s="2" t="str">
        <f t="shared" si="327"/>
        <v/>
      </c>
      <c r="Z945" s="2" t="str">
        <f t="shared" si="328"/>
        <v/>
      </c>
      <c r="AA945" s="2" t="str">
        <f t="shared" si="329"/>
        <v/>
      </c>
      <c r="AB945" s="2">
        <f t="shared" si="323"/>
        <v>0</v>
      </c>
      <c r="AC945" s="625">
        <v>0</v>
      </c>
      <c r="AD945" s="625">
        <v>0</v>
      </c>
      <c r="AE945" s="625">
        <v>0</v>
      </c>
      <c r="AF945" s="625">
        <v>0</v>
      </c>
      <c r="AG945" s="625">
        <v>0</v>
      </c>
      <c r="AH945" s="625">
        <v>0</v>
      </c>
      <c r="AI945" s="38">
        <v>0</v>
      </c>
      <c r="AJ945" s="625">
        <v>0</v>
      </c>
      <c r="AK945" s="625">
        <v>0</v>
      </c>
      <c r="AL945" s="625">
        <v>0</v>
      </c>
      <c r="AM945" s="625">
        <v>0</v>
      </c>
      <c r="AN945" s="625">
        <v>0</v>
      </c>
      <c r="AO945" s="625">
        <v>0</v>
      </c>
      <c r="AP945" s="41" t="str">
        <f t="shared" si="319"/>
        <v>Reg AssetR</v>
      </c>
      <c r="AQ945" s="41" t="str">
        <f t="shared" si="320"/>
        <v>Reg AssetRR10Security Costs</v>
      </c>
      <c r="AR945" s="41" t="str">
        <f t="shared" si="321"/>
        <v>R10Security Costs</v>
      </c>
      <c r="CK945" s="625"/>
    </row>
    <row r="946" spans="1:89" s="41" customFormat="1" ht="12.75" customHeight="1">
      <c r="A946" s="25" t="s">
        <v>746</v>
      </c>
      <c r="B946" s="25" t="str">
        <f t="shared" si="316"/>
        <v>Reg Asset182306601020-05BG030260</v>
      </c>
      <c r="C946" s="736">
        <v>182306</v>
      </c>
      <c r="D946" s="738" t="s">
        <v>908</v>
      </c>
      <c r="E946" s="41" t="s">
        <v>964</v>
      </c>
      <c r="F946" s="41" t="str">
        <f t="shared" si="311"/>
        <v>OTH REG ASSETS-UNCONTROLLABLE/EXONGENOUS COSTS-GA</v>
      </c>
      <c r="G946" s="41" t="s">
        <v>1073</v>
      </c>
      <c r="H946" s="736" t="s">
        <v>1117</v>
      </c>
      <c r="I946" s="25"/>
      <c r="J946" s="25" t="str">
        <f t="shared" si="312"/>
        <v/>
      </c>
      <c r="K946" s="25" t="str">
        <f t="shared" si="313"/>
        <v/>
      </c>
      <c r="L946" s="736" t="s">
        <v>2441</v>
      </c>
      <c r="M946" s="25" t="str">
        <f t="shared" si="317"/>
        <v>R</v>
      </c>
      <c r="N946" s="25" t="str">
        <f>IF(L946&lt;&gt;"",VLOOKUP(L946,Categories!$B$2:$D$41,2,FALSE),IF(F946&lt;&gt;"","No Cat",""))</f>
        <v>Rate Base</v>
      </c>
      <c r="O946" s="25" t="str">
        <f>IF($L946&lt;&gt;"",VLOOKUP($L946,Categories!$B$2:$D$41,3,FALSE),IF($F946&lt;&gt;"","No Cat",""))</f>
        <v>Deferred Debits &amp; Credits</v>
      </c>
      <c r="P946" s="736" t="s">
        <v>2483</v>
      </c>
      <c r="Q946" s="25" t="str">
        <f>VLOOKUP($P946,Allocators!$B$7:$F$19,5,FALSE)</f>
        <v>Gas</v>
      </c>
      <c r="R946" s="737">
        <f>VLOOKUP($P946,Allocators!$B$7:$F$19,2,FALSE)</f>
        <v>0</v>
      </c>
      <c r="S946" s="737">
        <f>VLOOKUP($P946,Allocators!$B$7:$F$19,3,FALSE)</f>
        <v>1</v>
      </c>
      <c r="T946" s="737" t="str">
        <f t="shared" si="318"/>
        <v>0.0%</v>
      </c>
      <c r="U946" s="2" t="str">
        <f t="shared" si="324"/>
        <v/>
      </c>
      <c r="V946" s="2" t="str">
        <f t="shared" si="325"/>
        <v/>
      </c>
      <c r="W946" s="2" t="str">
        <f t="shared" si="326"/>
        <v/>
      </c>
      <c r="X946" s="2">
        <f t="shared" si="322"/>
        <v>0</v>
      </c>
      <c r="Y946" s="2" t="str">
        <f t="shared" si="327"/>
        <v/>
      </c>
      <c r="Z946" s="2" t="str">
        <f t="shared" si="328"/>
        <v/>
      </c>
      <c r="AA946" s="2" t="str">
        <f t="shared" si="329"/>
        <v/>
      </c>
      <c r="AB946" s="2">
        <f t="shared" si="323"/>
        <v>0</v>
      </c>
      <c r="AC946" s="625">
        <v>0</v>
      </c>
      <c r="AD946" s="625">
        <v>0</v>
      </c>
      <c r="AE946" s="625">
        <v>0</v>
      </c>
      <c r="AF946" s="625">
        <v>0</v>
      </c>
      <c r="AG946" s="625">
        <v>0</v>
      </c>
      <c r="AH946" s="625">
        <v>0</v>
      </c>
      <c r="AI946" s="38">
        <v>0</v>
      </c>
      <c r="AJ946" s="625">
        <v>0</v>
      </c>
      <c r="AK946" s="625">
        <v>0</v>
      </c>
      <c r="AL946" s="625">
        <v>0</v>
      </c>
      <c r="AM946" s="625">
        <v>0</v>
      </c>
      <c r="AN946" s="625">
        <v>0</v>
      </c>
      <c r="AO946" s="625">
        <v>0</v>
      </c>
      <c r="AP946" s="41" t="str">
        <f t="shared" si="319"/>
        <v>Reg AssetR</v>
      </c>
      <c r="AQ946" s="41" t="str">
        <f t="shared" si="320"/>
        <v>Reg AssetRR10Security Costs</v>
      </c>
      <c r="AR946" s="41" t="str">
        <f t="shared" si="321"/>
        <v>R10Security Costs</v>
      </c>
      <c r="CK946" s="625"/>
    </row>
    <row r="947" spans="1:89" s="41" customFormat="1" ht="12.75" customHeight="1">
      <c r="A947" s="25" t="s">
        <v>746</v>
      </c>
      <c r="B947" s="25" t="str">
        <f t="shared" si="316"/>
        <v>Reg Asset182306601020-06BG030260</v>
      </c>
      <c r="C947" s="736">
        <v>182306</v>
      </c>
      <c r="D947" s="738" t="s">
        <v>909</v>
      </c>
      <c r="E947" s="41" t="s">
        <v>964</v>
      </c>
      <c r="F947" s="41" t="str">
        <f t="shared" ref="F947:F1029" si="330">VLOOKUP(C947,$C$7:$F$787,4,FALSE)</f>
        <v>OTH REG ASSETS-UNCONTROLLABLE/EXONGENOUS COSTS-GA</v>
      </c>
      <c r="G947" s="41" t="s">
        <v>1074</v>
      </c>
      <c r="H947" s="736" t="s">
        <v>1117</v>
      </c>
      <c r="I947" s="25"/>
      <c r="J947" s="25" t="str">
        <f t="shared" si="312"/>
        <v/>
      </c>
      <c r="K947" s="25" t="str">
        <f t="shared" si="313"/>
        <v/>
      </c>
      <c r="L947" s="736" t="s">
        <v>2441</v>
      </c>
      <c r="M947" s="25" t="str">
        <f t="shared" si="317"/>
        <v>R</v>
      </c>
      <c r="N947" s="25" t="str">
        <f>IF(L947&lt;&gt;"",VLOOKUP(L947,Categories!$B$2:$D$41,2,FALSE),IF(F947&lt;&gt;"","No Cat",""))</f>
        <v>Rate Base</v>
      </c>
      <c r="O947" s="25" t="str">
        <f>IF($L947&lt;&gt;"",VLOOKUP($L947,Categories!$B$2:$D$41,3,FALSE),IF($F947&lt;&gt;"","No Cat",""))</f>
        <v>Deferred Debits &amp; Credits</v>
      </c>
      <c r="P947" s="736" t="s">
        <v>2483</v>
      </c>
      <c r="Q947" s="25" t="str">
        <f>VLOOKUP($P947,Allocators!$B$7:$F$19,5,FALSE)</f>
        <v>Gas</v>
      </c>
      <c r="R947" s="737">
        <f>VLOOKUP($P947,Allocators!$B$7:$F$19,2,FALSE)</f>
        <v>0</v>
      </c>
      <c r="S947" s="737">
        <f>VLOOKUP($P947,Allocators!$B$7:$F$19,3,FALSE)</f>
        <v>1</v>
      </c>
      <c r="T947" s="737" t="str">
        <f t="shared" si="318"/>
        <v>0.0%</v>
      </c>
      <c r="U947" s="2" t="str">
        <f t="shared" si="324"/>
        <v/>
      </c>
      <c r="V947" s="2" t="str">
        <f t="shared" si="325"/>
        <v/>
      </c>
      <c r="W947" s="2" t="str">
        <f t="shared" si="326"/>
        <v/>
      </c>
      <c r="X947" s="2">
        <f t="shared" si="322"/>
        <v>0</v>
      </c>
      <c r="Y947" s="2" t="str">
        <f t="shared" si="327"/>
        <v/>
      </c>
      <c r="Z947" s="2" t="str">
        <f t="shared" si="328"/>
        <v/>
      </c>
      <c r="AA947" s="2" t="str">
        <f t="shared" si="329"/>
        <v/>
      </c>
      <c r="AB947" s="2">
        <f t="shared" si="323"/>
        <v>0</v>
      </c>
      <c r="AC947" s="625">
        <v>0</v>
      </c>
      <c r="AD947" s="625">
        <v>0</v>
      </c>
      <c r="AE947" s="625">
        <v>0</v>
      </c>
      <c r="AF947" s="625">
        <v>0</v>
      </c>
      <c r="AG947" s="625">
        <v>0</v>
      </c>
      <c r="AH947" s="625">
        <v>0</v>
      </c>
      <c r="AI947" s="38">
        <v>0</v>
      </c>
      <c r="AJ947" s="625">
        <v>0</v>
      </c>
      <c r="AK947" s="625">
        <v>0</v>
      </c>
      <c r="AL947" s="625">
        <v>0</v>
      </c>
      <c r="AM947" s="625">
        <v>0</v>
      </c>
      <c r="AN947" s="625">
        <v>0</v>
      </c>
      <c r="AO947" s="625">
        <v>0</v>
      </c>
      <c r="AP947" s="41" t="str">
        <f t="shared" si="319"/>
        <v>Reg AssetR</v>
      </c>
      <c r="AQ947" s="41" t="str">
        <f t="shared" si="320"/>
        <v>Reg AssetRR10Security Costs</v>
      </c>
      <c r="AR947" s="41" t="str">
        <f t="shared" si="321"/>
        <v>R10Security Costs</v>
      </c>
      <c r="CK947" s="625"/>
    </row>
    <row r="948" spans="1:89" s="41" customFormat="1" ht="12.75" customHeight="1">
      <c r="A948" s="25" t="s">
        <v>746</v>
      </c>
      <c r="B948" s="25" t="str">
        <f t="shared" si="316"/>
        <v>Reg Asset182306601020-08BG030260</v>
      </c>
      <c r="C948" s="736">
        <v>182306</v>
      </c>
      <c r="D948" s="738" t="s">
        <v>910</v>
      </c>
      <c r="E948" s="41" t="s">
        <v>964</v>
      </c>
      <c r="F948" s="41" t="str">
        <f t="shared" si="330"/>
        <v>OTH REG ASSETS-UNCONTROLLABLE/EXONGENOUS COSTS-GA</v>
      </c>
      <c r="G948" s="41" t="s">
        <v>1075</v>
      </c>
      <c r="H948" s="736" t="s">
        <v>1117</v>
      </c>
      <c r="I948" s="25"/>
      <c r="J948" s="25" t="str">
        <f t="shared" ref="J948:J1030" si="331">IF(L948="N10","Y",IF(L948="N8","Y",""))</f>
        <v/>
      </c>
      <c r="K948" s="25" t="str">
        <f t="shared" ref="K948:K1030" si="332">IF(L948="N3","Y","")</f>
        <v/>
      </c>
      <c r="L948" s="736" t="s">
        <v>2441</v>
      </c>
      <c r="M948" s="25" t="str">
        <f t="shared" si="317"/>
        <v>R</v>
      </c>
      <c r="N948" s="25" t="str">
        <f>IF(L948&lt;&gt;"",VLOOKUP(L948,Categories!$B$2:$D$41,2,FALSE),IF(F948&lt;&gt;"","No Cat",""))</f>
        <v>Rate Base</v>
      </c>
      <c r="O948" s="25" t="str">
        <f>IF($L948&lt;&gt;"",VLOOKUP($L948,Categories!$B$2:$D$41,3,FALSE),IF($F948&lt;&gt;"","No Cat",""))</f>
        <v>Deferred Debits &amp; Credits</v>
      </c>
      <c r="P948" s="736" t="s">
        <v>2483</v>
      </c>
      <c r="Q948" s="25" t="str">
        <f>VLOOKUP($P948,Allocators!$B$7:$F$19,5,FALSE)</f>
        <v>Gas</v>
      </c>
      <c r="R948" s="737">
        <f>VLOOKUP($P948,Allocators!$B$7:$F$19,2,FALSE)</f>
        <v>0</v>
      </c>
      <c r="S948" s="737">
        <f>VLOOKUP($P948,Allocators!$B$7:$F$19,3,FALSE)</f>
        <v>1</v>
      </c>
      <c r="T948" s="737" t="str">
        <f t="shared" si="318"/>
        <v>0.0%</v>
      </c>
      <c r="U948" s="2" t="str">
        <f t="shared" si="324"/>
        <v/>
      </c>
      <c r="V948" s="2" t="str">
        <f t="shared" si="325"/>
        <v/>
      </c>
      <c r="W948" s="2" t="str">
        <f t="shared" si="326"/>
        <v/>
      </c>
      <c r="X948" s="2">
        <f t="shared" si="322"/>
        <v>0</v>
      </c>
      <c r="Y948" s="2" t="str">
        <f t="shared" si="327"/>
        <v/>
      </c>
      <c r="Z948" s="2" t="str">
        <f t="shared" si="328"/>
        <v/>
      </c>
      <c r="AA948" s="2" t="str">
        <f t="shared" si="329"/>
        <v/>
      </c>
      <c r="AB948" s="2">
        <f t="shared" si="323"/>
        <v>0</v>
      </c>
      <c r="AC948" s="625">
        <v>0</v>
      </c>
      <c r="AD948" s="625">
        <v>0</v>
      </c>
      <c r="AE948" s="625">
        <v>0</v>
      </c>
      <c r="AF948" s="625">
        <v>0</v>
      </c>
      <c r="AG948" s="625">
        <v>0</v>
      </c>
      <c r="AH948" s="625">
        <v>0</v>
      </c>
      <c r="AI948" s="38">
        <v>0</v>
      </c>
      <c r="AJ948" s="625">
        <v>0</v>
      </c>
      <c r="AK948" s="625">
        <v>0</v>
      </c>
      <c r="AL948" s="625">
        <v>0</v>
      </c>
      <c r="AM948" s="625">
        <v>0</v>
      </c>
      <c r="AN948" s="625">
        <v>0</v>
      </c>
      <c r="AO948" s="625">
        <v>0</v>
      </c>
      <c r="AP948" s="41" t="str">
        <f t="shared" si="319"/>
        <v>Reg AssetR</v>
      </c>
      <c r="AQ948" s="41" t="str">
        <f t="shared" si="320"/>
        <v>Reg AssetRR10Security Costs</v>
      </c>
      <c r="AR948" s="41" t="str">
        <f t="shared" si="321"/>
        <v>R10Security Costs</v>
      </c>
      <c r="CK948" s="625"/>
    </row>
    <row r="949" spans="1:89" s="41" customFormat="1" ht="12.75" customHeight="1">
      <c r="A949" s="25" t="s">
        <v>746</v>
      </c>
      <c r="B949" s="25" t="str">
        <f t="shared" si="316"/>
        <v>Reg Asset182306601020-09BG030260</v>
      </c>
      <c r="C949" s="736">
        <v>182306</v>
      </c>
      <c r="D949" s="738" t="s">
        <v>911</v>
      </c>
      <c r="E949" s="41" t="s">
        <v>964</v>
      </c>
      <c r="F949" s="41" t="str">
        <f t="shared" si="330"/>
        <v>OTH REG ASSETS-UNCONTROLLABLE/EXONGENOUS COSTS-GA</v>
      </c>
      <c r="G949" s="41" t="s">
        <v>1076</v>
      </c>
      <c r="H949" s="736" t="s">
        <v>1117</v>
      </c>
      <c r="I949" s="25"/>
      <c r="J949" s="25" t="str">
        <f t="shared" si="331"/>
        <v/>
      </c>
      <c r="K949" s="25" t="str">
        <f t="shared" si="332"/>
        <v/>
      </c>
      <c r="L949" s="736" t="s">
        <v>2441</v>
      </c>
      <c r="M949" s="25" t="str">
        <f t="shared" si="317"/>
        <v>R</v>
      </c>
      <c r="N949" s="25" t="str">
        <f>IF(L949&lt;&gt;"",VLOOKUP(L949,Categories!$B$2:$D$41,2,FALSE),IF(F949&lt;&gt;"","No Cat",""))</f>
        <v>Rate Base</v>
      </c>
      <c r="O949" s="25" t="str">
        <f>IF($L949&lt;&gt;"",VLOOKUP($L949,Categories!$B$2:$D$41,3,FALSE),IF($F949&lt;&gt;"","No Cat",""))</f>
        <v>Deferred Debits &amp; Credits</v>
      </c>
      <c r="P949" s="736" t="s">
        <v>2483</v>
      </c>
      <c r="Q949" s="25" t="str">
        <f>VLOOKUP($P949,Allocators!$B$7:$F$19,5,FALSE)</f>
        <v>Gas</v>
      </c>
      <c r="R949" s="737">
        <f>VLOOKUP($P949,Allocators!$B$7:$F$19,2,FALSE)</f>
        <v>0</v>
      </c>
      <c r="S949" s="737">
        <f>VLOOKUP($P949,Allocators!$B$7:$F$19,3,FALSE)</f>
        <v>1</v>
      </c>
      <c r="T949" s="737" t="str">
        <f t="shared" si="318"/>
        <v>0.0%</v>
      </c>
      <c r="U949" s="2" t="str">
        <f t="shared" si="324"/>
        <v/>
      </c>
      <c r="V949" s="2" t="str">
        <f t="shared" si="325"/>
        <v/>
      </c>
      <c r="W949" s="2" t="str">
        <f t="shared" si="326"/>
        <v/>
      </c>
      <c r="X949" s="2">
        <f t="shared" si="322"/>
        <v>0</v>
      </c>
      <c r="Y949" s="2" t="str">
        <f t="shared" si="327"/>
        <v/>
      </c>
      <c r="Z949" s="2" t="str">
        <f t="shared" si="328"/>
        <v/>
      </c>
      <c r="AA949" s="2" t="str">
        <f t="shared" si="329"/>
        <v/>
      </c>
      <c r="AB949" s="2">
        <f t="shared" si="323"/>
        <v>0</v>
      </c>
      <c r="AC949" s="625">
        <v>0</v>
      </c>
      <c r="AD949" s="625">
        <v>0</v>
      </c>
      <c r="AE949" s="625">
        <v>0</v>
      </c>
      <c r="AF949" s="625">
        <v>0</v>
      </c>
      <c r="AG949" s="625">
        <v>0</v>
      </c>
      <c r="AH949" s="625">
        <v>0</v>
      </c>
      <c r="AI949" s="38">
        <v>0</v>
      </c>
      <c r="AJ949" s="625">
        <v>0</v>
      </c>
      <c r="AK949" s="625">
        <v>0</v>
      </c>
      <c r="AL949" s="625">
        <v>0</v>
      </c>
      <c r="AM949" s="625">
        <v>0</v>
      </c>
      <c r="AN949" s="625">
        <v>0</v>
      </c>
      <c r="AO949" s="625">
        <v>0</v>
      </c>
      <c r="AP949" s="41" t="str">
        <f t="shared" si="319"/>
        <v>Reg AssetR</v>
      </c>
      <c r="AQ949" s="41" t="str">
        <f t="shared" si="320"/>
        <v>Reg AssetRR10Security Costs</v>
      </c>
      <c r="AR949" s="41" t="str">
        <f t="shared" si="321"/>
        <v>R10Security Costs</v>
      </c>
      <c r="CK949" s="625"/>
    </row>
    <row r="950" spans="1:89" s="41" customFormat="1" ht="12.75" customHeight="1">
      <c r="A950" s="25" t="s">
        <v>746</v>
      </c>
      <c r="B950" s="25" t="str">
        <f t="shared" si="316"/>
        <v>Reg Asset182306601020-10BG030260</v>
      </c>
      <c r="C950" s="736">
        <v>182306</v>
      </c>
      <c r="D950" s="738" t="s">
        <v>912</v>
      </c>
      <c r="E950" s="41" t="s">
        <v>964</v>
      </c>
      <c r="F950" s="41" t="str">
        <f t="shared" si="330"/>
        <v>OTH REG ASSETS-UNCONTROLLABLE/EXONGENOUS COSTS-GA</v>
      </c>
      <c r="G950" s="41" t="s">
        <v>1077</v>
      </c>
      <c r="H950" s="736" t="s">
        <v>1117</v>
      </c>
      <c r="I950" s="25"/>
      <c r="J950" s="25" t="str">
        <f t="shared" si="331"/>
        <v/>
      </c>
      <c r="K950" s="25" t="str">
        <f t="shared" si="332"/>
        <v/>
      </c>
      <c r="L950" s="736" t="s">
        <v>2441</v>
      </c>
      <c r="M950" s="25" t="str">
        <f t="shared" si="317"/>
        <v>R</v>
      </c>
      <c r="N950" s="25" t="str">
        <f>IF(L950&lt;&gt;"",VLOOKUP(L950,Categories!$B$2:$D$41,2,FALSE),IF(F950&lt;&gt;"","No Cat",""))</f>
        <v>Rate Base</v>
      </c>
      <c r="O950" s="25" t="str">
        <f>IF($L950&lt;&gt;"",VLOOKUP($L950,Categories!$B$2:$D$41,3,FALSE),IF($F950&lt;&gt;"","No Cat",""))</f>
        <v>Deferred Debits &amp; Credits</v>
      </c>
      <c r="P950" s="736" t="s">
        <v>2483</v>
      </c>
      <c r="Q950" s="25" t="str">
        <f>VLOOKUP($P950,Allocators!$B$7:$F$19,5,FALSE)</f>
        <v>Gas</v>
      </c>
      <c r="R950" s="737">
        <f>VLOOKUP($P950,Allocators!$B$7:$F$19,2,FALSE)</f>
        <v>0</v>
      </c>
      <c r="S950" s="737">
        <f>VLOOKUP($P950,Allocators!$B$7:$F$19,3,FALSE)</f>
        <v>1</v>
      </c>
      <c r="T950" s="737" t="str">
        <f t="shared" si="318"/>
        <v>0.0%</v>
      </c>
      <c r="U950" s="2" t="str">
        <f t="shared" si="324"/>
        <v/>
      </c>
      <c r="V950" s="2" t="str">
        <f t="shared" si="325"/>
        <v/>
      </c>
      <c r="W950" s="2" t="str">
        <f t="shared" si="326"/>
        <v/>
      </c>
      <c r="X950" s="2">
        <f t="shared" si="322"/>
        <v>0</v>
      </c>
      <c r="Y950" s="2" t="str">
        <f t="shared" si="327"/>
        <v/>
      </c>
      <c r="Z950" s="2" t="str">
        <f t="shared" si="328"/>
        <v/>
      </c>
      <c r="AA950" s="2" t="str">
        <f t="shared" si="329"/>
        <v/>
      </c>
      <c r="AB950" s="2">
        <f t="shared" si="323"/>
        <v>0</v>
      </c>
      <c r="AC950" s="625">
        <v>0</v>
      </c>
      <c r="AD950" s="625">
        <v>0</v>
      </c>
      <c r="AE950" s="625">
        <v>0</v>
      </c>
      <c r="AF950" s="625">
        <v>0</v>
      </c>
      <c r="AG950" s="625">
        <v>0</v>
      </c>
      <c r="AH950" s="625">
        <v>0</v>
      </c>
      <c r="AI950" s="38">
        <v>0</v>
      </c>
      <c r="AJ950" s="625">
        <v>0</v>
      </c>
      <c r="AK950" s="625">
        <v>0</v>
      </c>
      <c r="AL950" s="625">
        <v>0</v>
      </c>
      <c r="AM950" s="625">
        <v>0</v>
      </c>
      <c r="AN950" s="625">
        <v>0</v>
      </c>
      <c r="AO950" s="625">
        <v>0</v>
      </c>
      <c r="AP950" s="41" t="str">
        <f t="shared" si="319"/>
        <v>Reg AssetR</v>
      </c>
      <c r="AQ950" s="41" t="str">
        <f t="shared" si="320"/>
        <v>Reg AssetRR10Security Costs</v>
      </c>
      <c r="AR950" s="41" t="str">
        <f t="shared" si="321"/>
        <v>R10Security Costs</v>
      </c>
      <c r="CK950" s="625"/>
    </row>
    <row r="951" spans="1:89" s="41" customFormat="1" ht="12.75" customHeight="1">
      <c r="A951" s="25" t="s">
        <v>746</v>
      </c>
      <c r="B951" s="25" t="str">
        <f t="shared" si="316"/>
        <v>Reg Asset182306601020-ABG030260</v>
      </c>
      <c r="C951" s="736">
        <v>182306</v>
      </c>
      <c r="D951" s="738" t="s">
        <v>913</v>
      </c>
      <c r="E951" s="41" t="s">
        <v>964</v>
      </c>
      <c r="F951" s="41" t="str">
        <f t="shared" si="330"/>
        <v>OTH REG ASSETS-UNCONTROLLABLE/EXONGENOUS COSTS-GA</v>
      </c>
      <c r="G951" s="41" t="s">
        <v>1078</v>
      </c>
      <c r="H951" s="736" t="s">
        <v>1117</v>
      </c>
      <c r="I951" s="25"/>
      <c r="J951" s="25" t="str">
        <f t="shared" si="331"/>
        <v/>
      </c>
      <c r="K951" s="25" t="str">
        <f t="shared" si="332"/>
        <v/>
      </c>
      <c r="L951" s="736" t="s">
        <v>2441</v>
      </c>
      <c r="M951" s="25" t="str">
        <f t="shared" si="317"/>
        <v>R</v>
      </c>
      <c r="N951" s="25" t="str">
        <f>IF(L951&lt;&gt;"",VLOOKUP(L951,Categories!$B$2:$D$41,2,FALSE),IF(F951&lt;&gt;"","No Cat",""))</f>
        <v>Rate Base</v>
      </c>
      <c r="O951" s="25" t="str">
        <f>IF($L951&lt;&gt;"",VLOOKUP($L951,Categories!$B$2:$D$41,3,FALSE),IF($F951&lt;&gt;"","No Cat",""))</f>
        <v>Deferred Debits &amp; Credits</v>
      </c>
      <c r="P951" s="736" t="s">
        <v>2483</v>
      </c>
      <c r="Q951" s="25" t="str">
        <f>VLOOKUP($P951,Allocators!$B$7:$F$19,5,FALSE)</f>
        <v>Gas</v>
      </c>
      <c r="R951" s="737">
        <f>VLOOKUP($P951,Allocators!$B$7:$F$19,2,FALSE)</f>
        <v>0</v>
      </c>
      <c r="S951" s="737">
        <f>VLOOKUP($P951,Allocators!$B$7:$F$19,3,FALSE)</f>
        <v>1</v>
      </c>
      <c r="T951" s="737" t="str">
        <f t="shared" si="318"/>
        <v>0.0%</v>
      </c>
      <c r="U951" s="2">
        <f t="shared" si="324"/>
        <v>0</v>
      </c>
      <c r="V951" s="2">
        <f t="shared" si="325"/>
        <v>2.0000000000000002E-15</v>
      </c>
      <c r="W951" s="2">
        <f t="shared" si="326"/>
        <v>0</v>
      </c>
      <c r="X951" s="2">
        <f t="shared" si="322"/>
        <v>2.0000000000000002E-15</v>
      </c>
      <c r="Y951" s="2" t="str">
        <f t="shared" si="327"/>
        <v/>
      </c>
      <c r="Z951" s="2" t="str">
        <f t="shared" si="328"/>
        <v/>
      </c>
      <c r="AA951" s="2" t="str">
        <f t="shared" si="329"/>
        <v/>
      </c>
      <c r="AB951" s="2">
        <f t="shared" si="323"/>
        <v>0</v>
      </c>
      <c r="AC951" s="734">
        <v>3.7289282772690059E-14</v>
      </c>
      <c r="AD951" s="625">
        <v>0</v>
      </c>
      <c r="AE951" s="625">
        <v>0</v>
      </c>
      <c r="AF951" s="625">
        <v>0</v>
      </c>
      <c r="AG951" s="625">
        <v>0</v>
      </c>
      <c r="AH951" s="625">
        <v>0</v>
      </c>
      <c r="AI951" s="38">
        <v>0</v>
      </c>
      <c r="AJ951" s="625">
        <v>0</v>
      </c>
      <c r="AK951" s="625">
        <v>0</v>
      </c>
      <c r="AL951" s="625">
        <v>0</v>
      </c>
      <c r="AM951" s="625">
        <v>0</v>
      </c>
      <c r="AN951" s="625">
        <v>0</v>
      </c>
      <c r="AO951" s="625">
        <v>0</v>
      </c>
      <c r="AP951" s="41" t="str">
        <f t="shared" si="319"/>
        <v>Reg AssetR</v>
      </c>
      <c r="AQ951" s="41" t="str">
        <f t="shared" si="320"/>
        <v>Reg AssetRR10Security Costs</v>
      </c>
      <c r="AR951" s="41" t="str">
        <f t="shared" si="321"/>
        <v>R10Security Costs</v>
      </c>
      <c r="CK951" s="625"/>
    </row>
    <row r="952" spans="1:89" s="41" customFormat="1" ht="12.75" customHeight="1">
      <c r="A952" s="25" t="s">
        <v>746</v>
      </c>
      <c r="B952" s="25" t="str">
        <f t="shared" si="316"/>
        <v>Reg Asset182306601105BG030390</v>
      </c>
      <c r="C952" s="736">
        <v>182306</v>
      </c>
      <c r="D952" s="738">
        <v>601105</v>
      </c>
      <c r="E952" s="41" t="s">
        <v>965</v>
      </c>
      <c r="F952" s="41" t="str">
        <f t="shared" si="330"/>
        <v>OTH REG ASSETS-UNCONTROLLABLE/EXONGENOUS COSTS-GA</v>
      </c>
      <c r="G952" s="41" t="s">
        <v>1079</v>
      </c>
      <c r="H952" s="736" t="s">
        <v>1126</v>
      </c>
      <c r="I952" s="25"/>
      <c r="J952" s="25" t="str">
        <f t="shared" si="331"/>
        <v/>
      </c>
      <c r="K952" s="25" t="str">
        <f t="shared" si="332"/>
        <v/>
      </c>
      <c r="L952" s="736" t="s">
        <v>2441</v>
      </c>
      <c r="M952" s="25" t="str">
        <f t="shared" si="317"/>
        <v>R</v>
      </c>
      <c r="N952" s="25" t="str">
        <f>IF(L952&lt;&gt;"",VLOOKUP(L952,Categories!$B$2:$D$41,2,FALSE),IF(F952&lt;&gt;"","No Cat",""))</f>
        <v>Rate Base</v>
      </c>
      <c r="O952" s="25" t="str">
        <f>IF($L952&lt;&gt;"",VLOOKUP($L952,Categories!$B$2:$D$41,3,FALSE),IF($F952&lt;&gt;"","No Cat",""))</f>
        <v>Deferred Debits &amp; Credits</v>
      </c>
      <c r="P952" s="736" t="s">
        <v>2483</v>
      </c>
      <c r="Q952" s="25" t="str">
        <f>VLOOKUP($P952,Allocators!$B$7:$F$19,5,FALSE)</f>
        <v>Gas</v>
      </c>
      <c r="R952" s="737">
        <f>VLOOKUP($P952,Allocators!$B$7:$F$19,2,FALSE)</f>
        <v>0</v>
      </c>
      <c r="S952" s="737">
        <f>VLOOKUP($P952,Allocators!$B$7:$F$19,3,FALSE)</f>
        <v>1</v>
      </c>
      <c r="T952" s="737" t="str">
        <f t="shared" si="318"/>
        <v>0.0%</v>
      </c>
      <c r="U952" s="2" t="str">
        <f t="shared" si="324"/>
        <v/>
      </c>
      <c r="V952" s="2" t="str">
        <f t="shared" si="325"/>
        <v/>
      </c>
      <c r="W952" s="2" t="str">
        <f t="shared" si="326"/>
        <v/>
      </c>
      <c r="X952" s="2">
        <f t="shared" si="322"/>
        <v>0</v>
      </c>
      <c r="Y952" s="2" t="str">
        <f t="shared" si="327"/>
        <v/>
      </c>
      <c r="Z952" s="2" t="str">
        <f t="shared" si="328"/>
        <v/>
      </c>
      <c r="AA952" s="2" t="str">
        <f t="shared" si="329"/>
        <v/>
      </c>
      <c r="AB952" s="2">
        <f t="shared" si="323"/>
        <v>0</v>
      </c>
      <c r="AC952" s="625">
        <v>0</v>
      </c>
      <c r="AD952" s="625">
        <v>0</v>
      </c>
      <c r="AE952" s="625">
        <v>0</v>
      </c>
      <c r="AF952" s="625">
        <v>0</v>
      </c>
      <c r="AG952" s="625">
        <v>0</v>
      </c>
      <c r="AH952" s="625">
        <v>0</v>
      </c>
      <c r="AI952" s="38">
        <v>0</v>
      </c>
      <c r="AJ952" s="625">
        <v>0</v>
      </c>
      <c r="AK952" s="625">
        <v>0</v>
      </c>
      <c r="AL952" s="625">
        <v>0</v>
      </c>
      <c r="AM952" s="625">
        <v>0</v>
      </c>
      <c r="AN952" s="625">
        <v>0</v>
      </c>
      <c r="AO952" s="625">
        <v>0</v>
      </c>
      <c r="AP952" s="41" t="str">
        <f t="shared" si="319"/>
        <v>Reg AssetR</v>
      </c>
      <c r="AQ952" s="41" t="str">
        <f t="shared" si="320"/>
        <v>Reg AssetRR10NYS Tax Audit</v>
      </c>
      <c r="AR952" s="41" t="str">
        <f t="shared" si="321"/>
        <v>R10NYS Tax Audit</v>
      </c>
      <c r="CK952" s="625"/>
    </row>
    <row r="953" spans="1:89" s="41" customFormat="1" ht="12.75" customHeight="1">
      <c r="A953" s="25" t="s">
        <v>746</v>
      </c>
      <c r="B953" s="25" t="str">
        <f t="shared" si="316"/>
        <v>Reg Asset182306601060BG030404</v>
      </c>
      <c r="C953" s="736">
        <v>182306</v>
      </c>
      <c r="D953" s="738">
        <v>601060</v>
      </c>
      <c r="E953" s="41" t="s">
        <v>936</v>
      </c>
      <c r="F953" s="41" t="str">
        <f t="shared" si="330"/>
        <v>OTH REG ASSETS-UNCONTROLLABLE/EXONGENOUS COSTS-GA</v>
      </c>
      <c r="G953" s="41" t="s">
        <v>1080</v>
      </c>
      <c r="H953" s="736" t="s">
        <v>1126</v>
      </c>
      <c r="I953" s="25"/>
      <c r="J953" s="25" t="str">
        <f t="shared" si="331"/>
        <v/>
      </c>
      <c r="K953" s="25" t="str">
        <f t="shared" si="332"/>
        <v/>
      </c>
      <c r="L953" s="736" t="s">
        <v>2441</v>
      </c>
      <c r="M953" s="25" t="str">
        <f t="shared" si="317"/>
        <v>R</v>
      </c>
      <c r="N953" s="25" t="str">
        <f>IF(L953&lt;&gt;"",VLOOKUP(L953,Categories!$B$2:$D$41,2,FALSE),IF(F953&lt;&gt;"","No Cat",""))</f>
        <v>Rate Base</v>
      </c>
      <c r="O953" s="25" t="str">
        <f>IF($L953&lt;&gt;"",VLOOKUP($L953,Categories!$B$2:$D$41,3,FALSE),IF($F953&lt;&gt;"","No Cat",""))</f>
        <v>Deferred Debits &amp; Credits</v>
      </c>
      <c r="P953" s="736" t="s">
        <v>2483</v>
      </c>
      <c r="Q953" s="25" t="str">
        <f>VLOOKUP($P953,Allocators!$B$7:$F$19,5,FALSE)</f>
        <v>Gas</v>
      </c>
      <c r="R953" s="737">
        <f>VLOOKUP($P953,Allocators!$B$7:$F$19,2,FALSE)</f>
        <v>0</v>
      </c>
      <c r="S953" s="737">
        <f>VLOOKUP($P953,Allocators!$B$7:$F$19,3,FALSE)</f>
        <v>1</v>
      </c>
      <c r="T953" s="737" t="str">
        <f t="shared" si="318"/>
        <v>0.0%</v>
      </c>
      <c r="U953" s="2">
        <f t="shared" si="324"/>
        <v>0</v>
      </c>
      <c r="V953" s="2">
        <f t="shared" si="325"/>
        <v>-124.506</v>
      </c>
      <c r="W953" s="2">
        <f t="shared" si="326"/>
        <v>0</v>
      </c>
      <c r="X953" s="2">
        <f t="shared" si="322"/>
        <v>-124.506</v>
      </c>
      <c r="Y953" s="2">
        <f t="shared" si="327"/>
        <v>0</v>
      </c>
      <c r="Z953" s="2">
        <f t="shared" si="328"/>
        <v>-124.506</v>
      </c>
      <c r="AA953" s="2">
        <f t="shared" si="329"/>
        <v>0</v>
      </c>
      <c r="AB953" s="2">
        <f t="shared" si="323"/>
        <v>-124.506</v>
      </c>
      <c r="AC953" s="734">
        <v>-124.506</v>
      </c>
      <c r="AD953" s="625">
        <v>-124.506</v>
      </c>
      <c r="AE953" s="625">
        <v>-124.506</v>
      </c>
      <c r="AF953" s="625">
        <v>-124.506</v>
      </c>
      <c r="AG953" s="625">
        <v>-124.506</v>
      </c>
      <c r="AH953" s="625">
        <v>-124.506</v>
      </c>
      <c r="AI953" s="625">
        <v>-124.506</v>
      </c>
      <c r="AJ953" s="625">
        <v>-124.506</v>
      </c>
      <c r="AK953" s="625">
        <v>-124.506</v>
      </c>
      <c r="AL953" s="625">
        <v>-124.506</v>
      </c>
      <c r="AM953" s="625">
        <v>-124.506</v>
      </c>
      <c r="AN953" s="625">
        <v>-124.506</v>
      </c>
      <c r="AO953" s="625">
        <v>-124.506</v>
      </c>
      <c r="AP953" s="41" t="str">
        <f t="shared" si="319"/>
        <v>Reg AssetR</v>
      </c>
      <c r="AQ953" s="41" t="str">
        <f t="shared" si="320"/>
        <v>Reg AssetRR10NYS Tax Audit</v>
      </c>
      <c r="AR953" s="41" t="str">
        <f t="shared" si="321"/>
        <v>R10NYS Tax Audit</v>
      </c>
      <c r="CK953" s="625"/>
    </row>
    <row r="954" spans="1:89" s="41" customFormat="1" ht="12.75" customHeight="1">
      <c r="A954" s="442" t="s">
        <v>746</v>
      </c>
      <c r="B954" s="442" t="str">
        <f t="shared" si="316"/>
        <v>Reg Asset182306601112BG030560</v>
      </c>
      <c r="C954" s="736">
        <v>182306</v>
      </c>
      <c r="D954" s="738">
        <v>601112</v>
      </c>
      <c r="E954" s="626" t="s">
        <v>966</v>
      </c>
      <c r="F954" s="626" t="str">
        <f t="shared" si="330"/>
        <v>OTH REG ASSETS-UNCONTROLLABLE/EXONGENOUS COSTS-GA</v>
      </c>
      <c r="G954" s="626" t="s">
        <v>1081</v>
      </c>
      <c r="H954" s="736" t="s">
        <v>1130</v>
      </c>
      <c r="I954" s="442"/>
      <c r="J954" s="442" t="s">
        <v>7</v>
      </c>
      <c r="K954" s="442" t="str">
        <f t="shared" si="332"/>
        <v/>
      </c>
      <c r="L954" s="736" t="s">
        <v>2436</v>
      </c>
      <c r="M954" s="442" t="str">
        <f t="shared" si="317"/>
        <v>N</v>
      </c>
      <c r="N954" s="442" t="str">
        <f>IF(L954&lt;&gt;"",VLOOKUP(L954,Categories!$B$2:$D$41,2,FALSE),IF(F954&lt;&gt;"","No Cat",""))</f>
        <v>NRBASE</v>
      </c>
      <c r="O954" s="442" t="str">
        <f>IF($L954&lt;&gt;"",VLOOKUP($L954,Categories!$B$2:$D$41,3,FALSE),IF($F954&lt;&gt;"","No Cat",""))</f>
        <v>Deferrals Accruing Non-Cash Return   (other than ASGA)</v>
      </c>
      <c r="P954" s="736" t="s">
        <v>2468</v>
      </c>
      <c r="Q954" s="442" t="str">
        <f>VLOOKUP($P954,Allocators!$B$7:$F$19,5,FALSE)</f>
        <v>Not in Rate Base</v>
      </c>
      <c r="R954" s="737">
        <f>VLOOKUP($P954,Allocators!$B$7:$F$19,2,FALSE)</f>
        <v>0</v>
      </c>
      <c r="S954" s="737">
        <f>VLOOKUP($P954,Allocators!$B$7:$F$19,3,FALSE)</f>
        <v>0</v>
      </c>
      <c r="T954" s="737">
        <f t="shared" si="318"/>
        <v>1</v>
      </c>
      <c r="U954" s="2" t="str">
        <f t="shared" si="324"/>
        <v/>
      </c>
      <c r="V954" s="2" t="str">
        <f t="shared" si="325"/>
        <v/>
      </c>
      <c r="W954" s="2" t="str">
        <f t="shared" si="326"/>
        <v/>
      </c>
      <c r="X954" s="2">
        <f t="shared" si="322"/>
        <v>0</v>
      </c>
      <c r="Y954" s="2" t="str">
        <f t="shared" si="327"/>
        <v/>
      </c>
      <c r="Z954" s="2" t="str">
        <f t="shared" si="328"/>
        <v/>
      </c>
      <c r="AA954" s="2" t="str">
        <f t="shared" si="329"/>
        <v/>
      </c>
      <c r="AB954" s="2">
        <f t="shared" si="323"/>
        <v>0</v>
      </c>
      <c r="AC954" s="625">
        <v>0</v>
      </c>
      <c r="AD954" s="625">
        <v>0</v>
      </c>
      <c r="AE954" s="625">
        <v>0</v>
      </c>
      <c r="AF954" s="625">
        <v>0</v>
      </c>
      <c r="AG954" s="625">
        <v>0</v>
      </c>
      <c r="AH954" s="625">
        <v>0</v>
      </c>
      <c r="AI954" s="38">
        <v>0</v>
      </c>
      <c r="AJ954" s="625">
        <v>0</v>
      </c>
      <c r="AK954" s="625">
        <v>0</v>
      </c>
      <c r="AL954" s="625">
        <v>0</v>
      </c>
      <c r="AM954" s="625">
        <v>0</v>
      </c>
      <c r="AN954" s="625">
        <v>0</v>
      </c>
      <c r="AO954" s="625">
        <v>0</v>
      </c>
      <c r="AP954" s="41" t="str">
        <f t="shared" si="319"/>
        <v>Reg AssetN</v>
      </c>
      <c r="AQ954" s="41" t="str">
        <f t="shared" si="320"/>
        <v>Reg AssetNN10AMI</v>
      </c>
      <c r="AR954" s="41" t="str">
        <f t="shared" si="321"/>
        <v>N10AMINCR</v>
      </c>
      <c r="CK954" s="625"/>
    </row>
    <row r="955" spans="1:89" s="41" customFormat="1" ht="12.75" customHeight="1">
      <c r="A955" s="25" t="s">
        <v>746</v>
      </c>
      <c r="B955" s="25" t="str">
        <f t="shared" si="316"/>
        <v>Reg Asset182306601105-ABG030390</v>
      </c>
      <c r="C955" s="736">
        <v>182306</v>
      </c>
      <c r="D955" s="738" t="s">
        <v>914</v>
      </c>
      <c r="E955" s="41" t="s">
        <v>965</v>
      </c>
      <c r="F955" s="41" t="str">
        <f t="shared" si="330"/>
        <v>OTH REG ASSETS-UNCONTROLLABLE/EXONGENOUS COSTS-GA</v>
      </c>
      <c r="G955" s="41" t="s">
        <v>1079</v>
      </c>
      <c r="H955" s="736" t="s">
        <v>1126</v>
      </c>
      <c r="I955" s="25"/>
      <c r="J955" s="25" t="str">
        <f t="shared" si="331"/>
        <v/>
      </c>
      <c r="K955" s="25" t="str">
        <f t="shared" si="332"/>
        <v/>
      </c>
      <c r="L955" s="736" t="s">
        <v>2441</v>
      </c>
      <c r="M955" s="25" t="str">
        <f t="shared" si="317"/>
        <v>R</v>
      </c>
      <c r="N955" s="25" t="str">
        <f>IF(L955&lt;&gt;"",VLOOKUP(L955,Categories!$B$2:$D$41,2,FALSE),IF(F955&lt;&gt;"","No Cat",""))</f>
        <v>Rate Base</v>
      </c>
      <c r="O955" s="25" t="str">
        <f>IF($L955&lt;&gt;"",VLOOKUP($L955,Categories!$B$2:$D$41,3,FALSE),IF($F955&lt;&gt;"","No Cat",""))</f>
        <v>Deferred Debits &amp; Credits</v>
      </c>
      <c r="P955" s="736" t="s">
        <v>2483</v>
      </c>
      <c r="Q955" s="25" t="str">
        <f>VLOOKUP($P955,Allocators!$B$7:$F$19,5,FALSE)</f>
        <v>Gas</v>
      </c>
      <c r="R955" s="737">
        <f>VLOOKUP($P955,Allocators!$B$7:$F$19,2,FALSE)</f>
        <v>0</v>
      </c>
      <c r="S955" s="737">
        <f>VLOOKUP($P955,Allocators!$B$7:$F$19,3,FALSE)</f>
        <v>1</v>
      </c>
      <c r="T955" s="737" t="str">
        <f t="shared" si="318"/>
        <v>0.0%</v>
      </c>
      <c r="U955" s="2" t="str">
        <f t="shared" si="324"/>
        <v/>
      </c>
      <c r="V955" s="2" t="str">
        <f t="shared" si="325"/>
        <v/>
      </c>
      <c r="W955" s="2" t="str">
        <f t="shared" si="326"/>
        <v/>
      </c>
      <c r="X955" s="2">
        <f t="shared" si="322"/>
        <v>0</v>
      </c>
      <c r="Y955" s="2" t="str">
        <f t="shared" si="327"/>
        <v/>
      </c>
      <c r="Z955" s="2" t="str">
        <f t="shared" si="328"/>
        <v/>
      </c>
      <c r="AA955" s="2" t="str">
        <f t="shared" si="329"/>
        <v/>
      </c>
      <c r="AB955" s="2">
        <f t="shared" si="323"/>
        <v>0</v>
      </c>
      <c r="AC955" s="734">
        <v>0</v>
      </c>
      <c r="AD955" s="625">
        <v>0</v>
      </c>
      <c r="AE955" s="625">
        <v>0</v>
      </c>
      <c r="AF955" s="625">
        <v>0</v>
      </c>
      <c r="AG955" s="625">
        <v>0</v>
      </c>
      <c r="AH955" s="625">
        <v>0</v>
      </c>
      <c r="AI955" s="38">
        <v>0</v>
      </c>
      <c r="AJ955" s="625">
        <v>0</v>
      </c>
      <c r="AK955" s="625">
        <v>0</v>
      </c>
      <c r="AL955" s="625">
        <v>0</v>
      </c>
      <c r="AM955" s="625">
        <v>0</v>
      </c>
      <c r="AN955" s="625">
        <v>0</v>
      </c>
      <c r="AO955" s="625">
        <v>0</v>
      </c>
      <c r="AP955" s="41" t="str">
        <f t="shared" si="319"/>
        <v>Reg AssetR</v>
      </c>
      <c r="AQ955" s="41" t="str">
        <f t="shared" si="320"/>
        <v>Reg AssetRR10NYS Tax Audit</v>
      </c>
      <c r="AR955" s="41" t="str">
        <f t="shared" si="321"/>
        <v>R10NYS Tax Audit</v>
      </c>
      <c r="CK955" s="625"/>
    </row>
    <row r="956" spans="1:89" s="41" customFormat="1" ht="12.75" customHeight="1">
      <c r="A956" s="25" t="s">
        <v>746</v>
      </c>
      <c r="B956" s="25" t="str">
        <f t="shared" si="316"/>
        <v>Reg Asset182306601105-LBG030390</v>
      </c>
      <c r="C956" s="736">
        <v>182306</v>
      </c>
      <c r="D956" s="738" t="s">
        <v>915</v>
      </c>
      <c r="E956" s="41" t="s">
        <v>965</v>
      </c>
      <c r="F956" s="41" t="str">
        <f t="shared" si="330"/>
        <v>OTH REG ASSETS-UNCONTROLLABLE/EXONGENOUS COSTS-GA</v>
      </c>
      <c r="G956" s="41" t="s">
        <v>1079</v>
      </c>
      <c r="H956" s="736" t="s">
        <v>1126</v>
      </c>
      <c r="I956" s="25"/>
      <c r="J956" s="25" t="str">
        <f t="shared" si="331"/>
        <v/>
      </c>
      <c r="K956" s="25" t="str">
        <f t="shared" si="332"/>
        <v/>
      </c>
      <c r="L956" s="736" t="s">
        <v>2441</v>
      </c>
      <c r="M956" s="25" t="str">
        <f t="shared" si="317"/>
        <v>R</v>
      </c>
      <c r="N956" s="25" t="str">
        <f>IF(L956&lt;&gt;"",VLOOKUP(L956,Categories!$B$2:$D$41,2,FALSE),IF(F956&lt;&gt;"","No Cat",""))</f>
        <v>Rate Base</v>
      </c>
      <c r="O956" s="25" t="str">
        <f>IF($L956&lt;&gt;"",VLOOKUP($L956,Categories!$B$2:$D$41,3,FALSE),IF($F956&lt;&gt;"","No Cat",""))</f>
        <v>Deferred Debits &amp; Credits</v>
      </c>
      <c r="P956" s="736" t="s">
        <v>2483</v>
      </c>
      <c r="Q956" s="25" t="str">
        <f>VLOOKUP($P956,Allocators!$B$7:$F$19,5,FALSE)</f>
        <v>Gas</v>
      </c>
      <c r="R956" s="737">
        <f>VLOOKUP($P956,Allocators!$B$7:$F$19,2,FALSE)</f>
        <v>0</v>
      </c>
      <c r="S956" s="737">
        <f>VLOOKUP($P956,Allocators!$B$7:$F$19,3,FALSE)</f>
        <v>1</v>
      </c>
      <c r="T956" s="737" t="str">
        <f t="shared" si="318"/>
        <v>0.0%</v>
      </c>
      <c r="U956" s="2">
        <f t="shared" si="324"/>
        <v>0</v>
      </c>
      <c r="V956" s="2">
        <f t="shared" si="325"/>
        <v>13.34158</v>
      </c>
      <c r="W956" s="2">
        <f t="shared" si="326"/>
        <v>0</v>
      </c>
      <c r="X956" s="2">
        <f t="shared" si="322"/>
        <v>13.34158</v>
      </c>
      <c r="Y956" s="2">
        <f t="shared" si="327"/>
        <v>0</v>
      </c>
      <c r="Z956" s="2">
        <f t="shared" si="328"/>
        <v>13.34158</v>
      </c>
      <c r="AA956" s="2">
        <f t="shared" si="329"/>
        <v>0</v>
      </c>
      <c r="AB956" s="2">
        <f t="shared" si="323"/>
        <v>13.34158</v>
      </c>
      <c r="AC956" s="734">
        <v>13.34158</v>
      </c>
      <c r="AD956" s="625">
        <v>13.34158</v>
      </c>
      <c r="AE956" s="625">
        <v>13.34158</v>
      </c>
      <c r="AF956" s="625">
        <v>13.34158</v>
      </c>
      <c r="AG956" s="625">
        <v>13.34158</v>
      </c>
      <c r="AH956" s="625">
        <v>13.34158</v>
      </c>
      <c r="AI956" s="625">
        <v>13.34158</v>
      </c>
      <c r="AJ956" s="625">
        <v>13.34158</v>
      </c>
      <c r="AK956" s="625">
        <v>13.34158</v>
      </c>
      <c r="AL956" s="625">
        <v>13.34158</v>
      </c>
      <c r="AM956" s="625">
        <v>13.34158</v>
      </c>
      <c r="AN956" s="625">
        <v>13.34158</v>
      </c>
      <c r="AO956" s="625">
        <v>13.34158</v>
      </c>
      <c r="AP956" s="41" t="str">
        <f t="shared" si="319"/>
        <v>Reg AssetR</v>
      </c>
      <c r="AQ956" s="41" t="str">
        <f t="shared" si="320"/>
        <v>Reg AssetRR10NYS Tax Audit</v>
      </c>
      <c r="AR956" s="41" t="str">
        <f t="shared" si="321"/>
        <v>R10NYS Tax Audit</v>
      </c>
      <c r="CK956" s="625"/>
    </row>
    <row r="957" spans="1:89" s="41" customFormat="1" ht="12.75" customHeight="1">
      <c r="A957" s="25" t="s">
        <v>746</v>
      </c>
      <c r="B957" s="25" t="str">
        <f t="shared" ref="B957:B1040" si="333">CONCATENATE(A957,C957,D957,E957)</f>
        <v>Reg Asset182306601127BG030177</v>
      </c>
      <c r="C957" s="736">
        <v>182306</v>
      </c>
      <c r="D957" s="738">
        <v>601127</v>
      </c>
      <c r="E957" s="41" t="s">
        <v>967</v>
      </c>
      <c r="F957" s="41" t="str">
        <f t="shared" si="330"/>
        <v>OTH REG ASSETS-UNCONTROLLABLE/EXONGENOUS COSTS-GA</v>
      </c>
      <c r="G957" s="41" t="s">
        <v>1082</v>
      </c>
      <c r="H957" s="736" t="s">
        <v>1124</v>
      </c>
      <c r="I957" s="25"/>
      <c r="J957" s="25" t="str">
        <f t="shared" si="331"/>
        <v/>
      </c>
      <c r="K957" s="25" t="str">
        <f t="shared" si="332"/>
        <v/>
      </c>
      <c r="L957" s="736" t="s">
        <v>2441</v>
      </c>
      <c r="M957" s="25" t="str">
        <f t="shared" si="317"/>
        <v>R</v>
      </c>
      <c r="N957" s="25" t="str">
        <f>IF(L957&lt;&gt;"",VLOOKUP(L957,Categories!$B$2:$D$41,2,FALSE),IF(F957&lt;&gt;"","No Cat",""))</f>
        <v>Rate Base</v>
      </c>
      <c r="O957" s="25" t="str">
        <f>IF($L957&lt;&gt;"",VLOOKUP($L957,Categories!$B$2:$D$41,3,FALSE),IF($F957&lt;&gt;"","No Cat",""))</f>
        <v>Deferred Debits &amp; Credits</v>
      </c>
      <c r="P957" s="736" t="s">
        <v>2483</v>
      </c>
      <c r="Q957" s="25" t="str">
        <f>VLOOKUP($P957,Allocators!$B$7:$F$19,5,FALSE)</f>
        <v>Gas</v>
      </c>
      <c r="R957" s="737">
        <f>VLOOKUP($P957,Allocators!$B$7:$F$19,2,FALSE)</f>
        <v>0</v>
      </c>
      <c r="S957" s="737">
        <f>VLOOKUP($P957,Allocators!$B$7:$F$19,3,FALSE)</f>
        <v>1</v>
      </c>
      <c r="T957" s="737" t="str">
        <f t="shared" si="318"/>
        <v>0.0%</v>
      </c>
      <c r="U957" s="2" t="str">
        <f t="shared" si="324"/>
        <v/>
      </c>
      <c r="V957" s="2" t="str">
        <f t="shared" si="325"/>
        <v/>
      </c>
      <c r="W957" s="2" t="str">
        <f t="shared" si="326"/>
        <v/>
      </c>
      <c r="X957" s="2">
        <f t="shared" si="322"/>
        <v>0</v>
      </c>
      <c r="Y957" s="2" t="str">
        <f t="shared" si="327"/>
        <v/>
      </c>
      <c r="Z957" s="2" t="str">
        <f t="shared" si="328"/>
        <v/>
      </c>
      <c r="AA957" s="2" t="str">
        <f t="shared" si="329"/>
        <v/>
      </c>
      <c r="AB957" s="2">
        <f t="shared" si="323"/>
        <v>0</v>
      </c>
      <c r="AC957" s="625">
        <v>0</v>
      </c>
      <c r="AD957" s="625">
        <v>0</v>
      </c>
      <c r="AE957" s="625">
        <v>0</v>
      </c>
      <c r="AF957" s="625">
        <v>0</v>
      </c>
      <c r="AG957" s="625">
        <v>0</v>
      </c>
      <c r="AH957" s="625">
        <v>0</v>
      </c>
      <c r="AI957" s="38">
        <v>0</v>
      </c>
      <c r="AJ957" s="625">
        <v>0</v>
      </c>
      <c r="AK957" s="625">
        <v>0</v>
      </c>
      <c r="AL957" s="625">
        <v>0</v>
      </c>
      <c r="AM957" s="625">
        <v>0</v>
      </c>
      <c r="AN957" s="625">
        <v>0</v>
      </c>
      <c r="AO957" s="625">
        <v>0</v>
      </c>
      <c r="AP957" s="41" t="str">
        <f t="shared" si="319"/>
        <v>Reg AssetR</v>
      </c>
      <c r="AQ957" s="41" t="str">
        <f t="shared" si="320"/>
        <v>Reg AssetRR10R&amp;D Tax Credit Deferral</v>
      </c>
      <c r="AR957" s="41" t="str">
        <f t="shared" si="321"/>
        <v>R10R&amp;D Tax Credit Deferral</v>
      </c>
      <c r="CK957" s="625"/>
    </row>
    <row r="958" spans="1:89" s="41" customFormat="1" ht="12.75" customHeight="1">
      <c r="A958" s="25" t="s">
        <v>746</v>
      </c>
      <c r="B958" s="25" t="str">
        <f t="shared" si="333"/>
        <v>Reg Asset182306601127-ABG030177</v>
      </c>
      <c r="C958" s="736">
        <v>182306</v>
      </c>
      <c r="D958" s="738" t="s">
        <v>916</v>
      </c>
      <c r="E958" s="41" t="s">
        <v>967</v>
      </c>
      <c r="F958" s="41" t="str">
        <f t="shared" si="330"/>
        <v>OTH REG ASSETS-UNCONTROLLABLE/EXONGENOUS COSTS-GA</v>
      </c>
      <c r="G958" s="41" t="s">
        <v>1083</v>
      </c>
      <c r="H958" s="736" t="s">
        <v>1124</v>
      </c>
      <c r="I958" s="25"/>
      <c r="J958" s="25" t="str">
        <f t="shared" si="331"/>
        <v/>
      </c>
      <c r="K958" s="25" t="str">
        <f t="shared" si="332"/>
        <v/>
      </c>
      <c r="L958" s="736" t="s">
        <v>2441</v>
      </c>
      <c r="M958" s="25" t="str">
        <f t="shared" si="317"/>
        <v>R</v>
      </c>
      <c r="N958" s="25" t="str">
        <f>IF(L958&lt;&gt;"",VLOOKUP(L958,Categories!$B$2:$D$41,2,FALSE),IF(F958&lt;&gt;"","No Cat",""))</f>
        <v>Rate Base</v>
      </c>
      <c r="O958" s="25" t="str">
        <f>IF($L958&lt;&gt;"",VLOOKUP($L958,Categories!$B$2:$D$41,3,FALSE),IF($F958&lt;&gt;"","No Cat",""))</f>
        <v>Deferred Debits &amp; Credits</v>
      </c>
      <c r="P958" s="736" t="s">
        <v>2483</v>
      </c>
      <c r="Q958" s="25" t="str">
        <f>VLOOKUP($P958,Allocators!$B$7:$F$19,5,FALSE)</f>
        <v>Gas</v>
      </c>
      <c r="R958" s="737">
        <f>VLOOKUP($P958,Allocators!$B$7:$F$19,2,FALSE)</f>
        <v>0</v>
      </c>
      <c r="S958" s="737">
        <f>VLOOKUP($P958,Allocators!$B$7:$F$19,3,FALSE)</f>
        <v>1</v>
      </c>
      <c r="T958" s="737" t="str">
        <f t="shared" si="318"/>
        <v>0.0%</v>
      </c>
      <c r="U958" s="2" t="str">
        <f t="shared" si="324"/>
        <v/>
      </c>
      <c r="V958" s="2" t="str">
        <f t="shared" si="325"/>
        <v/>
      </c>
      <c r="W958" s="2" t="str">
        <f t="shared" si="326"/>
        <v/>
      </c>
      <c r="X958" s="2">
        <f t="shared" si="322"/>
        <v>0</v>
      </c>
      <c r="Y958" s="2" t="str">
        <f t="shared" si="327"/>
        <v/>
      </c>
      <c r="Z958" s="2" t="str">
        <f t="shared" si="328"/>
        <v/>
      </c>
      <c r="AA958" s="2" t="str">
        <f t="shared" si="329"/>
        <v/>
      </c>
      <c r="AB958" s="2">
        <f t="shared" si="323"/>
        <v>0</v>
      </c>
      <c r="AC958" s="734">
        <v>0</v>
      </c>
      <c r="AD958" s="625">
        <v>0</v>
      </c>
      <c r="AE958" s="625">
        <v>0</v>
      </c>
      <c r="AF958" s="625">
        <v>0</v>
      </c>
      <c r="AG958" s="625">
        <v>0</v>
      </c>
      <c r="AH958" s="625">
        <v>0</v>
      </c>
      <c r="AI958" s="38">
        <v>0</v>
      </c>
      <c r="AJ958" s="625">
        <v>0</v>
      </c>
      <c r="AK958" s="625">
        <v>0</v>
      </c>
      <c r="AL958" s="625">
        <v>0</v>
      </c>
      <c r="AM958" s="625">
        <v>0</v>
      </c>
      <c r="AN958" s="625">
        <v>0</v>
      </c>
      <c r="AO958" s="625">
        <v>0</v>
      </c>
      <c r="AP958" s="41" t="str">
        <f t="shared" si="319"/>
        <v>Reg AssetR</v>
      </c>
      <c r="AQ958" s="41" t="str">
        <f t="shared" si="320"/>
        <v>Reg AssetRR10R&amp;D Tax Credit Deferral</v>
      </c>
      <c r="AR958" s="41" t="str">
        <f t="shared" si="321"/>
        <v>R10R&amp;D Tax Credit Deferral</v>
      </c>
      <c r="CK958" s="625"/>
    </row>
    <row r="959" spans="1:89" s="41" customFormat="1" ht="12.75" customHeight="1">
      <c r="A959" s="25" t="s">
        <v>746</v>
      </c>
      <c r="B959" s="25" t="str">
        <f t="shared" si="333"/>
        <v>Reg Asset182306601127-LBG030177</v>
      </c>
      <c r="C959" s="736">
        <v>182306</v>
      </c>
      <c r="D959" s="738" t="s">
        <v>917</v>
      </c>
      <c r="E959" s="41" t="s">
        <v>967</v>
      </c>
      <c r="F959" s="41" t="str">
        <f t="shared" si="330"/>
        <v>OTH REG ASSETS-UNCONTROLLABLE/EXONGENOUS COSTS-GA</v>
      </c>
      <c r="G959" s="41" t="s">
        <v>1083</v>
      </c>
      <c r="H959" s="736" t="s">
        <v>1124</v>
      </c>
      <c r="I959" s="25"/>
      <c r="J959" s="25" t="str">
        <f t="shared" si="331"/>
        <v/>
      </c>
      <c r="K959" s="25" t="str">
        <f t="shared" si="332"/>
        <v/>
      </c>
      <c r="L959" s="736" t="s">
        <v>2441</v>
      </c>
      <c r="M959" s="25" t="str">
        <f t="shared" si="317"/>
        <v>R</v>
      </c>
      <c r="N959" s="25" t="str">
        <f>IF(L959&lt;&gt;"",VLOOKUP(L959,Categories!$B$2:$D$41,2,FALSE),IF(F959&lt;&gt;"","No Cat",""))</f>
        <v>Rate Base</v>
      </c>
      <c r="O959" s="25" t="str">
        <f>IF($L959&lt;&gt;"",VLOOKUP($L959,Categories!$B$2:$D$41,3,FALSE),IF($F959&lt;&gt;"","No Cat",""))</f>
        <v>Deferred Debits &amp; Credits</v>
      </c>
      <c r="P959" s="736" t="s">
        <v>2483</v>
      </c>
      <c r="Q959" s="25" t="str">
        <f>VLOOKUP($P959,Allocators!$B$7:$F$19,5,FALSE)</f>
        <v>Gas</v>
      </c>
      <c r="R959" s="737">
        <f>VLOOKUP($P959,Allocators!$B$7:$F$19,2,FALSE)</f>
        <v>0</v>
      </c>
      <c r="S959" s="737">
        <f>VLOOKUP($P959,Allocators!$B$7:$F$19,3,FALSE)</f>
        <v>1</v>
      </c>
      <c r="T959" s="737" t="str">
        <f t="shared" si="318"/>
        <v>0.0%</v>
      </c>
      <c r="U959" s="2">
        <f t="shared" si="324"/>
        <v>0</v>
      </c>
      <c r="V959" s="2">
        <f t="shared" si="325"/>
        <v>2.6220416666666999E-2</v>
      </c>
      <c r="W959" s="2">
        <f t="shared" si="326"/>
        <v>0</v>
      </c>
      <c r="X959" s="2">
        <f t="shared" si="322"/>
        <v>2.6220416666666999E-2</v>
      </c>
      <c r="Y959" s="2" t="str">
        <f t="shared" si="327"/>
        <v/>
      </c>
      <c r="Z959" s="2" t="str">
        <f t="shared" si="328"/>
        <v/>
      </c>
      <c r="AA959" s="2" t="str">
        <f t="shared" si="329"/>
        <v/>
      </c>
      <c r="AB959" s="2">
        <f t="shared" si="323"/>
        <v>0</v>
      </c>
      <c r="AC959" s="734">
        <v>0.62929000000000002</v>
      </c>
      <c r="AD959" s="625">
        <v>0</v>
      </c>
      <c r="AE959" s="625">
        <v>0</v>
      </c>
      <c r="AF959" s="625">
        <v>0</v>
      </c>
      <c r="AG959" s="625">
        <v>0</v>
      </c>
      <c r="AH959" s="625">
        <v>0</v>
      </c>
      <c r="AI959" s="38">
        <v>0</v>
      </c>
      <c r="AJ959" s="625">
        <v>0</v>
      </c>
      <c r="AK959" s="625">
        <v>0</v>
      </c>
      <c r="AL959" s="625">
        <v>0</v>
      </c>
      <c r="AM959" s="625">
        <v>0</v>
      </c>
      <c r="AN959" s="625">
        <v>0</v>
      </c>
      <c r="AO959" s="625">
        <v>0</v>
      </c>
      <c r="AP959" s="41" t="str">
        <f t="shared" si="319"/>
        <v>Reg AssetR</v>
      </c>
      <c r="AQ959" s="41" t="str">
        <f t="shared" si="320"/>
        <v>Reg AssetRR10R&amp;D Tax Credit Deferral</v>
      </c>
      <c r="AR959" s="41" t="str">
        <f t="shared" si="321"/>
        <v>R10R&amp;D Tax Credit Deferral</v>
      </c>
      <c r="CK959" s="625"/>
    </row>
    <row r="960" spans="1:89" s="41" customFormat="1" ht="12.75" customHeight="1">
      <c r="A960" s="442" t="s">
        <v>746</v>
      </c>
      <c r="B960" s="442" t="str">
        <f t="shared" si="333"/>
        <v>Reg Asset182306601146BG030590</v>
      </c>
      <c r="C960" s="736">
        <v>182306</v>
      </c>
      <c r="D960" s="738">
        <v>601146</v>
      </c>
      <c r="E960" s="626" t="s">
        <v>968</v>
      </c>
      <c r="F960" s="626" t="str">
        <f t="shared" si="330"/>
        <v>OTH REG ASSETS-UNCONTROLLABLE/EXONGENOUS COSTS-GA</v>
      </c>
      <c r="G960" s="626" t="s">
        <v>1084</v>
      </c>
      <c r="H960" s="736" t="s">
        <v>1131</v>
      </c>
      <c r="I960" s="442"/>
      <c r="J960" s="442" t="str">
        <f t="shared" si="331"/>
        <v/>
      </c>
      <c r="K960" s="442" t="str">
        <f t="shared" si="332"/>
        <v/>
      </c>
      <c r="L960" s="736" t="s">
        <v>2421</v>
      </c>
      <c r="M960" s="442" t="str">
        <f t="shared" si="317"/>
        <v>N</v>
      </c>
      <c r="N960" s="442" t="str">
        <f>IF(L960&lt;&gt;"",VLOOKUP(L960,Categories!$B$2:$D$41,2,FALSE),IF(F960&lt;&gt;"","No Cat",""))</f>
        <v>NRBASE</v>
      </c>
      <c r="O960" s="442" t="str">
        <f>IF($L960&lt;&gt;"",VLOOKUP($L960,Categories!$B$2:$D$41,3,FALSE),IF($F960&lt;&gt;"","No Cat",""))</f>
        <v>Direct Assign Items Not in RB</v>
      </c>
      <c r="P960" s="736" t="s">
        <v>2468</v>
      </c>
      <c r="Q960" s="442" t="str">
        <f>VLOOKUP($P960,Allocators!$B$7:$F$19,5,FALSE)</f>
        <v>Not in Rate Base</v>
      </c>
      <c r="R960" s="737">
        <f>VLOOKUP($P960,Allocators!$B$7:$F$19,2,FALSE)</f>
        <v>0</v>
      </c>
      <c r="S960" s="737">
        <f>VLOOKUP($P960,Allocators!$B$7:$F$19,3,FALSE)</f>
        <v>0</v>
      </c>
      <c r="T960" s="737">
        <f t="shared" si="318"/>
        <v>1</v>
      </c>
      <c r="U960" s="2">
        <f t="shared" si="324"/>
        <v>0</v>
      </c>
      <c r="V960" s="2">
        <f t="shared" si="325"/>
        <v>0</v>
      </c>
      <c r="W960" s="2">
        <f t="shared" si="326"/>
        <v>35.368000000000002</v>
      </c>
      <c r="X960" s="2">
        <f t="shared" si="322"/>
        <v>35.368000000000002</v>
      </c>
      <c r="Y960" s="2">
        <f t="shared" si="327"/>
        <v>0</v>
      </c>
      <c r="Z960" s="2">
        <f t="shared" si="328"/>
        <v>0</v>
      </c>
      <c r="AA960" s="2">
        <f t="shared" si="329"/>
        <v>35.368000000000002</v>
      </c>
      <c r="AB960" s="2">
        <f t="shared" si="323"/>
        <v>35.368000000000002</v>
      </c>
      <c r="AC960" s="734">
        <v>35.368000000000002</v>
      </c>
      <c r="AD960" s="625">
        <v>35.368000000000002</v>
      </c>
      <c r="AE960" s="625">
        <v>35.368000000000002</v>
      </c>
      <c r="AF960" s="625">
        <v>35.368000000000002</v>
      </c>
      <c r="AG960" s="625">
        <v>35.368000000000002</v>
      </c>
      <c r="AH960" s="625">
        <v>35.368000000000002</v>
      </c>
      <c r="AI960" s="625">
        <v>35.368000000000002</v>
      </c>
      <c r="AJ960" s="625">
        <v>35.368000000000002</v>
      </c>
      <c r="AK960" s="625">
        <v>35.368000000000002</v>
      </c>
      <c r="AL960" s="625">
        <v>35.368000000000002</v>
      </c>
      <c r="AM960" s="625">
        <v>35.368000000000002</v>
      </c>
      <c r="AN960" s="625">
        <v>35.368000000000002</v>
      </c>
      <c r="AO960" s="625">
        <v>35.368000000000002</v>
      </c>
      <c r="AP960" s="41" t="str">
        <f t="shared" si="319"/>
        <v>Reg AssetN</v>
      </c>
      <c r="AQ960" s="41" t="str">
        <f t="shared" si="320"/>
        <v>Reg AssetNN2Energy Efficiency Portfolio Standard</v>
      </c>
      <c r="AR960" s="41" t="str">
        <f t="shared" si="321"/>
        <v>N2Energy Efficiency Portfolio Standard</v>
      </c>
      <c r="CK960" s="625"/>
    </row>
    <row r="961" spans="1:89" s="41" customFormat="1" ht="12.75" customHeight="1">
      <c r="A961" s="25" t="s">
        <v>746</v>
      </c>
      <c r="B961" s="25" t="str">
        <f t="shared" si="333"/>
        <v>Reg Asset182306601232-ABG030252</v>
      </c>
      <c r="C961" s="736">
        <v>182306</v>
      </c>
      <c r="D961" s="738" t="s">
        <v>918</v>
      </c>
      <c r="E961" s="41" t="s">
        <v>962</v>
      </c>
      <c r="F961" s="41" t="str">
        <f t="shared" si="330"/>
        <v>OTH REG ASSETS-UNCONTROLLABLE/EXONGENOUS COSTS-GA</v>
      </c>
      <c r="G961" s="41" t="s">
        <v>1085</v>
      </c>
      <c r="H961" s="736" t="s">
        <v>1128</v>
      </c>
      <c r="I961" s="25"/>
      <c r="J961" s="25" t="str">
        <f t="shared" si="331"/>
        <v/>
      </c>
      <c r="K961" s="25" t="str">
        <f t="shared" si="332"/>
        <v/>
      </c>
      <c r="L961" s="736" t="s">
        <v>2441</v>
      </c>
      <c r="M961" s="25" t="str">
        <f t="shared" si="317"/>
        <v>R</v>
      </c>
      <c r="N961" s="25" t="str">
        <f>IF(L961&lt;&gt;"",VLOOKUP(L961,Categories!$B$2:$D$41,2,FALSE),IF(F961&lt;&gt;"","No Cat",""))</f>
        <v>Rate Base</v>
      </c>
      <c r="O961" s="25" t="str">
        <f>IF($L961&lt;&gt;"",VLOOKUP($L961,Categories!$B$2:$D$41,3,FALSE),IF($F961&lt;&gt;"","No Cat",""))</f>
        <v>Deferred Debits &amp; Credits</v>
      </c>
      <c r="P961" s="736" t="s">
        <v>2483</v>
      </c>
      <c r="Q961" s="25" t="str">
        <f>VLOOKUP($P961,Allocators!$B$7:$F$19,5,FALSE)</f>
        <v>Gas</v>
      </c>
      <c r="R961" s="737">
        <f>VLOOKUP($P961,Allocators!$B$7:$F$19,2,FALSE)</f>
        <v>0</v>
      </c>
      <c r="S961" s="737">
        <f>VLOOKUP($P961,Allocators!$B$7:$F$19,3,FALSE)</f>
        <v>1</v>
      </c>
      <c r="T961" s="737" t="str">
        <f t="shared" si="318"/>
        <v>0.0%</v>
      </c>
      <c r="U961" s="2" t="str">
        <f t="shared" si="324"/>
        <v/>
      </c>
      <c r="V961" s="2" t="str">
        <f t="shared" si="325"/>
        <v/>
      </c>
      <c r="W961" s="2" t="str">
        <f t="shared" si="326"/>
        <v/>
      </c>
      <c r="X961" s="2">
        <f t="shared" si="322"/>
        <v>0</v>
      </c>
      <c r="Y961" s="2" t="str">
        <f t="shared" si="327"/>
        <v/>
      </c>
      <c r="Z961" s="2" t="str">
        <f t="shared" si="328"/>
        <v/>
      </c>
      <c r="AA961" s="2" t="str">
        <f t="shared" si="329"/>
        <v/>
      </c>
      <c r="AB961" s="2">
        <f t="shared" si="323"/>
        <v>0</v>
      </c>
      <c r="AC961" s="734">
        <v>0</v>
      </c>
      <c r="AD961" s="625">
        <v>0</v>
      </c>
      <c r="AE961" s="625">
        <v>0</v>
      </c>
      <c r="AF961" s="625">
        <v>0</v>
      </c>
      <c r="AG961" s="625">
        <v>0</v>
      </c>
      <c r="AH961" s="625">
        <v>0</v>
      </c>
      <c r="AI961" s="38">
        <v>0</v>
      </c>
      <c r="AJ961" s="625">
        <v>0</v>
      </c>
      <c r="AK961" s="625">
        <v>0</v>
      </c>
      <c r="AL961" s="625">
        <v>0</v>
      </c>
      <c r="AM961" s="625">
        <v>0</v>
      </c>
      <c r="AN961" s="625">
        <v>0</v>
      </c>
      <c r="AO961" s="625">
        <v>0</v>
      </c>
      <c r="AP961" s="41" t="str">
        <f t="shared" si="319"/>
        <v>Reg AssetR</v>
      </c>
      <c r="AQ961" s="41" t="str">
        <f t="shared" si="320"/>
        <v>Reg AssetRR10CTA Property Tax</v>
      </c>
      <c r="AR961" s="41" t="str">
        <f t="shared" si="321"/>
        <v>R10CTA Property Tax</v>
      </c>
      <c r="CK961" s="625"/>
    </row>
    <row r="962" spans="1:89" s="41" customFormat="1" ht="12.75" customHeight="1">
      <c r="A962" s="442" t="s">
        <v>746</v>
      </c>
      <c r="B962" s="442" t="str">
        <f t="shared" si="333"/>
        <v>Reg Asset182306601248BG030266</v>
      </c>
      <c r="C962" s="736">
        <v>182306</v>
      </c>
      <c r="D962" s="738">
        <v>601248</v>
      </c>
      <c r="E962" s="626" t="s">
        <v>969</v>
      </c>
      <c r="F962" s="626" t="str">
        <f t="shared" si="330"/>
        <v>OTH REG ASSETS-UNCONTROLLABLE/EXONGENOUS COSTS-GA</v>
      </c>
      <c r="G962" s="626" t="s">
        <v>1086</v>
      </c>
      <c r="H962" s="736" t="s">
        <v>1132</v>
      </c>
      <c r="I962" s="442"/>
      <c r="J962" s="442" t="s">
        <v>7</v>
      </c>
      <c r="K962" s="442" t="str">
        <f t="shared" si="332"/>
        <v/>
      </c>
      <c r="L962" s="736" t="s">
        <v>2436</v>
      </c>
      <c r="M962" s="442" t="str">
        <f t="shared" si="317"/>
        <v>N</v>
      </c>
      <c r="N962" s="442" t="str">
        <f>IF(L962&lt;&gt;"",VLOOKUP(L962,Categories!$B$2:$D$41,2,FALSE),IF(F962&lt;&gt;"","No Cat",""))</f>
        <v>NRBASE</v>
      </c>
      <c r="O962" s="442" t="str">
        <f>IF($L962&lt;&gt;"",VLOOKUP($L962,Categories!$B$2:$D$41,3,FALSE),IF($F962&lt;&gt;"","No Cat",""))</f>
        <v>Deferrals Accruing Non-Cash Return   (other than ASGA)</v>
      </c>
      <c r="P962" s="736" t="s">
        <v>2468</v>
      </c>
      <c r="Q962" s="442" t="str">
        <f>VLOOKUP($P962,Allocators!$B$7:$F$19,5,FALSE)</f>
        <v>Not in Rate Base</v>
      </c>
      <c r="R962" s="737">
        <f>VLOOKUP($P962,Allocators!$B$7:$F$19,2,FALSE)</f>
        <v>0</v>
      </c>
      <c r="S962" s="737">
        <f>VLOOKUP($P962,Allocators!$B$7:$F$19,3,FALSE)</f>
        <v>0</v>
      </c>
      <c r="T962" s="737">
        <f t="shared" si="318"/>
        <v>1</v>
      </c>
      <c r="U962" s="2" t="str">
        <f t="shared" si="324"/>
        <v/>
      </c>
      <c r="V962" s="2" t="str">
        <f t="shared" si="325"/>
        <v/>
      </c>
      <c r="W962" s="2" t="str">
        <f t="shared" si="326"/>
        <v/>
      </c>
      <c r="X962" s="2">
        <f t="shared" si="322"/>
        <v>0</v>
      </c>
      <c r="Y962" s="2" t="str">
        <f t="shared" si="327"/>
        <v/>
      </c>
      <c r="Z962" s="2" t="str">
        <f t="shared" si="328"/>
        <v/>
      </c>
      <c r="AA962" s="2" t="str">
        <f t="shared" si="329"/>
        <v/>
      </c>
      <c r="AB962" s="2">
        <f t="shared" si="323"/>
        <v>0</v>
      </c>
      <c r="AC962" s="625">
        <v>0</v>
      </c>
      <c r="AD962" s="625">
        <v>0</v>
      </c>
      <c r="AE962" s="625">
        <v>0</v>
      </c>
      <c r="AF962" s="625">
        <v>0</v>
      </c>
      <c r="AG962" s="625">
        <v>0</v>
      </c>
      <c r="AH962" s="625">
        <v>0</v>
      </c>
      <c r="AI962" s="38">
        <v>0</v>
      </c>
      <c r="AJ962" s="625">
        <v>0</v>
      </c>
      <c r="AK962" s="625">
        <v>0</v>
      </c>
      <c r="AL962" s="625">
        <v>0</v>
      </c>
      <c r="AM962" s="625">
        <v>0</v>
      </c>
      <c r="AN962" s="625">
        <v>0</v>
      </c>
      <c r="AO962" s="625">
        <v>0</v>
      </c>
      <c r="AP962" s="41" t="str">
        <f t="shared" si="319"/>
        <v>Reg AssetN</v>
      </c>
      <c r="AQ962" s="41" t="str">
        <f t="shared" si="320"/>
        <v>Reg AssetNN10Gas Pipeline Integrity</v>
      </c>
      <c r="AR962" s="41" t="str">
        <f t="shared" si="321"/>
        <v>N10Gas Pipeline IntegrityNCR</v>
      </c>
      <c r="CK962" s="625"/>
    </row>
    <row r="963" spans="1:89" s="41" customFormat="1" ht="12.75" customHeight="1">
      <c r="A963" s="25" t="s">
        <v>746</v>
      </c>
      <c r="B963" s="25" t="str">
        <f t="shared" si="333"/>
        <v>Reg Asset182306601084-ABG030264</v>
      </c>
      <c r="C963" s="736">
        <v>182306</v>
      </c>
      <c r="D963" s="738" t="s">
        <v>919</v>
      </c>
      <c r="E963" s="41" t="s">
        <v>970</v>
      </c>
      <c r="F963" s="41" t="str">
        <f t="shared" si="330"/>
        <v>OTH REG ASSETS-UNCONTROLLABLE/EXONGENOUS COSTS-GA</v>
      </c>
      <c r="G963" s="41" t="s">
        <v>1087</v>
      </c>
      <c r="H963" s="736" t="s">
        <v>1132</v>
      </c>
      <c r="I963" s="25"/>
      <c r="J963" s="25" t="str">
        <f t="shared" si="331"/>
        <v/>
      </c>
      <c r="K963" s="25" t="str">
        <f t="shared" si="332"/>
        <v/>
      </c>
      <c r="L963" s="736" t="s">
        <v>2441</v>
      </c>
      <c r="M963" s="25" t="str">
        <f t="shared" si="317"/>
        <v>R</v>
      </c>
      <c r="N963" s="25" t="str">
        <f>IF(L963&lt;&gt;"",VLOOKUP(L963,Categories!$B$2:$D$41,2,FALSE),IF(F963&lt;&gt;"","No Cat",""))</f>
        <v>Rate Base</v>
      </c>
      <c r="O963" s="25" t="str">
        <f>IF($L963&lt;&gt;"",VLOOKUP($L963,Categories!$B$2:$D$41,3,FALSE),IF($F963&lt;&gt;"","No Cat",""))</f>
        <v>Deferred Debits &amp; Credits</v>
      </c>
      <c r="P963" s="736" t="s">
        <v>2483</v>
      </c>
      <c r="Q963" s="25" t="str">
        <f>VLOOKUP($P963,Allocators!$B$7:$F$19,5,FALSE)</f>
        <v>Gas</v>
      </c>
      <c r="R963" s="737">
        <f>VLOOKUP($P963,Allocators!$B$7:$F$19,2,FALSE)</f>
        <v>0</v>
      </c>
      <c r="S963" s="737">
        <f>VLOOKUP($P963,Allocators!$B$7:$F$19,3,FALSE)</f>
        <v>1</v>
      </c>
      <c r="T963" s="737" t="str">
        <f t="shared" si="318"/>
        <v>0.0%</v>
      </c>
      <c r="U963" s="2" t="str">
        <f t="shared" si="324"/>
        <v/>
      </c>
      <c r="V963" s="2" t="str">
        <f t="shared" si="325"/>
        <v/>
      </c>
      <c r="W963" s="2" t="str">
        <f t="shared" si="326"/>
        <v/>
      </c>
      <c r="X963" s="2">
        <f t="shared" si="322"/>
        <v>0</v>
      </c>
      <c r="Y963" s="2" t="str">
        <f t="shared" si="327"/>
        <v/>
      </c>
      <c r="Z963" s="2" t="str">
        <f t="shared" si="328"/>
        <v/>
      </c>
      <c r="AA963" s="2" t="str">
        <f t="shared" si="329"/>
        <v/>
      </c>
      <c r="AB963" s="2">
        <f t="shared" si="323"/>
        <v>0</v>
      </c>
      <c r="AC963" s="734">
        <v>0</v>
      </c>
      <c r="AD963" s="625">
        <v>0</v>
      </c>
      <c r="AE963" s="625">
        <v>0</v>
      </c>
      <c r="AF963" s="625">
        <v>0</v>
      </c>
      <c r="AG963" s="625">
        <v>0</v>
      </c>
      <c r="AH963" s="625">
        <v>0</v>
      </c>
      <c r="AI963" s="38">
        <v>0</v>
      </c>
      <c r="AJ963" s="625">
        <v>0</v>
      </c>
      <c r="AK963" s="625">
        <v>0</v>
      </c>
      <c r="AL963" s="625">
        <v>0</v>
      </c>
      <c r="AM963" s="625">
        <v>0</v>
      </c>
      <c r="AN963" s="625">
        <v>0</v>
      </c>
      <c r="AO963" s="625">
        <v>0</v>
      </c>
      <c r="AP963" s="41" t="str">
        <f t="shared" si="319"/>
        <v>Reg AssetR</v>
      </c>
      <c r="AQ963" s="41" t="str">
        <f t="shared" si="320"/>
        <v>Reg AssetRR10Gas Pipeline Integrity</v>
      </c>
      <c r="AR963" s="41" t="str">
        <f t="shared" si="321"/>
        <v>R10Gas Pipeline Integrity</v>
      </c>
      <c r="CK963" s="625"/>
    </row>
    <row r="964" spans="1:89" s="41" customFormat="1" ht="12.75" customHeight="1">
      <c r="A964" s="442" t="s">
        <v>746</v>
      </c>
      <c r="B964" s="442" t="str">
        <f t="shared" si="333"/>
        <v>Reg Asset182306601084-LBG030265</v>
      </c>
      <c r="C964" s="736">
        <v>182306</v>
      </c>
      <c r="D964" s="738" t="s">
        <v>920</v>
      </c>
      <c r="E964" s="626" t="s">
        <v>971</v>
      </c>
      <c r="F964" s="626" t="str">
        <f t="shared" si="330"/>
        <v>OTH REG ASSETS-UNCONTROLLABLE/EXONGENOUS COSTS-GA</v>
      </c>
      <c r="G964" s="626" t="s">
        <v>1088</v>
      </c>
      <c r="H964" s="736" t="s">
        <v>1132</v>
      </c>
      <c r="I964" s="442"/>
      <c r="J964" s="442" t="s">
        <v>7</v>
      </c>
      <c r="K964" s="442" t="str">
        <f t="shared" si="332"/>
        <v/>
      </c>
      <c r="L964" s="736" t="s">
        <v>2436</v>
      </c>
      <c r="M964" s="442" t="str">
        <f t="shared" si="317"/>
        <v>N</v>
      </c>
      <c r="N964" s="442" t="str">
        <f>IF(L964&lt;&gt;"",VLOOKUP(L964,Categories!$B$2:$D$41,2,FALSE),IF(F964&lt;&gt;"","No Cat",""))</f>
        <v>NRBASE</v>
      </c>
      <c r="O964" s="442" t="str">
        <f>IF($L964&lt;&gt;"",VLOOKUP($L964,Categories!$B$2:$D$41,3,FALSE),IF($F964&lt;&gt;"","No Cat",""))</f>
        <v>Deferrals Accruing Non-Cash Return   (other than ASGA)</v>
      </c>
      <c r="P964" s="736" t="s">
        <v>2468</v>
      </c>
      <c r="Q964" s="442" t="str">
        <f>VLOOKUP($P964,Allocators!$B$7:$F$19,5,FALSE)</f>
        <v>Not in Rate Base</v>
      </c>
      <c r="R964" s="737">
        <f>VLOOKUP($P964,Allocators!$B$7:$F$19,2,FALSE)</f>
        <v>0</v>
      </c>
      <c r="S964" s="737">
        <f>VLOOKUP($P964,Allocators!$B$7:$F$19,3,FALSE)</f>
        <v>0</v>
      </c>
      <c r="T964" s="737">
        <f t="shared" si="318"/>
        <v>1</v>
      </c>
      <c r="U964" s="2">
        <f t="shared" si="324"/>
        <v>0</v>
      </c>
      <c r="V964" s="2">
        <f t="shared" si="325"/>
        <v>0</v>
      </c>
      <c r="W964" s="2">
        <f t="shared" si="326"/>
        <v>1391.8770391666701</v>
      </c>
      <c r="X964" s="2">
        <f t="shared" si="322"/>
        <v>1391.8770391666701</v>
      </c>
      <c r="Y964" s="2">
        <f t="shared" si="327"/>
        <v>0</v>
      </c>
      <c r="Z964" s="2">
        <f t="shared" si="328"/>
        <v>0</v>
      </c>
      <c r="AA964" s="2">
        <f t="shared" si="329"/>
        <v>1439.60169</v>
      </c>
      <c r="AB964" s="2">
        <f t="shared" si="323"/>
        <v>1439.60169</v>
      </c>
      <c r="AC964" s="734">
        <v>1345.21173</v>
      </c>
      <c r="AD964" s="625">
        <v>1352.83539</v>
      </c>
      <c r="AE964" s="625">
        <v>1360.50225</v>
      </c>
      <c r="AF964" s="625">
        <v>1368.2125600000002</v>
      </c>
      <c r="AG964" s="625">
        <v>1375.96657</v>
      </c>
      <c r="AH964" s="625">
        <v>1383.7645199999999</v>
      </c>
      <c r="AI964" s="625">
        <v>1391.6066599999999</v>
      </c>
      <c r="AJ964" s="625">
        <v>1399.49325</v>
      </c>
      <c r="AK964" s="625">
        <v>1407.42453</v>
      </c>
      <c r="AL964" s="625">
        <v>1415.40076</v>
      </c>
      <c r="AM964" s="625">
        <v>1423.42219</v>
      </c>
      <c r="AN964" s="625">
        <v>1431.4890799999998</v>
      </c>
      <c r="AO964" s="625">
        <v>1439.60169</v>
      </c>
      <c r="AP964" s="41" t="str">
        <f t="shared" si="319"/>
        <v>Reg AssetN</v>
      </c>
      <c r="AQ964" s="41" t="str">
        <f t="shared" si="320"/>
        <v>Reg AssetNN10Gas Pipeline Integrity</v>
      </c>
      <c r="AR964" s="41" t="str">
        <f t="shared" si="321"/>
        <v>N10Gas Pipeline IntegrityNCR</v>
      </c>
      <c r="CK964" s="625"/>
    </row>
    <row r="965" spans="1:89" s="41" customFormat="1" ht="12.75" customHeight="1">
      <c r="A965" s="25" t="s">
        <v>746</v>
      </c>
      <c r="B965" s="25" t="str">
        <f t="shared" si="333"/>
        <v>Reg Asset182306601030G-ABG030266</v>
      </c>
      <c r="C965" s="736">
        <v>182306</v>
      </c>
      <c r="D965" s="738" t="s">
        <v>921</v>
      </c>
      <c r="E965" s="41" t="s">
        <v>969</v>
      </c>
      <c r="F965" s="41" t="str">
        <f t="shared" si="330"/>
        <v>OTH REG ASSETS-UNCONTROLLABLE/EXONGENOUS COSTS-GA</v>
      </c>
      <c r="G965" s="41" t="s">
        <v>1055</v>
      </c>
      <c r="H965" s="736" t="s">
        <v>822</v>
      </c>
      <c r="I965" s="25"/>
      <c r="J965" s="25" t="str">
        <f t="shared" si="331"/>
        <v/>
      </c>
      <c r="K965" s="25" t="str">
        <f t="shared" si="332"/>
        <v/>
      </c>
      <c r="L965" s="736" t="s">
        <v>2441</v>
      </c>
      <c r="M965" s="25" t="str">
        <f t="shared" ref="M965:M1048" si="334">LEFT(L965,1)</f>
        <v>R</v>
      </c>
      <c r="N965" s="25" t="str">
        <f>IF(L965&lt;&gt;"",VLOOKUP(L965,Categories!$B$2:$D$41,2,FALSE),IF(F965&lt;&gt;"","No Cat",""))</f>
        <v>Rate Base</v>
      </c>
      <c r="O965" s="25" t="str">
        <f>IF($L965&lt;&gt;"",VLOOKUP($L965,Categories!$B$2:$D$41,3,FALSE),IF($F965&lt;&gt;"","No Cat",""))</f>
        <v>Deferred Debits &amp; Credits</v>
      </c>
      <c r="P965" s="736" t="s">
        <v>2483</v>
      </c>
      <c r="Q965" s="25" t="str">
        <f>VLOOKUP($P965,Allocators!$B$7:$F$19,5,FALSE)</f>
        <v>Gas</v>
      </c>
      <c r="R965" s="737">
        <f>VLOOKUP($P965,Allocators!$B$7:$F$19,2,FALSE)</f>
        <v>0</v>
      </c>
      <c r="S965" s="737">
        <f>VLOOKUP($P965,Allocators!$B$7:$F$19,3,FALSE)</f>
        <v>1</v>
      </c>
      <c r="T965" s="737" t="str">
        <f t="shared" ref="T965:T1048" si="335">IF(P965="N",1,"0.0%")</f>
        <v>0.0%</v>
      </c>
      <c r="U965" s="2" t="str">
        <f t="shared" si="324"/>
        <v/>
      </c>
      <c r="V965" s="2" t="str">
        <f t="shared" si="325"/>
        <v/>
      </c>
      <c r="W965" s="2" t="str">
        <f t="shared" si="326"/>
        <v/>
      </c>
      <c r="X965" s="2">
        <f t="shared" si="322"/>
        <v>0</v>
      </c>
      <c r="Y965" s="2" t="str">
        <f t="shared" si="327"/>
        <v/>
      </c>
      <c r="Z965" s="2" t="str">
        <f t="shared" si="328"/>
        <v/>
      </c>
      <c r="AA965" s="2" t="str">
        <f t="shared" si="329"/>
        <v/>
      </c>
      <c r="AB965" s="2">
        <f t="shared" si="323"/>
        <v>0</v>
      </c>
      <c r="AC965" s="734">
        <v>0</v>
      </c>
      <c r="AD965" s="625">
        <v>0</v>
      </c>
      <c r="AE965" s="625">
        <v>0</v>
      </c>
      <c r="AF965" s="625">
        <v>0</v>
      </c>
      <c r="AG965" s="625">
        <v>0</v>
      </c>
      <c r="AH965" s="625">
        <v>0</v>
      </c>
      <c r="AI965" s="38">
        <v>0</v>
      </c>
      <c r="AJ965" s="625">
        <v>0</v>
      </c>
      <c r="AK965" s="625">
        <v>0</v>
      </c>
      <c r="AL965" s="625">
        <v>0</v>
      </c>
      <c r="AM965" s="625">
        <v>0</v>
      </c>
      <c r="AN965" s="625">
        <v>0</v>
      </c>
      <c r="AO965" s="625">
        <v>0</v>
      </c>
      <c r="AP965" s="41" t="str">
        <f t="shared" si="319"/>
        <v>Reg AssetR</v>
      </c>
      <c r="AQ965" s="41" t="str">
        <f t="shared" si="320"/>
        <v>Reg AssetRR10Variable Rate Debt</v>
      </c>
      <c r="AR965" s="41" t="str">
        <f t="shared" si="321"/>
        <v>R10Variable Rate Debt</v>
      </c>
      <c r="CK965" s="625"/>
    </row>
    <row r="966" spans="1:89" s="41" customFormat="1" ht="12.75" customHeight="1">
      <c r="A966" s="442" t="s">
        <v>746</v>
      </c>
      <c r="B966" s="442" t="str">
        <f t="shared" si="333"/>
        <v>Reg Asset182306601030G-LBG030266</v>
      </c>
      <c r="C966" s="736">
        <v>182306</v>
      </c>
      <c r="D966" s="738" t="s">
        <v>922</v>
      </c>
      <c r="E966" s="626" t="s">
        <v>969</v>
      </c>
      <c r="F966" s="626" t="str">
        <f t="shared" si="330"/>
        <v>OTH REG ASSETS-UNCONTROLLABLE/EXONGENOUS COSTS-GA</v>
      </c>
      <c r="G966" s="626" t="s">
        <v>1056</v>
      </c>
      <c r="H966" s="736" t="s">
        <v>822</v>
      </c>
      <c r="I966" s="442"/>
      <c r="J966" s="442" t="s">
        <v>7</v>
      </c>
      <c r="K966" s="442" t="str">
        <f t="shared" si="332"/>
        <v/>
      </c>
      <c r="L966" s="736" t="s">
        <v>2436</v>
      </c>
      <c r="M966" s="442" t="str">
        <f t="shared" si="334"/>
        <v>N</v>
      </c>
      <c r="N966" s="442" t="str">
        <f>IF(L966&lt;&gt;"",VLOOKUP(L966,Categories!$B$2:$D$41,2,FALSE),IF(F966&lt;&gt;"","No Cat",""))</f>
        <v>NRBASE</v>
      </c>
      <c r="O966" s="442" t="str">
        <f>IF($L966&lt;&gt;"",VLOOKUP($L966,Categories!$B$2:$D$41,3,FALSE),IF($F966&lt;&gt;"","No Cat",""))</f>
        <v>Deferrals Accruing Non-Cash Return   (other than ASGA)</v>
      </c>
      <c r="P966" s="736" t="s">
        <v>2468</v>
      </c>
      <c r="Q966" s="442" t="str">
        <f>VLOOKUP($P966,Allocators!$B$7:$F$19,5,FALSE)</f>
        <v>Not in Rate Base</v>
      </c>
      <c r="R966" s="737">
        <f>VLOOKUP($P966,Allocators!$B$7:$F$19,2,FALSE)</f>
        <v>0</v>
      </c>
      <c r="S966" s="737">
        <f>VLOOKUP($P966,Allocators!$B$7:$F$19,3,FALSE)</f>
        <v>0</v>
      </c>
      <c r="T966" s="737">
        <f t="shared" si="335"/>
        <v>1</v>
      </c>
      <c r="U966" s="2">
        <f t="shared" si="324"/>
        <v>0</v>
      </c>
      <c r="V966" s="2">
        <f t="shared" si="325"/>
        <v>0</v>
      </c>
      <c r="W966" s="2">
        <f t="shared" si="326"/>
        <v>50.7613679166667</v>
      </c>
      <c r="X966" s="2">
        <f t="shared" si="322"/>
        <v>50.7613679166667</v>
      </c>
      <c r="Y966" s="2" t="str">
        <f t="shared" si="327"/>
        <v/>
      </c>
      <c r="Z966" s="2" t="str">
        <f t="shared" si="328"/>
        <v/>
      </c>
      <c r="AA966" s="2" t="str">
        <f t="shared" si="329"/>
        <v/>
      </c>
      <c r="AB966" s="2">
        <f t="shared" si="323"/>
        <v>0</v>
      </c>
      <c r="AC966" s="734">
        <v>172.35813000000002</v>
      </c>
      <c r="AD966" s="625">
        <v>173.33492999999999</v>
      </c>
      <c r="AE966" s="625">
        <v>174.31725999999998</v>
      </c>
      <c r="AF966" s="625">
        <v>175.30515999999997</v>
      </c>
      <c r="AG966" s="625">
        <v>0</v>
      </c>
      <c r="AH966" s="625">
        <v>0</v>
      </c>
      <c r="AI966" s="38">
        <v>0</v>
      </c>
      <c r="AJ966" s="625">
        <v>0</v>
      </c>
      <c r="AK966" s="625">
        <v>0</v>
      </c>
      <c r="AL966" s="625">
        <v>0</v>
      </c>
      <c r="AM966" s="625">
        <v>0</v>
      </c>
      <c r="AN966" s="625">
        <v>0</v>
      </c>
      <c r="AO966" s="625">
        <v>0</v>
      </c>
      <c r="AP966" s="41" t="str">
        <f t="shared" si="319"/>
        <v>Reg AssetN</v>
      </c>
      <c r="AQ966" s="41" t="str">
        <f t="shared" si="320"/>
        <v>Reg AssetNN10Variable Rate Debt</v>
      </c>
      <c r="AR966" s="41" t="str">
        <f t="shared" si="321"/>
        <v>N10Variable Rate DebtNCR</v>
      </c>
      <c r="CK966" s="625"/>
    </row>
    <row r="967" spans="1:89" s="41" customFormat="1" ht="12.75" customHeight="1">
      <c r="A967" s="442" t="s">
        <v>746</v>
      </c>
      <c r="B967" s="442" t="str">
        <f t="shared" ref="B967" si="336">CONCATENATE(A967,C967,D967,E967)</f>
        <v>Reg Asset182306601258-FIN48BG030925</v>
      </c>
      <c r="C967" s="736">
        <v>182306</v>
      </c>
      <c r="D967" s="738" t="s">
        <v>4099</v>
      </c>
      <c r="E967" s="626" t="s">
        <v>972</v>
      </c>
      <c r="F967" s="626" t="str">
        <f t="shared" si="330"/>
        <v>OTH REG ASSETS-UNCONTROLLABLE/EXONGENOUS COSTS-GA</v>
      </c>
      <c r="G967" s="626" t="s">
        <v>4100</v>
      </c>
      <c r="H967" s="736" t="s">
        <v>4111</v>
      </c>
      <c r="I967" s="442"/>
      <c r="J967" s="442"/>
      <c r="K967" s="442" t="str">
        <f t="shared" ref="K967" si="337">IF(L967="N3","Y","")</f>
        <v/>
      </c>
      <c r="L967" s="736" t="s">
        <v>2421</v>
      </c>
      <c r="M967" s="442" t="str">
        <f t="shared" ref="M967" si="338">LEFT(L967,1)</f>
        <v>N</v>
      </c>
      <c r="N967" s="442" t="str">
        <f>IF(L967&lt;&gt;"",VLOOKUP(L967,Categories!$B$2:$D$41,2,FALSE),IF(F967&lt;&gt;"","No Cat",""))</f>
        <v>NRBASE</v>
      </c>
      <c r="O967" s="442" t="str">
        <f>IF($L967&lt;&gt;"",VLOOKUP($L967,Categories!$B$2:$D$41,3,FALSE),IF($F967&lt;&gt;"","No Cat",""))</f>
        <v>Direct Assign Items Not in RB</v>
      </c>
      <c r="P967" s="736" t="s">
        <v>2468</v>
      </c>
      <c r="Q967" s="442" t="str">
        <f>VLOOKUP($P967,Allocators!$B$7:$F$19,5,FALSE)</f>
        <v>Not in Rate Base</v>
      </c>
      <c r="R967" s="737">
        <f>VLOOKUP($P967,Allocators!$B$7:$F$19,2,FALSE)</f>
        <v>0</v>
      </c>
      <c r="S967" s="737">
        <f>VLOOKUP($P967,Allocators!$B$7:$F$19,3,FALSE)</f>
        <v>0</v>
      </c>
      <c r="T967" s="737">
        <f t="shared" ref="T967" si="339">IF(P967="N",1,"0.0%")</f>
        <v>1</v>
      </c>
      <c r="U967" s="2">
        <f t="shared" si="324"/>
        <v>0</v>
      </c>
      <c r="V967" s="2">
        <f t="shared" si="325"/>
        <v>0</v>
      </c>
      <c r="W967" s="2">
        <f t="shared" si="326"/>
        <v>175</v>
      </c>
      <c r="X967" s="2">
        <f t="shared" si="322"/>
        <v>175</v>
      </c>
      <c r="Y967" s="2">
        <f t="shared" si="327"/>
        <v>0</v>
      </c>
      <c r="Z967" s="2">
        <f t="shared" si="328"/>
        <v>0</v>
      </c>
      <c r="AA967" s="2">
        <f t="shared" si="329"/>
        <v>193</v>
      </c>
      <c r="AB967" s="2">
        <f t="shared" si="323"/>
        <v>193</v>
      </c>
      <c r="AC967" s="734">
        <v>157</v>
      </c>
      <c r="AD967" s="625">
        <v>160</v>
      </c>
      <c r="AE967" s="625">
        <v>163</v>
      </c>
      <c r="AF967" s="625">
        <v>166</v>
      </c>
      <c r="AG967" s="625">
        <v>169</v>
      </c>
      <c r="AH967" s="625">
        <v>172</v>
      </c>
      <c r="AI967" s="625">
        <v>175</v>
      </c>
      <c r="AJ967" s="625">
        <v>178</v>
      </c>
      <c r="AK967" s="625">
        <v>181</v>
      </c>
      <c r="AL967" s="625">
        <v>184</v>
      </c>
      <c r="AM967" s="625">
        <v>187</v>
      </c>
      <c r="AN967" s="625">
        <v>190</v>
      </c>
      <c r="AO967" s="625">
        <v>193</v>
      </c>
      <c r="AP967" s="41" t="str">
        <f t="shared" ref="AP967:AP1031" si="340">CONCATENATE(A967,M967)</f>
        <v>Reg AssetN</v>
      </c>
      <c r="AQ967" s="41" t="str">
        <f t="shared" ref="AQ967:AQ1031" si="341">CONCATENATE(AP967,L967,H967)</f>
        <v>Reg AssetNN2Unit of Property FIN48</v>
      </c>
      <c r="AR967" s="41" t="str">
        <f t="shared" ref="AR967:AR1031" si="342">CONCATENATE(L967,H967,J967)</f>
        <v>N2Unit of Property FIN48</v>
      </c>
      <c r="CK967" s="625"/>
    </row>
    <row r="968" spans="1:89" s="41" customFormat="1" ht="12.75" customHeight="1">
      <c r="A968" s="442" t="s">
        <v>746</v>
      </c>
      <c r="B968" s="442" t="str">
        <f t="shared" si="333"/>
        <v>Reg Asset182306601256/601257BG030925</v>
      </c>
      <c r="C968" s="736">
        <v>182306</v>
      </c>
      <c r="D968" s="738" t="s">
        <v>923</v>
      </c>
      <c r="E968" s="626" t="s">
        <v>972</v>
      </c>
      <c r="F968" s="626" t="str">
        <f t="shared" si="330"/>
        <v>OTH REG ASSETS-UNCONTROLLABLE/EXONGENOUS COSTS-GA</v>
      </c>
      <c r="G968" s="626" t="s">
        <v>1057</v>
      </c>
      <c r="H968" s="736" t="s">
        <v>1129</v>
      </c>
      <c r="I968" s="442"/>
      <c r="J968" s="442" t="s">
        <v>7</v>
      </c>
      <c r="K968" s="442" t="str">
        <f t="shared" si="332"/>
        <v/>
      </c>
      <c r="L968" s="736" t="s">
        <v>2436</v>
      </c>
      <c r="M968" s="442" t="str">
        <f t="shared" si="334"/>
        <v>N</v>
      </c>
      <c r="N968" s="442" t="str">
        <f>IF(L968&lt;&gt;"",VLOOKUP(L968,Categories!$B$2:$D$41,2,FALSE),IF(F968&lt;&gt;"","No Cat",""))</f>
        <v>NRBASE</v>
      </c>
      <c r="O968" s="442" t="str">
        <f>IF($L968&lt;&gt;"",VLOOKUP($L968,Categories!$B$2:$D$41,3,FALSE),IF($F968&lt;&gt;"","No Cat",""))</f>
        <v>Deferrals Accruing Non-Cash Return   (other than ASGA)</v>
      </c>
      <c r="P968" s="736" t="s">
        <v>2468</v>
      </c>
      <c r="Q968" s="442" t="str">
        <f>VLOOKUP($P968,Allocators!$B$7:$F$19,5,FALSE)</f>
        <v>Not in Rate Base</v>
      </c>
      <c r="R968" s="737">
        <f>VLOOKUP($P968,Allocators!$B$7:$F$19,2,FALSE)</f>
        <v>0</v>
      </c>
      <c r="S968" s="737">
        <f>VLOOKUP($P968,Allocators!$B$7:$F$19,3,FALSE)</f>
        <v>0</v>
      </c>
      <c r="T968" s="737">
        <f t="shared" si="335"/>
        <v>1</v>
      </c>
      <c r="U968" s="2">
        <f t="shared" si="324"/>
        <v>0</v>
      </c>
      <c r="V968" s="2">
        <f t="shared" si="325"/>
        <v>0</v>
      </c>
      <c r="W968" s="2">
        <f t="shared" si="326"/>
        <v>33.112927916666699</v>
      </c>
      <c r="X968" s="2">
        <f t="shared" ref="X968:X1036" si="343">IF(ISERROR(ROUND((SUM(AC968:AO968)-((AC968+AO968))/2)/12,15)),"",ROUND((SUM(AC968:AO968)-((AC968+AO968))/2)/12,15))</f>
        <v>33.112927916666699</v>
      </c>
      <c r="Y968" s="2">
        <f t="shared" si="327"/>
        <v>0</v>
      </c>
      <c r="Z968" s="2">
        <f t="shared" si="328"/>
        <v>0</v>
      </c>
      <c r="AA968" s="2">
        <f t="shared" si="329"/>
        <v>35.333069999999999</v>
      </c>
      <c r="AB968" s="2">
        <f t="shared" ref="AB968:AB1036" si="344">IF(AO968="",0,+AO968)</f>
        <v>35.333069999999999</v>
      </c>
      <c r="AC968" s="734">
        <v>33.016400000000004</v>
      </c>
      <c r="AD968" s="625">
        <v>33.016400000000004</v>
      </c>
      <c r="AE968" s="625">
        <v>33.016400000000004</v>
      </c>
      <c r="AF968" s="625">
        <v>33.016400000000004</v>
      </c>
      <c r="AG968" s="625">
        <v>33.016400000000004</v>
      </c>
      <c r="AH968" s="625">
        <v>33.016400000000004</v>
      </c>
      <c r="AI968" s="625">
        <v>33.016400000000004</v>
      </c>
      <c r="AJ968" s="625">
        <v>33.016400000000004</v>
      </c>
      <c r="AK968" s="625">
        <v>33.016400000000004</v>
      </c>
      <c r="AL968" s="625">
        <v>33.016400000000004</v>
      </c>
      <c r="AM968" s="625">
        <v>33.016400000000004</v>
      </c>
      <c r="AN968" s="625">
        <v>33.016400000000004</v>
      </c>
      <c r="AO968" s="625">
        <v>35.333069999999999</v>
      </c>
      <c r="AP968" s="41" t="str">
        <f t="shared" si="340"/>
        <v>Reg AssetN</v>
      </c>
      <c r="AQ968" s="41" t="str">
        <f t="shared" si="341"/>
        <v>Reg AssetNN10Unit of Property CTA</v>
      </c>
      <c r="AR968" s="41" t="str">
        <f t="shared" si="342"/>
        <v>N10Unit of Property CTANCR</v>
      </c>
      <c r="CK968" s="625"/>
    </row>
    <row r="969" spans="1:89" s="41" customFormat="1" ht="12.75" customHeight="1">
      <c r="A969" s="25" t="s">
        <v>746</v>
      </c>
      <c r="B969" s="25" t="str">
        <f t="shared" si="333"/>
        <v>Reg Asset182311</v>
      </c>
      <c r="C969" s="736">
        <v>182311</v>
      </c>
      <c r="D969" s="738"/>
      <c r="F969" s="41" t="str">
        <f t="shared" si="330"/>
        <v>OTHER ASSETS - BEGINNING BALANCE</v>
      </c>
      <c r="G969" s="41" t="s">
        <v>1089</v>
      </c>
      <c r="H969" s="736" t="s">
        <v>1133</v>
      </c>
      <c r="I969" s="25"/>
      <c r="J969" s="25" t="str">
        <f t="shared" si="331"/>
        <v/>
      </c>
      <c r="K969" s="25" t="str">
        <f t="shared" si="332"/>
        <v/>
      </c>
      <c r="L969" s="736" t="s">
        <v>2441</v>
      </c>
      <c r="M969" s="25" t="str">
        <f t="shared" si="334"/>
        <v>R</v>
      </c>
      <c r="N969" s="25" t="str">
        <f>IF(L969&lt;&gt;"",VLOOKUP(L969,Categories!$B$2:$D$41,2,FALSE),IF(F969&lt;&gt;"","No Cat",""))</f>
        <v>Rate Base</v>
      </c>
      <c r="O969" s="25" t="str">
        <f>IF($L969&lt;&gt;"",VLOOKUP($L969,Categories!$B$2:$D$41,3,FALSE),IF($F969&lt;&gt;"","No Cat",""))</f>
        <v>Deferred Debits &amp; Credits</v>
      </c>
      <c r="P969" s="736" t="s">
        <v>2482</v>
      </c>
      <c r="Q969" s="25" t="str">
        <f>VLOOKUP($P969,Allocators!$B$7:$F$19,5,FALSE)</f>
        <v>Electric</v>
      </c>
      <c r="R969" s="737">
        <f>VLOOKUP($P969,Allocators!$B$7:$F$19,2,FALSE)</f>
        <v>1</v>
      </c>
      <c r="S969" s="737">
        <f>VLOOKUP($P969,Allocators!$B$7:$F$19,3,FALSE)</f>
        <v>0</v>
      </c>
      <c r="T969" s="737" t="str">
        <f t="shared" si="335"/>
        <v>0.0%</v>
      </c>
      <c r="U969" s="2" t="str">
        <f t="shared" si="324"/>
        <v/>
      </c>
      <c r="V969" s="2" t="str">
        <f t="shared" si="325"/>
        <v/>
      </c>
      <c r="W969" s="2" t="str">
        <f t="shared" si="326"/>
        <v/>
      </c>
      <c r="X969" s="2">
        <f t="shared" si="343"/>
        <v>0</v>
      </c>
      <c r="Y969" s="2" t="str">
        <f t="shared" si="327"/>
        <v/>
      </c>
      <c r="Z969" s="2" t="str">
        <f t="shared" si="328"/>
        <v/>
      </c>
      <c r="AA969" s="2" t="str">
        <f t="shared" si="329"/>
        <v/>
      </c>
      <c r="AB969" s="2">
        <f t="shared" si="344"/>
        <v>0</v>
      </c>
      <c r="AC969" s="625">
        <v>0</v>
      </c>
      <c r="AD969" s="625">
        <v>0</v>
      </c>
      <c r="AE969" s="625">
        <v>0</v>
      </c>
      <c r="AF969" s="625">
        <v>0</v>
      </c>
      <c r="AG969" s="625">
        <v>0</v>
      </c>
      <c r="AH969" s="625">
        <v>0</v>
      </c>
      <c r="AI969" s="38">
        <v>0</v>
      </c>
      <c r="AJ969" s="625">
        <v>0</v>
      </c>
      <c r="AK969" s="625">
        <v>0</v>
      </c>
      <c r="AL969" s="625">
        <v>0</v>
      </c>
      <c r="AM969" s="625">
        <v>0</v>
      </c>
      <c r="AN969" s="625">
        <v>0</v>
      </c>
      <c r="AO969" s="625">
        <v>0</v>
      </c>
      <c r="AP969" s="41" t="str">
        <f t="shared" si="340"/>
        <v>Reg AssetR</v>
      </c>
      <c r="AQ969" s="41" t="str">
        <f t="shared" si="341"/>
        <v>Reg AssetRR10FAS 133</v>
      </c>
      <c r="AR969" s="41" t="str">
        <f t="shared" si="342"/>
        <v>R10FAS 133</v>
      </c>
      <c r="CK969" s="625"/>
    </row>
    <row r="970" spans="1:89" s="41" customFormat="1" ht="12.75" customHeight="1">
      <c r="A970" s="25" t="s">
        <v>746</v>
      </c>
      <c r="B970" s="25" t="str">
        <f t="shared" si="333"/>
        <v>Reg Asset18232012A10016BC030568</v>
      </c>
      <c r="C970" s="736">
        <v>182320</v>
      </c>
      <c r="D970" s="738" t="s">
        <v>924</v>
      </c>
      <c r="E970" s="41" t="s">
        <v>973</v>
      </c>
      <c r="F970" s="41" t="str">
        <f t="shared" si="330"/>
        <v>OTH REG ASSETS - SITE REMEDIATION</v>
      </c>
      <c r="G970" s="41" t="s">
        <v>1090</v>
      </c>
      <c r="H970" s="736" t="s">
        <v>1134</v>
      </c>
      <c r="I970" s="25"/>
      <c r="J970" s="25" t="str">
        <f t="shared" si="331"/>
        <v/>
      </c>
      <c r="K970" s="25" t="str">
        <f t="shared" si="332"/>
        <v/>
      </c>
      <c r="L970" s="736" t="s">
        <v>2441</v>
      </c>
      <c r="M970" s="25" t="str">
        <f t="shared" si="334"/>
        <v>R</v>
      </c>
      <c r="N970" s="25" t="str">
        <f>IF(L970&lt;&gt;"",VLOOKUP(L970,Categories!$B$2:$D$41,2,FALSE),IF(F970&lt;&gt;"","No Cat",""))</f>
        <v>Rate Base</v>
      </c>
      <c r="O970" s="25" t="str">
        <f>IF($L970&lt;&gt;"",VLOOKUP($L970,Categories!$B$2:$D$41,3,FALSE),IF($F970&lt;&gt;"","No Cat",""))</f>
        <v>Deferred Debits &amp; Credits</v>
      </c>
      <c r="P970" s="736" t="s">
        <v>2486</v>
      </c>
      <c r="Q970" s="25" t="str">
        <f>VLOOKUP($P970,Allocators!$B$7:$F$19,5,FALSE)</f>
        <v>Net Plant</v>
      </c>
      <c r="R970" s="737">
        <f>VLOOKUP($P970,Allocators!$B$7:$F$19,2,FALSE)</f>
        <v>0.74150000000000005</v>
      </c>
      <c r="S970" s="737">
        <f>VLOOKUP($P970,Allocators!$B$7:$F$19,3,FALSE)</f>
        <v>0.25850000000000001</v>
      </c>
      <c r="T970" s="737" t="str">
        <f t="shared" si="335"/>
        <v>0.0%</v>
      </c>
      <c r="U970" s="2">
        <f t="shared" si="324"/>
        <v>78741.382586541105</v>
      </c>
      <c r="V970" s="2">
        <f t="shared" si="325"/>
        <v>27450.637085125902</v>
      </c>
      <c r="W970" s="2">
        <f t="shared" si="326"/>
        <v>0</v>
      </c>
      <c r="X970" s="2">
        <f t="shared" si="343"/>
        <v>106192.019671667</v>
      </c>
      <c r="Y970" s="2">
        <f t="shared" si="327"/>
        <v>104037.19560000001</v>
      </c>
      <c r="Z970" s="2">
        <f t="shared" si="328"/>
        <v>36269.204400000002</v>
      </c>
      <c r="AA970" s="2">
        <f t="shared" si="329"/>
        <v>0</v>
      </c>
      <c r="AB970" s="2">
        <f t="shared" si="344"/>
        <v>140306.4</v>
      </c>
      <c r="AC970" s="734">
        <v>87478.864119999998</v>
      </c>
      <c r="AD970" s="625">
        <v>102359.451</v>
      </c>
      <c r="AE970" s="625">
        <v>102359.451</v>
      </c>
      <c r="AF970" s="625">
        <v>102359.451</v>
      </c>
      <c r="AG970" s="625">
        <v>102359.451</v>
      </c>
      <c r="AH970" s="625">
        <v>101777.9</v>
      </c>
      <c r="AI970" s="625">
        <v>101777.9</v>
      </c>
      <c r="AJ970" s="625">
        <v>101777.9</v>
      </c>
      <c r="AK970" s="625">
        <v>101777.9</v>
      </c>
      <c r="AL970" s="625">
        <v>101777.9</v>
      </c>
      <c r="AM970" s="625">
        <v>101777.9</v>
      </c>
      <c r="AN970" s="625">
        <v>140306.4</v>
      </c>
      <c r="AO970" s="625">
        <v>140306.4</v>
      </c>
      <c r="AP970" s="41" t="str">
        <f t="shared" si="340"/>
        <v>Reg AssetR</v>
      </c>
      <c r="AQ970" s="41" t="str">
        <f t="shared" si="341"/>
        <v>Reg AssetRR10Environmental</v>
      </c>
      <c r="AR970" s="41" t="str">
        <f t="shared" si="342"/>
        <v>R10Environmental</v>
      </c>
      <c r="CK970" s="625"/>
    </row>
    <row r="971" spans="1:89" s="41" customFormat="1" ht="12.75" customHeight="1">
      <c r="A971" s="25" t="s">
        <v>746</v>
      </c>
      <c r="B971" s="25" t="str">
        <f t="shared" si="333"/>
        <v>Reg Asset182320601080BE030215</v>
      </c>
      <c r="C971" s="736">
        <v>182320</v>
      </c>
      <c r="D971" s="738">
        <v>601080</v>
      </c>
      <c r="E971" s="41" t="s">
        <v>974</v>
      </c>
      <c r="F971" s="41" t="str">
        <f t="shared" si="330"/>
        <v>OTH REG ASSETS - SITE REMEDIATION</v>
      </c>
      <c r="G971" s="41" t="s">
        <v>1091</v>
      </c>
      <c r="H971" s="736" t="s">
        <v>1134</v>
      </c>
      <c r="I971" s="25"/>
      <c r="J971" s="25" t="str">
        <f t="shared" si="331"/>
        <v/>
      </c>
      <c r="K971" s="25" t="str">
        <f t="shared" si="332"/>
        <v/>
      </c>
      <c r="L971" s="736" t="s">
        <v>2441</v>
      </c>
      <c r="M971" s="25" t="str">
        <f t="shared" si="334"/>
        <v>R</v>
      </c>
      <c r="N971" s="25" t="str">
        <f>IF(L971&lt;&gt;"",VLOOKUP(L971,Categories!$B$2:$D$41,2,FALSE),IF(F971&lt;&gt;"","No Cat",""))</f>
        <v>Rate Base</v>
      </c>
      <c r="O971" s="25" t="str">
        <f>IF($L971&lt;&gt;"",VLOOKUP($L971,Categories!$B$2:$D$41,3,FALSE),IF($F971&lt;&gt;"","No Cat",""))</f>
        <v>Deferred Debits &amp; Credits</v>
      </c>
      <c r="P971" s="736" t="s">
        <v>2486</v>
      </c>
      <c r="Q971" s="25" t="str">
        <f>VLOOKUP($P971,Allocators!$B$7:$F$19,5,FALSE)</f>
        <v>Net Plant</v>
      </c>
      <c r="R971" s="737">
        <f>VLOOKUP($P971,Allocators!$B$7:$F$19,2,FALSE)</f>
        <v>0.74150000000000005</v>
      </c>
      <c r="S971" s="737">
        <f>VLOOKUP($P971,Allocators!$B$7:$F$19,3,FALSE)</f>
        <v>0.25850000000000001</v>
      </c>
      <c r="T971" s="737" t="str">
        <f t="shared" si="335"/>
        <v>0.0%</v>
      </c>
      <c r="U971" s="2">
        <f t="shared" si="324"/>
        <v>8309.7497942699993</v>
      </c>
      <c r="V971" s="2">
        <f t="shared" si="325"/>
        <v>2896.92558573</v>
      </c>
      <c r="W971" s="2">
        <f t="shared" si="326"/>
        <v>0</v>
      </c>
      <c r="X971" s="2">
        <f t="shared" si="343"/>
        <v>11206.675380000001</v>
      </c>
      <c r="Y971" s="2">
        <f t="shared" si="327"/>
        <v>8309.7497942699993</v>
      </c>
      <c r="Z971" s="2">
        <f t="shared" si="328"/>
        <v>2896.92558573</v>
      </c>
      <c r="AA971" s="2">
        <f t="shared" si="329"/>
        <v>0</v>
      </c>
      <c r="AB971" s="2">
        <f t="shared" si="344"/>
        <v>11206.675380000001</v>
      </c>
      <c r="AC971" s="734">
        <v>11206.675380000001</v>
      </c>
      <c r="AD971" s="625">
        <v>11206.675380000001</v>
      </c>
      <c r="AE971" s="625">
        <v>11206.675380000001</v>
      </c>
      <c r="AF971" s="625">
        <v>11206.675380000001</v>
      </c>
      <c r="AG971" s="625">
        <v>11206.675380000001</v>
      </c>
      <c r="AH971" s="625">
        <v>11206.675380000001</v>
      </c>
      <c r="AI971" s="625">
        <v>11206.675380000001</v>
      </c>
      <c r="AJ971" s="625">
        <v>11206.675380000001</v>
      </c>
      <c r="AK971" s="625">
        <v>11206.675380000001</v>
      </c>
      <c r="AL971" s="625">
        <v>11206.675380000001</v>
      </c>
      <c r="AM971" s="625">
        <v>11206.675380000001</v>
      </c>
      <c r="AN971" s="625">
        <v>11206.675380000001</v>
      </c>
      <c r="AO971" s="625">
        <v>11206.675380000001</v>
      </c>
      <c r="AP971" s="41" t="str">
        <f t="shared" si="340"/>
        <v>Reg AssetR</v>
      </c>
      <c r="AQ971" s="41" t="str">
        <f t="shared" si="341"/>
        <v>Reg AssetRR10Environmental</v>
      </c>
      <c r="AR971" s="41" t="str">
        <f t="shared" si="342"/>
        <v>R10Environmental</v>
      </c>
      <c r="CK971" s="625"/>
    </row>
    <row r="972" spans="1:89" s="41" customFormat="1" ht="12.75" customHeight="1">
      <c r="A972" s="25" t="s">
        <v>746</v>
      </c>
      <c r="B972" s="25" t="str">
        <f t="shared" si="333"/>
        <v>Reg Asset182320601081BG030360</v>
      </c>
      <c r="C972" s="736">
        <v>182320</v>
      </c>
      <c r="D972" s="738">
        <v>601081</v>
      </c>
      <c r="E972" s="41" t="s">
        <v>975</v>
      </c>
      <c r="F972" s="41" t="str">
        <f t="shared" si="330"/>
        <v>OTH REG ASSETS - SITE REMEDIATION</v>
      </c>
      <c r="G972" s="41" t="s">
        <v>1092</v>
      </c>
      <c r="H972" s="736" t="s">
        <v>1134</v>
      </c>
      <c r="I972" s="25"/>
      <c r="J972" s="25" t="str">
        <f t="shared" si="331"/>
        <v/>
      </c>
      <c r="K972" s="25" t="str">
        <f t="shared" si="332"/>
        <v/>
      </c>
      <c r="L972" s="736" t="s">
        <v>2441</v>
      </c>
      <c r="M972" s="25" t="str">
        <f t="shared" si="334"/>
        <v>R</v>
      </c>
      <c r="N972" s="25" t="str">
        <f>IF(L972&lt;&gt;"",VLOOKUP(L972,Categories!$B$2:$D$41,2,FALSE),IF(F972&lt;&gt;"","No Cat",""))</f>
        <v>Rate Base</v>
      </c>
      <c r="O972" s="25" t="str">
        <f>IF($L972&lt;&gt;"",VLOOKUP($L972,Categories!$B$2:$D$41,3,FALSE),IF($F972&lt;&gt;"","No Cat",""))</f>
        <v>Deferred Debits &amp; Credits</v>
      </c>
      <c r="P972" s="736" t="s">
        <v>2486</v>
      </c>
      <c r="Q972" s="25" t="str">
        <f>VLOOKUP($P972,Allocators!$B$7:$F$19,5,FALSE)</f>
        <v>Net Plant</v>
      </c>
      <c r="R972" s="737">
        <f>VLOOKUP($P972,Allocators!$B$7:$F$19,2,FALSE)</f>
        <v>0.74150000000000005</v>
      </c>
      <c r="S972" s="737">
        <f>VLOOKUP($P972,Allocators!$B$7:$F$19,3,FALSE)</f>
        <v>0.25850000000000001</v>
      </c>
      <c r="T972" s="737" t="str">
        <f t="shared" si="335"/>
        <v>0.0%</v>
      </c>
      <c r="U972" s="2">
        <f t="shared" ref="U972:U1040" si="345">IF(ABS(X972)=0,"",IF($R972="NO ALLOC","NO ALLOC",ROUND($R972*X972,15)))</f>
        <v>4391.5621865249996</v>
      </c>
      <c r="V972" s="2">
        <f t="shared" ref="V972:V1040" si="346">IF(ABS(X972)=0,"",IF($S972="NO ALLOC","NO ALLOC",ROUND($S972*X972,15)))</f>
        <v>1530.976163475</v>
      </c>
      <c r="W972" s="2">
        <f t="shared" ref="W972:W1040" si="347">IF(ABS(X972)=0,"",IF($T972="NO ALLOC","NO ALLOC",ROUND($T972*X972,15)))</f>
        <v>0</v>
      </c>
      <c r="X972" s="2">
        <f t="shared" si="343"/>
        <v>5922.5383499999998</v>
      </c>
      <c r="Y972" s="2">
        <f t="shared" ref="Y972:Y1040" si="348">IF(ABS(AB972)=0,"",IF($R972="NO ALLOC","NO ALLOC",ROUND($R972*AB972,15)))</f>
        <v>4391.5621865249996</v>
      </c>
      <c r="Z972" s="2">
        <f t="shared" ref="Z972:Z1040" si="349">IF(ABS(AB972)=0,"",IF($S972="NO ALLOC","NO ALLOC",ROUND($S972*AB972,15)))</f>
        <v>1530.976163475</v>
      </c>
      <c r="AA972" s="2">
        <f t="shared" ref="AA972:AA1040" si="350">IF(ABS(AB972)=0,"",IF($T972="NO ALLOC","NO ALLOC",ROUND($T972*AB972,15)))</f>
        <v>0</v>
      </c>
      <c r="AB972" s="2">
        <f t="shared" si="344"/>
        <v>5922.5383499999998</v>
      </c>
      <c r="AC972" s="734">
        <v>5922.5383499999998</v>
      </c>
      <c r="AD972" s="625">
        <v>5922.5383499999998</v>
      </c>
      <c r="AE972" s="625">
        <v>5922.5383499999998</v>
      </c>
      <c r="AF972" s="625">
        <v>5922.5383499999998</v>
      </c>
      <c r="AG972" s="625">
        <v>5922.5383499999998</v>
      </c>
      <c r="AH972" s="625">
        <v>5922.5383499999998</v>
      </c>
      <c r="AI972" s="625">
        <v>5922.5383499999998</v>
      </c>
      <c r="AJ972" s="625">
        <v>5922.5383499999998</v>
      </c>
      <c r="AK972" s="625">
        <v>5922.5383499999998</v>
      </c>
      <c r="AL972" s="625">
        <v>5922.5383499999998</v>
      </c>
      <c r="AM972" s="625">
        <v>5922.5383499999998</v>
      </c>
      <c r="AN972" s="625">
        <v>5922.5383499999998</v>
      </c>
      <c r="AO972" s="625">
        <v>5922.5383499999998</v>
      </c>
      <c r="AP972" s="41" t="str">
        <f t="shared" si="340"/>
        <v>Reg AssetR</v>
      </c>
      <c r="AQ972" s="41" t="str">
        <f t="shared" si="341"/>
        <v>Reg AssetRR10Environmental</v>
      </c>
      <c r="AR972" s="41" t="str">
        <f t="shared" si="342"/>
        <v>R10Environmental</v>
      </c>
      <c r="CK972" s="625"/>
    </row>
    <row r="973" spans="1:89" s="41" customFormat="1" ht="12.75" customHeight="1">
      <c r="A973" s="25" t="s">
        <v>746</v>
      </c>
      <c r="B973" s="25" t="str">
        <f t="shared" si="333"/>
        <v>Reg Asset18232012A10011BC030214</v>
      </c>
      <c r="C973" s="736">
        <v>182320</v>
      </c>
      <c r="D973" s="738" t="s">
        <v>925</v>
      </c>
      <c r="E973" s="41" t="s">
        <v>976</v>
      </c>
      <c r="F973" s="41" t="str">
        <f t="shared" si="330"/>
        <v>OTH REG ASSETS - SITE REMEDIATION</v>
      </c>
      <c r="G973" s="41" t="s">
        <v>1093</v>
      </c>
      <c r="H973" s="736" t="s">
        <v>1134</v>
      </c>
      <c r="I973" s="25"/>
      <c r="J973" s="25" t="str">
        <f t="shared" si="331"/>
        <v/>
      </c>
      <c r="K973" s="25" t="str">
        <f t="shared" si="332"/>
        <v/>
      </c>
      <c r="L973" s="736" t="s">
        <v>2441</v>
      </c>
      <c r="M973" s="25" t="str">
        <f t="shared" si="334"/>
        <v>R</v>
      </c>
      <c r="N973" s="25" t="str">
        <f>IF(L973&lt;&gt;"",VLOOKUP(L973,Categories!$B$2:$D$41,2,FALSE),IF(F973&lt;&gt;"","No Cat",""))</f>
        <v>Rate Base</v>
      </c>
      <c r="O973" s="25" t="str">
        <f>IF($L973&lt;&gt;"",VLOOKUP($L973,Categories!$B$2:$D$41,3,FALSE),IF($F973&lt;&gt;"","No Cat",""))</f>
        <v>Deferred Debits &amp; Credits</v>
      </c>
      <c r="P973" s="736" t="s">
        <v>2486</v>
      </c>
      <c r="Q973" s="25" t="str">
        <f>VLOOKUP($P973,Allocators!$B$7:$F$19,5,FALSE)</f>
        <v>Net Plant</v>
      </c>
      <c r="R973" s="737">
        <f>VLOOKUP($P973,Allocators!$B$7:$F$19,2,FALSE)</f>
        <v>0.74150000000000005</v>
      </c>
      <c r="S973" s="737">
        <f>VLOOKUP($P973,Allocators!$B$7:$F$19,3,FALSE)</f>
        <v>0.25850000000000001</v>
      </c>
      <c r="T973" s="737" t="str">
        <f t="shared" si="335"/>
        <v>0.0%</v>
      </c>
      <c r="U973" s="2" t="str">
        <f t="shared" si="345"/>
        <v/>
      </c>
      <c r="V973" s="2" t="str">
        <f t="shared" si="346"/>
        <v/>
      </c>
      <c r="W973" s="2" t="str">
        <f t="shared" si="347"/>
        <v/>
      </c>
      <c r="X973" s="2">
        <f t="shared" si="343"/>
        <v>0</v>
      </c>
      <c r="Y973" s="2" t="str">
        <f t="shared" si="348"/>
        <v/>
      </c>
      <c r="Z973" s="2" t="str">
        <f t="shared" si="349"/>
        <v/>
      </c>
      <c r="AA973" s="2" t="str">
        <f t="shared" si="350"/>
        <v/>
      </c>
      <c r="AB973" s="2">
        <f t="shared" si="344"/>
        <v>0</v>
      </c>
      <c r="AC973" s="625">
        <v>0</v>
      </c>
      <c r="AD973" s="625">
        <v>0</v>
      </c>
      <c r="AE973" s="625">
        <v>0</v>
      </c>
      <c r="AF973" s="625">
        <v>0</v>
      </c>
      <c r="AG973" s="625">
        <v>0</v>
      </c>
      <c r="AH973" s="625">
        <v>0</v>
      </c>
      <c r="AI973" s="38">
        <v>0</v>
      </c>
      <c r="AJ973" s="625">
        <v>0</v>
      </c>
      <c r="AK973" s="625">
        <v>0</v>
      </c>
      <c r="AL973" s="625">
        <v>0</v>
      </c>
      <c r="AM973" s="625">
        <v>0</v>
      </c>
      <c r="AN973" s="625">
        <v>0</v>
      </c>
      <c r="AO973" s="625">
        <v>0</v>
      </c>
      <c r="AP973" s="41" t="str">
        <f t="shared" si="340"/>
        <v>Reg AssetR</v>
      </c>
      <c r="AQ973" s="41" t="str">
        <f t="shared" si="341"/>
        <v>Reg AssetRR10Environmental</v>
      </c>
      <c r="AR973" s="41" t="str">
        <f t="shared" si="342"/>
        <v>R10Environmental</v>
      </c>
      <c r="CK973" s="625"/>
    </row>
    <row r="974" spans="1:89" s="41" customFormat="1" ht="12.75" customHeight="1">
      <c r="A974" s="25" t="s">
        <v>746</v>
      </c>
      <c r="B974" s="25" t="str">
        <f t="shared" si="333"/>
        <v>Reg Asset182320601145BE030566</v>
      </c>
      <c r="C974" s="736">
        <v>182320</v>
      </c>
      <c r="D974" s="738">
        <v>601145</v>
      </c>
      <c r="E974" s="41" t="s">
        <v>977</v>
      </c>
      <c r="F974" s="41" t="str">
        <f t="shared" si="330"/>
        <v>OTH REG ASSETS - SITE REMEDIATION</v>
      </c>
      <c r="G974" s="41" t="s">
        <v>1094</v>
      </c>
      <c r="H974" s="736" t="s">
        <v>1134</v>
      </c>
      <c r="I974" s="25"/>
      <c r="J974" s="25" t="str">
        <f t="shared" si="331"/>
        <v/>
      </c>
      <c r="K974" s="25" t="str">
        <f t="shared" si="332"/>
        <v/>
      </c>
      <c r="L974" s="736" t="s">
        <v>2441</v>
      </c>
      <c r="M974" s="25" t="str">
        <f t="shared" si="334"/>
        <v>R</v>
      </c>
      <c r="N974" s="25" t="str">
        <f>IF(L974&lt;&gt;"",VLOOKUP(L974,Categories!$B$2:$D$41,2,FALSE),IF(F974&lt;&gt;"","No Cat",""))</f>
        <v>Rate Base</v>
      </c>
      <c r="O974" s="25" t="str">
        <f>IF($L974&lt;&gt;"",VLOOKUP($L974,Categories!$B$2:$D$41,3,FALSE),IF($F974&lt;&gt;"","No Cat",""))</f>
        <v>Deferred Debits &amp; Credits</v>
      </c>
      <c r="P974" s="736" t="s">
        <v>2482</v>
      </c>
      <c r="Q974" s="25" t="str">
        <f>VLOOKUP($P974,Allocators!$B$7:$F$19,5,FALSE)</f>
        <v>Electric</v>
      </c>
      <c r="R974" s="737">
        <f>VLOOKUP($P974,Allocators!$B$7:$F$19,2,FALSE)</f>
        <v>1</v>
      </c>
      <c r="S974" s="737">
        <f>VLOOKUP($P974,Allocators!$B$7:$F$19,3,FALSE)</f>
        <v>0</v>
      </c>
      <c r="T974" s="737" t="str">
        <f t="shared" si="335"/>
        <v>0.0%</v>
      </c>
      <c r="U974" s="2">
        <f t="shared" si="345"/>
        <v>-399.24043</v>
      </c>
      <c r="V974" s="2">
        <f t="shared" si="346"/>
        <v>0</v>
      </c>
      <c r="W974" s="2">
        <f t="shared" si="347"/>
        <v>0</v>
      </c>
      <c r="X974" s="2">
        <f t="shared" si="343"/>
        <v>-399.24043</v>
      </c>
      <c r="Y974" s="2">
        <f t="shared" si="348"/>
        <v>-399.24043</v>
      </c>
      <c r="Z974" s="2">
        <f t="shared" si="349"/>
        <v>0</v>
      </c>
      <c r="AA974" s="2">
        <f t="shared" si="350"/>
        <v>0</v>
      </c>
      <c r="AB974" s="2">
        <f t="shared" si="344"/>
        <v>-399.24043</v>
      </c>
      <c r="AC974" s="734">
        <v>-399.24043</v>
      </c>
      <c r="AD974" s="625">
        <v>-399.24043</v>
      </c>
      <c r="AE974" s="625">
        <v>-399.24043</v>
      </c>
      <c r="AF974" s="625">
        <v>-399.24043</v>
      </c>
      <c r="AG974" s="625">
        <v>-399.24043</v>
      </c>
      <c r="AH974" s="625">
        <v>-399.24043</v>
      </c>
      <c r="AI974" s="625">
        <v>-399.24043</v>
      </c>
      <c r="AJ974" s="625">
        <v>-399.24043</v>
      </c>
      <c r="AK974" s="625">
        <v>-399.24043</v>
      </c>
      <c r="AL974" s="625">
        <v>-399.24043</v>
      </c>
      <c r="AM974" s="625">
        <v>-399.24043</v>
      </c>
      <c r="AN974" s="625">
        <v>-399.24043</v>
      </c>
      <c r="AO974" s="625">
        <v>-399.24043</v>
      </c>
      <c r="AP974" s="41" t="str">
        <f t="shared" si="340"/>
        <v>Reg AssetR</v>
      </c>
      <c r="AQ974" s="41" t="str">
        <f t="shared" si="341"/>
        <v>Reg AssetRR10Environmental</v>
      </c>
      <c r="AR974" s="41" t="str">
        <f t="shared" si="342"/>
        <v>R10Environmental</v>
      </c>
      <c r="CK974" s="625"/>
    </row>
    <row r="975" spans="1:89" s="41" customFormat="1" ht="12.75" customHeight="1">
      <c r="A975" s="25" t="s">
        <v>746</v>
      </c>
      <c r="B975" s="25" t="str">
        <f t="shared" ref="B975" si="351">CONCATENATE(A975,C975,D975,E975)</f>
        <v>Reg Asset182320601145BG030567</v>
      </c>
      <c r="C975" s="736">
        <v>182320</v>
      </c>
      <c r="D975" s="738">
        <v>601145</v>
      </c>
      <c r="E975" s="41" t="s">
        <v>978</v>
      </c>
      <c r="F975" s="41" t="str">
        <f t="shared" ref="F975" si="352">VLOOKUP(C975,$C$7:$F$787,4,FALSE)</f>
        <v>OTH REG ASSETS - SITE REMEDIATION</v>
      </c>
      <c r="G975" s="41" t="s">
        <v>1094</v>
      </c>
      <c r="H975" s="736" t="s">
        <v>1134</v>
      </c>
      <c r="I975" s="25"/>
      <c r="J975" s="25" t="str">
        <f t="shared" ref="J975" si="353">IF(L975="N10","Y",IF(L975="N8","Y",""))</f>
        <v/>
      </c>
      <c r="K975" s="25" t="str">
        <f t="shared" ref="K975" si="354">IF(L975="N3","Y","")</f>
        <v/>
      </c>
      <c r="L975" s="736" t="s">
        <v>2441</v>
      </c>
      <c r="M975" s="25" t="str">
        <f t="shared" ref="M975" si="355">LEFT(L975,1)</f>
        <v>R</v>
      </c>
      <c r="N975" s="25" t="str">
        <f>IF(L975&lt;&gt;"",VLOOKUP(L975,Categories!$B$2:$D$41,2,FALSE),IF(F975&lt;&gt;"","No Cat",""))</f>
        <v>Rate Base</v>
      </c>
      <c r="O975" s="25" t="str">
        <f>IF($L975&lt;&gt;"",VLOOKUP($L975,Categories!$B$2:$D$41,3,FALSE),IF($F975&lt;&gt;"","No Cat",""))</f>
        <v>Deferred Debits &amp; Credits</v>
      </c>
      <c r="P975" s="736" t="s">
        <v>2483</v>
      </c>
      <c r="Q975" s="25" t="str">
        <f>VLOOKUP($P975,Allocators!$B$7:$F$19,5,FALSE)</f>
        <v>Gas</v>
      </c>
      <c r="R975" s="737">
        <f>VLOOKUP($P975,Allocators!$B$7:$F$19,2,FALSE)</f>
        <v>0</v>
      </c>
      <c r="S975" s="737">
        <f>VLOOKUP($P975,Allocators!$B$7:$F$19,3,FALSE)</f>
        <v>1</v>
      </c>
      <c r="T975" s="737" t="str">
        <f t="shared" ref="T975" si="356">IF(P975="N",1,"0.0%")</f>
        <v>0.0%</v>
      </c>
      <c r="U975" s="2">
        <f t="shared" ref="U975" si="357">IF(ABS(X975)=0,"",IF($R975="NO ALLOC","NO ALLOC",ROUND($R975*X975,15)))</f>
        <v>0</v>
      </c>
      <c r="V975" s="2">
        <f t="shared" ref="V975" si="358">IF(ABS(X975)=0,"",IF($S975="NO ALLOC","NO ALLOC",ROUND($S975*X975,15)))</f>
        <v>-202.02528000000001</v>
      </c>
      <c r="W975" s="2">
        <f t="shared" ref="W975" si="359">IF(ABS(X975)=0,"",IF($T975="NO ALLOC","NO ALLOC",ROUND($T975*X975,15)))</f>
        <v>0</v>
      </c>
      <c r="X975" s="2">
        <f t="shared" ref="X975" si="360">IF(ISERROR(ROUND((SUM(AC975:AO975)-((AC975+AO975))/2)/12,15)),"",ROUND((SUM(AC975:AO975)-((AC975+AO975))/2)/12,15))</f>
        <v>-202.02528000000001</v>
      </c>
      <c r="Y975" s="2">
        <f t="shared" ref="Y975" si="361">IF(ABS(AB975)=0,"",IF($R975="NO ALLOC","NO ALLOC",ROUND($R975*AB975,15)))</f>
        <v>0</v>
      </c>
      <c r="Z975" s="2">
        <f t="shared" ref="Z975" si="362">IF(ABS(AB975)=0,"",IF($S975="NO ALLOC","NO ALLOC",ROUND($S975*AB975,15)))</f>
        <v>-202.02528000000001</v>
      </c>
      <c r="AA975" s="2">
        <f t="shared" ref="AA975" si="363">IF(ABS(AB975)=0,"",IF($T975="NO ALLOC","NO ALLOC",ROUND($T975*AB975,15)))</f>
        <v>0</v>
      </c>
      <c r="AB975" s="2">
        <f t="shared" ref="AB975" si="364">IF(AO975="",0,+AO975)</f>
        <v>-202.02528000000001</v>
      </c>
      <c r="AC975" s="734">
        <v>-202.02528000000001</v>
      </c>
      <c r="AD975" s="625">
        <v>-202.02528000000001</v>
      </c>
      <c r="AE975" s="625">
        <v>-202.02528000000001</v>
      </c>
      <c r="AF975" s="625">
        <v>-202.02528000000001</v>
      </c>
      <c r="AG975" s="625">
        <v>-202.02528000000001</v>
      </c>
      <c r="AH975" s="625">
        <v>-202.02528000000001</v>
      </c>
      <c r="AI975" s="625">
        <v>-202.02528000000001</v>
      </c>
      <c r="AJ975" s="625">
        <v>-202.02528000000001</v>
      </c>
      <c r="AK975" s="625">
        <v>-202.02528000000001</v>
      </c>
      <c r="AL975" s="625">
        <v>-202.02528000000001</v>
      </c>
      <c r="AM975" s="625">
        <v>-202.02528000000001</v>
      </c>
      <c r="AN975" s="625">
        <v>-202.02528000000001</v>
      </c>
      <c r="AO975" s="625">
        <v>-202.02528000000001</v>
      </c>
      <c r="AP975" s="41" t="str">
        <f t="shared" ref="AP975" si="365">CONCATENATE(A975,M975)</f>
        <v>Reg AssetR</v>
      </c>
      <c r="AQ975" s="41" t="str">
        <f t="shared" ref="AQ975" si="366">CONCATENATE(AP975,L975,H975)</f>
        <v>Reg AssetRR10Environmental</v>
      </c>
      <c r="AR975" s="41" t="str">
        <f t="shared" ref="AR975" si="367">CONCATENATE(L975,H975,J975)</f>
        <v>R10Environmental</v>
      </c>
      <c r="CK975" s="625"/>
    </row>
    <row r="976" spans="1:89" s="41" customFormat="1" ht="12.75" customHeight="1">
      <c r="A976" s="442" t="s">
        <v>746</v>
      </c>
      <c r="B976" s="442" t="str">
        <f t="shared" si="333"/>
        <v>Reg Asset182320601223BE030566</v>
      </c>
      <c r="C976" s="736">
        <v>182320</v>
      </c>
      <c r="D976" s="738">
        <v>601223</v>
      </c>
      <c r="E976" s="626" t="s">
        <v>977</v>
      </c>
      <c r="F976" s="626" t="str">
        <f t="shared" si="330"/>
        <v>OTH REG ASSETS - SITE REMEDIATION</v>
      </c>
      <c r="G976" s="626" t="s">
        <v>1095</v>
      </c>
      <c r="H976" s="736" t="s">
        <v>1134</v>
      </c>
      <c r="I976" s="442"/>
      <c r="J976" s="442" t="s">
        <v>7</v>
      </c>
      <c r="K976" s="442" t="str">
        <f t="shared" si="332"/>
        <v/>
      </c>
      <c r="L976" s="736" t="s">
        <v>2436</v>
      </c>
      <c r="M976" s="442" t="str">
        <f t="shared" si="334"/>
        <v>N</v>
      </c>
      <c r="N976" s="442" t="str">
        <f>IF(L976&lt;&gt;"",VLOOKUP(L976,Categories!$B$2:$D$41,2,FALSE),IF(F976&lt;&gt;"","No Cat",""))</f>
        <v>NRBASE</v>
      </c>
      <c r="O976" s="442" t="str">
        <f>IF($L976&lt;&gt;"",VLOOKUP($L976,Categories!$B$2:$D$41,3,FALSE),IF($F976&lt;&gt;"","No Cat",""))</f>
        <v>Deferrals Accruing Non-Cash Return   (other than ASGA)</v>
      </c>
      <c r="P976" s="736" t="s">
        <v>2468</v>
      </c>
      <c r="Q976" s="442" t="str">
        <f>VLOOKUP($P976,Allocators!$B$7:$F$19,5,FALSE)</f>
        <v>Not in Rate Base</v>
      </c>
      <c r="R976" s="737">
        <f>VLOOKUP($P976,Allocators!$B$7:$F$19,2,FALSE)</f>
        <v>0</v>
      </c>
      <c r="S976" s="737">
        <f>VLOOKUP($P976,Allocators!$B$7:$F$19,3,FALSE)</f>
        <v>0</v>
      </c>
      <c r="T976" s="737">
        <f t="shared" si="335"/>
        <v>1</v>
      </c>
      <c r="U976" s="2">
        <f t="shared" si="345"/>
        <v>0</v>
      </c>
      <c r="V976" s="2">
        <f t="shared" si="346"/>
        <v>0</v>
      </c>
      <c r="W976" s="2">
        <f t="shared" si="347"/>
        <v>-12116.795909583299</v>
      </c>
      <c r="X976" s="2">
        <f t="shared" si="343"/>
        <v>-12116.795909583299</v>
      </c>
      <c r="Y976" s="2">
        <f t="shared" si="348"/>
        <v>0</v>
      </c>
      <c r="Z976" s="2">
        <f t="shared" si="349"/>
        <v>0</v>
      </c>
      <c r="AA976" s="2">
        <f t="shared" si="350"/>
        <v>-13947.423629999999</v>
      </c>
      <c r="AB976" s="2">
        <f t="shared" si="344"/>
        <v>-13947.423630000001</v>
      </c>
      <c r="AC976" s="734">
        <v>-8974.4539800000002</v>
      </c>
      <c r="AD976" s="625">
        <v>-9894.6894900000007</v>
      </c>
      <c r="AE976" s="625">
        <v>-10385.782009999999</v>
      </c>
      <c r="AF976" s="625">
        <v>-10557.53328</v>
      </c>
      <c r="AG976" s="625">
        <v>-11208.95701</v>
      </c>
      <c r="AH976" s="625">
        <v>-11865.47424</v>
      </c>
      <c r="AI976" s="625">
        <v>-12684.18505</v>
      </c>
      <c r="AJ976" s="625">
        <v>-13072.77223</v>
      </c>
      <c r="AK976" s="625">
        <v>-13638.6302</v>
      </c>
      <c r="AL976" s="625">
        <v>-14258.283939999999</v>
      </c>
      <c r="AM976" s="625">
        <v>-13016.517870000001</v>
      </c>
      <c r="AN976" s="625">
        <v>-13357.78679</v>
      </c>
      <c r="AO976" s="625">
        <v>-13947.423630000001</v>
      </c>
      <c r="AP976" s="41" t="str">
        <f t="shared" si="340"/>
        <v>Reg AssetN</v>
      </c>
      <c r="AQ976" s="41" t="str">
        <f t="shared" si="341"/>
        <v>Reg AssetNN10Environmental</v>
      </c>
      <c r="AR976" s="41" t="str">
        <f t="shared" si="342"/>
        <v>N10EnvironmentalNCR</v>
      </c>
      <c r="CK976" s="625"/>
    </row>
    <row r="977" spans="1:89" s="41" customFormat="1" ht="12.75" customHeight="1">
      <c r="A977" s="442" t="s">
        <v>746</v>
      </c>
      <c r="B977" s="442" t="str">
        <f t="shared" ref="B977:B978" si="368">CONCATENATE(A977,C977,D977,E977)</f>
        <v>Reg Asset182320601267BE030566</v>
      </c>
      <c r="C977" s="736">
        <v>182320</v>
      </c>
      <c r="D977" s="738">
        <v>601267</v>
      </c>
      <c r="E977" s="905" t="s">
        <v>977</v>
      </c>
      <c r="F977" s="626" t="str">
        <f t="shared" si="330"/>
        <v>OTH REG ASSETS - SITE REMEDIATION</v>
      </c>
      <c r="G977" s="626" t="s">
        <v>4408</v>
      </c>
      <c r="H977" s="736" t="s">
        <v>1134</v>
      </c>
      <c r="I977" s="442"/>
      <c r="J977" s="442"/>
      <c r="K977" s="442"/>
      <c r="L977" s="736" t="s">
        <v>2441</v>
      </c>
      <c r="M977" s="442" t="str">
        <f t="shared" si="334"/>
        <v>R</v>
      </c>
      <c r="N977" s="442"/>
      <c r="O977" s="442" t="str">
        <f>IF($L977&lt;&gt;"",VLOOKUP($L977,Categories!$B$2:$D$41,3,FALSE),IF($F977&lt;&gt;"","No Cat",""))</f>
        <v>Deferred Debits &amp; Credits</v>
      </c>
      <c r="P977" s="736" t="s">
        <v>2482</v>
      </c>
      <c r="Q977" s="442" t="str">
        <f>VLOOKUP($P977,Allocators!$B$7:$F$19,5,FALSE)</f>
        <v>Electric</v>
      </c>
      <c r="R977" s="737">
        <f>VLOOKUP($P977,Allocators!$B$7:$F$19,2,FALSE)</f>
        <v>1</v>
      </c>
      <c r="S977" s="737">
        <f>VLOOKUP($P977,Allocators!$B$7:$F$19,3,FALSE)</f>
        <v>0</v>
      </c>
      <c r="T977" s="737" t="str">
        <f t="shared" ref="T977:T979" si="369">IF(P977="N",1,"0.0%")</f>
        <v>0.0%</v>
      </c>
      <c r="U977" s="2">
        <f t="shared" si="345"/>
        <v>-3833.3333333333298</v>
      </c>
      <c r="V977" s="2">
        <f t="shared" si="346"/>
        <v>0</v>
      </c>
      <c r="W977" s="2">
        <f t="shared" si="347"/>
        <v>0</v>
      </c>
      <c r="X977" s="2">
        <f t="shared" si="343"/>
        <v>-3833.3333333333298</v>
      </c>
      <c r="Y977" s="2">
        <f t="shared" si="348"/>
        <v>-4000</v>
      </c>
      <c r="Z977" s="2">
        <f t="shared" si="349"/>
        <v>0</v>
      </c>
      <c r="AA977" s="2">
        <f t="shared" si="350"/>
        <v>0</v>
      </c>
      <c r="AB977" s="2">
        <f t="shared" si="344"/>
        <v>-4000</v>
      </c>
      <c r="AC977" s="734"/>
      <c r="AD977" s="625">
        <v>-4000</v>
      </c>
      <c r="AE977" s="625">
        <v>-4000</v>
      </c>
      <c r="AF977" s="625">
        <v>-4000</v>
      </c>
      <c r="AG977" s="625">
        <v>-4000</v>
      </c>
      <c r="AH977" s="625">
        <v>-4000</v>
      </c>
      <c r="AI977" s="625">
        <v>-4000</v>
      </c>
      <c r="AJ977" s="625">
        <v>-4000</v>
      </c>
      <c r="AK977" s="625">
        <v>-4000</v>
      </c>
      <c r="AL977" s="625">
        <v>-4000</v>
      </c>
      <c r="AM977" s="625">
        <v>-4000</v>
      </c>
      <c r="AN977" s="625">
        <v>-4000</v>
      </c>
      <c r="AO977" s="625">
        <v>-4000</v>
      </c>
      <c r="AP977" s="41" t="str">
        <f t="shared" si="340"/>
        <v>Reg AssetR</v>
      </c>
      <c r="AQ977" s="41" t="str">
        <f t="shared" si="341"/>
        <v>Reg AssetRR10Environmental</v>
      </c>
      <c r="AR977" s="41" t="str">
        <f t="shared" si="342"/>
        <v>R10Environmental</v>
      </c>
      <c r="CK977" s="625"/>
    </row>
    <row r="978" spans="1:89" s="41" customFormat="1" ht="12.75" customHeight="1">
      <c r="A978" s="442" t="s">
        <v>746</v>
      </c>
      <c r="B978" s="442" t="str">
        <f t="shared" si="368"/>
        <v>Reg Asset182320601270BE030566</v>
      </c>
      <c r="C978" s="736">
        <v>182320</v>
      </c>
      <c r="D978" s="738">
        <v>601270</v>
      </c>
      <c r="E978" s="905" t="s">
        <v>977</v>
      </c>
      <c r="F978" s="626" t="str">
        <f t="shared" si="330"/>
        <v>OTH REG ASSETS - SITE REMEDIATION</v>
      </c>
      <c r="G978" s="626" t="s">
        <v>4407</v>
      </c>
      <c r="H978" s="736" t="s">
        <v>1134</v>
      </c>
      <c r="I978" s="442"/>
      <c r="J978" s="442"/>
      <c r="K978" s="442"/>
      <c r="L978" s="736" t="s">
        <v>2441</v>
      </c>
      <c r="M978" s="442" t="str">
        <f t="shared" si="334"/>
        <v>R</v>
      </c>
      <c r="N978" s="442"/>
      <c r="O978" s="442" t="str">
        <f>IF($L978&lt;&gt;"",VLOOKUP($L978,Categories!$B$2:$D$41,3,FALSE),IF($F978&lt;&gt;"","No Cat",""))</f>
        <v>Deferred Debits &amp; Credits</v>
      </c>
      <c r="P978" s="736" t="s">
        <v>2482</v>
      </c>
      <c r="Q978" s="442" t="str">
        <f>VLOOKUP($P978,Allocators!$B$7:$F$19,5,FALSE)</f>
        <v>Electric</v>
      </c>
      <c r="R978" s="737">
        <f>VLOOKUP($P978,Allocators!$B$7:$F$19,2,FALSE)</f>
        <v>1</v>
      </c>
      <c r="S978" s="737">
        <f>VLOOKUP($P978,Allocators!$B$7:$F$19,3,FALSE)</f>
        <v>0</v>
      </c>
      <c r="T978" s="737" t="str">
        <f t="shared" si="369"/>
        <v>0.0%</v>
      </c>
      <c r="U978" s="2">
        <f t="shared" si="345"/>
        <v>-6924.1000995833301</v>
      </c>
      <c r="V978" s="2">
        <f t="shared" si="346"/>
        <v>0</v>
      </c>
      <c r="W978" s="2">
        <f t="shared" si="347"/>
        <v>0</v>
      </c>
      <c r="X978" s="2">
        <f t="shared" si="343"/>
        <v>-6924.1000995833301</v>
      </c>
      <c r="Y978" s="2">
        <f t="shared" si="348"/>
        <v>-7225.1479300000001</v>
      </c>
      <c r="Z978" s="2">
        <f t="shared" si="349"/>
        <v>0</v>
      </c>
      <c r="AA978" s="2">
        <f t="shared" si="350"/>
        <v>0</v>
      </c>
      <c r="AB978" s="2">
        <f t="shared" si="344"/>
        <v>-7225.1479300000001</v>
      </c>
      <c r="AC978" s="734"/>
      <c r="AD978" s="625">
        <v>-7225.1479300000001</v>
      </c>
      <c r="AE978" s="625">
        <v>-7225.1479300000001</v>
      </c>
      <c r="AF978" s="625">
        <v>-7225.1479300000001</v>
      </c>
      <c r="AG978" s="625">
        <v>-7225.1479300000001</v>
      </c>
      <c r="AH978" s="625">
        <v>-7225.1479300000001</v>
      </c>
      <c r="AI978" s="625">
        <v>-7225.1479300000001</v>
      </c>
      <c r="AJ978" s="625">
        <v>-7225.1479300000001</v>
      </c>
      <c r="AK978" s="625">
        <v>-7225.1479300000001</v>
      </c>
      <c r="AL978" s="625">
        <v>-7225.1479300000001</v>
      </c>
      <c r="AM978" s="625">
        <v>-7225.1479300000001</v>
      </c>
      <c r="AN978" s="625">
        <v>-7225.1479300000001</v>
      </c>
      <c r="AO978" s="625">
        <v>-7225.1479300000001</v>
      </c>
      <c r="AP978" s="41" t="str">
        <f t="shared" si="340"/>
        <v>Reg AssetR</v>
      </c>
      <c r="AQ978" s="41" t="str">
        <f t="shared" si="341"/>
        <v>Reg AssetRR10Environmental</v>
      </c>
      <c r="AR978" s="41" t="str">
        <f t="shared" si="342"/>
        <v>R10Environmental</v>
      </c>
      <c r="CK978" s="625"/>
    </row>
    <row r="979" spans="1:89" s="41" customFormat="1" ht="12.75" customHeight="1">
      <c r="A979" s="442" t="s">
        <v>746</v>
      </c>
      <c r="B979" s="442" t="str">
        <f t="shared" ref="B979" si="370">CONCATENATE(A979,C979,D979,E979)</f>
        <v>Reg Asset182320601270BG030567</v>
      </c>
      <c r="C979" s="736">
        <v>182320</v>
      </c>
      <c r="D979" s="738">
        <v>601270</v>
      </c>
      <c r="E979" s="626" t="s">
        <v>978</v>
      </c>
      <c r="F979" s="626" t="str">
        <f t="shared" si="330"/>
        <v>OTH REG ASSETS - SITE REMEDIATION</v>
      </c>
      <c r="G979" s="626" t="s">
        <v>4407</v>
      </c>
      <c r="H979" s="736" t="s">
        <v>1134</v>
      </c>
      <c r="I979" s="442"/>
      <c r="J979" s="442"/>
      <c r="K979" s="442"/>
      <c r="L979" s="736" t="s">
        <v>2441</v>
      </c>
      <c r="M979" s="442" t="str">
        <f t="shared" si="334"/>
        <v>R</v>
      </c>
      <c r="N979" s="442"/>
      <c r="O979" s="442" t="str">
        <f>IF($L979&lt;&gt;"",VLOOKUP($L979,Categories!$B$2:$D$41,3,FALSE),IF($F979&lt;&gt;"","No Cat",""))</f>
        <v>Deferred Debits &amp; Credits</v>
      </c>
      <c r="P979" s="736" t="s">
        <v>2483</v>
      </c>
      <c r="Q979" s="442" t="str">
        <f>VLOOKUP($P979,Allocators!$B$7:$F$19,5,FALSE)</f>
        <v>Gas</v>
      </c>
      <c r="R979" s="737">
        <f>VLOOKUP($P979,Allocators!$B$7:$F$19,2,FALSE)</f>
        <v>0</v>
      </c>
      <c r="S979" s="737">
        <f>VLOOKUP($P979,Allocators!$B$7:$F$19,3,FALSE)</f>
        <v>1</v>
      </c>
      <c r="T979" s="737" t="str">
        <f t="shared" si="369"/>
        <v>0.0%</v>
      </c>
      <c r="U979" s="2">
        <f t="shared" si="345"/>
        <v>0</v>
      </c>
      <c r="V979" s="2">
        <f t="shared" si="346"/>
        <v>-3503.7614937500002</v>
      </c>
      <c r="W979" s="2">
        <f t="shared" si="347"/>
        <v>0</v>
      </c>
      <c r="X979" s="2">
        <f t="shared" si="343"/>
        <v>-3503.7614937500002</v>
      </c>
      <c r="Y979" s="2">
        <f t="shared" si="348"/>
        <v>0</v>
      </c>
      <c r="Z979" s="2">
        <f t="shared" si="349"/>
        <v>-3656.0989500000001</v>
      </c>
      <c r="AA979" s="2">
        <f t="shared" si="350"/>
        <v>0</v>
      </c>
      <c r="AB979" s="2">
        <f t="shared" si="344"/>
        <v>-3656.0989500000001</v>
      </c>
      <c r="AC979" s="734"/>
      <c r="AD979" s="625">
        <v>-3656.0989500000001</v>
      </c>
      <c r="AE979" s="625">
        <v>-3656.0989500000001</v>
      </c>
      <c r="AF979" s="625">
        <v>-3656.0989500000001</v>
      </c>
      <c r="AG979" s="625">
        <v>-3656.0989500000001</v>
      </c>
      <c r="AH979" s="625">
        <v>-3656.0989500000001</v>
      </c>
      <c r="AI979" s="625">
        <v>-3656.0989500000001</v>
      </c>
      <c r="AJ979" s="625">
        <v>-3656.0989500000001</v>
      </c>
      <c r="AK979" s="625">
        <v>-3656.0989500000001</v>
      </c>
      <c r="AL979" s="625">
        <v>-3656.0989500000001</v>
      </c>
      <c r="AM979" s="625">
        <v>-3656.0989500000001</v>
      </c>
      <c r="AN979" s="625">
        <v>-3656.0989500000001</v>
      </c>
      <c r="AO979" s="625">
        <v>-3656.0989500000001</v>
      </c>
      <c r="AP979" s="41" t="str">
        <f t="shared" si="340"/>
        <v>Reg AssetR</v>
      </c>
      <c r="AQ979" s="41" t="str">
        <f t="shared" si="341"/>
        <v>Reg AssetRR10Environmental</v>
      </c>
      <c r="AR979" s="41" t="str">
        <f t="shared" si="342"/>
        <v>R10Environmental</v>
      </c>
      <c r="CK979" s="625"/>
    </row>
    <row r="980" spans="1:89" s="41" customFormat="1" ht="12.75" customHeight="1">
      <c r="A980" s="442" t="s">
        <v>746</v>
      </c>
      <c r="B980" s="442" t="str">
        <f t="shared" si="333"/>
        <v>Reg Asset182320601224BG030567</v>
      </c>
      <c r="C980" s="736">
        <v>182320</v>
      </c>
      <c r="D980" s="738">
        <v>601224</v>
      </c>
      <c r="E980" s="626" t="s">
        <v>978</v>
      </c>
      <c r="F980" s="626" t="str">
        <f t="shared" si="330"/>
        <v>OTH REG ASSETS - SITE REMEDIATION</v>
      </c>
      <c r="G980" s="626" t="s">
        <v>1096</v>
      </c>
      <c r="H980" s="736" t="s">
        <v>1134</v>
      </c>
      <c r="I980" s="442"/>
      <c r="J980" s="442" t="s">
        <v>7</v>
      </c>
      <c r="K980" s="442" t="str">
        <f t="shared" si="332"/>
        <v/>
      </c>
      <c r="L980" s="736" t="s">
        <v>2436</v>
      </c>
      <c r="M980" s="442" t="str">
        <f t="shared" si="334"/>
        <v>N</v>
      </c>
      <c r="N980" s="442" t="str">
        <f>IF(L980&lt;&gt;"",VLOOKUP(L980,Categories!$B$2:$D$41,2,FALSE),IF(F980&lt;&gt;"","No Cat",""))</f>
        <v>NRBASE</v>
      </c>
      <c r="O980" s="442" t="str">
        <f>IF($L980&lt;&gt;"",VLOOKUP($L980,Categories!$B$2:$D$41,3,FALSE),IF($F980&lt;&gt;"","No Cat",""))</f>
        <v>Deferrals Accruing Non-Cash Return   (other than ASGA)</v>
      </c>
      <c r="P980" s="736" t="s">
        <v>2468</v>
      </c>
      <c r="Q980" s="442" t="str">
        <f>VLOOKUP($P980,Allocators!$B$7:$F$19,5,FALSE)</f>
        <v>Not in Rate Base</v>
      </c>
      <c r="R980" s="737">
        <f>VLOOKUP($P980,Allocators!$B$7:$F$19,2,FALSE)</f>
        <v>0</v>
      </c>
      <c r="S980" s="737">
        <f>VLOOKUP($P980,Allocators!$B$7:$F$19,3,FALSE)</f>
        <v>0</v>
      </c>
      <c r="T980" s="737">
        <f t="shared" si="335"/>
        <v>1</v>
      </c>
      <c r="U980" s="2">
        <f t="shared" si="345"/>
        <v>0</v>
      </c>
      <c r="V980" s="2">
        <f t="shared" si="346"/>
        <v>0</v>
      </c>
      <c r="W980" s="2">
        <f t="shared" si="347"/>
        <v>-6138.2630745833303</v>
      </c>
      <c r="X980" s="2">
        <f t="shared" si="343"/>
        <v>-6138.2630745833303</v>
      </c>
      <c r="Y980" s="2">
        <f t="shared" si="348"/>
        <v>0</v>
      </c>
      <c r="Z980" s="2">
        <f t="shared" si="349"/>
        <v>0</v>
      </c>
      <c r="AA980" s="2">
        <f t="shared" si="350"/>
        <v>-7089.0430100000003</v>
      </c>
      <c r="AB980" s="2">
        <f t="shared" si="344"/>
        <v>-7089.0430099999976</v>
      </c>
      <c r="AC980" s="734">
        <v>-4520.8298999999988</v>
      </c>
      <c r="AD980" s="625">
        <v>-4990.5933499999992</v>
      </c>
      <c r="AE980" s="625">
        <v>-5241.7915400000002</v>
      </c>
      <c r="AF980" s="625">
        <v>-5337.1320900000001</v>
      </c>
      <c r="AG980" s="625">
        <v>-5671.4487899999995</v>
      </c>
      <c r="AH980" s="625">
        <v>-6010.446469999999</v>
      </c>
      <c r="AI980" s="625">
        <v>-6428.8621599999979</v>
      </c>
      <c r="AJ980" s="625">
        <v>-6629.7695399999993</v>
      </c>
      <c r="AK980" s="625">
        <v>-6916.6587699999982</v>
      </c>
      <c r="AL980" s="625">
        <v>-7235.4397199999985</v>
      </c>
      <c r="AM980" s="625">
        <v>-6607.9386899999981</v>
      </c>
      <c r="AN980" s="625">
        <v>-6784.1393199999984</v>
      </c>
      <c r="AO980" s="625">
        <v>-7089.0430099999976</v>
      </c>
      <c r="AP980" s="41" t="str">
        <f t="shared" si="340"/>
        <v>Reg AssetN</v>
      </c>
      <c r="AQ980" s="41" t="str">
        <f t="shared" si="341"/>
        <v>Reg AssetNN10Environmental</v>
      </c>
      <c r="AR980" s="41" t="str">
        <f t="shared" si="342"/>
        <v>N10EnvironmentalNCR</v>
      </c>
      <c r="CK980" s="625"/>
    </row>
    <row r="981" spans="1:89" s="41" customFormat="1" ht="12.75" customHeight="1">
      <c r="A981" s="25" t="s">
        <v>746</v>
      </c>
      <c r="B981" s="25" t="str">
        <f t="shared" si="333"/>
        <v>Reg Asset182326OPEB ElectricBC030562</v>
      </c>
      <c r="C981" s="736">
        <v>182326</v>
      </c>
      <c r="D981" s="738" t="s">
        <v>800</v>
      </c>
      <c r="E981" s="41" t="s">
        <v>979</v>
      </c>
      <c r="F981" s="41" t="str">
        <f t="shared" si="330"/>
        <v>OTH REGULATORY ASSETS-OPEB SFAS 158</v>
      </c>
      <c r="G981" s="41" t="s">
        <v>1097</v>
      </c>
      <c r="H981" s="736" t="s">
        <v>1135</v>
      </c>
      <c r="I981" s="25"/>
      <c r="J981" s="25" t="str">
        <f t="shared" si="331"/>
        <v/>
      </c>
      <c r="K981" s="25" t="str">
        <f t="shared" si="332"/>
        <v/>
      </c>
      <c r="L981" s="736" t="s">
        <v>2441</v>
      </c>
      <c r="M981" s="25" t="str">
        <f t="shared" si="334"/>
        <v>R</v>
      </c>
      <c r="N981" s="25" t="str">
        <f>IF(L981&lt;&gt;"",VLOOKUP(L981,Categories!$B$2:$D$41,2,FALSE),IF(F981&lt;&gt;"","No Cat",""))</f>
        <v>Rate Base</v>
      </c>
      <c r="O981" s="25" t="str">
        <f>IF($L981&lt;&gt;"",VLOOKUP($L981,Categories!$B$2:$D$41,3,FALSE),IF($F981&lt;&gt;"","No Cat",""))</f>
        <v>Deferred Debits &amp; Credits</v>
      </c>
      <c r="P981" s="736" t="s">
        <v>2487</v>
      </c>
      <c r="Q981" s="25" t="str">
        <f>VLOOKUP($P981,Allocators!$B$7:$F$19,5,FALSE)</f>
        <v>Payroll</v>
      </c>
      <c r="R981" s="737">
        <f>VLOOKUP($P981,Allocators!$B$7:$F$19,2,FALSE)</f>
        <v>0.61780000000000002</v>
      </c>
      <c r="S981" s="737">
        <f>VLOOKUP($P981,Allocators!$B$7:$F$19,3,FALSE)</f>
        <v>0.38219999999999998</v>
      </c>
      <c r="T981" s="737" t="str">
        <f t="shared" si="335"/>
        <v>0.0%</v>
      </c>
      <c r="U981" s="2" t="str">
        <f t="shared" si="345"/>
        <v/>
      </c>
      <c r="V981" s="2" t="str">
        <f t="shared" si="346"/>
        <v/>
      </c>
      <c r="W981" s="2" t="str">
        <f t="shared" si="347"/>
        <v/>
      </c>
      <c r="X981" s="2">
        <f t="shared" si="343"/>
        <v>0</v>
      </c>
      <c r="Y981" s="2" t="str">
        <f t="shared" si="348"/>
        <v/>
      </c>
      <c r="Z981" s="2" t="str">
        <f t="shared" si="349"/>
        <v/>
      </c>
      <c r="AA981" s="2" t="str">
        <f t="shared" si="350"/>
        <v/>
      </c>
      <c r="AB981" s="2">
        <f t="shared" si="344"/>
        <v>0</v>
      </c>
      <c r="AC981" s="625">
        <v>0</v>
      </c>
      <c r="AD981" s="625">
        <v>0</v>
      </c>
      <c r="AE981" s="625">
        <v>0</v>
      </c>
      <c r="AF981" s="625">
        <v>0</v>
      </c>
      <c r="AG981" s="625">
        <v>0</v>
      </c>
      <c r="AH981" s="625">
        <v>0</v>
      </c>
      <c r="AI981" s="38">
        <v>0</v>
      </c>
      <c r="AJ981" s="625">
        <v>0</v>
      </c>
      <c r="AK981" s="625">
        <v>0</v>
      </c>
      <c r="AL981" s="625">
        <v>0</v>
      </c>
      <c r="AM981" s="625">
        <v>0</v>
      </c>
      <c r="AN981" s="625">
        <v>0</v>
      </c>
      <c r="AO981" s="625">
        <v>0</v>
      </c>
      <c r="AP981" s="41" t="str">
        <f t="shared" si="340"/>
        <v>Reg AssetR</v>
      </c>
      <c r="AQ981" s="41" t="str">
        <f t="shared" si="341"/>
        <v>Reg AssetRR10OPEB Reserve</v>
      </c>
      <c r="AR981" s="41" t="str">
        <f t="shared" si="342"/>
        <v>R10OPEB Reserve</v>
      </c>
      <c r="CK981" s="625"/>
    </row>
    <row r="982" spans="1:89" s="41" customFormat="1" ht="12.75" customHeight="1">
      <c r="A982" s="25" t="s">
        <v>746</v>
      </c>
      <c r="B982" s="25" t="str">
        <f t="shared" si="333"/>
        <v>Reg Asset182326OPEB GasBC030562</v>
      </c>
      <c r="C982" s="736">
        <v>182326</v>
      </c>
      <c r="D982" s="738" t="s">
        <v>926</v>
      </c>
      <c r="E982" s="41" t="s">
        <v>979</v>
      </c>
      <c r="F982" s="41" t="str">
        <f t="shared" si="330"/>
        <v>OTH REGULATORY ASSETS-OPEB SFAS 158</v>
      </c>
      <c r="G982" s="41" t="s">
        <v>1098</v>
      </c>
      <c r="H982" s="736" t="s">
        <v>1135</v>
      </c>
      <c r="I982" s="25"/>
      <c r="J982" s="25" t="str">
        <f t="shared" si="331"/>
        <v/>
      </c>
      <c r="K982" s="25" t="str">
        <f t="shared" si="332"/>
        <v/>
      </c>
      <c r="L982" s="736" t="s">
        <v>2441</v>
      </c>
      <c r="M982" s="25" t="str">
        <f t="shared" si="334"/>
        <v>R</v>
      </c>
      <c r="N982" s="25" t="str">
        <f>IF(L982&lt;&gt;"",VLOOKUP(L982,Categories!$B$2:$D$41,2,FALSE),IF(F982&lt;&gt;"","No Cat",""))</f>
        <v>Rate Base</v>
      </c>
      <c r="O982" s="25" t="str">
        <f>IF($L982&lt;&gt;"",VLOOKUP($L982,Categories!$B$2:$D$41,3,FALSE),IF($F982&lt;&gt;"","No Cat",""))</f>
        <v>Deferred Debits &amp; Credits</v>
      </c>
      <c r="P982" s="736" t="s">
        <v>2487</v>
      </c>
      <c r="Q982" s="25" t="str">
        <f>VLOOKUP($P982,Allocators!$B$7:$F$19,5,FALSE)</f>
        <v>Payroll</v>
      </c>
      <c r="R982" s="737">
        <f>VLOOKUP($P982,Allocators!$B$7:$F$19,2,FALSE)</f>
        <v>0.61780000000000002</v>
      </c>
      <c r="S982" s="737">
        <f>VLOOKUP($P982,Allocators!$B$7:$F$19,3,FALSE)</f>
        <v>0.38219999999999998</v>
      </c>
      <c r="T982" s="737" t="str">
        <f t="shared" si="335"/>
        <v>0.0%</v>
      </c>
      <c r="U982" s="2" t="str">
        <f t="shared" si="345"/>
        <v/>
      </c>
      <c r="V982" s="2" t="str">
        <f t="shared" si="346"/>
        <v/>
      </c>
      <c r="W982" s="2" t="str">
        <f t="shared" si="347"/>
        <v/>
      </c>
      <c r="X982" s="2">
        <f t="shared" si="343"/>
        <v>0</v>
      </c>
      <c r="Y982" s="2" t="str">
        <f t="shared" si="348"/>
        <v/>
      </c>
      <c r="Z982" s="2" t="str">
        <f t="shared" si="349"/>
        <v/>
      </c>
      <c r="AA982" s="2" t="str">
        <f t="shared" si="350"/>
        <v/>
      </c>
      <c r="AB982" s="2">
        <f t="shared" si="344"/>
        <v>0</v>
      </c>
      <c r="AC982" s="625">
        <v>0</v>
      </c>
      <c r="AD982" s="625">
        <v>0</v>
      </c>
      <c r="AE982" s="625">
        <v>0</v>
      </c>
      <c r="AF982" s="625">
        <v>0</v>
      </c>
      <c r="AG982" s="625">
        <v>0</v>
      </c>
      <c r="AH982" s="625">
        <v>0</v>
      </c>
      <c r="AI982" s="38">
        <v>0</v>
      </c>
      <c r="AJ982" s="625">
        <v>0</v>
      </c>
      <c r="AK982" s="625">
        <v>0</v>
      </c>
      <c r="AL982" s="625">
        <v>0</v>
      </c>
      <c r="AM982" s="625">
        <v>0</v>
      </c>
      <c r="AN982" s="625">
        <v>0</v>
      </c>
      <c r="AO982" s="625">
        <v>0</v>
      </c>
      <c r="AP982" s="41" t="str">
        <f t="shared" si="340"/>
        <v>Reg AssetR</v>
      </c>
      <c r="AQ982" s="41" t="str">
        <f t="shared" si="341"/>
        <v>Reg AssetRR10OPEB Reserve</v>
      </c>
      <c r="AR982" s="41" t="str">
        <f t="shared" si="342"/>
        <v>R10OPEB Reserve</v>
      </c>
      <c r="CK982" s="625"/>
    </row>
    <row r="983" spans="1:89" s="41" customFormat="1" ht="12.75" customHeight="1">
      <c r="A983" s="25" t="s">
        <v>746</v>
      </c>
      <c r="B983" s="25" t="str">
        <f t="shared" ref="B983" si="371">CONCATENATE(A983,C983,D983,E983)</f>
        <v>Reg Asset182326BC030562</v>
      </c>
      <c r="C983" s="736">
        <v>182326</v>
      </c>
      <c r="D983" s="738"/>
      <c r="E983" s="41" t="s">
        <v>979</v>
      </c>
      <c r="F983" s="41" t="str">
        <f t="shared" si="330"/>
        <v>OTH REGULATORY ASSETS-OPEB SFAS 158</v>
      </c>
      <c r="G983" s="41" t="s">
        <v>4573</v>
      </c>
      <c r="H983" s="736" t="s">
        <v>1135</v>
      </c>
      <c r="I983" s="25"/>
      <c r="J983" s="25"/>
      <c r="K983" s="25"/>
      <c r="L983" s="736" t="s">
        <v>2441</v>
      </c>
      <c r="M983" s="25" t="str">
        <f t="shared" ref="M983" si="372">LEFT(L983,1)</f>
        <v>R</v>
      </c>
      <c r="N983" s="25" t="str">
        <f>IF(L983&lt;&gt;"",VLOOKUP(L983,Categories!$B$2:$D$41,2,FALSE),IF(F983&lt;&gt;"","No Cat",""))</f>
        <v>Rate Base</v>
      </c>
      <c r="O983" s="25" t="str">
        <f>IF($L983&lt;&gt;"",VLOOKUP($L983,Categories!$B$2:$D$41,3,FALSE),IF($F983&lt;&gt;"","No Cat",""))</f>
        <v>Deferred Debits &amp; Credits</v>
      </c>
      <c r="P983" s="736" t="s">
        <v>2487</v>
      </c>
      <c r="Q983" s="25" t="str">
        <f>VLOOKUP($P983,Allocators!$B$7:$F$19,5,FALSE)</f>
        <v>Payroll</v>
      </c>
      <c r="R983" s="737">
        <f>VLOOKUP($P983,Allocators!$B$7:$F$19,2,FALSE)</f>
        <v>0.61780000000000002</v>
      </c>
      <c r="S983" s="737">
        <f>VLOOKUP($P983,Allocators!$B$7:$F$19,3,FALSE)</f>
        <v>0.38219999999999998</v>
      </c>
      <c r="T983" s="737" t="str">
        <f t="shared" ref="T983" si="373">IF(P983="N",1,"0.0%")</f>
        <v>0.0%</v>
      </c>
      <c r="U983" s="2">
        <f t="shared" ref="U983" si="374">IF(ABS(X983)=0,"",IF($R983="NO ALLOC","NO ALLOC",ROUND($R983*X983,15)))</f>
        <v>131.1051914</v>
      </c>
      <c r="V983" s="2">
        <f t="shared" ref="V983" si="375">IF(ABS(X983)=0,"",IF($S983="NO ALLOC","NO ALLOC",ROUND($S983*X983,15)))</f>
        <v>81.107808599999998</v>
      </c>
      <c r="W983" s="2">
        <f t="shared" ref="W983" si="376">IF(ABS(X983)=0,"",IF($T983="NO ALLOC","NO ALLOC",ROUND($T983*X983,15)))</f>
        <v>0</v>
      </c>
      <c r="X983" s="2">
        <f t="shared" ref="X983" si="377">IF(ISERROR(ROUND((SUM(AC983:AO983)-((AC983+AO983))/2)/12,15)),"",ROUND((SUM(AC983:AO983)-((AC983+AO983))/2)/12,15))</f>
        <v>212.21299999999999</v>
      </c>
      <c r="Y983" s="2">
        <f t="shared" ref="Y983" si="378">IF(ABS(AB983)=0,"",IF($R983="NO ALLOC","NO ALLOC",ROUND($R983*AB983,15)))</f>
        <v>3146.5245936000001</v>
      </c>
      <c r="Z983" s="2">
        <f t="shared" ref="Z983" si="379">IF(ABS(AB983)=0,"",IF($S983="NO ALLOC","NO ALLOC",ROUND($S983*AB983,15)))</f>
        <v>1946.5874064</v>
      </c>
      <c r="AA983" s="2">
        <f t="shared" ref="AA983" si="380">IF(ABS(AB983)=0,"",IF($T983="NO ALLOC","NO ALLOC",ROUND($T983*AB983,15)))</f>
        <v>0</v>
      </c>
      <c r="AB983" s="2">
        <f t="shared" ref="AB983" si="381">IF(AO983="",0,+AO983)</f>
        <v>5093.1120000000001</v>
      </c>
      <c r="AC983" s="625"/>
      <c r="AD983" s="625"/>
      <c r="AE983" s="625"/>
      <c r="AF983" s="625"/>
      <c r="AG983" s="625"/>
      <c r="AH983" s="625"/>
      <c r="AI983" s="38"/>
      <c r="AJ983" s="625"/>
      <c r="AK983" s="625"/>
      <c r="AL983" s="625"/>
      <c r="AM983" s="625"/>
      <c r="AN983" s="625"/>
      <c r="AO983" s="625">
        <v>5093.1120000000001</v>
      </c>
      <c r="AP983" s="41" t="str">
        <f t="shared" si="340"/>
        <v>Reg AssetR</v>
      </c>
      <c r="AQ983" s="41" t="str">
        <f t="shared" si="341"/>
        <v>Reg AssetRR10OPEB Reserve</v>
      </c>
      <c r="AR983" s="41" t="str">
        <f t="shared" si="342"/>
        <v>R10OPEB Reserve</v>
      </c>
      <c r="CK983" s="625"/>
    </row>
    <row r="984" spans="1:89" s="41" customFormat="1" ht="12.75" customHeight="1">
      <c r="A984" s="25" t="s">
        <v>746</v>
      </c>
      <c r="B984" s="25" t="str">
        <f t="shared" si="333"/>
        <v>Reg Asset182326OPEB</v>
      </c>
      <c r="C984" s="736">
        <v>182326</v>
      </c>
      <c r="D984" s="738" t="s">
        <v>927</v>
      </c>
      <c r="F984" s="41" t="str">
        <f t="shared" si="330"/>
        <v>OTH REGULATORY ASSETS-OPEB SFAS 158</v>
      </c>
      <c r="G984" s="41" t="s">
        <v>1099</v>
      </c>
      <c r="H984" s="736" t="s">
        <v>1135</v>
      </c>
      <c r="I984" s="25"/>
      <c r="J984" s="25" t="str">
        <f t="shared" si="331"/>
        <v/>
      </c>
      <c r="K984" s="25" t="str">
        <f t="shared" si="332"/>
        <v/>
      </c>
      <c r="L984" s="736" t="s">
        <v>2441</v>
      </c>
      <c r="M984" s="25" t="str">
        <f t="shared" si="334"/>
        <v>R</v>
      </c>
      <c r="N984" s="25" t="str">
        <f>IF(L984&lt;&gt;"",VLOOKUP(L984,Categories!$B$2:$D$41,2,FALSE),IF(F984&lt;&gt;"","No Cat",""))</f>
        <v>Rate Base</v>
      </c>
      <c r="O984" s="25" t="str">
        <f>IF($L984&lt;&gt;"",VLOOKUP($L984,Categories!$B$2:$D$41,3,FALSE),IF($F984&lt;&gt;"","No Cat",""))</f>
        <v>Deferred Debits &amp; Credits</v>
      </c>
      <c r="P984" s="736" t="s">
        <v>2487</v>
      </c>
      <c r="Q984" s="25" t="str">
        <f>VLOOKUP($P984,Allocators!$B$7:$F$19,5,FALSE)</f>
        <v>Payroll</v>
      </c>
      <c r="R984" s="737">
        <f>VLOOKUP($P984,Allocators!$B$7:$F$19,2,FALSE)</f>
        <v>0.61780000000000002</v>
      </c>
      <c r="S984" s="737">
        <f>VLOOKUP($P984,Allocators!$B$7:$F$19,3,FALSE)</f>
        <v>0.38219999999999998</v>
      </c>
      <c r="T984" s="737" t="str">
        <f t="shared" si="335"/>
        <v>0.0%</v>
      </c>
      <c r="U984" s="2" t="str">
        <f t="shared" si="345"/>
        <v/>
      </c>
      <c r="V984" s="2" t="str">
        <f t="shared" si="346"/>
        <v/>
      </c>
      <c r="W984" s="2" t="str">
        <f t="shared" si="347"/>
        <v/>
      </c>
      <c r="X984" s="2">
        <f t="shared" si="343"/>
        <v>0</v>
      </c>
      <c r="Y984" s="2" t="str">
        <f t="shared" si="348"/>
        <v/>
      </c>
      <c r="Z984" s="2" t="str">
        <f t="shared" si="349"/>
        <v/>
      </c>
      <c r="AA984" s="2" t="str">
        <f t="shared" si="350"/>
        <v/>
      </c>
      <c r="AB984" s="2">
        <f t="shared" si="344"/>
        <v>0</v>
      </c>
      <c r="AC984" s="625">
        <v>0</v>
      </c>
      <c r="AD984" s="625">
        <v>0</v>
      </c>
      <c r="AE984" s="625">
        <v>0</v>
      </c>
      <c r="AF984" s="625">
        <v>0</v>
      </c>
      <c r="AG984" s="625">
        <v>0</v>
      </c>
      <c r="AH984" s="625">
        <v>0</v>
      </c>
      <c r="AI984" s="38">
        <v>0</v>
      </c>
      <c r="AJ984" s="625">
        <v>0</v>
      </c>
      <c r="AK984" s="625">
        <v>0</v>
      </c>
      <c r="AL984" s="625">
        <v>0</v>
      </c>
      <c r="AM984" s="625">
        <v>0</v>
      </c>
      <c r="AN984" s="625">
        <v>0</v>
      </c>
      <c r="AO984" s="625">
        <v>0</v>
      </c>
      <c r="AP984" s="41" t="str">
        <f t="shared" si="340"/>
        <v>Reg AssetR</v>
      </c>
      <c r="AQ984" s="41" t="str">
        <f t="shared" si="341"/>
        <v>Reg AssetRR10OPEB Reserve</v>
      </c>
      <c r="AR984" s="41" t="str">
        <f t="shared" si="342"/>
        <v>R10OPEB Reserve</v>
      </c>
      <c r="CK984" s="625"/>
    </row>
    <row r="985" spans="1:89" s="41" customFormat="1" ht="12.75" customHeight="1">
      <c r="A985" s="25" t="s">
        <v>746</v>
      </c>
      <c r="B985" s="25" t="str">
        <f t="shared" si="333"/>
        <v>Reg Asset182336BC030561</v>
      </c>
      <c r="C985" s="736">
        <v>182336</v>
      </c>
      <c r="D985" s="738"/>
      <c r="E985" s="41" t="s">
        <v>980</v>
      </c>
      <c r="F985" s="41" t="str">
        <f t="shared" si="330"/>
        <v>OTH REGULATORY ASSETS-PENSION</v>
      </c>
      <c r="G985" s="41" t="s">
        <v>1100</v>
      </c>
      <c r="H985" s="736" t="s">
        <v>1136</v>
      </c>
      <c r="I985" s="25"/>
      <c r="J985" s="25" t="str">
        <f t="shared" si="331"/>
        <v/>
      </c>
      <c r="K985" s="25" t="str">
        <f t="shared" si="332"/>
        <v/>
      </c>
      <c r="L985" s="736" t="s">
        <v>2441</v>
      </c>
      <c r="M985" s="25" t="str">
        <f t="shared" si="334"/>
        <v>R</v>
      </c>
      <c r="N985" s="25" t="str">
        <f>IF(L985&lt;&gt;"",VLOOKUP(L985,Categories!$B$2:$D$41,2,FALSE),IF(F985&lt;&gt;"","No Cat",""))</f>
        <v>Rate Base</v>
      </c>
      <c r="O985" s="25" t="str">
        <f>IF($L985&lt;&gt;"",VLOOKUP($L985,Categories!$B$2:$D$41,3,FALSE),IF($F985&lt;&gt;"","No Cat",""))</f>
        <v>Deferred Debits &amp; Credits</v>
      </c>
      <c r="P985" s="736" t="s">
        <v>2487</v>
      </c>
      <c r="Q985" s="25" t="str">
        <f>VLOOKUP($P985,Allocators!$B$7:$F$19,5,FALSE)</f>
        <v>Payroll</v>
      </c>
      <c r="R985" s="737">
        <f>VLOOKUP($P985,Allocators!$B$7:$F$19,2,FALSE)</f>
        <v>0.61780000000000002</v>
      </c>
      <c r="S985" s="737">
        <f>VLOOKUP($P985,Allocators!$B$7:$F$19,3,FALSE)</f>
        <v>0.38219999999999998</v>
      </c>
      <c r="T985" s="737" t="str">
        <f t="shared" si="335"/>
        <v>0.0%</v>
      </c>
      <c r="U985" s="2">
        <f t="shared" si="345"/>
        <v>61459.734023212899</v>
      </c>
      <c r="V985" s="2">
        <f t="shared" si="346"/>
        <v>38021.868474703799</v>
      </c>
      <c r="W985" s="2">
        <f t="shared" si="347"/>
        <v>0</v>
      </c>
      <c r="X985" s="2">
        <f t="shared" si="343"/>
        <v>99481.602497916698</v>
      </c>
      <c r="Y985" s="2">
        <f t="shared" si="348"/>
        <v>95793.893158659994</v>
      </c>
      <c r="Z985" s="2">
        <f t="shared" si="349"/>
        <v>59262.586541340002</v>
      </c>
      <c r="AA985" s="2">
        <f t="shared" si="350"/>
        <v>0</v>
      </c>
      <c r="AB985" s="2">
        <f t="shared" si="344"/>
        <v>155056.4797</v>
      </c>
      <c r="AC985" s="734">
        <v>106458.90747000015</v>
      </c>
      <c r="AD985" s="625">
        <v>104822.14313999997</v>
      </c>
      <c r="AE985" s="625">
        <v>103185.37880999997</v>
      </c>
      <c r="AF985" s="625">
        <v>101548.61447999997</v>
      </c>
      <c r="AG985" s="625">
        <v>99911.850149999969</v>
      </c>
      <c r="AH985" s="625">
        <v>98275.085819999978</v>
      </c>
      <c r="AI985" s="625">
        <v>96638.321489999973</v>
      </c>
      <c r="AJ985" s="625">
        <v>95001.557159999982</v>
      </c>
      <c r="AK985" s="625">
        <v>93364.792829999977</v>
      </c>
      <c r="AL985" s="625">
        <v>91728.028499999986</v>
      </c>
      <c r="AM985" s="625">
        <v>90091.26416999998</v>
      </c>
      <c r="AN985" s="625">
        <v>88454.499839999989</v>
      </c>
      <c r="AO985" s="625">
        <v>155056.4797</v>
      </c>
      <c r="AP985" s="41" t="str">
        <f t="shared" si="340"/>
        <v>Reg AssetR</v>
      </c>
      <c r="AQ985" s="41" t="str">
        <f t="shared" si="341"/>
        <v>Reg AssetRR10Pension Asset</v>
      </c>
      <c r="AR985" s="41" t="str">
        <f t="shared" si="342"/>
        <v>R10Pension Asset</v>
      </c>
      <c r="CK985" s="625"/>
    </row>
    <row r="986" spans="1:89" s="41" customFormat="1" ht="12.75" customHeight="1">
      <c r="A986" s="442" t="s">
        <v>746</v>
      </c>
      <c r="B986" s="442" t="str">
        <f t="shared" si="333"/>
        <v>Reg Asset182344BC030422</v>
      </c>
      <c r="C986" s="736">
        <v>182344</v>
      </c>
      <c r="D986" s="738"/>
      <c r="E986" s="626" t="s">
        <v>981</v>
      </c>
      <c r="F986" s="626" t="str">
        <f t="shared" si="330"/>
        <v>OTH REG ASSET-UNFUNDED FEDERAL INCOME TAX</v>
      </c>
      <c r="G986" s="626" t="s">
        <v>1101</v>
      </c>
      <c r="H986" s="736" t="s">
        <v>8</v>
      </c>
      <c r="I986" s="442"/>
      <c r="J986" s="442" t="str">
        <f t="shared" si="331"/>
        <v/>
      </c>
      <c r="K986" s="442" t="str">
        <f t="shared" si="332"/>
        <v>Y</v>
      </c>
      <c r="L986" s="736" t="s">
        <v>2423</v>
      </c>
      <c r="M986" s="442" t="str">
        <f t="shared" si="334"/>
        <v>N</v>
      </c>
      <c r="N986" s="442" t="str">
        <f>IF(L986&lt;&gt;"",VLOOKUP(L986,Categories!$B$2:$D$41,2,FALSE),IF(F986&lt;&gt;"","No Cat",""))</f>
        <v>NRBASE</v>
      </c>
      <c r="O986" s="442" t="str">
        <f>IF($L986&lt;&gt;"",VLOOKUP($L986,Categories!$B$2:$D$41,3,FALSE),IF($F986&lt;&gt;"","No Cat",""))</f>
        <v>SFAS-109   (offsetting)</v>
      </c>
      <c r="P986" s="736" t="s">
        <v>2468</v>
      </c>
      <c r="Q986" s="442" t="str">
        <f>VLOOKUP($P986,Allocators!$B$7:$F$19,5,FALSE)</f>
        <v>Not in Rate Base</v>
      </c>
      <c r="R986" s="737">
        <f>VLOOKUP($P986,Allocators!$B$7:$F$19,2,FALSE)</f>
        <v>0</v>
      </c>
      <c r="S986" s="737">
        <f>VLOOKUP($P986,Allocators!$B$7:$F$19,3,FALSE)</f>
        <v>0</v>
      </c>
      <c r="T986" s="737">
        <f t="shared" si="335"/>
        <v>1</v>
      </c>
      <c r="U986" s="2">
        <f t="shared" si="345"/>
        <v>0</v>
      </c>
      <c r="V986" s="2">
        <f t="shared" si="346"/>
        <v>0</v>
      </c>
      <c r="W986" s="2">
        <f t="shared" si="347"/>
        <v>132460.6169625</v>
      </c>
      <c r="X986" s="2">
        <f t="shared" si="343"/>
        <v>132460.6169625</v>
      </c>
      <c r="Y986" s="2">
        <f t="shared" si="348"/>
        <v>0</v>
      </c>
      <c r="Z986" s="2">
        <f t="shared" si="349"/>
        <v>0</v>
      </c>
      <c r="AA986" s="2">
        <f t="shared" si="350"/>
        <v>126745.40401</v>
      </c>
      <c r="AB986" s="2">
        <f t="shared" si="344"/>
        <v>126745.40400999994</v>
      </c>
      <c r="AC986" s="734">
        <v>130772.98505</v>
      </c>
      <c r="AD986" s="625">
        <v>132472.9449</v>
      </c>
      <c r="AE986" s="625">
        <v>133873.22206999999</v>
      </c>
      <c r="AF986" s="625">
        <v>135436.26432999998</v>
      </c>
      <c r="AG986" s="625">
        <v>134372.89621999997</v>
      </c>
      <c r="AH986" s="625">
        <v>132182.03746999998</v>
      </c>
      <c r="AI986" s="625">
        <v>132221.08281999995</v>
      </c>
      <c r="AJ986" s="625">
        <v>134676.00466999997</v>
      </c>
      <c r="AK986" s="625">
        <v>133793.27833999996</v>
      </c>
      <c r="AL986" s="625">
        <v>134182.20242999998</v>
      </c>
      <c r="AM986" s="625">
        <v>132334.89738999997</v>
      </c>
      <c r="AN986" s="625">
        <v>125223.37837999995</v>
      </c>
      <c r="AO986" s="625">
        <v>126745.40400999994</v>
      </c>
      <c r="AP986" s="41" t="str">
        <f t="shared" si="340"/>
        <v>Reg AssetN</v>
      </c>
      <c r="AQ986" s="41" t="str">
        <f t="shared" si="341"/>
        <v>Reg AssetNN3SFAS 109</v>
      </c>
      <c r="AR986" s="41" t="str">
        <f t="shared" si="342"/>
        <v>N3SFAS 109</v>
      </c>
      <c r="CK986" s="625"/>
    </row>
    <row r="987" spans="1:89" s="41" customFormat="1" ht="12.75" customHeight="1">
      <c r="A987" s="25" t="s">
        <v>746</v>
      </c>
      <c r="B987" s="25" t="str">
        <f t="shared" si="333"/>
        <v>Reg Asset182350182350BE030232</v>
      </c>
      <c r="C987" s="736">
        <v>182350</v>
      </c>
      <c r="D987" s="738">
        <v>182350</v>
      </c>
      <c r="E987" s="41" t="s">
        <v>982</v>
      </c>
      <c r="F987" s="41" t="str">
        <f t="shared" si="330"/>
        <v>OTH REG ASSETS - FERC 636 TRANSITION COSTS</v>
      </c>
      <c r="G987" s="41" t="s">
        <v>1102</v>
      </c>
      <c r="H987" s="736" t="s">
        <v>1137</v>
      </c>
      <c r="I987" s="25"/>
      <c r="J987" s="25" t="str">
        <f t="shared" si="331"/>
        <v/>
      </c>
      <c r="K987" s="25" t="str">
        <f t="shared" si="332"/>
        <v/>
      </c>
      <c r="L987" s="736" t="s">
        <v>2441</v>
      </c>
      <c r="M987" s="25" t="str">
        <f t="shared" si="334"/>
        <v>R</v>
      </c>
      <c r="N987" s="25" t="str">
        <f>IF(L987&lt;&gt;"",VLOOKUP(L987,Categories!$B$2:$D$41,2,FALSE),IF(F987&lt;&gt;"","No Cat",""))</f>
        <v>Rate Base</v>
      </c>
      <c r="O987" s="25" t="str">
        <f>IF($L987&lt;&gt;"",VLOOKUP($L987,Categories!$B$2:$D$41,3,FALSE),IF($F987&lt;&gt;"","No Cat",""))</f>
        <v>Deferred Debits &amp; Credits</v>
      </c>
      <c r="P987" s="736" t="s">
        <v>2483</v>
      </c>
      <c r="Q987" s="25" t="str">
        <f>VLOOKUP($P987,Allocators!$B$7:$F$19,5,FALSE)</f>
        <v>Gas</v>
      </c>
      <c r="R987" s="737">
        <f>VLOOKUP($P987,Allocators!$B$7:$F$19,2,FALSE)</f>
        <v>0</v>
      </c>
      <c r="S987" s="737">
        <f>VLOOKUP($P987,Allocators!$B$7:$F$19,3,FALSE)</f>
        <v>1</v>
      </c>
      <c r="T987" s="737" t="str">
        <f t="shared" si="335"/>
        <v>0.0%</v>
      </c>
      <c r="U987" s="2" t="str">
        <f t="shared" si="345"/>
        <v/>
      </c>
      <c r="V987" s="2" t="str">
        <f t="shared" si="346"/>
        <v/>
      </c>
      <c r="W987" s="2" t="str">
        <f t="shared" si="347"/>
        <v/>
      </c>
      <c r="X987" s="2">
        <f t="shared" si="343"/>
        <v>0</v>
      </c>
      <c r="Y987" s="2" t="str">
        <f t="shared" si="348"/>
        <v/>
      </c>
      <c r="Z987" s="2" t="str">
        <f t="shared" si="349"/>
        <v/>
      </c>
      <c r="AA987" s="2" t="str">
        <f t="shared" si="350"/>
        <v/>
      </c>
      <c r="AB987" s="2">
        <f t="shared" si="344"/>
        <v>0</v>
      </c>
      <c r="AC987" s="625">
        <v>0</v>
      </c>
      <c r="AD987" s="625">
        <v>0</v>
      </c>
      <c r="AE987" s="625">
        <v>0</v>
      </c>
      <c r="AF987" s="625">
        <v>0</v>
      </c>
      <c r="AG987" s="625">
        <v>0</v>
      </c>
      <c r="AH987" s="625">
        <v>0</v>
      </c>
      <c r="AI987" s="38">
        <v>0</v>
      </c>
      <c r="AJ987" s="625">
        <v>0</v>
      </c>
      <c r="AK987" s="625">
        <v>0</v>
      </c>
      <c r="AL987" s="625">
        <v>0</v>
      </c>
      <c r="AM987" s="625">
        <v>0</v>
      </c>
      <c r="AN987" s="625">
        <v>0</v>
      </c>
      <c r="AO987" s="625">
        <v>0</v>
      </c>
      <c r="AP987" s="41" t="str">
        <f t="shared" si="340"/>
        <v>Reg AssetR</v>
      </c>
      <c r="AQ987" s="41" t="str">
        <f t="shared" si="341"/>
        <v>Reg AssetRR10FERC 636</v>
      </c>
      <c r="AR987" s="41" t="str">
        <f t="shared" si="342"/>
        <v>R10FERC 636</v>
      </c>
      <c r="CK987" s="625"/>
    </row>
    <row r="988" spans="1:89" s="41" customFormat="1" ht="12.75" customHeight="1">
      <c r="A988" s="442" t="s">
        <v>746</v>
      </c>
      <c r="B988" s="442" t="str">
        <f t="shared" si="333"/>
        <v>Reg Asset182355BE030099</v>
      </c>
      <c r="C988" s="736">
        <v>182355</v>
      </c>
      <c r="D988" s="738"/>
      <c r="E988" s="626" t="s">
        <v>983</v>
      </c>
      <c r="F988" s="626" t="str">
        <f t="shared" si="330"/>
        <v>OTH REGULATORY ASSETS-ASSET RETIREMENT-ELEC</v>
      </c>
      <c r="G988" s="626" t="s">
        <v>1103</v>
      </c>
      <c r="H988" s="736" t="s">
        <v>1138</v>
      </c>
      <c r="I988" s="442"/>
      <c r="J988" s="442" t="str">
        <f t="shared" si="331"/>
        <v/>
      </c>
      <c r="K988" s="442" t="str">
        <f t="shared" si="332"/>
        <v/>
      </c>
      <c r="L988" s="736" t="s">
        <v>2421</v>
      </c>
      <c r="M988" s="442" t="str">
        <f t="shared" si="334"/>
        <v>N</v>
      </c>
      <c r="N988" s="442" t="str">
        <f>IF(L988&lt;&gt;"",VLOOKUP(L988,Categories!$B$2:$D$41,2,FALSE),IF(F988&lt;&gt;"","No Cat",""))</f>
        <v>NRBASE</v>
      </c>
      <c r="O988" s="442" t="str">
        <f>IF($L988&lt;&gt;"",VLOOKUP($L988,Categories!$B$2:$D$41,3,FALSE),IF($F988&lt;&gt;"","No Cat",""))</f>
        <v>Direct Assign Items Not in RB</v>
      </c>
      <c r="P988" s="736" t="s">
        <v>2468</v>
      </c>
      <c r="Q988" s="442" t="str">
        <f>VLOOKUP($P988,Allocators!$B$7:$F$19,5,FALSE)</f>
        <v>Not in Rate Base</v>
      </c>
      <c r="R988" s="737">
        <f>VLOOKUP($P988,Allocators!$B$7:$F$19,2,FALSE)</f>
        <v>0</v>
      </c>
      <c r="S988" s="737">
        <f>VLOOKUP($P988,Allocators!$B$7:$F$19,3,FALSE)</f>
        <v>0</v>
      </c>
      <c r="T988" s="737">
        <f t="shared" si="335"/>
        <v>1</v>
      </c>
      <c r="U988" s="2" t="str">
        <f t="shared" si="345"/>
        <v/>
      </c>
      <c r="V988" s="2" t="str">
        <f t="shared" si="346"/>
        <v/>
      </c>
      <c r="W988" s="2" t="str">
        <f t="shared" si="347"/>
        <v/>
      </c>
      <c r="X988" s="2">
        <f t="shared" si="343"/>
        <v>0</v>
      </c>
      <c r="Y988" s="2" t="str">
        <f t="shared" si="348"/>
        <v/>
      </c>
      <c r="Z988" s="2" t="str">
        <f t="shared" si="349"/>
        <v/>
      </c>
      <c r="AA988" s="2" t="str">
        <f t="shared" si="350"/>
        <v/>
      </c>
      <c r="AB988" s="2">
        <f t="shared" si="344"/>
        <v>0</v>
      </c>
      <c r="AC988" s="625">
        <v>0</v>
      </c>
      <c r="AD988" s="625">
        <v>0</v>
      </c>
      <c r="AE988" s="625">
        <v>0</v>
      </c>
      <c r="AF988" s="625">
        <v>0</v>
      </c>
      <c r="AG988" s="625">
        <v>0</v>
      </c>
      <c r="AH988" s="625">
        <v>0</v>
      </c>
      <c r="AI988" s="38">
        <v>0</v>
      </c>
      <c r="AJ988" s="625">
        <v>0</v>
      </c>
      <c r="AK988" s="625">
        <v>0</v>
      </c>
      <c r="AL988" s="625">
        <v>0</v>
      </c>
      <c r="AM988" s="625">
        <v>0</v>
      </c>
      <c r="AN988" s="625">
        <v>0</v>
      </c>
      <c r="AO988" s="625">
        <v>0</v>
      </c>
      <c r="AP988" s="41" t="str">
        <f t="shared" si="340"/>
        <v>Reg AssetN</v>
      </c>
      <c r="AQ988" s="41" t="str">
        <f t="shared" si="341"/>
        <v>Reg AssetNN2Asset Retirement Obligation</v>
      </c>
      <c r="AR988" s="41" t="str">
        <f t="shared" si="342"/>
        <v>N2Asset Retirement Obligation</v>
      </c>
      <c r="CK988" s="625"/>
    </row>
    <row r="989" spans="1:89" s="41" customFormat="1" ht="12.75" customHeight="1">
      <c r="A989" s="442" t="s">
        <v>746</v>
      </c>
      <c r="B989" s="442" t="str">
        <f t="shared" si="333"/>
        <v>Reg Asset182355PLTADJBE030099</v>
      </c>
      <c r="C989" s="736">
        <v>182355</v>
      </c>
      <c r="D989" s="738" t="s">
        <v>928</v>
      </c>
      <c r="E989" s="626" t="s">
        <v>983</v>
      </c>
      <c r="F989" s="626" t="str">
        <f t="shared" si="330"/>
        <v>OTH REGULATORY ASSETS-ASSET RETIREMENT-ELEC</v>
      </c>
      <c r="G989" s="626"/>
      <c r="H989" s="736" t="s">
        <v>1138</v>
      </c>
      <c r="I989" s="442"/>
      <c r="J989" s="442" t="str">
        <f t="shared" si="331"/>
        <v/>
      </c>
      <c r="K989" s="442" t="str">
        <f t="shared" si="332"/>
        <v/>
      </c>
      <c r="L989" s="736" t="s">
        <v>2421</v>
      </c>
      <c r="M989" s="442" t="str">
        <f t="shared" si="334"/>
        <v>N</v>
      </c>
      <c r="N989" s="442" t="str">
        <f>IF(L989&lt;&gt;"",VLOOKUP(L989,Categories!$B$2:$D$41,2,FALSE),IF(F989&lt;&gt;"","No Cat",""))</f>
        <v>NRBASE</v>
      </c>
      <c r="O989" s="442" t="str">
        <f>IF($L989&lt;&gt;"",VLOOKUP($L989,Categories!$B$2:$D$41,3,FALSE),IF($F989&lt;&gt;"","No Cat",""))</f>
        <v>Direct Assign Items Not in RB</v>
      </c>
      <c r="P989" s="736" t="s">
        <v>2468</v>
      </c>
      <c r="Q989" s="442" t="str">
        <f>VLOOKUP($P989,Allocators!$B$7:$F$19,5,FALSE)</f>
        <v>Not in Rate Base</v>
      </c>
      <c r="R989" s="737">
        <f>VLOOKUP($P989,Allocators!$B$7:$F$19,2,FALSE)</f>
        <v>0</v>
      </c>
      <c r="S989" s="737">
        <f>VLOOKUP($P989,Allocators!$B$7:$F$19,3,FALSE)</f>
        <v>0</v>
      </c>
      <c r="T989" s="737">
        <f t="shared" si="335"/>
        <v>1</v>
      </c>
      <c r="U989" s="2">
        <f t="shared" si="345"/>
        <v>0</v>
      </c>
      <c r="V989" s="2">
        <f t="shared" si="346"/>
        <v>0</v>
      </c>
      <c r="W989" s="2">
        <f t="shared" si="347"/>
        <v>-9326.6925874999997</v>
      </c>
      <c r="X989" s="2">
        <f t="shared" si="343"/>
        <v>-9326.6925874999997</v>
      </c>
      <c r="Y989" s="2">
        <f t="shared" si="348"/>
        <v>0</v>
      </c>
      <c r="Z989" s="2">
        <f t="shared" si="349"/>
        <v>0</v>
      </c>
      <c r="AA989" s="2">
        <f t="shared" si="350"/>
        <v>-9294.7284600000003</v>
      </c>
      <c r="AB989" s="2">
        <f t="shared" si="344"/>
        <v>-9294.7284599999984</v>
      </c>
      <c r="AC989" s="734">
        <v>-10061.86752</v>
      </c>
      <c r="AD989" s="625">
        <v>-9294.7284599999984</v>
      </c>
      <c r="AE989" s="625">
        <v>-9294.7284599999984</v>
      </c>
      <c r="AF989" s="625">
        <v>-9294.7284599999984</v>
      </c>
      <c r="AG989" s="625">
        <v>-9294.7284599999984</v>
      </c>
      <c r="AH989" s="625">
        <v>-9294.7284599999984</v>
      </c>
      <c r="AI989" s="625">
        <v>-9294.7284599999984</v>
      </c>
      <c r="AJ989" s="625">
        <v>-9294.7284599999984</v>
      </c>
      <c r="AK989" s="625">
        <v>-9294.7284599999984</v>
      </c>
      <c r="AL989" s="625">
        <v>-9294.7284599999984</v>
      </c>
      <c r="AM989" s="625">
        <v>-9294.7284599999984</v>
      </c>
      <c r="AN989" s="625">
        <v>-9294.7284599999984</v>
      </c>
      <c r="AO989" s="625">
        <v>-9294.7284599999984</v>
      </c>
      <c r="AP989" s="41" t="str">
        <f t="shared" si="340"/>
        <v>Reg AssetN</v>
      </c>
      <c r="AQ989" s="41" t="str">
        <f t="shared" si="341"/>
        <v>Reg AssetNN2Asset Retirement Obligation</v>
      </c>
      <c r="AR989" s="41" t="str">
        <f t="shared" si="342"/>
        <v>N2Asset Retirement Obligation</v>
      </c>
      <c r="CK989" s="625"/>
    </row>
    <row r="990" spans="1:89" s="41" customFormat="1" ht="12.75" customHeight="1">
      <c r="A990" s="442" t="s">
        <v>746</v>
      </c>
      <c r="B990" s="442" t="str">
        <f t="shared" si="333"/>
        <v>Reg Asset182355601074EBE030099</v>
      </c>
      <c r="C990" s="736">
        <v>182355</v>
      </c>
      <c r="D990" s="738" t="s">
        <v>929</v>
      </c>
      <c r="E990" s="626" t="s">
        <v>983</v>
      </c>
      <c r="F990" s="626" t="str">
        <f t="shared" si="330"/>
        <v>OTH REGULATORY ASSETS-ASSET RETIREMENT-ELEC</v>
      </c>
      <c r="G990" s="626" t="s">
        <v>1104</v>
      </c>
      <c r="H990" s="736" t="s">
        <v>1138</v>
      </c>
      <c r="I990" s="442"/>
      <c r="J990" s="442" t="str">
        <f t="shared" si="331"/>
        <v/>
      </c>
      <c r="K990" s="442" t="str">
        <f t="shared" si="332"/>
        <v/>
      </c>
      <c r="L990" s="736" t="s">
        <v>2421</v>
      </c>
      <c r="M990" s="442" t="str">
        <f t="shared" si="334"/>
        <v>N</v>
      </c>
      <c r="N990" s="442" t="str">
        <f>IF(L990&lt;&gt;"",VLOOKUP(L990,Categories!$B$2:$D$41,2,FALSE),IF(F990&lt;&gt;"","No Cat",""))</f>
        <v>NRBASE</v>
      </c>
      <c r="O990" s="442" t="str">
        <f>IF($L990&lt;&gt;"",VLOOKUP($L990,Categories!$B$2:$D$41,3,FALSE),IF($F990&lt;&gt;"","No Cat",""))</f>
        <v>Direct Assign Items Not in RB</v>
      </c>
      <c r="P990" s="736" t="s">
        <v>2468</v>
      </c>
      <c r="Q990" s="442" t="str">
        <f>VLOOKUP($P990,Allocators!$B$7:$F$19,5,FALSE)</f>
        <v>Not in Rate Base</v>
      </c>
      <c r="R990" s="737">
        <f>VLOOKUP($P990,Allocators!$B$7:$F$19,2,FALSE)</f>
        <v>0</v>
      </c>
      <c r="S990" s="737">
        <f>VLOOKUP($P990,Allocators!$B$7:$F$19,3,FALSE)</f>
        <v>0</v>
      </c>
      <c r="T990" s="737">
        <f t="shared" si="335"/>
        <v>1</v>
      </c>
      <c r="U990" s="2">
        <f t="shared" si="345"/>
        <v>0</v>
      </c>
      <c r="V990" s="2">
        <f t="shared" si="346"/>
        <v>0</v>
      </c>
      <c r="W990" s="2">
        <f t="shared" si="347"/>
        <v>22830.662294583301</v>
      </c>
      <c r="X990" s="2">
        <f t="shared" si="343"/>
        <v>22830.662294583301</v>
      </c>
      <c r="Y990" s="2">
        <f t="shared" si="348"/>
        <v>0</v>
      </c>
      <c r="Z990" s="2">
        <f t="shared" si="349"/>
        <v>0</v>
      </c>
      <c r="AA990" s="2">
        <f t="shared" si="350"/>
        <v>24869.194</v>
      </c>
      <c r="AB990" s="2">
        <f t="shared" si="344"/>
        <v>24869.194</v>
      </c>
      <c r="AC990" s="734">
        <v>21675.543850000002</v>
      </c>
      <c r="AD990" s="625">
        <v>21817.551869999996</v>
      </c>
      <c r="AE990" s="625">
        <v>21925.194549999997</v>
      </c>
      <c r="AF990" s="625">
        <v>22033.602149999999</v>
      </c>
      <c r="AG990" s="625">
        <v>22142.778160000002</v>
      </c>
      <c r="AH990" s="625">
        <v>22252.729059999998</v>
      </c>
      <c r="AI990" s="625">
        <v>22363.461340000002</v>
      </c>
      <c r="AJ990" s="625">
        <v>22789.41877</v>
      </c>
      <c r="AK990" s="625">
        <v>23216.052219999998</v>
      </c>
      <c r="AL990" s="625">
        <v>23643.367879999998</v>
      </c>
      <c r="AM990" s="625">
        <v>24071.371910000002</v>
      </c>
      <c r="AN990" s="625">
        <v>24440.0507</v>
      </c>
      <c r="AO990" s="625">
        <v>24869.194</v>
      </c>
      <c r="AP990" s="41" t="str">
        <f t="shared" si="340"/>
        <v>Reg AssetN</v>
      </c>
      <c r="AQ990" s="41" t="str">
        <f t="shared" si="341"/>
        <v>Reg AssetNN2Asset Retirement Obligation</v>
      </c>
      <c r="AR990" s="41" t="str">
        <f t="shared" si="342"/>
        <v>N2Asset Retirement Obligation</v>
      </c>
      <c r="CK990" s="625"/>
    </row>
    <row r="991" spans="1:89" s="41" customFormat="1" ht="12.75" customHeight="1">
      <c r="A991" s="442" t="s">
        <v>746</v>
      </c>
      <c r="B991" s="442" t="str">
        <f t="shared" si="333"/>
        <v>Reg Asset182355601074EBE030099</v>
      </c>
      <c r="C991" s="736">
        <v>182355</v>
      </c>
      <c r="D991" s="738" t="s">
        <v>929</v>
      </c>
      <c r="E991" s="626" t="s">
        <v>983</v>
      </c>
      <c r="F991" s="626" t="str">
        <f t="shared" si="330"/>
        <v>OTH REGULATORY ASSETS-ASSET RETIREMENT-ELEC</v>
      </c>
      <c r="G991" s="626" t="s">
        <v>1104</v>
      </c>
      <c r="H991" s="736" t="s">
        <v>1138</v>
      </c>
      <c r="I991" s="442"/>
      <c r="J991" s="442" t="str">
        <f t="shared" si="331"/>
        <v/>
      </c>
      <c r="K991" s="442" t="str">
        <f t="shared" si="332"/>
        <v/>
      </c>
      <c r="L991" s="736" t="s">
        <v>2421</v>
      </c>
      <c r="M991" s="442" t="str">
        <f t="shared" si="334"/>
        <v>N</v>
      </c>
      <c r="N991" s="442" t="str">
        <f>IF(L991&lt;&gt;"",VLOOKUP(L991,Categories!$B$2:$D$41,2,FALSE),IF(F991&lt;&gt;"","No Cat",""))</f>
        <v>NRBASE</v>
      </c>
      <c r="O991" s="442" t="str">
        <f>IF($L991&lt;&gt;"",VLOOKUP($L991,Categories!$B$2:$D$41,3,FALSE),IF($F991&lt;&gt;"","No Cat",""))</f>
        <v>Direct Assign Items Not in RB</v>
      </c>
      <c r="P991" s="736" t="s">
        <v>2468</v>
      </c>
      <c r="Q991" s="442" t="str">
        <f>VLOOKUP($P991,Allocators!$B$7:$F$19,5,FALSE)</f>
        <v>Not in Rate Base</v>
      </c>
      <c r="R991" s="737">
        <f>VLOOKUP($P991,Allocators!$B$7:$F$19,2,FALSE)</f>
        <v>0</v>
      </c>
      <c r="S991" s="737">
        <f>VLOOKUP($P991,Allocators!$B$7:$F$19,3,FALSE)</f>
        <v>0</v>
      </c>
      <c r="T991" s="737">
        <f t="shared" si="335"/>
        <v>1</v>
      </c>
      <c r="U991" s="2">
        <f t="shared" si="345"/>
        <v>0</v>
      </c>
      <c r="V991" s="2">
        <f t="shared" si="346"/>
        <v>0</v>
      </c>
      <c r="W991" s="2">
        <f t="shared" si="347"/>
        <v>214.441</v>
      </c>
      <c r="X991" s="2">
        <f t="shared" si="343"/>
        <v>214.441</v>
      </c>
      <c r="Y991" s="2">
        <f t="shared" si="348"/>
        <v>0</v>
      </c>
      <c r="Z991" s="2">
        <f t="shared" si="349"/>
        <v>0</v>
      </c>
      <c r="AA991" s="2">
        <f t="shared" si="350"/>
        <v>214.441</v>
      </c>
      <c r="AB991" s="2">
        <f t="shared" si="344"/>
        <v>214.441</v>
      </c>
      <c r="AC991" s="734">
        <v>214.441</v>
      </c>
      <c r="AD991" s="625">
        <v>214.441</v>
      </c>
      <c r="AE991" s="625">
        <v>214.441</v>
      </c>
      <c r="AF991" s="625">
        <v>214.441</v>
      </c>
      <c r="AG991" s="625">
        <v>214.441</v>
      </c>
      <c r="AH991" s="625">
        <v>214.441</v>
      </c>
      <c r="AI991" s="625">
        <v>214.441</v>
      </c>
      <c r="AJ991" s="625">
        <v>214.441</v>
      </c>
      <c r="AK991" s="625">
        <v>214.441</v>
      </c>
      <c r="AL991" s="625">
        <v>214.441</v>
      </c>
      <c r="AM991" s="625">
        <v>214.441</v>
      </c>
      <c r="AN991" s="625">
        <v>214.441</v>
      </c>
      <c r="AO991" s="625">
        <v>214.441</v>
      </c>
      <c r="AP991" s="41" t="str">
        <f t="shared" si="340"/>
        <v>Reg AssetN</v>
      </c>
      <c r="AQ991" s="41" t="str">
        <f t="shared" si="341"/>
        <v>Reg AssetNN2Asset Retirement Obligation</v>
      </c>
      <c r="AR991" s="41" t="str">
        <f t="shared" si="342"/>
        <v>N2Asset Retirement Obligation</v>
      </c>
      <c r="CK991" s="625"/>
    </row>
    <row r="992" spans="1:89" s="41" customFormat="1" ht="12.75" customHeight="1">
      <c r="A992" s="442" t="s">
        <v>746</v>
      </c>
      <c r="B992" s="442" t="str">
        <f t="shared" si="333"/>
        <v>Reg Asset182355601074EBE030099</v>
      </c>
      <c r="C992" s="736">
        <v>182355</v>
      </c>
      <c r="D992" s="738" t="s">
        <v>929</v>
      </c>
      <c r="E992" s="626" t="s">
        <v>983</v>
      </c>
      <c r="F992" s="626" t="str">
        <f t="shared" si="330"/>
        <v>OTH REGULATORY ASSETS-ASSET RETIREMENT-ELEC</v>
      </c>
      <c r="G992" s="626" t="s">
        <v>1105</v>
      </c>
      <c r="H992" s="736" t="s">
        <v>1138</v>
      </c>
      <c r="I992" s="442"/>
      <c r="J992" s="442" t="str">
        <f t="shared" si="331"/>
        <v/>
      </c>
      <c r="K992" s="442" t="str">
        <f t="shared" si="332"/>
        <v/>
      </c>
      <c r="L992" s="736" t="s">
        <v>2421</v>
      </c>
      <c r="M992" s="442" t="str">
        <f t="shared" si="334"/>
        <v>N</v>
      </c>
      <c r="N992" s="442" t="str">
        <f>IF(L992&lt;&gt;"",VLOOKUP(L992,Categories!$B$2:$D$41,2,FALSE),IF(F992&lt;&gt;"","No Cat",""))</f>
        <v>NRBASE</v>
      </c>
      <c r="O992" s="442" t="str">
        <f>IF($L992&lt;&gt;"",VLOOKUP($L992,Categories!$B$2:$D$41,3,FALSE),IF($F992&lt;&gt;"","No Cat",""))</f>
        <v>Direct Assign Items Not in RB</v>
      </c>
      <c r="P992" s="736" t="s">
        <v>2468</v>
      </c>
      <c r="Q992" s="442" t="str">
        <f>VLOOKUP($P992,Allocators!$B$7:$F$19,5,FALSE)</f>
        <v>Not in Rate Base</v>
      </c>
      <c r="R992" s="737">
        <f>VLOOKUP($P992,Allocators!$B$7:$F$19,2,FALSE)</f>
        <v>0</v>
      </c>
      <c r="S992" s="737">
        <f>VLOOKUP($P992,Allocators!$B$7:$F$19,3,FALSE)</f>
        <v>0</v>
      </c>
      <c r="T992" s="737">
        <f t="shared" si="335"/>
        <v>1</v>
      </c>
      <c r="U992" s="2">
        <f t="shared" si="345"/>
        <v>0</v>
      </c>
      <c r="V992" s="2">
        <f t="shared" si="346"/>
        <v>0</v>
      </c>
      <c r="W992" s="2">
        <f t="shared" si="347"/>
        <v>896.38300000000004</v>
      </c>
      <c r="X992" s="2">
        <f t="shared" si="343"/>
        <v>896.38300000000004</v>
      </c>
      <c r="Y992" s="2">
        <f t="shared" si="348"/>
        <v>0</v>
      </c>
      <c r="Z992" s="2">
        <f t="shared" si="349"/>
        <v>0</v>
      </c>
      <c r="AA992" s="2">
        <f t="shared" si="350"/>
        <v>896.38300000000004</v>
      </c>
      <c r="AB992" s="2">
        <f t="shared" si="344"/>
        <v>896.38300000000004</v>
      </c>
      <c r="AC992" s="734">
        <v>896.38300000000004</v>
      </c>
      <c r="AD992" s="625">
        <v>896.38300000000004</v>
      </c>
      <c r="AE992" s="625">
        <v>896.38300000000004</v>
      </c>
      <c r="AF992" s="625">
        <v>896.38300000000004</v>
      </c>
      <c r="AG992" s="625">
        <v>896.38300000000004</v>
      </c>
      <c r="AH992" s="625">
        <v>896.38300000000004</v>
      </c>
      <c r="AI992" s="625">
        <v>896.38300000000004</v>
      </c>
      <c r="AJ992" s="625">
        <v>896.38300000000004</v>
      </c>
      <c r="AK992" s="625">
        <v>896.38300000000004</v>
      </c>
      <c r="AL992" s="625">
        <v>896.38300000000004</v>
      </c>
      <c r="AM992" s="625">
        <v>896.38300000000004</v>
      </c>
      <c r="AN992" s="625">
        <v>896.38300000000004</v>
      </c>
      <c r="AO992" s="625">
        <v>896.38300000000004</v>
      </c>
      <c r="AP992" s="41" t="str">
        <f t="shared" si="340"/>
        <v>Reg AssetN</v>
      </c>
      <c r="AQ992" s="41" t="str">
        <f t="shared" si="341"/>
        <v>Reg AssetNN2Asset Retirement Obligation</v>
      </c>
      <c r="AR992" s="41" t="str">
        <f t="shared" si="342"/>
        <v>N2Asset Retirement Obligation</v>
      </c>
      <c r="CK992" s="625"/>
    </row>
    <row r="993" spans="1:89" s="41" customFormat="1" ht="12.75" customHeight="1">
      <c r="A993" s="442" t="s">
        <v>746</v>
      </c>
      <c r="B993" s="442" t="str">
        <f t="shared" si="333"/>
        <v>Reg Asset182356601074GBG030179</v>
      </c>
      <c r="C993" s="736">
        <v>182356</v>
      </c>
      <c r="D993" s="738" t="s">
        <v>930</v>
      </c>
      <c r="E993" s="626" t="s">
        <v>984</v>
      </c>
      <c r="F993" s="626" t="str">
        <f t="shared" si="330"/>
        <v>OTH REG ASSET-ASSET RETIREMENT OBLIG (ARO)-GAS</v>
      </c>
      <c r="G993" s="626" t="s">
        <v>1106</v>
      </c>
      <c r="H993" s="736" t="s">
        <v>1138</v>
      </c>
      <c r="I993" s="442"/>
      <c r="J993" s="442" t="str">
        <f t="shared" si="331"/>
        <v/>
      </c>
      <c r="K993" s="442" t="str">
        <f t="shared" si="332"/>
        <v/>
      </c>
      <c r="L993" s="736" t="s">
        <v>2421</v>
      </c>
      <c r="M993" s="442" t="str">
        <f t="shared" si="334"/>
        <v>N</v>
      </c>
      <c r="N993" s="442" t="str">
        <f>IF(L993&lt;&gt;"",VLOOKUP(L993,Categories!$B$2:$D$41,2,FALSE),IF(F993&lt;&gt;"","No Cat",""))</f>
        <v>NRBASE</v>
      </c>
      <c r="O993" s="442" t="str">
        <f>IF($L993&lt;&gt;"",VLOOKUP($L993,Categories!$B$2:$D$41,3,FALSE),IF($F993&lt;&gt;"","No Cat",""))</f>
        <v>Direct Assign Items Not in RB</v>
      </c>
      <c r="P993" s="736" t="s">
        <v>2468</v>
      </c>
      <c r="Q993" s="442" t="str">
        <f>VLOOKUP($P993,Allocators!$B$7:$F$19,5,FALSE)</f>
        <v>Not in Rate Base</v>
      </c>
      <c r="R993" s="737">
        <f>VLOOKUP($P993,Allocators!$B$7:$F$19,2,FALSE)</f>
        <v>0</v>
      </c>
      <c r="S993" s="737">
        <f>VLOOKUP($P993,Allocators!$B$7:$F$19,3,FALSE)</f>
        <v>0</v>
      </c>
      <c r="T993" s="737">
        <f t="shared" si="335"/>
        <v>1</v>
      </c>
      <c r="U993" s="2">
        <f t="shared" si="345"/>
        <v>0</v>
      </c>
      <c r="V993" s="2">
        <f t="shared" si="346"/>
        <v>0</v>
      </c>
      <c r="W993" s="2">
        <f t="shared" si="347"/>
        <v>-446.74382708333297</v>
      </c>
      <c r="X993" s="2">
        <f t="shared" si="343"/>
        <v>-446.74382708333297</v>
      </c>
      <c r="Y993" s="2">
        <f t="shared" si="348"/>
        <v>0</v>
      </c>
      <c r="Z993" s="2">
        <f t="shared" si="349"/>
        <v>0</v>
      </c>
      <c r="AA993" s="2">
        <f t="shared" si="350"/>
        <v>-556.38829999999996</v>
      </c>
      <c r="AB993" s="2">
        <f t="shared" si="344"/>
        <v>-556.38830000000007</v>
      </c>
      <c r="AC993" s="734">
        <v>-460.89120999999994</v>
      </c>
      <c r="AD993" s="625">
        <v>-455.16111000000006</v>
      </c>
      <c r="AE993" s="625">
        <v>-449.40632000000005</v>
      </c>
      <c r="AF993" s="625">
        <v>-443.62675000000007</v>
      </c>
      <c r="AG993" s="625">
        <v>-437.82222000000002</v>
      </c>
      <c r="AH993" s="625">
        <v>-431.99270000000001</v>
      </c>
      <c r="AI993" s="625">
        <v>-426.13801000000001</v>
      </c>
      <c r="AJ993" s="625">
        <v>-420.25810000000001</v>
      </c>
      <c r="AK993" s="625">
        <v>-414.35279000000003</v>
      </c>
      <c r="AL993" s="625">
        <v>-408.42205000000007</v>
      </c>
      <c r="AM993" s="625">
        <v>-402.46570000000008</v>
      </c>
      <c r="AN993" s="625">
        <v>-562.64042000000006</v>
      </c>
      <c r="AO993" s="625">
        <v>-556.38830000000007</v>
      </c>
      <c r="AP993" s="41" t="str">
        <f t="shared" si="340"/>
        <v>Reg AssetN</v>
      </c>
      <c r="AQ993" s="41" t="str">
        <f t="shared" si="341"/>
        <v>Reg AssetNN2Asset Retirement Obligation</v>
      </c>
      <c r="AR993" s="41" t="str">
        <f t="shared" si="342"/>
        <v>N2Asset Retirement Obligation</v>
      </c>
      <c r="CK993" s="625"/>
    </row>
    <row r="994" spans="1:89" s="41" customFormat="1" ht="12.75" customHeight="1">
      <c r="A994" s="25" t="s">
        <v>746</v>
      </c>
      <c r="B994" s="25" t="str">
        <f t="shared" si="333"/>
        <v>Reg Asset182360BE030270</v>
      </c>
      <c r="C994" s="736">
        <v>182360</v>
      </c>
      <c r="D994" s="738"/>
      <c r="E994" s="41" t="s">
        <v>985</v>
      </c>
      <c r="F994" s="41" t="str">
        <f t="shared" si="330"/>
        <v>OTH REG ASSETS - OSWEGO PLANT SALE</v>
      </c>
      <c r="G994" s="41" t="s">
        <v>1107</v>
      </c>
      <c r="H994" s="736" t="s">
        <v>1139</v>
      </c>
      <c r="I994" s="25"/>
      <c r="J994" s="25" t="str">
        <f t="shared" si="331"/>
        <v/>
      </c>
      <c r="K994" s="25" t="str">
        <f t="shared" si="332"/>
        <v/>
      </c>
      <c r="L994" s="736" t="s">
        <v>2441</v>
      </c>
      <c r="M994" s="25" t="str">
        <f t="shared" si="334"/>
        <v>R</v>
      </c>
      <c r="N994" s="25" t="str">
        <f>IF(L994&lt;&gt;"",VLOOKUP(L994,Categories!$B$2:$D$41,2,FALSE),IF(F994&lt;&gt;"","No Cat",""))</f>
        <v>Rate Base</v>
      </c>
      <c r="O994" s="25" t="str">
        <f>IF($L994&lt;&gt;"",VLOOKUP($L994,Categories!$B$2:$D$41,3,FALSE),IF($F994&lt;&gt;"","No Cat",""))</f>
        <v>Deferred Debits &amp; Credits</v>
      </c>
      <c r="P994" s="736" t="s">
        <v>2482</v>
      </c>
      <c r="Q994" s="25" t="str">
        <f>VLOOKUP($P994,Allocators!$B$7:$F$19,5,FALSE)</f>
        <v>Electric</v>
      </c>
      <c r="R994" s="737">
        <f>VLOOKUP($P994,Allocators!$B$7:$F$19,2,FALSE)</f>
        <v>1</v>
      </c>
      <c r="S994" s="737">
        <f>VLOOKUP($P994,Allocators!$B$7:$F$19,3,FALSE)</f>
        <v>0</v>
      </c>
      <c r="T994" s="737" t="str">
        <f t="shared" si="335"/>
        <v>0.0%</v>
      </c>
      <c r="U994" s="2">
        <f t="shared" si="345"/>
        <v>-9.7000000000000003E-14</v>
      </c>
      <c r="V994" s="2">
        <f t="shared" si="346"/>
        <v>0</v>
      </c>
      <c r="W994" s="2">
        <f t="shared" si="347"/>
        <v>0</v>
      </c>
      <c r="X994" s="2">
        <f t="shared" si="343"/>
        <v>-9.7000000000000003E-14</v>
      </c>
      <c r="Y994" s="2" t="str">
        <f t="shared" si="348"/>
        <v/>
      </c>
      <c r="Z994" s="2" t="str">
        <f t="shared" si="349"/>
        <v/>
      </c>
      <c r="AA994" s="2" t="str">
        <f t="shared" si="350"/>
        <v/>
      </c>
      <c r="AB994" s="2">
        <f t="shared" si="344"/>
        <v>0</v>
      </c>
      <c r="AC994" s="734">
        <v>-2.3283064365386963E-12</v>
      </c>
      <c r="AD994" s="625">
        <v>0</v>
      </c>
      <c r="AE994" s="625">
        <v>0</v>
      </c>
      <c r="AF994" s="625">
        <v>0</v>
      </c>
      <c r="AG994" s="625">
        <v>0</v>
      </c>
      <c r="AH994" s="625">
        <v>0</v>
      </c>
      <c r="AI994" s="38">
        <v>0</v>
      </c>
      <c r="AJ994" s="625">
        <v>0</v>
      </c>
      <c r="AK994" s="625">
        <v>0</v>
      </c>
      <c r="AL994" s="625">
        <v>0</v>
      </c>
      <c r="AM994" s="625">
        <v>0</v>
      </c>
      <c r="AN994" s="625">
        <v>0</v>
      </c>
      <c r="AO994" s="625">
        <v>0</v>
      </c>
      <c r="AP994" s="41" t="str">
        <f t="shared" si="340"/>
        <v>Reg AssetR</v>
      </c>
      <c r="AQ994" s="41" t="str">
        <f t="shared" si="341"/>
        <v>Reg AssetRR10Oswego</v>
      </c>
      <c r="AR994" s="41" t="str">
        <f t="shared" si="342"/>
        <v>R10Oswego</v>
      </c>
      <c r="CK994" s="625"/>
    </row>
    <row r="995" spans="1:89" s="41" customFormat="1" ht="12.75" customHeight="1">
      <c r="A995" s="25" t="s">
        <v>746</v>
      </c>
      <c r="B995" s="25" t="str">
        <f t="shared" si="333"/>
        <v>Reg Asset182361ABE030223</v>
      </c>
      <c r="C995" s="736">
        <v>182361</v>
      </c>
      <c r="D995" s="738" t="s">
        <v>931</v>
      </c>
      <c r="E995" s="41" t="s">
        <v>986</v>
      </c>
      <c r="F995" s="41" t="str">
        <f t="shared" si="330"/>
        <v>OTH REGULATORY ASSETS-CONTRACT TERMINATIONS-ELEC</v>
      </c>
      <c r="G995" s="41" t="s">
        <v>1108</v>
      </c>
      <c r="H995" s="736" t="s">
        <v>1140</v>
      </c>
      <c r="I995" s="25"/>
      <c r="J995" s="25" t="str">
        <f t="shared" si="331"/>
        <v/>
      </c>
      <c r="K995" s="25" t="str">
        <f t="shared" si="332"/>
        <v/>
      </c>
      <c r="L995" s="736" t="s">
        <v>2441</v>
      </c>
      <c r="M995" s="25" t="str">
        <f t="shared" si="334"/>
        <v>R</v>
      </c>
      <c r="N995" s="25" t="str">
        <f>IF(L995&lt;&gt;"",VLOOKUP(L995,Categories!$B$2:$D$41,2,FALSE),IF(F995&lt;&gt;"","No Cat",""))</f>
        <v>Rate Base</v>
      </c>
      <c r="O995" s="25" t="str">
        <f>IF($L995&lt;&gt;"",VLOOKUP($L995,Categories!$B$2:$D$41,3,FALSE),IF($F995&lt;&gt;"","No Cat",""))</f>
        <v>Deferred Debits &amp; Credits</v>
      </c>
      <c r="P995" s="736" t="s">
        <v>2482</v>
      </c>
      <c r="Q995" s="25" t="str">
        <f>VLOOKUP($P995,Allocators!$B$7:$F$19,5,FALSE)</f>
        <v>Electric</v>
      </c>
      <c r="R995" s="737">
        <f>VLOOKUP($P995,Allocators!$B$7:$F$19,2,FALSE)</f>
        <v>1</v>
      </c>
      <c r="S995" s="737">
        <f>VLOOKUP($P995,Allocators!$B$7:$F$19,3,FALSE)</f>
        <v>0</v>
      </c>
      <c r="T995" s="737" t="str">
        <f t="shared" si="335"/>
        <v>0.0%</v>
      </c>
      <c r="U995" s="2">
        <f t="shared" si="345"/>
        <v>1.36E-13</v>
      </c>
      <c r="V995" s="2">
        <f t="shared" si="346"/>
        <v>0</v>
      </c>
      <c r="W995" s="2">
        <f t="shared" si="347"/>
        <v>0</v>
      </c>
      <c r="X995" s="2">
        <f t="shared" si="343"/>
        <v>1.36E-13</v>
      </c>
      <c r="Y995" s="2" t="str">
        <f t="shared" si="348"/>
        <v/>
      </c>
      <c r="Z995" s="2" t="str">
        <f t="shared" si="349"/>
        <v/>
      </c>
      <c r="AA995" s="2" t="str">
        <f t="shared" si="350"/>
        <v/>
      </c>
      <c r="AB995" s="2">
        <f t="shared" si="344"/>
        <v>0</v>
      </c>
      <c r="AC995" s="734">
        <v>3.2596290111541749E-12</v>
      </c>
      <c r="AD995" s="625">
        <v>0</v>
      </c>
      <c r="AE995" s="625">
        <v>0</v>
      </c>
      <c r="AF995" s="625">
        <v>0</v>
      </c>
      <c r="AG995" s="625">
        <v>0</v>
      </c>
      <c r="AH995" s="625">
        <v>0</v>
      </c>
      <c r="AI995" s="38">
        <v>0</v>
      </c>
      <c r="AJ995" s="625">
        <v>0</v>
      </c>
      <c r="AK995" s="625">
        <v>0</v>
      </c>
      <c r="AL995" s="625">
        <v>0</v>
      </c>
      <c r="AM995" s="625">
        <v>0</v>
      </c>
      <c r="AN995" s="625">
        <v>0</v>
      </c>
      <c r="AO995" s="625">
        <v>0</v>
      </c>
      <c r="AP995" s="41" t="str">
        <f t="shared" si="340"/>
        <v>Reg AssetR</v>
      </c>
      <c r="AQ995" s="41" t="str">
        <f t="shared" si="341"/>
        <v>Reg AssetRR10Allegany</v>
      </c>
      <c r="AR995" s="41" t="str">
        <f t="shared" si="342"/>
        <v>R10Allegany</v>
      </c>
      <c r="CK995" s="625"/>
    </row>
    <row r="996" spans="1:89" s="41" customFormat="1" ht="12.75" customHeight="1">
      <c r="A996" s="442" t="s">
        <v>746</v>
      </c>
      <c r="B996" s="442" t="str">
        <f t="shared" si="333"/>
        <v>Reg Asset182366DSOBE030149</v>
      </c>
      <c r="C996" s="736">
        <v>182366</v>
      </c>
      <c r="D996" s="738" t="s">
        <v>932</v>
      </c>
      <c r="E996" s="626" t="s">
        <v>987</v>
      </c>
      <c r="F996" s="626" t="str">
        <f t="shared" si="330"/>
        <v>OTH REGULATORY ASSETS-DSO ELEC HEDGES (LOSSES)</v>
      </c>
      <c r="G996" s="626" t="s">
        <v>256</v>
      </c>
      <c r="H996" s="736" t="s">
        <v>1133</v>
      </c>
      <c r="I996" s="442"/>
      <c r="J996" s="442" t="str">
        <f t="shared" si="331"/>
        <v/>
      </c>
      <c r="K996" s="442" t="str">
        <f t="shared" si="332"/>
        <v/>
      </c>
      <c r="L996" s="736" t="s">
        <v>2427</v>
      </c>
      <c r="M996" s="442" t="str">
        <f t="shared" si="334"/>
        <v>N</v>
      </c>
      <c r="N996" s="442" t="str">
        <f>IF(L996&lt;&gt;"",VLOOKUP(L996,Categories!$B$2:$D$41,2,FALSE),IF(F996&lt;&gt;"","No Cat",""))</f>
        <v>NRBASE</v>
      </c>
      <c r="O996" s="442" t="str">
        <f>IF($L996&lt;&gt;"",VLOOKUP($L996,Categories!$B$2:$D$41,3,FALSE),IF($F996&lt;&gt;"","No Cat",""))</f>
        <v>Hedges &amp; OCI</v>
      </c>
      <c r="P996" s="736" t="s">
        <v>2468</v>
      </c>
      <c r="Q996" s="442" t="str">
        <f>VLOOKUP($P996,Allocators!$B$7:$F$19,5,FALSE)</f>
        <v>Not in Rate Base</v>
      </c>
      <c r="R996" s="737">
        <f>VLOOKUP($P996,Allocators!$B$7:$F$19,2,FALSE)</f>
        <v>0</v>
      </c>
      <c r="S996" s="737">
        <f>VLOOKUP($P996,Allocators!$B$7:$F$19,3,FALSE)</f>
        <v>0</v>
      </c>
      <c r="T996" s="737">
        <f t="shared" si="335"/>
        <v>1</v>
      </c>
      <c r="U996" s="2">
        <f t="shared" si="345"/>
        <v>0</v>
      </c>
      <c r="V996" s="2">
        <f t="shared" si="346"/>
        <v>0</v>
      </c>
      <c r="W996" s="2">
        <f t="shared" si="347"/>
        <v>1213.42075</v>
      </c>
      <c r="X996" s="2">
        <f t="shared" si="343"/>
        <v>1213.42075</v>
      </c>
      <c r="Y996" s="2">
        <f t="shared" si="348"/>
        <v>0</v>
      </c>
      <c r="Z996" s="2">
        <f t="shared" si="349"/>
        <v>0</v>
      </c>
      <c r="AA996" s="2">
        <f t="shared" si="350"/>
        <v>7151.2820000000002</v>
      </c>
      <c r="AB996" s="2">
        <f t="shared" si="344"/>
        <v>7151.2820000000002</v>
      </c>
      <c r="AC996" s="734">
        <v>171.196</v>
      </c>
      <c r="AD996" s="625">
        <v>0</v>
      </c>
      <c r="AE996" s="625">
        <v>0</v>
      </c>
      <c r="AF996" s="625">
        <v>0</v>
      </c>
      <c r="AG996" s="625">
        <v>0</v>
      </c>
      <c r="AH996" s="625">
        <v>0</v>
      </c>
      <c r="AI996" s="38">
        <v>0</v>
      </c>
      <c r="AJ996" s="625">
        <v>5780.0640000000003</v>
      </c>
      <c r="AK996" s="625">
        <v>1690.8920000000001</v>
      </c>
      <c r="AL996" s="625">
        <v>1648.498</v>
      </c>
      <c r="AM996" s="625">
        <v>1114.19</v>
      </c>
      <c r="AN996" s="625">
        <v>666.16600000000005</v>
      </c>
      <c r="AO996" s="625">
        <v>7151.2820000000002</v>
      </c>
      <c r="AP996" s="41" t="str">
        <f t="shared" si="340"/>
        <v>Reg AssetN</v>
      </c>
      <c r="AQ996" s="41" t="str">
        <f t="shared" si="341"/>
        <v>Reg AssetNN5FAS 133</v>
      </c>
      <c r="AR996" s="41" t="str">
        <f t="shared" si="342"/>
        <v>N5FAS 133</v>
      </c>
      <c r="CK996" s="625"/>
    </row>
    <row r="997" spans="1:89" s="41" customFormat="1" ht="12.75" customHeight="1">
      <c r="A997" s="25" t="s">
        <v>746</v>
      </c>
      <c r="B997" s="25" t="str">
        <f t="shared" ref="B997:B998" si="382">CONCATENATE(A997,C997,D997,E997)</f>
        <v>Reg Asset182367601049BE030369</v>
      </c>
      <c r="C997" s="736">
        <v>182367</v>
      </c>
      <c r="D997" s="738">
        <v>601049</v>
      </c>
      <c r="E997" s="41" t="s">
        <v>1459</v>
      </c>
      <c r="F997" s="41" t="str">
        <f t="shared" si="330"/>
        <v>OTH REG ASSETS - NON-BYPASSABLE CHARGE-NBC</v>
      </c>
      <c r="G997" s="41" t="s">
        <v>2666</v>
      </c>
      <c r="H997" s="736" t="s">
        <v>1141</v>
      </c>
      <c r="I997" s="25"/>
      <c r="J997" s="25" t="str">
        <f t="shared" ref="J997" si="383">IF(L997="N10","Y",IF(L997="N8","Y",""))</f>
        <v/>
      </c>
      <c r="K997" s="25" t="str">
        <f t="shared" ref="K997" si="384">IF(L997="N3","Y","")</f>
        <v/>
      </c>
      <c r="L997" s="736" t="s">
        <v>2441</v>
      </c>
      <c r="M997" s="25" t="str">
        <f t="shared" ref="M997:M998" si="385">LEFT(L997,1)</f>
        <v>R</v>
      </c>
      <c r="N997" s="25" t="str">
        <f>IF(L997&lt;&gt;"",VLOOKUP(L997,Categories!$B$2:$D$41,2,FALSE),IF(F997&lt;&gt;"","No Cat",""))</f>
        <v>Rate Base</v>
      </c>
      <c r="O997" s="25" t="str">
        <f>IF($L997&lt;&gt;"",VLOOKUP($L997,Categories!$B$2:$D$41,3,FALSE),IF($F997&lt;&gt;"","No Cat",""))</f>
        <v>Deferred Debits &amp; Credits</v>
      </c>
      <c r="P997" s="736" t="s">
        <v>2482</v>
      </c>
      <c r="Q997" s="25" t="str">
        <f>VLOOKUP($P997,Allocators!$B$7:$F$19,5,FALSE)</f>
        <v>Electric</v>
      </c>
      <c r="R997" s="737">
        <f>VLOOKUP($P997,Allocators!$B$7:$F$19,2,FALSE)</f>
        <v>1</v>
      </c>
      <c r="S997" s="737">
        <f>VLOOKUP($P997,Allocators!$B$7:$F$19,3,FALSE)</f>
        <v>0</v>
      </c>
      <c r="T997" s="737" t="str">
        <f t="shared" ref="T997:T998" si="386">IF(P997="N",1,"0.0%")</f>
        <v>0.0%</v>
      </c>
      <c r="U997" s="2">
        <f t="shared" si="345"/>
        <v>787.46473249999997</v>
      </c>
      <c r="V997" s="2">
        <f t="shared" si="346"/>
        <v>0</v>
      </c>
      <c r="W997" s="2">
        <f t="shared" si="347"/>
        <v>0</v>
      </c>
      <c r="X997" s="2">
        <f t="shared" si="343"/>
        <v>787.46473249999997</v>
      </c>
      <c r="Y997" s="2">
        <f t="shared" si="348"/>
        <v>1312.326</v>
      </c>
      <c r="Z997" s="2">
        <f t="shared" si="349"/>
        <v>0</v>
      </c>
      <c r="AA997" s="2">
        <f t="shared" si="350"/>
        <v>0</v>
      </c>
      <c r="AB997" s="2">
        <f t="shared" si="344"/>
        <v>1312.3260000000009</v>
      </c>
      <c r="AC997" s="734">
        <v>1920.7629999999999</v>
      </c>
      <c r="AD997" s="625">
        <v>0</v>
      </c>
      <c r="AE997" s="625">
        <v>0</v>
      </c>
      <c r="AF997" s="625">
        <v>0</v>
      </c>
      <c r="AG997" s="625">
        <v>0</v>
      </c>
      <c r="AH997" s="625">
        <v>0</v>
      </c>
      <c r="AI997" s="625">
        <v>3231.8431400000004</v>
      </c>
      <c r="AJ997" s="625">
        <v>1803.0364300000006</v>
      </c>
      <c r="AK997" s="625">
        <v>1060.7397200000007</v>
      </c>
      <c r="AL997" s="625">
        <v>325.70100000000048</v>
      </c>
      <c r="AM997" s="625">
        <v>344.928</v>
      </c>
      <c r="AN997" s="625">
        <v>1066.784000000001</v>
      </c>
      <c r="AO997" s="625">
        <v>1312.3260000000009</v>
      </c>
      <c r="AP997" s="41" t="str">
        <f t="shared" si="340"/>
        <v>Reg AssetR</v>
      </c>
      <c r="AQ997" s="41" t="str">
        <f t="shared" si="341"/>
        <v>Reg AssetRR10NBC True-up</v>
      </c>
      <c r="AR997" s="41" t="str">
        <f t="shared" si="342"/>
        <v>R10NBC True-up</v>
      </c>
      <c r="CK997" s="625"/>
    </row>
    <row r="998" spans="1:89" s="41" customFormat="1" ht="12.75" customHeight="1">
      <c r="A998" s="25" t="s">
        <v>746</v>
      </c>
      <c r="B998" s="25" t="str">
        <f t="shared" si="382"/>
        <v>Reg Asset182367601145BE030589</v>
      </c>
      <c r="C998" s="736">
        <v>182367</v>
      </c>
      <c r="D998" s="738">
        <v>601145</v>
      </c>
      <c r="E998" s="41" t="s">
        <v>4113</v>
      </c>
      <c r="F998" s="41" t="str">
        <f t="shared" si="330"/>
        <v>OTH REG ASSETS - NON-BYPASSABLE CHARGE-NBC</v>
      </c>
      <c r="G998" s="41" t="s">
        <v>2312</v>
      </c>
      <c r="H998" s="736" t="s">
        <v>1141</v>
      </c>
      <c r="I998" s="25"/>
      <c r="J998" s="25" t="str">
        <f t="shared" ref="J998" si="387">IF(L998="N10","Y",IF(L998="N8","Y",""))</f>
        <v/>
      </c>
      <c r="K998" s="25" t="str">
        <f t="shared" ref="K998" si="388">IF(L998="N3","Y","")</f>
        <v/>
      </c>
      <c r="L998" s="736" t="s">
        <v>2441</v>
      </c>
      <c r="M998" s="25" t="str">
        <f t="shared" si="385"/>
        <v>R</v>
      </c>
      <c r="N998" s="25" t="str">
        <f>IF(L998&lt;&gt;"",VLOOKUP(L998,Categories!$B$2:$D$41,2,FALSE),IF(F998&lt;&gt;"","No Cat",""))</f>
        <v>Rate Base</v>
      </c>
      <c r="O998" s="25" t="str">
        <f>IF($L998&lt;&gt;"",VLOOKUP($L998,Categories!$B$2:$D$41,3,FALSE),IF($F998&lt;&gt;"","No Cat",""))</f>
        <v>Deferred Debits &amp; Credits</v>
      </c>
      <c r="P998" s="736" t="s">
        <v>2482</v>
      </c>
      <c r="Q998" s="25" t="str">
        <f>VLOOKUP($P998,Allocators!$B$7:$F$19,5,FALSE)</f>
        <v>Electric</v>
      </c>
      <c r="R998" s="737">
        <f>VLOOKUP($P998,Allocators!$B$7:$F$19,2,FALSE)</f>
        <v>1</v>
      </c>
      <c r="S998" s="737">
        <f>VLOOKUP($P998,Allocators!$B$7:$F$19,3,FALSE)</f>
        <v>0</v>
      </c>
      <c r="T998" s="737" t="str">
        <f t="shared" si="386"/>
        <v>0.0%</v>
      </c>
      <c r="U998" s="2" t="str">
        <f t="shared" si="345"/>
        <v/>
      </c>
      <c r="V998" s="2" t="str">
        <f t="shared" si="346"/>
        <v/>
      </c>
      <c r="W998" s="2" t="str">
        <f t="shared" si="347"/>
        <v/>
      </c>
      <c r="X998" s="2">
        <f t="shared" si="343"/>
        <v>0</v>
      </c>
      <c r="Y998" s="2" t="str">
        <f t="shared" si="348"/>
        <v/>
      </c>
      <c r="Z998" s="2" t="str">
        <f t="shared" si="349"/>
        <v/>
      </c>
      <c r="AA998" s="2" t="str">
        <f t="shared" si="350"/>
        <v/>
      </c>
      <c r="AB998" s="2">
        <f t="shared" si="344"/>
        <v>0</v>
      </c>
      <c r="AC998" s="625">
        <v>0</v>
      </c>
      <c r="AD998" s="625">
        <v>0</v>
      </c>
      <c r="AE998" s="625">
        <v>0</v>
      </c>
      <c r="AF998" s="625">
        <v>0</v>
      </c>
      <c r="AG998" s="625">
        <v>0</v>
      </c>
      <c r="AH998" s="625">
        <v>0</v>
      </c>
      <c r="AI998" s="38">
        <v>0</v>
      </c>
      <c r="AJ998" s="625">
        <v>0</v>
      </c>
      <c r="AK998" s="625">
        <v>0</v>
      </c>
      <c r="AL998" s="625">
        <v>0</v>
      </c>
      <c r="AM998" s="625">
        <v>0</v>
      </c>
      <c r="AN998" s="625">
        <v>0</v>
      </c>
      <c r="AO998" s="625">
        <v>0</v>
      </c>
      <c r="AP998" s="41" t="str">
        <f t="shared" si="340"/>
        <v>Reg AssetR</v>
      </c>
      <c r="AQ998" s="41" t="str">
        <f t="shared" si="341"/>
        <v>Reg AssetRR10NBC True-up</v>
      </c>
      <c r="AR998" s="41" t="str">
        <f t="shared" si="342"/>
        <v>R10NBC True-up</v>
      </c>
      <c r="CK998" s="625"/>
    </row>
    <row r="999" spans="1:89" s="41" customFormat="1" ht="12.75" customHeight="1">
      <c r="A999" s="25" t="s">
        <v>746</v>
      </c>
      <c r="B999" s="25" t="str">
        <f t="shared" si="333"/>
        <v>Reg Asset182367</v>
      </c>
      <c r="C999" s="736">
        <v>182367</v>
      </c>
      <c r="D999" s="738"/>
      <c r="F999" s="41" t="str">
        <f>VLOOKUP(C999,$C$7:$F$787,4,FALSE)</f>
        <v>OTH REG ASSETS - NON-BYPASSABLE CHARGE-NBC</v>
      </c>
      <c r="G999" s="41" t="s">
        <v>1109</v>
      </c>
      <c r="H999" s="736" t="s">
        <v>1141</v>
      </c>
      <c r="I999" s="25"/>
      <c r="J999" s="25" t="str">
        <f t="shared" si="331"/>
        <v/>
      </c>
      <c r="K999" s="25" t="str">
        <f t="shared" si="332"/>
        <v/>
      </c>
      <c r="L999" s="736" t="s">
        <v>2441</v>
      </c>
      <c r="M999" s="25" t="str">
        <f t="shared" si="334"/>
        <v>R</v>
      </c>
      <c r="N999" s="25" t="str">
        <f>IF(L999&lt;&gt;"",VLOOKUP(L999,Categories!$B$2:$D$41,2,FALSE),IF(F999&lt;&gt;"","No Cat",""))</f>
        <v>Rate Base</v>
      </c>
      <c r="O999" s="25" t="str">
        <f>IF($L999&lt;&gt;"",VLOOKUP($L999,Categories!$B$2:$D$41,3,FALSE),IF($F999&lt;&gt;"","No Cat",""))</f>
        <v>Deferred Debits &amp; Credits</v>
      </c>
      <c r="P999" s="736" t="s">
        <v>2482</v>
      </c>
      <c r="Q999" s="25" t="str">
        <f>VLOOKUP($P999,Allocators!$B$7:$F$19,5,FALSE)</f>
        <v>Electric</v>
      </c>
      <c r="R999" s="737">
        <f>VLOOKUP($P999,Allocators!$B$7:$F$19,2,FALSE)</f>
        <v>1</v>
      </c>
      <c r="S999" s="737">
        <f>VLOOKUP($P999,Allocators!$B$7:$F$19,3,FALSE)</f>
        <v>0</v>
      </c>
      <c r="T999" s="737" t="str">
        <f t="shared" si="335"/>
        <v>0.0%</v>
      </c>
      <c r="U999" s="2" t="str">
        <f t="shared" si="345"/>
        <v/>
      </c>
      <c r="V999" s="2" t="str">
        <f t="shared" si="346"/>
        <v/>
      </c>
      <c r="W999" s="2" t="str">
        <f t="shared" si="347"/>
        <v/>
      </c>
      <c r="X999" s="2">
        <f t="shared" si="343"/>
        <v>0</v>
      </c>
      <c r="Y999" s="2" t="str">
        <f t="shared" si="348"/>
        <v/>
      </c>
      <c r="Z999" s="2" t="str">
        <f t="shared" si="349"/>
        <v/>
      </c>
      <c r="AA999" s="2" t="str">
        <f t="shared" si="350"/>
        <v/>
      </c>
      <c r="AB999" s="2">
        <f t="shared" si="344"/>
        <v>0</v>
      </c>
      <c r="AC999" s="625">
        <v>0</v>
      </c>
      <c r="AD999" s="625">
        <v>0</v>
      </c>
      <c r="AE999" s="625">
        <v>0</v>
      </c>
      <c r="AF999" s="625">
        <v>0</v>
      </c>
      <c r="AG999" s="625">
        <v>0</v>
      </c>
      <c r="AH999" s="625">
        <v>0</v>
      </c>
      <c r="AI999" s="38">
        <v>0</v>
      </c>
      <c r="AJ999" s="625">
        <v>0</v>
      </c>
      <c r="AK999" s="625">
        <v>0</v>
      </c>
      <c r="AL999" s="625">
        <v>0</v>
      </c>
      <c r="AM999" s="625">
        <v>0</v>
      </c>
      <c r="AN999" s="625">
        <v>0</v>
      </c>
      <c r="AO999" s="625">
        <v>0</v>
      </c>
      <c r="AP999" s="41" t="str">
        <f t="shared" si="340"/>
        <v>Reg AssetR</v>
      </c>
      <c r="AQ999" s="41" t="str">
        <f t="shared" si="341"/>
        <v>Reg AssetRR10NBC True-up</v>
      </c>
      <c r="AR999" s="41" t="str">
        <f t="shared" si="342"/>
        <v>R10NBC True-up</v>
      </c>
      <c r="CK999" s="625"/>
    </row>
    <row r="1000" spans="1:89" s="41" customFormat="1" ht="12.75" customHeight="1">
      <c r="A1000" s="25" t="s">
        <v>746</v>
      </c>
      <c r="B1000" s="25" t="str">
        <f t="shared" si="333"/>
        <v>Reg Asset182370182370-13BG030089</v>
      </c>
      <c r="C1000" s="736">
        <v>182370</v>
      </c>
      <c r="D1000" s="738" t="s">
        <v>4330</v>
      </c>
      <c r="E1000" s="41" t="s">
        <v>988</v>
      </c>
      <c r="F1000" s="41" t="str">
        <f t="shared" si="330"/>
        <v>OTH REG ASSETS - GCA - CURRENT PERIOD</v>
      </c>
      <c r="G1000" s="41" t="s">
        <v>1110</v>
      </c>
      <c r="H1000" s="736" t="s">
        <v>1142</v>
      </c>
      <c r="I1000" s="25"/>
      <c r="J1000" s="442" t="s">
        <v>7</v>
      </c>
      <c r="K1000" s="25" t="str">
        <f t="shared" si="332"/>
        <v/>
      </c>
      <c r="L1000" s="736" t="s">
        <v>2436</v>
      </c>
      <c r="M1000" s="25" t="str">
        <f t="shared" si="334"/>
        <v>N</v>
      </c>
      <c r="N1000" s="25" t="str">
        <f>IF(L1000&lt;&gt;"",VLOOKUP(L1000,Categories!$B$2:$D$41,2,FALSE),IF(F1000&lt;&gt;"","No Cat",""))</f>
        <v>NRBASE</v>
      </c>
      <c r="O1000" s="25" t="str">
        <f>IF($L1000&lt;&gt;"",VLOOKUP($L1000,Categories!$B$2:$D$41,3,FALSE),IF($F1000&lt;&gt;"","No Cat",""))</f>
        <v>Deferrals Accruing Non-Cash Return   (other than ASGA)</v>
      </c>
      <c r="P1000" s="736" t="s">
        <v>2468</v>
      </c>
      <c r="Q1000" s="25" t="str">
        <f>VLOOKUP($P1000,Allocators!$B$7:$F$19,5,FALSE)</f>
        <v>Not in Rate Base</v>
      </c>
      <c r="R1000" s="737">
        <f>VLOOKUP($P1000,Allocators!$B$7:$F$19,2,FALSE)</f>
        <v>0</v>
      </c>
      <c r="S1000" s="737">
        <f>VLOOKUP($P1000,Allocators!$B$7:$F$19,3,FALSE)</f>
        <v>0</v>
      </c>
      <c r="T1000" s="737">
        <f t="shared" si="335"/>
        <v>1</v>
      </c>
      <c r="U1000" s="2">
        <f t="shared" si="345"/>
        <v>0</v>
      </c>
      <c r="V1000" s="2">
        <f t="shared" si="346"/>
        <v>0</v>
      </c>
      <c r="W1000" s="2">
        <f t="shared" si="347"/>
        <v>165.34335250000001</v>
      </c>
      <c r="X1000" s="2">
        <f t="shared" si="343"/>
        <v>165.34335250000001</v>
      </c>
      <c r="Y1000" s="2" t="str">
        <f t="shared" si="348"/>
        <v/>
      </c>
      <c r="Z1000" s="2" t="str">
        <f t="shared" si="349"/>
        <v/>
      </c>
      <c r="AA1000" s="2" t="str">
        <f t="shared" si="350"/>
        <v/>
      </c>
      <c r="AB1000" s="2">
        <f t="shared" si="344"/>
        <v>0</v>
      </c>
      <c r="AC1000" s="734">
        <v>0</v>
      </c>
      <c r="AD1000" s="625">
        <v>0</v>
      </c>
      <c r="AE1000" s="625">
        <v>0</v>
      </c>
      <c r="AF1000" s="625">
        <v>0</v>
      </c>
      <c r="AG1000" s="625">
        <v>0</v>
      </c>
      <c r="AH1000" s="625">
        <v>0</v>
      </c>
      <c r="AI1000" s="38">
        <v>0</v>
      </c>
      <c r="AJ1000" s="625">
        <v>0</v>
      </c>
      <c r="AK1000" s="625">
        <v>1984.1202300000002</v>
      </c>
      <c r="AL1000" s="625">
        <v>0</v>
      </c>
      <c r="AM1000" s="625">
        <v>0</v>
      </c>
      <c r="AN1000" s="625">
        <v>0</v>
      </c>
      <c r="AO1000" s="625">
        <v>0</v>
      </c>
      <c r="AP1000" s="41" t="str">
        <f t="shared" si="340"/>
        <v>Reg AssetN</v>
      </c>
      <c r="AQ1000" s="41" t="str">
        <f t="shared" si="341"/>
        <v>Reg AssetNN10Gas Costs Deferred</v>
      </c>
      <c r="AR1000" s="41" t="str">
        <f t="shared" si="342"/>
        <v>N10Gas Costs DeferredNCR</v>
      </c>
      <c r="CK1000" s="625"/>
    </row>
    <row r="1001" spans="1:89" s="41" customFormat="1" ht="12.75" customHeight="1">
      <c r="A1001" s="25" t="s">
        <v>746</v>
      </c>
      <c r="B1001" s="25" t="str">
        <f t="shared" ref="B1001" si="389">CONCATENATE(A1001,C1001,D1001,E1001)</f>
        <v>Reg Asset182370182370-14BG030089</v>
      </c>
      <c r="C1001" s="736">
        <v>182370</v>
      </c>
      <c r="D1001" s="738" t="s">
        <v>4328</v>
      </c>
      <c r="E1001" s="41" t="s">
        <v>988</v>
      </c>
      <c r="F1001" s="41" t="str">
        <f t="shared" si="330"/>
        <v>OTH REG ASSETS - GCA - CURRENT PERIOD</v>
      </c>
      <c r="G1001" s="41" t="s">
        <v>4329</v>
      </c>
      <c r="H1001" s="736" t="s">
        <v>1142</v>
      </c>
      <c r="I1001" s="25"/>
      <c r="J1001" s="442" t="s">
        <v>7</v>
      </c>
      <c r="K1001" s="25" t="str">
        <f t="shared" ref="K1001" si="390">IF(L1001="N3","Y","")</f>
        <v/>
      </c>
      <c r="L1001" s="736" t="s">
        <v>2436</v>
      </c>
      <c r="M1001" s="25" t="str">
        <f t="shared" ref="M1001:M1002" si="391">LEFT(L1001,1)</f>
        <v>N</v>
      </c>
      <c r="N1001" s="25" t="str">
        <f>IF(L1001&lt;&gt;"",VLOOKUP(L1001,Categories!$B$2:$D$41,2,FALSE),IF(F1001&lt;&gt;"","No Cat",""))</f>
        <v>NRBASE</v>
      </c>
      <c r="O1001" s="25" t="str">
        <f>IF($L1001&lt;&gt;"",VLOOKUP($L1001,Categories!$B$2:$D$41,3,FALSE),IF($F1001&lt;&gt;"","No Cat",""))</f>
        <v>Deferrals Accruing Non-Cash Return   (other than ASGA)</v>
      </c>
      <c r="P1001" s="736" t="s">
        <v>2468</v>
      </c>
      <c r="Q1001" s="25" t="str">
        <f>VLOOKUP($P1001,Allocators!$B$7:$F$19,5,FALSE)</f>
        <v>Not in Rate Base</v>
      </c>
      <c r="R1001" s="737">
        <f>VLOOKUP($P1001,Allocators!$B$7:$F$19,2,FALSE)</f>
        <v>0</v>
      </c>
      <c r="S1001" s="737">
        <f>VLOOKUP($P1001,Allocators!$B$7:$F$19,3,FALSE)</f>
        <v>0</v>
      </c>
      <c r="T1001" s="737">
        <f t="shared" ref="T1001:T1002" si="392">IF(P1001="N",1,"0.0%")</f>
        <v>1</v>
      </c>
      <c r="U1001" s="2">
        <f t="shared" si="345"/>
        <v>0</v>
      </c>
      <c r="V1001" s="2">
        <f t="shared" si="346"/>
        <v>0</v>
      </c>
      <c r="W1001" s="2">
        <f t="shared" si="347"/>
        <v>357.72701458333302</v>
      </c>
      <c r="X1001" s="2">
        <f t="shared" si="343"/>
        <v>357.72701458333302</v>
      </c>
      <c r="Y1001" s="2" t="str">
        <f t="shared" si="348"/>
        <v/>
      </c>
      <c r="Z1001" s="2" t="str">
        <f t="shared" si="349"/>
        <v/>
      </c>
      <c r="AA1001" s="2" t="str">
        <f t="shared" si="350"/>
        <v/>
      </c>
      <c r="AB1001" s="2">
        <f t="shared" si="344"/>
        <v>0</v>
      </c>
      <c r="AC1001" s="734">
        <v>-2361.5130299999996</v>
      </c>
      <c r="AD1001" s="625">
        <v>0</v>
      </c>
      <c r="AE1001" s="625">
        <v>0</v>
      </c>
      <c r="AF1001" s="625">
        <v>0</v>
      </c>
      <c r="AG1001" s="625">
        <v>0</v>
      </c>
      <c r="AH1001" s="625">
        <v>0</v>
      </c>
      <c r="AI1001" s="38">
        <v>0</v>
      </c>
      <c r="AJ1001" s="625">
        <v>0</v>
      </c>
      <c r="AK1001" s="625">
        <v>-120.10120999999985</v>
      </c>
      <c r="AL1001" s="625">
        <v>1864.5273</v>
      </c>
      <c r="AM1001" s="625">
        <v>1864.5273</v>
      </c>
      <c r="AN1001" s="625">
        <v>1864.5273</v>
      </c>
      <c r="AO1001" s="625">
        <v>0</v>
      </c>
      <c r="AP1001" s="41" t="str">
        <f t="shared" si="340"/>
        <v>Reg AssetN</v>
      </c>
      <c r="AQ1001" s="41" t="str">
        <f t="shared" si="341"/>
        <v>Reg AssetNN10Gas Costs Deferred</v>
      </c>
      <c r="AR1001" s="41" t="str">
        <f t="shared" si="342"/>
        <v>N10Gas Costs DeferredNCR</v>
      </c>
      <c r="CK1001" s="625"/>
    </row>
    <row r="1002" spans="1:89" s="41" customFormat="1" ht="12.75" customHeight="1">
      <c r="A1002" s="25" t="s">
        <v>746</v>
      </c>
      <c r="B1002" s="25" t="str">
        <f t="shared" ref="B1002" si="393">CONCATENATE(A1002,C1002,D1002,E1002)</f>
        <v>Reg Asset182370182371-15BG030216</v>
      </c>
      <c r="C1002" s="736">
        <v>182370</v>
      </c>
      <c r="D1002" s="738" t="s">
        <v>4575</v>
      </c>
      <c r="E1002" s="41" t="s">
        <v>990</v>
      </c>
      <c r="F1002" s="41" t="str">
        <f t="shared" si="330"/>
        <v>OTH REG ASSETS - GCA - CURRENT PERIOD</v>
      </c>
      <c r="G1002" s="41" t="s">
        <v>4574</v>
      </c>
      <c r="H1002" s="736" t="s">
        <v>1143</v>
      </c>
      <c r="I1002" s="25"/>
      <c r="J1002" s="442"/>
      <c r="K1002" s="25"/>
      <c r="L1002" s="736" t="s">
        <v>2421</v>
      </c>
      <c r="M1002" s="442" t="str">
        <f t="shared" si="391"/>
        <v>N</v>
      </c>
      <c r="N1002" s="442" t="str">
        <f>IF(L1002&lt;&gt;"",VLOOKUP(L1002,Categories!$B$2:$D$41,2,FALSE),IF(F1002&lt;&gt;"","No Cat",""))</f>
        <v>NRBASE</v>
      </c>
      <c r="O1002" s="442" t="str">
        <f>IF($L1002&lt;&gt;"",VLOOKUP($L1002,Categories!$B$2:$D$41,3,FALSE),IF($F1002&lt;&gt;"","No Cat",""))</f>
        <v>Direct Assign Items Not in RB</v>
      </c>
      <c r="P1002" s="736" t="s">
        <v>2468</v>
      </c>
      <c r="Q1002" s="442" t="str">
        <f>VLOOKUP($P1002,Allocators!$B$7:$F$19,5,FALSE)</f>
        <v>Not in Rate Base</v>
      </c>
      <c r="R1002" s="737">
        <f>VLOOKUP($P1002,Allocators!$B$7:$F$19,2,FALSE)</f>
        <v>0</v>
      </c>
      <c r="S1002" s="737">
        <f>VLOOKUP($P1002,Allocators!$B$7:$F$19,3,FALSE)</f>
        <v>0</v>
      </c>
      <c r="T1002" s="737">
        <f t="shared" si="392"/>
        <v>1</v>
      </c>
      <c r="U1002" s="2">
        <f t="shared" ref="U1002" si="394">IF(ABS(X1002)=0,"",IF($R1002="NO ALLOC","NO ALLOC",ROUND($R1002*X1002,15)))</f>
        <v>0</v>
      </c>
      <c r="V1002" s="2">
        <f t="shared" ref="V1002" si="395">IF(ABS(X1002)=0,"",IF($S1002="NO ALLOC","NO ALLOC",ROUND($S1002*X1002,15)))</f>
        <v>0</v>
      </c>
      <c r="W1002" s="2">
        <f t="shared" ref="W1002" si="396">IF(ABS(X1002)=0,"",IF($T1002="NO ALLOC","NO ALLOC",ROUND($T1002*X1002,15)))</f>
        <v>1.0416666666666701</v>
      </c>
      <c r="X1002" s="2">
        <f t="shared" ref="X1002" si="397">IF(ISERROR(ROUND((SUM(AC1002:AO1002)-((AC1002+AO1002))/2)/12,15)),"",ROUND((SUM(AC1002:AO1002)-((AC1002+AO1002))/2)/12,15))</f>
        <v>1.0416666666666701</v>
      </c>
      <c r="Y1002" s="2">
        <f t="shared" ref="Y1002" si="398">IF(ABS(AB1002)=0,"",IF($R1002="NO ALLOC","NO ALLOC",ROUND($R1002*AB1002,15)))</f>
        <v>0</v>
      </c>
      <c r="Z1002" s="2">
        <f t="shared" ref="Z1002" si="399">IF(ABS(AB1002)=0,"",IF($S1002="NO ALLOC","NO ALLOC",ROUND($S1002*AB1002,15)))</f>
        <v>0</v>
      </c>
      <c r="AA1002" s="2">
        <f t="shared" ref="AA1002" si="400">IF(ABS(AB1002)=0,"",IF($T1002="NO ALLOC","NO ALLOC",ROUND($T1002*AB1002,15)))</f>
        <v>25</v>
      </c>
      <c r="AB1002" s="2">
        <f t="shared" ref="AB1002" si="401">IF(AO1002="",0,+AO1002)</f>
        <v>25</v>
      </c>
      <c r="AC1002" s="734"/>
      <c r="AD1002" s="625"/>
      <c r="AE1002" s="625"/>
      <c r="AF1002" s="625"/>
      <c r="AG1002" s="625"/>
      <c r="AH1002" s="625"/>
      <c r="AI1002" s="38"/>
      <c r="AJ1002" s="625"/>
      <c r="AK1002" s="625"/>
      <c r="AL1002" s="625"/>
      <c r="AM1002" s="625"/>
      <c r="AN1002" s="625"/>
      <c r="AO1002" s="625">
        <v>25</v>
      </c>
      <c r="AP1002" s="41" t="str">
        <f t="shared" si="340"/>
        <v>Reg AssetN</v>
      </c>
      <c r="AQ1002" s="41" t="str">
        <f t="shared" si="341"/>
        <v>Reg AssetNN2GCIM - Shareholder</v>
      </c>
      <c r="AR1002" s="41" t="str">
        <f t="shared" si="342"/>
        <v>N2GCIM - Shareholder</v>
      </c>
      <c r="CK1002" s="625"/>
    </row>
    <row r="1003" spans="1:89" s="41" customFormat="1" ht="12.75" customHeight="1">
      <c r="A1003" s="25" t="s">
        <v>746</v>
      </c>
      <c r="B1003" s="25" t="str">
        <f t="shared" ref="B1003" si="402">CONCATENATE(A1003,C1003,D1003,E1003)</f>
        <v>Reg Asset182370182370-15BG030089</v>
      </c>
      <c r="C1003" s="736">
        <v>182370</v>
      </c>
      <c r="D1003" s="738" t="s">
        <v>4497</v>
      </c>
      <c r="E1003" s="41" t="s">
        <v>988</v>
      </c>
      <c r="F1003" s="41" t="str">
        <f t="shared" si="330"/>
        <v>OTH REG ASSETS - GCA - CURRENT PERIOD</v>
      </c>
      <c r="G1003" s="41" t="s">
        <v>4329</v>
      </c>
      <c r="H1003" s="736"/>
      <c r="I1003" s="25"/>
      <c r="J1003" s="442"/>
      <c r="K1003" s="25"/>
      <c r="L1003" s="736"/>
      <c r="M1003" s="25"/>
      <c r="N1003" s="25"/>
      <c r="O1003" s="25"/>
      <c r="P1003" s="736"/>
      <c r="Q1003" s="25"/>
      <c r="R1003" s="737"/>
      <c r="S1003" s="737"/>
      <c r="T1003" s="737"/>
      <c r="U1003" s="2">
        <f t="shared" si="345"/>
        <v>0</v>
      </c>
      <c r="V1003" s="2">
        <f t="shared" si="346"/>
        <v>0</v>
      </c>
      <c r="W1003" s="2">
        <f t="shared" si="347"/>
        <v>0</v>
      </c>
      <c r="X1003" s="2">
        <f t="shared" si="343"/>
        <v>414.91510249999999</v>
      </c>
      <c r="Y1003" s="2" t="str">
        <f t="shared" si="348"/>
        <v/>
      </c>
      <c r="Z1003" s="2" t="str">
        <f t="shared" si="349"/>
        <v/>
      </c>
      <c r="AA1003" s="2" t="str">
        <f t="shared" si="350"/>
        <v/>
      </c>
      <c r="AB1003" s="2">
        <f t="shared" si="344"/>
        <v>0</v>
      </c>
      <c r="AC1003" s="734"/>
      <c r="AD1003" s="625"/>
      <c r="AE1003" s="625"/>
      <c r="AF1003" s="625"/>
      <c r="AG1003" s="625"/>
      <c r="AH1003" s="625"/>
      <c r="AI1003" s="38"/>
      <c r="AJ1003" s="625"/>
      <c r="AK1003" s="625"/>
      <c r="AL1003" s="625">
        <v>1975.7770600000001</v>
      </c>
      <c r="AM1003" s="625">
        <v>1364.6485700000001</v>
      </c>
      <c r="AN1003" s="625">
        <v>1638.5556000000001</v>
      </c>
      <c r="AO1003" s="625">
        <v>0</v>
      </c>
      <c r="AP1003" s="41" t="str">
        <f t="shared" si="340"/>
        <v>Reg Asset</v>
      </c>
      <c r="AQ1003" s="41" t="str">
        <f t="shared" si="341"/>
        <v>Reg Asset</v>
      </c>
      <c r="AR1003" s="41" t="str">
        <f t="shared" si="342"/>
        <v/>
      </c>
      <c r="CK1003" s="625"/>
    </row>
    <row r="1004" spans="1:89" s="41" customFormat="1" ht="12.75" customHeight="1">
      <c r="A1004" s="442" t="s">
        <v>746</v>
      </c>
      <c r="B1004" s="442" t="str">
        <f t="shared" si="333"/>
        <v>Reg Asset182371182371BG030158</v>
      </c>
      <c r="C1004" s="736">
        <v>182371</v>
      </c>
      <c r="D1004" s="738">
        <v>182371</v>
      </c>
      <c r="E1004" s="626" t="s">
        <v>989</v>
      </c>
      <c r="F1004" s="626" t="str">
        <f t="shared" si="330"/>
        <v>OTH REG ASSETS - GCA - PRIOR PERIOD</v>
      </c>
      <c r="G1004" s="626" t="s">
        <v>259</v>
      </c>
      <c r="H1004" s="736" t="s">
        <v>1142</v>
      </c>
      <c r="I1004" s="442"/>
      <c r="J1004" s="442" t="s">
        <v>7</v>
      </c>
      <c r="K1004" s="442" t="str">
        <f t="shared" si="332"/>
        <v/>
      </c>
      <c r="L1004" s="736" t="s">
        <v>2436</v>
      </c>
      <c r="M1004" s="442" t="str">
        <f t="shared" si="334"/>
        <v>N</v>
      </c>
      <c r="N1004" s="442" t="str">
        <f>IF(L1004&lt;&gt;"",VLOOKUP(L1004,Categories!$B$2:$D$41,2,FALSE),IF(F1004&lt;&gt;"","No Cat",""))</f>
        <v>NRBASE</v>
      </c>
      <c r="O1004" s="442" t="str">
        <f>IF($L1004&lt;&gt;"",VLOOKUP($L1004,Categories!$B$2:$D$41,3,FALSE),IF($F1004&lt;&gt;"","No Cat",""))</f>
        <v>Deferrals Accruing Non-Cash Return   (other than ASGA)</v>
      </c>
      <c r="P1004" s="736" t="s">
        <v>2468</v>
      </c>
      <c r="Q1004" s="442" t="str">
        <f>VLOOKUP($P1004,Allocators!$B$7:$F$19,5,FALSE)</f>
        <v>Not in Rate Base</v>
      </c>
      <c r="R1004" s="737">
        <f>VLOOKUP($P1004,Allocators!$B$7:$F$19,2,FALSE)</f>
        <v>0</v>
      </c>
      <c r="S1004" s="737">
        <f>VLOOKUP($P1004,Allocators!$B$7:$F$19,3,FALSE)</f>
        <v>0</v>
      </c>
      <c r="T1004" s="737">
        <f t="shared" si="335"/>
        <v>1</v>
      </c>
      <c r="U1004" s="2">
        <f t="shared" si="345"/>
        <v>0</v>
      </c>
      <c r="V1004" s="2">
        <f t="shared" si="346"/>
        <v>0</v>
      </c>
      <c r="W1004" s="2">
        <f t="shared" si="347"/>
        <v>-210.90293708333201</v>
      </c>
      <c r="X1004" s="2">
        <f t="shared" si="343"/>
        <v>-210.90293708333201</v>
      </c>
      <c r="Y1004" s="2">
        <f t="shared" si="348"/>
        <v>0</v>
      </c>
      <c r="Z1004" s="2">
        <f t="shared" si="349"/>
        <v>0</v>
      </c>
      <c r="AA1004" s="2">
        <f t="shared" si="350"/>
        <v>1551.3840399999999</v>
      </c>
      <c r="AB1004" s="2">
        <f t="shared" si="344"/>
        <v>1551.3840400000013</v>
      </c>
      <c r="AC1004" s="734">
        <v>-629.98732999999925</v>
      </c>
      <c r="AD1004" s="625">
        <v>-512.53696999999897</v>
      </c>
      <c r="AE1004" s="625">
        <v>-413.15132999999889</v>
      </c>
      <c r="AF1004" s="625">
        <v>-317.91607999999889</v>
      </c>
      <c r="AG1004" s="625">
        <v>-273.6049699999989</v>
      </c>
      <c r="AH1004" s="625">
        <v>-254.46878999999896</v>
      </c>
      <c r="AI1004" s="625">
        <v>-243.12285999999898</v>
      </c>
      <c r="AJ1004" s="625">
        <v>-232.37903999999895</v>
      </c>
      <c r="AK1004" s="625">
        <v>-225.81321999999895</v>
      </c>
      <c r="AL1004" s="625">
        <v>-212.76983999999894</v>
      </c>
      <c r="AM1004" s="625">
        <v>-185.80280999999894</v>
      </c>
      <c r="AN1004" s="625">
        <v>-119.96768999999895</v>
      </c>
      <c r="AO1004" s="625">
        <v>1551.3840400000013</v>
      </c>
      <c r="AP1004" s="41" t="str">
        <f t="shared" si="340"/>
        <v>Reg AssetN</v>
      </c>
      <c r="AQ1004" s="41" t="str">
        <f t="shared" si="341"/>
        <v>Reg AssetNN10Gas Costs Deferred</v>
      </c>
      <c r="AR1004" s="41" t="str">
        <f t="shared" si="342"/>
        <v>N10Gas Costs DeferredNCR</v>
      </c>
      <c r="CK1004" s="625"/>
    </row>
    <row r="1005" spans="1:89" s="41" customFormat="1" ht="12.75" customHeight="1">
      <c r="A1005" s="442" t="s">
        <v>746</v>
      </c>
      <c r="B1005" s="442" t="str">
        <f t="shared" si="333"/>
        <v>Reg Asset182372182372BG030216</v>
      </c>
      <c r="C1005" s="736">
        <v>182372</v>
      </c>
      <c r="D1005" s="738">
        <v>182372</v>
      </c>
      <c r="E1005" s="626" t="s">
        <v>990</v>
      </c>
      <c r="F1005" s="626" t="str">
        <f t="shared" si="330"/>
        <v>OTH REG ASSETS - GAS CAPACITY RELEASE S/HOLDER</v>
      </c>
      <c r="G1005" s="626" t="s">
        <v>260</v>
      </c>
      <c r="H1005" s="736" t="s">
        <v>1143</v>
      </c>
      <c r="I1005" s="442"/>
      <c r="J1005" s="442" t="str">
        <f t="shared" si="331"/>
        <v/>
      </c>
      <c r="K1005" s="442" t="str">
        <f t="shared" si="332"/>
        <v/>
      </c>
      <c r="L1005" s="736" t="s">
        <v>2421</v>
      </c>
      <c r="M1005" s="442" t="str">
        <f t="shared" si="334"/>
        <v>N</v>
      </c>
      <c r="N1005" s="442" t="str">
        <f>IF(L1005&lt;&gt;"",VLOOKUP(L1005,Categories!$B$2:$D$41,2,FALSE),IF(F1005&lt;&gt;"","No Cat",""))</f>
        <v>NRBASE</v>
      </c>
      <c r="O1005" s="442" t="str">
        <f>IF($L1005&lt;&gt;"",VLOOKUP($L1005,Categories!$B$2:$D$41,3,FALSE),IF($F1005&lt;&gt;"","No Cat",""))</f>
        <v>Direct Assign Items Not in RB</v>
      </c>
      <c r="P1005" s="736" t="s">
        <v>2468</v>
      </c>
      <c r="Q1005" s="442" t="str">
        <f>VLOOKUP($P1005,Allocators!$B$7:$F$19,5,FALSE)</f>
        <v>Not in Rate Base</v>
      </c>
      <c r="R1005" s="737">
        <f>VLOOKUP($P1005,Allocators!$B$7:$F$19,2,FALSE)</f>
        <v>0</v>
      </c>
      <c r="S1005" s="737">
        <f>VLOOKUP($P1005,Allocators!$B$7:$F$19,3,FALSE)</f>
        <v>0</v>
      </c>
      <c r="T1005" s="737">
        <f t="shared" si="335"/>
        <v>1</v>
      </c>
      <c r="U1005" s="2" t="str">
        <f t="shared" si="345"/>
        <v/>
      </c>
      <c r="V1005" s="2" t="str">
        <f t="shared" si="346"/>
        <v/>
      </c>
      <c r="W1005" s="2" t="str">
        <f t="shared" si="347"/>
        <v/>
      </c>
      <c r="X1005" s="2">
        <f t="shared" si="343"/>
        <v>0</v>
      </c>
      <c r="Y1005" s="2" t="str">
        <f t="shared" si="348"/>
        <v/>
      </c>
      <c r="Z1005" s="2" t="str">
        <f t="shared" si="349"/>
        <v/>
      </c>
      <c r="AA1005" s="2" t="str">
        <f t="shared" si="350"/>
        <v/>
      </c>
      <c r="AB1005" s="2">
        <f t="shared" si="344"/>
        <v>0</v>
      </c>
      <c r="AC1005" s="625">
        <v>0</v>
      </c>
      <c r="AD1005" s="625">
        <v>0</v>
      </c>
      <c r="AE1005" s="625">
        <v>0</v>
      </c>
      <c r="AF1005" s="625">
        <v>0</v>
      </c>
      <c r="AG1005" s="625">
        <v>0</v>
      </c>
      <c r="AH1005" s="625">
        <v>0</v>
      </c>
      <c r="AI1005" s="38">
        <v>0</v>
      </c>
      <c r="AJ1005" s="625">
        <v>0</v>
      </c>
      <c r="AK1005" s="625">
        <v>0</v>
      </c>
      <c r="AL1005" s="625">
        <v>0</v>
      </c>
      <c r="AM1005" s="625">
        <v>0</v>
      </c>
      <c r="AN1005" s="625">
        <v>0</v>
      </c>
      <c r="AO1005" s="625">
        <v>0</v>
      </c>
      <c r="AP1005" s="41" t="str">
        <f t="shared" si="340"/>
        <v>Reg AssetN</v>
      </c>
      <c r="AQ1005" s="41" t="str">
        <f t="shared" si="341"/>
        <v>Reg AssetNN2GCIM - Shareholder</v>
      </c>
      <c r="AR1005" s="41" t="str">
        <f t="shared" si="342"/>
        <v>N2GCIM - Shareholder</v>
      </c>
      <c r="CK1005" s="625"/>
    </row>
    <row r="1006" spans="1:89" s="41" customFormat="1" ht="12.75" customHeight="1">
      <c r="A1006" s="442" t="s">
        <v>746</v>
      </c>
      <c r="B1006" s="442" t="str">
        <f t="shared" si="333"/>
        <v>Reg Asset182375Nat GasBG030162</v>
      </c>
      <c r="C1006" s="736">
        <v>182375</v>
      </c>
      <c r="D1006" s="738" t="s">
        <v>933</v>
      </c>
      <c r="E1006" s="626" t="s">
        <v>991</v>
      </c>
      <c r="F1006" s="626" t="str">
        <f t="shared" si="330"/>
        <v>OTH REGULATORY ASSETS-GAS HEDGES (LOSSES)</v>
      </c>
      <c r="G1006" s="626" t="s">
        <v>1111</v>
      </c>
      <c r="H1006" s="736" t="s">
        <v>1133</v>
      </c>
      <c r="I1006" s="442"/>
      <c r="J1006" s="442" t="str">
        <f t="shared" si="331"/>
        <v/>
      </c>
      <c r="K1006" s="442" t="str">
        <f t="shared" si="332"/>
        <v/>
      </c>
      <c r="L1006" s="736" t="s">
        <v>2427</v>
      </c>
      <c r="M1006" s="442" t="str">
        <f t="shared" si="334"/>
        <v>N</v>
      </c>
      <c r="N1006" s="442" t="str">
        <f>IF(L1006&lt;&gt;"",VLOOKUP(L1006,Categories!$B$2:$D$41,2,FALSE),IF(F1006&lt;&gt;"","No Cat",""))</f>
        <v>NRBASE</v>
      </c>
      <c r="O1006" s="442" t="str">
        <f>IF($L1006&lt;&gt;"",VLOOKUP($L1006,Categories!$B$2:$D$41,3,FALSE),IF($F1006&lt;&gt;"","No Cat",""))</f>
        <v>Hedges &amp; OCI</v>
      </c>
      <c r="P1006" s="736" t="s">
        <v>2468</v>
      </c>
      <c r="Q1006" s="442" t="str">
        <f>VLOOKUP($P1006,Allocators!$B$7:$F$19,5,FALSE)</f>
        <v>Not in Rate Base</v>
      </c>
      <c r="R1006" s="737">
        <f>VLOOKUP($P1006,Allocators!$B$7:$F$19,2,FALSE)</f>
        <v>0</v>
      </c>
      <c r="S1006" s="737">
        <f>VLOOKUP($P1006,Allocators!$B$7:$F$19,3,FALSE)</f>
        <v>0</v>
      </c>
      <c r="T1006" s="737">
        <f t="shared" si="335"/>
        <v>1</v>
      </c>
      <c r="U1006" s="2">
        <f t="shared" si="345"/>
        <v>0</v>
      </c>
      <c r="V1006" s="2">
        <f t="shared" si="346"/>
        <v>0</v>
      </c>
      <c r="W1006" s="2">
        <f t="shared" si="347"/>
        <v>300.25875000000002</v>
      </c>
      <c r="X1006" s="2">
        <f t="shared" si="343"/>
        <v>300.25875000000002</v>
      </c>
      <c r="Y1006" s="2">
        <f t="shared" si="348"/>
        <v>0</v>
      </c>
      <c r="Z1006" s="2">
        <f t="shared" si="349"/>
        <v>0</v>
      </c>
      <c r="AA1006" s="2">
        <f t="shared" si="350"/>
        <v>2413.9699999999998</v>
      </c>
      <c r="AB1006" s="2">
        <f t="shared" si="344"/>
        <v>2413.9699999999998</v>
      </c>
      <c r="AC1006" s="734">
        <v>0</v>
      </c>
      <c r="AD1006" s="625">
        <v>0</v>
      </c>
      <c r="AE1006" s="625">
        <v>0</v>
      </c>
      <c r="AF1006" s="625">
        <v>0</v>
      </c>
      <c r="AG1006" s="625">
        <v>0</v>
      </c>
      <c r="AH1006" s="625">
        <v>0</v>
      </c>
      <c r="AI1006" s="38">
        <v>0</v>
      </c>
      <c r="AJ1006" s="625">
        <v>598.41999999999996</v>
      </c>
      <c r="AK1006" s="625">
        <v>148.66</v>
      </c>
      <c r="AL1006" s="625">
        <v>180.03</v>
      </c>
      <c r="AM1006" s="625">
        <v>947.98</v>
      </c>
      <c r="AN1006" s="625">
        <v>521.03</v>
      </c>
      <c r="AO1006" s="625">
        <v>2413.9699999999998</v>
      </c>
      <c r="AP1006" s="41" t="str">
        <f t="shared" si="340"/>
        <v>Reg AssetN</v>
      </c>
      <c r="AQ1006" s="41" t="str">
        <f t="shared" si="341"/>
        <v>Reg AssetNN5FAS 133</v>
      </c>
      <c r="AR1006" s="41" t="str">
        <f t="shared" si="342"/>
        <v>N5FAS 133</v>
      </c>
      <c r="CK1006" s="625"/>
    </row>
    <row r="1007" spans="1:89" s="41" customFormat="1" ht="12.75" customHeight="1">
      <c r="A1007" s="25" t="s">
        <v>746</v>
      </c>
      <c r="B1007" s="25" t="str">
        <f t="shared" si="333"/>
        <v>Reg Asset182380BE030272</v>
      </c>
      <c r="C1007" s="736">
        <v>182380</v>
      </c>
      <c r="D1007" s="738"/>
      <c r="E1007" s="41" t="s">
        <v>992</v>
      </c>
      <c r="F1007" s="41" t="str">
        <f t="shared" si="330"/>
        <v>OTH REG ASSETS - NM2 DEFERRED PLANT</v>
      </c>
      <c r="G1007" s="41" t="s">
        <v>1112</v>
      </c>
      <c r="H1007" s="736" t="s">
        <v>1144</v>
      </c>
      <c r="I1007" s="25"/>
      <c r="J1007" s="25" t="str">
        <f t="shared" si="331"/>
        <v/>
      </c>
      <c r="K1007" s="25" t="str">
        <f t="shared" si="332"/>
        <v/>
      </c>
      <c r="L1007" s="736" t="s">
        <v>2441</v>
      </c>
      <c r="M1007" s="25" t="str">
        <f t="shared" si="334"/>
        <v>R</v>
      </c>
      <c r="N1007" s="25" t="str">
        <f>IF(L1007&lt;&gt;"",VLOOKUP(L1007,Categories!$B$2:$D$41,2,FALSE),IF(F1007&lt;&gt;"","No Cat",""))</f>
        <v>Rate Base</v>
      </c>
      <c r="O1007" s="25" t="str">
        <f>IF($L1007&lt;&gt;"",VLOOKUP($L1007,Categories!$B$2:$D$41,3,FALSE),IF($F1007&lt;&gt;"","No Cat",""))</f>
        <v>Deferred Debits &amp; Credits</v>
      </c>
      <c r="P1007" s="736" t="s">
        <v>2482</v>
      </c>
      <c r="Q1007" s="25" t="str">
        <f>VLOOKUP($P1007,Allocators!$B$7:$F$19,5,FALSE)</f>
        <v>Electric</v>
      </c>
      <c r="R1007" s="737">
        <f>VLOOKUP($P1007,Allocators!$B$7:$F$19,2,FALSE)</f>
        <v>1</v>
      </c>
      <c r="S1007" s="737">
        <f>VLOOKUP($P1007,Allocators!$B$7:$F$19,3,FALSE)</f>
        <v>0</v>
      </c>
      <c r="T1007" s="737" t="str">
        <f t="shared" si="335"/>
        <v>0.0%</v>
      </c>
      <c r="U1007" s="2">
        <f t="shared" si="345"/>
        <v>1.72E-13</v>
      </c>
      <c r="V1007" s="2">
        <f t="shared" si="346"/>
        <v>0</v>
      </c>
      <c r="W1007" s="2">
        <f t="shared" si="347"/>
        <v>0</v>
      </c>
      <c r="X1007" s="2">
        <f t="shared" si="343"/>
        <v>1.72E-13</v>
      </c>
      <c r="Y1007" s="2" t="str">
        <f t="shared" si="348"/>
        <v/>
      </c>
      <c r="Z1007" s="2" t="str">
        <f t="shared" si="349"/>
        <v/>
      </c>
      <c r="AA1007" s="2" t="str">
        <f t="shared" si="350"/>
        <v/>
      </c>
      <c r="AB1007" s="2">
        <f t="shared" si="344"/>
        <v>0</v>
      </c>
      <c r="AC1007" s="734">
        <v>4.1327439248561855E-12</v>
      </c>
      <c r="AD1007" s="625">
        <v>0</v>
      </c>
      <c r="AE1007" s="625">
        <v>0</v>
      </c>
      <c r="AF1007" s="625">
        <v>0</v>
      </c>
      <c r="AG1007" s="625">
        <v>0</v>
      </c>
      <c r="AH1007" s="625">
        <v>0</v>
      </c>
      <c r="AI1007" s="38">
        <v>0</v>
      </c>
      <c r="AJ1007" s="625">
        <v>0</v>
      </c>
      <c r="AK1007" s="625">
        <v>0</v>
      </c>
      <c r="AL1007" s="625">
        <v>0</v>
      </c>
      <c r="AM1007" s="625">
        <v>0</v>
      </c>
      <c r="AN1007" s="625">
        <v>0</v>
      </c>
      <c r="AO1007" s="625">
        <v>0</v>
      </c>
      <c r="AP1007" s="41" t="str">
        <f t="shared" si="340"/>
        <v>Reg AssetR</v>
      </c>
      <c r="AQ1007" s="41" t="str">
        <f t="shared" si="341"/>
        <v>Reg AssetRR10Nine Mile Mirror CWIP</v>
      </c>
      <c r="AR1007" s="41" t="str">
        <f t="shared" si="342"/>
        <v>R10Nine Mile Mirror CWIP</v>
      </c>
      <c r="CK1007" s="625"/>
    </row>
    <row r="1008" spans="1:89" s="41" customFormat="1" ht="12.75" customHeight="1">
      <c r="A1008" s="25" t="s">
        <v>746</v>
      </c>
      <c r="B1008" s="25" t="str">
        <f t="shared" si="333"/>
        <v>Reg Asset182381BE030276</v>
      </c>
      <c r="C1008" s="736">
        <v>182381</v>
      </c>
      <c r="D1008" s="738"/>
      <c r="E1008" s="41" t="s">
        <v>993</v>
      </c>
      <c r="F1008" s="41" t="str">
        <f t="shared" si="330"/>
        <v>OTH REG ASSETS - NM2 SALE OF PLANT ASSETS</v>
      </c>
      <c r="G1008" s="41" t="s">
        <v>262</v>
      </c>
      <c r="H1008" s="736" t="s">
        <v>1145</v>
      </c>
      <c r="I1008" s="25"/>
      <c r="J1008" s="25" t="str">
        <f t="shared" si="331"/>
        <v/>
      </c>
      <c r="K1008" s="25" t="str">
        <f t="shared" si="332"/>
        <v/>
      </c>
      <c r="L1008" s="736" t="s">
        <v>2441</v>
      </c>
      <c r="M1008" s="25" t="str">
        <f t="shared" si="334"/>
        <v>R</v>
      </c>
      <c r="N1008" s="25" t="str">
        <f>IF(L1008&lt;&gt;"",VLOOKUP(L1008,Categories!$B$2:$D$41,2,FALSE),IF(F1008&lt;&gt;"","No Cat",""))</f>
        <v>Rate Base</v>
      </c>
      <c r="O1008" s="25" t="str">
        <f>IF($L1008&lt;&gt;"",VLOOKUP($L1008,Categories!$B$2:$D$41,3,FALSE),IF($F1008&lt;&gt;"","No Cat",""))</f>
        <v>Deferred Debits &amp; Credits</v>
      </c>
      <c r="P1008" s="736" t="s">
        <v>2482</v>
      </c>
      <c r="Q1008" s="25" t="str">
        <f>VLOOKUP($P1008,Allocators!$B$7:$F$19,5,FALSE)</f>
        <v>Electric</v>
      </c>
      <c r="R1008" s="737">
        <f>VLOOKUP($P1008,Allocators!$B$7:$F$19,2,FALSE)</f>
        <v>1</v>
      </c>
      <c r="S1008" s="737">
        <f>VLOOKUP($P1008,Allocators!$B$7:$F$19,3,FALSE)</f>
        <v>0</v>
      </c>
      <c r="T1008" s="737" t="str">
        <f t="shared" si="335"/>
        <v>0.0%</v>
      </c>
      <c r="U1008" s="2" t="str">
        <f t="shared" si="345"/>
        <v/>
      </c>
      <c r="V1008" s="2" t="str">
        <f t="shared" si="346"/>
        <v/>
      </c>
      <c r="W1008" s="2" t="str">
        <f t="shared" si="347"/>
        <v/>
      </c>
      <c r="X1008" s="2">
        <f t="shared" si="343"/>
        <v>0</v>
      </c>
      <c r="Y1008" s="2" t="str">
        <f t="shared" si="348"/>
        <v/>
      </c>
      <c r="Z1008" s="2" t="str">
        <f t="shared" si="349"/>
        <v/>
      </c>
      <c r="AA1008" s="2" t="str">
        <f t="shared" si="350"/>
        <v/>
      </c>
      <c r="AB1008" s="2">
        <f t="shared" si="344"/>
        <v>0</v>
      </c>
      <c r="AC1008" s="734">
        <v>0</v>
      </c>
      <c r="AD1008" s="625">
        <v>0</v>
      </c>
      <c r="AE1008" s="625">
        <v>0</v>
      </c>
      <c r="AF1008" s="625">
        <v>0</v>
      </c>
      <c r="AG1008" s="625">
        <v>0</v>
      </c>
      <c r="AH1008" s="625">
        <v>0</v>
      </c>
      <c r="AI1008" s="38">
        <v>0</v>
      </c>
      <c r="AJ1008" s="625">
        <v>0</v>
      </c>
      <c r="AK1008" s="625">
        <v>0</v>
      </c>
      <c r="AL1008" s="625">
        <v>0</v>
      </c>
      <c r="AM1008" s="625">
        <v>0</v>
      </c>
      <c r="AN1008" s="625">
        <v>0</v>
      </c>
      <c r="AO1008" s="625">
        <v>0</v>
      </c>
      <c r="AP1008" s="41" t="str">
        <f t="shared" si="340"/>
        <v>Reg AssetR</v>
      </c>
      <c r="AQ1008" s="41" t="str">
        <f t="shared" si="341"/>
        <v>Reg AssetRR10NM2 Sale</v>
      </c>
      <c r="AR1008" s="41" t="str">
        <f t="shared" si="342"/>
        <v>R10NM2 Sale</v>
      </c>
      <c r="CK1008" s="625"/>
    </row>
    <row r="1009" spans="1:89" s="41" customFormat="1" ht="12.75" customHeight="1">
      <c r="A1009" s="442" t="s">
        <v>746</v>
      </c>
      <c r="B1009" s="442" t="str">
        <f t="shared" si="333"/>
        <v>Reg Asset254012601207BE030416</v>
      </c>
      <c r="C1009" s="736">
        <v>254012</v>
      </c>
      <c r="D1009" s="738">
        <v>601207</v>
      </c>
      <c r="E1009" s="626" t="s">
        <v>759</v>
      </c>
      <c r="F1009" s="626" t="str">
        <f t="shared" si="330"/>
        <v>OTH REG LIAB - EXCESS EARNINGS (ESM)</v>
      </c>
      <c r="G1009" s="626" t="s">
        <v>1146</v>
      </c>
      <c r="H1009" s="736" t="s">
        <v>813</v>
      </c>
      <c r="I1009" s="442"/>
      <c r="J1009" s="442" t="s">
        <v>7</v>
      </c>
      <c r="K1009" s="442" t="str">
        <f t="shared" si="332"/>
        <v/>
      </c>
      <c r="L1009" s="736" t="s">
        <v>2436</v>
      </c>
      <c r="M1009" s="442" t="str">
        <f t="shared" si="334"/>
        <v>N</v>
      </c>
      <c r="N1009" s="442" t="str">
        <f>IF(L1009&lt;&gt;"",VLOOKUP(L1009,Categories!$B$2:$D$41,2,FALSE),IF(F1009&lt;&gt;"","No Cat",""))</f>
        <v>NRBASE</v>
      </c>
      <c r="O1009" s="442" t="str">
        <f>IF($L1009&lt;&gt;"",VLOOKUP($L1009,Categories!$B$2:$D$41,3,FALSE),IF($F1009&lt;&gt;"","No Cat",""))</f>
        <v>Deferrals Accruing Non-Cash Return   (other than ASGA)</v>
      </c>
      <c r="P1009" s="736" t="s">
        <v>2468</v>
      </c>
      <c r="Q1009" s="442" t="str">
        <f>VLOOKUP($P1009,Allocators!$B$7:$F$19,5,FALSE)</f>
        <v>Not in Rate Base</v>
      </c>
      <c r="R1009" s="737">
        <f>VLOOKUP($P1009,Allocators!$B$7:$F$19,2,FALSE)</f>
        <v>0</v>
      </c>
      <c r="S1009" s="737">
        <f>VLOOKUP($P1009,Allocators!$B$7:$F$19,3,FALSE)</f>
        <v>0</v>
      </c>
      <c r="T1009" s="737">
        <f t="shared" si="335"/>
        <v>1</v>
      </c>
      <c r="U1009" s="2" t="str">
        <f t="shared" si="345"/>
        <v/>
      </c>
      <c r="V1009" s="2" t="str">
        <f t="shared" si="346"/>
        <v/>
      </c>
      <c r="W1009" s="2" t="str">
        <f t="shared" si="347"/>
        <v/>
      </c>
      <c r="X1009" s="2">
        <f t="shared" si="343"/>
        <v>0</v>
      </c>
      <c r="Y1009" s="2" t="str">
        <f t="shared" si="348"/>
        <v/>
      </c>
      <c r="Z1009" s="2" t="str">
        <f t="shared" si="349"/>
        <v/>
      </c>
      <c r="AA1009" s="2" t="str">
        <f t="shared" si="350"/>
        <v/>
      </c>
      <c r="AB1009" s="2">
        <f t="shared" si="344"/>
        <v>0</v>
      </c>
      <c r="AC1009" s="625">
        <v>0</v>
      </c>
      <c r="AD1009" s="625">
        <v>0</v>
      </c>
      <c r="AE1009" s="625">
        <v>0</v>
      </c>
      <c r="AG1009" s="625">
        <v>0</v>
      </c>
      <c r="AH1009" s="826"/>
      <c r="AI1009" s="38"/>
      <c r="AJ1009" s="625">
        <v>0</v>
      </c>
      <c r="AK1009" s="625">
        <v>0</v>
      </c>
      <c r="AL1009" s="625">
        <v>0</v>
      </c>
      <c r="AM1009" s="625">
        <v>0</v>
      </c>
      <c r="AN1009" s="625">
        <v>0</v>
      </c>
      <c r="AO1009" s="625">
        <v>0</v>
      </c>
      <c r="AP1009" s="41" t="str">
        <f t="shared" si="340"/>
        <v>Reg AssetN</v>
      </c>
      <c r="AQ1009" s="41" t="str">
        <f t="shared" si="341"/>
        <v>Reg AssetNN10ESM</v>
      </c>
      <c r="AR1009" s="41" t="str">
        <f t="shared" si="342"/>
        <v>N10ESMNCR</v>
      </c>
      <c r="CK1009" s="625"/>
    </row>
    <row r="1010" spans="1:89" s="41" customFormat="1" ht="12.75" customHeight="1">
      <c r="A1010" s="442" t="s">
        <v>746</v>
      </c>
      <c r="B1010" s="442" t="str">
        <f t="shared" ref="B1010:B1011" si="403">CONCATENATE(A1010,C1010,D1010,E1010)</f>
        <v>Reg Asset254012601207-11BE030416</v>
      </c>
      <c r="C1010" s="736">
        <v>254012</v>
      </c>
      <c r="D1010" s="738" t="s">
        <v>4256</v>
      </c>
      <c r="E1010" s="626" t="s">
        <v>759</v>
      </c>
      <c r="F1010" s="626" t="str">
        <f t="shared" si="330"/>
        <v>OTH REG LIAB - EXCESS EARNINGS (ESM)</v>
      </c>
      <c r="G1010" s="626" t="s">
        <v>1146</v>
      </c>
      <c r="H1010" s="736" t="s">
        <v>813</v>
      </c>
      <c r="I1010" s="442"/>
      <c r="J1010" s="442" t="s">
        <v>7</v>
      </c>
      <c r="K1010" s="442" t="str">
        <f t="shared" ref="K1010:K1011" si="404">IF(L1010="N3","Y","")</f>
        <v/>
      </c>
      <c r="L1010" s="736" t="s">
        <v>2436</v>
      </c>
      <c r="M1010" s="442" t="str">
        <f t="shared" ref="M1010:M1011" si="405">LEFT(L1010,1)</f>
        <v>N</v>
      </c>
      <c r="N1010" s="442" t="str">
        <f>IF(L1010&lt;&gt;"",VLOOKUP(L1010,Categories!$B$2:$D$41,2,FALSE),IF(F1010&lt;&gt;"","No Cat",""))</f>
        <v>NRBASE</v>
      </c>
      <c r="O1010" s="442" t="str">
        <f>IF($L1010&lt;&gt;"",VLOOKUP($L1010,Categories!$B$2:$D$41,3,FALSE),IF($F1010&lt;&gt;"","No Cat",""))</f>
        <v>Deferrals Accruing Non-Cash Return   (other than ASGA)</v>
      </c>
      <c r="P1010" s="736" t="s">
        <v>2468</v>
      </c>
      <c r="Q1010" s="442" t="str">
        <f>VLOOKUP($P1010,Allocators!$B$7:$F$19,5,FALSE)</f>
        <v>Not in Rate Base</v>
      </c>
      <c r="R1010" s="737">
        <f>VLOOKUP($P1010,Allocators!$B$7:$F$19,2,FALSE)</f>
        <v>0</v>
      </c>
      <c r="S1010" s="737">
        <f>VLOOKUP($P1010,Allocators!$B$7:$F$19,3,FALSE)</f>
        <v>0</v>
      </c>
      <c r="T1010" s="737">
        <f t="shared" ref="T1010:T1011" si="406">IF(P1010="N",1,"0.0%")</f>
        <v>1</v>
      </c>
      <c r="U1010" s="2">
        <f t="shared" si="345"/>
        <v>0</v>
      </c>
      <c r="V1010" s="2">
        <f t="shared" si="346"/>
        <v>0</v>
      </c>
      <c r="W1010" s="2">
        <f t="shared" si="347"/>
        <v>-5320.0053138333296</v>
      </c>
      <c r="X1010" s="2">
        <f t="shared" si="343"/>
        <v>-5320.0053138333296</v>
      </c>
      <c r="Y1010" s="2">
        <f t="shared" si="348"/>
        <v>0</v>
      </c>
      <c r="Z1010" s="2">
        <f t="shared" si="349"/>
        <v>0</v>
      </c>
      <c r="AA1010" s="2">
        <f t="shared" si="350"/>
        <v>-4999.0857329999999</v>
      </c>
      <c r="AB1010" s="2">
        <f t="shared" si="344"/>
        <v>-4999.0857329999999</v>
      </c>
      <c r="AC1010" s="734">
        <v>-5162.8239530000001</v>
      </c>
      <c r="AD1010" s="625">
        <v>-5192.0829830000002</v>
      </c>
      <c r="AE1010" s="625">
        <v>-5221.5078329999997</v>
      </c>
      <c r="AF1010" s="625">
        <v>-5251.0994430000001</v>
      </c>
      <c r="AG1010" s="625">
        <v>-5280.8587529999995</v>
      </c>
      <c r="AH1010" s="625">
        <v>-5310.7867129999995</v>
      </c>
      <c r="AI1010" s="625">
        <v>-5340.8842829999994</v>
      </c>
      <c r="AJ1010" s="625">
        <v>-5371.1524229999995</v>
      </c>
      <c r="AK1010" s="625">
        <v>-5401.592102999999</v>
      </c>
      <c r="AL1010" s="625">
        <v>-5432.2042929999998</v>
      </c>
      <c r="AM1010" s="625">
        <v>-5462.9899729999997</v>
      </c>
      <c r="AN1010" s="625">
        <v>-5493.9501229999996</v>
      </c>
      <c r="AO1010" s="625">
        <v>-4999.0857329999999</v>
      </c>
      <c r="AP1010" s="41" t="str">
        <f t="shared" si="340"/>
        <v>Reg AssetN</v>
      </c>
      <c r="AQ1010" s="41" t="str">
        <f t="shared" si="341"/>
        <v>Reg AssetNN10ESM</v>
      </c>
      <c r="AR1010" s="41" t="str">
        <f t="shared" si="342"/>
        <v>N10ESMNCR</v>
      </c>
      <c r="CK1010" s="625"/>
    </row>
    <row r="1011" spans="1:89" s="41" customFormat="1" ht="12.75" customHeight="1">
      <c r="A1011" s="442" t="s">
        <v>746</v>
      </c>
      <c r="B1011" s="442" t="str">
        <f t="shared" si="403"/>
        <v>Reg Asset254012601207-12BE030416</v>
      </c>
      <c r="C1011" s="736">
        <v>254012</v>
      </c>
      <c r="D1011" s="738" t="s">
        <v>4257</v>
      </c>
      <c r="E1011" s="626" t="s">
        <v>759</v>
      </c>
      <c r="F1011" s="626" t="str">
        <f t="shared" si="330"/>
        <v>OTH REG LIAB - EXCESS EARNINGS (ESM)</v>
      </c>
      <c r="G1011" s="626" t="s">
        <v>1146</v>
      </c>
      <c r="H1011" s="736" t="s">
        <v>813</v>
      </c>
      <c r="I1011" s="442"/>
      <c r="J1011" s="442" t="s">
        <v>7</v>
      </c>
      <c r="K1011" s="442" t="str">
        <f t="shared" si="404"/>
        <v/>
      </c>
      <c r="L1011" s="736" t="s">
        <v>2436</v>
      </c>
      <c r="M1011" s="442" t="str">
        <f t="shared" si="405"/>
        <v>N</v>
      </c>
      <c r="N1011" s="442" t="str">
        <f>IF(L1011&lt;&gt;"",VLOOKUP(L1011,Categories!$B$2:$D$41,2,FALSE),IF(F1011&lt;&gt;"","No Cat",""))</f>
        <v>NRBASE</v>
      </c>
      <c r="O1011" s="442" t="str">
        <f>IF($L1011&lt;&gt;"",VLOOKUP($L1011,Categories!$B$2:$D$41,3,FALSE),IF($F1011&lt;&gt;"","No Cat",""))</f>
        <v>Deferrals Accruing Non-Cash Return   (other than ASGA)</v>
      </c>
      <c r="P1011" s="736" t="s">
        <v>2468</v>
      </c>
      <c r="Q1011" s="442" t="str">
        <f>VLOOKUP($P1011,Allocators!$B$7:$F$19,5,FALSE)</f>
        <v>Not in Rate Base</v>
      </c>
      <c r="R1011" s="737">
        <f>VLOOKUP($P1011,Allocators!$B$7:$F$19,2,FALSE)</f>
        <v>0</v>
      </c>
      <c r="S1011" s="737">
        <f>VLOOKUP($P1011,Allocators!$B$7:$F$19,3,FALSE)</f>
        <v>0</v>
      </c>
      <c r="T1011" s="737">
        <f t="shared" si="406"/>
        <v>1</v>
      </c>
      <c r="U1011" s="2">
        <f t="shared" si="345"/>
        <v>0</v>
      </c>
      <c r="V1011" s="2">
        <f t="shared" si="346"/>
        <v>0</v>
      </c>
      <c r="W1011" s="2">
        <f t="shared" si="347"/>
        <v>-2313.75777666667</v>
      </c>
      <c r="X1011" s="2">
        <f t="shared" si="343"/>
        <v>-2313.75777666667</v>
      </c>
      <c r="Y1011" s="2">
        <f t="shared" si="348"/>
        <v>0</v>
      </c>
      <c r="Z1011" s="2">
        <f t="shared" si="349"/>
        <v>0</v>
      </c>
      <c r="AA1011" s="2">
        <f t="shared" si="350"/>
        <v>-2229.4611799999998</v>
      </c>
      <c r="AB1011" s="2">
        <f t="shared" si="344"/>
        <v>-2229.4611799999998</v>
      </c>
      <c r="AC1011" s="734">
        <v>-2243.0708000000009</v>
      </c>
      <c r="AD1011" s="625">
        <v>-2255.7828499999996</v>
      </c>
      <c r="AE1011" s="625">
        <v>-2268.5669399999997</v>
      </c>
      <c r="AF1011" s="625">
        <v>-2281.4234799999995</v>
      </c>
      <c r="AG1011" s="625">
        <v>-2294.3528799999995</v>
      </c>
      <c r="AH1011" s="625">
        <v>-2307.3555599999995</v>
      </c>
      <c r="AI1011" s="625">
        <v>-2320.4319299999997</v>
      </c>
      <c r="AJ1011" s="625">
        <v>-2333.5824099999995</v>
      </c>
      <c r="AK1011" s="625">
        <v>-2346.8074099999999</v>
      </c>
      <c r="AL1011" s="625">
        <v>-2360.10736</v>
      </c>
      <c r="AM1011" s="625">
        <v>-2373.4826899999998</v>
      </c>
      <c r="AN1011" s="625">
        <v>-2386.9338199999997</v>
      </c>
      <c r="AO1011" s="625">
        <v>-2229.4611799999998</v>
      </c>
      <c r="AP1011" s="41" t="str">
        <f t="shared" si="340"/>
        <v>Reg AssetN</v>
      </c>
      <c r="AQ1011" s="41" t="str">
        <f t="shared" si="341"/>
        <v>Reg AssetNN10ESM</v>
      </c>
      <c r="AR1011" s="41" t="str">
        <f t="shared" si="342"/>
        <v>N10ESMNCR</v>
      </c>
      <c r="CK1011" s="625"/>
    </row>
    <row r="1012" spans="1:89" s="41" customFormat="1" ht="12.75" customHeight="1">
      <c r="A1012" s="442" t="s">
        <v>746</v>
      </c>
      <c r="B1012" s="442" t="str">
        <f t="shared" ref="B1012" si="407">CONCATENATE(A1012,C1012,D1012,E1012)</f>
        <v>Reg Asset254012601257BG030416</v>
      </c>
      <c r="C1012" s="736">
        <v>254012</v>
      </c>
      <c r="D1012" s="738">
        <v>601257</v>
      </c>
      <c r="E1012" s="626" t="s">
        <v>4102</v>
      </c>
      <c r="F1012" s="626" t="str">
        <f t="shared" si="330"/>
        <v>OTH REG LIAB - EXCESS EARNINGS (ESM)</v>
      </c>
      <c r="G1012" s="626" t="s">
        <v>4101</v>
      </c>
      <c r="H1012" s="736" t="s">
        <v>813</v>
      </c>
      <c r="I1012" s="442"/>
      <c r="J1012" s="442" t="s">
        <v>7</v>
      </c>
      <c r="K1012" s="442" t="str">
        <f t="shared" ref="K1012" si="408">IF(L1012="N3","Y","")</f>
        <v/>
      </c>
      <c r="L1012" s="736" t="s">
        <v>2436</v>
      </c>
      <c r="M1012" s="442" t="str">
        <f t="shared" ref="M1012" si="409">LEFT(L1012,1)</f>
        <v>N</v>
      </c>
      <c r="N1012" s="442" t="str">
        <f>IF(L1012&lt;&gt;"",VLOOKUP(L1012,Categories!$B$2:$D$41,2,FALSE),IF(F1012&lt;&gt;"","No Cat",""))</f>
        <v>NRBASE</v>
      </c>
      <c r="O1012" s="442" t="str">
        <f>IF($L1012&lt;&gt;"",VLOOKUP($L1012,Categories!$B$2:$D$41,3,FALSE),IF($F1012&lt;&gt;"","No Cat",""))</f>
        <v>Deferrals Accruing Non-Cash Return   (other than ASGA)</v>
      </c>
      <c r="P1012" s="736" t="s">
        <v>2468</v>
      </c>
      <c r="Q1012" s="442" t="str">
        <f>VLOOKUP($P1012,Allocators!$B$7:$F$19,5,FALSE)</f>
        <v>Not in Rate Base</v>
      </c>
      <c r="R1012" s="737">
        <f>VLOOKUP($P1012,Allocators!$B$7:$F$19,2,FALSE)</f>
        <v>0</v>
      </c>
      <c r="S1012" s="737">
        <f>VLOOKUP($P1012,Allocators!$B$7:$F$19,3,FALSE)</f>
        <v>0</v>
      </c>
      <c r="T1012" s="737">
        <f t="shared" ref="T1012" si="410">IF(P1012="N",1,"0.0%")</f>
        <v>1</v>
      </c>
      <c r="U1012" s="2">
        <f t="shared" si="345"/>
        <v>0</v>
      </c>
      <c r="V1012" s="2">
        <f t="shared" si="346"/>
        <v>0</v>
      </c>
      <c r="W1012" s="2">
        <f t="shared" si="347"/>
        <v>-987.09427916666698</v>
      </c>
      <c r="X1012" s="2">
        <f t="shared" si="343"/>
        <v>-987.09427916666698</v>
      </c>
      <c r="Y1012" s="2">
        <f t="shared" si="348"/>
        <v>0</v>
      </c>
      <c r="Z1012" s="2">
        <f t="shared" si="349"/>
        <v>0</v>
      </c>
      <c r="AA1012" s="2">
        <f t="shared" si="350"/>
        <v>-1020.93976</v>
      </c>
      <c r="AB1012" s="2">
        <f t="shared" si="344"/>
        <v>-1020.9397600000001</v>
      </c>
      <c r="AC1012" s="734">
        <v>-954.00007999999991</v>
      </c>
      <c r="AD1012" s="625">
        <v>-959.40664000000015</v>
      </c>
      <c r="AE1012" s="625">
        <v>-964.84384000000011</v>
      </c>
      <c r="AF1012" s="625">
        <v>-970.31185000000005</v>
      </c>
      <c r="AG1012" s="625">
        <v>-975.81085000000007</v>
      </c>
      <c r="AH1012" s="625">
        <v>-981.34102000000019</v>
      </c>
      <c r="AI1012" s="625">
        <v>-986.90253000000018</v>
      </c>
      <c r="AJ1012" s="625">
        <v>-992.49556000000018</v>
      </c>
      <c r="AK1012" s="625">
        <v>-998.12028000000009</v>
      </c>
      <c r="AL1012" s="625">
        <v>-1003.7768800000001</v>
      </c>
      <c r="AM1012" s="625">
        <v>-1009.4655400000001</v>
      </c>
      <c r="AN1012" s="625">
        <v>-1015.1864400000002</v>
      </c>
      <c r="AO1012" s="625">
        <v>-1020.9397600000001</v>
      </c>
      <c r="AP1012" s="41" t="str">
        <f t="shared" si="340"/>
        <v>Reg AssetN</v>
      </c>
      <c r="AQ1012" s="41" t="str">
        <f t="shared" si="341"/>
        <v>Reg AssetNN10ESM</v>
      </c>
      <c r="AR1012" s="41" t="str">
        <f t="shared" si="342"/>
        <v>N10ESMNCR</v>
      </c>
      <c r="CK1012" s="625"/>
    </row>
    <row r="1013" spans="1:89" s="41" customFormat="1" ht="12.75" customHeight="1">
      <c r="A1013" s="25" t="s">
        <v>746</v>
      </c>
      <c r="B1013" s="25" t="str">
        <f t="shared" si="333"/>
        <v>Reg Asset254013BC030562</v>
      </c>
      <c r="C1013" s="736">
        <v>254013</v>
      </c>
      <c r="D1013" s="738"/>
      <c r="E1013" s="41" t="s">
        <v>979</v>
      </c>
      <c r="F1013" s="41" t="str">
        <f t="shared" si="330"/>
        <v>OTH REG LIAB -OTHER POST EMPLOYMENT BENEFIT (OPEB</v>
      </c>
      <c r="G1013" s="41" t="s">
        <v>1147</v>
      </c>
      <c r="H1013" s="736" t="s">
        <v>1135</v>
      </c>
      <c r="I1013" s="25"/>
      <c r="J1013" s="25" t="str">
        <f t="shared" si="331"/>
        <v/>
      </c>
      <c r="K1013" s="25" t="str">
        <f t="shared" si="332"/>
        <v/>
      </c>
      <c r="L1013" s="736" t="s">
        <v>2441</v>
      </c>
      <c r="M1013" s="25" t="str">
        <f t="shared" si="334"/>
        <v>R</v>
      </c>
      <c r="N1013" s="25" t="str">
        <f>IF(L1013&lt;&gt;"",VLOOKUP(L1013,Categories!$B$2:$D$41,2,FALSE),IF(F1013&lt;&gt;"","No Cat",""))</f>
        <v>Rate Base</v>
      </c>
      <c r="O1013" s="25" t="str">
        <f>IF($L1013&lt;&gt;"",VLOOKUP($L1013,Categories!$B$2:$D$41,3,FALSE),IF($F1013&lt;&gt;"","No Cat",""))</f>
        <v>Deferred Debits &amp; Credits</v>
      </c>
      <c r="P1013" s="736" t="s">
        <v>2487</v>
      </c>
      <c r="Q1013" s="25" t="str">
        <f>VLOOKUP($P1013,Allocators!$B$7:$F$19,5,FALSE)</f>
        <v>Payroll</v>
      </c>
      <c r="R1013" s="737">
        <f>VLOOKUP($P1013,Allocators!$B$7:$F$19,2,FALSE)</f>
        <v>0.61780000000000002</v>
      </c>
      <c r="S1013" s="737">
        <f>VLOOKUP($P1013,Allocators!$B$7:$F$19,3,FALSE)</f>
        <v>0.38219999999999998</v>
      </c>
      <c r="T1013" s="737" t="str">
        <f t="shared" si="335"/>
        <v>0.0%</v>
      </c>
      <c r="U1013" s="2">
        <f t="shared" si="345"/>
        <v>-2515.41800739267</v>
      </c>
      <c r="V1013" s="2">
        <f t="shared" si="346"/>
        <v>-1556.155329274</v>
      </c>
      <c r="W1013" s="2">
        <f t="shared" si="347"/>
        <v>0</v>
      </c>
      <c r="X1013" s="2">
        <f t="shared" si="343"/>
        <v>-4071.57333666667</v>
      </c>
      <c r="Y1013" s="2" t="str">
        <f t="shared" si="348"/>
        <v/>
      </c>
      <c r="Z1013" s="2" t="str">
        <f t="shared" si="349"/>
        <v/>
      </c>
      <c r="AA1013" s="2" t="str">
        <f t="shared" si="350"/>
        <v/>
      </c>
      <c r="AB1013" s="2">
        <f t="shared" si="344"/>
        <v>0</v>
      </c>
      <c r="AC1013" s="734">
        <v>-5087.8829599999999</v>
      </c>
      <c r="AD1013" s="625">
        <v>-4941.6439600000003</v>
      </c>
      <c r="AE1013" s="625">
        <v>-4795.4049599999998</v>
      </c>
      <c r="AF1013" s="625">
        <v>-4649.1659600000003</v>
      </c>
      <c r="AG1013" s="625">
        <v>-4502.9269599999998</v>
      </c>
      <c r="AH1013" s="625">
        <v>-4356.6879600000002</v>
      </c>
      <c r="AI1013" s="625">
        <v>-4210.4489599999997</v>
      </c>
      <c r="AJ1013" s="625">
        <v>-4064.2099600000001</v>
      </c>
      <c r="AK1013" s="625">
        <v>-3917.9709600000001</v>
      </c>
      <c r="AL1013" s="625">
        <v>-3771.7319600000001</v>
      </c>
      <c r="AM1013" s="625">
        <v>-3625.49296</v>
      </c>
      <c r="AN1013" s="625">
        <v>-3479.25396</v>
      </c>
      <c r="AO1013" s="625">
        <v>0</v>
      </c>
      <c r="AP1013" s="41" t="str">
        <f t="shared" si="340"/>
        <v>Reg AssetR</v>
      </c>
      <c r="AQ1013" s="41" t="str">
        <f t="shared" si="341"/>
        <v>Reg AssetRR10OPEB Reserve</v>
      </c>
      <c r="AR1013" s="41" t="str">
        <f t="shared" si="342"/>
        <v>R10OPEB Reserve</v>
      </c>
      <c r="CK1013" s="625"/>
    </row>
    <row r="1014" spans="1:89" s="41" customFormat="1" ht="12.75" customHeight="1">
      <c r="A1014" s="442" t="s">
        <v>746</v>
      </c>
      <c r="B1014" s="442" t="str">
        <f t="shared" si="333"/>
        <v>Reg Asset254015BG039999</v>
      </c>
      <c r="C1014" s="736">
        <v>254015</v>
      </c>
      <c r="D1014" s="738"/>
      <c r="E1014" s="626" t="s">
        <v>1148</v>
      </c>
      <c r="F1014" s="626" t="str">
        <f t="shared" si="330"/>
        <v>OTH REG LIAB - PGA ITEMS - OTHER - GAS</v>
      </c>
      <c r="G1014" s="626" t="s">
        <v>1149</v>
      </c>
      <c r="H1014" s="736" t="s">
        <v>1142</v>
      </c>
      <c r="I1014" s="442"/>
      <c r="J1014" s="442" t="s">
        <v>7</v>
      </c>
      <c r="K1014" s="442" t="str">
        <f t="shared" si="332"/>
        <v/>
      </c>
      <c r="L1014" s="736" t="s">
        <v>2436</v>
      </c>
      <c r="M1014" s="442" t="str">
        <f t="shared" si="334"/>
        <v>N</v>
      </c>
      <c r="N1014" s="442" t="str">
        <f>IF(L1014&lt;&gt;"",VLOOKUP(L1014,Categories!$B$2:$D$41,2,FALSE),IF(F1014&lt;&gt;"","No Cat",""))</f>
        <v>NRBASE</v>
      </c>
      <c r="O1014" s="442" t="str">
        <f>IF($L1014&lt;&gt;"",VLOOKUP($L1014,Categories!$B$2:$D$41,3,FALSE),IF($F1014&lt;&gt;"","No Cat",""))</f>
        <v>Deferrals Accruing Non-Cash Return   (other than ASGA)</v>
      </c>
      <c r="P1014" s="736" t="s">
        <v>2468</v>
      </c>
      <c r="Q1014" s="442" t="str">
        <f>VLOOKUP($P1014,Allocators!$B$7:$F$19,5,FALSE)</f>
        <v>Not in Rate Base</v>
      </c>
      <c r="R1014" s="737">
        <f>VLOOKUP($P1014,Allocators!$B$7:$F$19,2,FALSE)</f>
        <v>0</v>
      </c>
      <c r="S1014" s="737">
        <f>VLOOKUP($P1014,Allocators!$B$7:$F$19,3,FALSE)</f>
        <v>0</v>
      </c>
      <c r="T1014" s="737">
        <f t="shared" si="335"/>
        <v>1</v>
      </c>
      <c r="U1014" s="2" t="str">
        <f t="shared" si="345"/>
        <v/>
      </c>
      <c r="V1014" s="2" t="str">
        <f t="shared" si="346"/>
        <v/>
      </c>
      <c r="W1014" s="2" t="str">
        <f t="shared" si="347"/>
        <v/>
      </c>
      <c r="X1014" s="2">
        <f t="shared" si="343"/>
        <v>0</v>
      </c>
      <c r="Y1014" s="2" t="str">
        <f t="shared" si="348"/>
        <v/>
      </c>
      <c r="Z1014" s="2" t="str">
        <f t="shared" si="349"/>
        <v/>
      </c>
      <c r="AA1014" s="2" t="str">
        <f t="shared" si="350"/>
        <v/>
      </c>
      <c r="AB1014" s="2">
        <f t="shared" si="344"/>
        <v>0</v>
      </c>
      <c r="AC1014" s="734">
        <v>0</v>
      </c>
      <c r="AD1014" s="625">
        <v>0</v>
      </c>
      <c r="AE1014" s="625">
        <v>0</v>
      </c>
      <c r="AF1014" s="38">
        <v>0</v>
      </c>
      <c r="AG1014" s="625">
        <v>0</v>
      </c>
      <c r="AH1014" s="625">
        <v>0</v>
      </c>
      <c r="AI1014" s="625">
        <v>0</v>
      </c>
      <c r="AJ1014" s="625">
        <v>0</v>
      </c>
      <c r="AK1014" s="625">
        <v>0</v>
      </c>
      <c r="AL1014" s="625">
        <v>0</v>
      </c>
      <c r="AM1014" s="625">
        <v>0</v>
      </c>
      <c r="AN1014" s="625">
        <v>0</v>
      </c>
      <c r="AO1014" s="625">
        <v>0</v>
      </c>
      <c r="AP1014" s="41" t="str">
        <f t="shared" si="340"/>
        <v>Reg AssetN</v>
      </c>
      <c r="AQ1014" s="41" t="str">
        <f t="shared" si="341"/>
        <v>Reg AssetNN10Gas Costs Deferred</v>
      </c>
      <c r="AR1014" s="41" t="str">
        <f t="shared" si="342"/>
        <v>N10Gas Costs DeferredNCR</v>
      </c>
      <c r="CK1014" s="625"/>
    </row>
    <row r="1015" spans="1:89" s="41" customFormat="1" ht="12.75" customHeight="1">
      <c r="A1015" s="442" t="s">
        <v>746</v>
      </c>
      <c r="B1015" s="442" t="str">
        <f t="shared" ref="B1015" si="411">CONCATENATE(A1015,C1015,D1015,E1015)</f>
        <v>Reg Asset254015182370-14BG039999</v>
      </c>
      <c r="C1015" s="736">
        <v>254015</v>
      </c>
      <c r="D1015" s="738" t="s">
        <v>4328</v>
      </c>
      <c r="E1015" s="626" t="s">
        <v>1148</v>
      </c>
      <c r="F1015" s="626" t="str">
        <f t="shared" si="330"/>
        <v>OTH REG LIAB - PGA ITEMS - OTHER - GAS</v>
      </c>
      <c r="G1015" s="41" t="s">
        <v>4409</v>
      </c>
      <c r="H1015" s="736" t="s">
        <v>1142</v>
      </c>
      <c r="I1015" s="442"/>
      <c r="J1015" s="442" t="s">
        <v>7</v>
      </c>
      <c r="K1015" s="442"/>
      <c r="L1015" s="736" t="s">
        <v>2436</v>
      </c>
      <c r="M1015" s="442" t="str">
        <f t="shared" si="334"/>
        <v>N</v>
      </c>
      <c r="N1015" s="442" t="str">
        <f>IF(L1015&lt;&gt;"",VLOOKUP(L1015,Categories!$B$2:$D$41,2,FALSE),IF(F1015&lt;&gt;"","No Cat",""))</f>
        <v>NRBASE</v>
      </c>
      <c r="O1015" s="442" t="str">
        <f>IF($L1015&lt;&gt;"",VLOOKUP($L1015,Categories!$B$2:$D$41,3,FALSE),IF($F1015&lt;&gt;"","No Cat",""))</f>
        <v>Deferrals Accruing Non-Cash Return   (other than ASGA)</v>
      </c>
      <c r="P1015" s="736" t="s">
        <v>2468</v>
      </c>
      <c r="Q1015" s="442" t="str">
        <f>VLOOKUP($P1015,Allocators!$B$7:$F$19,5,FALSE)</f>
        <v>Not in Rate Base</v>
      </c>
      <c r="R1015" s="737">
        <f>VLOOKUP($P1015,Allocators!$B$7:$F$19,2,FALSE)</f>
        <v>0</v>
      </c>
      <c r="S1015" s="737">
        <f>VLOOKUP($P1015,Allocators!$B$7:$F$19,3,FALSE)</f>
        <v>0</v>
      </c>
      <c r="T1015" s="737">
        <f t="shared" ref="T1015" si="412">IF(P1015="N",1,"0.0%")</f>
        <v>1</v>
      </c>
      <c r="U1015" s="2">
        <f t="shared" si="345"/>
        <v>0</v>
      </c>
      <c r="V1015" s="2">
        <f t="shared" si="346"/>
        <v>0</v>
      </c>
      <c r="W1015" s="2">
        <f t="shared" si="347"/>
        <v>-1242.563375</v>
      </c>
      <c r="X1015" s="2">
        <f t="shared" si="343"/>
        <v>-1242.563375</v>
      </c>
      <c r="Y1015" s="2" t="str">
        <f t="shared" si="348"/>
        <v/>
      </c>
      <c r="Z1015" s="2" t="str">
        <f t="shared" si="349"/>
        <v/>
      </c>
      <c r="AA1015" s="2" t="str">
        <f t="shared" si="350"/>
        <v/>
      </c>
      <c r="AB1015" s="2">
        <f t="shared" si="344"/>
        <v>0</v>
      </c>
      <c r="AC1015" s="734"/>
      <c r="AD1015" s="625">
        <v>-2497.55503</v>
      </c>
      <c r="AE1015" s="625">
        <v>-1054.7816499999999</v>
      </c>
      <c r="AF1015" s="625">
        <v>-3047.38661</v>
      </c>
      <c r="AG1015" s="625">
        <v>-3577.3178899999998</v>
      </c>
      <c r="AH1015" s="625">
        <v>-2877.57332</v>
      </c>
      <c r="AI1015" s="625">
        <v>-1446.31593</v>
      </c>
      <c r="AJ1015" s="625">
        <v>-409.83006999999992</v>
      </c>
      <c r="AK1015" s="625">
        <v>0</v>
      </c>
      <c r="AL1015" s="625">
        <v>0</v>
      </c>
      <c r="AM1015" s="625">
        <v>0</v>
      </c>
      <c r="AN1015" s="625">
        <v>0</v>
      </c>
      <c r="AO1015" s="625">
        <v>0</v>
      </c>
      <c r="AP1015" s="41" t="str">
        <f t="shared" si="340"/>
        <v>Reg AssetN</v>
      </c>
      <c r="AQ1015" s="41" t="str">
        <f t="shared" si="341"/>
        <v>Reg AssetNN10Gas Costs Deferred</v>
      </c>
      <c r="AR1015" s="41" t="str">
        <f t="shared" si="342"/>
        <v>N10Gas Costs DeferredNCR</v>
      </c>
      <c r="CK1015" s="625"/>
    </row>
    <row r="1016" spans="1:89" s="41" customFormat="1" ht="12.75" customHeight="1">
      <c r="A1016" s="442" t="s">
        <v>746</v>
      </c>
      <c r="B1016" s="442" t="str">
        <f t="shared" ref="B1016" si="413">CONCATENATE(A1016,C1016,D1016,E1016)</f>
        <v>Reg Asset254015182370-15BG039999</v>
      </c>
      <c r="C1016" s="736">
        <v>254015</v>
      </c>
      <c r="D1016" s="738" t="s">
        <v>4497</v>
      </c>
      <c r="E1016" s="626" t="s">
        <v>1148</v>
      </c>
      <c r="F1016" s="626" t="str">
        <f t="shared" si="330"/>
        <v>OTH REG LIAB - PGA ITEMS - OTHER - GAS</v>
      </c>
      <c r="G1016" s="41" t="s">
        <v>4409</v>
      </c>
      <c r="H1016" s="736" t="s">
        <v>1142</v>
      </c>
      <c r="I1016" s="442"/>
      <c r="J1016" s="442" t="s">
        <v>7</v>
      </c>
      <c r="K1016" s="442"/>
      <c r="L1016" s="736" t="s">
        <v>2436</v>
      </c>
      <c r="M1016" s="442" t="str">
        <f t="shared" ref="M1016" si="414">LEFT(L1016,1)</f>
        <v>N</v>
      </c>
      <c r="N1016" s="442" t="str">
        <f>IF(L1016&lt;&gt;"",VLOOKUP(L1016,Categories!$B$2:$D$41,2,FALSE),IF(F1016&lt;&gt;"","No Cat",""))</f>
        <v>NRBASE</v>
      </c>
      <c r="O1016" s="442" t="str">
        <f>IF($L1016&lt;&gt;"",VLOOKUP($L1016,Categories!$B$2:$D$41,3,FALSE),IF($F1016&lt;&gt;"","No Cat",""))</f>
        <v>Deferrals Accruing Non-Cash Return   (other than ASGA)</v>
      </c>
      <c r="P1016" s="736" t="s">
        <v>2468</v>
      </c>
      <c r="Q1016" s="442" t="str">
        <f>VLOOKUP($P1016,Allocators!$B$7:$F$19,5,FALSE)</f>
        <v>Not in Rate Base</v>
      </c>
      <c r="R1016" s="737">
        <f>VLOOKUP($P1016,Allocators!$B$7:$F$19,2,FALSE)</f>
        <v>0</v>
      </c>
      <c r="S1016" s="737">
        <f>VLOOKUP($P1016,Allocators!$B$7:$F$19,3,FALSE)</f>
        <v>0</v>
      </c>
      <c r="T1016" s="737">
        <f t="shared" ref="T1016" si="415">IF(P1016="N",1,"0.0%")</f>
        <v>1</v>
      </c>
      <c r="U1016" s="2">
        <f t="shared" ref="U1016" si="416">IF(ABS(X1016)=0,"",IF($R1016="NO ALLOC","NO ALLOC",ROUND($R1016*X1016,15)))</f>
        <v>0</v>
      </c>
      <c r="V1016" s="2">
        <f t="shared" ref="V1016" si="417">IF(ABS(X1016)=0,"",IF($S1016="NO ALLOC","NO ALLOC",ROUND($S1016*X1016,15)))</f>
        <v>0</v>
      </c>
      <c r="W1016" s="2">
        <f t="shared" ref="W1016" si="418">IF(ABS(X1016)=0,"",IF($T1016="NO ALLOC","NO ALLOC",ROUND($T1016*X1016,15)))</f>
        <v>-106.738727083333</v>
      </c>
      <c r="X1016" s="2">
        <f t="shared" ref="X1016" si="419">IF(ISERROR(ROUND((SUM(AC1016:AO1016)-((AC1016+AO1016))/2)/12,15)),"",ROUND((SUM(AC1016:AO1016)-((AC1016+AO1016))/2)/12,15))</f>
        <v>-106.738727083333</v>
      </c>
      <c r="Y1016" s="2">
        <f t="shared" ref="Y1016" si="420">IF(ABS(AB1016)=0,"",IF($R1016="NO ALLOC","NO ALLOC",ROUND($R1016*AB1016,15)))</f>
        <v>0</v>
      </c>
      <c r="Z1016" s="2">
        <f t="shared" ref="Z1016" si="421">IF(ABS(AB1016)=0,"",IF($S1016="NO ALLOC","NO ALLOC",ROUND($S1016*AB1016,15)))</f>
        <v>0</v>
      </c>
      <c r="AA1016" s="2">
        <f t="shared" ref="AA1016" si="422">IF(ABS(AB1016)=0,"",IF($T1016="NO ALLOC","NO ALLOC",ROUND($T1016*AB1016,15)))</f>
        <v>-2561.7294499999998</v>
      </c>
      <c r="AB1016" s="2">
        <f t="shared" ref="AB1016" si="423">IF(AO1016="",0,+AO1016)</f>
        <v>-2561.7294500000003</v>
      </c>
      <c r="AC1016" s="734"/>
      <c r="AD1016" s="625"/>
      <c r="AE1016" s="625"/>
      <c r="AF1016" s="625"/>
      <c r="AG1016" s="625"/>
      <c r="AH1016" s="625"/>
      <c r="AI1016" s="625"/>
      <c r="AJ1016" s="625"/>
      <c r="AK1016" s="625"/>
      <c r="AL1016" s="625"/>
      <c r="AM1016" s="625"/>
      <c r="AN1016" s="625"/>
      <c r="AO1016" s="625">
        <v>-2561.7294500000003</v>
      </c>
      <c r="AP1016" s="41" t="str">
        <f t="shared" si="340"/>
        <v>Reg AssetN</v>
      </c>
      <c r="AQ1016" s="41" t="str">
        <f t="shared" si="341"/>
        <v>Reg AssetNN10Gas Costs Deferred</v>
      </c>
      <c r="AR1016" s="41" t="str">
        <f t="shared" si="342"/>
        <v>N10Gas Costs DeferredNCR</v>
      </c>
      <c r="CK1016" s="625"/>
    </row>
    <row r="1017" spans="1:89" s="41" customFormat="1" ht="12.75" customHeight="1">
      <c r="A1017" s="442" t="s">
        <v>746</v>
      </c>
      <c r="B1017" s="442" t="str">
        <f t="shared" ref="B1017" si="424">CONCATENATE(A1017,C1017,D1017,E1017)</f>
        <v>Reg Asset254015601137BG030586</v>
      </c>
      <c r="C1017" s="736">
        <v>254015</v>
      </c>
      <c r="D1017" s="738">
        <v>601137</v>
      </c>
      <c r="E1017" s="626" t="s">
        <v>1150</v>
      </c>
      <c r="F1017" s="626" t="str">
        <f t="shared" si="330"/>
        <v>OTH REG LIAB - PGA ITEMS - OTHER - GAS</v>
      </c>
      <c r="G1017" s="41" t="s">
        <v>4576</v>
      </c>
      <c r="H1017" s="736" t="s">
        <v>1142</v>
      </c>
      <c r="I1017" s="442"/>
      <c r="J1017" s="442" t="s">
        <v>7</v>
      </c>
      <c r="K1017" s="442"/>
      <c r="L1017" s="736" t="s">
        <v>2436</v>
      </c>
      <c r="M1017" s="442" t="str">
        <f t="shared" ref="M1017" si="425">LEFT(L1017,1)</f>
        <v>N</v>
      </c>
      <c r="N1017" s="442" t="str">
        <f>IF(L1017&lt;&gt;"",VLOOKUP(L1017,Categories!$B$2:$D$41,2,FALSE),IF(F1017&lt;&gt;"","No Cat",""))</f>
        <v>NRBASE</v>
      </c>
      <c r="O1017" s="442" t="str">
        <f>IF($L1017&lt;&gt;"",VLOOKUP($L1017,Categories!$B$2:$D$41,3,FALSE),IF($F1017&lt;&gt;"","No Cat",""))</f>
        <v>Deferrals Accruing Non-Cash Return   (other than ASGA)</v>
      </c>
      <c r="P1017" s="736" t="s">
        <v>2468</v>
      </c>
      <c r="Q1017" s="442" t="str">
        <f>VLOOKUP($P1017,Allocators!$B$7:$F$19,5,FALSE)</f>
        <v>Not in Rate Base</v>
      </c>
      <c r="R1017" s="737">
        <f>VLOOKUP($P1017,Allocators!$B$7:$F$19,2,FALSE)</f>
        <v>0</v>
      </c>
      <c r="S1017" s="737">
        <f>VLOOKUP($P1017,Allocators!$B$7:$F$19,3,FALSE)</f>
        <v>0</v>
      </c>
      <c r="T1017" s="737">
        <f t="shared" ref="T1017" si="426">IF(P1017="N",1,"0.0%")</f>
        <v>1</v>
      </c>
      <c r="U1017" s="2">
        <f t="shared" ref="U1017" si="427">IF(ABS(X1017)=0,"",IF($R1017="NO ALLOC","NO ALLOC",ROUND($R1017*X1017,15)))</f>
        <v>0</v>
      </c>
      <c r="V1017" s="2">
        <f t="shared" ref="V1017" si="428">IF(ABS(X1017)=0,"",IF($S1017="NO ALLOC","NO ALLOC",ROUND($S1017*X1017,15)))</f>
        <v>0</v>
      </c>
      <c r="W1017" s="2">
        <f t="shared" ref="W1017" si="429">IF(ABS(X1017)=0,"",IF($T1017="NO ALLOC","NO ALLOC",ROUND($T1017*X1017,15)))</f>
        <v>-170.30775750000001</v>
      </c>
      <c r="X1017" s="2">
        <f t="shared" ref="X1017" si="430">IF(ISERROR(ROUND((SUM(AC1017:AO1017)-((AC1017+AO1017))/2)/12,15)),"",ROUND((SUM(AC1017:AO1017)-((AC1017+AO1017))/2)/12,15))</f>
        <v>-170.30775750000001</v>
      </c>
      <c r="Y1017" s="2">
        <f t="shared" ref="Y1017" si="431">IF(ABS(AB1017)=0,"",IF($R1017="NO ALLOC","NO ALLOC",ROUND($R1017*AB1017,15)))</f>
        <v>0</v>
      </c>
      <c r="Z1017" s="2">
        <f t="shared" ref="Z1017" si="432">IF(ABS(AB1017)=0,"",IF($S1017="NO ALLOC","NO ALLOC",ROUND($S1017*AB1017,15)))</f>
        <v>0</v>
      </c>
      <c r="AA1017" s="2">
        <f t="shared" ref="AA1017" si="433">IF(ABS(AB1017)=0,"",IF($T1017="NO ALLOC","NO ALLOC",ROUND($T1017*AB1017,15)))</f>
        <v>-130.15938</v>
      </c>
      <c r="AB1017" s="2">
        <f t="shared" ref="AB1017" si="434">IF(AO1017="",0,+AO1017)</f>
        <v>-130.15937999999997</v>
      </c>
      <c r="AC1017" s="734"/>
      <c r="AD1017" s="625"/>
      <c r="AE1017" s="625"/>
      <c r="AF1017" s="625">
        <v>-239.18304999999998</v>
      </c>
      <c r="AG1017" s="625">
        <v>-244.44305</v>
      </c>
      <c r="AH1017" s="625">
        <v>-235.06333999999998</v>
      </c>
      <c r="AI1017" s="625">
        <v>-229.50210000000001</v>
      </c>
      <c r="AJ1017" s="625">
        <v>-224.23598000000001</v>
      </c>
      <c r="AK1017" s="625">
        <v>-221.01772</v>
      </c>
      <c r="AL1017" s="625">
        <v>-214.62447</v>
      </c>
      <c r="AM1017" s="625">
        <v>-201.40648999999999</v>
      </c>
      <c r="AN1017" s="625">
        <v>-169.13719999999998</v>
      </c>
      <c r="AO1017" s="625">
        <v>-130.15937999999997</v>
      </c>
      <c r="AP1017" s="41" t="str">
        <f t="shared" si="340"/>
        <v>Reg AssetN</v>
      </c>
      <c r="AQ1017" s="41" t="str">
        <f t="shared" si="341"/>
        <v>Reg AssetNN10Gas Costs Deferred</v>
      </c>
      <c r="AR1017" s="41" t="str">
        <f t="shared" si="342"/>
        <v>N10Gas Costs DeferredNCR</v>
      </c>
      <c r="CK1017" s="625"/>
    </row>
    <row r="1018" spans="1:89" s="41" customFormat="1" ht="12.75" customHeight="1">
      <c r="A1018" s="442" t="s">
        <v>746</v>
      </c>
      <c r="B1018" s="442" t="str">
        <f t="shared" si="333"/>
        <v>Reg Asset254015601136BG030586</v>
      </c>
      <c r="C1018" s="736">
        <v>254015</v>
      </c>
      <c r="D1018" s="738">
        <v>601136</v>
      </c>
      <c r="E1018" s="626" t="s">
        <v>1150</v>
      </c>
      <c r="F1018" s="626" t="str">
        <f t="shared" si="330"/>
        <v>OTH REG LIAB - PGA ITEMS - OTHER - GAS</v>
      </c>
      <c r="G1018" s="626" t="s">
        <v>1151</v>
      </c>
      <c r="H1018" s="736" t="s">
        <v>1142</v>
      </c>
      <c r="I1018" s="442"/>
      <c r="J1018" s="442" t="s">
        <v>7</v>
      </c>
      <c r="K1018" s="442" t="str">
        <f t="shared" si="332"/>
        <v/>
      </c>
      <c r="L1018" s="736" t="s">
        <v>2436</v>
      </c>
      <c r="M1018" s="442" t="str">
        <f t="shared" si="334"/>
        <v>N</v>
      </c>
      <c r="N1018" s="442" t="str">
        <f>IF(L1018&lt;&gt;"",VLOOKUP(L1018,Categories!$B$2:$D$41,2,FALSE),IF(F1018&lt;&gt;"","No Cat",""))</f>
        <v>NRBASE</v>
      </c>
      <c r="O1018" s="442" t="str">
        <f>IF($L1018&lt;&gt;"",VLOOKUP($L1018,Categories!$B$2:$D$41,3,FALSE),IF($F1018&lt;&gt;"","No Cat",""))</f>
        <v>Deferrals Accruing Non-Cash Return   (other than ASGA)</v>
      </c>
      <c r="P1018" s="736" t="s">
        <v>2468</v>
      </c>
      <c r="Q1018" s="442" t="str">
        <f>VLOOKUP($P1018,Allocators!$B$7:$F$19,5,FALSE)</f>
        <v>Not in Rate Base</v>
      </c>
      <c r="R1018" s="737">
        <f>VLOOKUP($P1018,Allocators!$B$7:$F$19,2,FALSE)</f>
        <v>0</v>
      </c>
      <c r="S1018" s="737">
        <f>VLOOKUP($P1018,Allocators!$B$7:$F$19,3,FALSE)</f>
        <v>0</v>
      </c>
      <c r="T1018" s="737">
        <f t="shared" si="335"/>
        <v>1</v>
      </c>
      <c r="U1018" s="2">
        <f t="shared" si="345"/>
        <v>0</v>
      </c>
      <c r="V1018" s="2">
        <f t="shared" si="346"/>
        <v>0</v>
      </c>
      <c r="W1018" s="2">
        <f t="shared" si="347"/>
        <v>1.4E-14</v>
      </c>
      <c r="X1018" s="2">
        <f t="shared" si="343"/>
        <v>1.4E-14</v>
      </c>
      <c r="Y1018" s="2" t="str">
        <f t="shared" si="348"/>
        <v/>
      </c>
      <c r="Z1018" s="2" t="str">
        <f t="shared" si="349"/>
        <v/>
      </c>
      <c r="AA1018" s="2" t="str">
        <f t="shared" si="350"/>
        <v/>
      </c>
      <c r="AB1018" s="2">
        <f t="shared" si="344"/>
        <v>0</v>
      </c>
      <c r="AC1018" s="734">
        <v>3.2468960853293537E-13</v>
      </c>
      <c r="AD1018" s="625">
        <v>0</v>
      </c>
      <c r="AE1018" s="625">
        <v>0</v>
      </c>
      <c r="AF1018" s="38">
        <v>0</v>
      </c>
      <c r="AG1018" s="625">
        <v>0</v>
      </c>
      <c r="AH1018" s="625">
        <v>0</v>
      </c>
      <c r="AI1018" s="625">
        <v>0</v>
      </c>
      <c r="AJ1018" s="625">
        <v>0</v>
      </c>
      <c r="AK1018" s="625">
        <v>0</v>
      </c>
      <c r="AL1018" s="625">
        <v>0</v>
      </c>
      <c r="AM1018" s="625">
        <v>0</v>
      </c>
      <c r="AN1018" s="625">
        <v>0</v>
      </c>
      <c r="AO1018" s="625">
        <v>0</v>
      </c>
      <c r="AP1018" s="41" t="str">
        <f t="shared" si="340"/>
        <v>Reg AssetN</v>
      </c>
      <c r="AQ1018" s="41" t="str">
        <f t="shared" si="341"/>
        <v>Reg AssetNN10Gas Costs Deferred</v>
      </c>
      <c r="AR1018" s="41" t="str">
        <f t="shared" si="342"/>
        <v>N10Gas Costs DeferredNCR</v>
      </c>
      <c r="CK1018" s="625"/>
    </row>
    <row r="1019" spans="1:89" s="41" customFormat="1" ht="12.75" customHeight="1">
      <c r="A1019" s="25" t="s">
        <v>746</v>
      </c>
      <c r="B1019" s="25" t="str">
        <f t="shared" si="333"/>
        <v>Reg Asset254016SO2BE030391</v>
      </c>
      <c r="C1019" s="736">
        <v>254016</v>
      </c>
      <c r="D1019" s="738" t="s">
        <v>1153</v>
      </c>
      <c r="E1019" s="41" t="s">
        <v>1152</v>
      </c>
      <c r="F1019" s="41" t="str">
        <f t="shared" si="330"/>
        <v>OTH REG LIAB - MISC - ELECTRIC</v>
      </c>
      <c r="G1019" s="41" t="s">
        <v>1154</v>
      </c>
      <c r="H1019" s="736" t="s">
        <v>1155</v>
      </c>
      <c r="I1019" s="25"/>
      <c r="J1019" s="25" t="str">
        <f t="shared" si="331"/>
        <v/>
      </c>
      <c r="K1019" s="25" t="str">
        <f t="shared" si="332"/>
        <v/>
      </c>
      <c r="L1019" s="736" t="s">
        <v>2441</v>
      </c>
      <c r="M1019" s="25" t="str">
        <f t="shared" si="334"/>
        <v>R</v>
      </c>
      <c r="N1019" s="25" t="str">
        <f>IF(L1019&lt;&gt;"",VLOOKUP(L1019,Categories!$B$2:$D$41,2,FALSE),IF(F1019&lt;&gt;"","No Cat",""))</f>
        <v>Rate Base</v>
      </c>
      <c r="O1019" s="25" t="str">
        <f>IF($L1019&lt;&gt;"",VLOOKUP($L1019,Categories!$B$2:$D$41,3,FALSE),IF($F1019&lt;&gt;"","No Cat",""))</f>
        <v>Deferred Debits &amp; Credits</v>
      </c>
      <c r="P1019" s="736" t="s">
        <v>2482</v>
      </c>
      <c r="Q1019" s="25" t="str">
        <f>VLOOKUP($P1019,Allocators!$B$7:$F$19,5,FALSE)</f>
        <v>Electric</v>
      </c>
      <c r="R1019" s="737">
        <f>VLOOKUP($P1019,Allocators!$B$7:$F$19,2,FALSE)</f>
        <v>1</v>
      </c>
      <c r="S1019" s="737">
        <f>VLOOKUP($P1019,Allocators!$B$7:$F$19,3,FALSE)</f>
        <v>0</v>
      </c>
      <c r="T1019" s="737" t="str">
        <f t="shared" si="335"/>
        <v>0.0%</v>
      </c>
      <c r="U1019" s="2">
        <f t="shared" si="345"/>
        <v>-828.75132625000003</v>
      </c>
      <c r="V1019" s="2">
        <f t="shared" si="346"/>
        <v>0</v>
      </c>
      <c r="W1019" s="2">
        <f t="shared" si="347"/>
        <v>0</v>
      </c>
      <c r="X1019" s="2">
        <f t="shared" si="343"/>
        <v>-828.75132625000003</v>
      </c>
      <c r="Y1019" s="2">
        <f t="shared" si="348"/>
        <v>-828.77508999999998</v>
      </c>
      <c r="Z1019" s="2">
        <f t="shared" si="349"/>
        <v>0</v>
      </c>
      <c r="AA1019" s="2">
        <f t="shared" si="350"/>
        <v>0</v>
      </c>
      <c r="AB1019" s="2">
        <f t="shared" si="344"/>
        <v>-828.77508999999998</v>
      </c>
      <c r="AC1019" s="734">
        <v>-828.71172000000001</v>
      </c>
      <c r="AD1019" s="625">
        <v>-828.71172000000001</v>
      </c>
      <c r="AE1019" s="625">
        <v>-828.71172000000001</v>
      </c>
      <c r="AF1019" s="625">
        <v>-828.71172000000001</v>
      </c>
      <c r="AG1019" s="625">
        <v>-828.71172000000001</v>
      </c>
      <c r="AH1019" s="625">
        <v>-828.77508999999998</v>
      </c>
      <c r="AI1019" s="625">
        <v>-828.77508999999998</v>
      </c>
      <c r="AJ1019" s="625">
        <v>-828.77508999999998</v>
      </c>
      <c r="AK1019" s="625">
        <v>-828.77508999999998</v>
      </c>
      <c r="AL1019" s="625">
        <v>-828.77508999999998</v>
      </c>
      <c r="AM1019" s="625">
        <v>-828.77508999999998</v>
      </c>
      <c r="AN1019" s="625">
        <v>-828.77508999999998</v>
      </c>
      <c r="AO1019" s="625">
        <v>-828.77508999999998</v>
      </c>
      <c r="AP1019" s="41" t="str">
        <f t="shared" si="340"/>
        <v>Reg AssetR</v>
      </c>
      <c r="AQ1019" s="41" t="str">
        <f t="shared" si="341"/>
        <v>Reg AssetRR10SO2 Allowance</v>
      </c>
      <c r="AR1019" s="41" t="str">
        <f t="shared" si="342"/>
        <v>R10SO2 Allowance</v>
      </c>
      <c r="CK1019" s="625"/>
    </row>
    <row r="1020" spans="1:89" s="41" customFormat="1" ht="12.75" customHeight="1">
      <c r="A1020" s="25" t="s">
        <v>746</v>
      </c>
      <c r="B1020" s="25" t="str">
        <f t="shared" ref="B1020" si="435">CONCATENATE(A1020,C1020,D1020,E1020)</f>
        <v>Reg Asset254016601258BE030924</v>
      </c>
      <c r="C1020" s="736">
        <v>254016</v>
      </c>
      <c r="D1020" s="738">
        <v>601258</v>
      </c>
      <c r="E1020" s="41" t="s">
        <v>4104</v>
      </c>
      <c r="F1020" s="41" t="str">
        <f t="shared" si="330"/>
        <v>OTH REG LIAB - MISC - ELECTRIC</v>
      </c>
      <c r="G1020" s="41" t="s">
        <v>4103</v>
      </c>
      <c r="H1020" s="736" t="s">
        <v>4103</v>
      </c>
      <c r="I1020" s="25"/>
      <c r="J1020" s="25" t="str">
        <f t="shared" ref="J1020" si="436">IF(L1020="N10","Y",IF(L1020="N8","Y",""))</f>
        <v/>
      </c>
      <c r="K1020" s="25" t="str">
        <f t="shared" ref="K1020" si="437">IF(L1020="N3","Y","")</f>
        <v/>
      </c>
      <c r="L1020" s="736" t="s">
        <v>2441</v>
      </c>
      <c r="M1020" s="25" t="str">
        <f t="shared" ref="M1020" si="438">LEFT(L1020,1)</f>
        <v>R</v>
      </c>
      <c r="N1020" s="25" t="str">
        <f>IF(L1020&lt;&gt;"",VLOOKUP(L1020,Categories!$B$2:$D$41,2,FALSE),IF(F1020&lt;&gt;"","No Cat",""))</f>
        <v>Rate Base</v>
      </c>
      <c r="O1020" s="25" t="str">
        <f>IF($L1020&lt;&gt;"",VLOOKUP($L1020,Categories!$B$2:$D$41,3,FALSE),IF($F1020&lt;&gt;"","No Cat",""))</f>
        <v>Deferred Debits &amp; Credits</v>
      </c>
      <c r="P1020" s="736" t="s">
        <v>2482</v>
      </c>
      <c r="Q1020" s="25" t="str">
        <f>VLOOKUP($P1020,Allocators!$B$7:$F$19,5,FALSE)</f>
        <v>Electric</v>
      </c>
      <c r="R1020" s="737">
        <f>VLOOKUP($P1020,Allocators!$B$7:$F$19,2,FALSE)</f>
        <v>1</v>
      </c>
      <c r="S1020" s="737">
        <f>VLOOKUP($P1020,Allocators!$B$7:$F$19,3,FALSE)</f>
        <v>0</v>
      </c>
      <c r="T1020" s="737" t="str">
        <f t="shared" ref="T1020" si="439">IF(P1020="N",1,"0.0%")</f>
        <v>0.0%</v>
      </c>
      <c r="U1020" s="2">
        <f t="shared" si="345"/>
        <v>-9653.4120000000003</v>
      </c>
      <c r="V1020" s="2">
        <f t="shared" si="346"/>
        <v>0</v>
      </c>
      <c r="W1020" s="2">
        <f t="shared" si="347"/>
        <v>0</v>
      </c>
      <c r="X1020" s="2">
        <f t="shared" si="343"/>
        <v>-9653.4120000000003</v>
      </c>
      <c r="Y1020" s="2">
        <f t="shared" si="348"/>
        <v>-9653.4120000000003</v>
      </c>
      <c r="Z1020" s="2">
        <f t="shared" si="349"/>
        <v>0</v>
      </c>
      <c r="AA1020" s="2">
        <f t="shared" si="350"/>
        <v>0</v>
      </c>
      <c r="AB1020" s="2">
        <f t="shared" si="344"/>
        <v>-9653.4120000000003</v>
      </c>
      <c r="AC1020" s="734">
        <v>-9653.4120000000003</v>
      </c>
      <c r="AD1020" s="625">
        <v>-9653.4120000000003</v>
      </c>
      <c r="AE1020" s="625">
        <v>-9653.4120000000003</v>
      </c>
      <c r="AF1020" s="625">
        <v>-9653.4120000000003</v>
      </c>
      <c r="AG1020" s="625">
        <v>-9653.4120000000003</v>
      </c>
      <c r="AH1020" s="625">
        <v>-9653.4120000000003</v>
      </c>
      <c r="AI1020" s="625">
        <v>-9653.4120000000003</v>
      </c>
      <c r="AJ1020" s="625">
        <v>-9653.4120000000003</v>
      </c>
      <c r="AK1020" s="625">
        <v>-9653.4120000000003</v>
      </c>
      <c r="AL1020" s="625">
        <v>-9653.4120000000003</v>
      </c>
      <c r="AM1020" s="625">
        <v>-9653.4120000000003</v>
      </c>
      <c r="AN1020" s="625">
        <v>-9653.4120000000003</v>
      </c>
      <c r="AO1020" s="625">
        <v>-9653.4120000000003</v>
      </c>
      <c r="AP1020" s="41" t="str">
        <f t="shared" si="340"/>
        <v>Reg AssetR</v>
      </c>
      <c r="AQ1020" s="41" t="str">
        <f t="shared" si="341"/>
        <v>Reg AssetRR10Net Plant Reconciliation</v>
      </c>
      <c r="AR1020" s="41" t="str">
        <f t="shared" si="342"/>
        <v>R10Net Plant Reconciliation</v>
      </c>
      <c r="CK1020" s="625"/>
    </row>
    <row r="1021" spans="1:89" s="41" customFormat="1" ht="12.75" customHeight="1">
      <c r="A1021" s="25" t="s">
        <v>746</v>
      </c>
      <c r="B1021" s="25" t="str">
        <f t="shared" si="333"/>
        <v>Reg Asset254016Pension ElectricBE030409</v>
      </c>
      <c r="C1021" s="736">
        <v>254016</v>
      </c>
      <c r="D1021" s="738" t="s">
        <v>1157</v>
      </c>
      <c r="E1021" s="41" t="s">
        <v>1156</v>
      </c>
      <c r="F1021" s="41" t="str">
        <f t="shared" si="330"/>
        <v>OTH REG LIAB - MISC - ELECTRIC</v>
      </c>
      <c r="G1021" s="41" t="s">
        <v>1158</v>
      </c>
      <c r="H1021" s="736" t="s">
        <v>1159</v>
      </c>
      <c r="I1021" s="25"/>
      <c r="J1021" s="25" t="s">
        <v>7</v>
      </c>
      <c r="K1021" s="25" t="str">
        <f t="shared" si="332"/>
        <v/>
      </c>
      <c r="L1021" s="736" t="s">
        <v>2436</v>
      </c>
      <c r="M1021" s="25" t="str">
        <f t="shared" si="334"/>
        <v>N</v>
      </c>
      <c r="N1021" s="25" t="str">
        <f>IF(L1021&lt;&gt;"",VLOOKUP(L1021,Categories!$B$2:$D$41,2,FALSE),IF(F1021&lt;&gt;"","No Cat",""))</f>
        <v>NRBASE</v>
      </c>
      <c r="O1021" s="25" t="str">
        <f>IF($L1021&lt;&gt;"",VLOOKUP($L1021,Categories!$B$2:$D$41,3,FALSE),IF($F1021&lt;&gt;"","No Cat",""))</f>
        <v>Deferrals Accruing Non-Cash Return   (other than ASGA)</v>
      </c>
      <c r="P1021" s="736" t="s">
        <v>2468</v>
      </c>
      <c r="Q1021" s="25" t="str">
        <f>VLOOKUP($P1021,Allocators!$B$7:$F$19,5,FALSE)</f>
        <v>Not in Rate Base</v>
      </c>
      <c r="R1021" s="737">
        <f>VLOOKUP($P1021,Allocators!$B$7:$F$19,2,FALSE)</f>
        <v>0</v>
      </c>
      <c r="S1021" s="737">
        <f>VLOOKUP($P1021,Allocators!$B$7:$F$19,3,FALSE)</f>
        <v>0</v>
      </c>
      <c r="T1021" s="737">
        <f t="shared" si="335"/>
        <v>1</v>
      </c>
      <c r="U1021" s="2" t="str">
        <f t="shared" si="345"/>
        <v/>
      </c>
      <c r="V1021" s="2" t="str">
        <f t="shared" si="346"/>
        <v/>
      </c>
      <c r="W1021" s="2" t="str">
        <f t="shared" si="347"/>
        <v/>
      </c>
      <c r="X1021" s="2">
        <f t="shared" si="343"/>
        <v>0</v>
      </c>
      <c r="Y1021" s="2" t="str">
        <f t="shared" si="348"/>
        <v/>
      </c>
      <c r="Z1021" s="2" t="str">
        <f t="shared" si="349"/>
        <v/>
      </c>
      <c r="AA1021" s="2" t="str">
        <f t="shared" si="350"/>
        <v/>
      </c>
      <c r="AB1021" s="2">
        <f t="shared" si="344"/>
        <v>0</v>
      </c>
      <c r="AC1021" s="625">
        <v>0</v>
      </c>
      <c r="AD1021" s="625">
        <v>0</v>
      </c>
      <c r="AE1021" s="625">
        <v>0</v>
      </c>
      <c r="AF1021" s="38">
        <v>0</v>
      </c>
      <c r="AG1021" s="625">
        <v>0</v>
      </c>
      <c r="AH1021" s="625">
        <v>0</v>
      </c>
      <c r="AI1021" s="625">
        <v>0</v>
      </c>
      <c r="AJ1021" s="625">
        <v>0</v>
      </c>
      <c r="AK1021" s="625">
        <v>0</v>
      </c>
      <c r="AL1021" s="625">
        <v>0</v>
      </c>
      <c r="AM1021" s="625">
        <v>0</v>
      </c>
      <c r="AN1021" s="625">
        <v>0</v>
      </c>
      <c r="AO1021" s="625">
        <v>0</v>
      </c>
      <c r="AP1021" s="41" t="str">
        <f t="shared" si="340"/>
        <v>Reg AssetN</v>
      </c>
      <c r="AQ1021" s="41" t="str">
        <f t="shared" si="341"/>
        <v>Reg AssetNN10Pension True-up</v>
      </c>
      <c r="AR1021" s="41" t="str">
        <f t="shared" si="342"/>
        <v>N10Pension True-upNCR</v>
      </c>
      <c r="CK1021" s="625"/>
    </row>
    <row r="1022" spans="1:89" s="41" customFormat="1" ht="12.75" customHeight="1">
      <c r="A1022" s="442" t="s">
        <v>746</v>
      </c>
      <c r="B1022" s="442" t="str">
        <f t="shared" ref="B1022" si="440">CONCATENATE(A1022,C1022,D1022,E1022)</f>
        <v>Reg Asset254016Pension Electric LBE030409</v>
      </c>
      <c r="C1022" s="736">
        <v>254016</v>
      </c>
      <c r="D1022" s="738" t="s">
        <v>4072</v>
      </c>
      <c r="E1022" s="626" t="s">
        <v>1156</v>
      </c>
      <c r="F1022" s="626" t="str">
        <f t="shared" si="330"/>
        <v>OTH REG LIAB - MISC - ELECTRIC</v>
      </c>
      <c r="G1022" s="626" t="s">
        <v>4071</v>
      </c>
      <c r="H1022" s="736" t="s">
        <v>1159</v>
      </c>
      <c r="I1022" s="442"/>
      <c r="J1022" s="25" t="s">
        <v>7</v>
      </c>
      <c r="K1022" s="442" t="str">
        <f t="shared" si="332"/>
        <v/>
      </c>
      <c r="L1022" s="736" t="s">
        <v>2436</v>
      </c>
      <c r="M1022" s="442" t="str">
        <f t="shared" ref="M1022" si="441">LEFT(L1022,1)</f>
        <v>N</v>
      </c>
      <c r="N1022" s="442" t="str">
        <f>IF(L1022&lt;&gt;"",VLOOKUP(L1022,Categories!$B$2:$D$41,2,FALSE),IF(F1022&lt;&gt;"","No Cat",""))</f>
        <v>NRBASE</v>
      </c>
      <c r="O1022" s="442" t="str">
        <f>IF($L1022&lt;&gt;"",VLOOKUP($L1022,Categories!$B$2:$D$41,3,FALSE),IF($F1022&lt;&gt;"","No Cat",""))</f>
        <v>Deferrals Accruing Non-Cash Return   (other than ASGA)</v>
      </c>
      <c r="P1022" s="736" t="s">
        <v>2468</v>
      </c>
      <c r="Q1022" s="442" t="str">
        <f>VLOOKUP($P1022,Allocators!$B$7:$F$19,5,FALSE)</f>
        <v>Not in Rate Base</v>
      </c>
      <c r="R1022" s="737">
        <f>VLOOKUP($P1022,Allocators!$B$7:$F$19,2,FALSE)</f>
        <v>0</v>
      </c>
      <c r="S1022" s="737">
        <f>VLOOKUP($P1022,Allocators!$B$7:$F$19,3,FALSE)</f>
        <v>0</v>
      </c>
      <c r="T1022" s="737">
        <f t="shared" ref="T1022" si="442">IF(P1022="N",1,"0.0%")</f>
        <v>1</v>
      </c>
      <c r="U1022" s="2" t="str">
        <f t="shared" si="345"/>
        <v/>
      </c>
      <c r="V1022" s="2" t="str">
        <f t="shared" si="346"/>
        <v/>
      </c>
      <c r="W1022" s="2" t="str">
        <f t="shared" si="347"/>
        <v/>
      </c>
      <c r="X1022" s="2">
        <f t="shared" si="343"/>
        <v>0</v>
      </c>
      <c r="Y1022" s="2" t="str">
        <f t="shared" si="348"/>
        <v/>
      </c>
      <c r="Z1022" s="2" t="str">
        <f t="shared" si="349"/>
        <v/>
      </c>
      <c r="AA1022" s="2" t="str">
        <f t="shared" si="350"/>
        <v/>
      </c>
      <c r="AB1022" s="2">
        <f t="shared" si="344"/>
        <v>0</v>
      </c>
      <c r="AC1022" s="625">
        <v>0</v>
      </c>
      <c r="AD1022" s="625">
        <v>0</v>
      </c>
      <c r="AE1022" s="625">
        <v>0</v>
      </c>
      <c r="AF1022" s="38">
        <v>0</v>
      </c>
      <c r="AG1022" s="625">
        <v>0</v>
      </c>
      <c r="AH1022" s="625">
        <v>0</v>
      </c>
      <c r="AI1022" s="625">
        <v>0</v>
      </c>
      <c r="AJ1022" s="625">
        <v>0</v>
      </c>
      <c r="AK1022" s="625">
        <v>0</v>
      </c>
      <c r="AL1022" s="625">
        <v>0</v>
      </c>
      <c r="AM1022" s="625">
        <v>0</v>
      </c>
      <c r="AN1022" s="625">
        <v>0</v>
      </c>
      <c r="AO1022" s="625">
        <v>0</v>
      </c>
      <c r="AP1022" s="41" t="str">
        <f t="shared" si="340"/>
        <v>Reg AssetN</v>
      </c>
      <c r="AQ1022" s="41" t="str">
        <f t="shared" si="341"/>
        <v>Reg AssetNN10Pension True-up</v>
      </c>
      <c r="AR1022" s="41" t="str">
        <f t="shared" si="342"/>
        <v>N10Pension True-upNCR</v>
      </c>
      <c r="CK1022" s="625"/>
    </row>
    <row r="1023" spans="1:89" s="41" customFormat="1" ht="12.75" customHeight="1">
      <c r="A1023" s="442" t="s">
        <v>746</v>
      </c>
      <c r="B1023" s="442" t="str">
        <f t="shared" si="333"/>
        <v>Reg Asset254016601063EBE030412</v>
      </c>
      <c r="C1023" s="736">
        <v>254016</v>
      </c>
      <c r="D1023" s="738" t="s">
        <v>876</v>
      </c>
      <c r="E1023" s="626" t="s">
        <v>953</v>
      </c>
      <c r="F1023" s="626" t="str">
        <f t="shared" si="330"/>
        <v>OTH REG LIAB - MISC - ELECTRIC</v>
      </c>
      <c r="G1023" s="626" t="s">
        <v>1160</v>
      </c>
      <c r="H1023" s="736" t="s">
        <v>1122</v>
      </c>
      <c r="I1023" s="442"/>
      <c r="J1023" s="442" t="str">
        <f t="shared" si="331"/>
        <v/>
      </c>
      <c r="K1023" s="442" t="str">
        <f t="shared" si="332"/>
        <v/>
      </c>
      <c r="L1023" s="736" t="s">
        <v>2421</v>
      </c>
      <c r="M1023" s="442" t="str">
        <f t="shared" si="334"/>
        <v>N</v>
      </c>
      <c r="N1023" s="442" t="str">
        <f>IF(L1023&lt;&gt;"",VLOOKUP(L1023,Categories!$B$2:$D$41,2,FALSE),IF(F1023&lt;&gt;"","No Cat",""))</f>
        <v>NRBASE</v>
      </c>
      <c r="O1023" s="442" t="str">
        <f>IF($L1023&lt;&gt;"",VLOOKUP($L1023,Categories!$B$2:$D$41,3,FALSE),IF($F1023&lt;&gt;"","No Cat",""))</f>
        <v>Direct Assign Items Not in RB</v>
      </c>
      <c r="P1023" s="736" t="s">
        <v>2468</v>
      </c>
      <c r="Q1023" s="442" t="str">
        <f>VLOOKUP($P1023,Allocators!$B$7:$F$19,5,FALSE)</f>
        <v>Not in Rate Base</v>
      </c>
      <c r="R1023" s="737">
        <f>VLOOKUP($P1023,Allocators!$B$7:$F$19,2,FALSE)</f>
        <v>0</v>
      </c>
      <c r="S1023" s="737">
        <f>VLOOKUP($P1023,Allocators!$B$7:$F$19,3,FALSE)</f>
        <v>0</v>
      </c>
      <c r="T1023" s="737">
        <f t="shared" si="335"/>
        <v>1</v>
      </c>
      <c r="U1023" s="2" t="str">
        <f t="shared" si="345"/>
        <v/>
      </c>
      <c r="V1023" s="2" t="str">
        <f t="shared" si="346"/>
        <v/>
      </c>
      <c r="W1023" s="2" t="str">
        <f t="shared" si="347"/>
        <v/>
      </c>
      <c r="X1023" s="2">
        <f t="shared" si="343"/>
        <v>0</v>
      </c>
      <c r="Y1023" s="2" t="str">
        <f t="shared" si="348"/>
        <v/>
      </c>
      <c r="Z1023" s="2" t="str">
        <f t="shared" si="349"/>
        <v/>
      </c>
      <c r="AA1023" s="2" t="str">
        <f t="shared" si="350"/>
        <v/>
      </c>
      <c r="AB1023" s="2">
        <f t="shared" si="344"/>
        <v>0</v>
      </c>
      <c r="AC1023" s="625">
        <v>0</v>
      </c>
      <c r="AD1023" s="625">
        <v>0</v>
      </c>
      <c r="AE1023" s="625">
        <v>0</v>
      </c>
      <c r="AF1023" s="38">
        <v>0</v>
      </c>
      <c r="AG1023" s="625">
        <v>0</v>
      </c>
      <c r="AH1023" s="625">
        <v>0</v>
      </c>
      <c r="AI1023" s="625">
        <v>0</v>
      </c>
      <c r="AJ1023" s="625">
        <v>0</v>
      </c>
      <c r="AK1023" s="625">
        <v>0</v>
      </c>
      <c r="AL1023" s="625">
        <v>0</v>
      </c>
      <c r="AM1023" s="625">
        <v>0</v>
      </c>
      <c r="AN1023" s="625">
        <v>0</v>
      </c>
      <c r="AO1023" s="625">
        <v>0</v>
      </c>
      <c r="AP1023" s="41" t="str">
        <f t="shared" si="340"/>
        <v>Reg AssetN</v>
      </c>
      <c r="AQ1023" s="41" t="str">
        <f t="shared" si="341"/>
        <v>Reg AssetNN2Service Quality Performance</v>
      </c>
      <c r="AR1023" s="41" t="str">
        <f t="shared" si="342"/>
        <v>N2Service Quality Performance</v>
      </c>
      <c r="CK1023" s="625"/>
    </row>
    <row r="1024" spans="1:89" s="41" customFormat="1" ht="12.75" customHeight="1">
      <c r="A1024" s="25" t="s">
        <v>746</v>
      </c>
      <c r="B1024" s="25" t="str">
        <f t="shared" si="333"/>
        <v>Reg Asset254016BE039999</v>
      </c>
      <c r="C1024" s="736">
        <v>254016</v>
      </c>
      <c r="D1024" s="738"/>
      <c r="E1024" s="41" t="s">
        <v>1161</v>
      </c>
      <c r="F1024" s="41" t="str">
        <f t="shared" si="330"/>
        <v>OTH REG LIAB - MISC - ELECTRIC</v>
      </c>
      <c r="G1024" s="41" t="s">
        <v>1162</v>
      </c>
      <c r="H1024" s="736">
        <v>0</v>
      </c>
      <c r="I1024" s="25"/>
      <c r="J1024" s="25" t="str">
        <f t="shared" si="331"/>
        <v/>
      </c>
      <c r="K1024" s="25" t="str">
        <f t="shared" si="332"/>
        <v/>
      </c>
      <c r="L1024" s="736" t="s">
        <v>2441</v>
      </c>
      <c r="M1024" s="25" t="str">
        <f t="shared" si="334"/>
        <v>R</v>
      </c>
      <c r="N1024" s="25" t="str">
        <f>IF(L1024&lt;&gt;"",VLOOKUP(L1024,Categories!$B$2:$D$41,2,FALSE),IF(F1024&lt;&gt;"","No Cat",""))</f>
        <v>Rate Base</v>
      </c>
      <c r="O1024" s="25" t="str">
        <f>IF($L1024&lt;&gt;"",VLOOKUP($L1024,Categories!$B$2:$D$41,3,FALSE),IF($F1024&lt;&gt;"","No Cat",""))</f>
        <v>Deferred Debits &amp; Credits</v>
      </c>
      <c r="P1024" s="736" t="s">
        <v>2482</v>
      </c>
      <c r="Q1024" s="25" t="str">
        <f>VLOOKUP($P1024,Allocators!$B$7:$F$19,5,FALSE)</f>
        <v>Electric</v>
      </c>
      <c r="R1024" s="737">
        <f>VLOOKUP($P1024,Allocators!$B$7:$F$19,2,FALSE)</f>
        <v>1</v>
      </c>
      <c r="S1024" s="737">
        <f>VLOOKUP($P1024,Allocators!$B$7:$F$19,3,FALSE)</f>
        <v>0</v>
      </c>
      <c r="T1024" s="737" t="str">
        <f t="shared" si="335"/>
        <v>0.0%</v>
      </c>
      <c r="U1024" s="2" t="str">
        <f t="shared" si="345"/>
        <v/>
      </c>
      <c r="V1024" s="2" t="str">
        <f t="shared" si="346"/>
        <v/>
      </c>
      <c r="W1024" s="2" t="str">
        <f t="shared" si="347"/>
        <v/>
      </c>
      <c r="X1024" s="2">
        <f t="shared" si="343"/>
        <v>0</v>
      </c>
      <c r="Y1024" s="2" t="str">
        <f t="shared" si="348"/>
        <v/>
      </c>
      <c r="Z1024" s="2" t="str">
        <f t="shared" si="349"/>
        <v/>
      </c>
      <c r="AA1024" s="2" t="str">
        <f t="shared" si="350"/>
        <v/>
      </c>
      <c r="AB1024" s="2">
        <f t="shared" si="344"/>
        <v>0</v>
      </c>
      <c r="AC1024" s="625">
        <v>0</v>
      </c>
      <c r="AD1024" s="625">
        <v>0</v>
      </c>
      <c r="AE1024" s="625">
        <v>0</v>
      </c>
      <c r="AF1024" s="38">
        <v>0</v>
      </c>
      <c r="AG1024" s="625">
        <v>0</v>
      </c>
      <c r="AH1024" s="625">
        <v>0</v>
      </c>
      <c r="AI1024" s="625">
        <v>0</v>
      </c>
      <c r="AJ1024" s="625">
        <v>0</v>
      </c>
      <c r="AK1024" s="625">
        <v>0</v>
      </c>
      <c r="AL1024" s="625">
        <v>0</v>
      </c>
      <c r="AM1024" s="625">
        <v>0</v>
      </c>
      <c r="AN1024" s="625">
        <v>0</v>
      </c>
      <c r="AO1024" s="625">
        <v>0</v>
      </c>
      <c r="AP1024" s="41" t="str">
        <f t="shared" si="340"/>
        <v>Reg AssetR</v>
      </c>
      <c r="AQ1024" s="41" t="str">
        <f t="shared" si="341"/>
        <v>Reg AssetRR100</v>
      </c>
      <c r="AR1024" s="41" t="str">
        <f t="shared" si="342"/>
        <v>R100</v>
      </c>
      <c r="CK1024" s="625"/>
    </row>
    <row r="1025" spans="1:89" s="41" customFormat="1" ht="12.75" customHeight="1">
      <c r="A1025" s="25" t="s">
        <v>746</v>
      </c>
      <c r="B1025" s="25" t="str">
        <f t="shared" si="333"/>
        <v>Reg Asset254016OPEB EleBE030246</v>
      </c>
      <c r="C1025" s="736">
        <v>254016</v>
      </c>
      <c r="D1025" s="738" t="s">
        <v>773</v>
      </c>
      <c r="E1025" s="41" t="s">
        <v>758</v>
      </c>
      <c r="F1025" s="41" t="str">
        <f t="shared" si="330"/>
        <v>OTH REG LIAB - MISC - ELECTRIC</v>
      </c>
      <c r="G1025" s="41" t="s">
        <v>800</v>
      </c>
      <c r="H1025" s="736" t="s">
        <v>812</v>
      </c>
      <c r="I1025" s="25"/>
      <c r="J1025" s="25" t="str">
        <f t="shared" si="331"/>
        <v/>
      </c>
      <c r="K1025" s="25" t="str">
        <f t="shared" si="332"/>
        <v/>
      </c>
      <c r="L1025" s="736" t="s">
        <v>2441</v>
      </c>
      <c r="M1025" s="25" t="str">
        <f t="shared" si="334"/>
        <v>R</v>
      </c>
      <c r="N1025" s="25" t="str">
        <f>IF(L1025&lt;&gt;"",VLOOKUP(L1025,Categories!$B$2:$D$41,2,FALSE),IF(F1025&lt;&gt;"","No Cat",""))</f>
        <v>Rate Base</v>
      </c>
      <c r="O1025" s="25" t="str">
        <f>IF($L1025&lt;&gt;"",VLOOKUP($L1025,Categories!$B$2:$D$41,3,FALSE),IF($F1025&lt;&gt;"","No Cat",""))</f>
        <v>Deferred Debits &amp; Credits</v>
      </c>
      <c r="P1025" s="736" t="s">
        <v>2482</v>
      </c>
      <c r="Q1025" s="25" t="str">
        <f>VLOOKUP($P1025,Allocators!$B$7:$F$19,5,FALSE)</f>
        <v>Electric</v>
      </c>
      <c r="R1025" s="737">
        <f>VLOOKUP($P1025,Allocators!$B$7:$F$19,2,FALSE)</f>
        <v>1</v>
      </c>
      <c r="S1025" s="737">
        <f>VLOOKUP($P1025,Allocators!$B$7:$F$19,3,FALSE)</f>
        <v>0</v>
      </c>
      <c r="T1025" s="737" t="str">
        <f t="shared" si="335"/>
        <v>0.0%</v>
      </c>
      <c r="U1025" s="2">
        <f t="shared" si="345"/>
        <v>-3.8999999999999998E-14</v>
      </c>
      <c r="V1025" s="2">
        <f t="shared" si="346"/>
        <v>0</v>
      </c>
      <c r="W1025" s="2">
        <f t="shared" si="347"/>
        <v>0</v>
      </c>
      <c r="X1025" s="2">
        <f t="shared" si="343"/>
        <v>-3.8999999999999998E-14</v>
      </c>
      <c r="Y1025" s="2" t="str">
        <f t="shared" si="348"/>
        <v/>
      </c>
      <c r="Z1025" s="2" t="str">
        <f t="shared" si="349"/>
        <v/>
      </c>
      <c r="AA1025" s="2" t="str">
        <f t="shared" si="350"/>
        <v/>
      </c>
      <c r="AB1025" s="2">
        <f t="shared" si="344"/>
        <v>0</v>
      </c>
      <c r="AC1025" s="734">
        <v>-9.3132257461547854E-13</v>
      </c>
      <c r="AD1025" s="625">
        <v>0</v>
      </c>
      <c r="AE1025" s="625">
        <v>0</v>
      </c>
      <c r="AF1025" s="38">
        <v>0</v>
      </c>
      <c r="AG1025" s="625">
        <v>0</v>
      </c>
      <c r="AH1025" s="625">
        <v>0</v>
      </c>
      <c r="AI1025" s="625">
        <v>0</v>
      </c>
      <c r="AJ1025" s="625">
        <v>0</v>
      </c>
      <c r="AK1025" s="625">
        <v>0</v>
      </c>
      <c r="AL1025" s="625">
        <v>0</v>
      </c>
      <c r="AM1025" s="625">
        <v>0</v>
      </c>
      <c r="AN1025" s="625">
        <v>0</v>
      </c>
      <c r="AO1025" s="625">
        <v>0</v>
      </c>
      <c r="AP1025" s="41" t="str">
        <f t="shared" si="340"/>
        <v>Reg AssetR</v>
      </c>
      <c r="AQ1025" s="41" t="str">
        <f t="shared" si="341"/>
        <v>Reg AssetRR10OPEB True-up</v>
      </c>
      <c r="AR1025" s="41" t="str">
        <f t="shared" si="342"/>
        <v>R10OPEB True-up</v>
      </c>
      <c r="CK1025" s="625"/>
    </row>
    <row r="1026" spans="1:89" s="41" customFormat="1" ht="12.75" customHeight="1">
      <c r="A1026" s="25" t="s">
        <v>746</v>
      </c>
      <c r="B1026" s="25" t="str">
        <f t="shared" si="333"/>
        <v>Reg Asset254016OPEB Ele-ABE030246</v>
      </c>
      <c r="C1026" s="736">
        <v>254016</v>
      </c>
      <c r="D1026" s="738" t="s">
        <v>1163</v>
      </c>
      <c r="E1026" s="41" t="s">
        <v>758</v>
      </c>
      <c r="F1026" s="41" t="str">
        <f t="shared" si="330"/>
        <v>OTH REG LIAB - MISC - ELECTRIC</v>
      </c>
      <c r="G1026" s="41" t="s">
        <v>800</v>
      </c>
      <c r="H1026" s="736" t="s">
        <v>812</v>
      </c>
      <c r="I1026" s="25"/>
      <c r="J1026" s="25" t="str">
        <f t="shared" si="331"/>
        <v/>
      </c>
      <c r="K1026" s="25" t="str">
        <f t="shared" si="332"/>
        <v/>
      </c>
      <c r="L1026" s="736" t="s">
        <v>2441</v>
      </c>
      <c r="M1026" s="25" t="str">
        <f t="shared" si="334"/>
        <v>R</v>
      </c>
      <c r="N1026" s="25" t="str">
        <f>IF(L1026&lt;&gt;"",VLOOKUP(L1026,Categories!$B$2:$D$41,2,FALSE),IF(F1026&lt;&gt;"","No Cat",""))</f>
        <v>Rate Base</v>
      </c>
      <c r="O1026" s="25" t="str">
        <f>IF($L1026&lt;&gt;"",VLOOKUP($L1026,Categories!$B$2:$D$41,3,FALSE),IF($F1026&lt;&gt;"","No Cat",""))</f>
        <v>Deferred Debits &amp; Credits</v>
      </c>
      <c r="P1026" s="736" t="s">
        <v>2482</v>
      </c>
      <c r="Q1026" s="25" t="str">
        <f>VLOOKUP($P1026,Allocators!$B$7:$F$19,5,FALSE)</f>
        <v>Electric</v>
      </c>
      <c r="R1026" s="737">
        <f>VLOOKUP($P1026,Allocators!$B$7:$F$19,2,FALSE)</f>
        <v>1</v>
      </c>
      <c r="S1026" s="737">
        <f>VLOOKUP($P1026,Allocators!$B$7:$F$19,3,FALSE)</f>
        <v>0</v>
      </c>
      <c r="T1026" s="737" t="str">
        <f t="shared" si="335"/>
        <v>0.0%</v>
      </c>
      <c r="U1026" s="2" t="str">
        <f t="shared" si="345"/>
        <v/>
      </c>
      <c r="V1026" s="2" t="str">
        <f t="shared" si="346"/>
        <v/>
      </c>
      <c r="W1026" s="2" t="str">
        <f t="shared" si="347"/>
        <v/>
      </c>
      <c r="X1026" s="2">
        <f t="shared" si="343"/>
        <v>0</v>
      </c>
      <c r="Y1026" s="2" t="str">
        <f t="shared" si="348"/>
        <v/>
      </c>
      <c r="Z1026" s="2" t="str">
        <f t="shared" si="349"/>
        <v/>
      </c>
      <c r="AA1026" s="2" t="str">
        <f t="shared" si="350"/>
        <v/>
      </c>
      <c r="AB1026" s="2">
        <f t="shared" si="344"/>
        <v>0</v>
      </c>
      <c r="AC1026" s="734">
        <v>0</v>
      </c>
      <c r="AD1026" s="625">
        <v>0</v>
      </c>
      <c r="AE1026" s="625">
        <v>0</v>
      </c>
      <c r="AF1026" s="38">
        <v>0</v>
      </c>
      <c r="AG1026" s="625">
        <v>0</v>
      </c>
      <c r="AH1026" s="625">
        <v>0</v>
      </c>
      <c r="AI1026" s="625">
        <v>0</v>
      </c>
      <c r="AJ1026" s="625">
        <v>0</v>
      </c>
      <c r="AK1026" s="625">
        <v>0</v>
      </c>
      <c r="AL1026" s="625">
        <v>0</v>
      </c>
      <c r="AM1026" s="625">
        <v>0</v>
      </c>
      <c r="AN1026" s="625">
        <v>0</v>
      </c>
      <c r="AO1026" s="625">
        <v>0</v>
      </c>
      <c r="AP1026" s="41" t="str">
        <f t="shared" si="340"/>
        <v>Reg AssetR</v>
      </c>
      <c r="AQ1026" s="41" t="str">
        <f t="shared" si="341"/>
        <v>Reg AssetRR10OPEB True-up</v>
      </c>
      <c r="AR1026" s="41" t="str">
        <f t="shared" si="342"/>
        <v>R10OPEB True-up</v>
      </c>
      <c r="CK1026" s="625"/>
    </row>
    <row r="1027" spans="1:89" s="41" customFormat="1" ht="12.75" customHeight="1">
      <c r="A1027" s="442" t="s">
        <v>746</v>
      </c>
      <c r="B1027" s="442" t="str">
        <f t="shared" si="333"/>
        <v>Reg Asset254016OPEB Ele-LBE030246</v>
      </c>
      <c r="C1027" s="736">
        <v>254016</v>
      </c>
      <c r="D1027" s="738" t="s">
        <v>1164</v>
      </c>
      <c r="E1027" s="626" t="s">
        <v>758</v>
      </c>
      <c r="F1027" s="626" t="str">
        <f t="shared" si="330"/>
        <v>OTH REG LIAB - MISC - ELECTRIC</v>
      </c>
      <c r="G1027" s="626" t="s">
        <v>800</v>
      </c>
      <c r="H1027" s="736" t="s">
        <v>812</v>
      </c>
      <c r="I1027" s="442"/>
      <c r="J1027" s="442" t="s">
        <v>7</v>
      </c>
      <c r="K1027" s="442" t="str">
        <f t="shared" si="332"/>
        <v/>
      </c>
      <c r="L1027" s="736" t="s">
        <v>2436</v>
      </c>
      <c r="M1027" s="442" t="str">
        <f t="shared" si="334"/>
        <v>N</v>
      </c>
      <c r="N1027" s="442" t="str">
        <f>IF(L1027&lt;&gt;"",VLOOKUP(L1027,Categories!$B$2:$D$41,2,FALSE),IF(F1027&lt;&gt;"","No Cat",""))</f>
        <v>NRBASE</v>
      </c>
      <c r="O1027" s="442" t="str">
        <f>IF($L1027&lt;&gt;"",VLOOKUP($L1027,Categories!$B$2:$D$41,3,FALSE),IF($F1027&lt;&gt;"","No Cat",""))</f>
        <v>Deferrals Accruing Non-Cash Return   (other than ASGA)</v>
      </c>
      <c r="P1027" s="736" t="s">
        <v>2468</v>
      </c>
      <c r="Q1027" s="442" t="str">
        <f>VLOOKUP($P1027,Allocators!$B$7:$F$19,5,FALSE)</f>
        <v>Not in Rate Base</v>
      </c>
      <c r="R1027" s="737">
        <f>VLOOKUP($P1027,Allocators!$B$7:$F$19,2,FALSE)</f>
        <v>0</v>
      </c>
      <c r="S1027" s="737">
        <f>VLOOKUP($P1027,Allocators!$B$7:$F$19,3,FALSE)</f>
        <v>0</v>
      </c>
      <c r="T1027" s="737">
        <f t="shared" si="335"/>
        <v>1</v>
      </c>
      <c r="U1027" s="2">
        <f t="shared" si="345"/>
        <v>0</v>
      </c>
      <c r="V1027" s="2">
        <f t="shared" si="346"/>
        <v>0</v>
      </c>
      <c r="W1027" s="2">
        <f t="shared" si="347"/>
        <v>79.567205416666695</v>
      </c>
      <c r="X1027" s="2">
        <f t="shared" si="343"/>
        <v>79.567205416666695</v>
      </c>
      <c r="Y1027" s="2">
        <f t="shared" si="348"/>
        <v>0</v>
      </c>
      <c r="Z1027" s="2">
        <f t="shared" si="349"/>
        <v>0</v>
      </c>
      <c r="AA1027" s="2">
        <f t="shared" si="350"/>
        <v>82.295400000000001</v>
      </c>
      <c r="AB1027" s="2">
        <f t="shared" si="344"/>
        <v>82.295399999999987</v>
      </c>
      <c r="AC1027" s="734">
        <v>76.899569999999997</v>
      </c>
      <c r="AD1027" s="625">
        <v>77.335379999999986</v>
      </c>
      <c r="AE1027" s="625">
        <v>77.773659999999992</v>
      </c>
      <c r="AF1027" s="625">
        <v>78.21441999999999</v>
      </c>
      <c r="AG1027" s="625">
        <v>78.657679999999985</v>
      </c>
      <c r="AH1027" s="625">
        <v>79.103449999999981</v>
      </c>
      <c r="AI1027" s="625">
        <v>79.551749999999984</v>
      </c>
      <c r="AJ1027" s="625">
        <v>80.002589999999984</v>
      </c>
      <c r="AK1027" s="625">
        <v>80.455979999999983</v>
      </c>
      <c r="AL1027" s="625">
        <v>80.911939999999987</v>
      </c>
      <c r="AM1027" s="625">
        <v>81.37048999999999</v>
      </c>
      <c r="AN1027" s="625">
        <v>81.831639999999979</v>
      </c>
      <c r="AO1027" s="625">
        <v>82.295399999999987</v>
      </c>
      <c r="AP1027" s="41" t="str">
        <f t="shared" si="340"/>
        <v>Reg AssetN</v>
      </c>
      <c r="AQ1027" s="41" t="str">
        <f t="shared" si="341"/>
        <v>Reg AssetNN10OPEB True-up</v>
      </c>
      <c r="AR1027" s="41" t="str">
        <f t="shared" si="342"/>
        <v>N10OPEB True-upNCR</v>
      </c>
      <c r="CK1027" s="625"/>
    </row>
    <row r="1028" spans="1:89" s="41" customFormat="1" ht="12.75" customHeight="1">
      <c r="A1028" s="25" t="s">
        <v>746</v>
      </c>
      <c r="B1028" s="25" t="str">
        <f t="shared" si="333"/>
        <v>Reg Asset254016601092BE030411</v>
      </c>
      <c r="C1028" s="736">
        <v>254016</v>
      </c>
      <c r="D1028" s="738">
        <v>601092</v>
      </c>
      <c r="E1028" s="41" t="s">
        <v>955</v>
      </c>
      <c r="F1028" s="41" t="str">
        <f t="shared" si="330"/>
        <v>OTH REG LIAB - MISC - ELECTRIC</v>
      </c>
      <c r="G1028" s="41" t="s">
        <v>1045</v>
      </c>
      <c r="H1028" s="736" t="s">
        <v>1124</v>
      </c>
      <c r="I1028" s="25"/>
      <c r="J1028" s="25" t="str">
        <f t="shared" si="331"/>
        <v/>
      </c>
      <c r="K1028" s="25" t="str">
        <f t="shared" si="332"/>
        <v/>
      </c>
      <c r="L1028" s="736" t="s">
        <v>2441</v>
      </c>
      <c r="M1028" s="25" t="str">
        <f t="shared" si="334"/>
        <v>R</v>
      </c>
      <c r="N1028" s="25" t="str">
        <f>IF(L1028&lt;&gt;"",VLOOKUP(L1028,Categories!$B$2:$D$41,2,FALSE),IF(F1028&lt;&gt;"","No Cat",""))</f>
        <v>Rate Base</v>
      </c>
      <c r="O1028" s="25" t="str">
        <f>IF($L1028&lt;&gt;"",VLOOKUP($L1028,Categories!$B$2:$D$41,3,FALSE),IF($F1028&lt;&gt;"","No Cat",""))</f>
        <v>Deferred Debits &amp; Credits</v>
      </c>
      <c r="P1028" s="736" t="s">
        <v>2482</v>
      </c>
      <c r="Q1028" s="25" t="str">
        <f>VLOOKUP($P1028,Allocators!$B$7:$F$19,5,FALSE)</f>
        <v>Electric</v>
      </c>
      <c r="R1028" s="737">
        <f>VLOOKUP($P1028,Allocators!$B$7:$F$19,2,FALSE)</f>
        <v>1</v>
      </c>
      <c r="S1028" s="737">
        <f>VLOOKUP($P1028,Allocators!$B$7:$F$19,3,FALSE)</f>
        <v>0</v>
      </c>
      <c r="T1028" s="737" t="str">
        <f t="shared" si="335"/>
        <v>0.0%</v>
      </c>
      <c r="U1028" s="2" t="str">
        <f t="shared" si="345"/>
        <v/>
      </c>
      <c r="V1028" s="2" t="str">
        <f t="shared" si="346"/>
        <v/>
      </c>
      <c r="W1028" s="2" t="str">
        <f t="shared" si="347"/>
        <v/>
      </c>
      <c r="X1028" s="2">
        <f t="shared" si="343"/>
        <v>0</v>
      </c>
      <c r="Y1028" s="2" t="str">
        <f t="shared" si="348"/>
        <v/>
      </c>
      <c r="Z1028" s="2" t="str">
        <f t="shared" si="349"/>
        <v/>
      </c>
      <c r="AA1028" s="2" t="str">
        <f t="shared" si="350"/>
        <v/>
      </c>
      <c r="AB1028" s="2">
        <f t="shared" si="344"/>
        <v>0</v>
      </c>
      <c r="AC1028" s="625">
        <v>0</v>
      </c>
      <c r="AD1028" s="625">
        <v>0</v>
      </c>
      <c r="AE1028" s="625">
        <v>0</v>
      </c>
      <c r="AF1028" s="38">
        <v>0</v>
      </c>
      <c r="AG1028" s="625">
        <v>0</v>
      </c>
      <c r="AH1028" s="625">
        <v>0</v>
      </c>
      <c r="AI1028" s="625">
        <v>0</v>
      </c>
      <c r="AJ1028" s="625">
        <v>0</v>
      </c>
      <c r="AK1028" s="625">
        <v>0</v>
      </c>
      <c r="AL1028" s="625">
        <v>0</v>
      </c>
      <c r="AM1028" s="625">
        <v>0</v>
      </c>
      <c r="AN1028" s="625">
        <v>0</v>
      </c>
      <c r="AO1028" s="625">
        <v>0</v>
      </c>
      <c r="AP1028" s="41" t="str">
        <f t="shared" si="340"/>
        <v>Reg AssetR</v>
      </c>
      <c r="AQ1028" s="41" t="str">
        <f t="shared" si="341"/>
        <v>Reg AssetRR10R&amp;D Tax Credit Deferral</v>
      </c>
      <c r="AR1028" s="41" t="str">
        <f t="shared" si="342"/>
        <v>R10R&amp;D Tax Credit Deferral</v>
      </c>
      <c r="CK1028" s="625"/>
    </row>
    <row r="1029" spans="1:89" s="41" customFormat="1" ht="12.75" customHeight="1">
      <c r="A1029" s="25" t="s">
        <v>746</v>
      </c>
      <c r="B1029" s="25" t="str">
        <f t="shared" si="333"/>
        <v>Reg Asset254016601030E-03-ABE030392</v>
      </c>
      <c r="C1029" s="736">
        <v>254016</v>
      </c>
      <c r="D1029" s="738" t="s">
        <v>1166</v>
      </c>
      <c r="E1029" s="41" t="s">
        <v>1165</v>
      </c>
      <c r="F1029" s="41" t="str">
        <f t="shared" si="330"/>
        <v>OTH REG LIAB - MISC - ELECTRIC</v>
      </c>
      <c r="G1029" s="41" t="s">
        <v>1167</v>
      </c>
      <c r="H1029" s="736" t="s">
        <v>1168</v>
      </c>
      <c r="I1029" s="25"/>
      <c r="J1029" s="25" t="str">
        <f t="shared" si="331"/>
        <v/>
      </c>
      <c r="K1029" s="25" t="str">
        <f t="shared" si="332"/>
        <v/>
      </c>
      <c r="L1029" s="736" t="s">
        <v>2441</v>
      </c>
      <c r="M1029" s="25" t="str">
        <f t="shared" si="334"/>
        <v>R</v>
      </c>
      <c r="N1029" s="25" t="str">
        <f>IF(L1029&lt;&gt;"",VLOOKUP(L1029,Categories!$B$2:$D$41,2,FALSE),IF(F1029&lt;&gt;"","No Cat",""))</f>
        <v>Rate Base</v>
      </c>
      <c r="O1029" s="25" t="str">
        <f>IF($L1029&lt;&gt;"",VLOOKUP($L1029,Categories!$B$2:$D$41,3,FALSE),IF($F1029&lt;&gt;"","No Cat",""))</f>
        <v>Deferred Debits &amp; Credits</v>
      </c>
      <c r="P1029" s="736" t="s">
        <v>2482</v>
      </c>
      <c r="Q1029" s="25" t="str">
        <f>VLOOKUP($P1029,Allocators!$B$7:$F$19,5,FALSE)</f>
        <v>Electric</v>
      </c>
      <c r="R1029" s="737">
        <f>VLOOKUP($P1029,Allocators!$B$7:$F$19,2,FALSE)</f>
        <v>1</v>
      </c>
      <c r="S1029" s="737">
        <f>VLOOKUP($P1029,Allocators!$B$7:$F$19,3,FALSE)</f>
        <v>0</v>
      </c>
      <c r="T1029" s="737" t="str">
        <f t="shared" si="335"/>
        <v>0.0%</v>
      </c>
      <c r="U1029" s="2">
        <f t="shared" si="345"/>
        <v>2.6999999999999999E-14</v>
      </c>
      <c r="V1029" s="2">
        <f t="shared" si="346"/>
        <v>0</v>
      </c>
      <c r="W1029" s="2">
        <f t="shared" si="347"/>
        <v>0</v>
      </c>
      <c r="X1029" s="2">
        <f t="shared" si="343"/>
        <v>2.6999999999999999E-14</v>
      </c>
      <c r="Y1029" s="2" t="str">
        <f t="shared" si="348"/>
        <v/>
      </c>
      <c r="Z1029" s="2" t="str">
        <f t="shared" si="349"/>
        <v/>
      </c>
      <c r="AA1029" s="2" t="str">
        <f t="shared" si="350"/>
        <v/>
      </c>
      <c r="AB1029" s="2">
        <f t="shared" si="344"/>
        <v>0</v>
      </c>
      <c r="AC1029" s="734">
        <v>6.5483618527650831E-13</v>
      </c>
      <c r="AD1029" s="625">
        <v>0</v>
      </c>
      <c r="AE1029" s="625">
        <v>0</v>
      </c>
      <c r="AF1029" s="38">
        <v>0</v>
      </c>
      <c r="AG1029" s="625">
        <v>0</v>
      </c>
      <c r="AH1029" s="625">
        <v>0</v>
      </c>
      <c r="AI1029" s="625">
        <v>0</v>
      </c>
      <c r="AJ1029" s="625">
        <v>0</v>
      </c>
      <c r="AK1029" s="625">
        <v>0</v>
      </c>
      <c r="AL1029" s="625">
        <v>0</v>
      </c>
      <c r="AM1029" s="625">
        <v>0</v>
      </c>
      <c r="AN1029" s="625">
        <v>0</v>
      </c>
      <c r="AO1029" s="625">
        <v>0</v>
      </c>
      <c r="AP1029" s="41" t="str">
        <f t="shared" si="340"/>
        <v>Reg AssetR</v>
      </c>
      <c r="AQ1029" s="41" t="str">
        <f t="shared" si="341"/>
        <v>Reg AssetRR10Variable Rate Debt - Pre-2004</v>
      </c>
      <c r="AR1029" s="41" t="str">
        <f t="shared" si="342"/>
        <v>R10Variable Rate Debt - Pre-2004</v>
      </c>
      <c r="CK1029" s="625"/>
    </row>
    <row r="1030" spans="1:89" s="41" customFormat="1" ht="12.75" customHeight="1">
      <c r="A1030" s="442" t="s">
        <v>746</v>
      </c>
      <c r="B1030" s="442" t="str">
        <f t="shared" si="333"/>
        <v>Reg Asset254016SNF-INT-ABE030395</v>
      </c>
      <c r="C1030" s="736">
        <v>254016</v>
      </c>
      <c r="D1030" s="738" t="s">
        <v>872</v>
      </c>
      <c r="E1030" s="626" t="s">
        <v>952</v>
      </c>
      <c r="F1030" s="626" t="str">
        <f t="shared" ref="F1030:F1115" si="443">VLOOKUP(C1030,$C$7:$F$787,4,FALSE)</f>
        <v>OTH REG LIAB - MISC - ELECTRIC</v>
      </c>
      <c r="G1030" s="626" t="s">
        <v>1169</v>
      </c>
      <c r="H1030" s="736" t="s">
        <v>1120</v>
      </c>
      <c r="I1030" s="442"/>
      <c r="J1030" s="442" t="str">
        <f t="shared" si="331"/>
        <v/>
      </c>
      <c r="K1030" s="442" t="str">
        <f t="shared" si="332"/>
        <v/>
      </c>
      <c r="L1030" s="736" t="s">
        <v>2441</v>
      </c>
      <c r="M1030" s="442" t="str">
        <f t="shared" si="334"/>
        <v>R</v>
      </c>
      <c r="N1030" s="442" t="str">
        <f>IF(L1030&lt;&gt;"",VLOOKUP(L1030,Categories!$B$2:$D$41,2,FALSE),IF(F1030&lt;&gt;"","No Cat",""))</f>
        <v>Rate Base</v>
      </c>
      <c r="O1030" s="442" t="str">
        <f>IF($L1030&lt;&gt;"",VLOOKUP($L1030,Categories!$B$2:$D$41,3,FALSE),IF($F1030&lt;&gt;"","No Cat",""))</f>
        <v>Deferred Debits &amp; Credits</v>
      </c>
      <c r="P1030" s="736" t="s">
        <v>2482</v>
      </c>
      <c r="Q1030" s="442" t="str">
        <f>VLOOKUP($P1030,Allocators!$B$7:$F$19,5,FALSE)</f>
        <v>Electric</v>
      </c>
      <c r="R1030" s="737">
        <f>VLOOKUP($P1030,Allocators!$B$7:$F$19,2,FALSE)</f>
        <v>1</v>
      </c>
      <c r="S1030" s="737">
        <f>VLOOKUP($P1030,Allocators!$B$7:$F$19,3,FALSE)</f>
        <v>0</v>
      </c>
      <c r="T1030" s="737" t="str">
        <f t="shared" si="335"/>
        <v>0.0%</v>
      </c>
      <c r="U1030" s="2">
        <f t="shared" si="345"/>
        <v>-8.0000000000000006E-15</v>
      </c>
      <c r="V1030" s="2">
        <f t="shared" si="346"/>
        <v>0</v>
      </c>
      <c r="W1030" s="2">
        <f t="shared" si="347"/>
        <v>0</v>
      </c>
      <c r="X1030" s="2">
        <f t="shared" si="343"/>
        <v>-8.0000000000000006E-15</v>
      </c>
      <c r="Y1030" s="2" t="str">
        <f t="shared" si="348"/>
        <v/>
      </c>
      <c r="Z1030" s="2" t="str">
        <f t="shared" si="349"/>
        <v/>
      </c>
      <c r="AA1030" s="2" t="str">
        <f t="shared" si="350"/>
        <v/>
      </c>
      <c r="AB1030" s="2">
        <f t="shared" si="344"/>
        <v>0</v>
      </c>
      <c r="AC1030" s="734">
        <v>-2.0372681319713593E-13</v>
      </c>
      <c r="AD1030" s="625">
        <v>0</v>
      </c>
      <c r="AE1030" s="625">
        <v>0</v>
      </c>
      <c r="AF1030" s="38">
        <v>0</v>
      </c>
      <c r="AG1030" s="625">
        <v>0</v>
      </c>
      <c r="AH1030" s="625">
        <v>0</v>
      </c>
      <c r="AI1030" s="625">
        <v>0</v>
      </c>
      <c r="AJ1030" s="625">
        <v>0</v>
      </c>
      <c r="AK1030" s="625">
        <v>0</v>
      </c>
      <c r="AL1030" s="625">
        <v>0</v>
      </c>
      <c r="AM1030" s="625">
        <v>0</v>
      </c>
      <c r="AN1030" s="625">
        <v>0</v>
      </c>
      <c r="AO1030" s="625">
        <v>0</v>
      </c>
      <c r="AP1030" s="41" t="str">
        <f t="shared" si="340"/>
        <v>Reg AssetR</v>
      </c>
      <c r="AQ1030" s="41" t="str">
        <f t="shared" si="341"/>
        <v>Reg AssetRR10DOE Liability - True-up-2004</v>
      </c>
      <c r="AR1030" s="41" t="str">
        <f t="shared" si="342"/>
        <v>R10DOE Liability - True-up-2004</v>
      </c>
      <c r="CK1030" s="625"/>
    </row>
    <row r="1031" spans="1:89" s="41" customFormat="1" ht="12.75" customHeight="1">
      <c r="A1031" s="25" t="s">
        <v>746</v>
      </c>
      <c r="B1031" s="25" t="str">
        <f t="shared" si="333"/>
        <v>Reg Asset254016601030E-04BE030392</v>
      </c>
      <c r="C1031" s="736">
        <v>254016</v>
      </c>
      <c r="D1031" s="738" t="s">
        <v>1170</v>
      </c>
      <c r="E1031" s="41" t="s">
        <v>1165</v>
      </c>
      <c r="F1031" s="41" t="str">
        <f t="shared" si="443"/>
        <v>OTH REG LIAB - MISC - ELECTRIC</v>
      </c>
      <c r="G1031" s="41" t="s">
        <v>1171</v>
      </c>
      <c r="H1031" s="736" t="s">
        <v>822</v>
      </c>
      <c r="I1031" s="25"/>
      <c r="J1031" s="25" t="str">
        <f t="shared" ref="J1031:J1116" si="444">IF(L1031="N10","Y",IF(L1031="N8","Y",""))</f>
        <v/>
      </c>
      <c r="K1031" s="25" t="str">
        <f t="shared" ref="K1031:K1058" si="445">IF(L1031="N3","Y","")</f>
        <v/>
      </c>
      <c r="L1031" s="736" t="s">
        <v>2441</v>
      </c>
      <c r="M1031" s="25" t="str">
        <f t="shared" si="334"/>
        <v>R</v>
      </c>
      <c r="N1031" s="25" t="str">
        <f>IF(L1031&lt;&gt;"",VLOOKUP(L1031,Categories!$B$2:$D$41,2,FALSE),IF(F1031&lt;&gt;"","No Cat",""))</f>
        <v>Rate Base</v>
      </c>
      <c r="O1031" s="25" t="str">
        <f>IF($L1031&lt;&gt;"",VLOOKUP($L1031,Categories!$B$2:$D$41,3,FALSE),IF($F1031&lt;&gt;"","No Cat",""))</f>
        <v>Deferred Debits &amp; Credits</v>
      </c>
      <c r="P1031" s="736" t="s">
        <v>2482</v>
      </c>
      <c r="Q1031" s="25" t="str">
        <f>VLOOKUP($P1031,Allocators!$B$7:$F$19,5,FALSE)</f>
        <v>Electric</v>
      </c>
      <c r="R1031" s="737">
        <f>VLOOKUP($P1031,Allocators!$B$7:$F$19,2,FALSE)</f>
        <v>1</v>
      </c>
      <c r="S1031" s="737">
        <f>VLOOKUP($P1031,Allocators!$B$7:$F$19,3,FALSE)</f>
        <v>0</v>
      </c>
      <c r="T1031" s="737" t="str">
        <f t="shared" si="335"/>
        <v>0.0%</v>
      </c>
      <c r="U1031" s="2" t="str">
        <f t="shared" si="345"/>
        <v/>
      </c>
      <c r="V1031" s="2" t="str">
        <f t="shared" si="346"/>
        <v/>
      </c>
      <c r="W1031" s="2" t="str">
        <f t="shared" si="347"/>
        <v/>
      </c>
      <c r="X1031" s="2">
        <f t="shared" si="343"/>
        <v>0</v>
      </c>
      <c r="Y1031" s="2" t="str">
        <f t="shared" si="348"/>
        <v/>
      </c>
      <c r="Z1031" s="2" t="str">
        <f t="shared" si="349"/>
        <v/>
      </c>
      <c r="AA1031" s="2" t="str">
        <f t="shared" si="350"/>
        <v/>
      </c>
      <c r="AB1031" s="2">
        <f t="shared" si="344"/>
        <v>0</v>
      </c>
      <c r="AC1031" s="625">
        <v>0</v>
      </c>
      <c r="AD1031" s="625">
        <v>0</v>
      </c>
      <c r="AE1031" s="625">
        <v>0</v>
      </c>
      <c r="AF1031" s="38">
        <v>0</v>
      </c>
      <c r="AG1031" s="625">
        <v>0</v>
      </c>
      <c r="AH1031" s="625">
        <v>0</v>
      </c>
      <c r="AI1031" s="625">
        <v>0</v>
      </c>
      <c r="AJ1031" s="625">
        <v>0</v>
      </c>
      <c r="AK1031" s="625">
        <v>0</v>
      </c>
      <c r="AL1031" s="625">
        <v>0</v>
      </c>
      <c r="AM1031" s="625">
        <v>0</v>
      </c>
      <c r="AN1031" s="625">
        <v>0</v>
      </c>
      <c r="AO1031" s="625">
        <v>0</v>
      </c>
      <c r="AP1031" s="41" t="str">
        <f t="shared" si="340"/>
        <v>Reg AssetR</v>
      </c>
      <c r="AQ1031" s="41" t="str">
        <f t="shared" si="341"/>
        <v>Reg AssetRR10Variable Rate Debt</v>
      </c>
      <c r="AR1031" s="41" t="str">
        <f t="shared" si="342"/>
        <v>R10Variable Rate Debt</v>
      </c>
      <c r="CK1031" s="625"/>
    </row>
    <row r="1032" spans="1:89" s="41" customFormat="1" ht="12.75" customHeight="1">
      <c r="A1032" s="25" t="s">
        <v>746</v>
      </c>
      <c r="B1032" s="25" t="str">
        <f t="shared" si="333"/>
        <v>Reg Asset254016SNF/INT Pre-2004BE030395</v>
      </c>
      <c r="C1032" s="736">
        <v>254016</v>
      </c>
      <c r="D1032" s="738" t="s">
        <v>1172</v>
      </c>
      <c r="E1032" s="41" t="s">
        <v>952</v>
      </c>
      <c r="F1032" s="41" t="str">
        <f t="shared" si="443"/>
        <v>OTH REG LIAB - MISC - ELECTRIC</v>
      </c>
      <c r="G1032" s="41" t="s">
        <v>1173</v>
      </c>
      <c r="H1032" s="736" t="s">
        <v>1174</v>
      </c>
      <c r="I1032" s="25"/>
      <c r="J1032" s="25" t="str">
        <f t="shared" si="444"/>
        <v/>
      </c>
      <c r="K1032" s="25" t="str">
        <f t="shared" si="445"/>
        <v/>
      </c>
      <c r="L1032" s="736" t="s">
        <v>2441</v>
      </c>
      <c r="M1032" s="25" t="str">
        <f t="shared" si="334"/>
        <v>R</v>
      </c>
      <c r="N1032" s="25" t="str">
        <f>IF(L1032&lt;&gt;"",VLOOKUP(L1032,Categories!$B$2:$D$41,2,FALSE),IF(F1032&lt;&gt;"","No Cat",""))</f>
        <v>Rate Base</v>
      </c>
      <c r="O1032" s="25" t="str">
        <f>IF($L1032&lt;&gt;"",VLOOKUP($L1032,Categories!$B$2:$D$41,3,FALSE),IF($F1032&lt;&gt;"","No Cat",""))</f>
        <v>Deferred Debits &amp; Credits</v>
      </c>
      <c r="P1032" s="736" t="s">
        <v>2482</v>
      </c>
      <c r="Q1032" s="25" t="str">
        <f>VLOOKUP($P1032,Allocators!$B$7:$F$19,5,FALSE)</f>
        <v>Electric</v>
      </c>
      <c r="R1032" s="737">
        <f>VLOOKUP($P1032,Allocators!$B$7:$F$19,2,FALSE)</f>
        <v>1</v>
      </c>
      <c r="S1032" s="737">
        <f>VLOOKUP($P1032,Allocators!$B$7:$F$19,3,FALSE)</f>
        <v>0</v>
      </c>
      <c r="T1032" s="737" t="str">
        <f t="shared" si="335"/>
        <v>0.0%</v>
      </c>
      <c r="U1032" s="2" t="str">
        <f t="shared" si="345"/>
        <v/>
      </c>
      <c r="V1032" s="2" t="str">
        <f t="shared" si="346"/>
        <v/>
      </c>
      <c r="W1032" s="2" t="str">
        <f t="shared" si="347"/>
        <v/>
      </c>
      <c r="X1032" s="2">
        <f t="shared" si="343"/>
        <v>0</v>
      </c>
      <c r="Y1032" s="2" t="str">
        <f t="shared" si="348"/>
        <v/>
      </c>
      <c r="Z1032" s="2" t="str">
        <f t="shared" si="349"/>
        <v/>
      </c>
      <c r="AA1032" s="2" t="str">
        <f t="shared" si="350"/>
        <v/>
      </c>
      <c r="AB1032" s="2">
        <f t="shared" si="344"/>
        <v>0</v>
      </c>
      <c r="AC1032" s="734">
        <v>0</v>
      </c>
      <c r="AD1032" s="625">
        <v>0</v>
      </c>
      <c r="AE1032" s="625">
        <v>0</v>
      </c>
      <c r="AF1032" s="38">
        <v>0</v>
      </c>
      <c r="AG1032" s="625">
        <v>0</v>
      </c>
      <c r="AH1032" s="625">
        <v>0</v>
      </c>
      <c r="AI1032" s="625">
        <v>0</v>
      </c>
      <c r="AJ1032" s="625">
        <v>0</v>
      </c>
      <c r="AK1032" s="625">
        <v>0</v>
      </c>
      <c r="AL1032" s="625">
        <v>0</v>
      </c>
      <c r="AM1032" s="625">
        <v>0</v>
      </c>
      <c r="AN1032" s="625">
        <v>0</v>
      </c>
      <c r="AO1032" s="625">
        <v>0</v>
      </c>
      <c r="AP1032" s="41" t="str">
        <f t="shared" ref="AP1032:AP1095" si="446">CONCATENATE(A1032,M1032)</f>
        <v>Reg AssetR</v>
      </c>
      <c r="AQ1032" s="41" t="str">
        <f t="shared" ref="AQ1032:AQ1095" si="447">CONCATENATE(AP1032,L1032,H1032)</f>
        <v>Reg AssetRR10DOE Liability - True-up</v>
      </c>
      <c r="AR1032" s="41" t="str">
        <f t="shared" ref="AR1032:AR1095" si="448">CONCATENATE(L1032,H1032,J1032)</f>
        <v>R10DOE Liability - True-up</v>
      </c>
      <c r="CK1032" s="625"/>
    </row>
    <row r="1033" spans="1:89" s="41" customFormat="1" ht="12.75" customHeight="1">
      <c r="A1033" s="442" t="s">
        <v>746</v>
      </c>
      <c r="B1033" s="442" t="str">
        <f t="shared" si="333"/>
        <v>Reg Asset254016SNF-INT-LBE030395</v>
      </c>
      <c r="C1033" s="736">
        <v>254016</v>
      </c>
      <c r="D1033" s="738" t="s">
        <v>873</v>
      </c>
      <c r="E1033" s="626" t="s">
        <v>952</v>
      </c>
      <c r="F1033" s="626" t="str">
        <f t="shared" si="443"/>
        <v>OTH REG LIAB - MISC - ELECTRIC</v>
      </c>
      <c r="G1033" s="626" t="s">
        <v>1169</v>
      </c>
      <c r="H1033" s="736" t="s">
        <v>1120</v>
      </c>
      <c r="I1033" s="442"/>
      <c r="J1033" s="442" t="str">
        <f t="shared" si="444"/>
        <v/>
      </c>
      <c r="K1033" s="442" t="str">
        <f t="shared" si="445"/>
        <v/>
      </c>
      <c r="L1033" s="736" t="s">
        <v>2441</v>
      </c>
      <c r="M1033" s="442" t="str">
        <f t="shared" si="334"/>
        <v>R</v>
      </c>
      <c r="N1033" s="442" t="str">
        <f>IF(L1033&lt;&gt;"",VLOOKUP(L1033,Categories!$B$2:$D$41,2,FALSE),IF(F1033&lt;&gt;"","No Cat",""))</f>
        <v>Rate Base</v>
      </c>
      <c r="O1033" s="442" t="str">
        <f>IF($L1033&lt;&gt;"",VLOOKUP($L1033,Categories!$B$2:$D$41,3,FALSE),IF($F1033&lt;&gt;"","No Cat",""))</f>
        <v>Deferred Debits &amp; Credits</v>
      </c>
      <c r="P1033" s="736" t="s">
        <v>2482</v>
      </c>
      <c r="Q1033" s="442" t="str">
        <f>VLOOKUP($P1033,Allocators!$B$7:$F$19,5,FALSE)</f>
        <v>Electric</v>
      </c>
      <c r="R1033" s="737">
        <f>VLOOKUP($P1033,Allocators!$B$7:$F$19,2,FALSE)</f>
        <v>1</v>
      </c>
      <c r="S1033" s="737">
        <f>VLOOKUP($P1033,Allocators!$B$7:$F$19,3,FALSE)</f>
        <v>0</v>
      </c>
      <c r="T1033" s="737" t="str">
        <f t="shared" si="335"/>
        <v>0.0%</v>
      </c>
      <c r="U1033" s="2">
        <f t="shared" si="345"/>
        <v>-1022.49886291667</v>
      </c>
      <c r="V1033" s="2">
        <f t="shared" si="346"/>
        <v>0</v>
      </c>
      <c r="W1033" s="2">
        <f t="shared" si="347"/>
        <v>0</v>
      </c>
      <c r="X1033" s="2">
        <f t="shared" si="343"/>
        <v>-1022.49886291667</v>
      </c>
      <c r="Y1033" s="2" t="str">
        <f t="shared" si="348"/>
        <v/>
      </c>
      <c r="Z1033" s="2" t="str">
        <f t="shared" si="349"/>
        <v/>
      </c>
      <c r="AA1033" s="2" t="str">
        <f t="shared" si="350"/>
        <v/>
      </c>
      <c r="AB1033" s="2">
        <f t="shared" si="344"/>
        <v>0</v>
      </c>
      <c r="AC1033" s="734">
        <v>-2230.90661</v>
      </c>
      <c r="AD1033" s="625">
        <v>-2230.90661</v>
      </c>
      <c r="AE1033" s="625">
        <v>-2230.90661</v>
      </c>
      <c r="AF1033" s="625">
        <v>-2230.90661</v>
      </c>
      <c r="AG1033" s="625">
        <v>-2230.90661</v>
      </c>
      <c r="AH1033" s="625">
        <v>-2230.90661</v>
      </c>
      <c r="AI1033" s="625">
        <v>0</v>
      </c>
      <c r="AJ1033" s="625">
        <v>0</v>
      </c>
      <c r="AK1033" s="625">
        <v>0</v>
      </c>
      <c r="AL1033" s="625">
        <v>0</v>
      </c>
      <c r="AM1033" s="625">
        <v>0</v>
      </c>
      <c r="AN1033" s="625">
        <v>0</v>
      </c>
      <c r="AO1033" s="625">
        <v>0</v>
      </c>
      <c r="AP1033" s="41" t="str">
        <f t="shared" si="446"/>
        <v>Reg AssetR</v>
      </c>
      <c r="AQ1033" s="41" t="str">
        <f t="shared" si="447"/>
        <v>Reg AssetRR10DOE Liability - True-up-2004</v>
      </c>
      <c r="AR1033" s="41" t="str">
        <f t="shared" si="448"/>
        <v>R10DOE Liability - True-up-2004</v>
      </c>
      <c r="CK1033" s="625"/>
    </row>
    <row r="1034" spans="1:89" s="41" customFormat="1" ht="12.75" customHeight="1">
      <c r="A1034" s="25" t="s">
        <v>746</v>
      </c>
      <c r="B1034" s="25" t="str">
        <f t="shared" si="333"/>
        <v>Reg Asset254016SNF/INT-2004BE030395</v>
      </c>
      <c r="C1034" s="736">
        <v>254016</v>
      </c>
      <c r="D1034" s="738" t="s">
        <v>1175</v>
      </c>
      <c r="E1034" s="41" t="s">
        <v>952</v>
      </c>
      <c r="F1034" s="41" t="str">
        <f t="shared" si="443"/>
        <v>OTH REG LIAB - MISC - ELECTRIC</v>
      </c>
      <c r="G1034" s="41" t="s">
        <v>1176</v>
      </c>
      <c r="H1034" s="736" t="s">
        <v>1120</v>
      </c>
      <c r="I1034" s="25"/>
      <c r="J1034" s="25" t="str">
        <f t="shared" si="444"/>
        <v/>
      </c>
      <c r="K1034" s="25" t="str">
        <f t="shared" si="445"/>
        <v/>
      </c>
      <c r="L1034" s="736" t="s">
        <v>2441</v>
      </c>
      <c r="M1034" s="25" t="str">
        <f t="shared" si="334"/>
        <v>R</v>
      </c>
      <c r="N1034" s="25" t="str">
        <f>IF(L1034&lt;&gt;"",VLOOKUP(L1034,Categories!$B$2:$D$41,2,FALSE),IF(F1034&lt;&gt;"","No Cat",""))</f>
        <v>Rate Base</v>
      </c>
      <c r="O1034" s="25" t="str">
        <f>IF($L1034&lt;&gt;"",VLOOKUP($L1034,Categories!$B$2:$D$41,3,FALSE),IF($F1034&lt;&gt;"","No Cat",""))</f>
        <v>Deferred Debits &amp; Credits</v>
      </c>
      <c r="P1034" s="736" t="s">
        <v>2482</v>
      </c>
      <c r="Q1034" s="25" t="str">
        <f>VLOOKUP($P1034,Allocators!$B$7:$F$19,5,FALSE)</f>
        <v>Electric</v>
      </c>
      <c r="R1034" s="737">
        <f>VLOOKUP($P1034,Allocators!$B$7:$F$19,2,FALSE)</f>
        <v>1</v>
      </c>
      <c r="S1034" s="737">
        <f>VLOOKUP($P1034,Allocators!$B$7:$F$19,3,FALSE)</f>
        <v>0</v>
      </c>
      <c r="T1034" s="737" t="str">
        <f t="shared" si="335"/>
        <v>0.0%</v>
      </c>
      <c r="U1034" s="2" t="str">
        <f t="shared" si="345"/>
        <v/>
      </c>
      <c r="V1034" s="2" t="str">
        <f t="shared" si="346"/>
        <v/>
      </c>
      <c r="W1034" s="2" t="str">
        <f t="shared" si="347"/>
        <v/>
      </c>
      <c r="X1034" s="2">
        <f t="shared" si="343"/>
        <v>0</v>
      </c>
      <c r="Y1034" s="2" t="str">
        <f t="shared" si="348"/>
        <v/>
      </c>
      <c r="Z1034" s="2" t="str">
        <f t="shared" si="349"/>
        <v/>
      </c>
      <c r="AA1034" s="2" t="str">
        <f t="shared" si="350"/>
        <v/>
      </c>
      <c r="AB1034" s="2">
        <f t="shared" si="344"/>
        <v>0</v>
      </c>
      <c r="AC1034" s="734">
        <v>0</v>
      </c>
      <c r="AD1034" s="625">
        <v>0</v>
      </c>
      <c r="AE1034" s="625">
        <v>0</v>
      </c>
      <c r="AF1034" s="38">
        <v>0</v>
      </c>
      <c r="AG1034" s="625">
        <v>0</v>
      </c>
      <c r="AH1034" s="625">
        <v>0</v>
      </c>
      <c r="AI1034" s="625">
        <v>0</v>
      </c>
      <c r="AJ1034" s="625">
        <v>0</v>
      </c>
      <c r="AK1034" s="625">
        <v>0</v>
      </c>
      <c r="AL1034" s="625">
        <v>0</v>
      </c>
      <c r="AM1034" s="625">
        <v>0</v>
      </c>
      <c r="AN1034" s="625">
        <v>0</v>
      </c>
      <c r="AO1034" s="625">
        <v>0</v>
      </c>
      <c r="AP1034" s="41" t="str">
        <f t="shared" si="446"/>
        <v>Reg AssetR</v>
      </c>
      <c r="AQ1034" s="41" t="str">
        <f t="shared" si="447"/>
        <v>Reg AssetRR10DOE Liability - True-up-2004</v>
      </c>
      <c r="AR1034" s="41" t="str">
        <f t="shared" si="448"/>
        <v>R10DOE Liability - True-up-2004</v>
      </c>
      <c r="CK1034" s="625"/>
    </row>
    <row r="1035" spans="1:89" s="41" customFormat="1" ht="12.75" customHeight="1">
      <c r="A1035" s="25" t="s">
        <v>746</v>
      </c>
      <c r="B1035" s="25" t="str">
        <f t="shared" si="333"/>
        <v>Reg Asset254016601096BE030271</v>
      </c>
      <c r="C1035" s="736">
        <v>254016</v>
      </c>
      <c r="D1035" s="738">
        <v>601096</v>
      </c>
      <c r="E1035" s="41" t="s">
        <v>956</v>
      </c>
      <c r="F1035" s="41" t="str">
        <f t="shared" si="443"/>
        <v>OTH REG LIAB - MISC - ELECTRIC</v>
      </c>
      <c r="G1035" s="41" t="s">
        <v>1177</v>
      </c>
      <c r="H1035" s="736" t="s">
        <v>1125</v>
      </c>
      <c r="I1035" s="25"/>
      <c r="J1035" s="25" t="str">
        <f t="shared" si="444"/>
        <v/>
      </c>
      <c r="K1035" s="25" t="str">
        <f t="shared" si="445"/>
        <v/>
      </c>
      <c r="L1035" s="736" t="s">
        <v>2441</v>
      </c>
      <c r="M1035" s="25" t="str">
        <f t="shared" si="334"/>
        <v>R</v>
      </c>
      <c r="N1035" s="25" t="str">
        <f>IF(L1035&lt;&gt;"",VLOOKUP(L1035,Categories!$B$2:$D$41,2,FALSE),IF(F1035&lt;&gt;"","No Cat",""))</f>
        <v>Rate Base</v>
      </c>
      <c r="O1035" s="25" t="str">
        <f>IF($L1035&lt;&gt;"",VLOOKUP($L1035,Categories!$B$2:$D$41,3,FALSE),IF($F1035&lt;&gt;"","No Cat",""))</f>
        <v>Deferred Debits &amp; Credits</v>
      </c>
      <c r="P1035" s="736" t="s">
        <v>2482</v>
      </c>
      <c r="Q1035" s="25" t="str">
        <f>VLOOKUP($P1035,Allocators!$B$7:$F$19,5,FALSE)</f>
        <v>Electric</v>
      </c>
      <c r="R1035" s="737">
        <f>VLOOKUP($P1035,Allocators!$B$7:$F$19,2,FALSE)</f>
        <v>1</v>
      </c>
      <c r="S1035" s="737">
        <f>VLOOKUP($P1035,Allocators!$B$7:$F$19,3,FALSE)</f>
        <v>0</v>
      </c>
      <c r="T1035" s="737" t="str">
        <f t="shared" si="335"/>
        <v>0.0%</v>
      </c>
      <c r="U1035" s="2" t="str">
        <f t="shared" si="345"/>
        <v/>
      </c>
      <c r="V1035" s="2" t="str">
        <f t="shared" si="346"/>
        <v/>
      </c>
      <c r="W1035" s="2" t="str">
        <f t="shared" si="347"/>
        <v/>
      </c>
      <c r="X1035" s="2">
        <f t="shared" si="343"/>
        <v>0</v>
      </c>
      <c r="Y1035" s="2" t="str">
        <f t="shared" si="348"/>
        <v/>
      </c>
      <c r="Z1035" s="2" t="str">
        <f t="shared" si="349"/>
        <v/>
      </c>
      <c r="AA1035" s="2" t="str">
        <f t="shared" si="350"/>
        <v/>
      </c>
      <c r="AB1035" s="2">
        <f t="shared" si="344"/>
        <v>0</v>
      </c>
      <c r="AC1035" s="625">
        <v>0</v>
      </c>
      <c r="AD1035" s="625">
        <v>0</v>
      </c>
      <c r="AE1035" s="625">
        <v>0</v>
      </c>
      <c r="AF1035" s="38">
        <v>0</v>
      </c>
      <c r="AG1035" s="625">
        <v>0</v>
      </c>
      <c r="AH1035" s="625">
        <v>0</v>
      </c>
      <c r="AI1035" s="625">
        <v>0</v>
      </c>
      <c r="AJ1035" s="625">
        <v>0</v>
      </c>
      <c r="AK1035" s="625">
        <v>0</v>
      </c>
      <c r="AL1035" s="625">
        <v>0</v>
      </c>
      <c r="AM1035" s="625">
        <v>0</v>
      </c>
      <c r="AN1035" s="625">
        <v>0</v>
      </c>
      <c r="AO1035" s="625">
        <v>0</v>
      </c>
      <c r="AP1035" s="41" t="str">
        <f t="shared" si="446"/>
        <v>Reg AssetR</v>
      </c>
      <c r="AQ1035" s="41" t="str">
        <f t="shared" si="447"/>
        <v>Reg AssetRR10NYS Tax Rate to 7.1%</v>
      </c>
      <c r="AR1035" s="41" t="str">
        <f t="shared" si="448"/>
        <v>R10NYS Tax Rate to 7.1%</v>
      </c>
      <c r="CK1035" s="625"/>
    </row>
    <row r="1036" spans="1:89" s="41" customFormat="1" ht="12.75" customHeight="1">
      <c r="A1036" s="25" t="s">
        <v>746</v>
      </c>
      <c r="B1036" s="25" t="str">
        <f t="shared" si="333"/>
        <v>Reg Asset254016601097-ABE030477</v>
      </c>
      <c r="C1036" s="736">
        <v>254016</v>
      </c>
      <c r="D1036" s="738" t="s">
        <v>1179</v>
      </c>
      <c r="E1036" s="41" t="s">
        <v>1178</v>
      </c>
      <c r="F1036" s="41" t="str">
        <f t="shared" si="443"/>
        <v>OTH REG LIAB - MISC - ELECTRIC</v>
      </c>
      <c r="G1036" s="41" t="s">
        <v>1180</v>
      </c>
      <c r="H1036" s="736" t="s">
        <v>1181</v>
      </c>
      <c r="I1036" s="25"/>
      <c r="J1036" s="25" t="str">
        <f t="shared" si="444"/>
        <v/>
      </c>
      <c r="K1036" s="25" t="str">
        <f t="shared" si="445"/>
        <v/>
      </c>
      <c r="L1036" s="736" t="s">
        <v>2441</v>
      </c>
      <c r="M1036" s="25" t="str">
        <f t="shared" si="334"/>
        <v>R</v>
      </c>
      <c r="N1036" s="25" t="str">
        <f>IF(L1036&lt;&gt;"",VLOOKUP(L1036,Categories!$B$2:$D$41,2,FALSE),IF(F1036&lt;&gt;"","No Cat",""))</f>
        <v>Rate Base</v>
      </c>
      <c r="O1036" s="25" t="str">
        <f>IF($L1036&lt;&gt;"",VLOOKUP($L1036,Categories!$B$2:$D$41,3,FALSE),IF($F1036&lt;&gt;"","No Cat",""))</f>
        <v>Deferred Debits &amp; Credits</v>
      </c>
      <c r="P1036" s="736" t="s">
        <v>2482</v>
      </c>
      <c r="Q1036" s="25" t="str">
        <f>VLOOKUP($P1036,Allocators!$B$7:$F$19,5,FALSE)</f>
        <v>Electric</v>
      </c>
      <c r="R1036" s="737">
        <f>VLOOKUP($P1036,Allocators!$B$7:$F$19,2,FALSE)</f>
        <v>1</v>
      </c>
      <c r="S1036" s="737">
        <f>VLOOKUP($P1036,Allocators!$B$7:$F$19,3,FALSE)</f>
        <v>0</v>
      </c>
      <c r="T1036" s="737" t="str">
        <f t="shared" si="335"/>
        <v>0.0%</v>
      </c>
      <c r="U1036" s="2" t="str">
        <f t="shared" si="345"/>
        <v/>
      </c>
      <c r="V1036" s="2" t="str">
        <f t="shared" si="346"/>
        <v/>
      </c>
      <c r="W1036" s="2" t="str">
        <f t="shared" si="347"/>
        <v/>
      </c>
      <c r="X1036" s="2">
        <f t="shared" si="343"/>
        <v>0</v>
      </c>
      <c r="Y1036" s="2" t="str">
        <f t="shared" si="348"/>
        <v/>
      </c>
      <c r="Z1036" s="2" t="str">
        <f t="shared" si="349"/>
        <v/>
      </c>
      <c r="AA1036" s="2" t="str">
        <f t="shared" si="350"/>
        <v/>
      </c>
      <c r="AB1036" s="2">
        <f t="shared" si="344"/>
        <v>0</v>
      </c>
      <c r="AC1036" s="734">
        <v>0</v>
      </c>
      <c r="AD1036" s="625">
        <v>0</v>
      </c>
      <c r="AE1036" s="625">
        <v>0</v>
      </c>
      <c r="AF1036" s="38">
        <v>0</v>
      </c>
      <c r="AG1036" s="625">
        <v>0</v>
      </c>
      <c r="AH1036" s="625">
        <v>0</v>
      </c>
      <c r="AI1036" s="625">
        <v>0</v>
      </c>
      <c r="AJ1036" s="625">
        <v>0</v>
      </c>
      <c r="AK1036" s="625">
        <v>0</v>
      </c>
      <c r="AL1036" s="625">
        <v>0</v>
      </c>
      <c r="AM1036" s="625">
        <v>0</v>
      </c>
      <c r="AN1036" s="625">
        <v>0</v>
      </c>
      <c r="AO1036" s="625">
        <v>0</v>
      </c>
      <c r="AP1036" s="41" t="str">
        <f t="shared" si="446"/>
        <v>Reg AssetR</v>
      </c>
      <c r="AQ1036" s="41" t="str">
        <f t="shared" si="447"/>
        <v>Reg AssetRR10Property Tax 481(a)</v>
      </c>
      <c r="AR1036" s="41" t="str">
        <f t="shared" si="448"/>
        <v>R10Property Tax 481(a)</v>
      </c>
      <c r="CK1036" s="625"/>
    </row>
    <row r="1037" spans="1:89" s="41" customFormat="1" ht="12.75" customHeight="1">
      <c r="A1037" s="25" t="s">
        <v>746</v>
      </c>
      <c r="B1037" s="25" t="str">
        <f t="shared" si="333"/>
        <v>Reg Asset254016601097-LBE030477</v>
      </c>
      <c r="C1037" s="736">
        <v>254016</v>
      </c>
      <c r="D1037" s="738" t="s">
        <v>1182</v>
      </c>
      <c r="E1037" s="41" t="s">
        <v>1178</v>
      </c>
      <c r="F1037" s="41" t="str">
        <f t="shared" si="443"/>
        <v>OTH REG LIAB - MISC - ELECTRIC</v>
      </c>
      <c r="G1037" s="41" t="s">
        <v>1180</v>
      </c>
      <c r="H1037" s="736" t="s">
        <v>1181</v>
      </c>
      <c r="I1037" s="25"/>
      <c r="J1037" s="25" t="str">
        <f t="shared" si="444"/>
        <v/>
      </c>
      <c r="K1037" s="25" t="str">
        <f t="shared" si="445"/>
        <v/>
      </c>
      <c r="L1037" s="736" t="s">
        <v>2441</v>
      </c>
      <c r="M1037" s="25" t="str">
        <f t="shared" si="334"/>
        <v>R</v>
      </c>
      <c r="N1037" s="25" t="str">
        <f>IF(L1037&lt;&gt;"",VLOOKUP(L1037,Categories!$B$2:$D$41,2,FALSE),IF(F1037&lt;&gt;"","No Cat",""))</f>
        <v>Rate Base</v>
      </c>
      <c r="O1037" s="25" t="str">
        <f>IF($L1037&lt;&gt;"",VLOOKUP($L1037,Categories!$B$2:$D$41,3,FALSE),IF($F1037&lt;&gt;"","No Cat",""))</f>
        <v>Deferred Debits &amp; Credits</v>
      </c>
      <c r="P1037" s="736" t="s">
        <v>2482</v>
      </c>
      <c r="Q1037" s="25" t="str">
        <f>VLOOKUP($P1037,Allocators!$B$7:$F$19,5,FALSE)</f>
        <v>Electric</v>
      </c>
      <c r="R1037" s="737">
        <f>VLOOKUP($P1037,Allocators!$B$7:$F$19,2,FALSE)</f>
        <v>1</v>
      </c>
      <c r="S1037" s="737">
        <f>VLOOKUP($P1037,Allocators!$B$7:$F$19,3,FALSE)</f>
        <v>0</v>
      </c>
      <c r="T1037" s="737" t="str">
        <f t="shared" si="335"/>
        <v>0.0%</v>
      </c>
      <c r="U1037" s="2">
        <f t="shared" si="345"/>
        <v>-345.96557999999999</v>
      </c>
      <c r="V1037" s="2">
        <f t="shared" si="346"/>
        <v>0</v>
      </c>
      <c r="W1037" s="2">
        <f t="shared" si="347"/>
        <v>0</v>
      </c>
      <c r="X1037" s="2">
        <f t="shared" ref="X1037:X1100" si="449">IF(ISERROR(ROUND((SUM(AC1037:AO1037)-((AC1037+AO1037))/2)/12,15)),"",ROUND((SUM(AC1037:AO1037)-((AC1037+AO1037))/2)/12,15))</f>
        <v>-345.96557999999999</v>
      </c>
      <c r="Y1037" s="2">
        <f t="shared" si="348"/>
        <v>-345.96557999999999</v>
      </c>
      <c r="Z1037" s="2">
        <f t="shared" si="349"/>
        <v>0</v>
      </c>
      <c r="AA1037" s="2">
        <f t="shared" si="350"/>
        <v>0</v>
      </c>
      <c r="AB1037" s="2">
        <f t="shared" ref="AB1037:AB1100" si="450">IF(AO1037="",0,+AO1037)</f>
        <v>-345.96557999999999</v>
      </c>
      <c r="AC1037" s="734">
        <v>-345.96557999999999</v>
      </c>
      <c r="AD1037" s="625">
        <v>-345.96557999999999</v>
      </c>
      <c r="AE1037" s="625">
        <v>-345.96557999999999</v>
      </c>
      <c r="AF1037" s="625">
        <v>-345.96557999999999</v>
      </c>
      <c r="AG1037" s="625">
        <v>-345.96557999999999</v>
      </c>
      <c r="AH1037" s="625">
        <v>-345.96557999999999</v>
      </c>
      <c r="AI1037" s="625">
        <v>-345.96557999999999</v>
      </c>
      <c r="AJ1037" s="625">
        <v>-345.96557999999999</v>
      </c>
      <c r="AK1037" s="625">
        <v>-345.96557999999999</v>
      </c>
      <c r="AL1037" s="625">
        <v>-345.96557999999999</v>
      </c>
      <c r="AM1037" s="625">
        <v>-345.96557999999999</v>
      </c>
      <c r="AN1037" s="625">
        <v>-345.96557999999999</v>
      </c>
      <c r="AO1037" s="625">
        <v>-345.96557999999999</v>
      </c>
      <c r="AP1037" s="41" t="str">
        <f t="shared" si="446"/>
        <v>Reg AssetR</v>
      </c>
      <c r="AQ1037" s="41" t="str">
        <f t="shared" si="447"/>
        <v>Reg AssetRR10Property Tax 481(a)</v>
      </c>
      <c r="AR1037" s="41" t="str">
        <f t="shared" si="448"/>
        <v>R10Property Tax 481(a)</v>
      </c>
      <c r="CK1037" s="625"/>
    </row>
    <row r="1038" spans="1:89" s="41" customFormat="1" ht="12.75" customHeight="1">
      <c r="A1038" s="442" t="s">
        <v>746</v>
      </c>
      <c r="B1038" s="442" t="str">
        <f t="shared" si="333"/>
        <v>Reg Asset254016601139/601248BE030192</v>
      </c>
      <c r="C1038" s="736">
        <v>254016</v>
      </c>
      <c r="D1038" s="738" t="s">
        <v>1184</v>
      </c>
      <c r="E1038" s="626" t="s">
        <v>1183</v>
      </c>
      <c r="F1038" s="626" t="str">
        <f t="shared" si="443"/>
        <v>OTH REG LIAB - MISC - ELECTRIC</v>
      </c>
      <c r="G1038" s="626" t="s">
        <v>1185</v>
      </c>
      <c r="H1038" s="736" t="s">
        <v>1186</v>
      </c>
      <c r="I1038" s="442"/>
      <c r="J1038" s="442" t="s">
        <v>7</v>
      </c>
      <c r="K1038" s="442" t="str">
        <f t="shared" si="445"/>
        <v/>
      </c>
      <c r="L1038" s="736" t="s">
        <v>2436</v>
      </c>
      <c r="M1038" s="442" t="str">
        <f t="shared" si="334"/>
        <v>N</v>
      </c>
      <c r="N1038" s="442" t="str">
        <f>IF(L1038&lt;&gt;"",VLOOKUP(L1038,Categories!$B$2:$D$41,2,FALSE),IF(F1038&lt;&gt;"","No Cat",""))</f>
        <v>NRBASE</v>
      </c>
      <c r="O1038" s="442" t="str">
        <f>IF($L1038&lt;&gt;"",VLOOKUP($L1038,Categories!$B$2:$D$41,3,FALSE),IF($F1038&lt;&gt;"","No Cat",""))</f>
        <v>Deferrals Accruing Non-Cash Return   (other than ASGA)</v>
      </c>
      <c r="P1038" s="736" t="s">
        <v>2468</v>
      </c>
      <c r="Q1038" s="442" t="str">
        <f>VLOOKUP($P1038,Allocators!$B$7:$F$19,5,FALSE)</f>
        <v>Not in Rate Base</v>
      </c>
      <c r="R1038" s="737">
        <f>VLOOKUP($P1038,Allocators!$B$7:$F$19,2,FALSE)</f>
        <v>0</v>
      </c>
      <c r="S1038" s="737">
        <f>VLOOKUP($P1038,Allocators!$B$7:$F$19,3,FALSE)</f>
        <v>0</v>
      </c>
      <c r="T1038" s="737">
        <f t="shared" si="335"/>
        <v>1</v>
      </c>
      <c r="U1038" s="2">
        <f t="shared" si="345"/>
        <v>0</v>
      </c>
      <c r="V1038" s="2">
        <f t="shared" si="346"/>
        <v>0</v>
      </c>
      <c r="W1038" s="2">
        <f t="shared" si="347"/>
        <v>-1499.6562008333301</v>
      </c>
      <c r="X1038" s="2">
        <f t="shared" si="449"/>
        <v>-1499.6562008333301</v>
      </c>
      <c r="Y1038" s="2" t="str">
        <f t="shared" si="348"/>
        <v/>
      </c>
      <c r="Z1038" s="2" t="str">
        <f t="shared" si="349"/>
        <v/>
      </c>
      <c r="AA1038" s="2" t="str">
        <f t="shared" si="350"/>
        <v/>
      </c>
      <c r="AB1038" s="2">
        <f t="shared" si="450"/>
        <v>0</v>
      </c>
      <c r="AC1038" s="734">
        <v>-2718.3513800000005</v>
      </c>
      <c r="AD1038" s="625">
        <v>-2733.7569700000004</v>
      </c>
      <c r="AE1038" s="625">
        <v>-2749.2498600000004</v>
      </c>
      <c r="AF1038" s="625">
        <v>-2764.8305600000003</v>
      </c>
      <c r="AG1038" s="625">
        <v>-2780.4995500000009</v>
      </c>
      <c r="AH1038" s="625">
        <v>-2796.2573400000006</v>
      </c>
      <c r="AI1038" s="625">
        <v>-2812.104440000001</v>
      </c>
      <c r="AJ1038" s="625">
        <v>0</v>
      </c>
      <c r="AK1038" s="625">
        <v>0</v>
      </c>
      <c r="AL1038" s="625">
        <v>0</v>
      </c>
      <c r="AM1038" s="625">
        <v>0</v>
      </c>
      <c r="AN1038" s="625">
        <v>0</v>
      </c>
      <c r="AO1038" s="625">
        <v>0</v>
      </c>
      <c r="AP1038" s="41" t="str">
        <f t="shared" si="446"/>
        <v>Reg AssetN</v>
      </c>
      <c r="AQ1038" s="41" t="str">
        <f t="shared" si="447"/>
        <v>Reg AssetNN10Bonus Depreciation Deferral</v>
      </c>
      <c r="AR1038" s="41" t="str">
        <f t="shared" si="448"/>
        <v>N10Bonus Depreciation DeferralNCR</v>
      </c>
      <c r="CK1038" s="625"/>
    </row>
    <row r="1039" spans="1:89" s="41" customFormat="1" ht="12.75" customHeight="1">
      <c r="A1039" s="442" t="s">
        <v>746</v>
      </c>
      <c r="B1039" s="442" t="str">
        <f t="shared" ref="B1039" si="451">CONCATENATE(A1039,C1039,D1039,E1039)</f>
        <v>Reg Asset254016601248BE030192</v>
      </c>
      <c r="C1039" s="736">
        <v>254016</v>
      </c>
      <c r="D1039" s="738">
        <v>601248</v>
      </c>
      <c r="E1039" s="626" t="s">
        <v>1183</v>
      </c>
      <c r="F1039" s="626" t="str">
        <f t="shared" si="443"/>
        <v>OTH REG LIAB - MISC - ELECTRIC</v>
      </c>
      <c r="G1039" s="626" t="s">
        <v>1185</v>
      </c>
      <c r="H1039" s="736" t="s">
        <v>1186</v>
      </c>
      <c r="I1039" s="442"/>
      <c r="J1039" s="442" t="s">
        <v>7</v>
      </c>
      <c r="K1039" s="442" t="str">
        <f t="shared" ref="K1039" si="452">IF(L1039="N3","Y","")</f>
        <v/>
      </c>
      <c r="L1039" s="736" t="s">
        <v>2436</v>
      </c>
      <c r="M1039" s="442" t="str">
        <f t="shared" ref="M1039" si="453">LEFT(L1039,1)</f>
        <v>N</v>
      </c>
      <c r="N1039" s="442" t="str">
        <f>IF(L1039&lt;&gt;"",VLOOKUP(L1039,Categories!$B$2:$D$41,2,FALSE),IF(F1039&lt;&gt;"","No Cat",""))</f>
        <v>NRBASE</v>
      </c>
      <c r="O1039" s="442" t="str">
        <f>IF($L1039&lt;&gt;"",VLOOKUP($L1039,Categories!$B$2:$D$41,3,FALSE),IF($F1039&lt;&gt;"","No Cat",""))</f>
        <v>Deferrals Accruing Non-Cash Return   (other than ASGA)</v>
      </c>
      <c r="P1039" s="736" t="s">
        <v>2468</v>
      </c>
      <c r="Q1039" s="442" t="str">
        <f>VLOOKUP($P1039,Allocators!$B$7:$F$19,5,FALSE)</f>
        <v>Not in Rate Base</v>
      </c>
      <c r="R1039" s="737">
        <f>VLOOKUP($P1039,Allocators!$B$7:$F$19,2,FALSE)</f>
        <v>0</v>
      </c>
      <c r="S1039" s="737">
        <f>VLOOKUP($P1039,Allocators!$B$7:$F$19,3,FALSE)</f>
        <v>0</v>
      </c>
      <c r="T1039" s="737">
        <f t="shared" ref="T1039" si="454">IF(P1039="N",1,"0.0%")</f>
        <v>1</v>
      </c>
      <c r="U1039" s="2">
        <f t="shared" si="345"/>
        <v>0</v>
      </c>
      <c r="V1039" s="2">
        <f t="shared" si="346"/>
        <v>0</v>
      </c>
      <c r="W1039" s="2">
        <f t="shared" si="347"/>
        <v>-9807.0447650000006</v>
      </c>
      <c r="X1039" s="2">
        <f t="shared" si="449"/>
        <v>-9807.0447650000006</v>
      </c>
      <c r="Y1039" s="2" t="str">
        <f t="shared" si="348"/>
        <v/>
      </c>
      <c r="Z1039" s="2" t="str">
        <f t="shared" si="349"/>
        <v/>
      </c>
      <c r="AA1039" s="2" t="str">
        <f t="shared" si="350"/>
        <v/>
      </c>
      <c r="AB1039" s="2">
        <f t="shared" si="450"/>
        <v>0</v>
      </c>
      <c r="AC1039" s="734">
        <v>-15377.423620000003</v>
      </c>
      <c r="AD1039" s="625">
        <v>-16223.236200000001</v>
      </c>
      <c r="AE1039" s="625">
        <v>-17068.174310000002</v>
      </c>
      <c r="AF1039" s="625">
        <v>-17912.23299</v>
      </c>
      <c r="AG1039" s="625">
        <v>-18755.40726</v>
      </c>
      <c r="AH1039" s="625">
        <v>-19597.692110000004</v>
      </c>
      <c r="AI1039" s="625">
        <v>-20439.082500000004</v>
      </c>
      <c r="AJ1039" s="625">
        <v>0</v>
      </c>
      <c r="AK1039" s="625">
        <v>0</v>
      </c>
      <c r="AL1039" s="625">
        <v>0</v>
      </c>
      <c r="AM1039" s="625">
        <v>0</v>
      </c>
      <c r="AN1039" s="625">
        <v>0</v>
      </c>
      <c r="AO1039" s="625">
        <v>0</v>
      </c>
      <c r="AP1039" s="41" t="str">
        <f t="shared" si="446"/>
        <v>Reg AssetN</v>
      </c>
      <c r="AQ1039" s="41" t="str">
        <f t="shared" si="447"/>
        <v>Reg AssetNN10Bonus Depreciation Deferral</v>
      </c>
      <c r="AR1039" s="41" t="str">
        <f t="shared" si="448"/>
        <v>N10Bonus Depreciation DeferralNCR</v>
      </c>
      <c r="CK1039" s="625"/>
    </row>
    <row r="1040" spans="1:89" s="41" customFormat="1" ht="12.75" customHeight="1">
      <c r="A1040" s="442" t="s">
        <v>746</v>
      </c>
      <c r="B1040" s="442" t="str">
        <f t="shared" si="333"/>
        <v>Reg Asset254016SERP ElectricBE030409</v>
      </c>
      <c r="C1040" s="736">
        <v>254016</v>
      </c>
      <c r="D1040" s="738" t="s">
        <v>1187</v>
      </c>
      <c r="E1040" s="626" t="s">
        <v>1156</v>
      </c>
      <c r="F1040" s="626" t="str">
        <f t="shared" si="443"/>
        <v>OTH REG LIAB - MISC - ELECTRIC</v>
      </c>
      <c r="G1040" s="626" t="s">
        <v>1188</v>
      </c>
      <c r="H1040" s="736" t="s">
        <v>810</v>
      </c>
      <c r="I1040" s="442"/>
      <c r="J1040" s="442" t="str">
        <f t="shared" si="444"/>
        <v/>
      </c>
      <c r="K1040" s="442" t="str">
        <f t="shared" si="445"/>
        <v/>
      </c>
      <c r="L1040" s="736" t="s">
        <v>2421</v>
      </c>
      <c r="M1040" s="442" t="str">
        <f t="shared" si="334"/>
        <v>N</v>
      </c>
      <c r="N1040" s="442" t="str">
        <f>IF(L1040&lt;&gt;"",VLOOKUP(L1040,Categories!$B$2:$D$41,2,FALSE),IF(F1040&lt;&gt;"","No Cat",""))</f>
        <v>NRBASE</v>
      </c>
      <c r="O1040" s="442" t="str">
        <f>IF($L1040&lt;&gt;"",VLOOKUP($L1040,Categories!$B$2:$D$41,3,FALSE),IF($F1040&lt;&gt;"","No Cat",""))</f>
        <v>Direct Assign Items Not in RB</v>
      </c>
      <c r="P1040" s="736" t="s">
        <v>2468</v>
      </c>
      <c r="Q1040" s="442" t="str">
        <f>VLOOKUP($P1040,Allocators!$B$7:$F$19,5,FALSE)</f>
        <v>Not in Rate Base</v>
      </c>
      <c r="R1040" s="737">
        <f>VLOOKUP($P1040,Allocators!$B$7:$F$19,2,FALSE)</f>
        <v>0</v>
      </c>
      <c r="S1040" s="737">
        <f>VLOOKUP($P1040,Allocators!$B$7:$F$19,3,FALSE)</f>
        <v>0</v>
      </c>
      <c r="T1040" s="737">
        <f t="shared" si="335"/>
        <v>1</v>
      </c>
      <c r="U1040" s="2" t="str">
        <f t="shared" si="345"/>
        <v/>
      </c>
      <c r="V1040" s="2" t="str">
        <f t="shared" si="346"/>
        <v/>
      </c>
      <c r="W1040" s="2" t="str">
        <f t="shared" si="347"/>
        <v/>
      </c>
      <c r="X1040" s="2">
        <f t="shared" si="449"/>
        <v>0</v>
      </c>
      <c r="Y1040" s="2" t="str">
        <f t="shared" si="348"/>
        <v/>
      </c>
      <c r="Z1040" s="2" t="str">
        <f t="shared" si="349"/>
        <v/>
      </c>
      <c r="AA1040" s="2" t="str">
        <f t="shared" si="350"/>
        <v/>
      </c>
      <c r="AB1040" s="2">
        <f t="shared" si="450"/>
        <v>0</v>
      </c>
      <c r="AC1040" s="625">
        <v>0</v>
      </c>
      <c r="AD1040" s="625">
        <v>0</v>
      </c>
      <c r="AE1040" s="625">
        <v>0</v>
      </c>
      <c r="AF1040" s="38">
        <v>0</v>
      </c>
      <c r="AG1040" s="625">
        <v>0</v>
      </c>
      <c r="AH1040" s="625">
        <v>0</v>
      </c>
      <c r="AI1040" s="625">
        <v>0</v>
      </c>
      <c r="AJ1040" s="625">
        <v>0</v>
      </c>
      <c r="AK1040" s="625">
        <v>0</v>
      </c>
      <c r="AL1040" s="625">
        <v>0</v>
      </c>
      <c r="AM1040" s="625">
        <v>0</v>
      </c>
      <c r="AN1040" s="625">
        <v>0</v>
      </c>
      <c r="AO1040" s="625">
        <v>0</v>
      </c>
      <c r="AP1040" s="41" t="str">
        <f t="shared" si="446"/>
        <v>Reg AssetN</v>
      </c>
      <c r="AQ1040" s="41" t="str">
        <f t="shared" si="447"/>
        <v>Reg AssetNN2SERP</v>
      </c>
      <c r="AR1040" s="41" t="str">
        <f t="shared" si="448"/>
        <v>N2SERP</v>
      </c>
      <c r="CK1040" s="625"/>
    </row>
    <row r="1041" spans="1:89" s="41" customFormat="1" ht="12.75" customHeight="1">
      <c r="A1041" s="442" t="s">
        <v>746</v>
      </c>
      <c r="B1041" s="442" t="str">
        <f t="shared" ref="B1041:B1137" si="455">CONCATENATE(A1041,C1041,D1041,E1041)</f>
        <v>Reg Asset254016601212BE030251</v>
      </c>
      <c r="C1041" s="736">
        <v>254016</v>
      </c>
      <c r="D1041" s="738">
        <v>601212</v>
      </c>
      <c r="E1041" s="626" t="s">
        <v>945</v>
      </c>
      <c r="F1041" s="626" t="str">
        <f t="shared" si="443"/>
        <v>OTH REG LIAB - MISC - ELECTRIC</v>
      </c>
      <c r="G1041" s="626" t="s">
        <v>1189</v>
      </c>
      <c r="H1041" s="736" t="s">
        <v>1113</v>
      </c>
      <c r="I1041" s="442"/>
      <c r="J1041" s="442" t="s">
        <v>7</v>
      </c>
      <c r="K1041" s="442" t="str">
        <f t="shared" si="445"/>
        <v/>
      </c>
      <c r="L1041" s="736" t="s">
        <v>2436</v>
      </c>
      <c r="M1041" s="442" t="str">
        <f t="shared" si="334"/>
        <v>N</v>
      </c>
      <c r="N1041" s="442" t="str">
        <f>IF(L1041&lt;&gt;"",VLOOKUP(L1041,Categories!$B$2:$D$41,2,FALSE),IF(F1041&lt;&gt;"","No Cat",""))</f>
        <v>NRBASE</v>
      </c>
      <c r="O1041" s="442" t="str">
        <f>IF($L1041&lt;&gt;"",VLOOKUP($L1041,Categories!$B$2:$D$41,3,FALSE),IF($F1041&lt;&gt;"","No Cat",""))</f>
        <v>Deferrals Accruing Non-Cash Return   (other than ASGA)</v>
      </c>
      <c r="P1041" s="736" t="s">
        <v>2468</v>
      </c>
      <c r="Q1041" s="442" t="str">
        <f>VLOOKUP($P1041,Allocators!$B$7:$F$19,5,FALSE)</f>
        <v>Not in Rate Base</v>
      </c>
      <c r="R1041" s="737">
        <f>VLOOKUP($P1041,Allocators!$B$7:$F$19,2,FALSE)</f>
        <v>0</v>
      </c>
      <c r="S1041" s="737">
        <f>VLOOKUP($P1041,Allocators!$B$7:$F$19,3,FALSE)</f>
        <v>0</v>
      </c>
      <c r="T1041" s="737">
        <f t="shared" si="335"/>
        <v>1</v>
      </c>
      <c r="U1041" s="2">
        <f t="shared" ref="U1041:U1106" si="456">IF(ABS(X1041)=0,"",IF($R1041="NO ALLOC","NO ALLOC",ROUND($R1041*X1041,15)))</f>
        <v>0</v>
      </c>
      <c r="V1041" s="2">
        <f t="shared" ref="V1041:V1106" si="457">IF(ABS(X1041)=0,"",IF($S1041="NO ALLOC","NO ALLOC",ROUND($S1041*X1041,15)))</f>
        <v>0</v>
      </c>
      <c r="W1041" s="2">
        <f t="shared" ref="W1041:W1106" si="458">IF(ABS(X1041)=0,"",IF($T1041="NO ALLOC","NO ALLOC",ROUND($T1041*X1041,15)))</f>
        <v>-12695.3394883333</v>
      </c>
      <c r="X1041" s="2">
        <f t="shared" si="449"/>
        <v>-12695.3394883333</v>
      </c>
      <c r="Y1041" s="2" t="str">
        <f t="shared" ref="Y1041:Y1106" si="459">IF(ABS(AB1041)=0,"",IF($R1041="NO ALLOC","NO ALLOC",ROUND($R1041*AB1041,15)))</f>
        <v/>
      </c>
      <c r="Z1041" s="2" t="str">
        <f t="shared" ref="Z1041:Z1106" si="460">IF(ABS(AB1041)=0,"",IF($S1041="NO ALLOC","NO ALLOC",ROUND($S1041*AB1041,15)))</f>
        <v/>
      </c>
      <c r="AA1041" s="2" t="str">
        <f t="shared" ref="AA1041:AA1106" si="461">IF(ABS(AB1041)=0,"",IF($T1041="NO ALLOC","NO ALLOC",ROUND($T1041*AB1041,15)))</f>
        <v/>
      </c>
      <c r="AB1041" s="2">
        <f t="shared" si="450"/>
        <v>0</v>
      </c>
      <c r="AC1041" s="734">
        <v>-41267.206720000009</v>
      </c>
      <c r="AD1041" s="625">
        <v>-42804.65004</v>
      </c>
      <c r="AE1041" s="625">
        <v>-44334.645209999995</v>
      </c>
      <c r="AF1041" s="625">
        <v>-44571.175249999993</v>
      </c>
      <c r="AG1041" s="625">
        <v>0</v>
      </c>
      <c r="AH1041" s="625">
        <v>0</v>
      </c>
      <c r="AI1041" s="625">
        <v>0</v>
      </c>
      <c r="AJ1041" s="625">
        <v>0</v>
      </c>
      <c r="AK1041" s="625">
        <v>0</v>
      </c>
      <c r="AL1041" s="625">
        <v>0</v>
      </c>
      <c r="AM1041" s="625">
        <v>0</v>
      </c>
      <c r="AN1041" s="625">
        <v>0</v>
      </c>
      <c r="AO1041" s="625">
        <v>0</v>
      </c>
      <c r="AP1041" s="41" t="str">
        <f t="shared" si="446"/>
        <v>Reg AssetN</v>
      </c>
      <c r="AQ1041" s="41" t="str">
        <f t="shared" si="447"/>
        <v>Reg AssetNN10Property Tax Deferral</v>
      </c>
      <c r="AR1041" s="41" t="str">
        <f t="shared" si="448"/>
        <v>N10Property Tax DeferralNCR</v>
      </c>
      <c r="CK1041" s="625"/>
    </row>
    <row r="1042" spans="1:89" s="41" customFormat="1" ht="12.75" customHeight="1">
      <c r="A1042" s="442" t="s">
        <v>746</v>
      </c>
      <c r="B1042" s="442" t="str">
        <f t="shared" si="455"/>
        <v>Reg Asset254016601216BE030596</v>
      </c>
      <c r="C1042" s="736">
        <v>254016</v>
      </c>
      <c r="D1042" s="738">
        <v>601216</v>
      </c>
      <c r="E1042" s="626" t="s">
        <v>1190</v>
      </c>
      <c r="F1042" s="626" t="str">
        <f t="shared" si="443"/>
        <v>OTH REG LIAB - MISC - ELECTRIC</v>
      </c>
      <c r="G1042" s="626" t="s">
        <v>1191</v>
      </c>
      <c r="H1042" s="736" t="s">
        <v>1192</v>
      </c>
      <c r="I1042" s="442"/>
      <c r="J1042" s="442" t="s">
        <v>7</v>
      </c>
      <c r="K1042" s="442" t="str">
        <f t="shared" si="445"/>
        <v/>
      </c>
      <c r="L1042" s="736" t="s">
        <v>2436</v>
      </c>
      <c r="M1042" s="442" t="str">
        <f t="shared" si="334"/>
        <v>N</v>
      </c>
      <c r="N1042" s="442" t="str">
        <f>IF(L1042&lt;&gt;"",VLOOKUP(L1042,Categories!$B$2:$D$41,2,FALSE),IF(F1042&lt;&gt;"","No Cat",""))</f>
        <v>NRBASE</v>
      </c>
      <c r="O1042" s="442" t="str">
        <f>IF($L1042&lt;&gt;"",VLOOKUP($L1042,Categories!$B$2:$D$41,3,FALSE),IF($F1042&lt;&gt;"","No Cat",""))</f>
        <v>Deferrals Accruing Non-Cash Return   (other than ASGA)</v>
      </c>
      <c r="P1042" s="736" t="s">
        <v>2468</v>
      </c>
      <c r="Q1042" s="442" t="str">
        <f>VLOOKUP($P1042,Allocators!$B$7:$F$19,5,FALSE)</f>
        <v>Not in Rate Base</v>
      </c>
      <c r="R1042" s="737">
        <f>VLOOKUP($P1042,Allocators!$B$7:$F$19,2,FALSE)</f>
        <v>0</v>
      </c>
      <c r="S1042" s="737">
        <f>VLOOKUP($P1042,Allocators!$B$7:$F$19,3,FALSE)</f>
        <v>0</v>
      </c>
      <c r="T1042" s="737">
        <f t="shared" si="335"/>
        <v>1</v>
      </c>
      <c r="U1042" s="2">
        <f t="shared" si="456"/>
        <v>0</v>
      </c>
      <c r="V1042" s="2">
        <f t="shared" si="457"/>
        <v>0</v>
      </c>
      <c r="W1042" s="2">
        <f t="shared" si="458"/>
        <v>-110.896014583333</v>
      </c>
      <c r="X1042" s="2">
        <f t="shared" si="449"/>
        <v>-110.896014583333</v>
      </c>
      <c r="Y1042" s="2">
        <f t="shared" si="459"/>
        <v>0</v>
      </c>
      <c r="Z1042" s="2">
        <f t="shared" si="460"/>
        <v>0</v>
      </c>
      <c r="AA1042" s="2">
        <f t="shared" si="461"/>
        <v>-199.19821999999999</v>
      </c>
      <c r="AB1042" s="2">
        <f t="shared" si="450"/>
        <v>-199.19821999999996</v>
      </c>
      <c r="AC1042" s="734">
        <v>-22.611610000000024</v>
      </c>
      <c r="AD1042" s="625">
        <v>-37.323090000000022</v>
      </c>
      <c r="AE1042" s="625">
        <v>-52.035300000000021</v>
      </c>
      <c r="AF1042" s="625">
        <v>-66.748230000000007</v>
      </c>
      <c r="AG1042" s="625">
        <v>-81.461900000000014</v>
      </c>
      <c r="AH1042" s="625">
        <v>-96.176320000000004</v>
      </c>
      <c r="AI1042" s="625">
        <v>-110.89147000000001</v>
      </c>
      <c r="AJ1042" s="625">
        <v>-125.60737000000003</v>
      </c>
      <c r="AK1042" s="625">
        <v>-140.32403000000002</v>
      </c>
      <c r="AL1042" s="625">
        <v>-155.04143000000002</v>
      </c>
      <c r="AM1042" s="625">
        <v>-169.75959</v>
      </c>
      <c r="AN1042" s="625">
        <v>-184.47853000000001</v>
      </c>
      <c r="AO1042" s="625">
        <v>-199.19821999999996</v>
      </c>
      <c r="AP1042" s="41" t="str">
        <f t="shared" si="446"/>
        <v>Reg AssetN</v>
      </c>
      <c r="AQ1042" s="41" t="str">
        <f t="shared" si="447"/>
        <v>Reg AssetNN10Management Audit Deferral</v>
      </c>
      <c r="AR1042" s="41" t="str">
        <f t="shared" si="448"/>
        <v>N10Management Audit DeferralNCR</v>
      </c>
      <c r="CK1042" s="625"/>
    </row>
    <row r="1043" spans="1:89" s="41" customFormat="1" ht="12.75" customHeight="1">
      <c r="A1043" s="442" t="s">
        <v>746</v>
      </c>
      <c r="B1043" s="442" t="str">
        <f t="shared" si="455"/>
        <v>Reg Asset254016601221BE030599</v>
      </c>
      <c r="C1043" s="736">
        <v>254016</v>
      </c>
      <c r="D1043" s="738">
        <v>601221</v>
      </c>
      <c r="E1043" s="626" t="s">
        <v>1193</v>
      </c>
      <c r="F1043" s="626" t="str">
        <f t="shared" si="443"/>
        <v>OTH REG LIAB - MISC - ELECTRIC</v>
      </c>
      <c r="G1043" s="626" t="s">
        <v>1194</v>
      </c>
      <c r="H1043" s="736" t="s">
        <v>1195</v>
      </c>
      <c r="I1043" s="442"/>
      <c r="J1043" s="442" t="s">
        <v>7</v>
      </c>
      <c r="K1043" s="442" t="str">
        <f t="shared" si="445"/>
        <v/>
      </c>
      <c r="L1043" s="736" t="s">
        <v>2436</v>
      </c>
      <c r="M1043" s="442" t="str">
        <f t="shared" si="334"/>
        <v>N</v>
      </c>
      <c r="N1043" s="442" t="str">
        <f>IF(L1043&lt;&gt;"",VLOOKUP(L1043,Categories!$B$2:$D$41,2,FALSE),IF(F1043&lt;&gt;"","No Cat",""))</f>
        <v>NRBASE</v>
      </c>
      <c r="O1043" s="442" t="str">
        <f>IF($L1043&lt;&gt;"",VLOOKUP($L1043,Categories!$B$2:$D$41,3,FALSE),IF($F1043&lt;&gt;"","No Cat",""))</f>
        <v>Deferrals Accruing Non-Cash Return   (other than ASGA)</v>
      </c>
      <c r="P1043" s="736" t="s">
        <v>2468</v>
      </c>
      <c r="Q1043" s="442" t="str">
        <f>VLOOKUP($P1043,Allocators!$B$7:$F$19,5,FALSE)</f>
        <v>Not in Rate Base</v>
      </c>
      <c r="R1043" s="737">
        <f>VLOOKUP($P1043,Allocators!$B$7:$F$19,2,FALSE)</f>
        <v>0</v>
      </c>
      <c r="S1043" s="737">
        <f>VLOOKUP($P1043,Allocators!$B$7:$F$19,3,FALSE)</f>
        <v>0</v>
      </c>
      <c r="T1043" s="737">
        <f t="shared" si="335"/>
        <v>1</v>
      </c>
      <c r="U1043" s="2">
        <f t="shared" si="456"/>
        <v>0</v>
      </c>
      <c r="V1043" s="2">
        <f t="shared" si="457"/>
        <v>0</v>
      </c>
      <c r="W1043" s="2">
        <f t="shared" si="458"/>
        <v>-512.13457749999998</v>
      </c>
      <c r="X1043" s="2">
        <f t="shared" si="449"/>
        <v>-512.13457749999998</v>
      </c>
      <c r="Y1043" s="2">
        <f t="shared" si="459"/>
        <v>0</v>
      </c>
      <c r="Z1043" s="2">
        <f t="shared" si="460"/>
        <v>0</v>
      </c>
      <c r="AA1043" s="2">
        <f t="shared" si="461"/>
        <v>2.6199999999999999E-13</v>
      </c>
      <c r="AB1043" s="2">
        <f t="shared" si="450"/>
        <v>2.6193447411060331E-13</v>
      </c>
      <c r="AC1043" s="734">
        <v>0</v>
      </c>
      <c r="AD1043" s="625">
        <v>-216.37770999999987</v>
      </c>
      <c r="AE1043" s="625">
        <v>-386.50979999999987</v>
      </c>
      <c r="AF1043" s="625">
        <v>-517.68033999999989</v>
      </c>
      <c r="AG1043" s="625">
        <v>-669.59421999999984</v>
      </c>
      <c r="AH1043" s="625">
        <v>-829.73953999999981</v>
      </c>
      <c r="AI1043" s="625">
        <v>-814.78624999999977</v>
      </c>
      <c r="AJ1043" s="625">
        <v>-839.82823999999971</v>
      </c>
      <c r="AK1043" s="625">
        <v>-806.89003999999977</v>
      </c>
      <c r="AL1043" s="625">
        <v>-556.93046999999979</v>
      </c>
      <c r="AM1043" s="625">
        <v>-307.33528999999976</v>
      </c>
      <c r="AN1043" s="625">
        <v>-199.94302999999974</v>
      </c>
      <c r="AO1043" s="625">
        <v>2.6193447411060331E-13</v>
      </c>
      <c r="AP1043" s="41" t="str">
        <f t="shared" si="446"/>
        <v>Reg AssetN</v>
      </c>
      <c r="AQ1043" s="41" t="str">
        <f t="shared" si="447"/>
        <v>Reg AssetNN10Incremental Maintenance</v>
      </c>
      <c r="AR1043" s="41" t="str">
        <f t="shared" si="448"/>
        <v>N10Incremental MaintenanceNCR</v>
      </c>
      <c r="CK1043" s="625"/>
    </row>
    <row r="1044" spans="1:89" s="41" customFormat="1" ht="12.75" customHeight="1">
      <c r="A1044" s="25" t="s">
        <v>746</v>
      </c>
      <c r="B1044" s="25" t="str">
        <f t="shared" si="455"/>
        <v>Reg Asset254016601229-ABE030182</v>
      </c>
      <c r="C1044" s="736">
        <v>254016</v>
      </c>
      <c r="D1044" s="738" t="s">
        <v>1197</v>
      </c>
      <c r="E1044" s="41" t="s">
        <v>1196</v>
      </c>
      <c r="F1044" s="41" t="str">
        <f t="shared" si="443"/>
        <v>OTH REG LIAB - MISC - ELECTRIC</v>
      </c>
      <c r="G1044" s="41" t="s">
        <v>1198</v>
      </c>
      <c r="H1044" s="736" t="s">
        <v>1199</v>
      </c>
      <c r="I1044" s="25"/>
      <c r="J1044" s="25" t="str">
        <f t="shared" si="444"/>
        <v/>
      </c>
      <c r="K1044" s="25" t="str">
        <f t="shared" si="445"/>
        <v/>
      </c>
      <c r="L1044" s="736" t="s">
        <v>2441</v>
      </c>
      <c r="M1044" s="25" t="str">
        <f t="shared" si="334"/>
        <v>R</v>
      </c>
      <c r="N1044" s="25" t="str">
        <f>IF(L1044&lt;&gt;"",VLOOKUP(L1044,Categories!$B$2:$D$41,2,FALSE),IF(F1044&lt;&gt;"","No Cat",""))</f>
        <v>Rate Base</v>
      </c>
      <c r="O1044" s="25" t="str">
        <f>IF($L1044&lt;&gt;"",VLOOKUP($L1044,Categories!$B$2:$D$41,3,FALSE),IF($F1044&lt;&gt;"","No Cat",""))</f>
        <v>Deferred Debits &amp; Credits</v>
      </c>
      <c r="P1044" s="736" t="s">
        <v>2482</v>
      </c>
      <c r="Q1044" s="25" t="str">
        <f>VLOOKUP($P1044,Allocators!$B$7:$F$19,5,FALSE)</f>
        <v>Electric</v>
      </c>
      <c r="R1044" s="737">
        <f>VLOOKUP($P1044,Allocators!$B$7:$F$19,2,FALSE)</f>
        <v>1</v>
      </c>
      <c r="S1044" s="737">
        <f>VLOOKUP($P1044,Allocators!$B$7:$F$19,3,FALSE)</f>
        <v>0</v>
      </c>
      <c r="T1044" s="737" t="str">
        <f t="shared" si="335"/>
        <v>0.0%</v>
      </c>
      <c r="U1044" s="2">
        <f t="shared" si="456"/>
        <v>5E-15</v>
      </c>
      <c r="V1044" s="2">
        <f t="shared" si="457"/>
        <v>0</v>
      </c>
      <c r="W1044" s="2">
        <f t="shared" si="458"/>
        <v>0</v>
      </c>
      <c r="X1044" s="2">
        <f t="shared" si="449"/>
        <v>5E-15</v>
      </c>
      <c r="Y1044" s="2" t="str">
        <f t="shared" si="459"/>
        <v/>
      </c>
      <c r="Z1044" s="2" t="str">
        <f t="shared" si="460"/>
        <v/>
      </c>
      <c r="AA1044" s="2" t="str">
        <f t="shared" si="461"/>
        <v/>
      </c>
      <c r="AB1044" s="2">
        <f t="shared" si="450"/>
        <v>0</v>
      </c>
      <c r="AC1044" s="734">
        <v>1.2005330063402653E-13</v>
      </c>
      <c r="AD1044" s="625">
        <v>0</v>
      </c>
      <c r="AE1044" s="625">
        <v>0</v>
      </c>
      <c r="AF1044" s="38">
        <v>0</v>
      </c>
      <c r="AG1044" s="625">
        <v>0</v>
      </c>
      <c r="AH1044" s="625">
        <v>0</v>
      </c>
      <c r="AI1044" s="625">
        <v>0</v>
      </c>
      <c r="AJ1044" s="625">
        <v>0</v>
      </c>
      <c r="AK1044" s="625">
        <v>0</v>
      </c>
      <c r="AL1044" s="625">
        <v>0</v>
      </c>
      <c r="AM1044" s="625">
        <v>0</v>
      </c>
      <c r="AN1044" s="625">
        <v>0</v>
      </c>
      <c r="AO1044" s="625">
        <v>0</v>
      </c>
      <c r="AP1044" s="41" t="str">
        <f t="shared" si="446"/>
        <v>Reg AssetR</v>
      </c>
      <c r="AQ1044" s="41" t="str">
        <f t="shared" si="447"/>
        <v>Reg AssetRR10Pre-Capitalized Installation Costs</v>
      </c>
      <c r="AR1044" s="41" t="str">
        <f t="shared" si="448"/>
        <v>R10Pre-Capitalized Installation Costs</v>
      </c>
      <c r="CK1044" s="625"/>
    </row>
    <row r="1045" spans="1:89" s="41" customFormat="1" ht="12.75" customHeight="1">
      <c r="A1045" s="442" t="s">
        <v>746</v>
      </c>
      <c r="B1045" s="442" t="str">
        <f t="shared" si="455"/>
        <v>Reg Asset254016601239-11BE030155</v>
      </c>
      <c r="C1045" s="736">
        <v>254016</v>
      </c>
      <c r="D1045" s="738" t="s">
        <v>1201</v>
      </c>
      <c r="E1045" s="626" t="s">
        <v>1200</v>
      </c>
      <c r="F1045" s="626" t="str">
        <f t="shared" si="443"/>
        <v>OTH REG LIAB - MISC - ELECTRIC</v>
      </c>
      <c r="G1045" s="626" t="s">
        <v>1202</v>
      </c>
      <c r="H1045" s="736" t="s">
        <v>1203</v>
      </c>
      <c r="I1045" s="442"/>
      <c r="J1045" s="442" t="str">
        <f t="shared" si="444"/>
        <v/>
      </c>
      <c r="K1045" s="442" t="str">
        <f t="shared" si="445"/>
        <v/>
      </c>
      <c r="L1045" s="736" t="s">
        <v>2421</v>
      </c>
      <c r="M1045" s="442" t="str">
        <f t="shared" si="334"/>
        <v>N</v>
      </c>
      <c r="N1045" s="442" t="str">
        <f>IF(L1045&lt;&gt;"",VLOOKUP(L1045,Categories!$B$2:$D$41,2,FALSE),IF(F1045&lt;&gt;"","No Cat",""))</f>
        <v>NRBASE</v>
      </c>
      <c r="O1045" s="442" t="str">
        <f>IF($L1045&lt;&gt;"",VLOOKUP($L1045,Categories!$B$2:$D$41,3,FALSE),IF($F1045&lt;&gt;"","No Cat",""))</f>
        <v>Direct Assign Items Not in RB</v>
      </c>
      <c r="P1045" s="736" t="s">
        <v>2468</v>
      </c>
      <c r="Q1045" s="442" t="str">
        <f>VLOOKUP($P1045,Allocators!$B$7:$F$19,5,FALSE)</f>
        <v>Not in Rate Base</v>
      </c>
      <c r="R1045" s="737">
        <f>VLOOKUP($P1045,Allocators!$B$7:$F$19,2,FALSE)</f>
        <v>0</v>
      </c>
      <c r="S1045" s="737">
        <f>VLOOKUP($P1045,Allocators!$B$7:$F$19,3,FALSE)</f>
        <v>0</v>
      </c>
      <c r="T1045" s="737">
        <f t="shared" si="335"/>
        <v>1</v>
      </c>
      <c r="U1045" s="2">
        <f t="shared" si="456"/>
        <v>0</v>
      </c>
      <c r="V1045" s="2">
        <f t="shared" si="457"/>
        <v>0</v>
      </c>
      <c r="W1045" s="2">
        <f t="shared" si="458"/>
        <v>-0.74355250000004403</v>
      </c>
      <c r="X1045" s="2">
        <f t="shared" si="449"/>
        <v>-0.74355250000004403</v>
      </c>
      <c r="Y1045" s="2">
        <f t="shared" si="459"/>
        <v>0</v>
      </c>
      <c r="Z1045" s="2">
        <f t="shared" si="460"/>
        <v>0</v>
      </c>
      <c r="AA1045" s="2">
        <f t="shared" si="461"/>
        <v>-4.7000000000000002E-14</v>
      </c>
      <c r="AB1045" s="2">
        <f t="shared" si="450"/>
        <v>-4.7293724492192266E-14</v>
      </c>
      <c r="AC1045" s="734">
        <v>-17.845259999999996</v>
      </c>
      <c r="AD1045" s="625">
        <v>-4.7293724492192266E-14</v>
      </c>
      <c r="AE1045" s="625">
        <v>-4.7293724492192266E-14</v>
      </c>
      <c r="AF1045" s="625">
        <v>-4.7293724492192266E-14</v>
      </c>
      <c r="AG1045" s="625">
        <v>-4.7293724492192266E-14</v>
      </c>
      <c r="AH1045" s="625">
        <v>-4.7293724492192266E-14</v>
      </c>
      <c r="AI1045" s="625">
        <v>-4.7293724492192266E-14</v>
      </c>
      <c r="AJ1045" s="625">
        <v>-4.7293724492192266E-14</v>
      </c>
      <c r="AK1045" s="625">
        <v>-4.7293724492192266E-14</v>
      </c>
      <c r="AL1045" s="625">
        <v>-4.7293724492192266E-14</v>
      </c>
      <c r="AM1045" s="625">
        <v>-4.7293724492192266E-14</v>
      </c>
      <c r="AN1045" s="625">
        <v>-4.7293724492192266E-14</v>
      </c>
      <c r="AO1045" s="625">
        <v>-4.7293724492192266E-14</v>
      </c>
      <c r="AP1045" s="41" t="str">
        <f t="shared" si="446"/>
        <v>Reg AssetN</v>
      </c>
      <c r="AQ1045" s="41" t="str">
        <f t="shared" si="447"/>
        <v>Reg AssetNN2Merchant Function Charge - Elec</v>
      </c>
      <c r="AR1045" s="41" t="str">
        <f t="shared" si="448"/>
        <v>N2Merchant Function Charge - Elec</v>
      </c>
      <c r="CK1045" s="625"/>
    </row>
    <row r="1046" spans="1:89" s="41" customFormat="1" ht="12.75" customHeight="1">
      <c r="A1046" s="25" t="s">
        <v>746</v>
      </c>
      <c r="B1046" s="25" t="str">
        <f t="shared" si="455"/>
        <v>Reg Asset254016601049rBE03999</v>
      </c>
      <c r="C1046" s="736">
        <v>254016</v>
      </c>
      <c r="D1046" s="738" t="s">
        <v>1205</v>
      </c>
      <c r="E1046" s="41" t="s">
        <v>1204</v>
      </c>
      <c r="F1046" s="41" t="str">
        <f t="shared" si="443"/>
        <v>OTH REG LIAB - MISC - ELECTRIC</v>
      </c>
      <c r="G1046" s="41" t="s">
        <v>1206</v>
      </c>
      <c r="H1046" s="736" t="s">
        <v>1141</v>
      </c>
      <c r="I1046" s="25"/>
      <c r="J1046" s="25" t="str">
        <f t="shared" si="444"/>
        <v/>
      </c>
      <c r="K1046" s="25" t="str">
        <f t="shared" si="445"/>
        <v/>
      </c>
      <c r="L1046" s="736" t="s">
        <v>2441</v>
      </c>
      <c r="M1046" s="25" t="str">
        <f t="shared" si="334"/>
        <v>R</v>
      </c>
      <c r="N1046" s="25" t="str">
        <f>IF(L1046&lt;&gt;"",VLOOKUP(L1046,Categories!$B$2:$D$41,2,FALSE),IF(F1046&lt;&gt;"","No Cat",""))</f>
        <v>Rate Base</v>
      </c>
      <c r="O1046" s="25" t="str">
        <f>IF($L1046&lt;&gt;"",VLOOKUP($L1046,Categories!$B$2:$D$41,3,FALSE),IF($F1046&lt;&gt;"","No Cat",""))</f>
        <v>Deferred Debits &amp; Credits</v>
      </c>
      <c r="P1046" s="736" t="s">
        <v>2482</v>
      </c>
      <c r="Q1046" s="25" t="str">
        <f>VLOOKUP($P1046,Allocators!$B$7:$F$19,5,FALSE)</f>
        <v>Electric</v>
      </c>
      <c r="R1046" s="737">
        <f>VLOOKUP($P1046,Allocators!$B$7:$F$19,2,FALSE)</f>
        <v>1</v>
      </c>
      <c r="S1046" s="737">
        <f>VLOOKUP($P1046,Allocators!$B$7:$F$19,3,FALSE)</f>
        <v>0</v>
      </c>
      <c r="T1046" s="737" t="str">
        <f t="shared" si="335"/>
        <v>0.0%</v>
      </c>
      <c r="U1046" s="2" t="str">
        <f t="shared" si="456"/>
        <v/>
      </c>
      <c r="V1046" s="2" t="str">
        <f t="shared" si="457"/>
        <v/>
      </c>
      <c r="W1046" s="2" t="str">
        <f t="shared" si="458"/>
        <v/>
      </c>
      <c r="X1046" s="2">
        <f t="shared" si="449"/>
        <v>0</v>
      </c>
      <c r="Y1046" s="2" t="str">
        <f t="shared" si="459"/>
        <v/>
      </c>
      <c r="Z1046" s="2" t="str">
        <f t="shared" si="460"/>
        <v/>
      </c>
      <c r="AA1046" s="2" t="str">
        <f t="shared" si="461"/>
        <v/>
      </c>
      <c r="AB1046" s="2">
        <f t="shared" si="450"/>
        <v>0</v>
      </c>
      <c r="AC1046" s="625">
        <v>0</v>
      </c>
      <c r="AD1046" s="625">
        <v>0</v>
      </c>
      <c r="AE1046" s="625">
        <v>0</v>
      </c>
      <c r="AF1046" s="38">
        <v>0</v>
      </c>
      <c r="AG1046" s="625">
        <v>0</v>
      </c>
      <c r="AH1046" s="625">
        <v>0</v>
      </c>
      <c r="AI1046" s="625">
        <v>0</v>
      </c>
      <c r="AJ1046" s="625">
        <v>0</v>
      </c>
      <c r="AK1046" s="625">
        <v>0</v>
      </c>
      <c r="AL1046" s="625">
        <v>0</v>
      </c>
      <c r="AM1046" s="625">
        <v>0</v>
      </c>
      <c r="AN1046" s="625">
        <v>0</v>
      </c>
      <c r="AO1046" s="625">
        <v>0</v>
      </c>
      <c r="AP1046" s="41" t="str">
        <f t="shared" si="446"/>
        <v>Reg AssetR</v>
      </c>
      <c r="AQ1046" s="41" t="str">
        <f t="shared" si="447"/>
        <v>Reg AssetRR10NBC True-up</v>
      </c>
      <c r="AR1046" s="41" t="str">
        <f t="shared" si="448"/>
        <v>R10NBC True-up</v>
      </c>
      <c r="CK1046" s="625"/>
    </row>
    <row r="1047" spans="1:89" s="41" customFormat="1" ht="12.75" customHeight="1">
      <c r="A1047" s="442" t="s">
        <v>746</v>
      </c>
      <c r="B1047" s="442" t="str">
        <f t="shared" si="455"/>
        <v>Reg Asset254016601080-CCBE030915</v>
      </c>
      <c r="C1047" s="736">
        <v>254016</v>
      </c>
      <c r="D1047" s="738" t="s">
        <v>1208</v>
      </c>
      <c r="E1047" s="626" t="s">
        <v>1207</v>
      </c>
      <c r="F1047" s="626" t="str">
        <f t="shared" si="443"/>
        <v>OTH REG LIAB - MISC - ELECTRIC</v>
      </c>
      <c r="G1047" s="626" t="s">
        <v>1209</v>
      </c>
      <c r="H1047" s="736" t="s">
        <v>1210</v>
      </c>
      <c r="I1047" s="442"/>
      <c r="J1047" s="442" t="s">
        <v>7</v>
      </c>
      <c r="K1047" s="442" t="str">
        <f t="shared" si="445"/>
        <v/>
      </c>
      <c r="L1047" s="736" t="s">
        <v>2436</v>
      </c>
      <c r="M1047" s="442" t="str">
        <f t="shared" si="334"/>
        <v>N</v>
      </c>
      <c r="N1047" s="442" t="str">
        <f>IF(L1047&lt;&gt;"",VLOOKUP(L1047,Categories!$B$2:$D$41,2,FALSE),IF(F1047&lt;&gt;"","No Cat",""))</f>
        <v>NRBASE</v>
      </c>
      <c r="O1047" s="442" t="str">
        <f>IF($L1047&lt;&gt;"",VLOOKUP($L1047,Categories!$B$2:$D$41,3,FALSE),IF($F1047&lt;&gt;"","No Cat",""))</f>
        <v>Deferrals Accruing Non-Cash Return   (other than ASGA)</v>
      </c>
      <c r="P1047" s="736" t="s">
        <v>2468</v>
      </c>
      <c r="Q1047" s="442" t="str">
        <f>VLOOKUP($P1047,Allocators!$B$7:$F$19,5,FALSE)</f>
        <v>Not in Rate Base</v>
      </c>
      <c r="R1047" s="737">
        <f>VLOOKUP($P1047,Allocators!$B$7:$F$19,2,FALSE)</f>
        <v>0</v>
      </c>
      <c r="S1047" s="737">
        <f>VLOOKUP($P1047,Allocators!$B$7:$F$19,3,FALSE)</f>
        <v>0</v>
      </c>
      <c r="T1047" s="737">
        <f t="shared" si="335"/>
        <v>1</v>
      </c>
      <c r="U1047" s="2" t="str">
        <f t="shared" si="456"/>
        <v/>
      </c>
      <c r="V1047" s="2" t="str">
        <f t="shared" si="457"/>
        <v/>
      </c>
      <c r="W1047" s="2" t="str">
        <f t="shared" si="458"/>
        <v/>
      </c>
      <c r="X1047" s="2">
        <f t="shared" si="449"/>
        <v>0</v>
      </c>
      <c r="Y1047" s="2" t="str">
        <f t="shared" si="459"/>
        <v/>
      </c>
      <c r="Z1047" s="2" t="str">
        <f t="shared" si="460"/>
        <v/>
      </c>
      <c r="AA1047" s="2" t="str">
        <f t="shared" si="461"/>
        <v/>
      </c>
      <c r="AB1047" s="2">
        <f t="shared" si="450"/>
        <v>0</v>
      </c>
      <c r="AC1047" s="625">
        <v>0</v>
      </c>
      <c r="AD1047" s="625">
        <v>0</v>
      </c>
      <c r="AE1047" s="625">
        <v>0</v>
      </c>
      <c r="AF1047" s="38">
        <v>0</v>
      </c>
      <c r="AG1047" s="625">
        <v>0</v>
      </c>
      <c r="AH1047" s="625">
        <v>0</v>
      </c>
      <c r="AI1047" s="625">
        <v>0</v>
      </c>
      <c r="AJ1047" s="625">
        <v>0</v>
      </c>
      <c r="AK1047" s="625">
        <v>0</v>
      </c>
      <c r="AL1047" s="625">
        <v>0</v>
      </c>
      <c r="AM1047" s="625">
        <v>0</v>
      </c>
      <c r="AN1047" s="625">
        <v>0</v>
      </c>
      <c r="AO1047" s="625">
        <v>0</v>
      </c>
      <c r="AP1047" s="41" t="str">
        <f t="shared" si="446"/>
        <v>Reg AssetN</v>
      </c>
      <c r="AQ1047" s="41" t="str">
        <f t="shared" si="447"/>
        <v>Reg AssetNN10SBC</v>
      </c>
      <c r="AR1047" s="41" t="str">
        <f t="shared" si="448"/>
        <v>N10SBCNCR</v>
      </c>
      <c r="CK1047" s="625"/>
    </row>
    <row r="1048" spans="1:89" s="41" customFormat="1" ht="12.75" customHeight="1">
      <c r="A1048" s="442" t="s">
        <v>746</v>
      </c>
      <c r="B1048" s="442" t="str">
        <f t="shared" si="455"/>
        <v>Reg Asset254016601214BE030595</v>
      </c>
      <c r="C1048" s="736">
        <v>254016</v>
      </c>
      <c r="D1048" s="738">
        <v>601214</v>
      </c>
      <c r="E1048" s="626" t="s">
        <v>1211</v>
      </c>
      <c r="F1048" s="626" t="str">
        <f t="shared" si="443"/>
        <v>OTH REG LIAB - MISC - ELECTRIC</v>
      </c>
      <c r="G1048" s="626" t="s">
        <v>1212</v>
      </c>
      <c r="H1048" s="736" t="s">
        <v>1119</v>
      </c>
      <c r="I1048" s="442"/>
      <c r="J1048" s="442" t="s">
        <v>7</v>
      </c>
      <c r="K1048" s="442" t="str">
        <f t="shared" si="445"/>
        <v/>
      </c>
      <c r="L1048" s="736" t="s">
        <v>2436</v>
      </c>
      <c r="M1048" s="442" t="str">
        <f t="shared" si="334"/>
        <v>N</v>
      </c>
      <c r="N1048" s="442" t="str">
        <f>IF(L1048&lt;&gt;"",VLOOKUP(L1048,Categories!$B$2:$D$41,2,FALSE),IF(F1048&lt;&gt;"","No Cat",""))</f>
        <v>NRBASE</v>
      </c>
      <c r="O1048" s="442" t="str">
        <f>IF($L1048&lt;&gt;"",VLOOKUP($L1048,Categories!$B$2:$D$41,3,FALSE),IF($F1048&lt;&gt;"","No Cat",""))</f>
        <v>Deferrals Accruing Non-Cash Return   (other than ASGA)</v>
      </c>
      <c r="P1048" s="736" t="s">
        <v>2468</v>
      </c>
      <c r="Q1048" s="442" t="str">
        <f>VLOOKUP($P1048,Allocators!$B$7:$F$19,5,FALSE)</f>
        <v>Not in Rate Base</v>
      </c>
      <c r="R1048" s="737">
        <f>VLOOKUP($P1048,Allocators!$B$7:$F$19,2,FALSE)</f>
        <v>0</v>
      </c>
      <c r="S1048" s="737">
        <f>VLOOKUP($P1048,Allocators!$B$7:$F$19,3,FALSE)</f>
        <v>0</v>
      </c>
      <c r="T1048" s="737">
        <f t="shared" si="335"/>
        <v>1</v>
      </c>
      <c r="U1048" s="2">
        <f t="shared" si="456"/>
        <v>0</v>
      </c>
      <c r="V1048" s="2">
        <f t="shared" si="457"/>
        <v>0</v>
      </c>
      <c r="W1048" s="2">
        <f t="shared" si="458"/>
        <v>-307.0878525</v>
      </c>
      <c r="X1048" s="2">
        <f t="shared" si="449"/>
        <v>-307.0878525</v>
      </c>
      <c r="Y1048" s="2">
        <f t="shared" si="459"/>
        <v>0</v>
      </c>
      <c r="Z1048" s="2">
        <f t="shared" si="460"/>
        <v>0</v>
      </c>
      <c r="AA1048" s="2">
        <f t="shared" si="461"/>
        <v>4.6600000000000003E-13</v>
      </c>
      <c r="AB1048" s="2">
        <f t="shared" si="450"/>
        <v>4.6566128730773927E-13</v>
      </c>
      <c r="AC1048" s="734">
        <v>4.94765117764473E-13</v>
      </c>
      <c r="AD1048" s="625">
        <v>-188.42699999999951</v>
      </c>
      <c r="AE1048" s="625">
        <v>-273.79899999999952</v>
      </c>
      <c r="AF1048" s="625">
        <v>-315.69707999999957</v>
      </c>
      <c r="AG1048" s="625">
        <v>-155.38011999999955</v>
      </c>
      <c r="AH1048" s="625">
        <v>-311.21653999999955</v>
      </c>
      <c r="AI1048" s="625">
        <v>-405.55708999999956</v>
      </c>
      <c r="AJ1048" s="625">
        <v>-396.69185999999956</v>
      </c>
      <c r="AK1048" s="625">
        <v>-313.25085999999959</v>
      </c>
      <c r="AL1048" s="625">
        <v>-530.96949999999958</v>
      </c>
      <c r="AM1048" s="625">
        <v>-504.29369999999955</v>
      </c>
      <c r="AN1048" s="625">
        <v>-289.77147999999954</v>
      </c>
      <c r="AO1048" s="625">
        <v>4.6566128730773927E-13</v>
      </c>
      <c r="AP1048" s="41" t="str">
        <f t="shared" si="446"/>
        <v>Reg AssetN</v>
      </c>
      <c r="AQ1048" s="41" t="str">
        <f t="shared" si="447"/>
        <v>Reg AssetNN10Vegetation Management</v>
      </c>
      <c r="AR1048" s="41" t="str">
        <f t="shared" si="448"/>
        <v>N10Vegetation ManagementNCR</v>
      </c>
      <c r="CK1048" s="625"/>
    </row>
    <row r="1049" spans="1:89" s="41" customFormat="1" ht="12.75" customHeight="1">
      <c r="A1049" s="442" t="s">
        <v>746</v>
      </c>
      <c r="B1049" s="442" t="str">
        <f t="shared" si="455"/>
        <v>Reg Asset254016601239-12BE030155</v>
      </c>
      <c r="C1049" s="736">
        <v>254016</v>
      </c>
      <c r="D1049" s="738" t="s">
        <v>1213</v>
      </c>
      <c r="E1049" s="626" t="s">
        <v>1200</v>
      </c>
      <c r="F1049" s="626" t="str">
        <f t="shared" si="443"/>
        <v>OTH REG LIAB - MISC - ELECTRIC</v>
      </c>
      <c r="G1049" s="626" t="s">
        <v>1214</v>
      </c>
      <c r="H1049" s="736" t="s">
        <v>1203</v>
      </c>
      <c r="I1049" s="442"/>
      <c r="J1049" s="442" t="str">
        <f t="shared" si="444"/>
        <v/>
      </c>
      <c r="K1049" s="442" t="str">
        <f t="shared" si="445"/>
        <v/>
      </c>
      <c r="L1049" s="736" t="s">
        <v>2421</v>
      </c>
      <c r="M1049" s="442" t="str">
        <f t="shared" ref="M1049:M1162" si="462">LEFT(L1049,1)</f>
        <v>N</v>
      </c>
      <c r="N1049" s="442" t="str">
        <f>IF(L1049&lt;&gt;"",VLOOKUP(L1049,Categories!$B$2:$D$41,2,FALSE),IF(F1049&lt;&gt;"","No Cat",""))</f>
        <v>NRBASE</v>
      </c>
      <c r="O1049" s="442" t="str">
        <f>IF($L1049&lt;&gt;"",VLOOKUP($L1049,Categories!$B$2:$D$41,3,FALSE),IF($F1049&lt;&gt;"","No Cat",""))</f>
        <v>Direct Assign Items Not in RB</v>
      </c>
      <c r="P1049" s="736" t="s">
        <v>2468</v>
      </c>
      <c r="Q1049" s="442" t="str">
        <f>VLOOKUP($P1049,Allocators!$B$7:$F$19,5,FALSE)</f>
        <v>Not in Rate Base</v>
      </c>
      <c r="R1049" s="737">
        <f>VLOOKUP($P1049,Allocators!$B$7:$F$19,2,FALSE)</f>
        <v>0</v>
      </c>
      <c r="S1049" s="737">
        <f>VLOOKUP($P1049,Allocators!$B$7:$F$19,3,FALSE)</f>
        <v>0</v>
      </c>
      <c r="T1049" s="737">
        <f t="shared" ref="T1049:T1162" si="463">IF(P1049="N",1,"0.0%")</f>
        <v>1</v>
      </c>
      <c r="U1049" s="2">
        <f t="shared" si="456"/>
        <v>0</v>
      </c>
      <c r="V1049" s="2">
        <f t="shared" si="457"/>
        <v>0</v>
      </c>
      <c r="W1049" s="2">
        <f t="shared" si="458"/>
        <v>0.67782499999999501</v>
      </c>
      <c r="X1049" s="2">
        <f t="shared" si="449"/>
        <v>0.67782499999999501</v>
      </c>
      <c r="Y1049" s="2" t="str">
        <f t="shared" si="459"/>
        <v/>
      </c>
      <c r="Z1049" s="2" t="str">
        <f t="shared" si="460"/>
        <v/>
      </c>
      <c r="AA1049" s="2" t="str">
        <f t="shared" si="461"/>
        <v/>
      </c>
      <c r="AB1049" s="2">
        <f t="shared" si="450"/>
        <v>0</v>
      </c>
      <c r="AC1049" s="734">
        <v>16.26779999999987</v>
      </c>
      <c r="AD1049" s="625">
        <v>0</v>
      </c>
      <c r="AE1049" s="625">
        <v>0</v>
      </c>
      <c r="AF1049" s="38">
        <v>0</v>
      </c>
      <c r="AG1049" s="625">
        <v>0</v>
      </c>
      <c r="AH1049" s="625">
        <v>0</v>
      </c>
      <c r="AI1049" s="625">
        <v>0</v>
      </c>
      <c r="AJ1049" s="625">
        <v>0</v>
      </c>
      <c r="AK1049" s="625">
        <v>0</v>
      </c>
      <c r="AL1049" s="625">
        <v>0</v>
      </c>
      <c r="AM1049" s="625">
        <v>0</v>
      </c>
      <c r="AN1049" s="625">
        <v>0</v>
      </c>
      <c r="AO1049" s="625">
        <v>0</v>
      </c>
      <c r="AP1049" s="41" t="str">
        <f t="shared" si="446"/>
        <v>Reg AssetN</v>
      </c>
      <c r="AQ1049" s="41" t="str">
        <f t="shared" si="447"/>
        <v>Reg AssetNN2Merchant Function Charge - Elec</v>
      </c>
      <c r="AR1049" s="41" t="str">
        <f t="shared" si="448"/>
        <v>N2Merchant Function Charge - Elec</v>
      </c>
      <c r="CK1049" s="625"/>
    </row>
    <row r="1050" spans="1:89" s="41" customFormat="1" ht="12.75" customHeight="1">
      <c r="A1050" s="442" t="s">
        <v>746</v>
      </c>
      <c r="B1050" s="442" t="str">
        <f t="shared" si="455"/>
        <v>Reg Asset254016BE030309</v>
      </c>
      <c r="C1050" s="736">
        <v>254016</v>
      </c>
      <c r="D1050" s="738"/>
      <c r="E1050" s="626" t="s">
        <v>1215</v>
      </c>
      <c r="F1050" s="626" t="str">
        <f t="shared" si="443"/>
        <v>OTH REG LIAB - MISC - ELECTRIC</v>
      </c>
      <c r="G1050" s="626" t="s">
        <v>1216</v>
      </c>
      <c r="H1050" s="736" t="s">
        <v>1122</v>
      </c>
      <c r="I1050" s="442"/>
      <c r="J1050" s="442" t="str">
        <f t="shared" si="444"/>
        <v/>
      </c>
      <c r="K1050" s="442" t="str">
        <f t="shared" si="445"/>
        <v/>
      </c>
      <c r="L1050" s="736" t="s">
        <v>2421</v>
      </c>
      <c r="M1050" s="442" t="str">
        <f t="shared" si="462"/>
        <v>N</v>
      </c>
      <c r="N1050" s="442" t="str">
        <f>IF(L1050&lt;&gt;"",VLOOKUP(L1050,Categories!$B$2:$D$41,2,FALSE),IF(F1050&lt;&gt;"","No Cat",""))</f>
        <v>NRBASE</v>
      </c>
      <c r="O1050" s="442" t="str">
        <f>IF($L1050&lt;&gt;"",VLOOKUP($L1050,Categories!$B$2:$D$41,3,FALSE),IF($F1050&lt;&gt;"","No Cat",""))</f>
        <v>Direct Assign Items Not in RB</v>
      </c>
      <c r="P1050" s="736" t="s">
        <v>2468</v>
      </c>
      <c r="Q1050" s="442" t="str">
        <f>VLOOKUP($P1050,Allocators!$B$7:$F$19,5,FALSE)</f>
        <v>Not in Rate Base</v>
      </c>
      <c r="R1050" s="737">
        <f>VLOOKUP($P1050,Allocators!$B$7:$F$19,2,FALSE)</f>
        <v>0</v>
      </c>
      <c r="S1050" s="737">
        <f>VLOOKUP($P1050,Allocators!$B$7:$F$19,3,FALSE)</f>
        <v>0</v>
      </c>
      <c r="T1050" s="737">
        <f t="shared" si="463"/>
        <v>1</v>
      </c>
      <c r="U1050" s="2" t="str">
        <f t="shared" si="456"/>
        <v/>
      </c>
      <c r="V1050" s="2" t="str">
        <f t="shared" si="457"/>
        <v/>
      </c>
      <c r="W1050" s="2" t="str">
        <f t="shared" si="458"/>
        <v/>
      </c>
      <c r="X1050" s="2">
        <f t="shared" si="449"/>
        <v>0</v>
      </c>
      <c r="Y1050" s="2" t="str">
        <f t="shared" si="459"/>
        <v/>
      </c>
      <c r="Z1050" s="2" t="str">
        <f t="shared" si="460"/>
        <v/>
      </c>
      <c r="AA1050" s="2" t="str">
        <f t="shared" si="461"/>
        <v/>
      </c>
      <c r="AB1050" s="2">
        <f t="shared" si="450"/>
        <v>0</v>
      </c>
      <c r="AC1050" s="625">
        <v>0</v>
      </c>
      <c r="AD1050" s="625">
        <v>0</v>
      </c>
      <c r="AE1050" s="625">
        <v>0</v>
      </c>
      <c r="AF1050" s="38">
        <v>0</v>
      </c>
      <c r="AG1050" s="625">
        <v>0</v>
      </c>
      <c r="AH1050" s="625">
        <v>0</v>
      </c>
      <c r="AI1050" s="625">
        <v>0</v>
      </c>
      <c r="AJ1050" s="625">
        <v>0</v>
      </c>
      <c r="AK1050" s="625">
        <v>0</v>
      </c>
      <c r="AL1050" s="625">
        <v>0</v>
      </c>
      <c r="AM1050" s="625">
        <v>0</v>
      </c>
      <c r="AN1050" s="625">
        <v>0</v>
      </c>
      <c r="AO1050" s="625">
        <v>0</v>
      </c>
      <c r="AP1050" s="41" t="str">
        <f t="shared" si="446"/>
        <v>Reg AssetN</v>
      </c>
      <c r="AQ1050" s="41" t="str">
        <f t="shared" si="447"/>
        <v>Reg AssetNN2Service Quality Performance</v>
      </c>
      <c r="AR1050" s="41" t="str">
        <f t="shared" si="448"/>
        <v>N2Service Quality Performance</v>
      </c>
      <c r="CK1050" s="625"/>
    </row>
    <row r="1051" spans="1:89" s="41" customFormat="1" ht="12.75" customHeight="1">
      <c r="A1051" s="442" t="s">
        <v>746</v>
      </c>
      <c r="B1051" s="442" t="str">
        <f t="shared" si="455"/>
        <v>Reg Asset254016SNF-INT-NBE030395</v>
      </c>
      <c r="C1051" s="736">
        <v>254016</v>
      </c>
      <c r="D1051" s="738" t="s">
        <v>871</v>
      </c>
      <c r="E1051" s="626" t="s">
        <v>952</v>
      </c>
      <c r="F1051" s="626" t="str">
        <f t="shared" si="443"/>
        <v>OTH REG LIAB - MISC - ELECTRIC</v>
      </c>
      <c r="G1051" s="626" t="s">
        <v>1217</v>
      </c>
      <c r="H1051" s="736" t="s">
        <v>1121</v>
      </c>
      <c r="I1051" s="442"/>
      <c r="J1051" s="442" t="s">
        <v>7</v>
      </c>
      <c r="K1051" s="442" t="str">
        <f t="shared" si="445"/>
        <v/>
      </c>
      <c r="L1051" s="736" t="s">
        <v>2436</v>
      </c>
      <c r="M1051" s="442" t="str">
        <f t="shared" si="462"/>
        <v>N</v>
      </c>
      <c r="N1051" s="442" t="str">
        <f>IF(L1051&lt;&gt;"",VLOOKUP(L1051,Categories!$B$2:$D$41,2,FALSE),IF(F1051&lt;&gt;"","No Cat",""))</f>
        <v>NRBASE</v>
      </c>
      <c r="O1051" s="442" t="str">
        <f>IF($L1051&lt;&gt;"",VLOOKUP($L1051,Categories!$B$2:$D$41,3,FALSE),IF($F1051&lt;&gt;"","No Cat",""))</f>
        <v>Deferrals Accruing Non-Cash Return   (other than ASGA)</v>
      </c>
      <c r="P1051" s="736" t="s">
        <v>2468</v>
      </c>
      <c r="Q1051" s="442" t="str">
        <f>VLOOKUP($P1051,Allocators!$B$7:$F$19,5,FALSE)</f>
        <v>Not in Rate Base</v>
      </c>
      <c r="R1051" s="737">
        <f>VLOOKUP($P1051,Allocators!$B$7:$F$19,2,FALSE)</f>
        <v>0</v>
      </c>
      <c r="S1051" s="737">
        <f>VLOOKUP($P1051,Allocators!$B$7:$F$19,3,FALSE)</f>
        <v>0</v>
      </c>
      <c r="T1051" s="737">
        <f t="shared" si="463"/>
        <v>1</v>
      </c>
      <c r="U1051" s="2">
        <f t="shared" si="456"/>
        <v>0</v>
      </c>
      <c r="V1051" s="2">
        <f t="shared" si="457"/>
        <v>0</v>
      </c>
      <c r="W1051" s="2">
        <f t="shared" si="458"/>
        <v>-3405.6990183333301</v>
      </c>
      <c r="X1051" s="2">
        <f t="shared" si="449"/>
        <v>-3405.6990183333301</v>
      </c>
      <c r="Y1051" s="2" t="str">
        <f t="shared" si="459"/>
        <v/>
      </c>
      <c r="Z1051" s="2" t="str">
        <f t="shared" si="460"/>
        <v/>
      </c>
      <c r="AA1051" s="2" t="str">
        <f t="shared" si="461"/>
        <v/>
      </c>
      <c r="AB1051" s="2">
        <f t="shared" si="450"/>
        <v>0</v>
      </c>
      <c r="AC1051" s="734">
        <v>-6882.8980199999978</v>
      </c>
      <c r="AD1051" s="625">
        <v>-7115.7877900000003</v>
      </c>
      <c r="AE1051" s="625">
        <v>-7278.6922200000008</v>
      </c>
      <c r="AF1051" s="625">
        <v>-7476.9221700000007</v>
      </c>
      <c r="AG1051" s="625">
        <v>-7677.4114500000014</v>
      </c>
      <c r="AH1051" s="625">
        <v>-7878.1255800000008</v>
      </c>
      <c r="AI1051" s="625">
        <v>0</v>
      </c>
      <c r="AJ1051" s="625">
        <v>0</v>
      </c>
      <c r="AK1051" s="625">
        <v>0</v>
      </c>
      <c r="AL1051" s="625">
        <v>0</v>
      </c>
      <c r="AM1051" s="625">
        <v>0</v>
      </c>
      <c r="AN1051" s="625">
        <v>0</v>
      </c>
      <c r="AO1051" s="625">
        <v>0</v>
      </c>
      <c r="AP1051" s="41" t="str">
        <f t="shared" si="446"/>
        <v>Reg AssetN</v>
      </c>
      <c r="AQ1051" s="41" t="str">
        <f t="shared" si="447"/>
        <v>Reg AssetNN10DOE Liability - True-up-2011</v>
      </c>
      <c r="AR1051" s="41" t="str">
        <f t="shared" si="448"/>
        <v>N10DOE Liability - True-up-2011NCR</v>
      </c>
      <c r="CK1051" s="625"/>
    </row>
    <row r="1052" spans="1:89" s="41" customFormat="1" ht="12.75" customHeight="1">
      <c r="A1052" s="442" t="s">
        <v>746</v>
      </c>
      <c r="B1052" s="442" t="str">
        <f t="shared" si="455"/>
        <v>Reg Asset254016601254BE030579</v>
      </c>
      <c r="C1052" s="736">
        <v>254016</v>
      </c>
      <c r="D1052" s="738">
        <v>601254</v>
      </c>
      <c r="E1052" s="626" t="s">
        <v>765</v>
      </c>
      <c r="F1052" s="626" t="str">
        <f t="shared" si="443"/>
        <v>OTH REG LIAB - MISC - ELECTRIC</v>
      </c>
      <c r="G1052" s="626" t="s">
        <v>1218</v>
      </c>
      <c r="H1052" s="736" t="s">
        <v>1218</v>
      </c>
      <c r="I1052" s="442"/>
      <c r="J1052" s="442" t="str">
        <f t="shared" si="444"/>
        <v/>
      </c>
      <c r="K1052" s="442" t="str">
        <f t="shared" si="445"/>
        <v/>
      </c>
      <c r="L1052" s="736" t="s">
        <v>2421</v>
      </c>
      <c r="M1052" s="442" t="str">
        <f t="shared" si="462"/>
        <v>N</v>
      </c>
      <c r="N1052" s="442" t="str">
        <f>IF(L1052&lt;&gt;"",VLOOKUP(L1052,Categories!$B$2:$D$41,2,FALSE),IF(F1052&lt;&gt;"","No Cat",""))</f>
        <v>NRBASE</v>
      </c>
      <c r="O1052" s="442" t="str">
        <f>IF($L1052&lt;&gt;"",VLOOKUP($L1052,Categories!$B$2:$D$41,3,FALSE),IF($F1052&lt;&gt;"","No Cat",""))</f>
        <v>Direct Assign Items Not in RB</v>
      </c>
      <c r="P1052" s="736" t="s">
        <v>2468</v>
      </c>
      <c r="Q1052" s="442" t="str">
        <f>VLOOKUP($P1052,Allocators!$B$7:$F$19,5,FALSE)</f>
        <v>Not in Rate Base</v>
      </c>
      <c r="R1052" s="737">
        <f>VLOOKUP($P1052,Allocators!$B$7:$F$19,2,FALSE)</f>
        <v>0</v>
      </c>
      <c r="S1052" s="737">
        <f>VLOOKUP($P1052,Allocators!$B$7:$F$19,3,FALSE)</f>
        <v>0</v>
      </c>
      <c r="T1052" s="737">
        <f t="shared" si="463"/>
        <v>1</v>
      </c>
      <c r="U1052" s="2">
        <f t="shared" si="456"/>
        <v>0</v>
      </c>
      <c r="V1052" s="2">
        <f t="shared" si="457"/>
        <v>0</v>
      </c>
      <c r="W1052" s="2">
        <f t="shared" si="458"/>
        <v>-10000</v>
      </c>
      <c r="X1052" s="2">
        <f t="shared" si="449"/>
        <v>-10000</v>
      </c>
      <c r="Y1052" s="2">
        <f t="shared" si="459"/>
        <v>0</v>
      </c>
      <c r="Z1052" s="2">
        <f t="shared" si="460"/>
        <v>0</v>
      </c>
      <c r="AA1052" s="2">
        <f t="shared" si="461"/>
        <v>-10000</v>
      </c>
      <c r="AB1052" s="2">
        <f t="shared" si="450"/>
        <v>-10000</v>
      </c>
      <c r="AC1052" s="734">
        <v>-10000</v>
      </c>
      <c r="AD1052" s="625">
        <v>-10000</v>
      </c>
      <c r="AE1052" s="625">
        <v>-10000</v>
      </c>
      <c r="AF1052" s="625">
        <v>-10000</v>
      </c>
      <c r="AG1052" s="625">
        <v>-10000</v>
      </c>
      <c r="AH1052" s="625">
        <v>-10000</v>
      </c>
      <c r="AI1052" s="625">
        <v>-10000</v>
      </c>
      <c r="AJ1052" s="625">
        <v>-10000</v>
      </c>
      <c r="AK1052" s="625">
        <v>-10000</v>
      </c>
      <c r="AL1052" s="625">
        <v>-10000</v>
      </c>
      <c r="AM1052" s="625">
        <v>-10000</v>
      </c>
      <c r="AN1052" s="625">
        <v>-10000</v>
      </c>
      <c r="AO1052" s="625">
        <v>-10000</v>
      </c>
      <c r="AP1052" s="41" t="str">
        <f t="shared" si="446"/>
        <v>Reg AssetN</v>
      </c>
      <c r="AQ1052" s="41" t="str">
        <f t="shared" si="447"/>
        <v>Reg AssetNN2CapEx Customer Credit</v>
      </c>
      <c r="AR1052" s="41" t="str">
        <f t="shared" si="448"/>
        <v>N2CapEx Customer Credit</v>
      </c>
      <c r="CK1052" s="625"/>
    </row>
    <row r="1053" spans="1:89" s="41" customFormat="1" ht="12.75" customHeight="1">
      <c r="A1053" s="442" t="s">
        <v>746</v>
      </c>
      <c r="B1053" s="442" t="str">
        <f t="shared" si="455"/>
        <v>Reg Asset254016601201BE030594</v>
      </c>
      <c r="C1053" s="736">
        <v>254016</v>
      </c>
      <c r="D1053" s="738">
        <v>601201</v>
      </c>
      <c r="E1053" s="626" t="s">
        <v>767</v>
      </c>
      <c r="F1053" s="626" t="str">
        <f t="shared" si="443"/>
        <v>OTH REG LIAB - MISC - ELECTRIC</v>
      </c>
      <c r="G1053" s="626" t="s">
        <v>1219</v>
      </c>
      <c r="H1053" s="736" t="s">
        <v>821</v>
      </c>
      <c r="I1053" s="442"/>
      <c r="J1053" s="442" t="str">
        <f t="shared" si="444"/>
        <v/>
      </c>
      <c r="K1053" s="442" t="str">
        <f t="shared" si="445"/>
        <v/>
      </c>
      <c r="L1053" s="736" t="s">
        <v>2421</v>
      </c>
      <c r="M1053" s="442" t="str">
        <f t="shared" si="462"/>
        <v>N</v>
      </c>
      <c r="N1053" s="442" t="str">
        <f>IF(L1053&lt;&gt;"",VLOOKUP(L1053,Categories!$B$2:$D$41,2,FALSE),IF(F1053&lt;&gt;"","No Cat",""))</f>
        <v>NRBASE</v>
      </c>
      <c r="O1053" s="442" t="str">
        <f>IF($L1053&lt;&gt;"",VLOOKUP($L1053,Categories!$B$2:$D$41,3,FALSE),IF($F1053&lt;&gt;"","No Cat",""))</f>
        <v>Direct Assign Items Not in RB</v>
      </c>
      <c r="P1053" s="736" t="s">
        <v>2468</v>
      </c>
      <c r="Q1053" s="442" t="str">
        <f>VLOOKUP($P1053,Allocators!$B$7:$F$19,5,FALSE)</f>
        <v>Not in Rate Base</v>
      </c>
      <c r="R1053" s="737">
        <f>VLOOKUP($P1053,Allocators!$B$7:$F$19,2,FALSE)</f>
        <v>0</v>
      </c>
      <c r="S1053" s="737">
        <f>VLOOKUP($P1053,Allocators!$B$7:$F$19,3,FALSE)</f>
        <v>0</v>
      </c>
      <c r="T1053" s="737">
        <f t="shared" si="463"/>
        <v>1</v>
      </c>
      <c r="U1053" s="2">
        <f t="shared" si="456"/>
        <v>0</v>
      </c>
      <c r="V1053" s="2">
        <f t="shared" si="457"/>
        <v>0</v>
      </c>
      <c r="W1053" s="2">
        <f t="shared" si="458"/>
        <v>-1846.20341125</v>
      </c>
      <c r="X1053" s="2">
        <f t="shared" si="449"/>
        <v>-1846.20341125</v>
      </c>
      <c r="Y1053" s="2">
        <f t="shared" si="459"/>
        <v>0</v>
      </c>
      <c r="Z1053" s="2">
        <f t="shared" si="460"/>
        <v>0</v>
      </c>
      <c r="AA1053" s="2">
        <f t="shared" si="461"/>
        <v>-2023.8630800000001</v>
      </c>
      <c r="AB1053" s="2">
        <f t="shared" si="450"/>
        <v>-2023.8630800000005</v>
      </c>
      <c r="AC1053" s="734">
        <v>-1742.0087900000003</v>
      </c>
      <c r="AD1053" s="625">
        <v>-1757.8296500000001</v>
      </c>
      <c r="AE1053" s="625">
        <v>-1772.3877600000003</v>
      </c>
      <c r="AF1053" s="625">
        <v>-1783.2230200000004</v>
      </c>
      <c r="AG1053" s="625">
        <v>-1794.7741800000001</v>
      </c>
      <c r="AH1053" s="625">
        <v>-1807.1616000000004</v>
      </c>
      <c r="AI1053" s="625">
        <v>-1824.6875100000004</v>
      </c>
      <c r="AJ1053" s="625">
        <v>-1845.8334800000005</v>
      </c>
      <c r="AK1053" s="625">
        <v>-1871.7293200000006</v>
      </c>
      <c r="AL1053" s="625">
        <v>-1900.9682300000004</v>
      </c>
      <c r="AM1053" s="625">
        <v>-1936.6032800000005</v>
      </c>
      <c r="AN1053" s="625">
        <v>-1976.3069700000005</v>
      </c>
      <c r="AO1053" s="625">
        <v>-2023.8630800000005</v>
      </c>
      <c r="AP1053" s="41" t="str">
        <f t="shared" si="446"/>
        <v>Reg AssetN</v>
      </c>
      <c r="AQ1053" s="41" t="str">
        <f t="shared" si="447"/>
        <v>Reg AssetNN2Low Income</v>
      </c>
      <c r="AR1053" s="41" t="str">
        <f t="shared" si="448"/>
        <v>N2Low Income</v>
      </c>
      <c r="CK1053" s="625"/>
    </row>
    <row r="1054" spans="1:89" s="41" customFormat="1" ht="12.75" customHeight="1">
      <c r="A1054" s="442" t="s">
        <v>746</v>
      </c>
      <c r="B1054" s="442" t="str">
        <f t="shared" si="455"/>
        <v>Reg Asset254016601203BE030594</v>
      </c>
      <c r="C1054" s="736">
        <v>254016</v>
      </c>
      <c r="D1054" s="738">
        <v>601203</v>
      </c>
      <c r="E1054" s="626" t="s">
        <v>767</v>
      </c>
      <c r="F1054" s="626" t="str">
        <f t="shared" si="443"/>
        <v>OTH REG LIAB - MISC - ELECTRIC</v>
      </c>
      <c r="G1054" s="626" t="s">
        <v>1220</v>
      </c>
      <c r="H1054" s="736" t="s">
        <v>821</v>
      </c>
      <c r="I1054" s="442"/>
      <c r="J1054" s="442" t="str">
        <f t="shared" si="444"/>
        <v/>
      </c>
      <c r="K1054" s="442" t="str">
        <f t="shared" si="445"/>
        <v/>
      </c>
      <c r="L1054" s="736" t="s">
        <v>2421</v>
      </c>
      <c r="M1054" s="442" t="str">
        <f t="shared" si="462"/>
        <v>N</v>
      </c>
      <c r="N1054" s="442" t="str">
        <f>IF(L1054&lt;&gt;"",VLOOKUP(L1054,Categories!$B$2:$D$41,2,FALSE),IF(F1054&lt;&gt;"","No Cat",""))</f>
        <v>NRBASE</v>
      </c>
      <c r="O1054" s="442" t="str">
        <f>IF($L1054&lt;&gt;"",VLOOKUP($L1054,Categories!$B$2:$D$41,3,FALSE),IF($F1054&lt;&gt;"","No Cat",""))</f>
        <v>Direct Assign Items Not in RB</v>
      </c>
      <c r="P1054" s="736" t="s">
        <v>2468</v>
      </c>
      <c r="Q1054" s="442" t="str">
        <f>VLOOKUP($P1054,Allocators!$B$7:$F$19,5,FALSE)</f>
        <v>Not in Rate Base</v>
      </c>
      <c r="R1054" s="737">
        <f>VLOOKUP($P1054,Allocators!$B$7:$F$19,2,FALSE)</f>
        <v>0</v>
      </c>
      <c r="S1054" s="737">
        <f>VLOOKUP($P1054,Allocators!$B$7:$F$19,3,FALSE)</f>
        <v>0</v>
      </c>
      <c r="T1054" s="737">
        <f t="shared" si="463"/>
        <v>1</v>
      </c>
      <c r="U1054" s="2">
        <f t="shared" si="456"/>
        <v>0</v>
      </c>
      <c r="V1054" s="2">
        <f t="shared" si="457"/>
        <v>0</v>
      </c>
      <c r="W1054" s="2">
        <f t="shared" si="458"/>
        <v>-1161.47574541667</v>
      </c>
      <c r="X1054" s="2">
        <f t="shared" si="449"/>
        <v>-1161.47574541667</v>
      </c>
      <c r="Y1054" s="2">
        <f t="shared" si="459"/>
        <v>0</v>
      </c>
      <c r="Z1054" s="2">
        <f t="shared" si="460"/>
        <v>0</v>
      </c>
      <c r="AA1054" s="2">
        <f t="shared" si="461"/>
        <v>-1415.1119900000001</v>
      </c>
      <c r="AB1054" s="2">
        <f t="shared" si="450"/>
        <v>-1415.1119899999999</v>
      </c>
      <c r="AC1054" s="734">
        <v>-969.97941999999989</v>
      </c>
      <c r="AD1054" s="625">
        <v>-986.34364000000005</v>
      </c>
      <c r="AE1054" s="625">
        <v>-1011.05214</v>
      </c>
      <c r="AF1054" s="625">
        <v>-1036.40888</v>
      </c>
      <c r="AG1054" s="625">
        <v>-1068.48516</v>
      </c>
      <c r="AH1054" s="625">
        <v>-1105.08557</v>
      </c>
      <c r="AI1054" s="625">
        <v>-1145.4121599999999</v>
      </c>
      <c r="AJ1054" s="625">
        <v>-1186.14922</v>
      </c>
      <c r="AK1054" s="625">
        <v>-1231.2741699999999</v>
      </c>
      <c r="AL1054" s="625">
        <v>-1276.8295700000001</v>
      </c>
      <c r="AM1054" s="625">
        <v>-1324.1436100000001</v>
      </c>
      <c r="AN1054" s="625">
        <v>-1373.9791200000002</v>
      </c>
      <c r="AO1054" s="625">
        <v>-1415.1119899999999</v>
      </c>
      <c r="AP1054" s="41" t="str">
        <f t="shared" si="446"/>
        <v>Reg AssetN</v>
      </c>
      <c r="AQ1054" s="41" t="str">
        <f t="shared" si="447"/>
        <v>Reg AssetNN2Low Income</v>
      </c>
      <c r="AR1054" s="41" t="str">
        <f t="shared" si="448"/>
        <v>N2Low Income</v>
      </c>
      <c r="CK1054" s="625"/>
    </row>
    <row r="1055" spans="1:89" s="41" customFormat="1" ht="12.75" customHeight="1">
      <c r="A1055" s="442" t="s">
        <v>746</v>
      </c>
      <c r="B1055" s="442" t="str">
        <f t="shared" si="455"/>
        <v>Reg Asset254016601205BE030594</v>
      </c>
      <c r="C1055" s="736">
        <v>254016</v>
      </c>
      <c r="D1055" s="738">
        <v>601205</v>
      </c>
      <c r="E1055" s="626" t="s">
        <v>767</v>
      </c>
      <c r="F1055" s="626" t="str">
        <f t="shared" si="443"/>
        <v>OTH REG LIAB - MISC - ELECTRIC</v>
      </c>
      <c r="G1055" s="626" t="s">
        <v>1221</v>
      </c>
      <c r="H1055" s="736" t="s">
        <v>821</v>
      </c>
      <c r="I1055" s="442"/>
      <c r="J1055" s="442" t="str">
        <f t="shared" si="444"/>
        <v/>
      </c>
      <c r="K1055" s="442" t="str">
        <f t="shared" si="445"/>
        <v/>
      </c>
      <c r="L1055" s="736" t="s">
        <v>2421</v>
      </c>
      <c r="M1055" s="442" t="str">
        <f t="shared" si="462"/>
        <v>N</v>
      </c>
      <c r="N1055" s="442" t="str">
        <f>IF(L1055&lt;&gt;"",VLOOKUP(L1055,Categories!$B$2:$D$41,2,FALSE),IF(F1055&lt;&gt;"","No Cat",""))</f>
        <v>NRBASE</v>
      </c>
      <c r="O1055" s="442" t="str">
        <f>IF($L1055&lt;&gt;"",VLOOKUP($L1055,Categories!$B$2:$D$41,3,FALSE),IF($F1055&lt;&gt;"","No Cat",""))</f>
        <v>Direct Assign Items Not in RB</v>
      </c>
      <c r="P1055" s="736" t="s">
        <v>2468</v>
      </c>
      <c r="Q1055" s="442" t="str">
        <f>VLOOKUP($P1055,Allocators!$B$7:$F$19,5,FALSE)</f>
        <v>Not in Rate Base</v>
      </c>
      <c r="R1055" s="737">
        <f>VLOOKUP($P1055,Allocators!$B$7:$F$19,2,FALSE)</f>
        <v>0</v>
      </c>
      <c r="S1055" s="737">
        <f>VLOOKUP($P1055,Allocators!$B$7:$F$19,3,FALSE)</f>
        <v>0</v>
      </c>
      <c r="T1055" s="737">
        <f t="shared" si="463"/>
        <v>1</v>
      </c>
      <c r="U1055" s="2">
        <f t="shared" si="456"/>
        <v>0</v>
      </c>
      <c r="V1055" s="2">
        <f t="shared" si="457"/>
        <v>0</v>
      </c>
      <c r="W1055" s="2">
        <f t="shared" si="458"/>
        <v>-2.7396991666666701</v>
      </c>
      <c r="X1055" s="2">
        <f t="shared" si="449"/>
        <v>-2.7396991666666701</v>
      </c>
      <c r="Y1055" s="2" t="str">
        <f t="shared" si="459"/>
        <v/>
      </c>
      <c r="Z1055" s="2" t="str">
        <f t="shared" si="460"/>
        <v/>
      </c>
      <c r="AA1055" s="2" t="str">
        <f t="shared" si="461"/>
        <v/>
      </c>
      <c r="AB1055" s="2">
        <f t="shared" si="450"/>
        <v>0</v>
      </c>
      <c r="AC1055" s="625">
        <v>0</v>
      </c>
      <c r="AD1055" s="625">
        <v>-3.7627700000000002</v>
      </c>
      <c r="AE1055" s="625">
        <v>-8.1881000000000004</v>
      </c>
      <c r="AF1055" s="625">
        <v>-11.94035</v>
      </c>
      <c r="AG1055" s="625">
        <v>-7.8068</v>
      </c>
      <c r="AH1055" s="625">
        <v>-1.1783699999999999</v>
      </c>
      <c r="AI1055" s="625">
        <v>0</v>
      </c>
      <c r="AJ1055" s="625">
        <v>0</v>
      </c>
      <c r="AK1055" s="625">
        <v>0</v>
      </c>
      <c r="AL1055" s="625">
        <v>0</v>
      </c>
      <c r="AM1055" s="625">
        <v>0</v>
      </c>
      <c r="AN1055" s="625">
        <v>0</v>
      </c>
      <c r="AO1055" s="625">
        <v>0</v>
      </c>
      <c r="AP1055" s="41" t="str">
        <f t="shared" si="446"/>
        <v>Reg AssetN</v>
      </c>
      <c r="AQ1055" s="41" t="str">
        <f t="shared" si="447"/>
        <v>Reg AssetNN2Low Income</v>
      </c>
      <c r="AR1055" s="41" t="str">
        <f t="shared" si="448"/>
        <v>N2Low Income</v>
      </c>
      <c r="CK1055" s="625"/>
    </row>
    <row r="1056" spans="1:89" s="41" customFormat="1" ht="12.75" customHeight="1">
      <c r="A1056" s="442" t="s">
        <v>746</v>
      </c>
      <c r="B1056" s="442" t="str">
        <f t="shared" ref="B1056" si="464">CONCATENATE(A1056,C1056,D1056,E1056)</f>
        <v>Reg Asset254016601218BE030594</v>
      </c>
      <c r="C1056" s="736">
        <v>254016</v>
      </c>
      <c r="D1056" s="738">
        <v>601218</v>
      </c>
      <c r="E1056" s="626" t="s">
        <v>767</v>
      </c>
      <c r="F1056" s="626" t="str">
        <f t="shared" si="443"/>
        <v>OTH REG LIAB - MISC - ELECTRIC</v>
      </c>
      <c r="G1056" s="626" t="s">
        <v>4243</v>
      </c>
      <c r="H1056" s="736" t="s">
        <v>824</v>
      </c>
      <c r="I1056" s="442"/>
      <c r="J1056" s="442" t="s">
        <v>7</v>
      </c>
      <c r="K1056" s="442" t="str">
        <f t="shared" si="445"/>
        <v/>
      </c>
      <c r="L1056" s="736" t="s">
        <v>2436</v>
      </c>
      <c r="M1056" s="442" t="str">
        <f t="shared" si="462"/>
        <v>N</v>
      </c>
      <c r="N1056" s="442" t="str">
        <f>IF(L1056&lt;&gt;"",VLOOKUP(L1056,Categories!$B$2:$D$41,2,FALSE),IF(F1056&lt;&gt;"","No Cat",""))</f>
        <v>NRBASE</v>
      </c>
      <c r="O1056" s="442" t="str">
        <f>IF($L1056&lt;&gt;"",VLOOKUP($L1056,Categories!$B$2:$D$41,3,FALSE),IF($F1056&lt;&gt;"","No Cat",""))</f>
        <v>Deferrals Accruing Non-Cash Return   (other than ASGA)</v>
      </c>
      <c r="P1056" s="736" t="s">
        <v>2468</v>
      </c>
      <c r="Q1056" s="442" t="str">
        <f>VLOOKUP($P1056,Allocators!$B$7:$F$19,5,FALSE)</f>
        <v>Not in Rate Base</v>
      </c>
      <c r="R1056" s="737">
        <f>VLOOKUP($P1056,Allocators!$B$7:$F$19,2,FALSE)</f>
        <v>0</v>
      </c>
      <c r="S1056" s="737">
        <f>VLOOKUP($P1056,Allocators!$B$7:$F$19,3,FALSE)</f>
        <v>0</v>
      </c>
      <c r="T1056" s="737">
        <f t="shared" si="463"/>
        <v>1</v>
      </c>
      <c r="U1056" s="2" t="str">
        <f t="shared" si="456"/>
        <v/>
      </c>
      <c r="V1056" s="2" t="str">
        <f t="shared" si="457"/>
        <v/>
      </c>
      <c r="W1056" s="2" t="str">
        <f t="shared" si="458"/>
        <v/>
      </c>
      <c r="X1056" s="2">
        <f t="shared" si="449"/>
        <v>0</v>
      </c>
      <c r="Y1056" s="2" t="str">
        <f t="shared" si="459"/>
        <v/>
      </c>
      <c r="Z1056" s="2" t="str">
        <f t="shared" si="460"/>
        <v/>
      </c>
      <c r="AA1056" s="2" t="str">
        <f t="shared" si="461"/>
        <v/>
      </c>
      <c r="AB1056" s="2">
        <f t="shared" si="450"/>
        <v>0</v>
      </c>
      <c r="AC1056" s="625">
        <v>0</v>
      </c>
      <c r="AD1056" s="625">
        <v>0</v>
      </c>
      <c r="AE1056" s="625">
        <v>0</v>
      </c>
      <c r="AF1056" s="38">
        <v>0</v>
      </c>
      <c r="AG1056" s="625">
        <v>0</v>
      </c>
      <c r="AH1056" s="625">
        <v>0</v>
      </c>
      <c r="AI1056" s="625">
        <v>0</v>
      </c>
      <c r="AJ1056" s="625">
        <v>0</v>
      </c>
      <c r="AK1056" s="625">
        <v>0</v>
      </c>
      <c r="AL1056" s="625">
        <v>0</v>
      </c>
      <c r="AM1056" s="625">
        <v>0</v>
      </c>
      <c r="AN1056" s="625">
        <v>0</v>
      </c>
      <c r="AO1056" s="625">
        <v>0</v>
      </c>
      <c r="AP1056" s="41" t="str">
        <f t="shared" si="446"/>
        <v>Reg AssetN</v>
      </c>
      <c r="AQ1056" s="41" t="str">
        <f t="shared" si="447"/>
        <v>Reg AssetNN10CAIDI/SAIFI Study</v>
      </c>
      <c r="AR1056" s="41" t="str">
        <f t="shared" si="448"/>
        <v>N10CAIDI/SAIFI StudyNCR</v>
      </c>
      <c r="CK1056" s="625"/>
    </row>
    <row r="1057" spans="1:89" s="41" customFormat="1" ht="12.75" customHeight="1">
      <c r="A1057" s="442" t="s">
        <v>746</v>
      </c>
      <c r="B1057" s="442" t="str">
        <f t="shared" si="455"/>
        <v>Reg Asset254016601240BE030594</v>
      </c>
      <c r="C1057" s="736">
        <v>254016</v>
      </c>
      <c r="D1057" s="738">
        <v>601240</v>
      </c>
      <c r="E1057" s="626" t="s">
        <v>767</v>
      </c>
      <c r="F1057" s="626" t="str">
        <f t="shared" si="443"/>
        <v>OTH REG LIAB - MISC - ELECTRIC</v>
      </c>
      <c r="G1057" s="626" t="s">
        <v>1222</v>
      </c>
      <c r="H1057" s="736" t="s">
        <v>821</v>
      </c>
      <c r="I1057" s="442"/>
      <c r="J1057" s="442" t="str">
        <f t="shared" si="444"/>
        <v/>
      </c>
      <c r="K1057" s="442" t="str">
        <f t="shared" si="445"/>
        <v/>
      </c>
      <c r="L1057" s="736" t="s">
        <v>2421</v>
      </c>
      <c r="M1057" s="442" t="str">
        <f t="shared" si="462"/>
        <v>N</v>
      </c>
      <c r="N1057" s="442" t="str">
        <f>IF(L1057&lt;&gt;"",VLOOKUP(L1057,Categories!$B$2:$D$41,2,FALSE),IF(F1057&lt;&gt;"","No Cat",""))</f>
        <v>NRBASE</v>
      </c>
      <c r="O1057" s="442" t="str">
        <f>IF($L1057&lt;&gt;"",VLOOKUP($L1057,Categories!$B$2:$D$41,3,FALSE),IF($F1057&lt;&gt;"","No Cat",""))</f>
        <v>Direct Assign Items Not in RB</v>
      </c>
      <c r="P1057" s="736" t="s">
        <v>2468</v>
      </c>
      <c r="Q1057" s="442" t="str">
        <f>VLOOKUP($P1057,Allocators!$B$7:$F$19,5,FALSE)</f>
        <v>Not in Rate Base</v>
      </c>
      <c r="R1057" s="737">
        <f>VLOOKUP($P1057,Allocators!$B$7:$F$19,2,FALSE)</f>
        <v>0</v>
      </c>
      <c r="S1057" s="737">
        <f>VLOOKUP($P1057,Allocators!$B$7:$F$19,3,FALSE)</f>
        <v>0</v>
      </c>
      <c r="T1057" s="737">
        <f t="shared" si="463"/>
        <v>1</v>
      </c>
      <c r="U1057" s="2">
        <f t="shared" si="456"/>
        <v>0</v>
      </c>
      <c r="V1057" s="2">
        <f t="shared" si="457"/>
        <v>0</v>
      </c>
      <c r="W1057" s="2">
        <f t="shared" si="458"/>
        <v>-111.00509125000001</v>
      </c>
      <c r="X1057" s="2">
        <f t="shared" si="449"/>
        <v>-111.00509125000001</v>
      </c>
      <c r="Y1057" s="2">
        <f t="shared" si="459"/>
        <v>0</v>
      </c>
      <c r="Z1057" s="2">
        <f t="shared" si="460"/>
        <v>0</v>
      </c>
      <c r="AA1057" s="2">
        <f t="shared" si="461"/>
        <v>-100.39543</v>
      </c>
      <c r="AB1057" s="2">
        <f t="shared" si="450"/>
        <v>-100.39542999999998</v>
      </c>
      <c r="AC1057" s="734">
        <v>-92.627020000000016</v>
      </c>
      <c r="AD1057" s="625">
        <v>-96.042029999999997</v>
      </c>
      <c r="AE1057" s="625">
        <v>-93.679879999999997</v>
      </c>
      <c r="AF1057" s="625">
        <v>-101.20255999999999</v>
      </c>
      <c r="AG1057" s="625">
        <v>-101.44002999999999</v>
      </c>
      <c r="AH1057" s="625">
        <v>-101.31144</v>
      </c>
      <c r="AI1057" s="625">
        <v>-99.436490000000006</v>
      </c>
      <c r="AJ1057" s="625">
        <v>-141.29811999999998</v>
      </c>
      <c r="AK1057" s="625">
        <v>-148.42660999999998</v>
      </c>
      <c r="AL1057" s="625">
        <v>-155.08597999999998</v>
      </c>
      <c r="AM1057" s="625">
        <v>-99.058909999999969</v>
      </c>
      <c r="AN1057" s="625">
        <v>-98.567819999999983</v>
      </c>
      <c r="AO1057" s="625">
        <v>-100.39542999999998</v>
      </c>
      <c r="AP1057" s="41" t="str">
        <f t="shared" si="446"/>
        <v>Reg AssetN</v>
      </c>
      <c r="AQ1057" s="41" t="str">
        <f t="shared" si="447"/>
        <v>Reg AssetNN2Low Income</v>
      </c>
      <c r="AR1057" s="41" t="str">
        <f t="shared" si="448"/>
        <v>N2Low Income</v>
      </c>
      <c r="CK1057" s="625"/>
    </row>
    <row r="1058" spans="1:89" s="41" customFormat="1" ht="12.75" customHeight="1">
      <c r="A1058" s="442" t="s">
        <v>746</v>
      </c>
      <c r="B1058" s="442" t="str">
        <f t="shared" ref="B1058:B1075" si="465">CONCATENATE(A1058,C1058,D1058,E1058)</f>
        <v>Reg Asset254016601239-13BE030155</v>
      </c>
      <c r="C1058" s="736">
        <v>254016</v>
      </c>
      <c r="D1058" s="738" t="s">
        <v>2813</v>
      </c>
      <c r="E1058" s="626" t="s">
        <v>1200</v>
      </c>
      <c r="F1058" s="626" t="str">
        <f t="shared" si="443"/>
        <v>OTH REG LIAB - MISC - ELECTRIC</v>
      </c>
      <c r="G1058" s="626" t="s">
        <v>2814</v>
      </c>
      <c r="H1058" s="736" t="s">
        <v>1203</v>
      </c>
      <c r="I1058" s="442"/>
      <c r="J1058" s="442" t="str">
        <f t="shared" si="444"/>
        <v/>
      </c>
      <c r="K1058" s="442" t="str">
        <f t="shared" si="445"/>
        <v/>
      </c>
      <c r="L1058" s="736" t="s">
        <v>2421</v>
      </c>
      <c r="M1058" s="442" t="str">
        <f t="shared" ref="M1058" si="466">LEFT(L1058,1)</f>
        <v>N</v>
      </c>
      <c r="N1058" s="442" t="str">
        <f>IF(L1058&lt;&gt;"",VLOOKUP(L1058,Categories!$B$2:$D$41,2,FALSE),IF(F1058&lt;&gt;"","No Cat",""))</f>
        <v>NRBASE</v>
      </c>
      <c r="O1058" s="442" t="str">
        <f>IF($L1058&lt;&gt;"",VLOOKUP($L1058,Categories!$B$2:$D$41,3,FALSE),IF($F1058&lt;&gt;"","No Cat",""))</f>
        <v>Direct Assign Items Not in RB</v>
      </c>
      <c r="P1058" s="736" t="s">
        <v>2468</v>
      </c>
      <c r="Q1058" s="442" t="str">
        <f>VLOOKUP($P1058,Allocators!$B$7:$F$19,5,FALSE)</f>
        <v>Not in Rate Base</v>
      </c>
      <c r="R1058" s="737">
        <f>VLOOKUP($P1058,Allocators!$B$7:$F$19,2,FALSE)</f>
        <v>0</v>
      </c>
      <c r="S1058" s="737">
        <f>VLOOKUP($P1058,Allocators!$B$7:$F$19,3,FALSE)</f>
        <v>0</v>
      </c>
      <c r="T1058" s="737">
        <f t="shared" ref="T1058" si="467">IF(P1058="N",1,"0.0%")</f>
        <v>1</v>
      </c>
      <c r="U1058" s="2">
        <f t="shared" si="456"/>
        <v>0</v>
      </c>
      <c r="V1058" s="2">
        <f t="shared" si="457"/>
        <v>0</v>
      </c>
      <c r="W1058" s="2">
        <f t="shared" si="458"/>
        <v>321.15573999999998</v>
      </c>
      <c r="X1058" s="2">
        <f t="shared" si="449"/>
        <v>321.15573999999998</v>
      </c>
      <c r="Y1058" s="2" t="str">
        <f t="shared" si="459"/>
        <v/>
      </c>
      <c r="Z1058" s="2" t="str">
        <f t="shared" si="460"/>
        <v/>
      </c>
      <c r="AA1058" s="2" t="str">
        <f t="shared" si="461"/>
        <v/>
      </c>
      <c r="AB1058" s="2">
        <f t="shared" si="450"/>
        <v>0</v>
      </c>
      <c r="AC1058" s="734">
        <v>420.62122000000005</v>
      </c>
      <c r="AD1058" s="625">
        <v>407.59217999999993</v>
      </c>
      <c r="AE1058" s="625">
        <v>397.81781999999987</v>
      </c>
      <c r="AF1058" s="625">
        <v>387.2909499999999</v>
      </c>
      <c r="AG1058" s="625">
        <v>378.2032099999999</v>
      </c>
      <c r="AH1058" s="625">
        <v>369.28884999999985</v>
      </c>
      <c r="AI1058" s="625">
        <v>359.92874999999987</v>
      </c>
      <c r="AJ1058" s="625">
        <v>348.90380999999991</v>
      </c>
      <c r="AK1058" s="625">
        <v>338.56747999999993</v>
      </c>
      <c r="AL1058" s="625">
        <v>331.39146999999991</v>
      </c>
      <c r="AM1058" s="625">
        <v>324.57374999999996</v>
      </c>
      <c r="AN1058" s="625">
        <v>0</v>
      </c>
      <c r="AO1058" s="625">
        <v>0</v>
      </c>
      <c r="AP1058" s="41" t="str">
        <f t="shared" si="446"/>
        <v>Reg AssetN</v>
      </c>
      <c r="AQ1058" s="41" t="str">
        <f t="shared" si="447"/>
        <v>Reg AssetNN2Merchant Function Charge - Elec</v>
      </c>
      <c r="AR1058" s="41" t="str">
        <f t="shared" si="448"/>
        <v>N2Merchant Function Charge - Elec</v>
      </c>
      <c r="CK1058" s="625"/>
    </row>
    <row r="1059" spans="1:89" s="41" customFormat="1" ht="12.75" customHeight="1">
      <c r="A1059" s="442" t="s">
        <v>746</v>
      </c>
      <c r="B1059" s="442" t="str">
        <f t="shared" ref="B1059" si="468">CONCATENATE(A1059,C1059,D1059,E1059)</f>
        <v>Reg Asset254016601239-14BE030155</v>
      </c>
      <c r="C1059" s="736">
        <v>254016</v>
      </c>
      <c r="D1059" s="738" t="s">
        <v>4331</v>
      </c>
      <c r="E1059" s="626" t="s">
        <v>1200</v>
      </c>
      <c r="F1059" s="626" t="str">
        <f t="shared" si="443"/>
        <v>OTH REG LIAB - MISC - ELECTRIC</v>
      </c>
      <c r="G1059" s="626" t="s">
        <v>4332</v>
      </c>
      <c r="H1059" s="736" t="s">
        <v>1203</v>
      </c>
      <c r="I1059" s="442"/>
      <c r="J1059" s="442" t="str">
        <f t="shared" ref="J1059:J1060" si="469">IF(L1059="N10","Y",IF(L1059="N8","Y",""))</f>
        <v/>
      </c>
      <c r="K1059" s="442" t="str">
        <f t="shared" ref="K1059:K1060" si="470">IF(L1059="N3","Y","")</f>
        <v/>
      </c>
      <c r="L1059" s="736" t="s">
        <v>2421</v>
      </c>
      <c r="M1059" s="442" t="str">
        <f t="shared" ref="M1059:M1060" si="471">LEFT(L1059,1)</f>
        <v>N</v>
      </c>
      <c r="N1059" s="442" t="str">
        <f>IF(L1059&lt;&gt;"",VLOOKUP(L1059,Categories!$B$2:$D$41,2,FALSE),IF(F1059&lt;&gt;"","No Cat",""))</f>
        <v>NRBASE</v>
      </c>
      <c r="O1059" s="442" t="str">
        <f>IF($L1059&lt;&gt;"",VLOOKUP($L1059,Categories!$B$2:$D$41,3,FALSE),IF($F1059&lt;&gt;"","No Cat",""))</f>
        <v>Direct Assign Items Not in RB</v>
      </c>
      <c r="P1059" s="736" t="s">
        <v>2468</v>
      </c>
      <c r="Q1059" s="442" t="str">
        <f>VLOOKUP($P1059,Allocators!$B$7:$F$19,5,FALSE)</f>
        <v>Not in Rate Base</v>
      </c>
      <c r="R1059" s="737">
        <f>VLOOKUP($P1059,Allocators!$B$7:$F$19,2,FALSE)</f>
        <v>0</v>
      </c>
      <c r="S1059" s="737">
        <f>VLOOKUP($P1059,Allocators!$B$7:$F$19,3,FALSE)</f>
        <v>0</v>
      </c>
      <c r="T1059" s="737">
        <f t="shared" ref="T1059:T1060" si="472">IF(P1059="N",1,"0.0%")</f>
        <v>1</v>
      </c>
      <c r="U1059" s="2">
        <f t="shared" si="456"/>
        <v>0</v>
      </c>
      <c r="V1059" s="2">
        <f t="shared" si="457"/>
        <v>0</v>
      </c>
      <c r="W1059" s="2">
        <f t="shared" si="458"/>
        <v>-288.61406666666699</v>
      </c>
      <c r="X1059" s="2">
        <f t="shared" si="449"/>
        <v>-288.61406666666699</v>
      </c>
      <c r="Y1059" s="2">
        <f t="shared" si="459"/>
        <v>0</v>
      </c>
      <c r="Z1059" s="2">
        <f t="shared" si="460"/>
        <v>0</v>
      </c>
      <c r="AA1059" s="2">
        <f t="shared" si="461"/>
        <v>-389.63049000000001</v>
      </c>
      <c r="AB1059" s="2">
        <f t="shared" si="450"/>
        <v>-389.63048999999995</v>
      </c>
      <c r="AC1059" s="734">
        <v>77.311750000000004</v>
      </c>
      <c r="AD1059" s="625">
        <v>-132.62135000000001</v>
      </c>
      <c r="AE1059" s="625">
        <v>-158.25995</v>
      </c>
      <c r="AF1059" s="625">
        <v>-260.23149000000001</v>
      </c>
      <c r="AG1059" s="625">
        <v>-229.87615</v>
      </c>
      <c r="AH1059" s="625">
        <v>-200.67128999999997</v>
      </c>
      <c r="AI1059" s="625">
        <v>-166.55838999999997</v>
      </c>
      <c r="AJ1059" s="625">
        <v>-483.35192999999992</v>
      </c>
      <c r="AK1059" s="625">
        <v>-475.60936999999996</v>
      </c>
      <c r="AL1059" s="625">
        <v>-384.71710999999993</v>
      </c>
      <c r="AM1059" s="625">
        <v>-336.63270999999992</v>
      </c>
      <c r="AN1059" s="625">
        <v>-478.67968999999994</v>
      </c>
      <c r="AO1059" s="625">
        <v>-389.63048999999995</v>
      </c>
      <c r="AP1059" s="41" t="str">
        <f t="shared" si="446"/>
        <v>Reg AssetN</v>
      </c>
      <c r="AQ1059" s="41" t="str">
        <f t="shared" si="447"/>
        <v>Reg AssetNN2Merchant Function Charge - Elec</v>
      </c>
      <c r="AR1059" s="41" t="str">
        <f t="shared" si="448"/>
        <v>N2Merchant Function Charge - Elec</v>
      </c>
      <c r="CK1059" s="625"/>
    </row>
    <row r="1060" spans="1:89" s="41" customFormat="1" ht="12.75" customHeight="1">
      <c r="A1060" s="442" t="s">
        <v>746</v>
      </c>
      <c r="B1060" s="442" t="str">
        <f t="shared" ref="B1060" si="473">CONCATENATE(A1060,C1060,D1060,E1060)</f>
        <v>Reg Asset254016NMII-ReclassBE039999</v>
      </c>
      <c r="C1060" s="736">
        <v>254016</v>
      </c>
      <c r="D1060" s="738" t="s">
        <v>4385</v>
      </c>
      <c r="E1060" s="626" t="s">
        <v>1161</v>
      </c>
      <c r="F1060" s="626" t="str">
        <f t="shared" si="443"/>
        <v>OTH REG LIAB - MISC - ELECTRIC</v>
      </c>
      <c r="G1060" s="626" t="s">
        <v>4384</v>
      </c>
      <c r="H1060" s="736" t="s">
        <v>1145</v>
      </c>
      <c r="I1060" s="25"/>
      <c r="J1060" s="25" t="str">
        <f t="shared" si="469"/>
        <v/>
      </c>
      <c r="K1060" s="25" t="str">
        <f t="shared" si="470"/>
        <v/>
      </c>
      <c r="L1060" s="736" t="s">
        <v>2441</v>
      </c>
      <c r="M1060" s="25" t="str">
        <f t="shared" si="471"/>
        <v>R</v>
      </c>
      <c r="N1060" s="25" t="str">
        <f>IF(L1060&lt;&gt;"",VLOOKUP(L1060,Categories!$B$2:$D$41,2,FALSE),IF(F1060&lt;&gt;"","No Cat",""))</f>
        <v>Rate Base</v>
      </c>
      <c r="O1060" s="25" t="str">
        <f>IF($L1060&lt;&gt;"",VLOOKUP($L1060,Categories!$B$2:$D$41,3,FALSE),IF($F1060&lt;&gt;"","No Cat",""))</f>
        <v>Deferred Debits &amp; Credits</v>
      </c>
      <c r="P1060" s="736" t="s">
        <v>2482</v>
      </c>
      <c r="Q1060" s="25" t="str">
        <f>VLOOKUP($P1060,Allocators!$B$7:$F$19,5,FALSE)</f>
        <v>Electric</v>
      </c>
      <c r="R1060" s="737">
        <f>VLOOKUP($P1060,Allocators!$B$7:$F$19,2,FALSE)</f>
        <v>1</v>
      </c>
      <c r="S1060" s="737">
        <f>VLOOKUP($P1060,Allocators!$B$7:$F$19,3,FALSE)</f>
        <v>0</v>
      </c>
      <c r="T1060" s="737" t="str">
        <f t="shared" si="472"/>
        <v>0.0%</v>
      </c>
      <c r="U1060" s="2">
        <f t="shared" si="456"/>
        <v>-4711.5450595833299</v>
      </c>
      <c r="V1060" s="2">
        <f t="shared" si="457"/>
        <v>0</v>
      </c>
      <c r="W1060" s="2">
        <f t="shared" si="458"/>
        <v>0</v>
      </c>
      <c r="X1060" s="2">
        <f t="shared" si="449"/>
        <v>-4711.5450595833299</v>
      </c>
      <c r="Y1060" s="2" t="str">
        <f t="shared" si="459"/>
        <v/>
      </c>
      <c r="Z1060" s="2" t="str">
        <f t="shared" si="460"/>
        <v/>
      </c>
      <c r="AA1060" s="2" t="str">
        <f t="shared" si="461"/>
        <v/>
      </c>
      <c r="AB1060" s="2">
        <f t="shared" si="450"/>
        <v>0</v>
      </c>
      <c r="AC1060" s="734">
        <v>-7650.0721299999996</v>
      </c>
      <c r="AD1060" s="625">
        <v>-9127.7577300000012</v>
      </c>
      <c r="AE1060" s="625">
        <v>-10484.842530000002</v>
      </c>
      <c r="AF1060" s="625">
        <v>-10922.802530000001</v>
      </c>
      <c r="AG1060" s="625">
        <v>-11077.606330000002</v>
      </c>
      <c r="AH1060" s="625">
        <v>-11100.495530000002</v>
      </c>
      <c r="AI1060" s="625">
        <v>0</v>
      </c>
      <c r="AJ1060" s="625">
        <v>0</v>
      </c>
      <c r="AK1060" s="625">
        <v>0</v>
      </c>
      <c r="AL1060" s="625">
        <v>0</v>
      </c>
      <c r="AM1060" s="625">
        <v>0</v>
      </c>
      <c r="AN1060" s="625">
        <v>0</v>
      </c>
      <c r="AO1060" s="625">
        <v>0</v>
      </c>
      <c r="AP1060" s="41" t="str">
        <f t="shared" si="446"/>
        <v>Reg AssetR</v>
      </c>
      <c r="AQ1060" s="41" t="str">
        <f t="shared" si="447"/>
        <v>Reg AssetRR10NM2 Sale</v>
      </c>
      <c r="AR1060" s="41" t="str">
        <f t="shared" si="448"/>
        <v>R10NM2 Sale</v>
      </c>
      <c r="CK1060" s="625"/>
    </row>
    <row r="1061" spans="1:89" s="41" customFormat="1" ht="12" customHeight="1">
      <c r="A1061" s="442" t="s">
        <v>746</v>
      </c>
      <c r="B1061" s="442" t="str">
        <f t="shared" si="465"/>
        <v>Reg Asset254016601242BE030908</v>
      </c>
      <c r="C1061" s="736">
        <v>254016</v>
      </c>
      <c r="D1061" s="738">
        <v>601242</v>
      </c>
      <c r="E1061" s="626" t="s">
        <v>2812</v>
      </c>
      <c r="F1061" s="626" t="str">
        <f t="shared" si="443"/>
        <v>OTH REG LIAB - MISC - ELECTRIC</v>
      </c>
      <c r="G1061" s="626" t="s">
        <v>2815</v>
      </c>
      <c r="H1061" s="736" t="s">
        <v>2816</v>
      </c>
      <c r="I1061" s="442"/>
      <c r="J1061" s="442" t="s">
        <v>7</v>
      </c>
      <c r="K1061" s="442" t="str">
        <f t="shared" ref="K1061:K1164" si="474">IF(L1061="N3","Y","")</f>
        <v/>
      </c>
      <c r="L1061" s="736" t="s">
        <v>2436</v>
      </c>
      <c r="M1061" s="442" t="str">
        <f t="shared" ref="M1061:M1075" si="475">LEFT(L1061,1)</f>
        <v>N</v>
      </c>
      <c r="N1061" s="442" t="str">
        <f>IF(L1061&lt;&gt;"",VLOOKUP(L1061,Categories!$B$2:$D$41,2,FALSE),IF(F1061&lt;&gt;"","No Cat",""))</f>
        <v>NRBASE</v>
      </c>
      <c r="O1061" s="442" t="str">
        <f>IF($L1061&lt;&gt;"",VLOOKUP($L1061,Categories!$B$2:$D$41,3,FALSE),IF($F1061&lt;&gt;"","No Cat",""))</f>
        <v>Deferrals Accruing Non-Cash Return   (other than ASGA)</v>
      </c>
      <c r="P1061" s="736" t="s">
        <v>2468</v>
      </c>
      <c r="Q1061" s="442" t="str">
        <f>VLOOKUP($P1061,Allocators!$B$7:$F$19,5,FALSE)</f>
        <v>Not in Rate Base</v>
      </c>
      <c r="R1061" s="737">
        <f>VLOOKUP($P1061,Allocators!$B$7:$F$19,2,FALSE)</f>
        <v>0</v>
      </c>
      <c r="S1061" s="737">
        <f>VLOOKUP($P1061,Allocators!$B$7:$F$19,3,FALSE)</f>
        <v>0</v>
      </c>
      <c r="T1061" s="737">
        <f t="shared" ref="T1061:T1075" si="476">IF(P1061="N",1,"0.0%")</f>
        <v>1</v>
      </c>
      <c r="U1061" s="2">
        <f t="shared" si="456"/>
        <v>0</v>
      </c>
      <c r="V1061" s="2">
        <f t="shared" si="457"/>
        <v>0</v>
      </c>
      <c r="W1061" s="2">
        <f t="shared" si="458"/>
        <v>-2949.4333274999999</v>
      </c>
      <c r="X1061" s="2">
        <f t="shared" si="449"/>
        <v>-2949.4333274999999</v>
      </c>
      <c r="Y1061" s="2">
        <f t="shared" si="459"/>
        <v>0</v>
      </c>
      <c r="Z1061" s="2">
        <f t="shared" si="460"/>
        <v>0</v>
      </c>
      <c r="AA1061" s="2">
        <f t="shared" si="461"/>
        <v>-3813.1950200000001</v>
      </c>
      <c r="AB1061" s="2">
        <f t="shared" si="450"/>
        <v>-3813.1950199999992</v>
      </c>
      <c r="AC1061" s="734">
        <v>-2104.8447200000005</v>
      </c>
      <c r="AD1061" s="625">
        <v>-2242.8241500000004</v>
      </c>
      <c r="AE1061" s="625">
        <v>-2381.58554</v>
      </c>
      <c r="AF1061" s="625">
        <v>-2521.1333300000001</v>
      </c>
      <c r="AG1061" s="625">
        <v>-2661.4719699999996</v>
      </c>
      <c r="AH1061" s="625">
        <v>-2802.6059499999997</v>
      </c>
      <c r="AI1061" s="625">
        <v>-2944.5397699999994</v>
      </c>
      <c r="AJ1061" s="625">
        <v>-3087.2779599999994</v>
      </c>
      <c r="AK1061" s="625">
        <v>-3230.8250899999994</v>
      </c>
      <c r="AL1061" s="625">
        <v>-3375.1857399999994</v>
      </c>
      <c r="AM1061" s="625">
        <v>-3520.3645099999994</v>
      </c>
      <c r="AN1061" s="625">
        <v>-3666.3660499999992</v>
      </c>
      <c r="AO1061" s="625">
        <v>-3813.1950199999992</v>
      </c>
      <c r="AP1061" s="41" t="str">
        <f t="shared" si="446"/>
        <v>Reg AssetN</v>
      </c>
      <c r="AQ1061" s="41" t="str">
        <f t="shared" si="447"/>
        <v>Reg AssetNN10Theoretical Reserve</v>
      </c>
      <c r="AR1061" s="41" t="str">
        <f t="shared" si="448"/>
        <v>N10Theoretical ReserveNCR</v>
      </c>
      <c r="CK1061" s="625"/>
    </row>
    <row r="1062" spans="1:89" s="41" customFormat="1" ht="12.75" customHeight="1">
      <c r="A1062" s="442" t="s">
        <v>746</v>
      </c>
      <c r="B1062" s="442" t="str">
        <f t="shared" ref="B1062" si="477">CONCATENATE(A1062,C1062,D1062,E1062)</f>
        <v>Reg Asset254016601268BE030936</v>
      </c>
      <c r="C1062" s="736">
        <v>254016</v>
      </c>
      <c r="D1062" s="738">
        <v>601268</v>
      </c>
      <c r="E1062" s="626" t="s">
        <v>4411</v>
      </c>
      <c r="F1062" s="626" t="str">
        <f t="shared" si="443"/>
        <v>OTH REG LIAB - MISC - ELECTRIC</v>
      </c>
      <c r="G1062" s="626" t="s">
        <v>4410</v>
      </c>
      <c r="H1062" s="736" t="s">
        <v>4342</v>
      </c>
      <c r="I1062" s="442"/>
      <c r="J1062" s="442"/>
      <c r="K1062" s="442"/>
      <c r="L1062" s="736" t="s">
        <v>2441</v>
      </c>
      <c r="M1062" s="25" t="str">
        <f t="shared" si="475"/>
        <v>R</v>
      </c>
      <c r="N1062" s="25" t="str">
        <f>IF(L1062&lt;&gt;"",VLOOKUP(L1062,Categories!$B$2:$D$41,2,FALSE),IF(F1062&lt;&gt;"","No Cat",""))</f>
        <v>Rate Base</v>
      </c>
      <c r="O1062" s="25" t="str">
        <f>IF($L1062&lt;&gt;"",VLOOKUP($L1062,Categories!$B$2:$D$41,3,FALSE),IF($F1062&lt;&gt;"","No Cat",""))</f>
        <v>Deferred Debits &amp; Credits</v>
      </c>
      <c r="P1062" s="736" t="s">
        <v>2482</v>
      </c>
      <c r="Q1062" s="25" t="str">
        <f>VLOOKUP($P1062,Allocators!$B$7:$F$19,5,FALSE)</f>
        <v>Electric</v>
      </c>
      <c r="R1062" s="737">
        <f>VLOOKUP($P1062,Allocators!$B$7:$F$19,2,FALSE)</f>
        <v>1</v>
      </c>
      <c r="S1062" s="737">
        <f>VLOOKUP($P1062,Allocators!$B$7:$F$19,3,FALSE)</f>
        <v>0</v>
      </c>
      <c r="T1062" s="737" t="str">
        <f t="shared" si="476"/>
        <v>0.0%</v>
      </c>
      <c r="U1062" s="2">
        <f t="shared" si="456"/>
        <v>-9424.9999800000005</v>
      </c>
      <c r="V1062" s="2">
        <f t="shared" si="457"/>
        <v>0</v>
      </c>
      <c r="W1062" s="2">
        <f t="shared" si="458"/>
        <v>0</v>
      </c>
      <c r="X1062" s="2">
        <f t="shared" si="449"/>
        <v>-9424.9999800000005</v>
      </c>
      <c r="Y1062" s="2">
        <f t="shared" si="459"/>
        <v>-18849.999960000001</v>
      </c>
      <c r="Z1062" s="2">
        <f t="shared" si="460"/>
        <v>0</v>
      </c>
      <c r="AA1062" s="2">
        <f t="shared" si="461"/>
        <v>0</v>
      </c>
      <c r="AB1062" s="2">
        <f t="shared" si="450"/>
        <v>-18849.999960000001</v>
      </c>
      <c r="AC1062" s="734"/>
      <c r="AD1062" s="625">
        <v>-1570.8333300000002</v>
      </c>
      <c r="AE1062" s="625">
        <v>-3141.6666600000003</v>
      </c>
      <c r="AF1062" s="625">
        <v>-4712.4999900000003</v>
      </c>
      <c r="AG1062" s="625">
        <v>-6283.3333200000006</v>
      </c>
      <c r="AH1062" s="625">
        <v>-7854.1666500000001</v>
      </c>
      <c r="AI1062" s="625">
        <v>-9424.9999800000005</v>
      </c>
      <c r="AJ1062" s="625">
        <v>-10995.83331</v>
      </c>
      <c r="AK1062" s="625">
        <v>-12566.666640000001</v>
      </c>
      <c r="AL1062" s="625">
        <v>-14137.499970000001</v>
      </c>
      <c r="AM1062" s="625">
        <v>-15708.3333</v>
      </c>
      <c r="AN1062" s="625">
        <v>-17279.166630000003</v>
      </c>
      <c r="AO1062" s="625">
        <v>-18849.999960000001</v>
      </c>
      <c r="AP1062" s="41" t="str">
        <f t="shared" si="446"/>
        <v>Reg AssetR</v>
      </c>
      <c r="AQ1062" s="41" t="str">
        <f t="shared" si="447"/>
        <v>Reg AssetRR10Continuation of Current Amorts (Until New Rates are Set)</v>
      </c>
      <c r="AR1062" s="41" t="str">
        <f t="shared" si="448"/>
        <v>R10Continuation of Current Amorts (Until New Rates are Set)</v>
      </c>
      <c r="CK1062" s="625"/>
    </row>
    <row r="1063" spans="1:89" s="41" customFormat="1" ht="12.75" customHeight="1">
      <c r="A1063" s="442" t="s">
        <v>746</v>
      </c>
      <c r="B1063" s="442" t="str">
        <f t="shared" ref="B1063:B1065" si="478">CONCATENATE(A1063,C1063,D1063,E1063)</f>
        <v>Reg Asset254016601273BE030937</v>
      </c>
      <c r="C1063" s="736">
        <v>254016</v>
      </c>
      <c r="D1063" s="738">
        <v>601273</v>
      </c>
      <c r="E1063" s="626" t="s">
        <v>4446</v>
      </c>
      <c r="F1063" s="626" t="str">
        <f t="shared" si="443"/>
        <v>OTH REG LIAB - MISC - ELECTRIC</v>
      </c>
      <c r="G1063" s="626" t="s">
        <v>4443</v>
      </c>
      <c r="H1063" s="736" t="s">
        <v>4455</v>
      </c>
      <c r="I1063" s="442"/>
      <c r="J1063" s="442"/>
      <c r="K1063" s="442"/>
      <c r="L1063" s="736" t="s">
        <v>2441</v>
      </c>
      <c r="M1063" s="25" t="str">
        <f t="shared" si="475"/>
        <v>R</v>
      </c>
      <c r="N1063" s="25" t="str">
        <f>IF(L1063&lt;&gt;"",VLOOKUP(L1063,Categories!$B$2:$D$41,2,FALSE),IF(F1063&lt;&gt;"","No Cat",""))</f>
        <v>Rate Base</v>
      </c>
      <c r="O1063" s="25" t="str">
        <f>IF($L1063&lt;&gt;"",VLOOKUP($L1063,Categories!$B$2:$D$41,3,FALSE),IF($F1063&lt;&gt;"","No Cat",""))</f>
        <v>Deferred Debits &amp; Credits</v>
      </c>
      <c r="P1063" s="736" t="s">
        <v>2482</v>
      </c>
      <c r="Q1063" s="25" t="str">
        <f>VLOOKUP($P1063,Allocators!$B$7:$F$19,5,FALSE)</f>
        <v>Electric</v>
      </c>
      <c r="R1063" s="737">
        <f>VLOOKUP($P1063,Allocators!$B$7:$F$19,2,FALSE)</f>
        <v>1</v>
      </c>
      <c r="S1063" s="737">
        <f>VLOOKUP($P1063,Allocators!$B$7:$F$19,3,FALSE)</f>
        <v>0</v>
      </c>
      <c r="T1063" s="737" t="str">
        <f t="shared" si="476"/>
        <v>0.0%</v>
      </c>
      <c r="U1063" s="2">
        <f t="shared" si="456"/>
        <v>-1161.9583333333301</v>
      </c>
      <c r="V1063" s="2">
        <f t="shared" si="457"/>
        <v>0</v>
      </c>
      <c r="W1063" s="2">
        <f t="shared" si="458"/>
        <v>0</v>
      </c>
      <c r="X1063" s="2">
        <f t="shared" si="449"/>
        <v>-1161.9583333333301</v>
      </c>
      <c r="Y1063" s="2">
        <f t="shared" si="459"/>
        <v>-1519</v>
      </c>
      <c r="Z1063" s="2">
        <f t="shared" si="460"/>
        <v>0</v>
      </c>
      <c r="AA1063" s="2">
        <f t="shared" si="461"/>
        <v>0</v>
      </c>
      <c r="AB1063" s="2">
        <f t="shared" si="450"/>
        <v>-1519</v>
      </c>
      <c r="AC1063" s="734"/>
      <c r="AD1063" s="625"/>
      <c r="AE1063" s="625"/>
      <c r="AF1063" s="625"/>
      <c r="AG1063" s="625"/>
      <c r="AH1063" s="625"/>
      <c r="AI1063" s="625">
        <v>-2333</v>
      </c>
      <c r="AJ1063" s="625">
        <v>-2333</v>
      </c>
      <c r="AK1063" s="625">
        <v>-2333</v>
      </c>
      <c r="AL1063" s="625">
        <v>-2333</v>
      </c>
      <c r="AM1063" s="625">
        <v>-2333</v>
      </c>
      <c r="AN1063" s="625">
        <v>-1519</v>
      </c>
      <c r="AO1063" s="625">
        <v>-1519</v>
      </c>
      <c r="AP1063" s="41" t="str">
        <f t="shared" si="446"/>
        <v>Reg AssetR</v>
      </c>
      <c r="AQ1063" s="41" t="str">
        <f t="shared" si="447"/>
        <v>Reg AssetRR10Excess DIT - New York State Tax Rate change</v>
      </c>
      <c r="AR1063" s="41" t="str">
        <f t="shared" si="448"/>
        <v>R10Excess DIT - New York State Tax Rate change</v>
      </c>
      <c r="CK1063" s="625"/>
    </row>
    <row r="1064" spans="1:89" s="41" customFormat="1" ht="12.75" customHeight="1">
      <c r="A1064" s="442" t="s">
        <v>746</v>
      </c>
      <c r="B1064" s="442" t="str">
        <f t="shared" si="478"/>
        <v>Reg Asset254016TCCBE030276</v>
      </c>
      <c r="C1064" s="736">
        <v>254016</v>
      </c>
      <c r="D1064" s="738" t="s">
        <v>1947</v>
      </c>
      <c r="E1064" s="626" t="s">
        <v>993</v>
      </c>
      <c r="F1064" s="626" t="str">
        <f t="shared" si="443"/>
        <v>OTH REG LIAB - MISC - ELECTRIC</v>
      </c>
      <c r="G1064" s="626" t="s">
        <v>4444</v>
      </c>
      <c r="H1064" s="736" t="s">
        <v>4456</v>
      </c>
      <c r="I1064" s="442"/>
      <c r="J1064" s="442"/>
      <c r="K1064" s="442"/>
      <c r="L1064" s="736" t="s">
        <v>2441</v>
      </c>
      <c r="M1064" s="25" t="str">
        <f t="shared" si="475"/>
        <v>R</v>
      </c>
      <c r="N1064" s="25" t="str">
        <f>IF(L1064&lt;&gt;"",VLOOKUP(L1064,Categories!$B$2:$D$41,2,FALSE),IF(F1064&lt;&gt;"","No Cat",""))</f>
        <v>Rate Base</v>
      </c>
      <c r="O1064" s="25" t="str">
        <f>IF($L1064&lt;&gt;"",VLOOKUP($L1064,Categories!$B$2:$D$41,3,FALSE),IF($F1064&lt;&gt;"","No Cat",""))</f>
        <v>Deferred Debits &amp; Credits</v>
      </c>
      <c r="P1064" s="736" t="s">
        <v>2482</v>
      </c>
      <c r="Q1064" s="25" t="str">
        <f>VLOOKUP($P1064,Allocators!$B$7:$F$19,5,FALSE)</f>
        <v>Electric</v>
      </c>
      <c r="R1064" s="737">
        <f>VLOOKUP($P1064,Allocators!$B$7:$F$19,2,FALSE)</f>
        <v>1</v>
      </c>
      <c r="S1064" s="737">
        <f>VLOOKUP($P1064,Allocators!$B$7:$F$19,3,FALSE)</f>
        <v>0</v>
      </c>
      <c r="T1064" s="737" t="str">
        <f t="shared" si="476"/>
        <v>0.0%</v>
      </c>
      <c r="U1064" s="2">
        <f t="shared" si="456"/>
        <v>-6042.4533499999998</v>
      </c>
      <c r="V1064" s="2">
        <f t="shared" si="457"/>
        <v>0</v>
      </c>
      <c r="W1064" s="2">
        <f t="shared" si="458"/>
        <v>0</v>
      </c>
      <c r="X1064" s="2">
        <f t="shared" si="449"/>
        <v>-6042.4533499999998</v>
      </c>
      <c r="Y1064" s="2">
        <f t="shared" si="459"/>
        <v>-11375.59</v>
      </c>
      <c r="Z1064" s="2">
        <f t="shared" si="460"/>
        <v>0</v>
      </c>
      <c r="AA1064" s="2">
        <f t="shared" si="461"/>
        <v>0</v>
      </c>
      <c r="AB1064" s="2">
        <f t="shared" si="450"/>
        <v>-11375.59</v>
      </c>
      <c r="AC1064" s="734"/>
      <c r="AD1064" s="625"/>
      <c r="AE1064" s="625"/>
      <c r="AF1064" s="625"/>
      <c r="AG1064" s="625"/>
      <c r="AH1064" s="625"/>
      <c r="AI1064" s="625">
        <v>-11045.594800000001</v>
      </c>
      <c r="AJ1064" s="625">
        <v>-11066.580400000001</v>
      </c>
      <c r="AK1064" s="625">
        <v>-11070.3776</v>
      </c>
      <c r="AL1064" s="625">
        <v>-11152.1204</v>
      </c>
      <c r="AM1064" s="625">
        <v>-11181.2636</v>
      </c>
      <c r="AN1064" s="625">
        <v>-11305.7084</v>
      </c>
      <c r="AO1064" s="625">
        <v>-11375.59</v>
      </c>
      <c r="AP1064" s="41" t="str">
        <f t="shared" si="446"/>
        <v>Reg AssetR</v>
      </c>
      <c r="AQ1064" s="41" t="str">
        <f t="shared" si="447"/>
        <v>Reg AssetRR10NM II - Related</v>
      </c>
      <c r="AR1064" s="41" t="str">
        <f t="shared" si="448"/>
        <v>R10NM II - Related</v>
      </c>
      <c r="CK1064" s="625"/>
    </row>
    <row r="1065" spans="1:89" s="41" customFormat="1" ht="12.75" customHeight="1">
      <c r="A1065" s="442" t="s">
        <v>746</v>
      </c>
      <c r="B1065" s="442" t="str">
        <f t="shared" si="478"/>
        <v>Reg Asset254016NEILBE030276</v>
      </c>
      <c r="C1065" s="736">
        <v>254016</v>
      </c>
      <c r="D1065" s="738" t="s">
        <v>1788</v>
      </c>
      <c r="E1065" s="626" t="s">
        <v>993</v>
      </c>
      <c r="F1065" s="626" t="str">
        <f t="shared" si="443"/>
        <v>OTH REG LIAB - MISC - ELECTRIC</v>
      </c>
      <c r="G1065" s="626" t="s">
        <v>4445</v>
      </c>
      <c r="H1065" s="736" t="s">
        <v>4456</v>
      </c>
      <c r="I1065" s="442"/>
      <c r="J1065" s="442"/>
      <c r="K1065" s="442"/>
      <c r="L1065" s="736" t="s">
        <v>2441</v>
      </c>
      <c r="M1065" s="25" t="str">
        <f t="shared" ref="M1065:M1070" si="479">LEFT(L1065,1)</f>
        <v>R</v>
      </c>
      <c r="N1065" s="25" t="str">
        <f>IF(L1065&lt;&gt;"",VLOOKUP(L1065,Categories!$B$2:$D$41,2,FALSE),IF(F1065&lt;&gt;"","No Cat",""))</f>
        <v>Rate Base</v>
      </c>
      <c r="O1065" s="25" t="str">
        <f>IF($L1065&lt;&gt;"",VLOOKUP($L1065,Categories!$B$2:$D$41,3,FALSE),IF($F1065&lt;&gt;"","No Cat",""))</f>
        <v>Deferred Debits &amp; Credits</v>
      </c>
      <c r="P1065" s="736" t="s">
        <v>2482</v>
      </c>
      <c r="Q1065" s="25" t="str">
        <f>VLOOKUP($P1065,Allocators!$B$7:$F$19,5,FALSE)</f>
        <v>Electric</v>
      </c>
      <c r="R1065" s="737">
        <f>VLOOKUP($P1065,Allocators!$B$7:$F$19,2,FALSE)</f>
        <v>1</v>
      </c>
      <c r="S1065" s="737">
        <f>VLOOKUP($P1065,Allocators!$B$7:$F$19,3,FALSE)</f>
        <v>0</v>
      </c>
      <c r="T1065" s="737" t="str">
        <f t="shared" ref="T1065:T1070" si="480">IF(P1065="N",1,"0.0%")</f>
        <v>0.0%</v>
      </c>
      <c r="U1065" s="2">
        <f t="shared" si="456"/>
        <v>-52.363458333333298</v>
      </c>
      <c r="V1065" s="2">
        <f t="shared" si="457"/>
        <v>0</v>
      </c>
      <c r="W1065" s="2">
        <f t="shared" si="458"/>
        <v>0</v>
      </c>
      <c r="X1065" s="2">
        <f t="shared" si="449"/>
        <v>-52.363458333333298</v>
      </c>
      <c r="Y1065" s="2">
        <f t="shared" si="459"/>
        <v>-96.671000000000006</v>
      </c>
      <c r="Z1065" s="2">
        <f t="shared" si="460"/>
        <v>0</v>
      </c>
      <c r="AA1065" s="2">
        <f t="shared" si="461"/>
        <v>0</v>
      </c>
      <c r="AB1065" s="2">
        <f t="shared" si="450"/>
        <v>-96.671000000000006</v>
      </c>
      <c r="AC1065" s="734"/>
      <c r="AD1065" s="625"/>
      <c r="AE1065" s="625"/>
      <c r="AF1065" s="625"/>
      <c r="AG1065" s="625"/>
      <c r="AH1065" s="625"/>
      <c r="AI1065" s="625">
        <v>-96.671000000000006</v>
      </c>
      <c r="AJ1065" s="625">
        <v>-96.671000000000006</v>
      </c>
      <c r="AK1065" s="625">
        <v>-96.671000000000006</v>
      </c>
      <c r="AL1065" s="625">
        <v>-96.671000000000006</v>
      </c>
      <c r="AM1065" s="625">
        <v>-96.671000000000006</v>
      </c>
      <c r="AN1065" s="625">
        <v>-96.671000000000006</v>
      </c>
      <c r="AO1065" s="625">
        <v>-96.671000000000006</v>
      </c>
      <c r="AP1065" s="41" t="str">
        <f t="shared" si="446"/>
        <v>Reg AssetR</v>
      </c>
      <c r="AQ1065" s="41" t="str">
        <f t="shared" si="447"/>
        <v>Reg AssetRR10NM II - Related</v>
      </c>
      <c r="AR1065" s="41" t="str">
        <f t="shared" si="448"/>
        <v>R10NM II - Related</v>
      </c>
      <c r="CK1065" s="625"/>
    </row>
    <row r="1066" spans="1:89" s="41" customFormat="1" ht="12.75" customHeight="1">
      <c r="A1066" s="442" t="s">
        <v>746</v>
      </c>
      <c r="B1066" s="442" t="str">
        <f t="shared" ref="B1066:B1067" si="481">CONCATENATE(A1066,C1066,D1066,E1066)</f>
        <v>Reg Asset254016601145BE039999</v>
      </c>
      <c r="C1066" s="736">
        <v>254016</v>
      </c>
      <c r="D1066" s="738">
        <v>601145</v>
      </c>
      <c r="E1066" s="626" t="s">
        <v>1161</v>
      </c>
      <c r="F1066" s="626" t="str">
        <f t="shared" si="443"/>
        <v>OTH REG LIAB - MISC - ELECTRIC</v>
      </c>
      <c r="G1066" s="626" t="s">
        <v>4483</v>
      </c>
      <c r="H1066" s="736" t="s">
        <v>1141</v>
      </c>
      <c r="I1066" s="442"/>
      <c r="J1066" s="442"/>
      <c r="K1066" s="442"/>
      <c r="L1066" s="736" t="s">
        <v>2441</v>
      </c>
      <c r="M1066" s="25" t="str">
        <f t="shared" si="479"/>
        <v>R</v>
      </c>
      <c r="N1066" s="25" t="str">
        <f>IF(L1066&lt;&gt;"",VLOOKUP(L1066,Categories!$B$2:$D$41,2,FALSE),IF(F1066&lt;&gt;"","No Cat",""))</f>
        <v>Rate Base</v>
      </c>
      <c r="O1066" s="25" t="str">
        <f>IF($L1066&lt;&gt;"",VLOOKUP($L1066,Categories!$B$2:$D$41,3,FALSE),IF($F1066&lt;&gt;"","No Cat",""))</f>
        <v>Deferred Debits &amp; Credits</v>
      </c>
      <c r="P1066" s="736" t="s">
        <v>2482</v>
      </c>
      <c r="Q1066" s="25" t="str">
        <f>VLOOKUP($P1066,Allocators!$B$7:$F$19,5,FALSE)</f>
        <v>Electric</v>
      </c>
      <c r="R1066" s="737">
        <f>VLOOKUP($P1066,Allocators!$B$7:$F$19,2,FALSE)</f>
        <v>1</v>
      </c>
      <c r="S1066" s="737">
        <f>VLOOKUP($P1066,Allocators!$B$7:$F$19,3,FALSE)</f>
        <v>0</v>
      </c>
      <c r="T1066" s="737" t="str">
        <f t="shared" si="480"/>
        <v>0.0%</v>
      </c>
      <c r="U1066" s="2">
        <f t="shared" si="456"/>
        <v>-380.591248333333</v>
      </c>
      <c r="V1066" s="2">
        <f t="shared" si="457"/>
        <v>0</v>
      </c>
      <c r="W1066" s="2">
        <f t="shared" si="458"/>
        <v>0</v>
      </c>
      <c r="X1066" s="2">
        <f t="shared" si="449"/>
        <v>-380.591248333333</v>
      </c>
      <c r="Y1066" s="2">
        <f t="shared" si="459"/>
        <v>-2239.9015599999998</v>
      </c>
      <c r="Z1066" s="2">
        <f t="shared" si="460"/>
        <v>0</v>
      </c>
      <c r="AA1066" s="2">
        <f t="shared" si="461"/>
        <v>0</v>
      </c>
      <c r="AB1066" s="2">
        <f t="shared" si="450"/>
        <v>-2239.9015600000002</v>
      </c>
      <c r="AC1066" s="734"/>
      <c r="AD1066" s="625"/>
      <c r="AE1066" s="625"/>
      <c r="AF1066" s="625"/>
      <c r="AG1066" s="625"/>
      <c r="AH1066" s="625"/>
      <c r="AI1066" s="625"/>
      <c r="AJ1066" s="625"/>
      <c r="AK1066" s="625">
        <v>-1555.0133600000001</v>
      </c>
      <c r="AL1066" s="625">
        <v>-1892.13084</v>
      </c>
      <c r="AM1066" s="625">
        <v>0</v>
      </c>
      <c r="AN1066" s="625">
        <v>0</v>
      </c>
      <c r="AO1066" s="625">
        <v>-2239.9015600000002</v>
      </c>
      <c r="AP1066" s="41" t="str">
        <f t="shared" si="446"/>
        <v>Reg AssetR</v>
      </c>
      <c r="AQ1066" s="41" t="str">
        <f t="shared" si="447"/>
        <v>Reg AssetRR10NBC True-up</v>
      </c>
      <c r="AR1066" s="41" t="str">
        <f t="shared" si="448"/>
        <v>R10NBC True-up</v>
      </c>
      <c r="CK1066" s="625"/>
    </row>
    <row r="1067" spans="1:89" s="41" customFormat="1" ht="12.75" customHeight="1">
      <c r="A1067" s="442" t="s">
        <v>746</v>
      </c>
      <c r="B1067" s="442" t="str">
        <f t="shared" si="481"/>
        <v>Reg Asset254016601239-15BE030155</v>
      </c>
      <c r="C1067" s="736">
        <v>254016</v>
      </c>
      <c r="D1067" s="738" t="s">
        <v>4506</v>
      </c>
      <c r="E1067" s="626" t="s">
        <v>1200</v>
      </c>
      <c r="F1067" s="626" t="str">
        <f t="shared" si="443"/>
        <v>OTH REG LIAB - MISC - ELECTRIC</v>
      </c>
      <c r="G1067" s="626" t="s">
        <v>4505</v>
      </c>
      <c r="H1067" s="736" t="s">
        <v>1203</v>
      </c>
      <c r="I1067" s="442"/>
      <c r="J1067" s="442" t="str">
        <f t="shared" ref="J1067" si="482">IF(L1067="N10","Y",IF(L1067="N8","Y",""))</f>
        <v/>
      </c>
      <c r="K1067" s="442" t="str">
        <f t="shared" ref="K1067" si="483">IF(L1067="N3","Y","")</f>
        <v/>
      </c>
      <c r="L1067" s="736" t="s">
        <v>2421</v>
      </c>
      <c r="M1067" s="442" t="str">
        <f t="shared" si="479"/>
        <v>N</v>
      </c>
      <c r="N1067" s="442" t="str">
        <f>IF(L1067&lt;&gt;"",VLOOKUP(L1067,Categories!$B$2:$D$41,2,FALSE),IF(F1067&lt;&gt;"","No Cat",""))</f>
        <v>NRBASE</v>
      </c>
      <c r="O1067" s="442" t="str">
        <f>IF($L1067&lt;&gt;"",VLOOKUP($L1067,Categories!$B$2:$D$41,3,FALSE),IF($F1067&lt;&gt;"","No Cat",""))</f>
        <v>Direct Assign Items Not in RB</v>
      </c>
      <c r="P1067" s="736" t="s">
        <v>2468</v>
      </c>
      <c r="Q1067" s="442" t="str">
        <f>VLOOKUP($P1067,Allocators!$B$7:$F$19,5,FALSE)</f>
        <v>Not in Rate Base</v>
      </c>
      <c r="R1067" s="737">
        <f>VLOOKUP($P1067,Allocators!$B$7:$F$19,2,FALSE)</f>
        <v>0</v>
      </c>
      <c r="S1067" s="737">
        <f>VLOOKUP($P1067,Allocators!$B$7:$F$19,3,FALSE)</f>
        <v>0</v>
      </c>
      <c r="T1067" s="737">
        <f t="shared" si="480"/>
        <v>1</v>
      </c>
      <c r="U1067" s="2">
        <f t="shared" si="456"/>
        <v>0</v>
      </c>
      <c r="V1067" s="2">
        <f t="shared" si="457"/>
        <v>0</v>
      </c>
      <c r="W1067" s="2">
        <f t="shared" si="458"/>
        <v>71.0372520833333</v>
      </c>
      <c r="X1067" s="2">
        <f t="shared" si="449"/>
        <v>71.0372520833333</v>
      </c>
      <c r="Y1067" s="2">
        <f t="shared" si="459"/>
        <v>0</v>
      </c>
      <c r="Z1067" s="2">
        <f t="shared" si="460"/>
        <v>0</v>
      </c>
      <c r="AA1067" s="2">
        <f t="shared" si="461"/>
        <v>355.14827000000002</v>
      </c>
      <c r="AB1067" s="2">
        <f t="shared" si="450"/>
        <v>355.14827000000002</v>
      </c>
      <c r="AC1067" s="734"/>
      <c r="AD1067" s="625"/>
      <c r="AE1067" s="625"/>
      <c r="AF1067" s="625"/>
      <c r="AG1067" s="625"/>
      <c r="AH1067" s="625"/>
      <c r="AI1067" s="625"/>
      <c r="AJ1067" s="625"/>
      <c r="AK1067" s="625"/>
      <c r="AL1067" s="625">
        <v>95.786090000000002</v>
      </c>
      <c r="AM1067" s="625">
        <v>260.28766999999999</v>
      </c>
      <c r="AN1067" s="625">
        <v>318.79912999999999</v>
      </c>
      <c r="AO1067" s="625">
        <v>355.14827000000002</v>
      </c>
      <c r="AP1067" s="41" t="str">
        <f t="shared" si="446"/>
        <v>Reg AssetN</v>
      </c>
      <c r="AQ1067" s="41" t="str">
        <f t="shared" si="447"/>
        <v>Reg AssetNN2Merchant Function Charge - Elec</v>
      </c>
      <c r="AR1067" s="41" t="str">
        <f t="shared" si="448"/>
        <v>N2Merchant Function Charge - Elec</v>
      </c>
      <c r="CK1067" s="625"/>
    </row>
    <row r="1068" spans="1:89" s="41" customFormat="1" ht="12.75" customHeight="1">
      <c r="A1068" s="442" t="s">
        <v>746</v>
      </c>
      <c r="B1068" s="442" t="str">
        <f t="shared" ref="B1068:B1072" si="484">CONCATENATE(A1068,C1068,D1068,E1068)</f>
        <v>Reg Asset254016601065BE030939</v>
      </c>
      <c r="C1068" s="736">
        <v>254016</v>
      </c>
      <c r="D1068" s="738">
        <v>601065</v>
      </c>
      <c r="E1068" s="626" t="s">
        <v>4492</v>
      </c>
      <c r="F1068" s="626" t="str">
        <f t="shared" si="443"/>
        <v>OTH REG LIAB - MISC - ELECTRIC</v>
      </c>
      <c r="G1068" s="626" t="s">
        <v>4499</v>
      </c>
      <c r="H1068" s="736" t="s">
        <v>2699</v>
      </c>
      <c r="I1068" s="442"/>
      <c r="J1068" s="442"/>
      <c r="K1068" s="442"/>
      <c r="L1068" s="736" t="s">
        <v>2441</v>
      </c>
      <c r="M1068" s="25" t="str">
        <f t="shared" si="479"/>
        <v>R</v>
      </c>
      <c r="N1068" s="25" t="str">
        <f>IF(L1068&lt;&gt;"",VLOOKUP(L1068,Categories!$B$2:$D$41,2,FALSE),IF(F1068&lt;&gt;"","No Cat",""))</f>
        <v>Rate Base</v>
      </c>
      <c r="O1068" s="25" t="str">
        <f>IF($L1068&lt;&gt;"",VLOOKUP($L1068,Categories!$B$2:$D$41,3,FALSE),IF($F1068&lt;&gt;"","No Cat",""))</f>
        <v>Deferred Debits &amp; Credits</v>
      </c>
      <c r="P1068" s="736" t="s">
        <v>2482</v>
      </c>
      <c r="Q1068" s="25" t="str">
        <f>VLOOKUP($P1068,Allocators!$B$7:$F$19,5,FALSE)</f>
        <v>Electric</v>
      </c>
      <c r="R1068" s="737">
        <f>VLOOKUP($P1068,Allocators!$B$7:$F$19,2,FALSE)</f>
        <v>1</v>
      </c>
      <c r="S1068" s="737">
        <f>VLOOKUP($P1068,Allocators!$B$7:$F$19,3,FALSE)</f>
        <v>0</v>
      </c>
      <c r="T1068" s="737" t="str">
        <f t="shared" si="480"/>
        <v>0.0%</v>
      </c>
      <c r="U1068" s="2">
        <f t="shared" si="456"/>
        <v>-43.2965195833333</v>
      </c>
      <c r="V1068" s="2">
        <f t="shared" si="457"/>
        <v>0</v>
      </c>
      <c r="W1068" s="2">
        <f t="shared" si="458"/>
        <v>0</v>
      </c>
      <c r="X1068" s="2">
        <f t="shared" si="449"/>
        <v>-43.2965195833333</v>
      </c>
      <c r="Y1068" s="2">
        <f t="shared" si="459"/>
        <v>-110.02545000000001</v>
      </c>
      <c r="Z1068" s="2">
        <f t="shared" si="460"/>
        <v>0</v>
      </c>
      <c r="AA1068" s="2">
        <f t="shared" si="461"/>
        <v>0</v>
      </c>
      <c r="AB1068" s="2">
        <f t="shared" si="450"/>
        <v>-110.02545000000019</v>
      </c>
      <c r="AC1068" s="734"/>
      <c r="AD1068" s="625"/>
      <c r="AE1068" s="625"/>
      <c r="AF1068" s="625"/>
      <c r="AG1068" s="625"/>
      <c r="AH1068" s="625"/>
      <c r="AI1068" s="625"/>
      <c r="AJ1068" s="625"/>
      <c r="AK1068" s="625"/>
      <c r="AL1068" s="625">
        <v>-286.63259999999985</v>
      </c>
      <c r="AM1068" s="625">
        <v>-143.99250000000001</v>
      </c>
      <c r="AN1068" s="625">
        <v>-33.920410000000146</v>
      </c>
      <c r="AO1068" s="625">
        <v>-110.02545000000019</v>
      </c>
      <c r="AP1068" s="41" t="str">
        <f t="shared" si="446"/>
        <v>Reg AssetR</v>
      </c>
      <c r="AQ1068" s="41" t="str">
        <f t="shared" si="447"/>
        <v>Reg AssetRR10Renewable Portfolio Standard</v>
      </c>
      <c r="AR1068" s="41" t="str">
        <f t="shared" si="448"/>
        <v>R10Renewable Portfolio Standard</v>
      </c>
      <c r="CK1068" s="625"/>
    </row>
    <row r="1069" spans="1:89" s="41" customFormat="1" ht="12.75" customHeight="1">
      <c r="A1069" s="442" t="s">
        <v>746</v>
      </c>
      <c r="B1069" s="442" t="str">
        <f t="shared" si="484"/>
        <v>Reg Asset254016601068BE030939</v>
      </c>
      <c r="C1069" s="736">
        <v>254016</v>
      </c>
      <c r="D1069" s="738">
        <v>601068</v>
      </c>
      <c r="E1069" s="626" t="s">
        <v>4492</v>
      </c>
      <c r="F1069" s="626" t="str">
        <f t="shared" si="443"/>
        <v>OTH REG LIAB - MISC - ELECTRIC</v>
      </c>
      <c r="G1069" s="626" t="s">
        <v>4500</v>
      </c>
      <c r="H1069" s="736" t="s">
        <v>2699</v>
      </c>
      <c r="I1069" s="442"/>
      <c r="J1069" s="442"/>
      <c r="K1069" s="442"/>
      <c r="L1069" s="736" t="s">
        <v>2441</v>
      </c>
      <c r="M1069" s="25" t="str">
        <f t="shared" si="479"/>
        <v>R</v>
      </c>
      <c r="N1069" s="25" t="str">
        <f>IF(L1069&lt;&gt;"",VLOOKUP(L1069,Categories!$B$2:$D$41,2,FALSE),IF(F1069&lt;&gt;"","No Cat",""))</f>
        <v>Rate Base</v>
      </c>
      <c r="O1069" s="25" t="str">
        <f>IF($L1069&lt;&gt;"",VLOOKUP($L1069,Categories!$B$2:$D$41,3,FALSE),IF($F1069&lt;&gt;"","No Cat",""))</f>
        <v>Deferred Debits &amp; Credits</v>
      </c>
      <c r="P1069" s="736" t="s">
        <v>2482</v>
      </c>
      <c r="Q1069" s="25" t="str">
        <f>VLOOKUP($P1069,Allocators!$B$7:$F$19,5,FALSE)</f>
        <v>Electric</v>
      </c>
      <c r="R1069" s="737">
        <f>VLOOKUP($P1069,Allocators!$B$7:$F$19,2,FALSE)</f>
        <v>1</v>
      </c>
      <c r="S1069" s="737">
        <f>VLOOKUP($P1069,Allocators!$B$7:$F$19,3,FALSE)</f>
        <v>0</v>
      </c>
      <c r="T1069" s="737" t="str">
        <f t="shared" si="480"/>
        <v>0.0%</v>
      </c>
      <c r="U1069" s="2">
        <f t="shared" si="456"/>
        <v>101.34259249999999</v>
      </c>
      <c r="V1069" s="2">
        <f t="shared" si="457"/>
        <v>0</v>
      </c>
      <c r="W1069" s="2">
        <f t="shared" si="458"/>
        <v>0</v>
      </c>
      <c r="X1069" s="2">
        <f t="shared" si="449"/>
        <v>101.34259249999999</v>
      </c>
      <c r="Y1069" s="2">
        <f t="shared" si="459"/>
        <v>366.33857999999998</v>
      </c>
      <c r="Z1069" s="2">
        <f t="shared" si="460"/>
        <v>0</v>
      </c>
      <c r="AA1069" s="2">
        <f t="shared" si="461"/>
        <v>0</v>
      </c>
      <c r="AB1069" s="2">
        <f t="shared" si="450"/>
        <v>366.33857999999998</v>
      </c>
      <c r="AC1069" s="734"/>
      <c r="AD1069" s="625"/>
      <c r="AE1069" s="625"/>
      <c r="AF1069" s="625"/>
      <c r="AG1069" s="625"/>
      <c r="AH1069" s="625"/>
      <c r="AI1069" s="625"/>
      <c r="AJ1069" s="625"/>
      <c r="AK1069" s="625"/>
      <c r="AL1069" s="625">
        <v>329.93865999999997</v>
      </c>
      <c r="AM1069" s="625">
        <v>351.50157999999993</v>
      </c>
      <c r="AN1069" s="625">
        <v>351.50157999999993</v>
      </c>
      <c r="AO1069" s="625">
        <v>366.33857999999998</v>
      </c>
      <c r="AP1069" s="41" t="str">
        <f t="shared" si="446"/>
        <v>Reg AssetR</v>
      </c>
      <c r="AQ1069" s="41" t="str">
        <f t="shared" si="447"/>
        <v>Reg AssetRR10Renewable Portfolio Standard</v>
      </c>
      <c r="AR1069" s="41" t="str">
        <f t="shared" si="448"/>
        <v>R10Renewable Portfolio Standard</v>
      </c>
      <c r="CK1069" s="625"/>
    </row>
    <row r="1070" spans="1:89" s="41" customFormat="1" ht="12.75" customHeight="1">
      <c r="A1070" s="442" t="s">
        <v>746</v>
      </c>
      <c r="B1070" s="442" t="str">
        <f t="shared" si="484"/>
        <v>Reg Asset254016601075BE030583</v>
      </c>
      <c r="C1070" s="736">
        <v>254016</v>
      </c>
      <c r="D1070" s="738">
        <v>601075</v>
      </c>
      <c r="E1070" s="626" t="s">
        <v>4493</v>
      </c>
      <c r="F1070" s="626" t="str">
        <f t="shared" si="443"/>
        <v>OTH REG LIAB - MISC - ELECTRIC</v>
      </c>
      <c r="G1070" s="626" t="s">
        <v>4501</v>
      </c>
      <c r="H1070" s="736" t="s">
        <v>2700</v>
      </c>
      <c r="I1070" s="442"/>
      <c r="J1070" s="442" t="s">
        <v>7</v>
      </c>
      <c r="K1070" s="442"/>
      <c r="L1070" s="736" t="s">
        <v>2436</v>
      </c>
      <c r="M1070" s="25" t="str">
        <f t="shared" si="479"/>
        <v>N</v>
      </c>
      <c r="N1070" s="25" t="str">
        <f>IF(L1070&lt;&gt;"",VLOOKUP(L1070,Categories!$B$2:$D$41,2,FALSE),IF(F1070&lt;&gt;"","No Cat",""))</f>
        <v>NRBASE</v>
      </c>
      <c r="O1070" s="25" t="str">
        <f>IF($L1070&lt;&gt;"",VLOOKUP($L1070,Categories!$B$2:$D$41,3,FALSE),IF($F1070&lt;&gt;"","No Cat",""))</f>
        <v>Deferrals Accruing Non-Cash Return   (other than ASGA)</v>
      </c>
      <c r="P1070" s="736" t="s">
        <v>2468</v>
      </c>
      <c r="Q1070" s="25" t="str">
        <f>VLOOKUP($P1070,Allocators!$B$7:$F$19,5,FALSE)</f>
        <v>Not in Rate Base</v>
      </c>
      <c r="R1070" s="737">
        <f>VLOOKUP($P1070,Allocators!$B$7:$F$19,2,FALSE)</f>
        <v>0</v>
      </c>
      <c r="S1070" s="737">
        <f>VLOOKUP($P1070,Allocators!$B$7:$F$19,3,FALSE)</f>
        <v>0</v>
      </c>
      <c r="T1070" s="737">
        <f t="shared" si="480"/>
        <v>1</v>
      </c>
      <c r="U1070" s="2">
        <f t="shared" si="456"/>
        <v>0</v>
      </c>
      <c r="V1070" s="2">
        <f t="shared" si="457"/>
        <v>0</v>
      </c>
      <c r="W1070" s="2">
        <f t="shared" si="458"/>
        <v>-46.408443750000004</v>
      </c>
      <c r="X1070" s="2">
        <f t="shared" si="449"/>
        <v>-46.408443750000004</v>
      </c>
      <c r="Y1070" s="2">
        <f t="shared" si="459"/>
        <v>0</v>
      </c>
      <c r="Z1070" s="2">
        <f t="shared" si="460"/>
        <v>0</v>
      </c>
      <c r="AA1070" s="2">
        <f t="shared" si="461"/>
        <v>-192.82261</v>
      </c>
      <c r="AB1070" s="2">
        <f t="shared" si="450"/>
        <v>-192.82261</v>
      </c>
      <c r="AC1070" s="734"/>
      <c r="AD1070" s="625"/>
      <c r="AE1070" s="625"/>
      <c r="AF1070" s="625"/>
      <c r="AG1070" s="625"/>
      <c r="AH1070" s="625"/>
      <c r="AI1070" s="625"/>
      <c r="AJ1070" s="625"/>
      <c r="AK1070" s="625"/>
      <c r="AL1070" s="625">
        <v>-187.13753</v>
      </c>
      <c r="AM1070" s="625">
        <v>-174.48698999999999</v>
      </c>
      <c r="AN1070" s="625">
        <v>-98.865499999999997</v>
      </c>
      <c r="AO1070" s="625">
        <v>-192.82261</v>
      </c>
      <c r="AP1070" s="41" t="str">
        <f t="shared" si="446"/>
        <v>Reg AssetN</v>
      </c>
      <c r="AQ1070" s="41" t="str">
        <f t="shared" si="447"/>
        <v>Reg AssetNN10System Benefits Charge</v>
      </c>
      <c r="AR1070" s="41" t="str">
        <f t="shared" si="448"/>
        <v>N10System Benefits ChargeNCR</v>
      </c>
      <c r="CK1070" s="625"/>
    </row>
    <row r="1071" spans="1:89" s="41" customFormat="1" ht="12.75" customHeight="1">
      <c r="A1071" s="442" t="s">
        <v>746</v>
      </c>
      <c r="B1071" s="442" t="str">
        <f t="shared" si="484"/>
        <v>Reg Asset254016601118BE030938</v>
      </c>
      <c r="C1071" s="736">
        <v>254016</v>
      </c>
      <c r="D1071" s="738">
        <v>601118</v>
      </c>
      <c r="E1071" s="626" t="s">
        <v>4504</v>
      </c>
      <c r="F1071" s="626" t="str">
        <f t="shared" si="443"/>
        <v>OTH REG LIAB - MISC - ELECTRIC</v>
      </c>
      <c r="G1071" s="626" t="s">
        <v>4502</v>
      </c>
      <c r="H1071" s="736" t="s">
        <v>1131</v>
      </c>
      <c r="I1071" s="442"/>
      <c r="J1071" s="442"/>
      <c r="K1071" s="442"/>
      <c r="L1071" s="736" t="s">
        <v>2441</v>
      </c>
      <c r="M1071" s="442" t="str">
        <f t="shared" ref="M1071:M1074" si="485">LEFT(L1071,1)</f>
        <v>R</v>
      </c>
      <c r="N1071" s="442" t="str">
        <f>IF(L1071&lt;&gt;"",VLOOKUP(L1071,Categories!$B$2:$D$41,2,FALSE),IF(F1071&lt;&gt;"","No Cat",""))</f>
        <v>Rate Base</v>
      </c>
      <c r="O1071" s="442" t="str">
        <f>IF($L1071&lt;&gt;"",VLOOKUP($L1071,Categories!$B$2:$D$41,3,FALSE),IF($F1071&lt;&gt;"","No Cat",""))</f>
        <v>Deferred Debits &amp; Credits</v>
      </c>
      <c r="P1071" s="736" t="s">
        <v>2482</v>
      </c>
      <c r="Q1071" s="442" t="str">
        <f>VLOOKUP($P1071,Allocators!$B$7:$F$19,5,FALSE)</f>
        <v>Electric</v>
      </c>
      <c r="R1071" s="737">
        <f>VLOOKUP($P1071,Allocators!$B$7:$F$19,2,FALSE)</f>
        <v>1</v>
      </c>
      <c r="S1071" s="737">
        <f>VLOOKUP($P1071,Allocators!$B$7:$F$19,3,FALSE)</f>
        <v>0</v>
      </c>
      <c r="T1071" s="737" t="str">
        <f t="shared" ref="T1071:T1074" si="486">IF(P1071="N",1,"0.0%")</f>
        <v>0.0%</v>
      </c>
      <c r="U1071" s="2">
        <f t="shared" si="456"/>
        <v>141.32098208333301</v>
      </c>
      <c r="V1071" s="2">
        <f t="shared" si="457"/>
        <v>0</v>
      </c>
      <c r="W1071" s="2">
        <f t="shared" si="458"/>
        <v>0</v>
      </c>
      <c r="X1071" s="2">
        <f t="shared" si="449"/>
        <v>141.32098208333301</v>
      </c>
      <c r="Y1071" s="2">
        <f t="shared" si="459"/>
        <v>556.84398999999996</v>
      </c>
      <c r="Z1071" s="2">
        <f t="shared" si="460"/>
        <v>0</v>
      </c>
      <c r="AA1071" s="2">
        <f t="shared" si="461"/>
        <v>0</v>
      </c>
      <c r="AB1071" s="2">
        <f t="shared" si="450"/>
        <v>556.84398999999996</v>
      </c>
      <c r="AC1071" s="734"/>
      <c r="AD1071" s="625"/>
      <c r="AE1071" s="625"/>
      <c r="AF1071" s="625"/>
      <c r="AG1071" s="625"/>
      <c r="AH1071" s="625"/>
      <c r="AI1071" s="625"/>
      <c r="AJ1071" s="625"/>
      <c r="AK1071" s="625"/>
      <c r="AL1071" s="625">
        <v>312.97602000000001</v>
      </c>
      <c r="AM1071" s="625">
        <v>491.35807</v>
      </c>
      <c r="AN1071" s="625">
        <v>613.09569999999997</v>
      </c>
      <c r="AO1071" s="625">
        <v>556.84398999999996</v>
      </c>
      <c r="AP1071" s="41" t="str">
        <f t="shared" si="446"/>
        <v>Reg AssetR</v>
      </c>
      <c r="AQ1071" s="41" t="str">
        <f t="shared" si="447"/>
        <v>Reg AssetRR10Energy Efficiency Portfolio Standard</v>
      </c>
      <c r="AR1071" s="41" t="str">
        <f t="shared" si="448"/>
        <v>R10Energy Efficiency Portfolio Standard</v>
      </c>
      <c r="CK1071" s="625"/>
    </row>
    <row r="1072" spans="1:89" s="41" customFormat="1" ht="12.75" customHeight="1">
      <c r="A1072" s="442" t="s">
        <v>746</v>
      </c>
      <c r="B1072" s="442" t="str">
        <f t="shared" si="484"/>
        <v>Reg Asset254016601120BE030938</v>
      </c>
      <c r="C1072" s="736">
        <v>254016</v>
      </c>
      <c r="D1072" s="738">
        <v>601120</v>
      </c>
      <c r="E1072" s="626" t="s">
        <v>4504</v>
      </c>
      <c r="F1072" s="626" t="str">
        <f t="shared" si="443"/>
        <v>OTH REG LIAB - MISC - ELECTRIC</v>
      </c>
      <c r="G1072" s="626" t="s">
        <v>4503</v>
      </c>
      <c r="H1072" s="736" t="s">
        <v>1131</v>
      </c>
      <c r="I1072" s="442"/>
      <c r="J1072" s="442" t="s">
        <v>7</v>
      </c>
      <c r="K1072" s="442"/>
      <c r="L1072" s="736" t="s">
        <v>2436</v>
      </c>
      <c r="M1072" s="442" t="str">
        <f t="shared" si="485"/>
        <v>N</v>
      </c>
      <c r="N1072" s="442" t="str">
        <f>IF(L1072&lt;&gt;"",VLOOKUP(L1072,Categories!$B$2:$D$41,2,FALSE),IF(F1072&lt;&gt;"","No Cat",""))</f>
        <v>NRBASE</v>
      </c>
      <c r="O1072" s="442" t="str">
        <f>IF($L1072&lt;&gt;"",VLOOKUP($L1072,Categories!$B$2:$D$41,3,FALSE),IF($F1072&lt;&gt;"","No Cat",""))</f>
        <v>Deferrals Accruing Non-Cash Return   (other than ASGA)</v>
      </c>
      <c r="P1072" s="736" t="s">
        <v>2468</v>
      </c>
      <c r="Q1072" s="442" t="str">
        <f>VLOOKUP($P1072,Allocators!$B$7:$F$19,5,FALSE)</f>
        <v>Not in Rate Base</v>
      </c>
      <c r="R1072" s="737">
        <f>VLOOKUP($P1072,Allocators!$B$7:$F$19,2,FALSE)</f>
        <v>0</v>
      </c>
      <c r="S1072" s="737">
        <f>VLOOKUP($P1072,Allocators!$B$7:$F$19,3,FALSE)</f>
        <v>0</v>
      </c>
      <c r="T1072" s="737">
        <f t="shared" si="486"/>
        <v>1</v>
      </c>
      <c r="U1072" s="2">
        <f t="shared" si="456"/>
        <v>0</v>
      </c>
      <c r="V1072" s="2">
        <f t="shared" si="457"/>
        <v>0</v>
      </c>
      <c r="W1072" s="2">
        <f t="shared" si="458"/>
        <v>-2929.61986958333</v>
      </c>
      <c r="X1072" s="2">
        <f t="shared" si="449"/>
        <v>-2929.61986958333</v>
      </c>
      <c r="Y1072" s="2">
        <f t="shared" si="459"/>
        <v>0</v>
      </c>
      <c r="Z1072" s="2">
        <f t="shared" si="460"/>
        <v>0</v>
      </c>
      <c r="AA1072" s="2">
        <f t="shared" si="461"/>
        <v>-9762.2498699999996</v>
      </c>
      <c r="AB1072" s="2">
        <f t="shared" si="450"/>
        <v>-9762.2498699999996</v>
      </c>
      <c r="AC1072" s="734"/>
      <c r="AD1072" s="625"/>
      <c r="AE1072" s="625"/>
      <c r="AF1072" s="625"/>
      <c r="AG1072" s="625"/>
      <c r="AH1072" s="625"/>
      <c r="AI1072" s="625"/>
      <c r="AJ1072" s="625"/>
      <c r="AK1072" s="625"/>
      <c r="AL1072" s="625">
        <v>-9898.5941299999995</v>
      </c>
      <c r="AM1072" s="625">
        <v>-10238.047709999999</v>
      </c>
      <c r="AN1072" s="625">
        <v>-10137.67166</v>
      </c>
      <c r="AO1072" s="625">
        <v>-9762.2498699999996</v>
      </c>
      <c r="AP1072" s="41" t="str">
        <f t="shared" si="446"/>
        <v>Reg AssetN</v>
      </c>
      <c r="AQ1072" s="41" t="str">
        <f t="shared" si="447"/>
        <v>Reg AssetNN10Energy Efficiency Portfolio Standard</v>
      </c>
      <c r="AR1072" s="41" t="str">
        <f t="shared" si="448"/>
        <v>N10Energy Efficiency Portfolio StandardNCR</v>
      </c>
      <c r="CK1072" s="625"/>
    </row>
    <row r="1073" spans="1:89" s="41" customFormat="1" ht="12.75" customHeight="1">
      <c r="A1073" s="442" t="s">
        <v>746</v>
      </c>
      <c r="B1073" s="442" t="str">
        <f t="shared" ref="B1073" si="487">CONCATENATE(A1073,C1073,D1073,E1073)</f>
        <v>Reg Asset254016601239-14 OrphanBE030155</v>
      </c>
      <c r="C1073" s="736">
        <v>254016</v>
      </c>
      <c r="D1073" s="738" t="s">
        <v>4548</v>
      </c>
      <c r="E1073" s="626" t="s">
        <v>1200</v>
      </c>
      <c r="F1073" s="626" t="str">
        <f t="shared" si="443"/>
        <v>OTH REG LIAB - MISC - ELECTRIC</v>
      </c>
      <c r="G1073" s="626" t="s">
        <v>4547</v>
      </c>
      <c r="H1073" s="736" t="s">
        <v>1203</v>
      </c>
      <c r="I1073" s="442"/>
      <c r="J1073" s="442"/>
      <c r="K1073" s="442"/>
      <c r="L1073" s="736" t="s">
        <v>2421</v>
      </c>
      <c r="M1073" s="442" t="str">
        <f t="shared" si="485"/>
        <v>N</v>
      </c>
      <c r="N1073" s="442" t="str">
        <f>IF(L1073&lt;&gt;"",VLOOKUP(L1073,Categories!$B$2:$D$41,2,FALSE),IF(F1073&lt;&gt;"","No Cat",""))</f>
        <v>NRBASE</v>
      </c>
      <c r="O1073" s="442" t="str">
        <f>IF($L1073&lt;&gt;"",VLOOKUP($L1073,Categories!$B$2:$D$41,3,FALSE),IF($F1073&lt;&gt;"","No Cat",""))</f>
        <v>Direct Assign Items Not in RB</v>
      </c>
      <c r="P1073" s="736" t="s">
        <v>2468</v>
      </c>
      <c r="Q1073" s="442" t="str">
        <f>VLOOKUP($P1073,Allocators!$B$7:$F$19,5,FALSE)</f>
        <v>Not in Rate Base</v>
      </c>
      <c r="R1073" s="737">
        <f>VLOOKUP($P1073,Allocators!$B$7:$F$19,2,FALSE)</f>
        <v>0</v>
      </c>
      <c r="S1073" s="737">
        <f>VLOOKUP($P1073,Allocators!$B$7:$F$19,3,FALSE)</f>
        <v>0</v>
      </c>
      <c r="T1073" s="737">
        <f t="shared" si="486"/>
        <v>1</v>
      </c>
      <c r="U1073" s="2">
        <f t="shared" ref="U1073:U1074" si="488">IF(ABS(X1073)=0,"",IF($R1073="NO ALLOC","NO ALLOC",ROUND($R1073*X1073,15)))</f>
        <v>0</v>
      </c>
      <c r="V1073" s="2">
        <f t="shared" ref="V1073:V1074" si="489">IF(ABS(X1073)=0,"",IF($S1073="NO ALLOC","NO ALLOC",ROUND($S1073*X1073,15)))</f>
        <v>0</v>
      </c>
      <c r="W1073" s="2">
        <f t="shared" ref="W1073:W1074" si="490">IF(ABS(X1073)=0,"",IF($T1073="NO ALLOC","NO ALLOC",ROUND($T1073*X1073,15)))</f>
        <v>68.604131249999995</v>
      </c>
      <c r="X1073" s="2">
        <f t="shared" si="449"/>
        <v>68.604131249999995</v>
      </c>
      <c r="Y1073" s="2">
        <f t="shared" ref="Y1073:Y1074" si="491">IF(ABS(AB1073)=0,"",IF($R1073="NO ALLOC","NO ALLOC",ROUND($R1073*AB1073,15)))</f>
        <v>0</v>
      </c>
      <c r="Z1073" s="2">
        <f t="shared" ref="Z1073:Z1074" si="492">IF(ABS(AB1073)=0,"",IF($S1073="NO ALLOC","NO ALLOC",ROUND($S1073*AB1073,15)))</f>
        <v>0</v>
      </c>
      <c r="AA1073" s="2">
        <f t="shared" ref="AA1073:AA1074" si="493">IF(ABS(AB1073)=0,"",IF($T1073="NO ALLOC","NO ALLOC",ROUND($T1073*AB1073,15)))</f>
        <v>548.83304999999996</v>
      </c>
      <c r="AB1073" s="2">
        <f t="shared" si="450"/>
        <v>548.83305000000007</v>
      </c>
      <c r="AC1073" s="734"/>
      <c r="AD1073" s="625"/>
      <c r="AE1073" s="625"/>
      <c r="AF1073" s="625"/>
      <c r="AG1073" s="625"/>
      <c r="AH1073" s="625"/>
      <c r="AI1073" s="625"/>
      <c r="AJ1073" s="625"/>
      <c r="AK1073" s="625"/>
      <c r="AL1073" s="625"/>
      <c r="AM1073" s="625"/>
      <c r="AN1073" s="625">
        <v>548.83305000000007</v>
      </c>
      <c r="AO1073" s="625">
        <v>548.83305000000007</v>
      </c>
      <c r="AP1073" s="41" t="str">
        <f t="shared" si="446"/>
        <v>Reg AssetN</v>
      </c>
      <c r="AQ1073" s="41" t="str">
        <f t="shared" si="447"/>
        <v>Reg AssetNN2Merchant Function Charge - Elec</v>
      </c>
      <c r="AR1073" s="41" t="str">
        <f t="shared" si="448"/>
        <v>N2Merchant Function Charge - Elec</v>
      </c>
      <c r="CK1073" s="625"/>
    </row>
    <row r="1074" spans="1:89" s="41" customFormat="1" ht="12.75" customHeight="1">
      <c r="A1074" s="442" t="s">
        <v>746</v>
      </c>
      <c r="B1074" s="442" t="str">
        <f t="shared" ref="B1074" si="494">CONCATENATE(A1074,C1074,D1074,E1074)</f>
        <v>Reg Asset254016601251BE030922</v>
      </c>
      <c r="C1074" s="736">
        <v>254016</v>
      </c>
      <c r="D1074" s="738">
        <v>601251</v>
      </c>
      <c r="E1074" s="626" t="s">
        <v>4545</v>
      </c>
      <c r="F1074" s="626" t="str">
        <f t="shared" si="443"/>
        <v>OTH REG LIAB - MISC - ELECTRIC</v>
      </c>
      <c r="G1074" s="626" t="s">
        <v>4546</v>
      </c>
      <c r="H1074" s="736" t="s">
        <v>2125</v>
      </c>
      <c r="I1074" s="442"/>
      <c r="J1074" s="442" t="s">
        <v>7</v>
      </c>
      <c r="K1074" s="442"/>
      <c r="L1074" s="736" t="s">
        <v>2436</v>
      </c>
      <c r="M1074" s="25" t="str">
        <f t="shared" si="485"/>
        <v>N</v>
      </c>
      <c r="N1074" s="25" t="str">
        <f>IF(L1074&lt;&gt;"",VLOOKUP(L1074,Categories!$B$2:$D$41,2,FALSE),IF(F1074&lt;&gt;"","No Cat",""))</f>
        <v>NRBASE</v>
      </c>
      <c r="O1074" s="25" t="str">
        <f>IF($L1074&lt;&gt;"",VLOOKUP($L1074,Categories!$B$2:$D$41,3,FALSE),IF($F1074&lt;&gt;"","No Cat",""))</f>
        <v>Deferrals Accruing Non-Cash Return   (other than ASGA)</v>
      </c>
      <c r="P1074" s="736" t="s">
        <v>2468</v>
      </c>
      <c r="Q1074" s="25" t="str">
        <f>VLOOKUP($P1074,Allocators!$B$7:$F$19,5,FALSE)</f>
        <v>Not in Rate Base</v>
      </c>
      <c r="R1074" s="737">
        <f>VLOOKUP($P1074,Allocators!$B$7:$F$19,2,FALSE)</f>
        <v>0</v>
      </c>
      <c r="S1074" s="737">
        <f>VLOOKUP($P1074,Allocators!$B$7:$F$19,3,FALSE)</f>
        <v>0</v>
      </c>
      <c r="T1074" s="737">
        <f t="shared" si="486"/>
        <v>1</v>
      </c>
      <c r="U1074" s="2">
        <f t="shared" si="488"/>
        <v>0</v>
      </c>
      <c r="V1074" s="2">
        <f t="shared" si="489"/>
        <v>0</v>
      </c>
      <c r="W1074" s="2">
        <f t="shared" si="490"/>
        <v>-137.94015999999999</v>
      </c>
      <c r="X1074" s="2">
        <f t="shared" si="449"/>
        <v>-137.94015999999999</v>
      </c>
      <c r="Y1074" s="2">
        <f t="shared" si="491"/>
        <v>0</v>
      </c>
      <c r="Z1074" s="2">
        <f t="shared" si="492"/>
        <v>0</v>
      </c>
      <c r="AA1074" s="2">
        <f t="shared" si="493"/>
        <v>-1192.2437399999999</v>
      </c>
      <c r="AB1074" s="2">
        <f t="shared" si="450"/>
        <v>-1192.2437399999999</v>
      </c>
      <c r="AC1074" s="734"/>
      <c r="AD1074" s="625"/>
      <c r="AE1074" s="625"/>
      <c r="AF1074" s="625"/>
      <c r="AG1074" s="625"/>
      <c r="AH1074" s="625"/>
      <c r="AI1074" s="625"/>
      <c r="AJ1074" s="625"/>
      <c r="AK1074" s="625"/>
      <c r="AL1074" s="625"/>
      <c r="AM1074" s="625"/>
      <c r="AN1074" s="625">
        <v>-1059.16005</v>
      </c>
      <c r="AO1074" s="625">
        <v>-1192.2437399999999</v>
      </c>
      <c r="AP1074" s="41" t="str">
        <f t="shared" si="446"/>
        <v>Reg AssetN</v>
      </c>
      <c r="AQ1074" s="41" t="str">
        <f t="shared" si="447"/>
        <v>Reg AssetNN10Mixed Use 263(a)</v>
      </c>
      <c r="AR1074" s="41" t="str">
        <f t="shared" si="448"/>
        <v>N10Mixed Use 263(a)NCR</v>
      </c>
      <c r="CK1074" s="625"/>
    </row>
    <row r="1075" spans="1:89" s="41" customFormat="1" ht="12.75" customHeight="1">
      <c r="A1075" s="442" t="s">
        <v>746</v>
      </c>
      <c r="B1075" s="442" t="str">
        <f t="shared" si="465"/>
        <v>Reg Asset254016601255BE030932</v>
      </c>
      <c r="C1075" s="736">
        <v>254016</v>
      </c>
      <c r="D1075" s="738">
        <v>601255</v>
      </c>
      <c r="E1075" s="626" t="s">
        <v>4052</v>
      </c>
      <c r="F1075" s="626" t="str">
        <f t="shared" si="443"/>
        <v>OTH REG LIAB - MISC - ELECTRIC</v>
      </c>
      <c r="G1075" s="626" t="s">
        <v>4065</v>
      </c>
      <c r="H1075" s="736" t="s">
        <v>4377</v>
      </c>
      <c r="I1075" s="442"/>
      <c r="J1075" s="442"/>
      <c r="K1075" s="442" t="str">
        <f t="shared" si="474"/>
        <v/>
      </c>
      <c r="L1075" s="736" t="s">
        <v>2441</v>
      </c>
      <c r="M1075" s="442" t="str">
        <f t="shared" si="475"/>
        <v>R</v>
      </c>
      <c r="N1075" s="442" t="str">
        <f>IF(L1075&lt;&gt;"",VLOOKUP(L1075,Categories!$B$2:$D$41,2,FALSE),IF(F1075&lt;&gt;"","No Cat",""))</f>
        <v>Rate Base</v>
      </c>
      <c r="O1075" s="442" t="str">
        <f>IF($L1075&lt;&gt;"",VLOOKUP($L1075,Categories!$B$2:$D$41,3,FALSE),IF($F1075&lt;&gt;"","No Cat",""))</f>
        <v>Deferred Debits &amp; Credits</v>
      </c>
      <c r="P1075" s="736" t="s">
        <v>2482</v>
      </c>
      <c r="Q1075" s="442" t="str">
        <f>VLOOKUP($P1075,Allocators!$B$7:$F$19,5,FALSE)</f>
        <v>Electric</v>
      </c>
      <c r="R1075" s="737">
        <f>VLOOKUP($P1075,Allocators!$B$7:$F$19,2,FALSE)</f>
        <v>1</v>
      </c>
      <c r="S1075" s="737">
        <f>VLOOKUP($P1075,Allocators!$B$7:$F$19,3,FALSE)</f>
        <v>0</v>
      </c>
      <c r="T1075" s="737" t="str">
        <f t="shared" si="476"/>
        <v>0.0%</v>
      </c>
      <c r="U1075" s="2" t="str">
        <f t="shared" si="456"/>
        <v/>
      </c>
      <c r="V1075" s="2" t="str">
        <f t="shared" si="457"/>
        <v/>
      </c>
      <c r="W1075" s="2" t="str">
        <f t="shared" si="458"/>
        <v/>
      </c>
      <c r="X1075" s="2">
        <f t="shared" si="449"/>
        <v>0</v>
      </c>
      <c r="Y1075" s="2" t="str">
        <f t="shared" si="459"/>
        <v/>
      </c>
      <c r="Z1075" s="2" t="str">
        <f t="shared" si="460"/>
        <v/>
      </c>
      <c r="AA1075" s="2" t="str">
        <f t="shared" si="461"/>
        <v/>
      </c>
      <c r="AB1075" s="2">
        <f t="shared" si="450"/>
        <v>0</v>
      </c>
      <c r="AC1075" s="734">
        <v>0</v>
      </c>
      <c r="AD1075" s="625">
        <v>0</v>
      </c>
      <c r="AE1075" s="625">
        <v>0</v>
      </c>
      <c r="AF1075" s="38">
        <v>0</v>
      </c>
      <c r="AG1075" s="625">
        <v>0</v>
      </c>
      <c r="AH1075" s="625">
        <v>0</v>
      </c>
      <c r="AI1075" s="625">
        <v>0</v>
      </c>
      <c r="AJ1075" s="625">
        <v>0</v>
      </c>
      <c r="AK1075" s="625">
        <v>0</v>
      </c>
      <c r="AL1075" s="625">
        <v>0</v>
      </c>
      <c r="AM1075" s="625">
        <v>0</v>
      </c>
      <c r="AN1075" s="625">
        <v>0</v>
      </c>
      <c r="AO1075" s="625">
        <v>0</v>
      </c>
      <c r="AP1075" s="41" t="str">
        <f t="shared" si="446"/>
        <v>Reg AssetR</v>
      </c>
      <c r="AQ1075" s="41" t="str">
        <f t="shared" si="447"/>
        <v>Reg AssetRR10Funded DIT Tax True-up Deferral</v>
      </c>
      <c r="AR1075" s="41" t="str">
        <f t="shared" si="448"/>
        <v>R10Funded DIT Tax True-up Deferral</v>
      </c>
      <c r="CK1075" s="625"/>
    </row>
    <row r="1076" spans="1:89" s="41" customFormat="1" ht="12.75" customHeight="1">
      <c r="A1076" s="25" t="s">
        <v>746</v>
      </c>
      <c r="B1076" s="25" t="str">
        <f t="shared" si="455"/>
        <v>Reg Asset254017Pension GasBG030410</v>
      </c>
      <c r="C1076" s="736">
        <v>254017</v>
      </c>
      <c r="D1076" s="738" t="s">
        <v>1224</v>
      </c>
      <c r="E1076" s="41" t="s">
        <v>1223</v>
      </c>
      <c r="F1076" s="41" t="str">
        <f t="shared" si="443"/>
        <v>OTH REG LIAB - MISC - GAS</v>
      </c>
      <c r="G1076" s="41" t="s">
        <v>1225</v>
      </c>
      <c r="H1076" s="736" t="s">
        <v>1159</v>
      </c>
      <c r="I1076" s="25"/>
      <c r="J1076" s="25" t="s">
        <v>7</v>
      </c>
      <c r="K1076" s="442" t="str">
        <f t="shared" si="474"/>
        <v/>
      </c>
      <c r="L1076" s="736" t="s">
        <v>2436</v>
      </c>
      <c r="M1076" s="25" t="str">
        <f t="shared" si="462"/>
        <v>N</v>
      </c>
      <c r="N1076" s="25" t="str">
        <f>IF(L1076&lt;&gt;"",VLOOKUP(L1076,Categories!$B$2:$D$41,2,FALSE),IF(F1076&lt;&gt;"","No Cat",""))</f>
        <v>NRBASE</v>
      </c>
      <c r="O1076" s="25" t="str">
        <f>IF($L1076&lt;&gt;"",VLOOKUP($L1076,Categories!$B$2:$D$41,3,FALSE),IF($F1076&lt;&gt;"","No Cat",""))</f>
        <v>Deferrals Accruing Non-Cash Return   (other than ASGA)</v>
      </c>
      <c r="P1076" s="736" t="s">
        <v>2468</v>
      </c>
      <c r="Q1076" s="25" t="str">
        <f>VLOOKUP($P1076,Allocators!$B$7:$F$19,5,FALSE)</f>
        <v>Not in Rate Base</v>
      </c>
      <c r="R1076" s="737">
        <f>VLOOKUP($P1076,Allocators!$B$7:$F$19,2,FALSE)</f>
        <v>0</v>
      </c>
      <c r="S1076" s="737">
        <f>VLOOKUP($P1076,Allocators!$B$7:$F$19,3,FALSE)</f>
        <v>0</v>
      </c>
      <c r="T1076" s="737">
        <f t="shared" si="463"/>
        <v>1</v>
      </c>
      <c r="U1076" s="2">
        <f t="shared" si="456"/>
        <v>0</v>
      </c>
      <c r="V1076" s="2">
        <f t="shared" si="457"/>
        <v>0</v>
      </c>
      <c r="W1076" s="2">
        <f t="shared" si="458"/>
        <v>4.1666693000000003E-8</v>
      </c>
      <c r="X1076" s="2">
        <f t="shared" si="449"/>
        <v>4.1666693000000003E-8</v>
      </c>
      <c r="Y1076" s="2" t="str">
        <f t="shared" si="459"/>
        <v/>
      </c>
      <c r="Z1076" s="2" t="str">
        <f t="shared" si="460"/>
        <v/>
      </c>
      <c r="AA1076" s="2" t="str">
        <f t="shared" si="461"/>
        <v/>
      </c>
      <c r="AB1076" s="2">
        <f t="shared" si="450"/>
        <v>0</v>
      </c>
      <c r="AC1076" s="734">
        <v>1.0000006295740605E-6</v>
      </c>
      <c r="AD1076" s="625">
        <v>0</v>
      </c>
      <c r="AE1076" s="625">
        <v>0</v>
      </c>
      <c r="AF1076" s="38">
        <v>0</v>
      </c>
      <c r="AG1076" s="625">
        <v>0</v>
      </c>
      <c r="AH1076" s="625">
        <v>0</v>
      </c>
      <c r="AI1076" s="625">
        <v>0</v>
      </c>
      <c r="AJ1076" s="625">
        <v>0</v>
      </c>
      <c r="AK1076" s="625">
        <v>0</v>
      </c>
      <c r="AL1076" s="625">
        <v>0</v>
      </c>
      <c r="AM1076" s="625">
        <v>0</v>
      </c>
      <c r="AN1076" s="625">
        <v>0</v>
      </c>
      <c r="AO1076" s="625">
        <v>0</v>
      </c>
      <c r="AP1076" s="41" t="str">
        <f t="shared" si="446"/>
        <v>Reg AssetN</v>
      </c>
      <c r="AQ1076" s="41" t="str">
        <f t="shared" si="447"/>
        <v>Reg AssetNN10Pension True-up</v>
      </c>
      <c r="AR1076" s="41" t="str">
        <f t="shared" si="448"/>
        <v>N10Pension True-upNCR</v>
      </c>
      <c r="CK1076" s="625"/>
    </row>
    <row r="1077" spans="1:89" s="41" customFormat="1" ht="12.75" customHeight="1">
      <c r="A1077" s="442" t="s">
        <v>746</v>
      </c>
      <c r="B1077" s="442" t="str">
        <f t="shared" si="455"/>
        <v>Reg Asset254017Pension Gas LBG030410</v>
      </c>
      <c r="C1077" s="736">
        <v>254017</v>
      </c>
      <c r="D1077" s="738" t="s">
        <v>4067</v>
      </c>
      <c r="E1077" s="626" t="s">
        <v>1223</v>
      </c>
      <c r="F1077" s="626" t="str">
        <f t="shared" ref="F1077" si="495">VLOOKUP(C1077,$C$7:$F$787,4,FALSE)</f>
        <v>OTH REG LIAB - MISC - GAS</v>
      </c>
      <c r="G1077" s="626" t="s">
        <v>4066</v>
      </c>
      <c r="H1077" s="736" t="s">
        <v>1159</v>
      </c>
      <c r="I1077" s="442"/>
      <c r="J1077" s="25" t="s">
        <v>7</v>
      </c>
      <c r="K1077" s="442" t="str">
        <f t="shared" si="474"/>
        <v/>
      </c>
      <c r="L1077" s="736" t="s">
        <v>2436</v>
      </c>
      <c r="M1077" s="442" t="str">
        <f t="shared" si="462"/>
        <v>N</v>
      </c>
      <c r="N1077" s="442" t="str">
        <f>IF(L1077&lt;&gt;"",VLOOKUP(L1077,Categories!$B$2:$D$41,2,FALSE),IF(F1077&lt;&gt;"","No Cat",""))</f>
        <v>NRBASE</v>
      </c>
      <c r="O1077" s="442" t="str">
        <f>IF($L1077&lt;&gt;"",VLOOKUP($L1077,Categories!$B$2:$D$41,3,FALSE),IF($F1077&lt;&gt;"","No Cat",""))</f>
        <v>Deferrals Accruing Non-Cash Return   (other than ASGA)</v>
      </c>
      <c r="P1077" s="736" t="s">
        <v>2468</v>
      </c>
      <c r="Q1077" s="442" t="str">
        <f>VLOOKUP($P1077,Allocators!$B$7:$F$19,5,FALSE)</f>
        <v>Not in Rate Base</v>
      </c>
      <c r="R1077" s="737">
        <f>VLOOKUP($P1077,Allocators!$B$7:$F$19,2,FALSE)</f>
        <v>0</v>
      </c>
      <c r="S1077" s="737">
        <f>VLOOKUP($P1077,Allocators!$B$7:$F$19,3,FALSE)</f>
        <v>0</v>
      </c>
      <c r="T1077" s="737">
        <f t="shared" si="463"/>
        <v>1</v>
      </c>
      <c r="U1077" s="2" t="str">
        <f t="shared" si="456"/>
        <v/>
      </c>
      <c r="V1077" s="2" t="str">
        <f t="shared" si="457"/>
        <v/>
      </c>
      <c r="W1077" s="2" t="str">
        <f t="shared" si="458"/>
        <v/>
      </c>
      <c r="X1077" s="2">
        <f t="shared" si="449"/>
        <v>0</v>
      </c>
      <c r="Y1077" s="2" t="str">
        <f t="shared" si="459"/>
        <v/>
      </c>
      <c r="Z1077" s="2" t="str">
        <f t="shared" si="460"/>
        <v/>
      </c>
      <c r="AA1077" s="2" t="str">
        <f t="shared" si="461"/>
        <v/>
      </c>
      <c r="AB1077" s="2">
        <f t="shared" si="450"/>
        <v>0</v>
      </c>
      <c r="AC1077" s="625">
        <v>0</v>
      </c>
      <c r="AD1077" s="625">
        <v>0</v>
      </c>
      <c r="AE1077" s="625">
        <v>0</v>
      </c>
      <c r="AF1077" s="38">
        <v>0</v>
      </c>
      <c r="AG1077" s="625">
        <v>0</v>
      </c>
      <c r="AH1077" s="625">
        <v>0</v>
      </c>
      <c r="AI1077" s="625">
        <v>0</v>
      </c>
      <c r="AJ1077" s="625">
        <v>0</v>
      </c>
      <c r="AK1077" s="625">
        <v>0</v>
      </c>
      <c r="AL1077" s="625">
        <v>0</v>
      </c>
      <c r="AM1077" s="625">
        <v>0</v>
      </c>
      <c r="AN1077" s="625">
        <v>0</v>
      </c>
      <c r="AO1077" s="625">
        <v>0</v>
      </c>
      <c r="AP1077" s="41" t="str">
        <f t="shared" si="446"/>
        <v>Reg AssetN</v>
      </c>
      <c r="AQ1077" s="41" t="str">
        <f t="shared" si="447"/>
        <v>Reg AssetNN10Pension True-up</v>
      </c>
      <c r="AR1077" s="41" t="str">
        <f t="shared" si="448"/>
        <v>N10Pension True-upNCR</v>
      </c>
      <c r="CK1077" s="625"/>
    </row>
    <row r="1078" spans="1:89" s="41" customFormat="1" ht="12.75" customHeight="1">
      <c r="A1078" s="442" t="s">
        <v>746</v>
      </c>
      <c r="B1078" s="442" t="str">
        <f t="shared" si="455"/>
        <v>Reg Asset254017601063G-07BG030116</v>
      </c>
      <c r="C1078" s="736">
        <v>254017</v>
      </c>
      <c r="D1078" s="738" t="s">
        <v>1227</v>
      </c>
      <c r="E1078" s="626" t="s">
        <v>1226</v>
      </c>
      <c r="F1078" s="626" t="str">
        <f t="shared" si="443"/>
        <v>OTH REG LIAB - MISC - GAS</v>
      </c>
      <c r="G1078" s="626" t="s">
        <v>1228</v>
      </c>
      <c r="H1078" s="736" t="s">
        <v>1122</v>
      </c>
      <c r="I1078" s="442"/>
      <c r="J1078" s="442" t="str">
        <f t="shared" si="444"/>
        <v/>
      </c>
      <c r="K1078" s="442" t="str">
        <f t="shared" si="474"/>
        <v/>
      </c>
      <c r="L1078" s="736" t="s">
        <v>2421</v>
      </c>
      <c r="M1078" s="442" t="str">
        <f t="shared" si="462"/>
        <v>N</v>
      </c>
      <c r="N1078" s="442" t="str">
        <f>IF(L1078&lt;&gt;"",VLOOKUP(L1078,Categories!$B$2:$D$41,2,FALSE),IF(F1078&lt;&gt;"","No Cat",""))</f>
        <v>NRBASE</v>
      </c>
      <c r="O1078" s="442" t="str">
        <f>IF($L1078&lt;&gt;"",VLOOKUP($L1078,Categories!$B$2:$D$41,3,FALSE),IF($F1078&lt;&gt;"","No Cat",""))</f>
        <v>Direct Assign Items Not in RB</v>
      </c>
      <c r="P1078" s="736" t="s">
        <v>2468</v>
      </c>
      <c r="Q1078" s="442" t="str">
        <f>VLOOKUP($P1078,Allocators!$B$7:$F$19,5,FALSE)</f>
        <v>Not in Rate Base</v>
      </c>
      <c r="R1078" s="737">
        <f>VLOOKUP($P1078,Allocators!$B$7:$F$19,2,FALSE)</f>
        <v>0</v>
      </c>
      <c r="S1078" s="737">
        <f>VLOOKUP($P1078,Allocators!$B$7:$F$19,3,FALSE)</f>
        <v>0</v>
      </c>
      <c r="T1078" s="737">
        <f t="shared" si="463"/>
        <v>1</v>
      </c>
      <c r="U1078" s="2">
        <f t="shared" si="456"/>
        <v>0</v>
      </c>
      <c r="V1078" s="2">
        <f t="shared" si="457"/>
        <v>0</v>
      </c>
      <c r="W1078" s="2">
        <f t="shared" si="458"/>
        <v>-178.605076666667</v>
      </c>
      <c r="X1078" s="2">
        <f t="shared" si="449"/>
        <v>-178.605076666667</v>
      </c>
      <c r="Y1078" s="2">
        <f t="shared" si="459"/>
        <v>0</v>
      </c>
      <c r="Z1078" s="2">
        <f t="shared" si="460"/>
        <v>0</v>
      </c>
      <c r="AA1078" s="2">
        <f t="shared" si="461"/>
        <v>-184.72909000000001</v>
      </c>
      <c r="AB1078" s="2">
        <f t="shared" si="450"/>
        <v>-184.72909000000001</v>
      </c>
      <c r="AC1078" s="734">
        <v>-172.61700999999999</v>
      </c>
      <c r="AD1078" s="625">
        <v>-173.59527000000003</v>
      </c>
      <c r="AE1078" s="625">
        <v>-174.57908</v>
      </c>
      <c r="AF1078" s="625">
        <v>-175.56846000000002</v>
      </c>
      <c r="AG1078" s="625">
        <v>-176.56345000000002</v>
      </c>
      <c r="AH1078" s="625">
        <v>-177.56408000000002</v>
      </c>
      <c r="AI1078" s="625">
        <v>-178.57038</v>
      </c>
      <c r="AJ1078" s="625">
        <v>-179.58238</v>
      </c>
      <c r="AK1078" s="625">
        <v>-180.60012</v>
      </c>
      <c r="AL1078" s="625">
        <v>-181.62362999999999</v>
      </c>
      <c r="AM1078" s="625">
        <v>-182.65294</v>
      </c>
      <c r="AN1078" s="625">
        <v>-183.68808000000001</v>
      </c>
      <c r="AO1078" s="625">
        <v>-184.72909000000001</v>
      </c>
      <c r="AP1078" s="41" t="str">
        <f t="shared" si="446"/>
        <v>Reg AssetN</v>
      </c>
      <c r="AQ1078" s="41" t="str">
        <f t="shared" si="447"/>
        <v>Reg AssetNN2Service Quality Performance</v>
      </c>
      <c r="AR1078" s="41" t="str">
        <f t="shared" si="448"/>
        <v>N2Service Quality Performance</v>
      </c>
      <c r="CK1078" s="625"/>
    </row>
    <row r="1079" spans="1:89" s="41" customFormat="1" ht="12.75" customHeight="1">
      <c r="A1079" s="442" t="s">
        <v>746</v>
      </c>
      <c r="B1079" s="442" t="str">
        <f t="shared" si="455"/>
        <v>Reg Asset254017601063G-06BG030116</v>
      </c>
      <c r="C1079" s="736">
        <v>254017</v>
      </c>
      <c r="D1079" s="738" t="s">
        <v>1229</v>
      </c>
      <c r="E1079" s="626" t="s">
        <v>1226</v>
      </c>
      <c r="F1079" s="626" t="str">
        <f t="shared" si="443"/>
        <v>OTH REG LIAB - MISC - GAS</v>
      </c>
      <c r="G1079" s="626" t="s">
        <v>1230</v>
      </c>
      <c r="H1079" s="736" t="s">
        <v>1122</v>
      </c>
      <c r="I1079" s="442"/>
      <c r="J1079" s="442" t="str">
        <f t="shared" si="444"/>
        <v/>
      </c>
      <c r="K1079" s="442" t="str">
        <f t="shared" si="474"/>
        <v/>
      </c>
      <c r="L1079" s="736" t="s">
        <v>2421</v>
      </c>
      <c r="M1079" s="442" t="str">
        <f t="shared" si="462"/>
        <v>N</v>
      </c>
      <c r="N1079" s="442" t="str">
        <f>IF(L1079&lt;&gt;"",VLOOKUP(L1079,Categories!$B$2:$D$41,2,FALSE),IF(F1079&lt;&gt;"","No Cat",""))</f>
        <v>NRBASE</v>
      </c>
      <c r="O1079" s="442" t="str">
        <f>IF($L1079&lt;&gt;"",VLOOKUP($L1079,Categories!$B$2:$D$41,3,FALSE),IF($F1079&lt;&gt;"","No Cat",""))</f>
        <v>Direct Assign Items Not in RB</v>
      </c>
      <c r="P1079" s="736" t="s">
        <v>2468</v>
      </c>
      <c r="Q1079" s="442" t="str">
        <f>VLOOKUP($P1079,Allocators!$B$7:$F$19,5,FALSE)</f>
        <v>Not in Rate Base</v>
      </c>
      <c r="R1079" s="737">
        <f>VLOOKUP($P1079,Allocators!$B$7:$F$19,2,FALSE)</f>
        <v>0</v>
      </c>
      <c r="S1079" s="737">
        <f>VLOOKUP($P1079,Allocators!$B$7:$F$19,3,FALSE)</f>
        <v>0</v>
      </c>
      <c r="T1079" s="737">
        <f t="shared" si="463"/>
        <v>1</v>
      </c>
      <c r="U1079" s="2">
        <f t="shared" si="456"/>
        <v>0</v>
      </c>
      <c r="V1079" s="2">
        <f t="shared" si="457"/>
        <v>0</v>
      </c>
      <c r="W1079" s="2">
        <f t="shared" si="458"/>
        <v>-190.24326083333301</v>
      </c>
      <c r="X1079" s="2">
        <f t="shared" si="449"/>
        <v>-190.24326083333301</v>
      </c>
      <c r="Y1079" s="2">
        <f t="shared" si="459"/>
        <v>0</v>
      </c>
      <c r="Z1079" s="2">
        <f t="shared" si="460"/>
        <v>0</v>
      </c>
      <c r="AA1079" s="2">
        <f t="shared" si="461"/>
        <v>-196.76632000000001</v>
      </c>
      <c r="AB1079" s="2">
        <f t="shared" si="450"/>
        <v>-196.76632000000001</v>
      </c>
      <c r="AC1079" s="734">
        <v>-183.86500000000001</v>
      </c>
      <c r="AD1079" s="625">
        <v>-184.90701000000001</v>
      </c>
      <c r="AE1079" s="625">
        <v>-185.95492000000002</v>
      </c>
      <c r="AF1079" s="625">
        <v>-187.00877000000003</v>
      </c>
      <c r="AG1079" s="625">
        <v>-188.0686</v>
      </c>
      <c r="AH1079" s="625">
        <v>-189.13442999999998</v>
      </c>
      <c r="AI1079" s="625">
        <v>-190.2063</v>
      </c>
      <c r="AJ1079" s="625">
        <v>-191.28424999999999</v>
      </c>
      <c r="AK1079" s="625">
        <v>-192.36831000000001</v>
      </c>
      <c r="AL1079" s="625">
        <v>-193.45851000000002</v>
      </c>
      <c r="AM1079" s="625">
        <v>-194.55489</v>
      </c>
      <c r="AN1079" s="625">
        <v>-195.65748000000002</v>
      </c>
      <c r="AO1079" s="625">
        <v>-196.76632000000001</v>
      </c>
      <c r="AP1079" s="41" t="str">
        <f t="shared" si="446"/>
        <v>Reg AssetN</v>
      </c>
      <c r="AQ1079" s="41" t="str">
        <f t="shared" si="447"/>
        <v>Reg AssetNN2Service Quality Performance</v>
      </c>
      <c r="AR1079" s="41" t="str">
        <f t="shared" si="448"/>
        <v>N2Service Quality Performance</v>
      </c>
      <c r="CK1079" s="625"/>
    </row>
    <row r="1080" spans="1:89" s="41" customFormat="1" ht="12.75" customHeight="1">
      <c r="A1080" s="25" t="s">
        <v>746</v>
      </c>
      <c r="B1080" s="25" t="str">
        <f t="shared" si="455"/>
        <v>Reg Asset254017601009/601246BG030247</v>
      </c>
      <c r="C1080" s="736">
        <v>254017</v>
      </c>
      <c r="D1080" s="738" t="s">
        <v>1232</v>
      </c>
      <c r="E1080" s="41" t="s">
        <v>1231</v>
      </c>
      <c r="F1080" s="41" t="str">
        <f t="shared" si="443"/>
        <v>OTH REG LIAB - MISC - GAS</v>
      </c>
      <c r="G1080" s="41" t="s">
        <v>1233</v>
      </c>
      <c r="H1080" s="736" t="s">
        <v>1234</v>
      </c>
      <c r="I1080" s="25"/>
      <c r="J1080" s="25" t="str">
        <f t="shared" si="444"/>
        <v/>
      </c>
      <c r="K1080" s="442" t="str">
        <f t="shared" si="474"/>
        <v/>
      </c>
      <c r="L1080" s="736" t="s">
        <v>2441</v>
      </c>
      <c r="M1080" s="25" t="str">
        <f t="shared" si="462"/>
        <v>R</v>
      </c>
      <c r="N1080" s="25" t="str">
        <f>IF(L1080&lt;&gt;"",VLOOKUP(L1080,Categories!$B$2:$D$41,2,FALSE),IF(F1080&lt;&gt;"","No Cat",""))</f>
        <v>Rate Base</v>
      </c>
      <c r="O1080" s="25" t="str">
        <f>IF($L1080&lt;&gt;"",VLOOKUP($L1080,Categories!$B$2:$D$41,3,FALSE),IF($F1080&lt;&gt;"","No Cat",""))</f>
        <v>Deferred Debits &amp; Credits</v>
      </c>
      <c r="P1080" s="736" t="s">
        <v>2483</v>
      </c>
      <c r="Q1080" s="25" t="str">
        <f>VLOOKUP($P1080,Allocators!$B$7:$F$19,5,FALSE)</f>
        <v>Gas</v>
      </c>
      <c r="R1080" s="737">
        <f>VLOOKUP($P1080,Allocators!$B$7:$F$19,2,FALSE)</f>
        <v>0</v>
      </c>
      <c r="S1080" s="737">
        <f>VLOOKUP($P1080,Allocators!$B$7:$F$19,3,FALSE)</f>
        <v>1</v>
      </c>
      <c r="T1080" s="737" t="str">
        <f t="shared" si="463"/>
        <v>0.0%</v>
      </c>
      <c r="U1080" s="2" t="str">
        <f t="shared" si="456"/>
        <v/>
      </c>
      <c r="V1080" s="2" t="str">
        <f t="shared" si="457"/>
        <v/>
      </c>
      <c r="W1080" s="2" t="str">
        <f t="shared" si="458"/>
        <v/>
      </c>
      <c r="X1080" s="2">
        <f t="shared" si="449"/>
        <v>0</v>
      </c>
      <c r="Y1080" s="2" t="str">
        <f t="shared" si="459"/>
        <v/>
      </c>
      <c r="Z1080" s="2" t="str">
        <f t="shared" si="460"/>
        <v/>
      </c>
      <c r="AA1080" s="2" t="str">
        <f t="shared" si="461"/>
        <v/>
      </c>
      <c r="AB1080" s="2">
        <f t="shared" si="450"/>
        <v>0</v>
      </c>
      <c r="AC1080" s="625">
        <v>0</v>
      </c>
      <c r="AD1080" s="625">
        <v>0</v>
      </c>
      <c r="AE1080" s="625">
        <v>0</v>
      </c>
      <c r="AF1080" s="38">
        <v>0</v>
      </c>
      <c r="AG1080" s="625">
        <v>0</v>
      </c>
      <c r="AH1080" s="625">
        <v>0</v>
      </c>
      <c r="AI1080" s="625">
        <v>0</v>
      </c>
      <c r="AJ1080" s="625">
        <v>0</v>
      </c>
      <c r="AK1080" s="625">
        <v>0</v>
      </c>
      <c r="AL1080" s="625">
        <v>0</v>
      </c>
      <c r="AM1080" s="625">
        <v>0</v>
      </c>
      <c r="AN1080" s="625">
        <v>0</v>
      </c>
      <c r="AO1080" s="625">
        <v>0</v>
      </c>
      <c r="AP1080" s="41" t="str">
        <f t="shared" si="446"/>
        <v>Reg AssetR</v>
      </c>
      <c r="AQ1080" s="41" t="str">
        <f t="shared" si="447"/>
        <v>Reg AssetRR10Merchant Function Charge-Gas</v>
      </c>
      <c r="AR1080" s="41" t="str">
        <f t="shared" si="448"/>
        <v>R10Merchant Function Charge-Gas</v>
      </c>
      <c r="CK1080" s="625"/>
    </row>
    <row r="1081" spans="1:89" s="41" customFormat="1" ht="12.75" customHeight="1">
      <c r="A1081" s="25" t="s">
        <v>746</v>
      </c>
      <c r="B1081" s="25" t="str">
        <f t="shared" si="455"/>
        <v>Reg Asset254017BG039999</v>
      </c>
      <c r="C1081" s="736">
        <v>254017</v>
      </c>
      <c r="D1081" s="738"/>
      <c r="E1081" s="41" t="s">
        <v>1148</v>
      </c>
      <c r="F1081" s="41" t="str">
        <f t="shared" si="443"/>
        <v>OTH REG LIAB - MISC - GAS</v>
      </c>
      <c r="G1081" s="41" t="s">
        <v>1235</v>
      </c>
      <c r="H1081" s="736" t="s">
        <v>812</v>
      </c>
      <c r="I1081" s="25"/>
      <c r="J1081" s="25" t="str">
        <f t="shared" si="444"/>
        <v/>
      </c>
      <c r="K1081" s="442" t="str">
        <f t="shared" si="474"/>
        <v/>
      </c>
      <c r="L1081" s="736" t="s">
        <v>2441</v>
      </c>
      <c r="M1081" s="25" t="str">
        <f t="shared" si="462"/>
        <v>R</v>
      </c>
      <c r="N1081" s="25" t="str">
        <f>IF(L1081&lt;&gt;"",VLOOKUP(L1081,Categories!$B$2:$D$41,2,FALSE),IF(F1081&lt;&gt;"","No Cat",""))</f>
        <v>Rate Base</v>
      </c>
      <c r="O1081" s="25" t="str">
        <f>IF($L1081&lt;&gt;"",VLOOKUP($L1081,Categories!$B$2:$D$41,3,FALSE),IF($F1081&lt;&gt;"","No Cat",""))</f>
        <v>Deferred Debits &amp; Credits</v>
      </c>
      <c r="P1081" s="736" t="s">
        <v>2483</v>
      </c>
      <c r="Q1081" s="25" t="str">
        <f>VLOOKUP($P1081,Allocators!$B$7:$F$19,5,FALSE)</f>
        <v>Gas</v>
      </c>
      <c r="R1081" s="737">
        <f>VLOOKUP($P1081,Allocators!$B$7:$F$19,2,FALSE)</f>
        <v>0</v>
      </c>
      <c r="S1081" s="737">
        <f>VLOOKUP($P1081,Allocators!$B$7:$F$19,3,FALSE)</f>
        <v>1</v>
      </c>
      <c r="T1081" s="737" t="str">
        <f t="shared" si="463"/>
        <v>0.0%</v>
      </c>
      <c r="U1081" s="2" t="str">
        <f t="shared" si="456"/>
        <v/>
      </c>
      <c r="V1081" s="2" t="str">
        <f t="shared" si="457"/>
        <v/>
      </c>
      <c r="W1081" s="2" t="str">
        <f t="shared" si="458"/>
        <v/>
      </c>
      <c r="X1081" s="2">
        <f t="shared" si="449"/>
        <v>0</v>
      </c>
      <c r="Y1081" s="2" t="str">
        <f t="shared" si="459"/>
        <v/>
      </c>
      <c r="Z1081" s="2" t="str">
        <f t="shared" si="460"/>
        <v/>
      </c>
      <c r="AA1081" s="2" t="str">
        <f t="shared" si="461"/>
        <v/>
      </c>
      <c r="AB1081" s="2">
        <f t="shared" si="450"/>
        <v>0</v>
      </c>
      <c r="AC1081" s="625">
        <v>0</v>
      </c>
      <c r="AD1081" s="625">
        <v>0</v>
      </c>
      <c r="AE1081" s="625">
        <v>0</v>
      </c>
      <c r="AF1081" s="38">
        <v>0</v>
      </c>
      <c r="AG1081" s="625">
        <v>0</v>
      </c>
      <c r="AH1081" s="625">
        <v>0</v>
      </c>
      <c r="AI1081" s="625">
        <v>0</v>
      </c>
      <c r="AJ1081" s="625">
        <v>0</v>
      </c>
      <c r="AK1081" s="625">
        <v>0</v>
      </c>
      <c r="AL1081" s="625">
        <v>0</v>
      </c>
      <c r="AM1081" s="625">
        <v>0</v>
      </c>
      <c r="AN1081" s="625">
        <v>0</v>
      </c>
      <c r="AO1081" s="625">
        <v>0</v>
      </c>
      <c r="AP1081" s="41" t="str">
        <f t="shared" si="446"/>
        <v>Reg AssetR</v>
      </c>
      <c r="AQ1081" s="41" t="str">
        <f t="shared" si="447"/>
        <v>Reg AssetRR10OPEB True-up</v>
      </c>
      <c r="AR1081" s="41" t="str">
        <f t="shared" si="448"/>
        <v>R10OPEB True-up</v>
      </c>
      <c r="CK1081" s="625"/>
    </row>
    <row r="1082" spans="1:89" s="41" customFormat="1" ht="12.75" customHeight="1">
      <c r="A1082" s="25" t="s">
        <v>746</v>
      </c>
      <c r="B1082" s="25" t="str">
        <f t="shared" si="455"/>
        <v>Reg Asset254017601008BG030250</v>
      </c>
      <c r="C1082" s="736">
        <v>254017</v>
      </c>
      <c r="D1082" s="738">
        <v>601008</v>
      </c>
      <c r="E1082" s="41" t="s">
        <v>1236</v>
      </c>
      <c r="F1082" s="41" t="str">
        <f t="shared" si="443"/>
        <v>OTH REG LIAB - MISC - GAS</v>
      </c>
      <c r="G1082" s="41" t="s">
        <v>1237</v>
      </c>
      <c r="H1082" s="736" t="s">
        <v>814</v>
      </c>
      <c r="I1082" s="25"/>
      <c r="J1082" s="25" t="str">
        <f t="shared" si="444"/>
        <v/>
      </c>
      <c r="K1082" s="442" t="str">
        <f t="shared" si="474"/>
        <v/>
      </c>
      <c r="L1082" s="736" t="s">
        <v>2441</v>
      </c>
      <c r="M1082" s="25" t="str">
        <f t="shared" si="462"/>
        <v>R</v>
      </c>
      <c r="N1082" s="25" t="str">
        <f>IF(L1082&lt;&gt;"",VLOOKUP(L1082,Categories!$B$2:$D$41,2,FALSE),IF(F1082&lt;&gt;"","No Cat",""))</f>
        <v>Rate Base</v>
      </c>
      <c r="O1082" s="25" t="str">
        <f>IF($L1082&lt;&gt;"",VLOOKUP($L1082,Categories!$B$2:$D$41,3,FALSE),IF($F1082&lt;&gt;"","No Cat",""))</f>
        <v>Deferred Debits &amp; Credits</v>
      </c>
      <c r="P1082" s="736" t="s">
        <v>2483</v>
      </c>
      <c r="Q1082" s="25" t="str">
        <f>VLOOKUP($P1082,Allocators!$B$7:$F$19,5,FALSE)</f>
        <v>Gas</v>
      </c>
      <c r="R1082" s="737">
        <f>VLOOKUP($P1082,Allocators!$B$7:$F$19,2,FALSE)</f>
        <v>0</v>
      </c>
      <c r="S1082" s="737">
        <f>VLOOKUP($P1082,Allocators!$B$7:$F$19,3,FALSE)</f>
        <v>1</v>
      </c>
      <c r="T1082" s="737" t="str">
        <f t="shared" si="463"/>
        <v>0.0%</v>
      </c>
      <c r="U1082" s="2" t="str">
        <f t="shared" si="456"/>
        <v/>
      </c>
      <c r="V1082" s="2" t="str">
        <f t="shared" si="457"/>
        <v/>
      </c>
      <c r="W1082" s="2" t="str">
        <f t="shared" si="458"/>
        <v/>
      </c>
      <c r="X1082" s="2">
        <f t="shared" si="449"/>
        <v>0</v>
      </c>
      <c r="Y1082" s="2" t="str">
        <f t="shared" si="459"/>
        <v/>
      </c>
      <c r="Z1082" s="2" t="str">
        <f t="shared" si="460"/>
        <v/>
      </c>
      <c r="AA1082" s="2" t="str">
        <f t="shared" si="461"/>
        <v/>
      </c>
      <c r="AB1082" s="2">
        <f t="shared" si="450"/>
        <v>0</v>
      </c>
      <c r="AC1082" s="625">
        <v>0</v>
      </c>
      <c r="AD1082" s="625">
        <v>0</v>
      </c>
      <c r="AE1082" s="625">
        <v>0</v>
      </c>
      <c r="AF1082" s="38">
        <v>0</v>
      </c>
      <c r="AG1082" s="625">
        <v>0</v>
      </c>
      <c r="AH1082" s="625">
        <v>0</v>
      </c>
      <c r="AI1082" s="625">
        <v>0</v>
      </c>
      <c r="AJ1082" s="625">
        <v>0</v>
      </c>
      <c r="AK1082" s="625">
        <v>0</v>
      </c>
      <c r="AL1082" s="625">
        <v>0</v>
      </c>
      <c r="AM1082" s="625">
        <v>0</v>
      </c>
      <c r="AN1082" s="625">
        <v>0</v>
      </c>
      <c r="AO1082" s="625">
        <v>0</v>
      </c>
      <c r="AP1082" s="41" t="str">
        <f t="shared" si="446"/>
        <v>Reg AssetR</v>
      </c>
      <c r="AQ1082" s="41" t="str">
        <f t="shared" si="447"/>
        <v>Reg AssetRR10IRS Audit - 1998-2001</v>
      </c>
      <c r="AR1082" s="41" t="str">
        <f t="shared" si="448"/>
        <v>R10IRS Audit - 1998-2001</v>
      </c>
      <c r="CK1082" s="625"/>
    </row>
    <row r="1083" spans="1:89" s="41" customFormat="1" ht="12.75" customHeight="1">
      <c r="A1083" s="25" t="s">
        <v>746</v>
      </c>
      <c r="B1083" s="25" t="str">
        <f t="shared" si="455"/>
        <v>Reg Asset254017601008-ABG030250</v>
      </c>
      <c r="C1083" s="736">
        <v>254017</v>
      </c>
      <c r="D1083" s="738" t="s">
        <v>1238</v>
      </c>
      <c r="E1083" s="41" t="s">
        <v>1236</v>
      </c>
      <c r="F1083" s="41" t="str">
        <f t="shared" si="443"/>
        <v>OTH REG LIAB - MISC - GAS</v>
      </c>
      <c r="G1083" s="41" t="s">
        <v>1237</v>
      </c>
      <c r="H1083" s="736" t="s">
        <v>814</v>
      </c>
      <c r="I1083" s="25"/>
      <c r="J1083" s="25" t="str">
        <f t="shared" si="444"/>
        <v/>
      </c>
      <c r="K1083" s="442" t="str">
        <f t="shared" si="474"/>
        <v/>
      </c>
      <c r="L1083" s="736" t="s">
        <v>2441</v>
      </c>
      <c r="M1083" s="25" t="str">
        <f t="shared" si="462"/>
        <v>R</v>
      </c>
      <c r="N1083" s="25" t="str">
        <f>IF(L1083&lt;&gt;"",VLOOKUP(L1083,Categories!$B$2:$D$41,2,FALSE),IF(F1083&lt;&gt;"","No Cat",""))</f>
        <v>Rate Base</v>
      </c>
      <c r="O1083" s="25" t="str">
        <f>IF($L1083&lt;&gt;"",VLOOKUP($L1083,Categories!$B$2:$D$41,3,FALSE),IF($F1083&lt;&gt;"","No Cat",""))</f>
        <v>Deferred Debits &amp; Credits</v>
      </c>
      <c r="P1083" s="736" t="s">
        <v>2483</v>
      </c>
      <c r="Q1083" s="25" t="str">
        <f>VLOOKUP($P1083,Allocators!$B$7:$F$19,5,FALSE)</f>
        <v>Gas</v>
      </c>
      <c r="R1083" s="737">
        <f>VLOOKUP($P1083,Allocators!$B$7:$F$19,2,FALSE)</f>
        <v>0</v>
      </c>
      <c r="S1083" s="737">
        <f>VLOOKUP($P1083,Allocators!$B$7:$F$19,3,FALSE)</f>
        <v>1</v>
      </c>
      <c r="T1083" s="737" t="str">
        <f t="shared" si="463"/>
        <v>0.0%</v>
      </c>
      <c r="U1083" s="2" t="str">
        <f t="shared" si="456"/>
        <v/>
      </c>
      <c r="V1083" s="2" t="str">
        <f t="shared" si="457"/>
        <v/>
      </c>
      <c r="W1083" s="2" t="str">
        <f t="shared" si="458"/>
        <v/>
      </c>
      <c r="X1083" s="2">
        <f t="shared" si="449"/>
        <v>0</v>
      </c>
      <c r="Y1083" s="2" t="str">
        <f t="shared" si="459"/>
        <v/>
      </c>
      <c r="Z1083" s="2" t="str">
        <f t="shared" si="460"/>
        <v/>
      </c>
      <c r="AA1083" s="2" t="str">
        <f t="shared" si="461"/>
        <v/>
      </c>
      <c r="AB1083" s="2">
        <f t="shared" si="450"/>
        <v>0</v>
      </c>
      <c r="AC1083" s="734">
        <v>0</v>
      </c>
      <c r="AD1083" s="625">
        <v>0</v>
      </c>
      <c r="AE1083" s="625">
        <v>0</v>
      </c>
      <c r="AF1083" s="38">
        <v>0</v>
      </c>
      <c r="AG1083" s="625">
        <v>0</v>
      </c>
      <c r="AH1083" s="625">
        <v>0</v>
      </c>
      <c r="AI1083" s="625">
        <v>0</v>
      </c>
      <c r="AJ1083" s="625">
        <v>0</v>
      </c>
      <c r="AK1083" s="625">
        <v>0</v>
      </c>
      <c r="AL1083" s="625">
        <v>0</v>
      </c>
      <c r="AM1083" s="625">
        <v>0</v>
      </c>
      <c r="AN1083" s="625">
        <v>0</v>
      </c>
      <c r="AO1083" s="625">
        <v>0</v>
      </c>
      <c r="AP1083" s="41" t="str">
        <f t="shared" si="446"/>
        <v>Reg AssetR</v>
      </c>
      <c r="AQ1083" s="41" t="str">
        <f t="shared" si="447"/>
        <v>Reg AssetRR10IRS Audit - 1998-2001</v>
      </c>
      <c r="AR1083" s="41" t="str">
        <f t="shared" si="448"/>
        <v>R10IRS Audit - 1998-2001</v>
      </c>
      <c r="CK1083" s="625"/>
    </row>
    <row r="1084" spans="1:89" s="41" customFormat="1" ht="12.75" customHeight="1">
      <c r="A1084" s="25" t="s">
        <v>746</v>
      </c>
      <c r="B1084" s="25" t="str">
        <f t="shared" si="455"/>
        <v>Reg Asset254017601008-LBG030250</v>
      </c>
      <c r="C1084" s="736">
        <v>254017</v>
      </c>
      <c r="D1084" s="738" t="s">
        <v>1239</v>
      </c>
      <c r="E1084" s="41" t="s">
        <v>1236</v>
      </c>
      <c r="F1084" s="41" t="str">
        <f t="shared" si="443"/>
        <v>OTH REG LIAB - MISC - GAS</v>
      </c>
      <c r="G1084" s="41" t="s">
        <v>1237</v>
      </c>
      <c r="H1084" s="736" t="s">
        <v>814</v>
      </c>
      <c r="I1084" s="25"/>
      <c r="J1084" s="25" t="str">
        <f t="shared" si="444"/>
        <v/>
      </c>
      <c r="K1084" s="442" t="str">
        <f t="shared" si="474"/>
        <v/>
      </c>
      <c r="L1084" s="736" t="s">
        <v>2441</v>
      </c>
      <c r="M1084" s="25" t="str">
        <f t="shared" si="462"/>
        <v>R</v>
      </c>
      <c r="N1084" s="25" t="str">
        <f>IF(L1084&lt;&gt;"",VLOOKUP(L1084,Categories!$B$2:$D$41,2,FALSE),IF(F1084&lt;&gt;"","No Cat",""))</f>
        <v>Rate Base</v>
      </c>
      <c r="O1084" s="25" t="str">
        <f>IF($L1084&lt;&gt;"",VLOOKUP($L1084,Categories!$B$2:$D$41,3,FALSE),IF($F1084&lt;&gt;"","No Cat",""))</f>
        <v>Deferred Debits &amp; Credits</v>
      </c>
      <c r="P1084" s="736" t="s">
        <v>2483</v>
      </c>
      <c r="Q1084" s="25" t="str">
        <f>VLOOKUP($P1084,Allocators!$B$7:$F$19,5,FALSE)</f>
        <v>Gas</v>
      </c>
      <c r="R1084" s="737">
        <f>VLOOKUP($P1084,Allocators!$B$7:$F$19,2,FALSE)</f>
        <v>0</v>
      </c>
      <c r="S1084" s="737">
        <f>VLOOKUP($P1084,Allocators!$B$7:$F$19,3,FALSE)</f>
        <v>1</v>
      </c>
      <c r="T1084" s="737" t="str">
        <f t="shared" si="463"/>
        <v>0.0%</v>
      </c>
      <c r="U1084" s="2">
        <f t="shared" si="456"/>
        <v>0</v>
      </c>
      <c r="V1084" s="2">
        <f t="shared" si="457"/>
        <v>-199.10727</v>
      </c>
      <c r="W1084" s="2">
        <f t="shared" si="458"/>
        <v>0</v>
      </c>
      <c r="X1084" s="2">
        <f t="shared" si="449"/>
        <v>-199.10727</v>
      </c>
      <c r="Y1084" s="2">
        <f t="shared" si="459"/>
        <v>0</v>
      </c>
      <c r="Z1084" s="2">
        <f t="shared" si="460"/>
        <v>-199.10727</v>
      </c>
      <c r="AA1084" s="2">
        <f t="shared" si="461"/>
        <v>0</v>
      </c>
      <c r="AB1084" s="2">
        <f t="shared" si="450"/>
        <v>-199.10727</v>
      </c>
      <c r="AC1084" s="734">
        <v>-199.10727</v>
      </c>
      <c r="AD1084" s="625">
        <v>-199.10727</v>
      </c>
      <c r="AE1084" s="625">
        <v>-199.10727</v>
      </c>
      <c r="AF1084" s="625">
        <v>-199.10727</v>
      </c>
      <c r="AG1084" s="625">
        <v>-199.10727</v>
      </c>
      <c r="AH1084" s="625">
        <v>-199.10727</v>
      </c>
      <c r="AI1084" s="625">
        <v>-199.10727</v>
      </c>
      <c r="AJ1084" s="625">
        <v>-199.10727</v>
      </c>
      <c r="AK1084" s="625">
        <v>-199.10727</v>
      </c>
      <c r="AL1084" s="625">
        <v>-199.10727</v>
      </c>
      <c r="AM1084" s="625">
        <v>-199.10727</v>
      </c>
      <c r="AN1084" s="625">
        <v>-199.10727</v>
      </c>
      <c r="AO1084" s="625">
        <v>-199.10727</v>
      </c>
      <c r="AP1084" s="41" t="str">
        <f t="shared" si="446"/>
        <v>Reg AssetR</v>
      </c>
      <c r="AQ1084" s="41" t="str">
        <f t="shared" si="447"/>
        <v>Reg AssetRR10IRS Audit - 1998-2001</v>
      </c>
      <c r="AR1084" s="41" t="str">
        <f t="shared" si="448"/>
        <v>R10IRS Audit - 1998-2001</v>
      </c>
      <c r="CK1084" s="625"/>
    </row>
    <row r="1085" spans="1:89" s="41" customFormat="1" ht="12.75" customHeight="1">
      <c r="A1085" s="442" t="s">
        <v>746</v>
      </c>
      <c r="B1085" s="442" t="str">
        <f t="shared" si="455"/>
        <v>Reg Asset254017601140/601249BG030588</v>
      </c>
      <c r="C1085" s="736">
        <v>254017</v>
      </c>
      <c r="D1085" s="738" t="s">
        <v>1241</v>
      </c>
      <c r="E1085" s="626" t="s">
        <v>1240</v>
      </c>
      <c r="F1085" s="626" t="str">
        <f t="shared" si="443"/>
        <v>OTH REG LIAB - MISC - GAS</v>
      </c>
      <c r="G1085" s="626" t="s">
        <v>1185</v>
      </c>
      <c r="H1085" s="736" t="s">
        <v>1186</v>
      </c>
      <c r="I1085" s="442"/>
      <c r="J1085" s="442" t="s">
        <v>7</v>
      </c>
      <c r="K1085" s="442" t="str">
        <f t="shared" si="474"/>
        <v/>
      </c>
      <c r="L1085" s="736" t="s">
        <v>2436</v>
      </c>
      <c r="M1085" s="442" t="str">
        <f t="shared" si="462"/>
        <v>N</v>
      </c>
      <c r="N1085" s="442" t="str">
        <f>IF(L1085&lt;&gt;"",VLOOKUP(L1085,Categories!$B$2:$D$41,2,FALSE),IF(F1085&lt;&gt;"","No Cat",""))</f>
        <v>NRBASE</v>
      </c>
      <c r="O1085" s="442" t="str">
        <f>IF($L1085&lt;&gt;"",VLOOKUP($L1085,Categories!$B$2:$D$41,3,FALSE),IF($F1085&lt;&gt;"","No Cat",""))</f>
        <v>Deferrals Accruing Non-Cash Return   (other than ASGA)</v>
      </c>
      <c r="P1085" s="736" t="s">
        <v>2468</v>
      </c>
      <c r="Q1085" s="442" t="str">
        <f>VLOOKUP($P1085,Allocators!$B$7:$F$19,5,FALSE)</f>
        <v>Not in Rate Base</v>
      </c>
      <c r="R1085" s="737">
        <f>VLOOKUP($P1085,Allocators!$B$7:$F$19,2,FALSE)</f>
        <v>0</v>
      </c>
      <c r="S1085" s="737">
        <f>VLOOKUP($P1085,Allocators!$B$7:$F$19,3,FALSE)</f>
        <v>0</v>
      </c>
      <c r="T1085" s="737">
        <f t="shared" si="463"/>
        <v>1</v>
      </c>
      <c r="U1085" s="2">
        <f t="shared" si="456"/>
        <v>0</v>
      </c>
      <c r="V1085" s="2">
        <f t="shared" si="457"/>
        <v>0</v>
      </c>
      <c r="W1085" s="2">
        <f t="shared" si="458"/>
        <v>-4016.2946533333302</v>
      </c>
      <c r="X1085" s="2">
        <f t="shared" si="449"/>
        <v>-4016.2946533333302</v>
      </c>
      <c r="Y1085" s="2" t="str">
        <f t="shared" si="459"/>
        <v/>
      </c>
      <c r="Z1085" s="2" t="str">
        <f t="shared" si="460"/>
        <v/>
      </c>
      <c r="AA1085" s="2" t="str">
        <f t="shared" si="461"/>
        <v/>
      </c>
      <c r="AB1085" s="2">
        <f t="shared" si="450"/>
        <v>0</v>
      </c>
      <c r="AC1085" s="734">
        <v>-6622.0654000000004</v>
      </c>
      <c r="AD1085" s="625">
        <v>-6867.7699300000004</v>
      </c>
      <c r="AE1085" s="625">
        <v>-7113.2557300000008</v>
      </c>
      <c r="AF1085" s="625">
        <v>-7358.5219800000004</v>
      </c>
      <c r="AG1085" s="625">
        <v>-7603.5678500000004</v>
      </c>
      <c r="AH1085" s="625">
        <v>-7848.3925100000006</v>
      </c>
      <c r="AI1085" s="625">
        <v>-8092.9951400000009</v>
      </c>
      <c r="AJ1085" s="625">
        <v>0</v>
      </c>
      <c r="AK1085" s="625">
        <v>0</v>
      </c>
      <c r="AL1085" s="625">
        <v>0</v>
      </c>
      <c r="AM1085" s="625">
        <v>0</v>
      </c>
      <c r="AN1085" s="625">
        <v>0</v>
      </c>
      <c r="AO1085" s="625">
        <v>0</v>
      </c>
      <c r="AP1085" s="41" t="str">
        <f t="shared" si="446"/>
        <v>Reg AssetN</v>
      </c>
      <c r="AQ1085" s="41" t="str">
        <f t="shared" si="447"/>
        <v>Reg AssetNN10Bonus Depreciation Deferral</v>
      </c>
      <c r="AR1085" s="41" t="str">
        <f t="shared" si="448"/>
        <v>N10Bonus Depreciation DeferralNCR</v>
      </c>
      <c r="CK1085" s="625"/>
    </row>
    <row r="1086" spans="1:89" s="41" customFormat="1" ht="12.75" customHeight="1">
      <c r="A1086" s="25" t="s">
        <v>746</v>
      </c>
      <c r="B1086" s="25" t="str">
        <f t="shared" si="455"/>
        <v>Reg Asset254017BG039999</v>
      </c>
      <c r="C1086" s="736">
        <v>254017</v>
      </c>
      <c r="D1086" s="738"/>
      <c r="E1086" s="41" t="s">
        <v>1148</v>
      </c>
      <c r="F1086" s="41" t="str">
        <f t="shared" si="443"/>
        <v>OTH REG LIAB - MISC - GAS</v>
      </c>
      <c r="G1086" s="41" t="s">
        <v>1242</v>
      </c>
      <c r="H1086" s="736" t="s">
        <v>1142</v>
      </c>
      <c r="I1086" s="25"/>
      <c r="J1086" s="25" t="str">
        <f t="shared" si="444"/>
        <v/>
      </c>
      <c r="K1086" s="442" t="str">
        <f t="shared" si="474"/>
        <v/>
      </c>
      <c r="L1086" s="736" t="s">
        <v>2441</v>
      </c>
      <c r="M1086" s="25" t="str">
        <f t="shared" si="462"/>
        <v>R</v>
      </c>
      <c r="N1086" s="25" t="str">
        <f>IF(L1086&lt;&gt;"",VLOOKUP(L1086,Categories!$B$2:$D$41,2,FALSE),IF(F1086&lt;&gt;"","No Cat",""))</f>
        <v>Rate Base</v>
      </c>
      <c r="O1086" s="25" t="str">
        <f>IF($L1086&lt;&gt;"",VLOOKUP($L1086,Categories!$B$2:$D$41,3,FALSE),IF($F1086&lt;&gt;"","No Cat",""))</f>
        <v>Deferred Debits &amp; Credits</v>
      </c>
      <c r="P1086" s="736" t="s">
        <v>2483</v>
      </c>
      <c r="Q1086" s="25" t="str">
        <f>VLOOKUP($P1086,Allocators!$B$7:$F$19,5,FALSE)</f>
        <v>Gas</v>
      </c>
      <c r="R1086" s="737">
        <f>VLOOKUP($P1086,Allocators!$B$7:$F$19,2,FALSE)</f>
        <v>0</v>
      </c>
      <c r="S1086" s="737">
        <f>VLOOKUP($P1086,Allocators!$B$7:$F$19,3,FALSE)</f>
        <v>1</v>
      </c>
      <c r="T1086" s="737" t="str">
        <f t="shared" si="463"/>
        <v>0.0%</v>
      </c>
      <c r="U1086" s="2" t="str">
        <f t="shared" si="456"/>
        <v/>
      </c>
      <c r="V1086" s="2" t="str">
        <f t="shared" si="457"/>
        <v/>
      </c>
      <c r="W1086" s="2" t="str">
        <f t="shared" si="458"/>
        <v/>
      </c>
      <c r="X1086" s="2">
        <f t="shared" si="449"/>
        <v>0</v>
      </c>
      <c r="Y1086" s="2" t="str">
        <f t="shared" si="459"/>
        <v/>
      </c>
      <c r="Z1086" s="2" t="str">
        <f t="shared" si="460"/>
        <v/>
      </c>
      <c r="AA1086" s="2" t="str">
        <f t="shared" si="461"/>
        <v/>
      </c>
      <c r="AB1086" s="2">
        <f t="shared" si="450"/>
        <v>0</v>
      </c>
      <c r="AC1086" s="625">
        <v>0</v>
      </c>
      <c r="AD1086" s="625">
        <v>0</v>
      </c>
      <c r="AE1086" s="625">
        <v>0</v>
      </c>
      <c r="AF1086" s="38">
        <v>0</v>
      </c>
      <c r="AG1086" s="625">
        <v>0</v>
      </c>
      <c r="AH1086" s="625">
        <v>0</v>
      </c>
      <c r="AI1086" s="625">
        <v>0</v>
      </c>
      <c r="AJ1086" s="625">
        <v>0</v>
      </c>
      <c r="AK1086" s="625">
        <v>0</v>
      </c>
      <c r="AL1086" s="625">
        <v>0</v>
      </c>
      <c r="AM1086" s="625">
        <v>0</v>
      </c>
      <c r="AN1086" s="625">
        <v>0</v>
      </c>
      <c r="AO1086" s="625">
        <v>0</v>
      </c>
      <c r="AP1086" s="41" t="str">
        <f t="shared" si="446"/>
        <v>Reg AssetR</v>
      </c>
      <c r="AQ1086" s="41" t="str">
        <f t="shared" si="447"/>
        <v>Reg AssetRR10Gas Costs Deferred</v>
      </c>
      <c r="AR1086" s="41" t="str">
        <f t="shared" si="448"/>
        <v>R10Gas Costs Deferred</v>
      </c>
      <c r="CK1086" s="625"/>
    </row>
    <row r="1087" spans="1:89" s="41" customFormat="1" ht="12.75" customHeight="1">
      <c r="A1087" s="442" t="s">
        <v>746</v>
      </c>
      <c r="B1087" s="442" t="str">
        <f t="shared" si="455"/>
        <v>Reg Asset254017601040-GBG039999</v>
      </c>
      <c r="C1087" s="736">
        <v>254017</v>
      </c>
      <c r="D1087" s="738" t="s">
        <v>1243</v>
      </c>
      <c r="E1087" s="626" t="s">
        <v>1148</v>
      </c>
      <c r="F1087" s="626" t="str">
        <f t="shared" si="443"/>
        <v>OTH REG LIAB - MISC - GAS</v>
      </c>
      <c r="G1087" s="626" t="s">
        <v>1244</v>
      </c>
      <c r="H1087" s="736" t="s">
        <v>1245</v>
      </c>
      <c r="I1087" s="442"/>
      <c r="J1087" s="442" t="str">
        <f t="shared" si="444"/>
        <v/>
      </c>
      <c r="K1087" s="442" t="str">
        <f t="shared" si="474"/>
        <v/>
      </c>
      <c r="L1087" s="736" t="s">
        <v>2421</v>
      </c>
      <c r="M1087" s="442" t="str">
        <f t="shared" si="462"/>
        <v>N</v>
      </c>
      <c r="N1087" s="442" t="str">
        <f>IF(L1087&lt;&gt;"",VLOOKUP(L1087,Categories!$B$2:$D$41,2,FALSE),IF(F1087&lt;&gt;"","No Cat",""))</f>
        <v>NRBASE</v>
      </c>
      <c r="O1087" s="442" t="str">
        <f>IF($L1087&lt;&gt;"",VLOOKUP($L1087,Categories!$B$2:$D$41,3,FALSE),IF($F1087&lt;&gt;"","No Cat",""))</f>
        <v>Direct Assign Items Not in RB</v>
      </c>
      <c r="P1087" s="736" t="s">
        <v>2468</v>
      </c>
      <c r="Q1087" s="442" t="str">
        <f>VLOOKUP($P1087,Allocators!$B$7:$F$19,5,FALSE)</f>
        <v>Not in Rate Base</v>
      </c>
      <c r="R1087" s="737">
        <f>VLOOKUP($P1087,Allocators!$B$7:$F$19,2,FALSE)</f>
        <v>0</v>
      </c>
      <c r="S1087" s="737">
        <f>VLOOKUP($P1087,Allocators!$B$7:$F$19,3,FALSE)</f>
        <v>0</v>
      </c>
      <c r="T1087" s="737">
        <f t="shared" si="463"/>
        <v>1</v>
      </c>
      <c r="U1087" s="2" t="str">
        <f t="shared" si="456"/>
        <v/>
      </c>
      <c r="V1087" s="2" t="str">
        <f t="shared" si="457"/>
        <v/>
      </c>
      <c r="W1087" s="2" t="str">
        <f t="shared" si="458"/>
        <v/>
      </c>
      <c r="X1087" s="2">
        <f t="shared" si="449"/>
        <v>0</v>
      </c>
      <c r="Y1087" s="2" t="str">
        <f t="shared" si="459"/>
        <v/>
      </c>
      <c r="Z1087" s="2" t="str">
        <f t="shared" si="460"/>
        <v/>
      </c>
      <c r="AA1087" s="2" t="str">
        <f t="shared" si="461"/>
        <v/>
      </c>
      <c r="AB1087" s="2">
        <f t="shared" si="450"/>
        <v>0</v>
      </c>
      <c r="AC1087" s="625">
        <v>0</v>
      </c>
      <c r="AD1087" s="625">
        <v>0</v>
      </c>
      <c r="AE1087" s="625">
        <v>0</v>
      </c>
      <c r="AF1087" s="38">
        <v>0</v>
      </c>
      <c r="AG1087" s="625">
        <v>0</v>
      </c>
      <c r="AH1087" s="625">
        <v>0</v>
      </c>
      <c r="AI1087" s="625">
        <v>0</v>
      </c>
      <c r="AJ1087" s="625">
        <v>0</v>
      </c>
      <c r="AK1087" s="625">
        <v>0</v>
      </c>
      <c r="AL1087" s="625">
        <v>0</v>
      </c>
      <c r="AM1087" s="625">
        <v>0</v>
      </c>
      <c r="AN1087" s="625">
        <v>0</v>
      </c>
      <c r="AO1087" s="625">
        <v>0</v>
      </c>
      <c r="AP1087" s="41" t="str">
        <f t="shared" si="446"/>
        <v>Reg AssetN</v>
      </c>
      <c r="AQ1087" s="41" t="str">
        <f t="shared" si="447"/>
        <v>Reg AssetNN2Purchase of Receivables</v>
      </c>
      <c r="AR1087" s="41" t="str">
        <f t="shared" si="448"/>
        <v>N2Purchase of Receivables</v>
      </c>
      <c r="CK1087" s="625"/>
    </row>
    <row r="1088" spans="1:89" s="41" customFormat="1" ht="12.75" customHeight="1">
      <c r="A1088" s="25" t="s">
        <v>746</v>
      </c>
      <c r="B1088" s="25" t="str">
        <f t="shared" si="455"/>
        <v>Reg Asset254017601087-07BG030413</v>
      </c>
      <c r="C1088" s="736">
        <v>254017</v>
      </c>
      <c r="D1088" s="738" t="s">
        <v>1247</v>
      </c>
      <c r="E1088" s="41" t="s">
        <v>1246</v>
      </c>
      <c r="F1088" s="41" t="str">
        <f t="shared" si="443"/>
        <v>OTH REG LIAB - MISC - GAS</v>
      </c>
      <c r="G1088" s="41" t="s">
        <v>1248</v>
      </c>
      <c r="H1088" s="736" t="s">
        <v>1118</v>
      </c>
      <c r="I1088" s="25"/>
      <c r="J1088" s="25" t="str">
        <f t="shared" si="444"/>
        <v/>
      </c>
      <c r="K1088" s="442" t="str">
        <f t="shared" si="474"/>
        <v/>
      </c>
      <c r="L1088" s="736" t="s">
        <v>2441</v>
      </c>
      <c r="M1088" s="25" t="str">
        <f t="shared" si="462"/>
        <v>R</v>
      </c>
      <c r="N1088" s="25" t="str">
        <f>IF(L1088&lt;&gt;"",VLOOKUP(L1088,Categories!$B$2:$D$41,2,FALSE),IF(F1088&lt;&gt;"","No Cat",""))</f>
        <v>Rate Base</v>
      </c>
      <c r="O1088" s="25" t="str">
        <f>IF($L1088&lt;&gt;"",VLOOKUP($L1088,Categories!$B$2:$D$41,3,FALSE),IF($F1088&lt;&gt;"","No Cat",""))</f>
        <v>Deferred Debits &amp; Credits</v>
      </c>
      <c r="P1088" s="736" t="s">
        <v>2483</v>
      </c>
      <c r="Q1088" s="25" t="str">
        <f>VLOOKUP($P1088,Allocators!$B$7:$F$19,5,FALSE)</f>
        <v>Gas</v>
      </c>
      <c r="R1088" s="737">
        <f>VLOOKUP($P1088,Allocators!$B$7:$F$19,2,FALSE)</f>
        <v>0</v>
      </c>
      <c r="S1088" s="737">
        <f>VLOOKUP($P1088,Allocators!$B$7:$F$19,3,FALSE)</f>
        <v>1</v>
      </c>
      <c r="T1088" s="737" t="str">
        <f t="shared" si="463"/>
        <v>0.0%</v>
      </c>
      <c r="U1088" s="2" t="str">
        <f t="shared" si="456"/>
        <v/>
      </c>
      <c r="V1088" s="2" t="str">
        <f t="shared" si="457"/>
        <v/>
      </c>
      <c r="W1088" s="2" t="str">
        <f t="shared" si="458"/>
        <v/>
      </c>
      <c r="X1088" s="2">
        <f t="shared" si="449"/>
        <v>0</v>
      </c>
      <c r="Y1088" s="2" t="str">
        <f t="shared" si="459"/>
        <v/>
      </c>
      <c r="Z1088" s="2" t="str">
        <f t="shared" si="460"/>
        <v/>
      </c>
      <c r="AA1088" s="2" t="str">
        <f t="shared" si="461"/>
        <v/>
      </c>
      <c r="AB1088" s="2">
        <f t="shared" si="450"/>
        <v>0</v>
      </c>
      <c r="AC1088" s="625">
        <v>0</v>
      </c>
      <c r="AD1088" s="625">
        <v>0</v>
      </c>
      <c r="AE1088" s="625">
        <v>0</v>
      </c>
      <c r="AF1088" s="38">
        <v>0</v>
      </c>
      <c r="AG1088" s="625">
        <v>0</v>
      </c>
      <c r="AH1088" s="625">
        <v>0</v>
      </c>
      <c r="AI1088" s="625">
        <v>0</v>
      </c>
      <c r="AJ1088" s="625">
        <v>0</v>
      </c>
      <c r="AK1088" s="625">
        <v>0</v>
      </c>
      <c r="AL1088" s="625">
        <v>0</v>
      </c>
      <c r="AM1088" s="625">
        <v>0</v>
      </c>
      <c r="AN1088" s="625">
        <v>0</v>
      </c>
      <c r="AO1088" s="625">
        <v>0</v>
      </c>
      <c r="AP1088" s="41" t="str">
        <f t="shared" si="446"/>
        <v>Reg AssetR</v>
      </c>
      <c r="AQ1088" s="41" t="str">
        <f t="shared" si="447"/>
        <v>Reg AssetRR10Medicare Part D</v>
      </c>
      <c r="AR1088" s="41" t="str">
        <f t="shared" si="448"/>
        <v>R10Medicare Part D</v>
      </c>
      <c r="CK1088" s="625"/>
    </row>
    <row r="1089" spans="1:89" s="41" customFormat="1" ht="12.75" customHeight="1">
      <c r="A1089" s="25" t="s">
        <v>746</v>
      </c>
      <c r="B1089" s="25" t="str">
        <f t="shared" si="455"/>
        <v>Reg Asset254017601087-06BG030413</v>
      </c>
      <c r="C1089" s="736">
        <v>254017</v>
      </c>
      <c r="D1089" s="738" t="s">
        <v>1249</v>
      </c>
      <c r="E1089" s="41" t="s">
        <v>1246</v>
      </c>
      <c r="F1089" s="41" t="str">
        <f t="shared" si="443"/>
        <v>OTH REG LIAB - MISC - GAS</v>
      </c>
      <c r="G1089" s="41" t="s">
        <v>1248</v>
      </c>
      <c r="H1089" s="736" t="s">
        <v>1118</v>
      </c>
      <c r="I1089" s="25"/>
      <c r="J1089" s="25" t="str">
        <f t="shared" si="444"/>
        <v/>
      </c>
      <c r="K1089" s="442" t="str">
        <f t="shared" si="474"/>
        <v/>
      </c>
      <c r="L1089" s="736" t="s">
        <v>2441</v>
      </c>
      <c r="M1089" s="25" t="str">
        <f t="shared" si="462"/>
        <v>R</v>
      </c>
      <c r="N1089" s="25" t="str">
        <f>IF(L1089&lt;&gt;"",VLOOKUP(L1089,Categories!$B$2:$D$41,2,FALSE),IF(F1089&lt;&gt;"","No Cat",""))</f>
        <v>Rate Base</v>
      </c>
      <c r="O1089" s="25" t="str">
        <f>IF($L1089&lt;&gt;"",VLOOKUP($L1089,Categories!$B$2:$D$41,3,FALSE),IF($F1089&lt;&gt;"","No Cat",""))</f>
        <v>Deferred Debits &amp; Credits</v>
      </c>
      <c r="P1089" s="736" t="s">
        <v>2483</v>
      </c>
      <c r="Q1089" s="25" t="str">
        <f>VLOOKUP($P1089,Allocators!$B$7:$F$19,5,FALSE)</f>
        <v>Gas</v>
      </c>
      <c r="R1089" s="737">
        <f>VLOOKUP($P1089,Allocators!$B$7:$F$19,2,FALSE)</f>
        <v>0</v>
      </c>
      <c r="S1089" s="737">
        <f>VLOOKUP($P1089,Allocators!$B$7:$F$19,3,FALSE)</f>
        <v>1</v>
      </c>
      <c r="T1089" s="737" t="str">
        <f t="shared" si="463"/>
        <v>0.0%</v>
      </c>
      <c r="U1089" s="2" t="str">
        <f t="shared" si="456"/>
        <v/>
      </c>
      <c r="V1089" s="2" t="str">
        <f t="shared" si="457"/>
        <v/>
      </c>
      <c r="W1089" s="2" t="str">
        <f t="shared" si="458"/>
        <v/>
      </c>
      <c r="X1089" s="2">
        <f t="shared" si="449"/>
        <v>0</v>
      </c>
      <c r="Y1089" s="2" t="str">
        <f t="shared" si="459"/>
        <v/>
      </c>
      <c r="Z1089" s="2" t="str">
        <f t="shared" si="460"/>
        <v/>
      </c>
      <c r="AA1089" s="2" t="str">
        <f t="shared" si="461"/>
        <v/>
      </c>
      <c r="AB1089" s="2">
        <f t="shared" si="450"/>
        <v>0</v>
      </c>
      <c r="AC1089" s="734">
        <v>-7.2759576141834261E-15</v>
      </c>
      <c r="AD1089" s="625">
        <v>0</v>
      </c>
      <c r="AE1089" s="625">
        <v>0</v>
      </c>
      <c r="AF1089" s="38">
        <v>0</v>
      </c>
      <c r="AG1089" s="625">
        <v>0</v>
      </c>
      <c r="AH1089" s="625">
        <v>0</v>
      </c>
      <c r="AI1089" s="625">
        <v>0</v>
      </c>
      <c r="AJ1089" s="625">
        <v>0</v>
      </c>
      <c r="AK1089" s="625">
        <v>0</v>
      </c>
      <c r="AL1089" s="625">
        <v>0</v>
      </c>
      <c r="AM1089" s="625">
        <v>0</v>
      </c>
      <c r="AN1089" s="625">
        <v>0</v>
      </c>
      <c r="AO1089" s="625">
        <v>0</v>
      </c>
      <c r="AP1089" s="41" t="str">
        <f t="shared" si="446"/>
        <v>Reg AssetR</v>
      </c>
      <c r="AQ1089" s="41" t="str">
        <f t="shared" si="447"/>
        <v>Reg AssetRR10Medicare Part D</v>
      </c>
      <c r="AR1089" s="41" t="str">
        <f t="shared" si="448"/>
        <v>R10Medicare Part D</v>
      </c>
      <c r="CK1089" s="625"/>
    </row>
    <row r="1090" spans="1:89" s="41" customFormat="1" ht="12.75" customHeight="1">
      <c r="A1090" s="25" t="s">
        <v>746</v>
      </c>
      <c r="B1090" s="25" t="str">
        <f t="shared" si="455"/>
        <v>Reg Asset254017601087-08BG030413</v>
      </c>
      <c r="C1090" s="736">
        <v>254017</v>
      </c>
      <c r="D1090" s="738" t="s">
        <v>1250</v>
      </c>
      <c r="E1090" s="41" t="s">
        <v>1246</v>
      </c>
      <c r="F1090" s="41" t="str">
        <f t="shared" si="443"/>
        <v>OTH REG LIAB - MISC - GAS</v>
      </c>
      <c r="G1090" s="41" t="s">
        <v>1251</v>
      </c>
      <c r="H1090" s="736" t="s">
        <v>1118</v>
      </c>
      <c r="I1090" s="25"/>
      <c r="J1090" s="25" t="str">
        <f t="shared" si="444"/>
        <v/>
      </c>
      <c r="K1090" s="442" t="str">
        <f t="shared" si="474"/>
        <v/>
      </c>
      <c r="L1090" s="736" t="s">
        <v>2441</v>
      </c>
      <c r="M1090" s="25" t="str">
        <f t="shared" si="462"/>
        <v>R</v>
      </c>
      <c r="N1090" s="25" t="str">
        <f>IF(L1090&lt;&gt;"",VLOOKUP(L1090,Categories!$B$2:$D$41,2,FALSE),IF(F1090&lt;&gt;"","No Cat",""))</f>
        <v>Rate Base</v>
      </c>
      <c r="O1090" s="25" t="str">
        <f>IF($L1090&lt;&gt;"",VLOOKUP($L1090,Categories!$B$2:$D$41,3,FALSE),IF($F1090&lt;&gt;"","No Cat",""))</f>
        <v>Deferred Debits &amp; Credits</v>
      </c>
      <c r="P1090" s="736" t="s">
        <v>2483</v>
      </c>
      <c r="Q1090" s="25" t="str">
        <f>VLOOKUP($P1090,Allocators!$B$7:$F$19,5,FALSE)</f>
        <v>Gas</v>
      </c>
      <c r="R1090" s="737">
        <f>VLOOKUP($P1090,Allocators!$B$7:$F$19,2,FALSE)</f>
        <v>0</v>
      </c>
      <c r="S1090" s="737">
        <f>VLOOKUP($P1090,Allocators!$B$7:$F$19,3,FALSE)</f>
        <v>1</v>
      </c>
      <c r="T1090" s="737" t="str">
        <f t="shared" si="463"/>
        <v>0.0%</v>
      </c>
      <c r="U1090" s="2" t="str">
        <f t="shared" si="456"/>
        <v/>
      </c>
      <c r="V1090" s="2" t="str">
        <f t="shared" si="457"/>
        <v/>
      </c>
      <c r="W1090" s="2" t="str">
        <f t="shared" si="458"/>
        <v/>
      </c>
      <c r="X1090" s="2">
        <f t="shared" si="449"/>
        <v>0</v>
      </c>
      <c r="Y1090" s="2" t="str">
        <f t="shared" si="459"/>
        <v/>
      </c>
      <c r="Z1090" s="2" t="str">
        <f t="shared" si="460"/>
        <v/>
      </c>
      <c r="AA1090" s="2" t="str">
        <f t="shared" si="461"/>
        <v/>
      </c>
      <c r="AB1090" s="2">
        <f t="shared" si="450"/>
        <v>0</v>
      </c>
      <c r="AC1090" s="625">
        <v>0</v>
      </c>
      <c r="AD1090" s="625">
        <v>0</v>
      </c>
      <c r="AE1090" s="625">
        <v>0</v>
      </c>
      <c r="AF1090" s="38">
        <v>0</v>
      </c>
      <c r="AG1090" s="625">
        <v>0</v>
      </c>
      <c r="AH1090" s="625">
        <v>0</v>
      </c>
      <c r="AI1090" s="625">
        <v>0</v>
      </c>
      <c r="AJ1090" s="625">
        <v>0</v>
      </c>
      <c r="AK1090" s="625">
        <v>0</v>
      </c>
      <c r="AL1090" s="625">
        <v>0</v>
      </c>
      <c r="AM1090" s="625">
        <v>0</v>
      </c>
      <c r="AN1090" s="625">
        <v>0</v>
      </c>
      <c r="AO1090" s="625">
        <v>0</v>
      </c>
      <c r="AP1090" s="41" t="str">
        <f t="shared" si="446"/>
        <v>Reg AssetR</v>
      </c>
      <c r="AQ1090" s="41" t="str">
        <f t="shared" si="447"/>
        <v>Reg AssetRR10Medicare Part D</v>
      </c>
      <c r="AR1090" s="41" t="str">
        <f t="shared" si="448"/>
        <v>R10Medicare Part D</v>
      </c>
      <c r="CK1090" s="625"/>
    </row>
    <row r="1091" spans="1:89" s="41" customFormat="1" ht="12.75" customHeight="1">
      <c r="A1091" s="25" t="s">
        <v>746</v>
      </c>
      <c r="B1091" s="25" t="str">
        <f t="shared" si="455"/>
        <v>Reg Asset254017601087-09BG030413</v>
      </c>
      <c r="C1091" s="736">
        <v>254017</v>
      </c>
      <c r="D1091" s="738" t="s">
        <v>1252</v>
      </c>
      <c r="E1091" s="41" t="s">
        <v>1246</v>
      </c>
      <c r="F1091" s="41" t="str">
        <f t="shared" si="443"/>
        <v>OTH REG LIAB - MISC - GAS</v>
      </c>
      <c r="G1091" s="41" t="s">
        <v>1253</v>
      </c>
      <c r="H1091" s="736" t="s">
        <v>1118</v>
      </c>
      <c r="I1091" s="25"/>
      <c r="J1091" s="25" t="str">
        <f t="shared" si="444"/>
        <v/>
      </c>
      <c r="K1091" s="442" t="str">
        <f t="shared" si="474"/>
        <v/>
      </c>
      <c r="L1091" s="736" t="s">
        <v>2441</v>
      </c>
      <c r="M1091" s="25" t="str">
        <f t="shared" si="462"/>
        <v>R</v>
      </c>
      <c r="N1091" s="25" t="str">
        <f>IF(L1091&lt;&gt;"",VLOOKUP(L1091,Categories!$B$2:$D$41,2,FALSE),IF(F1091&lt;&gt;"","No Cat",""))</f>
        <v>Rate Base</v>
      </c>
      <c r="O1091" s="25" t="str">
        <f>IF($L1091&lt;&gt;"",VLOOKUP($L1091,Categories!$B$2:$D$41,3,FALSE),IF($F1091&lt;&gt;"","No Cat",""))</f>
        <v>Deferred Debits &amp; Credits</v>
      </c>
      <c r="P1091" s="736" t="s">
        <v>2483</v>
      </c>
      <c r="Q1091" s="25" t="str">
        <f>VLOOKUP($P1091,Allocators!$B$7:$F$19,5,FALSE)</f>
        <v>Gas</v>
      </c>
      <c r="R1091" s="737">
        <f>VLOOKUP($P1091,Allocators!$B$7:$F$19,2,FALSE)</f>
        <v>0</v>
      </c>
      <c r="S1091" s="737">
        <f>VLOOKUP($P1091,Allocators!$B$7:$F$19,3,FALSE)</f>
        <v>1</v>
      </c>
      <c r="T1091" s="737" t="str">
        <f t="shared" si="463"/>
        <v>0.0%</v>
      </c>
      <c r="U1091" s="2" t="str">
        <f t="shared" si="456"/>
        <v/>
      </c>
      <c r="V1091" s="2" t="str">
        <f t="shared" si="457"/>
        <v/>
      </c>
      <c r="W1091" s="2" t="str">
        <f t="shared" si="458"/>
        <v/>
      </c>
      <c r="X1091" s="2">
        <f t="shared" si="449"/>
        <v>0</v>
      </c>
      <c r="Y1091" s="2" t="str">
        <f t="shared" si="459"/>
        <v/>
      </c>
      <c r="Z1091" s="2" t="str">
        <f t="shared" si="460"/>
        <v/>
      </c>
      <c r="AA1091" s="2" t="str">
        <f t="shared" si="461"/>
        <v/>
      </c>
      <c r="AB1091" s="2">
        <f t="shared" si="450"/>
        <v>0</v>
      </c>
      <c r="AC1091" s="625">
        <v>0</v>
      </c>
      <c r="AD1091" s="625">
        <v>0</v>
      </c>
      <c r="AE1091" s="625">
        <v>0</v>
      </c>
      <c r="AF1091" s="38">
        <v>0</v>
      </c>
      <c r="AG1091" s="625">
        <v>0</v>
      </c>
      <c r="AH1091" s="625">
        <v>0</v>
      </c>
      <c r="AI1091" s="625">
        <v>0</v>
      </c>
      <c r="AJ1091" s="625">
        <v>0</v>
      </c>
      <c r="AK1091" s="625">
        <v>0</v>
      </c>
      <c r="AL1091" s="625">
        <v>0</v>
      </c>
      <c r="AM1091" s="625">
        <v>0</v>
      </c>
      <c r="AN1091" s="625">
        <v>0</v>
      </c>
      <c r="AO1091" s="625">
        <v>0</v>
      </c>
      <c r="AP1091" s="41" t="str">
        <f t="shared" si="446"/>
        <v>Reg AssetR</v>
      </c>
      <c r="AQ1091" s="41" t="str">
        <f t="shared" si="447"/>
        <v>Reg AssetRR10Medicare Part D</v>
      </c>
      <c r="AR1091" s="41" t="str">
        <f t="shared" si="448"/>
        <v>R10Medicare Part D</v>
      </c>
      <c r="CK1091" s="625"/>
    </row>
    <row r="1092" spans="1:89" s="41" customFormat="1" ht="12.75" customHeight="1">
      <c r="A1092" s="25" t="s">
        <v>746</v>
      </c>
      <c r="B1092" s="25" t="str">
        <f t="shared" si="455"/>
        <v>Reg Asset254017601087-10BG030413</v>
      </c>
      <c r="C1092" s="736">
        <v>254017</v>
      </c>
      <c r="D1092" s="738" t="s">
        <v>1254</v>
      </c>
      <c r="E1092" s="41" t="s">
        <v>1246</v>
      </c>
      <c r="F1092" s="41" t="str">
        <f t="shared" si="443"/>
        <v>OTH REG LIAB - MISC - GAS</v>
      </c>
      <c r="G1092" s="41" t="s">
        <v>1255</v>
      </c>
      <c r="H1092" s="736" t="s">
        <v>1118</v>
      </c>
      <c r="I1092" s="25"/>
      <c r="J1092" s="25" t="str">
        <f t="shared" si="444"/>
        <v/>
      </c>
      <c r="K1092" s="442" t="str">
        <f t="shared" si="474"/>
        <v/>
      </c>
      <c r="L1092" s="736" t="s">
        <v>2441</v>
      </c>
      <c r="M1092" s="25" t="str">
        <f t="shared" si="462"/>
        <v>R</v>
      </c>
      <c r="N1092" s="25" t="str">
        <f>IF(L1092&lt;&gt;"",VLOOKUP(L1092,Categories!$B$2:$D$41,2,FALSE),IF(F1092&lt;&gt;"","No Cat",""))</f>
        <v>Rate Base</v>
      </c>
      <c r="O1092" s="25" t="str">
        <f>IF($L1092&lt;&gt;"",VLOOKUP($L1092,Categories!$B$2:$D$41,3,FALSE),IF($F1092&lt;&gt;"","No Cat",""))</f>
        <v>Deferred Debits &amp; Credits</v>
      </c>
      <c r="P1092" s="736" t="s">
        <v>2483</v>
      </c>
      <c r="Q1092" s="25" t="str">
        <f>VLOOKUP($P1092,Allocators!$B$7:$F$19,5,FALSE)</f>
        <v>Gas</v>
      </c>
      <c r="R1092" s="737">
        <f>VLOOKUP($P1092,Allocators!$B$7:$F$19,2,FALSE)</f>
        <v>0</v>
      </c>
      <c r="S1092" s="737">
        <f>VLOOKUP($P1092,Allocators!$B$7:$F$19,3,FALSE)</f>
        <v>1</v>
      </c>
      <c r="T1092" s="737" t="str">
        <f t="shared" si="463"/>
        <v>0.0%</v>
      </c>
      <c r="U1092" s="2">
        <f t="shared" si="456"/>
        <v>0</v>
      </c>
      <c r="V1092" s="2">
        <f t="shared" si="457"/>
        <v>-1.0000000000000001E-15</v>
      </c>
      <c r="W1092" s="2">
        <f t="shared" si="458"/>
        <v>0</v>
      </c>
      <c r="X1092" s="2">
        <f t="shared" si="449"/>
        <v>-1.0000000000000001E-15</v>
      </c>
      <c r="Y1092" s="2" t="str">
        <f t="shared" si="459"/>
        <v/>
      </c>
      <c r="Z1092" s="2" t="str">
        <f t="shared" si="460"/>
        <v/>
      </c>
      <c r="AA1092" s="2" t="str">
        <f t="shared" si="461"/>
        <v/>
      </c>
      <c r="AB1092" s="2">
        <f t="shared" si="450"/>
        <v>0</v>
      </c>
      <c r="AC1092" s="734">
        <v>-1.4551915228366852E-14</v>
      </c>
      <c r="AD1092" s="625">
        <v>0</v>
      </c>
      <c r="AE1092" s="625">
        <v>0</v>
      </c>
      <c r="AF1092" s="38">
        <v>0</v>
      </c>
      <c r="AG1092" s="625">
        <v>0</v>
      </c>
      <c r="AH1092" s="625">
        <v>0</v>
      </c>
      <c r="AI1092" s="625">
        <v>0</v>
      </c>
      <c r="AJ1092" s="625">
        <v>0</v>
      </c>
      <c r="AK1092" s="625">
        <v>0</v>
      </c>
      <c r="AL1092" s="625">
        <v>0</v>
      </c>
      <c r="AM1092" s="625">
        <v>0</v>
      </c>
      <c r="AN1092" s="625">
        <v>0</v>
      </c>
      <c r="AO1092" s="625">
        <v>0</v>
      </c>
      <c r="AP1092" s="41" t="str">
        <f t="shared" si="446"/>
        <v>Reg AssetR</v>
      </c>
      <c r="AQ1092" s="41" t="str">
        <f t="shared" si="447"/>
        <v>Reg AssetRR10Medicare Part D</v>
      </c>
      <c r="AR1092" s="41" t="str">
        <f t="shared" si="448"/>
        <v>R10Medicare Part D</v>
      </c>
      <c r="CK1092" s="625"/>
    </row>
    <row r="1093" spans="1:89" s="41" customFormat="1" ht="12.75" customHeight="1">
      <c r="A1093" s="25" t="s">
        <v>746</v>
      </c>
      <c r="B1093" s="25" t="str">
        <f t="shared" si="455"/>
        <v>Reg Asset254017601087-ABG030413</v>
      </c>
      <c r="C1093" s="736">
        <v>254017</v>
      </c>
      <c r="D1093" s="738" t="s">
        <v>1256</v>
      </c>
      <c r="E1093" s="41" t="s">
        <v>1246</v>
      </c>
      <c r="F1093" s="41" t="str">
        <f t="shared" si="443"/>
        <v>OTH REG LIAB - MISC - GAS</v>
      </c>
      <c r="G1093" s="41" t="s">
        <v>1257</v>
      </c>
      <c r="H1093" s="736" t="s">
        <v>1118</v>
      </c>
      <c r="I1093" s="25"/>
      <c r="J1093" s="25" t="str">
        <f t="shared" si="444"/>
        <v/>
      </c>
      <c r="K1093" s="442" t="str">
        <f t="shared" si="474"/>
        <v/>
      </c>
      <c r="L1093" s="736" t="s">
        <v>2441</v>
      </c>
      <c r="M1093" s="25" t="str">
        <f t="shared" si="462"/>
        <v>R</v>
      </c>
      <c r="N1093" s="25" t="str">
        <f>IF(L1093&lt;&gt;"",VLOOKUP(L1093,Categories!$B$2:$D$41,2,FALSE),IF(F1093&lt;&gt;"","No Cat",""))</f>
        <v>Rate Base</v>
      </c>
      <c r="O1093" s="25" t="str">
        <f>IF($L1093&lt;&gt;"",VLOOKUP($L1093,Categories!$B$2:$D$41,3,FALSE),IF($F1093&lt;&gt;"","No Cat",""))</f>
        <v>Deferred Debits &amp; Credits</v>
      </c>
      <c r="P1093" s="736" t="s">
        <v>2483</v>
      </c>
      <c r="Q1093" s="25" t="str">
        <f>VLOOKUP($P1093,Allocators!$B$7:$F$19,5,FALSE)</f>
        <v>Gas</v>
      </c>
      <c r="R1093" s="737">
        <f>VLOOKUP($P1093,Allocators!$B$7:$F$19,2,FALSE)</f>
        <v>0</v>
      </c>
      <c r="S1093" s="737">
        <f>VLOOKUP($P1093,Allocators!$B$7:$F$19,3,FALSE)</f>
        <v>1</v>
      </c>
      <c r="T1093" s="737" t="str">
        <f t="shared" si="463"/>
        <v>0.0%</v>
      </c>
      <c r="U1093" s="2">
        <f t="shared" si="456"/>
        <v>0</v>
      </c>
      <c r="V1093" s="2">
        <f t="shared" si="457"/>
        <v>2.0000000000000002E-15</v>
      </c>
      <c r="W1093" s="2">
        <f t="shared" si="458"/>
        <v>0</v>
      </c>
      <c r="X1093" s="2">
        <f t="shared" si="449"/>
        <v>2.0000000000000002E-15</v>
      </c>
      <c r="Y1093" s="2" t="str">
        <f t="shared" si="459"/>
        <v/>
      </c>
      <c r="Z1093" s="2" t="str">
        <f t="shared" si="460"/>
        <v/>
      </c>
      <c r="AA1093" s="2" t="str">
        <f t="shared" si="461"/>
        <v/>
      </c>
      <c r="AB1093" s="2">
        <f t="shared" si="450"/>
        <v>0</v>
      </c>
      <c r="AC1093" s="734">
        <v>5.5479176808148621E-14</v>
      </c>
      <c r="AD1093" s="625">
        <v>0</v>
      </c>
      <c r="AE1093" s="625">
        <v>0</v>
      </c>
      <c r="AF1093" s="38">
        <v>0</v>
      </c>
      <c r="AG1093" s="625">
        <v>0</v>
      </c>
      <c r="AH1093" s="625">
        <v>0</v>
      </c>
      <c r="AI1093" s="625">
        <v>0</v>
      </c>
      <c r="AJ1093" s="625">
        <v>0</v>
      </c>
      <c r="AK1093" s="625">
        <v>0</v>
      </c>
      <c r="AL1093" s="625">
        <v>0</v>
      </c>
      <c r="AM1093" s="625">
        <v>0</v>
      </c>
      <c r="AN1093" s="625">
        <v>0</v>
      </c>
      <c r="AO1093" s="625">
        <v>0</v>
      </c>
      <c r="AP1093" s="41" t="str">
        <f t="shared" si="446"/>
        <v>Reg AssetR</v>
      </c>
      <c r="AQ1093" s="41" t="str">
        <f t="shared" si="447"/>
        <v>Reg AssetRR10Medicare Part D</v>
      </c>
      <c r="AR1093" s="41" t="str">
        <f t="shared" si="448"/>
        <v>R10Medicare Part D</v>
      </c>
      <c r="CK1093" s="625"/>
    </row>
    <row r="1094" spans="1:89" s="41" customFormat="1" ht="12.75" customHeight="1">
      <c r="A1094" s="442" t="s">
        <v>746</v>
      </c>
      <c r="B1094" s="442" t="str">
        <f t="shared" si="455"/>
        <v>Reg Asset254017601087-LBG030413</v>
      </c>
      <c r="C1094" s="736">
        <v>254017</v>
      </c>
      <c r="D1094" s="738" t="s">
        <v>1258</v>
      </c>
      <c r="E1094" s="626" t="s">
        <v>1246</v>
      </c>
      <c r="F1094" s="626" t="str">
        <f t="shared" si="443"/>
        <v>OTH REG LIAB - MISC - GAS</v>
      </c>
      <c r="G1094" s="626" t="s">
        <v>1257</v>
      </c>
      <c r="H1094" s="736" t="s">
        <v>1118</v>
      </c>
      <c r="I1094" s="442"/>
      <c r="J1094" s="442" t="s">
        <v>7</v>
      </c>
      <c r="K1094" s="442" t="str">
        <f t="shared" si="474"/>
        <v/>
      </c>
      <c r="L1094" s="736" t="s">
        <v>2436</v>
      </c>
      <c r="M1094" s="442" t="str">
        <f t="shared" si="462"/>
        <v>N</v>
      </c>
      <c r="N1094" s="442" t="str">
        <f>IF(L1094&lt;&gt;"",VLOOKUP(L1094,Categories!$B$2:$D$41,2,FALSE),IF(F1094&lt;&gt;"","No Cat",""))</f>
        <v>NRBASE</v>
      </c>
      <c r="O1094" s="442" t="str">
        <f>IF($L1094&lt;&gt;"",VLOOKUP($L1094,Categories!$B$2:$D$41,3,FALSE),IF($F1094&lt;&gt;"","No Cat",""))</f>
        <v>Deferrals Accruing Non-Cash Return   (other than ASGA)</v>
      </c>
      <c r="P1094" s="736" t="s">
        <v>2468</v>
      </c>
      <c r="Q1094" s="442" t="str">
        <f>VLOOKUP($P1094,Allocators!$B$7:$F$19,5,FALSE)</f>
        <v>Not in Rate Base</v>
      </c>
      <c r="R1094" s="737">
        <f>VLOOKUP($P1094,Allocators!$B$7:$F$19,2,FALSE)</f>
        <v>0</v>
      </c>
      <c r="S1094" s="737">
        <f>VLOOKUP($P1094,Allocators!$B$7:$F$19,3,FALSE)</f>
        <v>0</v>
      </c>
      <c r="T1094" s="737">
        <f t="shared" si="463"/>
        <v>1</v>
      </c>
      <c r="U1094" s="2">
        <f t="shared" si="456"/>
        <v>0</v>
      </c>
      <c r="V1094" s="2">
        <f t="shared" si="457"/>
        <v>0</v>
      </c>
      <c r="W1094" s="2">
        <f t="shared" si="458"/>
        <v>-319.99986124999998</v>
      </c>
      <c r="X1094" s="2">
        <f t="shared" si="449"/>
        <v>-319.99986124999998</v>
      </c>
      <c r="Y1094" s="2">
        <f t="shared" si="459"/>
        <v>0</v>
      </c>
      <c r="Z1094" s="2">
        <f t="shared" si="460"/>
        <v>0</v>
      </c>
      <c r="AA1094" s="2">
        <f t="shared" si="461"/>
        <v>-330.97201000000001</v>
      </c>
      <c r="AB1094" s="2">
        <f t="shared" si="450"/>
        <v>-330.97201000000001</v>
      </c>
      <c r="AC1094" s="734">
        <v>-309.27125999999998</v>
      </c>
      <c r="AD1094" s="625">
        <v>-311.02397999999999</v>
      </c>
      <c r="AE1094" s="625">
        <v>-312.78663</v>
      </c>
      <c r="AF1094" s="625">
        <v>-314.55927000000003</v>
      </c>
      <c r="AG1094" s="625">
        <v>-316.34196000000003</v>
      </c>
      <c r="AH1094" s="625">
        <v>-318.13475</v>
      </c>
      <c r="AI1094" s="625">
        <v>-319.93770000000001</v>
      </c>
      <c r="AJ1094" s="625">
        <v>-321.75087000000002</v>
      </c>
      <c r="AK1094" s="625">
        <v>-323.57431000000003</v>
      </c>
      <c r="AL1094" s="625">
        <v>-325.40809000000002</v>
      </c>
      <c r="AM1094" s="625">
        <v>-327.25226000000004</v>
      </c>
      <c r="AN1094" s="625">
        <v>-329.10687999999999</v>
      </c>
      <c r="AO1094" s="625">
        <v>-330.97201000000001</v>
      </c>
      <c r="AP1094" s="41" t="str">
        <f t="shared" si="446"/>
        <v>Reg AssetN</v>
      </c>
      <c r="AQ1094" s="41" t="str">
        <f t="shared" si="447"/>
        <v>Reg AssetNN10Medicare Part D</v>
      </c>
      <c r="AR1094" s="41" t="str">
        <f t="shared" si="448"/>
        <v>N10Medicare Part DNCR</v>
      </c>
      <c r="CK1094" s="625"/>
    </row>
    <row r="1095" spans="1:89" s="41" customFormat="1" ht="12.75" customHeight="1">
      <c r="A1095" s="25" t="s">
        <v>746</v>
      </c>
      <c r="B1095" s="25" t="str">
        <f t="shared" si="455"/>
        <v>Reg Asset254017601091-06BG030414</v>
      </c>
      <c r="C1095" s="736">
        <v>254017</v>
      </c>
      <c r="D1095" s="738" t="s">
        <v>1260</v>
      </c>
      <c r="E1095" s="41" t="s">
        <v>1259</v>
      </c>
      <c r="F1095" s="41" t="str">
        <f t="shared" si="443"/>
        <v>OTH REG LIAB - MISC - GAS</v>
      </c>
      <c r="G1095" s="41" t="s">
        <v>1261</v>
      </c>
      <c r="H1095" s="736" t="s">
        <v>1124</v>
      </c>
      <c r="I1095" s="25"/>
      <c r="J1095" s="25" t="str">
        <f t="shared" si="444"/>
        <v/>
      </c>
      <c r="K1095" s="442" t="str">
        <f t="shared" si="474"/>
        <v/>
      </c>
      <c r="L1095" s="736" t="s">
        <v>2441</v>
      </c>
      <c r="M1095" s="25" t="str">
        <f t="shared" si="462"/>
        <v>R</v>
      </c>
      <c r="N1095" s="25" t="str">
        <f>IF(L1095&lt;&gt;"",VLOOKUP(L1095,Categories!$B$2:$D$41,2,FALSE),IF(F1095&lt;&gt;"","No Cat",""))</f>
        <v>Rate Base</v>
      </c>
      <c r="O1095" s="25" t="str">
        <f>IF($L1095&lt;&gt;"",VLOOKUP($L1095,Categories!$B$2:$D$41,3,FALSE),IF($F1095&lt;&gt;"","No Cat",""))</f>
        <v>Deferred Debits &amp; Credits</v>
      </c>
      <c r="P1095" s="736" t="s">
        <v>2483</v>
      </c>
      <c r="Q1095" s="25" t="str">
        <f>VLOOKUP($P1095,Allocators!$B$7:$F$19,5,FALSE)</f>
        <v>Gas</v>
      </c>
      <c r="R1095" s="737">
        <f>VLOOKUP($P1095,Allocators!$B$7:$F$19,2,FALSE)</f>
        <v>0</v>
      </c>
      <c r="S1095" s="737">
        <f>VLOOKUP($P1095,Allocators!$B$7:$F$19,3,FALSE)</f>
        <v>1</v>
      </c>
      <c r="T1095" s="737" t="str">
        <f t="shared" si="463"/>
        <v>0.0%</v>
      </c>
      <c r="U1095" s="2" t="str">
        <f t="shared" si="456"/>
        <v/>
      </c>
      <c r="V1095" s="2" t="str">
        <f t="shared" si="457"/>
        <v/>
      </c>
      <c r="W1095" s="2" t="str">
        <f t="shared" si="458"/>
        <v/>
      </c>
      <c r="X1095" s="2">
        <f t="shared" si="449"/>
        <v>0</v>
      </c>
      <c r="Y1095" s="2" t="str">
        <f t="shared" si="459"/>
        <v/>
      </c>
      <c r="Z1095" s="2" t="str">
        <f t="shared" si="460"/>
        <v/>
      </c>
      <c r="AA1095" s="2" t="str">
        <f t="shared" si="461"/>
        <v/>
      </c>
      <c r="AB1095" s="2">
        <f t="shared" si="450"/>
        <v>0</v>
      </c>
      <c r="AC1095" s="734">
        <v>0</v>
      </c>
      <c r="AD1095" s="625">
        <v>0</v>
      </c>
      <c r="AE1095" s="625">
        <v>0</v>
      </c>
      <c r="AF1095" s="38">
        <v>0</v>
      </c>
      <c r="AG1095" s="625">
        <v>0</v>
      </c>
      <c r="AH1095" s="625">
        <v>0</v>
      </c>
      <c r="AI1095" s="625">
        <v>0</v>
      </c>
      <c r="AJ1095" s="625">
        <v>0</v>
      </c>
      <c r="AK1095" s="625">
        <v>0</v>
      </c>
      <c r="AL1095" s="625">
        <v>0</v>
      </c>
      <c r="AM1095" s="625">
        <v>0</v>
      </c>
      <c r="AN1095" s="625">
        <v>0</v>
      </c>
      <c r="AO1095" s="625">
        <v>0</v>
      </c>
      <c r="AP1095" s="41" t="str">
        <f t="shared" si="446"/>
        <v>Reg AssetR</v>
      </c>
      <c r="AQ1095" s="41" t="str">
        <f t="shared" si="447"/>
        <v>Reg AssetRR10R&amp;D Tax Credit Deferral</v>
      </c>
      <c r="AR1095" s="41" t="str">
        <f t="shared" si="448"/>
        <v>R10R&amp;D Tax Credit Deferral</v>
      </c>
      <c r="CK1095" s="625"/>
    </row>
    <row r="1096" spans="1:89" s="41" customFormat="1" ht="12.75" customHeight="1">
      <c r="A1096" s="25" t="s">
        <v>746</v>
      </c>
      <c r="B1096" s="25" t="str">
        <f t="shared" si="455"/>
        <v>Reg Asset254017OPEB GasBG030248</v>
      </c>
      <c r="C1096" s="736">
        <v>254017</v>
      </c>
      <c r="D1096" s="738" t="s">
        <v>926</v>
      </c>
      <c r="E1096" s="41" t="s">
        <v>941</v>
      </c>
      <c r="F1096" s="41" t="str">
        <f t="shared" si="443"/>
        <v>OTH REG LIAB - MISC - GAS</v>
      </c>
      <c r="G1096" s="41" t="s">
        <v>926</v>
      </c>
      <c r="H1096" s="736" t="s">
        <v>812</v>
      </c>
      <c r="I1096" s="25"/>
      <c r="J1096" s="25" t="str">
        <f t="shared" si="444"/>
        <v/>
      </c>
      <c r="K1096" s="442" t="str">
        <f t="shared" si="474"/>
        <v/>
      </c>
      <c r="L1096" s="736" t="s">
        <v>2441</v>
      </c>
      <c r="M1096" s="25" t="str">
        <f t="shared" si="462"/>
        <v>R</v>
      </c>
      <c r="N1096" s="25" t="str">
        <f>IF(L1096&lt;&gt;"",VLOOKUP(L1096,Categories!$B$2:$D$41,2,FALSE),IF(F1096&lt;&gt;"","No Cat",""))</f>
        <v>Rate Base</v>
      </c>
      <c r="O1096" s="25" t="str">
        <f>IF($L1096&lt;&gt;"",VLOOKUP($L1096,Categories!$B$2:$D$41,3,FALSE),IF($F1096&lt;&gt;"","No Cat",""))</f>
        <v>Deferred Debits &amp; Credits</v>
      </c>
      <c r="P1096" s="736" t="s">
        <v>2483</v>
      </c>
      <c r="Q1096" s="25" t="str">
        <f>VLOOKUP($P1096,Allocators!$B$7:$F$19,5,FALSE)</f>
        <v>Gas</v>
      </c>
      <c r="R1096" s="737">
        <f>VLOOKUP($P1096,Allocators!$B$7:$F$19,2,FALSE)</f>
        <v>0</v>
      </c>
      <c r="S1096" s="737">
        <f>VLOOKUP($P1096,Allocators!$B$7:$F$19,3,FALSE)</f>
        <v>1</v>
      </c>
      <c r="T1096" s="737" t="str">
        <f t="shared" si="463"/>
        <v>0.0%</v>
      </c>
      <c r="U1096" s="2" t="str">
        <f t="shared" si="456"/>
        <v/>
      </c>
      <c r="V1096" s="2" t="str">
        <f t="shared" si="457"/>
        <v/>
      </c>
      <c r="W1096" s="2" t="str">
        <f t="shared" si="458"/>
        <v/>
      </c>
      <c r="X1096" s="2">
        <f t="shared" si="449"/>
        <v>0</v>
      </c>
      <c r="Y1096" s="2" t="str">
        <f t="shared" si="459"/>
        <v/>
      </c>
      <c r="Z1096" s="2" t="str">
        <f t="shared" si="460"/>
        <v/>
      </c>
      <c r="AA1096" s="2" t="str">
        <f t="shared" si="461"/>
        <v/>
      </c>
      <c r="AB1096" s="2">
        <f t="shared" si="450"/>
        <v>0</v>
      </c>
      <c r="AC1096" s="625">
        <v>0</v>
      </c>
      <c r="AD1096" s="625">
        <v>0</v>
      </c>
      <c r="AE1096" s="625">
        <v>0</v>
      </c>
      <c r="AF1096" s="38">
        <v>0</v>
      </c>
      <c r="AG1096" s="625">
        <v>0</v>
      </c>
      <c r="AH1096" s="625">
        <v>0</v>
      </c>
      <c r="AI1096" s="625">
        <v>0</v>
      </c>
      <c r="AJ1096" s="625">
        <v>0</v>
      </c>
      <c r="AK1096" s="625">
        <v>0</v>
      </c>
      <c r="AL1096" s="625">
        <v>0</v>
      </c>
      <c r="AM1096" s="625">
        <v>0</v>
      </c>
      <c r="AN1096" s="625">
        <v>0</v>
      </c>
      <c r="AO1096" s="625">
        <v>0</v>
      </c>
      <c r="AP1096" s="41" t="str">
        <f t="shared" ref="AP1096:AP1159" si="496">CONCATENATE(A1096,M1096)</f>
        <v>Reg AssetR</v>
      </c>
      <c r="AQ1096" s="41" t="str">
        <f t="shared" ref="AQ1096:AQ1159" si="497">CONCATENATE(AP1096,L1096,H1096)</f>
        <v>Reg AssetRR10OPEB True-up</v>
      </c>
      <c r="AR1096" s="41" t="str">
        <f t="shared" ref="AR1096:AR1159" si="498">CONCATENATE(L1096,H1096,J1096)</f>
        <v>R10OPEB True-up</v>
      </c>
      <c r="CK1096" s="625"/>
    </row>
    <row r="1097" spans="1:89" s="41" customFormat="1" ht="12.75" customHeight="1">
      <c r="A1097" s="25" t="s">
        <v>746</v>
      </c>
      <c r="B1097" s="25" t="str">
        <f t="shared" si="455"/>
        <v>Reg Asset254017OPEB Gas-ABG030248</v>
      </c>
      <c r="C1097" s="736">
        <v>254017</v>
      </c>
      <c r="D1097" s="738" t="s">
        <v>1262</v>
      </c>
      <c r="E1097" s="41" t="s">
        <v>941</v>
      </c>
      <c r="F1097" s="41" t="str">
        <f t="shared" si="443"/>
        <v>OTH REG LIAB - MISC - GAS</v>
      </c>
      <c r="G1097" s="41" t="s">
        <v>926</v>
      </c>
      <c r="H1097" s="736" t="s">
        <v>812</v>
      </c>
      <c r="I1097" s="25"/>
      <c r="J1097" s="25" t="str">
        <f t="shared" si="444"/>
        <v/>
      </c>
      <c r="K1097" s="442" t="str">
        <f t="shared" si="474"/>
        <v/>
      </c>
      <c r="L1097" s="736" t="s">
        <v>2441</v>
      </c>
      <c r="M1097" s="25" t="str">
        <f t="shared" si="462"/>
        <v>R</v>
      </c>
      <c r="N1097" s="25" t="str">
        <f>IF(L1097&lt;&gt;"",VLOOKUP(L1097,Categories!$B$2:$D$41,2,FALSE),IF(F1097&lt;&gt;"","No Cat",""))</f>
        <v>Rate Base</v>
      </c>
      <c r="O1097" s="25" t="str">
        <f>IF($L1097&lt;&gt;"",VLOOKUP($L1097,Categories!$B$2:$D$41,3,FALSE),IF($F1097&lt;&gt;"","No Cat",""))</f>
        <v>Deferred Debits &amp; Credits</v>
      </c>
      <c r="P1097" s="736" t="s">
        <v>2483</v>
      </c>
      <c r="Q1097" s="25" t="str">
        <f>VLOOKUP($P1097,Allocators!$B$7:$F$19,5,FALSE)</f>
        <v>Gas</v>
      </c>
      <c r="R1097" s="737">
        <f>VLOOKUP($P1097,Allocators!$B$7:$F$19,2,FALSE)</f>
        <v>0</v>
      </c>
      <c r="S1097" s="737">
        <f>VLOOKUP($P1097,Allocators!$B$7:$F$19,3,FALSE)</f>
        <v>1</v>
      </c>
      <c r="T1097" s="737" t="str">
        <f t="shared" si="463"/>
        <v>0.0%</v>
      </c>
      <c r="U1097" s="2">
        <f t="shared" si="456"/>
        <v>0</v>
      </c>
      <c r="V1097" s="2">
        <f t="shared" si="457"/>
        <v>2.9999999999999998E-15</v>
      </c>
      <c r="W1097" s="2">
        <f t="shared" si="458"/>
        <v>0</v>
      </c>
      <c r="X1097" s="2">
        <f t="shared" si="449"/>
        <v>2.9999999999999998E-15</v>
      </c>
      <c r="Y1097" s="2" t="str">
        <f t="shared" si="459"/>
        <v/>
      </c>
      <c r="Z1097" s="2" t="str">
        <f t="shared" si="460"/>
        <v/>
      </c>
      <c r="AA1097" s="2" t="str">
        <f t="shared" si="461"/>
        <v/>
      </c>
      <c r="AB1097" s="2">
        <f t="shared" si="450"/>
        <v>0</v>
      </c>
      <c r="AC1097" s="734">
        <v>7.2759576141834261E-14</v>
      </c>
      <c r="AD1097" s="625">
        <v>0</v>
      </c>
      <c r="AE1097" s="625">
        <v>0</v>
      </c>
      <c r="AF1097" s="38">
        <v>0</v>
      </c>
      <c r="AG1097" s="625">
        <v>0</v>
      </c>
      <c r="AH1097" s="625">
        <v>0</v>
      </c>
      <c r="AI1097" s="625">
        <v>0</v>
      </c>
      <c r="AJ1097" s="625">
        <v>0</v>
      </c>
      <c r="AK1097" s="625">
        <v>0</v>
      </c>
      <c r="AL1097" s="625">
        <v>0</v>
      </c>
      <c r="AM1097" s="625">
        <v>0</v>
      </c>
      <c r="AN1097" s="625">
        <v>0</v>
      </c>
      <c r="AO1097" s="625">
        <v>0</v>
      </c>
      <c r="AP1097" s="41" t="str">
        <f t="shared" si="496"/>
        <v>Reg AssetR</v>
      </c>
      <c r="AQ1097" s="41" t="str">
        <f t="shared" si="497"/>
        <v>Reg AssetRR10OPEB True-up</v>
      </c>
      <c r="AR1097" s="41" t="str">
        <f t="shared" si="498"/>
        <v>R10OPEB True-up</v>
      </c>
      <c r="CK1097" s="625"/>
    </row>
    <row r="1098" spans="1:89" s="41" customFormat="1" ht="12.75" customHeight="1">
      <c r="A1098" s="442" t="s">
        <v>746</v>
      </c>
      <c r="B1098" s="442" t="str">
        <f t="shared" si="455"/>
        <v>Reg Asset254017OPEB Gas_LBG030248</v>
      </c>
      <c r="C1098" s="736">
        <v>254017</v>
      </c>
      <c r="D1098" s="738" t="s">
        <v>1263</v>
      </c>
      <c r="E1098" s="626" t="s">
        <v>941</v>
      </c>
      <c r="F1098" s="626" t="str">
        <f t="shared" si="443"/>
        <v>OTH REG LIAB - MISC - GAS</v>
      </c>
      <c r="G1098" s="626" t="s">
        <v>926</v>
      </c>
      <c r="H1098" s="736" t="s">
        <v>812</v>
      </c>
      <c r="I1098" s="442"/>
      <c r="J1098" s="442" t="s">
        <v>7</v>
      </c>
      <c r="K1098" s="442" t="str">
        <f t="shared" si="474"/>
        <v/>
      </c>
      <c r="L1098" s="736" t="s">
        <v>2436</v>
      </c>
      <c r="M1098" s="442" t="str">
        <f t="shared" si="462"/>
        <v>N</v>
      </c>
      <c r="N1098" s="442" t="str">
        <f>IF(L1098&lt;&gt;"",VLOOKUP(L1098,Categories!$B$2:$D$41,2,FALSE),IF(F1098&lt;&gt;"","No Cat",""))</f>
        <v>NRBASE</v>
      </c>
      <c r="O1098" s="442" t="str">
        <f>IF($L1098&lt;&gt;"",VLOOKUP($L1098,Categories!$B$2:$D$41,3,FALSE),IF($F1098&lt;&gt;"","No Cat",""))</f>
        <v>Deferrals Accruing Non-Cash Return   (other than ASGA)</v>
      </c>
      <c r="P1098" s="736" t="s">
        <v>2468</v>
      </c>
      <c r="Q1098" s="442" t="str">
        <f>VLOOKUP($P1098,Allocators!$B$7:$F$19,5,FALSE)</f>
        <v>Not in Rate Base</v>
      </c>
      <c r="R1098" s="737">
        <f>VLOOKUP($P1098,Allocators!$B$7:$F$19,2,FALSE)</f>
        <v>0</v>
      </c>
      <c r="S1098" s="737">
        <f>VLOOKUP($P1098,Allocators!$B$7:$F$19,3,FALSE)</f>
        <v>0</v>
      </c>
      <c r="T1098" s="737">
        <f t="shared" si="463"/>
        <v>1</v>
      </c>
      <c r="U1098" s="2">
        <f t="shared" si="456"/>
        <v>0</v>
      </c>
      <c r="V1098" s="2">
        <f t="shared" si="457"/>
        <v>0</v>
      </c>
      <c r="W1098" s="2">
        <f t="shared" si="458"/>
        <v>-101.92249875</v>
      </c>
      <c r="X1098" s="2">
        <f t="shared" si="449"/>
        <v>-101.92249875</v>
      </c>
      <c r="Y1098" s="2">
        <f t="shared" si="459"/>
        <v>0</v>
      </c>
      <c r="Z1098" s="2">
        <f t="shared" si="460"/>
        <v>0</v>
      </c>
      <c r="AA1098" s="2">
        <f t="shared" si="461"/>
        <v>-105.41721</v>
      </c>
      <c r="AB1098" s="2">
        <f t="shared" si="450"/>
        <v>-105.41721000000003</v>
      </c>
      <c r="AC1098" s="734">
        <v>-98.505359999999996</v>
      </c>
      <c r="AD1098" s="625">
        <v>-99.063609999999997</v>
      </c>
      <c r="AE1098" s="625">
        <v>-99.625029999999995</v>
      </c>
      <c r="AF1098" s="625">
        <v>-100.18963000000001</v>
      </c>
      <c r="AG1098" s="625">
        <v>-100.75743000000001</v>
      </c>
      <c r="AH1098" s="625">
        <v>-101.32845000000002</v>
      </c>
      <c r="AI1098" s="625">
        <v>-101.90270000000001</v>
      </c>
      <c r="AJ1098" s="625">
        <v>-102.48021</v>
      </c>
      <c r="AK1098" s="625">
        <v>-103.06099</v>
      </c>
      <c r="AL1098" s="625">
        <v>-103.64506000000002</v>
      </c>
      <c r="AM1098" s="625">
        <v>-104.23244000000001</v>
      </c>
      <c r="AN1098" s="625">
        <v>-104.82315000000003</v>
      </c>
      <c r="AO1098" s="625">
        <v>-105.41721000000003</v>
      </c>
      <c r="AP1098" s="41" t="str">
        <f t="shared" si="496"/>
        <v>Reg AssetN</v>
      </c>
      <c r="AQ1098" s="41" t="str">
        <f t="shared" si="497"/>
        <v>Reg AssetNN10OPEB True-up</v>
      </c>
      <c r="AR1098" s="41" t="str">
        <f t="shared" si="498"/>
        <v>N10OPEB True-upNCR</v>
      </c>
      <c r="CK1098" s="625"/>
    </row>
    <row r="1099" spans="1:89" s="41" customFormat="1" ht="12.75" customHeight="1">
      <c r="A1099" s="25" t="s">
        <v>746</v>
      </c>
      <c r="B1099" s="25" t="str">
        <f t="shared" si="455"/>
        <v>Reg Asset254017601030G-03-ABG030393</v>
      </c>
      <c r="C1099" s="736">
        <v>254017</v>
      </c>
      <c r="D1099" s="738" t="s">
        <v>1265</v>
      </c>
      <c r="E1099" s="41" t="s">
        <v>1264</v>
      </c>
      <c r="F1099" s="41" t="str">
        <f t="shared" si="443"/>
        <v>OTH REG LIAB - MISC - GAS</v>
      </c>
      <c r="G1099" s="41" t="s">
        <v>1266</v>
      </c>
      <c r="H1099" s="736" t="s">
        <v>1168</v>
      </c>
      <c r="I1099" s="25"/>
      <c r="J1099" s="25" t="str">
        <f t="shared" si="444"/>
        <v/>
      </c>
      <c r="K1099" s="442" t="str">
        <f t="shared" si="474"/>
        <v/>
      </c>
      <c r="L1099" s="736" t="s">
        <v>2441</v>
      </c>
      <c r="M1099" s="25" t="str">
        <f t="shared" si="462"/>
        <v>R</v>
      </c>
      <c r="N1099" s="25" t="str">
        <f>IF(L1099&lt;&gt;"",VLOOKUP(L1099,Categories!$B$2:$D$41,2,FALSE),IF(F1099&lt;&gt;"","No Cat",""))</f>
        <v>Rate Base</v>
      </c>
      <c r="O1099" s="25" t="str">
        <f>IF($L1099&lt;&gt;"",VLOOKUP($L1099,Categories!$B$2:$D$41,3,FALSE),IF($F1099&lt;&gt;"","No Cat",""))</f>
        <v>Deferred Debits &amp; Credits</v>
      </c>
      <c r="P1099" s="736" t="s">
        <v>2483</v>
      </c>
      <c r="Q1099" s="25" t="str">
        <f>VLOOKUP($P1099,Allocators!$B$7:$F$19,5,FALSE)</f>
        <v>Gas</v>
      </c>
      <c r="R1099" s="737">
        <f>VLOOKUP($P1099,Allocators!$B$7:$F$19,2,FALSE)</f>
        <v>0</v>
      </c>
      <c r="S1099" s="737">
        <f>VLOOKUP($P1099,Allocators!$B$7:$F$19,3,FALSE)</f>
        <v>1</v>
      </c>
      <c r="T1099" s="737" t="str">
        <f t="shared" si="463"/>
        <v>0.0%</v>
      </c>
      <c r="U1099" s="2" t="str">
        <f t="shared" si="456"/>
        <v/>
      </c>
      <c r="V1099" s="2" t="str">
        <f t="shared" si="457"/>
        <v/>
      </c>
      <c r="W1099" s="2" t="str">
        <f t="shared" si="458"/>
        <v/>
      </c>
      <c r="X1099" s="2">
        <f t="shared" si="449"/>
        <v>0</v>
      </c>
      <c r="Y1099" s="2" t="str">
        <f t="shared" si="459"/>
        <v/>
      </c>
      <c r="Z1099" s="2" t="str">
        <f t="shared" si="460"/>
        <v/>
      </c>
      <c r="AA1099" s="2" t="str">
        <f t="shared" si="461"/>
        <v/>
      </c>
      <c r="AB1099" s="2">
        <f t="shared" si="450"/>
        <v>0</v>
      </c>
      <c r="AC1099" s="734">
        <v>0</v>
      </c>
      <c r="AD1099" s="625">
        <v>0</v>
      </c>
      <c r="AE1099" s="625">
        <v>0</v>
      </c>
      <c r="AF1099" s="38">
        <v>0</v>
      </c>
      <c r="AG1099" s="625">
        <v>0</v>
      </c>
      <c r="AH1099" s="625">
        <v>0</v>
      </c>
      <c r="AI1099" s="625">
        <v>0</v>
      </c>
      <c r="AJ1099" s="625">
        <v>0</v>
      </c>
      <c r="AK1099" s="625">
        <v>0</v>
      </c>
      <c r="AL1099" s="625">
        <v>0</v>
      </c>
      <c r="AM1099" s="625">
        <v>0</v>
      </c>
      <c r="AN1099" s="625">
        <v>0</v>
      </c>
      <c r="AO1099" s="625">
        <v>0</v>
      </c>
      <c r="AP1099" s="41" t="str">
        <f t="shared" si="496"/>
        <v>Reg AssetR</v>
      </c>
      <c r="AQ1099" s="41" t="str">
        <f t="shared" si="497"/>
        <v>Reg AssetRR10Variable Rate Debt - Pre-2004</v>
      </c>
      <c r="AR1099" s="41" t="str">
        <f t="shared" si="498"/>
        <v>R10Variable Rate Debt - Pre-2004</v>
      </c>
      <c r="CK1099" s="625"/>
    </row>
    <row r="1100" spans="1:89" s="41" customFormat="1" ht="12.75" customHeight="1">
      <c r="A1100" s="25" t="s">
        <v>746</v>
      </c>
      <c r="B1100" s="25" t="str">
        <f t="shared" si="455"/>
        <v>Reg Asset254017601030G-04BG030393</v>
      </c>
      <c r="C1100" s="736">
        <v>254017</v>
      </c>
      <c r="D1100" s="738" t="s">
        <v>1267</v>
      </c>
      <c r="E1100" s="41" t="s">
        <v>1264</v>
      </c>
      <c r="F1100" s="41" t="str">
        <f t="shared" si="443"/>
        <v>OTH REG LIAB - MISC - GAS</v>
      </c>
      <c r="G1100" s="41" t="s">
        <v>1268</v>
      </c>
      <c r="H1100" s="736" t="s">
        <v>822</v>
      </c>
      <c r="I1100" s="25"/>
      <c r="J1100" s="25" t="str">
        <f t="shared" si="444"/>
        <v/>
      </c>
      <c r="K1100" s="442" t="str">
        <f t="shared" si="474"/>
        <v/>
      </c>
      <c r="L1100" s="736" t="s">
        <v>2441</v>
      </c>
      <c r="M1100" s="25" t="str">
        <f t="shared" si="462"/>
        <v>R</v>
      </c>
      <c r="N1100" s="25" t="str">
        <f>IF(L1100&lt;&gt;"",VLOOKUP(L1100,Categories!$B$2:$D$41,2,FALSE),IF(F1100&lt;&gt;"","No Cat",""))</f>
        <v>Rate Base</v>
      </c>
      <c r="O1100" s="25" t="str">
        <f>IF($L1100&lt;&gt;"",VLOOKUP($L1100,Categories!$B$2:$D$41,3,FALSE),IF($F1100&lt;&gt;"","No Cat",""))</f>
        <v>Deferred Debits &amp; Credits</v>
      </c>
      <c r="P1100" s="736" t="s">
        <v>2483</v>
      </c>
      <c r="Q1100" s="25" t="str">
        <f>VLOOKUP($P1100,Allocators!$B$7:$F$19,5,FALSE)</f>
        <v>Gas</v>
      </c>
      <c r="R1100" s="737">
        <f>VLOOKUP($P1100,Allocators!$B$7:$F$19,2,FALSE)</f>
        <v>0</v>
      </c>
      <c r="S1100" s="737">
        <f>VLOOKUP($P1100,Allocators!$B$7:$F$19,3,FALSE)</f>
        <v>1</v>
      </c>
      <c r="T1100" s="737" t="str">
        <f t="shared" si="463"/>
        <v>0.0%</v>
      </c>
      <c r="U1100" s="2" t="str">
        <f t="shared" si="456"/>
        <v/>
      </c>
      <c r="V1100" s="2" t="str">
        <f t="shared" si="457"/>
        <v/>
      </c>
      <c r="W1100" s="2" t="str">
        <f t="shared" si="458"/>
        <v/>
      </c>
      <c r="X1100" s="2">
        <f t="shared" si="449"/>
        <v>0</v>
      </c>
      <c r="Y1100" s="2" t="str">
        <f t="shared" si="459"/>
        <v/>
      </c>
      <c r="Z1100" s="2" t="str">
        <f t="shared" si="460"/>
        <v/>
      </c>
      <c r="AA1100" s="2" t="str">
        <f t="shared" si="461"/>
        <v/>
      </c>
      <c r="AB1100" s="2">
        <f t="shared" si="450"/>
        <v>0</v>
      </c>
      <c r="AC1100" s="625">
        <v>0</v>
      </c>
      <c r="AD1100" s="625">
        <v>0</v>
      </c>
      <c r="AE1100" s="625">
        <v>0</v>
      </c>
      <c r="AF1100" s="38">
        <v>0</v>
      </c>
      <c r="AG1100" s="625">
        <v>0</v>
      </c>
      <c r="AH1100" s="625">
        <v>0</v>
      </c>
      <c r="AI1100" s="625">
        <v>0</v>
      </c>
      <c r="AJ1100" s="625">
        <v>0</v>
      </c>
      <c r="AK1100" s="625">
        <v>0</v>
      </c>
      <c r="AL1100" s="625">
        <v>0</v>
      </c>
      <c r="AM1100" s="625">
        <v>0</v>
      </c>
      <c r="AN1100" s="625">
        <v>0</v>
      </c>
      <c r="AO1100" s="625">
        <v>0</v>
      </c>
      <c r="AP1100" s="41" t="str">
        <f t="shared" si="496"/>
        <v>Reg AssetR</v>
      </c>
      <c r="AQ1100" s="41" t="str">
        <f t="shared" si="497"/>
        <v>Reg AssetRR10Variable Rate Debt</v>
      </c>
      <c r="AR1100" s="41" t="str">
        <f t="shared" si="498"/>
        <v>R10Variable Rate Debt</v>
      </c>
      <c r="CK1100" s="625"/>
    </row>
    <row r="1101" spans="1:89" s="41" customFormat="1" ht="12.75" customHeight="1">
      <c r="A1101" s="25" t="s">
        <v>746</v>
      </c>
      <c r="B1101" s="25" t="str">
        <f t="shared" ref="B1101" si="499">CONCATENATE(A1101,C1101,D1101,E1101)</f>
        <v>Reg Asset254017601259BG030924</v>
      </c>
      <c r="C1101" s="736">
        <v>254017</v>
      </c>
      <c r="D1101" s="738">
        <v>601259</v>
      </c>
      <c r="E1101" s="41" t="s">
        <v>4105</v>
      </c>
      <c r="F1101" s="41" t="str">
        <f t="shared" si="443"/>
        <v>OTH REG LIAB - MISC - GAS</v>
      </c>
      <c r="G1101" s="41" t="s">
        <v>4103</v>
      </c>
      <c r="H1101" s="736" t="s">
        <v>4103</v>
      </c>
      <c r="I1101" s="25"/>
      <c r="J1101" s="25" t="str">
        <f t="shared" ref="J1101" si="500">IF(L1101="N10","Y",IF(L1101="N8","Y",""))</f>
        <v/>
      </c>
      <c r="K1101" s="442" t="str">
        <f t="shared" si="474"/>
        <v/>
      </c>
      <c r="L1101" s="736" t="s">
        <v>2441</v>
      </c>
      <c r="M1101" s="25" t="str">
        <f t="shared" si="462"/>
        <v>R</v>
      </c>
      <c r="N1101" s="25" t="str">
        <f>IF(L1101&lt;&gt;"",VLOOKUP(L1101,Categories!$B$2:$D$41,2,FALSE),IF(F1101&lt;&gt;"","No Cat",""))</f>
        <v>Rate Base</v>
      </c>
      <c r="O1101" s="25" t="str">
        <f>IF($L1101&lt;&gt;"",VLOOKUP($L1101,Categories!$B$2:$D$41,3,FALSE),IF($F1101&lt;&gt;"","No Cat",""))</f>
        <v>Deferred Debits &amp; Credits</v>
      </c>
      <c r="P1101" s="736" t="s">
        <v>2483</v>
      </c>
      <c r="Q1101" s="25" t="str">
        <f>VLOOKUP($P1101,Allocators!$B$7:$F$19,5,FALSE)</f>
        <v>Gas</v>
      </c>
      <c r="R1101" s="737">
        <f>VLOOKUP($P1101,Allocators!$B$7:$F$19,2,FALSE)</f>
        <v>0</v>
      </c>
      <c r="S1101" s="737">
        <f>VLOOKUP($P1101,Allocators!$B$7:$F$19,3,FALSE)</f>
        <v>1</v>
      </c>
      <c r="T1101" s="737" t="str">
        <f t="shared" ref="T1101" si="501">IF(P1101="N",1,"0.0%")</f>
        <v>0.0%</v>
      </c>
      <c r="U1101" s="2">
        <f t="shared" si="456"/>
        <v>0</v>
      </c>
      <c r="V1101" s="2">
        <f t="shared" si="457"/>
        <v>-66.809010000000001</v>
      </c>
      <c r="W1101" s="2">
        <f t="shared" si="458"/>
        <v>0</v>
      </c>
      <c r="X1101" s="2">
        <f t="shared" ref="X1101:X1166" si="502">IF(ISERROR(ROUND((SUM(AC1101:AO1101)-((AC1101+AO1101))/2)/12,15)),"",ROUND((SUM(AC1101:AO1101)-((AC1101+AO1101))/2)/12,15))</f>
        <v>-66.809010000000001</v>
      </c>
      <c r="Y1101" s="2">
        <f t="shared" si="459"/>
        <v>0</v>
      </c>
      <c r="Z1101" s="2">
        <f t="shared" si="460"/>
        <v>-66.809010000000001</v>
      </c>
      <c r="AA1101" s="2">
        <f t="shared" si="461"/>
        <v>0</v>
      </c>
      <c r="AB1101" s="2">
        <f t="shared" ref="AB1101:AB1166" si="503">IF(AO1101="",0,+AO1101)</f>
        <v>-66.809010000000015</v>
      </c>
      <c r="AC1101" s="734">
        <v>-66.809010000000001</v>
      </c>
      <c r="AD1101" s="625">
        <v>-66.809010000000015</v>
      </c>
      <c r="AE1101" s="625">
        <v>-66.809010000000015</v>
      </c>
      <c r="AF1101" s="625">
        <v>-66.809010000000015</v>
      </c>
      <c r="AG1101" s="625">
        <v>-66.809010000000015</v>
      </c>
      <c r="AH1101" s="625">
        <v>-66.809010000000015</v>
      </c>
      <c r="AI1101" s="625">
        <v>-66.809010000000015</v>
      </c>
      <c r="AJ1101" s="625">
        <v>-66.809010000000015</v>
      </c>
      <c r="AK1101" s="625">
        <v>-66.809010000000015</v>
      </c>
      <c r="AL1101" s="625">
        <v>-66.809010000000015</v>
      </c>
      <c r="AM1101" s="625">
        <v>-66.809010000000015</v>
      </c>
      <c r="AN1101" s="625">
        <v>-66.809010000000015</v>
      </c>
      <c r="AO1101" s="625">
        <v>-66.809010000000015</v>
      </c>
      <c r="AP1101" s="41" t="str">
        <f t="shared" si="496"/>
        <v>Reg AssetR</v>
      </c>
      <c r="AQ1101" s="41" t="str">
        <f t="shared" si="497"/>
        <v>Reg AssetRR10Net Plant Reconciliation</v>
      </c>
      <c r="AR1101" s="41" t="str">
        <f t="shared" si="498"/>
        <v>R10Net Plant Reconciliation</v>
      </c>
      <c r="CK1101" s="625"/>
    </row>
    <row r="1102" spans="1:89" s="41" customFormat="1" ht="12.75" customHeight="1">
      <c r="A1102" s="25" t="s">
        <v>746</v>
      </c>
      <c r="B1102" s="25" t="str">
        <f t="shared" si="455"/>
        <v>Reg Asset254017601095BG030154</v>
      </c>
      <c r="C1102" s="736">
        <v>254017</v>
      </c>
      <c r="D1102" s="738">
        <v>601095</v>
      </c>
      <c r="E1102" s="41" t="s">
        <v>1269</v>
      </c>
      <c r="F1102" s="41" t="str">
        <f t="shared" si="443"/>
        <v>OTH REG LIAB - MISC - GAS</v>
      </c>
      <c r="G1102" s="41" t="s">
        <v>1270</v>
      </c>
      <c r="H1102" s="736" t="s">
        <v>1125</v>
      </c>
      <c r="I1102" s="25"/>
      <c r="J1102" s="25" t="str">
        <f t="shared" si="444"/>
        <v/>
      </c>
      <c r="K1102" s="442" t="str">
        <f t="shared" si="474"/>
        <v/>
      </c>
      <c r="L1102" s="736" t="s">
        <v>2441</v>
      </c>
      <c r="M1102" s="25" t="str">
        <f t="shared" si="462"/>
        <v>R</v>
      </c>
      <c r="N1102" s="25" t="str">
        <f>IF(L1102&lt;&gt;"",VLOOKUP(L1102,Categories!$B$2:$D$41,2,FALSE),IF(F1102&lt;&gt;"","No Cat",""))</f>
        <v>Rate Base</v>
      </c>
      <c r="O1102" s="25" t="str">
        <f>IF($L1102&lt;&gt;"",VLOOKUP($L1102,Categories!$B$2:$D$41,3,FALSE),IF($F1102&lt;&gt;"","No Cat",""))</f>
        <v>Deferred Debits &amp; Credits</v>
      </c>
      <c r="P1102" s="736" t="s">
        <v>2483</v>
      </c>
      <c r="Q1102" s="25" t="str">
        <f>VLOOKUP($P1102,Allocators!$B$7:$F$19,5,FALSE)</f>
        <v>Gas</v>
      </c>
      <c r="R1102" s="737">
        <f>VLOOKUP($P1102,Allocators!$B$7:$F$19,2,FALSE)</f>
        <v>0</v>
      </c>
      <c r="S1102" s="737">
        <f>VLOOKUP($P1102,Allocators!$B$7:$F$19,3,FALSE)</f>
        <v>1</v>
      </c>
      <c r="T1102" s="737" t="str">
        <f t="shared" si="463"/>
        <v>0.0%</v>
      </c>
      <c r="U1102" s="2">
        <f t="shared" si="456"/>
        <v>0</v>
      </c>
      <c r="V1102" s="2">
        <f t="shared" si="457"/>
        <v>-1.0000000000000001E-15</v>
      </c>
      <c r="W1102" s="2">
        <f t="shared" si="458"/>
        <v>0</v>
      </c>
      <c r="X1102" s="2">
        <f t="shared" si="502"/>
        <v>-1.0000000000000001E-15</v>
      </c>
      <c r="Y1102" s="2" t="str">
        <f t="shared" si="459"/>
        <v/>
      </c>
      <c r="Z1102" s="2" t="str">
        <f t="shared" si="460"/>
        <v/>
      </c>
      <c r="AA1102" s="2" t="str">
        <f t="shared" si="461"/>
        <v/>
      </c>
      <c r="AB1102" s="2">
        <f t="shared" si="503"/>
        <v>0</v>
      </c>
      <c r="AC1102" s="734">
        <v>-2.9103830456733704E-14</v>
      </c>
      <c r="AD1102" s="625">
        <v>0</v>
      </c>
      <c r="AE1102" s="625">
        <v>0</v>
      </c>
      <c r="AF1102" s="38">
        <v>0</v>
      </c>
      <c r="AG1102" s="625">
        <v>0</v>
      </c>
      <c r="AH1102" s="625">
        <v>0</v>
      </c>
      <c r="AI1102" s="625">
        <v>0</v>
      </c>
      <c r="AJ1102" s="625">
        <v>0</v>
      </c>
      <c r="AK1102" s="625">
        <v>0</v>
      </c>
      <c r="AL1102" s="625">
        <v>0</v>
      </c>
      <c r="AM1102" s="625">
        <v>0</v>
      </c>
      <c r="AN1102" s="625">
        <v>0</v>
      </c>
      <c r="AO1102" s="625">
        <v>0</v>
      </c>
      <c r="AP1102" s="41" t="str">
        <f t="shared" si="496"/>
        <v>Reg AssetR</v>
      </c>
      <c r="AQ1102" s="41" t="str">
        <f t="shared" si="497"/>
        <v>Reg AssetRR10NYS Tax Rate to 7.1%</v>
      </c>
      <c r="AR1102" s="41" t="str">
        <f t="shared" si="498"/>
        <v>R10NYS Tax Rate to 7.1%</v>
      </c>
      <c r="CK1102" s="625"/>
    </row>
    <row r="1103" spans="1:89" s="41" customFormat="1" ht="12.75" customHeight="1">
      <c r="A1103" s="25" t="s">
        <v>746</v>
      </c>
      <c r="B1103" s="25" t="str">
        <f t="shared" si="455"/>
        <v>Reg Asset254017601095-09BG030154</v>
      </c>
      <c r="C1103" s="736">
        <v>254017</v>
      </c>
      <c r="D1103" s="738" t="s">
        <v>1271</v>
      </c>
      <c r="E1103" s="41" t="s">
        <v>1269</v>
      </c>
      <c r="F1103" s="41" t="str">
        <f t="shared" si="443"/>
        <v>OTH REG LIAB - MISC - GAS</v>
      </c>
      <c r="G1103" s="41" t="s">
        <v>1270</v>
      </c>
      <c r="H1103" s="736" t="s">
        <v>1125</v>
      </c>
      <c r="I1103" s="25"/>
      <c r="J1103" s="25" t="str">
        <f t="shared" si="444"/>
        <v/>
      </c>
      <c r="K1103" s="442" t="str">
        <f t="shared" si="474"/>
        <v/>
      </c>
      <c r="L1103" s="736" t="s">
        <v>2441</v>
      </c>
      <c r="M1103" s="25" t="str">
        <f t="shared" si="462"/>
        <v>R</v>
      </c>
      <c r="N1103" s="25" t="str">
        <f>IF(L1103&lt;&gt;"",VLOOKUP(L1103,Categories!$B$2:$D$41,2,FALSE),IF(F1103&lt;&gt;"","No Cat",""))</f>
        <v>Rate Base</v>
      </c>
      <c r="O1103" s="25" t="str">
        <f>IF($L1103&lt;&gt;"",VLOOKUP($L1103,Categories!$B$2:$D$41,3,FALSE),IF($F1103&lt;&gt;"","No Cat",""))</f>
        <v>Deferred Debits &amp; Credits</v>
      </c>
      <c r="P1103" s="736" t="s">
        <v>2483</v>
      </c>
      <c r="Q1103" s="25" t="str">
        <f>VLOOKUP($P1103,Allocators!$B$7:$F$19,5,FALSE)</f>
        <v>Gas</v>
      </c>
      <c r="R1103" s="737">
        <f>VLOOKUP($P1103,Allocators!$B$7:$F$19,2,FALSE)</f>
        <v>0</v>
      </c>
      <c r="S1103" s="737">
        <f>VLOOKUP($P1103,Allocators!$B$7:$F$19,3,FALSE)</f>
        <v>1</v>
      </c>
      <c r="T1103" s="737" t="str">
        <f t="shared" si="463"/>
        <v>0.0%</v>
      </c>
      <c r="U1103" s="2" t="str">
        <f t="shared" si="456"/>
        <v/>
      </c>
      <c r="V1103" s="2" t="str">
        <f t="shared" si="457"/>
        <v/>
      </c>
      <c r="W1103" s="2" t="str">
        <f t="shared" si="458"/>
        <v/>
      </c>
      <c r="X1103" s="2">
        <f t="shared" si="502"/>
        <v>0</v>
      </c>
      <c r="Y1103" s="2" t="str">
        <f t="shared" si="459"/>
        <v/>
      </c>
      <c r="Z1103" s="2" t="str">
        <f t="shared" si="460"/>
        <v/>
      </c>
      <c r="AA1103" s="2" t="str">
        <f t="shared" si="461"/>
        <v/>
      </c>
      <c r="AB1103" s="2">
        <f t="shared" si="503"/>
        <v>0</v>
      </c>
      <c r="AC1103" s="625">
        <v>0</v>
      </c>
      <c r="AD1103" s="625">
        <v>0</v>
      </c>
      <c r="AE1103" s="625">
        <v>0</v>
      </c>
      <c r="AF1103" s="38">
        <v>0</v>
      </c>
      <c r="AG1103" s="625">
        <v>0</v>
      </c>
      <c r="AH1103" s="625">
        <v>0</v>
      </c>
      <c r="AI1103" s="625">
        <v>0</v>
      </c>
      <c r="AJ1103" s="625">
        <v>0</v>
      </c>
      <c r="AK1103" s="625">
        <v>0</v>
      </c>
      <c r="AL1103" s="625">
        <v>0</v>
      </c>
      <c r="AM1103" s="625">
        <v>0</v>
      </c>
      <c r="AN1103" s="625">
        <v>0</v>
      </c>
      <c r="AO1103" s="625">
        <v>0</v>
      </c>
      <c r="AP1103" s="41" t="str">
        <f t="shared" si="496"/>
        <v>Reg AssetR</v>
      </c>
      <c r="AQ1103" s="41" t="str">
        <f t="shared" si="497"/>
        <v>Reg AssetRR10NYS Tax Rate to 7.1%</v>
      </c>
      <c r="AR1103" s="41" t="str">
        <f t="shared" si="498"/>
        <v>R10NYS Tax Rate to 7.1%</v>
      </c>
      <c r="CK1103" s="625"/>
    </row>
    <row r="1104" spans="1:89" s="41" customFormat="1" ht="12.75" customHeight="1">
      <c r="A1104" s="25" t="s">
        <v>746</v>
      </c>
      <c r="B1104" s="25" t="str">
        <f t="shared" si="455"/>
        <v>Reg Asset254017601095-10BG030154</v>
      </c>
      <c r="C1104" s="736">
        <v>254017</v>
      </c>
      <c r="D1104" s="738" t="s">
        <v>1272</v>
      </c>
      <c r="E1104" s="41" t="s">
        <v>1269</v>
      </c>
      <c r="F1104" s="41" t="str">
        <f t="shared" si="443"/>
        <v>OTH REG LIAB - MISC - GAS</v>
      </c>
      <c r="G1104" s="41" t="s">
        <v>1270</v>
      </c>
      <c r="H1104" s="736" t="s">
        <v>1125</v>
      </c>
      <c r="I1104" s="25"/>
      <c r="J1104" s="25" t="str">
        <f t="shared" si="444"/>
        <v/>
      </c>
      <c r="K1104" s="442" t="str">
        <f t="shared" si="474"/>
        <v/>
      </c>
      <c r="L1104" s="736" t="s">
        <v>2441</v>
      </c>
      <c r="M1104" s="25" t="str">
        <f t="shared" si="462"/>
        <v>R</v>
      </c>
      <c r="N1104" s="25" t="str">
        <f>IF(L1104&lt;&gt;"",VLOOKUP(L1104,Categories!$B$2:$D$41,2,FALSE),IF(F1104&lt;&gt;"","No Cat",""))</f>
        <v>Rate Base</v>
      </c>
      <c r="O1104" s="25" t="str">
        <f>IF($L1104&lt;&gt;"",VLOOKUP($L1104,Categories!$B$2:$D$41,3,FALSE),IF($F1104&lt;&gt;"","No Cat",""))</f>
        <v>Deferred Debits &amp; Credits</v>
      </c>
      <c r="P1104" s="736" t="s">
        <v>2483</v>
      </c>
      <c r="Q1104" s="25" t="str">
        <f>VLOOKUP($P1104,Allocators!$B$7:$F$19,5,FALSE)</f>
        <v>Gas</v>
      </c>
      <c r="R1104" s="737">
        <f>VLOOKUP($P1104,Allocators!$B$7:$F$19,2,FALSE)</f>
        <v>0</v>
      </c>
      <c r="S1104" s="737">
        <f>VLOOKUP($P1104,Allocators!$B$7:$F$19,3,FALSE)</f>
        <v>1</v>
      </c>
      <c r="T1104" s="737" t="str">
        <f t="shared" si="463"/>
        <v>0.0%</v>
      </c>
      <c r="U1104" s="2" t="str">
        <f t="shared" si="456"/>
        <v/>
      </c>
      <c r="V1104" s="2" t="str">
        <f t="shared" si="457"/>
        <v/>
      </c>
      <c r="W1104" s="2" t="str">
        <f t="shared" si="458"/>
        <v/>
      </c>
      <c r="X1104" s="2">
        <f t="shared" si="502"/>
        <v>0</v>
      </c>
      <c r="Y1104" s="2" t="str">
        <f t="shared" si="459"/>
        <v/>
      </c>
      <c r="Z1104" s="2" t="str">
        <f t="shared" si="460"/>
        <v/>
      </c>
      <c r="AA1104" s="2" t="str">
        <f t="shared" si="461"/>
        <v/>
      </c>
      <c r="AB1104" s="2">
        <f t="shared" si="503"/>
        <v>0</v>
      </c>
      <c r="AC1104" s="625">
        <v>0</v>
      </c>
      <c r="AD1104" s="625">
        <v>0</v>
      </c>
      <c r="AE1104" s="625">
        <v>0</v>
      </c>
      <c r="AF1104" s="38">
        <v>0</v>
      </c>
      <c r="AG1104" s="625">
        <v>0</v>
      </c>
      <c r="AH1104" s="625">
        <v>0</v>
      </c>
      <c r="AI1104" s="625">
        <v>0</v>
      </c>
      <c r="AJ1104" s="625">
        <v>0</v>
      </c>
      <c r="AK1104" s="625">
        <v>0</v>
      </c>
      <c r="AL1104" s="625">
        <v>0</v>
      </c>
      <c r="AM1104" s="625">
        <v>0</v>
      </c>
      <c r="AN1104" s="625">
        <v>0</v>
      </c>
      <c r="AO1104" s="625">
        <v>0</v>
      </c>
      <c r="AP1104" s="41" t="str">
        <f t="shared" si="496"/>
        <v>Reg AssetR</v>
      </c>
      <c r="AQ1104" s="41" t="str">
        <f t="shared" si="497"/>
        <v>Reg AssetRR10NYS Tax Rate to 7.1%</v>
      </c>
      <c r="AR1104" s="41" t="str">
        <f t="shared" si="498"/>
        <v>R10NYS Tax Rate to 7.1%</v>
      </c>
      <c r="CK1104" s="625"/>
    </row>
    <row r="1105" spans="1:89" s="41" customFormat="1" ht="12.75" customHeight="1">
      <c r="A1105" s="25" t="s">
        <v>746</v>
      </c>
      <c r="B1105" s="25" t="str">
        <f t="shared" si="455"/>
        <v>Reg Asset254017601095-ABG030154</v>
      </c>
      <c r="C1105" s="736">
        <v>254017</v>
      </c>
      <c r="D1105" s="738" t="s">
        <v>1273</v>
      </c>
      <c r="E1105" s="41" t="s">
        <v>1269</v>
      </c>
      <c r="F1105" s="41" t="str">
        <f t="shared" si="443"/>
        <v>OTH REG LIAB - MISC - GAS</v>
      </c>
      <c r="G1105" s="41" t="s">
        <v>1270</v>
      </c>
      <c r="H1105" s="736" t="s">
        <v>1125</v>
      </c>
      <c r="I1105" s="25"/>
      <c r="J1105" s="25" t="str">
        <f t="shared" si="444"/>
        <v/>
      </c>
      <c r="K1105" s="442" t="str">
        <f t="shared" si="474"/>
        <v/>
      </c>
      <c r="L1105" s="736" t="s">
        <v>2441</v>
      </c>
      <c r="M1105" s="25" t="str">
        <f t="shared" si="462"/>
        <v>R</v>
      </c>
      <c r="N1105" s="25" t="str">
        <f>IF(L1105&lt;&gt;"",VLOOKUP(L1105,Categories!$B$2:$D$41,2,FALSE),IF(F1105&lt;&gt;"","No Cat",""))</f>
        <v>Rate Base</v>
      </c>
      <c r="O1105" s="25" t="str">
        <f>IF($L1105&lt;&gt;"",VLOOKUP($L1105,Categories!$B$2:$D$41,3,FALSE),IF($F1105&lt;&gt;"","No Cat",""))</f>
        <v>Deferred Debits &amp; Credits</v>
      </c>
      <c r="P1105" s="736" t="s">
        <v>2483</v>
      </c>
      <c r="Q1105" s="25" t="str">
        <f>VLOOKUP($P1105,Allocators!$B$7:$F$19,5,FALSE)</f>
        <v>Gas</v>
      </c>
      <c r="R1105" s="737">
        <f>VLOOKUP($P1105,Allocators!$B$7:$F$19,2,FALSE)</f>
        <v>0</v>
      </c>
      <c r="S1105" s="737">
        <f>VLOOKUP($P1105,Allocators!$B$7:$F$19,3,FALSE)</f>
        <v>1</v>
      </c>
      <c r="T1105" s="737" t="str">
        <f t="shared" si="463"/>
        <v>0.0%</v>
      </c>
      <c r="U1105" s="2">
        <f t="shared" si="456"/>
        <v>0</v>
      </c>
      <c r="V1105" s="2">
        <f t="shared" si="457"/>
        <v>2.0000000000000002E-15</v>
      </c>
      <c r="W1105" s="2">
        <f t="shared" si="458"/>
        <v>0</v>
      </c>
      <c r="X1105" s="2">
        <f t="shared" si="502"/>
        <v>2.0000000000000002E-15</v>
      </c>
      <c r="Y1105" s="2" t="str">
        <f t="shared" si="459"/>
        <v/>
      </c>
      <c r="Z1105" s="2" t="str">
        <f t="shared" si="460"/>
        <v/>
      </c>
      <c r="AA1105" s="2" t="str">
        <f t="shared" si="461"/>
        <v/>
      </c>
      <c r="AB1105" s="2">
        <f t="shared" si="503"/>
        <v>0</v>
      </c>
      <c r="AC1105" s="734">
        <v>3.7289282772690059E-14</v>
      </c>
      <c r="AD1105" s="625">
        <v>0</v>
      </c>
      <c r="AE1105" s="625">
        <v>0</v>
      </c>
      <c r="AF1105" s="38">
        <v>0</v>
      </c>
      <c r="AG1105" s="625">
        <v>0</v>
      </c>
      <c r="AH1105" s="625">
        <v>0</v>
      </c>
      <c r="AI1105" s="625">
        <v>0</v>
      </c>
      <c r="AJ1105" s="625">
        <v>0</v>
      </c>
      <c r="AK1105" s="625">
        <v>0</v>
      </c>
      <c r="AL1105" s="625">
        <v>0</v>
      </c>
      <c r="AM1105" s="625">
        <v>0</v>
      </c>
      <c r="AN1105" s="625">
        <v>0</v>
      </c>
      <c r="AO1105" s="625">
        <v>0</v>
      </c>
      <c r="AP1105" s="41" t="str">
        <f t="shared" si="496"/>
        <v>Reg AssetR</v>
      </c>
      <c r="AQ1105" s="41" t="str">
        <f t="shared" si="497"/>
        <v>Reg AssetRR10NYS Tax Rate to 7.1%</v>
      </c>
      <c r="AR1105" s="41" t="str">
        <f t="shared" si="498"/>
        <v>R10NYS Tax Rate to 7.1%</v>
      </c>
      <c r="CK1105" s="625"/>
    </row>
    <row r="1106" spans="1:89" s="41" customFormat="1" ht="12.75" customHeight="1">
      <c r="A1106" s="25" t="s">
        <v>746</v>
      </c>
      <c r="B1106" s="25" t="str">
        <f t="shared" si="455"/>
        <v>Reg Asset254017601095-LBG030154</v>
      </c>
      <c r="C1106" s="736">
        <v>254017</v>
      </c>
      <c r="D1106" s="738" t="s">
        <v>1274</v>
      </c>
      <c r="E1106" s="41" t="s">
        <v>1269</v>
      </c>
      <c r="F1106" s="41" t="str">
        <f t="shared" si="443"/>
        <v>OTH REG LIAB - MISC - GAS</v>
      </c>
      <c r="G1106" s="41" t="s">
        <v>1270</v>
      </c>
      <c r="H1106" s="736" t="s">
        <v>1125</v>
      </c>
      <c r="I1106" s="25"/>
      <c r="J1106" s="25" t="str">
        <f t="shared" si="444"/>
        <v/>
      </c>
      <c r="K1106" s="442" t="str">
        <f t="shared" si="474"/>
        <v/>
      </c>
      <c r="L1106" s="736" t="s">
        <v>2441</v>
      </c>
      <c r="M1106" s="25" t="str">
        <f t="shared" si="462"/>
        <v>R</v>
      </c>
      <c r="N1106" s="25" t="str">
        <f>IF(L1106&lt;&gt;"",VLOOKUP(L1106,Categories!$B$2:$D$41,2,FALSE),IF(F1106&lt;&gt;"","No Cat",""))</f>
        <v>Rate Base</v>
      </c>
      <c r="O1106" s="25" t="str">
        <f>IF($L1106&lt;&gt;"",VLOOKUP($L1106,Categories!$B$2:$D$41,3,FALSE),IF($F1106&lt;&gt;"","No Cat",""))</f>
        <v>Deferred Debits &amp; Credits</v>
      </c>
      <c r="P1106" s="736" t="s">
        <v>2483</v>
      </c>
      <c r="Q1106" s="25" t="str">
        <f>VLOOKUP($P1106,Allocators!$B$7:$F$19,5,FALSE)</f>
        <v>Gas</v>
      </c>
      <c r="R1106" s="737">
        <f>VLOOKUP($P1106,Allocators!$B$7:$F$19,2,FALSE)</f>
        <v>0</v>
      </c>
      <c r="S1106" s="737">
        <f>VLOOKUP($P1106,Allocators!$B$7:$F$19,3,FALSE)</f>
        <v>1</v>
      </c>
      <c r="T1106" s="737" t="str">
        <f t="shared" si="463"/>
        <v>0.0%</v>
      </c>
      <c r="U1106" s="2">
        <f t="shared" si="456"/>
        <v>0</v>
      </c>
      <c r="V1106" s="2">
        <f t="shared" si="457"/>
        <v>-515.71281999999997</v>
      </c>
      <c r="W1106" s="2">
        <f t="shared" si="458"/>
        <v>0</v>
      </c>
      <c r="X1106" s="2">
        <f t="shared" si="502"/>
        <v>-515.71281999999997</v>
      </c>
      <c r="Y1106" s="2">
        <f t="shared" si="459"/>
        <v>0</v>
      </c>
      <c r="Z1106" s="2">
        <f t="shared" si="460"/>
        <v>-515.71281999999997</v>
      </c>
      <c r="AA1106" s="2">
        <f t="shared" si="461"/>
        <v>0</v>
      </c>
      <c r="AB1106" s="2">
        <f t="shared" si="503"/>
        <v>-515.71281999999997</v>
      </c>
      <c r="AC1106" s="734">
        <v>-515.71281999999997</v>
      </c>
      <c r="AD1106" s="625">
        <v>-515.71281999999997</v>
      </c>
      <c r="AE1106" s="625">
        <v>-515.71281999999997</v>
      </c>
      <c r="AF1106" s="625">
        <v>-515.71281999999997</v>
      </c>
      <c r="AG1106" s="625">
        <v>-515.71281999999997</v>
      </c>
      <c r="AH1106" s="625">
        <v>-515.71281999999997</v>
      </c>
      <c r="AI1106" s="625">
        <v>-515.71281999999997</v>
      </c>
      <c r="AJ1106" s="625">
        <v>-515.71281999999997</v>
      </c>
      <c r="AK1106" s="625">
        <v>-515.71281999999997</v>
      </c>
      <c r="AL1106" s="625">
        <v>-515.71281999999997</v>
      </c>
      <c r="AM1106" s="625">
        <v>-515.71281999999997</v>
      </c>
      <c r="AN1106" s="625">
        <v>-515.71281999999997</v>
      </c>
      <c r="AO1106" s="625">
        <v>-515.71281999999997</v>
      </c>
      <c r="AP1106" s="41" t="str">
        <f t="shared" si="496"/>
        <v>Reg AssetR</v>
      </c>
      <c r="AQ1106" s="41" t="str">
        <f t="shared" si="497"/>
        <v>Reg AssetRR10NYS Tax Rate to 7.1%</v>
      </c>
      <c r="AR1106" s="41" t="str">
        <f t="shared" si="498"/>
        <v>R10NYS Tax Rate to 7.1%</v>
      </c>
      <c r="CK1106" s="625"/>
    </row>
    <row r="1107" spans="1:89" s="41" customFormat="1" ht="12.75" customHeight="1">
      <c r="A1107" s="25" t="s">
        <v>746</v>
      </c>
      <c r="B1107" s="25" t="str">
        <f t="shared" si="455"/>
        <v>Reg Asset254017601092-07BG030414</v>
      </c>
      <c r="C1107" s="736">
        <v>254017</v>
      </c>
      <c r="D1107" s="738" t="s">
        <v>1275</v>
      </c>
      <c r="E1107" s="41" t="s">
        <v>1259</v>
      </c>
      <c r="F1107" s="41" t="str">
        <f t="shared" si="443"/>
        <v>OTH REG LIAB - MISC - GAS</v>
      </c>
      <c r="G1107" s="41" t="s">
        <v>1276</v>
      </c>
      <c r="H1107" s="736" t="s">
        <v>1124</v>
      </c>
      <c r="I1107" s="25"/>
      <c r="J1107" s="25" t="str">
        <f t="shared" si="444"/>
        <v/>
      </c>
      <c r="K1107" s="442" t="str">
        <f t="shared" si="474"/>
        <v/>
      </c>
      <c r="L1107" s="736" t="s">
        <v>2441</v>
      </c>
      <c r="M1107" s="25" t="str">
        <f t="shared" si="462"/>
        <v>R</v>
      </c>
      <c r="N1107" s="25" t="str">
        <f>IF(L1107&lt;&gt;"",VLOOKUP(L1107,Categories!$B$2:$D$41,2,FALSE),IF(F1107&lt;&gt;"","No Cat",""))</f>
        <v>Rate Base</v>
      </c>
      <c r="O1107" s="25" t="str">
        <f>IF($L1107&lt;&gt;"",VLOOKUP($L1107,Categories!$B$2:$D$41,3,FALSE),IF($F1107&lt;&gt;"","No Cat",""))</f>
        <v>Deferred Debits &amp; Credits</v>
      </c>
      <c r="P1107" s="736" t="s">
        <v>2483</v>
      </c>
      <c r="Q1107" s="25" t="str">
        <f>VLOOKUP($P1107,Allocators!$B$7:$F$19,5,FALSE)</f>
        <v>Gas</v>
      </c>
      <c r="R1107" s="737">
        <f>VLOOKUP($P1107,Allocators!$B$7:$F$19,2,FALSE)</f>
        <v>0</v>
      </c>
      <c r="S1107" s="737">
        <f>VLOOKUP($P1107,Allocators!$B$7:$F$19,3,FALSE)</f>
        <v>1</v>
      </c>
      <c r="T1107" s="737" t="str">
        <f t="shared" si="463"/>
        <v>0.0%</v>
      </c>
      <c r="U1107" s="2" t="str">
        <f t="shared" ref="U1107:U1173" si="504">IF(ABS(X1107)=0,"",IF($R1107="NO ALLOC","NO ALLOC",ROUND($R1107*X1107,15)))</f>
        <v/>
      </c>
      <c r="V1107" s="2" t="str">
        <f t="shared" ref="V1107:V1173" si="505">IF(ABS(X1107)=0,"",IF($S1107="NO ALLOC","NO ALLOC",ROUND($S1107*X1107,15)))</f>
        <v/>
      </c>
      <c r="W1107" s="2" t="str">
        <f t="shared" ref="W1107:W1173" si="506">IF(ABS(X1107)=0,"",IF($T1107="NO ALLOC","NO ALLOC",ROUND($T1107*X1107,15)))</f>
        <v/>
      </c>
      <c r="X1107" s="2">
        <f t="shared" si="502"/>
        <v>0</v>
      </c>
      <c r="Y1107" s="2" t="str">
        <f t="shared" ref="Y1107:Y1173" si="507">IF(ABS(AB1107)=0,"",IF($R1107="NO ALLOC","NO ALLOC",ROUND($R1107*AB1107,15)))</f>
        <v/>
      </c>
      <c r="Z1107" s="2" t="str">
        <f t="shared" ref="Z1107:Z1173" si="508">IF(ABS(AB1107)=0,"",IF($S1107="NO ALLOC","NO ALLOC",ROUND($S1107*AB1107,15)))</f>
        <v/>
      </c>
      <c r="AA1107" s="2" t="str">
        <f t="shared" ref="AA1107:AA1173" si="509">IF(ABS(AB1107)=0,"",IF($T1107="NO ALLOC","NO ALLOC",ROUND($T1107*AB1107,15)))</f>
        <v/>
      </c>
      <c r="AB1107" s="2">
        <f t="shared" si="503"/>
        <v>0</v>
      </c>
      <c r="AC1107" s="625">
        <v>0</v>
      </c>
      <c r="AD1107" s="625">
        <v>0</v>
      </c>
      <c r="AE1107" s="625">
        <v>0</v>
      </c>
      <c r="AF1107" s="38">
        <v>0</v>
      </c>
      <c r="AG1107" s="625">
        <v>0</v>
      </c>
      <c r="AH1107" s="625">
        <v>0</v>
      </c>
      <c r="AI1107" s="625">
        <v>0</v>
      </c>
      <c r="AJ1107" s="625">
        <v>0</v>
      </c>
      <c r="AK1107" s="625">
        <v>0</v>
      </c>
      <c r="AL1107" s="625">
        <v>0</v>
      </c>
      <c r="AM1107" s="625">
        <v>0</v>
      </c>
      <c r="AN1107" s="625">
        <v>0</v>
      </c>
      <c r="AO1107" s="625">
        <v>0</v>
      </c>
      <c r="AP1107" s="41" t="str">
        <f t="shared" si="496"/>
        <v>Reg AssetR</v>
      </c>
      <c r="AQ1107" s="41" t="str">
        <f t="shared" si="497"/>
        <v>Reg AssetRR10R&amp;D Tax Credit Deferral</v>
      </c>
      <c r="AR1107" s="41" t="str">
        <f t="shared" si="498"/>
        <v>R10R&amp;D Tax Credit Deferral</v>
      </c>
      <c r="CK1107" s="625"/>
    </row>
    <row r="1108" spans="1:89" s="41" customFormat="1" ht="12.75" customHeight="1">
      <c r="A1108" s="25" t="s">
        <v>746</v>
      </c>
      <c r="B1108" s="25" t="str">
        <f t="shared" si="455"/>
        <v>Reg Asset254017601098BG030478</v>
      </c>
      <c r="C1108" s="736">
        <v>254017</v>
      </c>
      <c r="D1108" s="738">
        <v>601098</v>
      </c>
      <c r="E1108" s="41" t="s">
        <v>1277</v>
      </c>
      <c r="F1108" s="41" t="str">
        <f t="shared" si="443"/>
        <v>OTH REG LIAB - MISC - GAS</v>
      </c>
      <c r="G1108" s="41" t="s">
        <v>1278</v>
      </c>
      <c r="H1108" s="736" t="s">
        <v>1181</v>
      </c>
      <c r="I1108" s="25"/>
      <c r="J1108" s="25" t="str">
        <f t="shared" si="444"/>
        <v/>
      </c>
      <c r="K1108" s="442" t="str">
        <f t="shared" si="474"/>
        <v/>
      </c>
      <c r="L1108" s="736" t="s">
        <v>2441</v>
      </c>
      <c r="M1108" s="25" t="str">
        <f t="shared" si="462"/>
        <v>R</v>
      </c>
      <c r="N1108" s="25" t="str">
        <f>IF(L1108&lt;&gt;"",VLOOKUP(L1108,Categories!$B$2:$D$41,2,FALSE),IF(F1108&lt;&gt;"","No Cat",""))</f>
        <v>Rate Base</v>
      </c>
      <c r="O1108" s="25" t="str">
        <f>IF($L1108&lt;&gt;"",VLOOKUP($L1108,Categories!$B$2:$D$41,3,FALSE),IF($F1108&lt;&gt;"","No Cat",""))</f>
        <v>Deferred Debits &amp; Credits</v>
      </c>
      <c r="P1108" s="736" t="s">
        <v>2483</v>
      </c>
      <c r="Q1108" s="25" t="str">
        <f>VLOOKUP($P1108,Allocators!$B$7:$F$19,5,FALSE)</f>
        <v>Gas</v>
      </c>
      <c r="R1108" s="737">
        <f>VLOOKUP($P1108,Allocators!$B$7:$F$19,2,FALSE)</f>
        <v>0</v>
      </c>
      <c r="S1108" s="737">
        <f>VLOOKUP($P1108,Allocators!$B$7:$F$19,3,FALSE)</f>
        <v>1</v>
      </c>
      <c r="T1108" s="737" t="str">
        <f t="shared" si="463"/>
        <v>0.0%</v>
      </c>
      <c r="U1108" s="2" t="str">
        <f t="shared" si="504"/>
        <v/>
      </c>
      <c r="V1108" s="2" t="str">
        <f t="shared" si="505"/>
        <v/>
      </c>
      <c r="W1108" s="2" t="str">
        <f t="shared" si="506"/>
        <v/>
      </c>
      <c r="X1108" s="2">
        <f t="shared" si="502"/>
        <v>0</v>
      </c>
      <c r="Y1108" s="2" t="str">
        <f t="shared" si="507"/>
        <v/>
      </c>
      <c r="Z1108" s="2" t="str">
        <f t="shared" si="508"/>
        <v/>
      </c>
      <c r="AA1108" s="2" t="str">
        <f t="shared" si="509"/>
        <v/>
      </c>
      <c r="AB1108" s="2">
        <f t="shared" si="503"/>
        <v>0</v>
      </c>
      <c r="AC1108" s="625">
        <v>0</v>
      </c>
      <c r="AD1108" s="625">
        <v>0</v>
      </c>
      <c r="AE1108" s="625">
        <v>0</v>
      </c>
      <c r="AF1108" s="38">
        <v>0</v>
      </c>
      <c r="AG1108" s="625">
        <v>0</v>
      </c>
      <c r="AH1108" s="625">
        <v>0</v>
      </c>
      <c r="AI1108" s="625">
        <v>0</v>
      </c>
      <c r="AJ1108" s="625">
        <v>0</v>
      </c>
      <c r="AK1108" s="625">
        <v>0</v>
      </c>
      <c r="AL1108" s="625">
        <v>0</v>
      </c>
      <c r="AM1108" s="625">
        <v>0</v>
      </c>
      <c r="AN1108" s="625">
        <v>0</v>
      </c>
      <c r="AO1108" s="625">
        <v>0</v>
      </c>
      <c r="AP1108" s="41" t="str">
        <f t="shared" si="496"/>
        <v>Reg AssetR</v>
      </c>
      <c r="AQ1108" s="41" t="str">
        <f t="shared" si="497"/>
        <v>Reg AssetRR10Property Tax 481(a)</v>
      </c>
      <c r="AR1108" s="41" t="str">
        <f t="shared" si="498"/>
        <v>R10Property Tax 481(a)</v>
      </c>
      <c r="CK1108" s="625"/>
    </row>
    <row r="1109" spans="1:89" s="41" customFormat="1" ht="12.75" customHeight="1">
      <c r="A1109" s="25" t="s">
        <v>746</v>
      </c>
      <c r="B1109" s="25" t="str">
        <f t="shared" si="455"/>
        <v>Reg Asset254017601098-ABG030478</v>
      </c>
      <c r="C1109" s="736">
        <v>254017</v>
      </c>
      <c r="D1109" s="738" t="s">
        <v>1279</v>
      </c>
      <c r="E1109" s="41" t="s">
        <v>1277</v>
      </c>
      <c r="F1109" s="41" t="str">
        <f t="shared" si="443"/>
        <v>OTH REG LIAB - MISC - GAS</v>
      </c>
      <c r="G1109" s="41" t="s">
        <v>1278</v>
      </c>
      <c r="H1109" s="736" t="s">
        <v>1181</v>
      </c>
      <c r="I1109" s="25"/>
      <c r="J1109" s="25" t="str">
        <f t="shared" si="444"/>
        <v/>
      </c>
      <c r="K1109" s="442" t="str">
        <f t="shared" si="474"/>
        <v/>
      </c>
      <c r="L1109" s="736" t="s">
        <v>2441</v>
      </c>
      <c r="M1109" s="25" t="str">
        <f t="shared" si="462"/>
        <v>R</v>
      </c>
      <c r="N1109" s="25" t="str">
        <f>IF(L1109&lt;&gt;"",VLOOKUP(L1109,Categories!$B$2:$D$41,2,FALSE),IF(F1109&lt;&gt;"","No Cat",""))</f>
        <v>Rate Base</v>
      </c>
      <c r="O1109" s="25" t="str">
        <f>IF($L1109&lt;&gt;"",VLOOKUP($L1109,Categories!$B$2:$D$41,3,FALSE),IF($F1109&lt;&gt;"","No Cat",""))</f>
        <v>Deferred Debits &amp; Credits</v>
      </c>
      <c r="P1109" s="736" t="s">
        <v>2483</v>
      </c>
      <c r="Q1109" s="25" t="str">
        <f>VLOOKUP($P1109,Allocators!$B$7:$F$19,5,FALSE)</f>
        <v>Gas</v>
      </c>
      <c r="R1109" s="737">
        <f>VLOOKUP($P1109,Allocators!$B$7:$F$19,2,FALSE)</f>
        <v>0</v>
      </c>
      <c r="S1109" s="737">
        <f>VLOOKUP($P1109,Allocators!$B$7:$F$19,3,FALSE)</f>
        <v>1</v>
      </c>
      <c r="T1109" s="737" t="str">
        <f t="shared" si="463"/>
        <v>0.0%</v>
      </c>
      <c r="U1109" s="2" t="str">
        <f t="shared" si="504"/>
        <v/>
      </c>
      <c r="V1109" s="2" t="str">
        <f t="shared" si="505"/>
        <v/>
      </c>
      <c r="W1109" s="2" t="str">
        <f t="shared" si="506"/>
        <v/>
      </c>
      <c r="X1109" s="2">
        <f t="shared" si="502"/>
        <v>0</v>
      </c>
      <c r="Y1109" s="2" t="str">
        <f t="shared" si="507"/>
        <v/>
      </c>
      <c r="Z1109" s="2" t="str">
        <f t="shared" si="508"/>
        <v/>
      </c>
      <c r="AA1109" s="2" t="str">
        <f t="shared" si="509"/>
        <v/>
      </c>
      <c r="AB1109" s="2">
        <f t="shared" si="503"/>
        <v>0</v>
      </c>
      <c r="AC1109" s="734">
        <v>0</v>
      </c>
      <c r="AD1109" s="625">
        <v>0</v>
      </c>
      <c r="AE1109" s="625">
        <v>0</v>
      </c>
      <c r="AF1109" s="38">
        <v>0</v>
      </c>
      <c r="AG1109" s="625">
        <v>0</v>
      </c>
      <c r="AH1109" s="625">
        <v>0</v>
      </c>
      <c r="AI1109" s="625">
        <v>0</v>
      </c>
      <c r="AJ1109" s="625">
        <v>0</v>
      </c>
      <c r="AK1109" s="625">
        <v>0</v>
      </c>
      <c r="AL1109" s="625">
        <v>0</v>
      </c>
      <c r="AM1109" s="625">
        <v>0</v>
      </c>
      <c r="AN1109" s="625">
        <v>0</v>
      </c>
      <c r="AO1109" s="625">
        <v>0</v>
      </c>
      <c r="AP1109" s="41" t="str">
        <f t="shared" si="496"/>
        <v>Reg AssetR</v>
      </c>
      <c r="AQ1109" s="41" t="str">
        <f t="shared" si="497"/>
        <v>Reg AssetRR10Property Tax 481(a)</v>
      </c>
      <c r="AR1109" s="41" t="str">
        <f t="shared" si="498"/>
        <v>R10Property Tax 481(a)</v>
      </c>
      <c r="CK1109" s="625"/>
    </row>
    <row r="1110" spans="1:89" s="41" customFormat="1" ht="12.75" customHeight="1">
      <c r="A1110" s="25" t="s">
        <v>746</v>
      </c>
      <c r="B1110" s="25" t="str">
        <f t="shared" si="455"/>
        <v>Reg Asset254017601098-LBG030478</v>
      </c>
      <c r="C1110" s="736">
        <v>254017</v>
      </c>
      <c r="D1110" s="738" t="s">
        <v>1280</v>
      </c>
      <c r="E1110" s="41" t="s">
        <v>1277</v>
      </c>
      <c r="F1110" s="41" t="str">
        <f t="shared" si="443"/>
        <v>OTH REG LIAB - MISC - GAS</v>
      </c>
      <c r="G1110" s="41" t="s">
        <v>1278</v>
      </c>
      <c r="H1110" s="736" t="s">
        <v>1181</v>
      </c>
      <c r="I1110" s="25"/>
      <c r="J1110" s="25" t="str">
        <f t="shared" si="444"/>
        <v/>
      </c>
      <c r="K1110" s="442" t="str">
        <f t="shared" si="474"/>
        <v/>
      </c>
      <c r="L1110" s="736" t="s">
        <v>2441</v>
      </c>
      <c r="M1110" s="25" t="str">
        <f t="shared" si="462"/>
        <v>R</v>
      </c>
      <c r="N1110" s="25" t="str">
        <f>IF(L1110&lt;&gt;"",VLOOKUP(L1110,Categories!$B$2:$D$41,2,FALSE),IF(F1110&lt;&gt;"","No Cat",""))</f>
        <v>Rate Base</v>
      </c>
      <c r="O1110" s="25" t="str">
        <f>IF($L1110&lt;&gt;"",VLOOKUP($L1110,Categories!$B$2:$D$41,3,FALSE),IF($F1110&lt;&gt;"","No Cat",""))</f>
        <v>Deferred Debits &amp; Credits</v>
      </c>
      <c r="P1110" s="736" t="s">
        <v>2483</v>
      </c>
      <c r="Q1110" s="25" t="str">
        <f>VLOOKUP($P1110,Allocators!$B$7:$F$19,5,FALSE)</f>
        <v>Gas</v>
      </c>
      <c r="R1110" s="737">
        <f>VLOOKUP($P1110,Allocators!$B$7:$F$19,2,FALSE)</f>
        <v>0</v>
      </c>
      <c r="S1110" s="737">
        <f>VLOOKUP($P1110,Allocators!$B$7:$F$19,3,FALSE)</f>
        <v>1</v>
      </c>
      <c r="T1110" s="737" t="str">
        <f t="shared" si="463"/>
        <v>0.0%</v>
      </c>
      <c r="U1110" s="2">
        <f t="shared" si="504"/>
        <v>0</v>
      </c>
      <c r="V1110" s="2">
        <f t="shared" si="505"/>
        <v>-151.36189999999999</v>
      </c>
      <c r="W1110" s="2">
        <f t="shared" si="506"/>
        <v>0</v>
      </c>
      <c r="X1110" s="2">
        <f t="shared" si="502"/>
        <v>-151.36189999999999</v>
      </c>
      <c r="Y1110" s="2">
        <f t="shared" si="507"/>
        <v>0</v>
      </c>
      <c r="Z1110" s="2">
        <f t="shared" si="508"/>
        <v>-151.36189999999999</v>
      </c>
      <c r="AA1110" s="2">
        <f t="shared" si="509"/>
        <v>0</v>
      </c>
      <c r="AB1110" s="2">
        <f t="shared" si="503"/>
        <v>-151.36189999999999</v>
      </c>
      <c r="AC1110" s="734">
        <v>-151.36189999999999</v>
      </c>
      <c r="AD1110" s="625">
        <v>-151.36189999999999</v>
      </c>
      <c r="AE1110" s="625">
        <v>-151.36189999999999</v>
      </c>
      <c r="AF1110" s="625">
        <v>-151.36189999999999</v>
      </c>
      <c r="AG1110" s="625">
        <v>-151.36189999999999</v>
      </c>
      <c r="AH1110" s="625">
        <v>-151.36189999999999</v>
      </c>
      <c r="AI1110" s="625">
        <v>-151.36189999999999</v>
      </c>
      <c r="AJ1110" s="625">
        <v>-151.36189999999999</v>
      </c>
      <c r="AK1110" s="625">
        <v>-151.36189999999999</v>
      </c>
      <c r="AL1110" s="625">
        <v>-151.36189999999999</v>
      </c>
      <c r="AM1110" s="625">
        <v>-151.36189999999999</v>
      </c>
      <c r="AN1110" s="625">
        <v>-151.36189999999999</v>
      </c>
      <c r="AO1110" s="625">
        <v>-151.36189999999999</v>
      </c>
      <c r="AP1110" s="41" t="str">
        <f t="shared" si="496"/>
        <v>Reg AssetR</v>
      </c>
      <c r="AQ1110" s="41" t="str">
        <f t="shared" si="497"/>
        <v>Reg AssetRR10Property Tax 481(a)</v>
      </c>
      <c r="AR1110" s="41" t="str">
        <f t="shared" si="498"/>
        <v>R10Property Tax 481(a)</v>
      </c>
      <c r="CK1110" s="625"/>
    </row>
    <row r="1111" spans="1:89" s="41" customFormat="1" ht="12.75" customHeight="1">
      <c r="A1111" s="442" t="s">
        <v>746</v>
      </c>
      <c r="B1111" s="442" t="str">
        <f t="shared" si="455"/>
        <v>Reg Asset254017SERP GasBG030410</v>
      </c>
      <c r="C1111" s="736">
        <v>254017</v>
      </c>
      <c r="D1111" s="738" t="s">
        <v>1281</v>
      </c>
      <c r="E1111" s="626" t="s">
        <v>1223</v>
      </c>
      <c r="F1111" s="626" t="str">
        <f t="shared" si="443"/>
        <v>OTH REG LIAB - MISC - GAS</v>
      </c>
      <c r="G1111" s="626" t="s">
        <v>1282</v>
      </c>
      <c r="H1111" s="736" t="s">
        <v>810</v>
      </c>
      <c r="I1111" s="442"/>
      <c r="J1111" s="442" t="str">
        <f t="shared" si="444"/>
        <v/>
      </c>
      <c r="K1111" s="442" t="str">
        <f t="shared" si="474"/>
        <v/>
      </c>
      <c r="L1111" s="736" t="s">
        <v>2421</v>
      </c>
      <c r="M1111" s="442" t="str">
        <f t="shared" si="462"/>
        <v>N</v>
      </c>
      <c r="N1111" s="442" t="str">
        <f>IF(L1111&lt;&gt;"",VLOOKUP(L1111,Categories!$B$2:$D$41,2,FALSE),IF(F1111&lt;&gt;"","No Cat",""))</f>
        <v>NRBASE</v>
      </c>
      <c r="O1111" s="442" t="str">
        <f>IF($L1111&lt;&gt;"",VLOOKUP($L1111,Categories!$B$2:$D$41,3,FALSE),IF($F1111&lt;&gt;"","No Cat",""))</f>
        <v>Direct Assign Items Not in RB</v>
      </c>
      <c r="P1111" s="736" t="s">
        <v>2468</v>
      </c>
      <c r="Q1111" s="442" t="str">
        <f>VLOOKUP($P1111,Allocators!$B$7:$F$19,5,FALSE)</f>
        <v>Not in Rate Base</v>
      </c>
      <c r="R1111" s="737">
        <f>VLOOKUP($P1111,Allocators!$B$7:$F$19,2,FALSE)</f>
        <v>0</v>
      </c>
      <c r="S1111" s="737">
        <f>VLOOKUP($P1111,Allocators!$B$7:$F$19,3,FALSE)</f>
        <v>0</v>
      </c>
      <c r="T1111" s="737">
        <f t="shared" si="463"/>
        <v>1</v>
      </c>
      <c r="U1111" s="2" t="str">
        <f t="shared" si="504"/>
        <v/>
      </c>
      <c r="V1111" s="2" t="str">
        <f t="shared" si="505"/>
        <v/>
      </c>
      <c r="W1111" s="2" t="str">
        <f t="shared" si="506"/>
        <v/>
      </c>
      <c r="X1111" s="2">
        <f t="shared" si="502"/>
        <v>0</v>
      </c>
      <c r="Y1111" s="2" t="str">
        <f t="shared" si="507"/>
        <v/>
      </c>
      <c r="Z1111" s="2" t="str">
        <f t="shared" si="508"/>
        <v/>
      </c>
      <c r="AA1111" s="2" t="str">
        <f t="shared" si="509"/>
        <v/>
      </c>
      <c r="AB1111" s="2">
        <f t="shared" si="503"/>
        <v>0</v>
      </c>
      <c r="AC1111" s="625">
        <v>0</v>
      </c>
      <c r="AD1111" s="625">
        <v>0</v>
      </c>
      <c r="AE1111" s="625">
        <v>0</v>
      </c>
      <c r="AF1111" s="38">
        <v>0</v>
      </c>
      <c r="AG1111" s="625">
        <v>0</v>
      </c>
      <c r="AH1111" s="625">
        <v>0</v>
      </c>
      <c r="AI1111" s="625">
        <v>0</v>
      </c>
      <c r="AJ1111" s="625">
        <v>0</v>
      </c>
      <c r="AK1111" s="625">
        <v>0</v>
      </c>
      <c r="AL1111" s="625">
        <v>0</v>
      </c>
      <c r="AM1111" s="625">
        <v>0</v>
      </c>
      <c r="AN1111" s="625">
        <v>0</v>
      </c>
      <c r="AO1111" s="625">
        <v>0</v>
      </c>
      <c r="AP1111" s="41" t="str">
        <f t="shared" si="496"/>
        <v>Reg AssetN</v>
      </c>
      <c r="AQ1111" s="41" t="str">
        <f t="shared" si="497"/>
        <v>Reg AssetNN2SERP</v>
      </c>
      <c r="AR1111" s="41" t="str">
        <f t="shared" si="498"/>
        <v>N2SERP</v>
      </c>
      <c r="CK1111" s="625"/>
    </row>
    <row r="1112" spans="1:89" s="41" customFormat="1" ht="12.75" customHeight="1">
      <c r="A1112" s="442" t="s">
        <v>746</v>
      </c>
      <c r="B1112" s="442" t="str">
        <f t="shared" si="455"/>
        <v>Reg Asset254017601213BG030252</v>
      </c>
      <c r="C1112" s="736">
        <v>254017</v>
      </c>
      <c r="D1112" s="738">
        <v>601213</v>
      </c>
      <c r="E1112" s="626" t="s">
        <v>962</v>
      </c>
      <c r="F1112" s="626" t="str">
        <f t="shared" si="443"/>
        <v>OTH REG LIAB - MISC - GAS</v>
      </c>
      <c r="G1112" s="626" t="s">
        <v>1283</v>
      </c>
      <c r="H1112" s="736" t="s">
        <v>1113</v>
      </c>
      <c r="I1112" s="442"/>
      <c r="J1112" s="442" t="s">
        <v>7</v>
      </c>
      <c r="K1112" s="442" t="str">
        <f t="shared" si="474"/>
        <v/>
      </c>
      <c r="L1112" s="736" t="s">
        <v>2436</v>
      </c>
      <c r="M1112" s="442" t="str">
        <f t="shared" si="462"/>
        <v>N</v>
      </c>
      <c r="N1112" s="442" t="str">
        <f>IF(L1112&lt;&gt;"",VLOOKUP(L1112,Categories!$B$2:$D$41,2,FALSE),IF(F1112&lt;&gt;"","No Cat",""))</f>
        <v>NRBASE</v>
      </c>
      <c r="O1112" s="442" t="str">
        <f>IF($L1112&lt;&gt;"",VLOOKUP($L1112,Categories!$B$2:$D$41,3,FALSE),IF($F1112&lt;&gt;"","No Cat",""))</f>
        <v>Deferrals Accruing Non-Cash Return   (other than ASGA)</v>
      </c>
      <c r="P1112" s="736" t="s">
        <v>2468</v>
      </c>
      <c r="Q1112" s="442" t="str">
        <f>VLOOKUP($P1112,Allocators!$B$7:$F$19,5,FALSE)</f>
        <v>Not in Rate Base</v>
      </c>
      <c r="R1112" s="737">
        <f>VLOOKUP($P1112,Allocators!$B$7:$F$19,2,FALSE)</f>
        <v>0</v>
      </c>
      <c r="S1112" s="737">
        <f>VLOOKUP($P1112,Allocators!$B$7:$F$19,3,FALSE)</f>
        <v>0</v>
      </c>
      <c r="T1112" s="737">
        <f t="shared" si="463"/>
        <v>1</v>
      </c>
      <c r="U1112" s="2">
        <f t="shared" si="504"/>
        <v>0</v>
      </c>
      <c r="V1112" s="2">
        <f t="shared" si="505"/>
        <v>0</v>
      </c>
      <c r="W1112" s="2">
        <f t="shared" si="506"/>
        <v>-4785.3200066666705</v>
      </c>
      <c r="X1112" s="2">
        <f t="shared" si="502"/>
        <v>-4785.3200066666705</v>
      </c>
      <c r="Y1112" s="2" t="str">
        <f t="shared" si="507"/>
        <v/>
      </c>
      <c r="Z1112" s="2" t="str">
        <f t="shared" si="508"/>
        <v/>
      </c>
      <c r="AA1112" s="2" t="str">
        <f t="shared" si="509"/>
        <v/>
      </c>
      <c r="AB1112" s="2">
        <f t="shared" si="503"/>
        <v>0</v>
      </c>
      <c r="AC1112" s="734">
        <v>-15371.494640000001</v>
      </c>
      <c r="AD1112" s="625">
        <v>-16077.535370000001</v>
      </c>
      <c r="AE1112" s="625">
        <v>-16786.22652</v>
      </c>
      <c r="AF1112" s="625">
        <v>-16874.330870000002</v>
      </c>
      <c r="AG1112" s="625">
        <v>0</v>
      </c>
      <c r="AH1112" s="625">
        <v>0</v>
      </c>
      <c r="AI1112" s="625">
        <v>0</v>
      </c>
      <c r="AJ1112" s="625">
        <v>0</v>
      </c>
      <c r="AK1112" s="625">
        <v>0</v>
      </c>
      <c r="AL1112" s="625">
        <v>0</v>
      </c>
      <c r="AM1112" s="625">
        <v>0</v>
      </c>
      <c r="AN1112" s="625">
        <v>0</v>
      </c>
      <c r="AO1112" s="625">
        <v>0</v>
      </c>
      <c r="AP1112" s="41" t="str">
        <f t="shared" si="496"/>
        <v>Reg AssetN</v>
      </c>
      <c r="AQ1112" s="41" t="str">
        <f t="shared" si="497"/>
        <v>Reg AssetNN10Property Tax Deferral</v>
      </c>
      <c r="AR1112" s="41" t="str">
        <f t="shared" si="498"/>
        <v>N10Property Tax DeferralNCR</v>
      </c>
      <c r="CK1112" s="625"/>
    </row>
    <row r="1113" spans="1:89" s="41" customFormat="1" ht="12.75" customHeight="1">
      <c r="A1113" s="442" t="s">
        <v>746</v>
      </c>
      <c r="B1113" s="442" t="str">
        <f t="shared" si="455"/>
        <v>Reg Asset254017601215BG030595</v>
      </c>
      <c r="C1113" s="736">
        <v>254017</v>
      </c>
      <c r="D1113" s="738">
        <v>601215</v>
      </c>
      <c r="E1113" s="626" t="s">
        <v>1284</v>
      </c>
      <c r="F1113" s="626" t="str">
        <f t="shared" si="443"/>
        <v>OTH REG LIAB - MISC - GAS</v>
      </c>
      <c r="G1113" s="626" t="s">
        <v>1285</v>
      </c>
      <c r="H1113" s="736" t="s">
        <v>1119</v>
      </c>
      <c r="I1113" s="442"/>
      <c r="J1113" s="442" t="s">
        <v>7</v>
      </c>
      <c r="K1113" s="442" t="str">
        <f t="shared" si="474"/>
        <v/>
      </c>
      <c r="L1113" s="736" t="s">
        <v>2436</v>
      </c>
      <c r="M1113" s="442" t="str">
        <f t="shared" si="462"/>
        <v>N</v>
      </c>
      <c r="N1113" s="442" t="str">
        <f>IF(L1113&lt;&gt;"",VLOOKUP(L1113,Categories!$B$2:$D$41,2,FALSE),IF(F1113&lt;&gt;"","No Cat",""))</f>
        <v>NRBASE</v>
      </c>
      <c r="O1113" s="442" t="str">
        <f>IF($L1113&lt;&gt;"",VLOOKUP($L1113,Categories!$B$2:$D$41,3,FALSE),IF($F1113&lt;&gt;"","No Cat",""))</f>
        <v>Deferrals Accruing Non-Cash Return   (other than ASGA)</v>
      </c>
      <c r="P1113" s="736" t="s">
        <v>2468</v>
      </c>
      <c r="Q1113" s="442" t="str">
        <f>VLOOKUP($P1113,Allocators!$B$7:$F$19,5,FALSE)</f>
        <v>Not in Rate Base</v>
      </c>
      <c r="R1113" s="737">
        <f>VLOOKUP($P1113,Allocators!$B$7:$F$19,2,FALSE)</f>
        <v>0</v>
      </c>
      <c r="S1113" s="737">
        <f>VLOOKUP($P1113,Allocators!$B$7:$F$19,3,FALSE)</f>
        <v>0</v>
      </c>
      <c r="T1113" s="737">
        <f t="shared" si="463"/>
        <v>1</v>
      </c>
      <c r="U1113" s="2">
        <f t="shared" si="504"/>
        <v>0</v>
      </c>
      <c r="V1113" s="2">
        <f t="shared" si="505"/>
        <v>0</v>
      </c>
      <c r="W1113" s="2">
        <f t="shared" si="506"/>
        <v>-136.90032124999999</v>
      </c>
      <c r="X1113" s="2">
        <f t="shared" si="502"/>
        <v>-136.90032124999999</v>
      </c>
      <c r="Y1113" s="2">
        <f t="shared" si="507"/>
        <v>0</v>
      </c>
      <c r="Z1113" s="2">
        <f t="shared" si="508"/>
        <v>0</v>
      </c>
      <c r="AA1113" s="2">
        <f t="shared" si="509"/>
        <v>-210.91765000000001</v>
      </c>
      <c r="AB1113" s="2">
        <f t="shared" si="503"/>
        <v>-210.91765000000004</v>
      </c>
      <c r="AC1113" s="734">
        <v>-0.28598000000008322</v>
      </c>
      <c r="AD1113" s="625">
        <v>-20.386520000000026</v>
      </c>
      <c r="AE1113" s="625">
        <v>-47.847620000000028</v>
      </c>
      <c r="AF1113" s="625">
        <v>-78.430960000000027</v>
      </c>
      <c r="AG1113" s="625">
        <v>-109.01429000000002</v>
      </c>
      <c r="AH1113" s="625">
        <v>-133.71697000000003</v>
      </c>
      <c r="AI1113" s="625">
        <v>-156.09826000000004</v>
      </c>
      <c r="AJ1113" s="625">
        <v>-183.11809000000002</v>
      </c>
      <c r="AK1113" s="625">
        <v>-176.79532000000003</v>
      </c>
      <c r="AL1113" s="625">
        <v>-188.18766000000002</v>
      </c>
      <c r="AM1113" s="625">
        <v>-212.94304000000002</v>
      </c>
      <c r="AN1113" s="625">
        <v>-230.66331000000002</v>
      </c>
      <c r="AO1113" s="625">
        <v>-210.91765000000004</v>
      </c>
      <c r="AP1113" s="41" t="str">
        <f t="shared" si="496"/>
        <v>Reg AssetN</v>
      </c>
      <c r="AQ1113" s="41" t="str">
        <f t="shared" si="497"/>
        <v>Reg AssetNN10Vegetation Management</v>
      </c>
      <c r="AR1113" s="41" t="str">
        <f t="shared" si="498"/>
        <v>N10Vegetation ManagementNCR</v>
      </c>
      <c r="CK1113" s="625"/>
    </row>
    <row r="1114" spans="1:89" s="41" customFormat="1" ht="12.75" customHeight="1">
      <c r="A1114" s="442" t="s">
        <v>746</v>
      </c>
      <c r="B1114" s="442" t="str">
        <f t="shared" si="455"/>
        <v>Reg Asset254017601217BG030596</v>
      </c>
      <c r="C1114" s="736">
        <v>254017</v>
      </c>
      <c r="D1114" s="738">
        <v>601217</v>
      </c>
      <c r="E1114" s="626" t="s">
        <v>1286</v>
      </c>
      <c r="F1114" s="626" t="str">
        <f t="shared" si="443"/>
        <v>OTH REG LIAB - MISC - GAS</v>
      </c>
      <c r="G1114" s="626" t="s">
        <v>1287</v>
      </c>
      <c r="H1114" s="736" t="s">
        <v>1192</v>
      </c>
      <c r="I1114" s="442"/>
      <c r="J1114" s="442" t="s">
        <v>7</v>
      </c>
      <c r="K1114" s="442" t="str">
        <f t="shared" si="474"/>
        <v/>
      </c>
      <c r="L1114" s="736" t="s">
        <v>2436</v>
      </c>
      <c r="M1114" s="442" t="str">
        <f t="shared" si="462"/>
        <v>N</v>
      </c>
      <c r="N1114" s="442" t="str">
        <f>IF(L1114&lt;&gt;"",VLOOKUP(L1114,Categories!$B$2:$D$41,2,FALSE),IF(F1114&lt;&gt;"","No Cat",""))</f>
        <v>NRBASE</v>
      </c>
      <c r="O1114" s="442" t="str">
        <f>IF($L1114&lt;&gt;"",VLOOKUP($L1114,Categories!$B$2:$D$41,3,FALSE),IF($F1114&lt;&gt;"","No Cat",""))</f>
        <v>Deferrals Accruing Non-Cash Return   (other than ASGA)</v>
      </c>
      <c r="P1114" s="736" t="s">
        <v>2468</v>
      </c>
      <c r="Q1114" s="442" t="str">
        <f>VLOOKUP($P1114,Allocators!$B$7:$F$19,5,FALSE)</f>
        <v>Not in Rate Base</v>
      </c>
      <c r="R1114" s="737">
        <f>VLOOKUP($P1114,Allocators!$B$7:$F$19,2,FALSE)</f>
        <v>0</v>
      </c>
      <c r="S1114" s="737">
        <f>VLOOKUP($P1114,Allocators!$B$7:$F$19,3,FALSE)</f>
        <v>0</v>
      </c>
      <c r="T1114" s="737">
        <f t="shared" si="463"/>
        <v>1</v>
      </c>
      <c r="U1114" s="2">
        <f t="shared" si="504"/>
        <v>0</v>
      </c>
      <c r="V1114" s="2">
        <f t="shared" si="505"/>
        <v>0</v>
      </c>
      <c r="W1114" s="2">
        <f t="shared" si="506"/>
        <v>1.46127625000001</v>
      </c>
      <c r="X1114" s="2">
        <f t="shared" si="502"/>
        <v>1.46127625000001</v>
      </c>
      <c r="Y1114" s="2">
        <f t="shared" si="507"/>
        <v>0</v>
      </c>
      <c r="Z1114" s="2">
        <f t="shared" si="508"/>
        <v>0</v>
      </c>
      <c r="AA1114" s="2">
        <f t="shared" si="509"/>
        <v>-34.702809999999999</v>
      </c>
      <c r="AB1114" s="2">
        <f t="shared" si="503"/>
        <v>-34.702809999999992</v>
      </c>
      <c r="AC1114" s="734">
        <v>37.655020000000029</v>
      </c>
      <c r="AD1114" s="625">
        <v>31.618420000000004</v>
      </c>
      <c r="AE1114" s="625">
        <v>25.583030000000004</v>
      </c>
      <c r="AF1114" s="625">
        <v>19.548860000000008</v>
      </c>
      <c r="AG1114" s="625">
        <v>13.515910000000007</v>
      </c>
      <c r="AH1114" s="625">
        <v>7.4841900000000079</v>
      </c>
      <c r="AI1114" s="625">
        <v>1.4537100000000083</v>
      </c>
      <c r="AJ1114" s="625">
        <v>-4.5755299999999917</v>
      </c>
      <c r="AK1114" s="625">
        <v>-10.603519999999991</v>
      </c>
      <c r="AL1114" s="625">
        <v>-16.630249999999993</v>
      </c>
      <c r="AM1114" s="625">
        <v>-22.655709999999992</v>
      </c>
      <c r="AN1114" s="625">
        <v>-28.679899999999989</v>
      </c>
      <c r="AO1114" s="625">
        <v>-34.702809999999992</v>
      </c>
      <c r="AP1114" s="41" t="str">
        <f t="shared" si="496"/>
        <v>Reg AssetN</v>
      </c>
      <c r="AQ1114" s="41" t="str">
        <f t="shared" si="497"/>
        <v>Reg AssetNN10Management Audit Deferral</v>
      </c>
      <c r="AR1114" s="41" t="str">
        <f t="shared" si="498"/>
        <v>N10Management Audit DeferralNCR</v>
      </c>
      <c r="CK1114" s="625"/>
    </row>
    <row r="1115" spans="1:89" s="41" customFormat="1" ht="12.75" customHeight="1">
      <c r="A1115" s="442" t="s">
        <v>746</v>
      </c>
      <c r="B1115" s="442" t="str">
        <f t="shared" si="455"/>
        <v>Reg Asset254017601222BG030599</v>
      </c>
      <c r="C1115" s="736">
        <v>254017</v>
      </c>
      <c r="D1115" s="738">
        <v>601222</v>
      </c>
      <c r="E1115" s="626" t="s">
        <v>1288</v>
      </c>
      <c r="F1115" s="626" t="str">
        <f t="shared" si="443"/>
        <v>OTH REG LIAB - MISC - GAS</v>
      </c>
      <c r="G1115" s="626" t="s">
        <v>1289</v>
      </c>
      <c r="H1115" s="736" t="s">
        <v>1195</v>
      </c>
      <c r="I1115" s="442"/>
      <c r="J1115" s="442" t="s">
        <v>7</v>
      </c>
      <c r="K1115" s="442" t="str">
        <f t="shared" si="474"/>
        <v/>
      </c>
      <c r="L1115" s="736" t="s">
        <v>2436</v>
      </c>
      <c r="M1115" s="442" t="str">
        <f t="shared" si="462"/>
        <v>N</v>
      </c>
      <c r="N1115" s="442" t="str">
        <f>IF(L1115&lt;&gt;"",VLOOKUP(L1115,Categories!$B$2:$D$41,2,FALSE),IF(F1115&lt;&gt;"","No Cat",""))</f>
        <v>NRBASE</v>
      </c>
      <c r="O1115" s="442" t="str">
        <f>IF($L1115&lt;&gt;"",VLOOKUP($L1115,Categories!$B$2:$D$41,3,FALSE),IF($F1115&lt;&gt;"","No Cat",""))</f>
        <v>Deferrals Accruing Non-Cash Return   (other than ASGA)</v>
      </c>
      <c r="P1115" s="736" t="s">
        <v>2468</v>
      </c>
      <c r="Q1115" s="442" t="str">
        <f>VLOOKUP($P1115,Allocators!$B$7:$F$19,5,FALSE)</f>
        <v>Not in Rate Base</v>
      </c>
      <c r="R1115" s="737">
        <f>VLOOKUP($P1115,Allocators!$B$7:$F$19,2,FALSE)</f>
        <v>0</v>
      </c>
      <c r="S1115" s="737">
        <f>VLOOKUP($P1115,Allocators!$B$7:$F$19,3,FALSE)</f>
        <v>0</v>
      </c>
      <c r="T1115" s="737">
        <f t="shared" si="463"/>
        <v>1</v>
      </c>
      <c r="U1115" s="2">
        <f t="shared" si="504"/>
        <v>0</v>
      </c>
      <c r="V1115" s="2">
        <f t="shared" si="505"/>
        <v>0</v>
      </c>
      <c r="W1115" s="2">
        <f t="shared" si="506"/>
        <v>-366.475672083333</v>
      </c>
      <c r="X1115" s="2">
        <f t="shared" si="502"/>
        <v>-366.475672083333</v>
      </c>
      <c r="Y1115" s="2">
        <f t="shared" si="507"/>
        <v>0</v>
      </c>
      <c r="Z1115" s="2">
        <f t="shared" si="508"/>
        <v>0</v>
      </c>
      <c r="AA1115" s="2">
        <f t="shared" si="509"/>
        <v>-244.78827999999999</v>
      </c>
      <c r="AB1115" s="2">
        <f t="shared" si="503"/>
        <v>-244.78827999999996</v>
      </c>
      <c r="AC1115" s="734">
        <v>-178.63607000000005</v>
      </c>
      <c r="AD1115" s="625">
        <v>-223.07800999999998</v>
      </c>
      <c r="AE1115" s="625">
        <v>-311.80389999999994</v>
      </c>
      <c r="AF1115" s="625">
        <v>-379.58666999999997</v>
      </c>
      <c r="AG1115" s="625">
        <v>-439.73316</v>
      </c>
      <c r="AH1115" s="625">
        <v>-513.01922000000002</v>
      </c>
      <c r="AI1115" s="625">
        <v>-465.39749</v>
      </c>
      <c r="AJ1115" s="625">
        <v>-516.78190999999993</v>
      </c>
      <c r="AK1115" s="625">
        <v>-496.22538999999995</v>
      </c>
      <c r="AL1115" s="625">
        <v>-417.55534999999998</v>
      </c>
      <c r="AM1115" s="625">
        <v>-232.72158999999999</v>
      </c>
      <c r="AN1115" s="625">
        <v>-190.0932</v>
      </c>
      <c r="AO1115" s="625">
        <v>-244.78827999999996</v>
      </c>
      <c r="AP1115" s="41" t="str">
        <f t="shared" si="496"/>
        <v>Reg AssetN</v>
      </c>
      <c r="AQ1115" s="41" t="str">
        <f t="shared" si="497"/>
        <v>Reg AssetNN10Incremental Maintenance</v>
      </c>
      <c r="AR1115" s="41" t="str">
        <f t="shared" si="498"/>
        <v>N10Incremental MaintenanceNCR</v>
      </c>
      <c r="CK1115" s="625"/>
    </row>
    <row r="1116" spans="1:89" s="41" customFormat="1" ht="12.75" customHeight="1">
      <c r="A1116" s="25" t="s">
        <v>746</v>
      </c>
      <c r="B1116" s="25" t="str">
        <f t="shared" si="455"/>
        <v>Reg Asset254017601230-ABG030182</v>
      </c>
      <c r="C1116" s="736">
        <v>254017</v>
      </c>
      <c r="D1116" s="738" t="s">
        <v>1291</v>
      </c>
      <c r="E1116" s="41" t="s">
        <v>1290</v>
      </c>
      <c r="F1116" s="41" t="str">
        <f t="shared" ref="F1116:F1209" si="510">VLOOKUP(C1116,$C$7:$F$787,4,FALSE)</f>
        <v>OTH REG LIAB - MISC - GAS</v>
      </c>
      <c r="G1116" s="41" t="s">
        <v>1292</v>
      </c>
      <c r="H1116" s="736" t="s">
        <v>1199</v>
      </c>
      <c r="I1116" s="25"/>
      <c r="J1116" s="25" t="str">
        <f t="shared" si="444"/>
        <v/>
      </c>
      <c r="K1116" s="442" t="str">
        <f t="shared" si="474"/>
        <v/>
      </c>
      <c r="L1116" s="736" t="s">
        <v>2441</v>
      </c>
      <c r="M1116" s="25" t="str">
        <f t="shared" si="462"/>
        <v>R</v>
      </c>
      <c r="N1116" s="25" t="str">
        <f>IF(L1116&lt;&gt;"",VLOOKUP(L1116,Categories!$B$2:$D$41,2,FALSE),IF(F1116&lt;&gt;"","No Cat",""))</f>
        <v>Rate Base</v>
      </c>
      <c r="O1116" s="25" t="str">
        <f>IF($L1116&lt;&gt;"",VLOOKUP($L1116,Categories!$B$2:$D$41,3,FALSE),IF($F1116&lt;&gt;"","No Cat",""))</f>
        <v>Deferred Debits &amp; Credits</v>
      </c>
      <c r="P1116" s="736" t="s">
        <v>2483</v>
      </c>
      <c r="Q1116" s="25" t="str">
        <f>VLOOKUP($P1116,Allocators!$B$7:$F$19,5,FALSE)</f>
        <v>Gas</v>
      </c>
      <c r="R1116" s="737">
        <f>VLOOKUP($P1116,Allocators!$B$7:$F$19,2,FALSE)</f>
        <v>0</v>
      </c>
      <c r="S1116" s="737">
        <f>VLOOKUP($P1116,Allocators!$B$7:$F$19,3,FALSE)</f>
        <v>1</v>
      </c>
      <c r="T1116" s="737" t="str">
        <f t="shared" si="463"/>
        <v>0.0%</v>
      </c>
      <c r="U1116" s="2">
        <f t="shared" si="504"/>
        <v>0</v>
      </c>
      <c r="V1116" s="2">
        <f t="shared" si="505"/>
        <v>2.0000000000000002E-15</v>
      </c>
      <c r="W1116" s="2">
        <f t="shared" si="506"/>
        <v>0</v>
      </c>
      <c r="X1116" s="2">
        <f t="shared" si="502"/>
        <v>2.0000000000000002E-15</v>
      </c>
      <c r="Y1116" s="2" t="str">
        <f t="shared" si="507"/>
        <v/>
      </c>
      <c r="Z1116" s="2" t="str">
        <f t="shared" si="508"/>
        <v/>
      </c>
      <c r="AA1116" s="2" t="str">
        <f t="shared" si="509"/>
        <v/>
      </c>
      <c r="AB1116" s="2">
        <f t="shared" si="503"/>
        <v>0</v>
      </c>
      <c r="AC1116" s="734">
        <v>3.8198777474462988E-14</v>
      </c>
      <c r="AD1116" s="625">
        <v>0</v>
      </c>
      <c r="AE1116" s="625">
        <v>0</v>
      </c>
      <c r="AF1116" s="38">
        <v>0</v>
      </c>
      <c r="AG1116" s="625">
        <v>0</v>
      </c>
      <c r="AH1116" s="625">
        <v>0</v>
      </c>
      <c r="AI1116" s="625">
        <v>0</v>
      </c>
      <c r="AJ1116" s="625">
        <v>0</v>
      </c>
      <c r="AK1116" s="625">
        <v>0</v>
      </c>
      <c r="AL1116" s="625">
        <v>0</v>
      </c>
      <c r="AM1116" s="625">
        <v>0</v>
      </c>
      <c r="AN1116" s="625">
        <v>0</v>
      </c>
      <c r="AO1116" s="625">
        <v>0</v>
      </c>
      <c r="AP1116" s="41" t="str">
        <f t="shared" si="496"/>
        <v>Reg AssetR</v>
      </c>
      <c r="AQ1116" s="41" t="str">
        <f t="shared" si="497"/>
        <v>Reg AssetRR10Pre-Capitalized Installation Costs</v>
      </c>
      <c r="AR1116" s="41" t="str">
        <f t="shared" si="498"/>
        <v>R10Pre-Capitalized Installation Costs</v>
      </c>
      <c r="CK1116" s="625"/>
    </row>
    <row r="1117" spans="1:89" s="41" customFormat="1" ht="12.75" customHeight="1">
      <c r="A1117" s="442" t="s">
        <v>746</v>
      </c>
      <c r="B1117" s="442" t="str">
        <f t="shared" si="455"/>
        <v>Reg Asset254017601235BG030911</v>
      </c>
      <c r="C1117" s="736">
        <v>254017</v>
      </c>
      <c r="D1117" s="738">
        <v>601235</v>
      </c>
      <c r="E1117" s="626" t="s">
        <v>1293</v>
      </c>
      <c r="F1117" s="626" t="str">
        <f t="shared" si="510"/>
        <v>OTH REG LIAB - MISC - GAS</v>
      </c>
      <c r="G1117" s="626" t="s">
        <v>1294</v>
      </c>
      <c r="H1117" s="736" t="s">
        <v>1295</v>
      </c>
      <c r="I1117" s="442"/>
      <c r="J1117" s="442" t="str">
        <f t="shared" ref="J1117:J1169" si="511">IF(L1117="N10","Y",IF(L1117="N8","Y",""))</f>
        <v/>
      </c>
      <c r="K1117" s="442" t="str">
        <f t="shared" si="474"/>
        <v/>
      </c>
      <c r="L1117" s="736" t="s">
        <v>2421</v>
      </c>
      <c r="M1117" s="442" t="str">
        <f t="shared" si="462"/>
        <v>N</v>
      </c>
      <c r="N1117" s="442" t="str">
        <f>IF(L1117&lt;&gt;"",VLOOKUP(L1117,Categories!$B$2:$D$41,2,FALSE),IF(F1117&lt;&gt;"","No Cat",""))</f>
        <v>NRBASE</v>
      </c>
      <c r="O1117" s="442" t="str">
        <f>IF($L1117&lt;&gt;"",VLOOKUP($L1117,Categories!$B$2:$D$41,3,FALSE),IF($F1117&lt;&gt;"","No Cat",""))</f>
        <v>Direct Assign Items Not in RB</v>
      </c>
      <c r="P1117" s="736" t="s">
        <v>2468</v>
      </c>
      <c r="Q1117" s="442" t="str">
        <f>VLOOKUP($P1117,Allocators!$B$7:$F$19,5,FALSE)</f>
        <v>Not in Rate Base</v>
      </c>
      <c r="R1117" s="737">
        <f>VLOOKUP($P1117,Allocators!$B$7:$F$19,2,FALSE)</f>
        <v>0</v>
      </c>
      <c r="S1117" s="737">
        <f>VLOOKUP($P1117,Allocators!$B$7:$F$19,3,FALSE)</f>
        <v>0</v>
      </c>
      <c r="T1117" s="737">
        <f t="shared" si="463"/>
        <v>1</v>
      </c>
      <c r="U1117" s="2">
        <f t="shared" si="504"/>
        <v>0</v>
      </c>
      <c r="V1117" s="2">
        <f t="shared" si="505"/>
        <v>0</v>
      </c>
      <c r="W1117" s="2">
        <f t="shared" si="506"/>
        <v>-361.89590833333301</v>
      </c>
      <c r="X1117" s="2">
        <f t="shared" si="502"/>
        <v>-361.89590833333301</v>
      </c>
      <c r="Y1117" s="2">
        <f t="shared" si="507"/>
        <v>0</v>
      </c>
      <c r="Z1117" s="2">
        <f t="shared" si="508"/>
        <v>0</v>
      </c>
      <c r="AA1117" s="2">
        <f t="shared" si="509"/>
        <v>-123.9336</v>
      </c>
      <c r="AB1117" s="2">
        <f t="shared" si="503"/>
        <v>-123.93360000000001</v>
      </c>
      <c r="AC1117" s="734">
        <v>-307.18672000000004</v>
      </c>
      <c r="AD1117" s="625">
        <v>-375.59317000000004</v>
      </c>
      <c r="AE1117" s="625">
        <v>-444.00004000000001</v>
      </c>
      <c r="AF1117" s="625">
        <v>-405.62619000000007</v>
      </c>
      <c r="AG1117" s="625">
        <v>-474.03390000000002</v>
      </c>
      <c r="AH1117" s="625">
        <v>-542.44202000000007</v>
      </c>
      <c r="AI1117" s="625">
        <v>-277.86114000000003</v>
      </c>
      <c r="AJ1117" s="625">
        <v>-347.99542000000002</v>
      </c>
      <c r="AK1117" s="625">
        <v>-418.13991000000004</v>
      </c>
      <c r="AL1117" s="625">
        <v>-210.33112000000003</v>
      </c>
      <c r="AM1117" s="625">
        <v>-280.49619000000001</v>
      </c>
      <c r="AN1117" s="625">
        <v>-350.67164000000002</v>
      </c>
      <c r="AO1117" s="625">
        <v>-123.93360000000001</v>
      </c>
      <c r="AP1117" s="41" t="str">
        <f t="shared" si="496"/>
        <v>Reg AssetN</v>
      </c>
      <c r="AQ1117" s="41" t="str">
        <f t="shared" si="497"/>
        <v>Reg AssetNN2R&amp;D Deferral - Gas</v>
      </c>
      <c r="AR1117" s="41" t="str">
        <f t="shared" si="498"/>
        <v>N2R&amp;D Deferral - Gas</v>
      </c>
      <c r="CK1117" s="625"/>
    </row>
    <row r="1118" spans="1:89" s="41" customFormat="1" ht="12.75" customHeight="1">
      <c r="A1118" s="25" t="s">
        <v>746</v>
      </c>
      <c r="B1118" s="25" t="str">
        <f t="shared" si="455"/>
        <v>Reg Asset254017601246-11BG030247</v>
      </c>
      <c r="C1118" s="736">
        <v>254017</v>
      </c>
      <c r="D1118" s="738" t="s">
        <v>1296</v>
      </c>
      <c r="E1118" s="41" t="s">
        <v>1231</v>
      </c>
      <c r="F1118" s="41" t="str">
        <f t="shared" si="510"/>
        <v>OTH REG LIAB - MISC - GAS</v>
      </c>
      <c r="G1118" s="41" t="s">
        <v>1297</v>
      </c>
      <c r="H1118" s="736" t="s">
        <v>1234</v>
      </c>
      <c r="I1118" s="25"/>
      <c r="J1118" s="25" t="str">
        <f t="shared" si="511"/>
        <v/>
      </c>
      <c r="K1118" s="442" t="str">
        <f t="shared" si="474"/>
        <v/>
      </c>
      <c r="L1118" s="736" t="s">
        <v>2441</v>
      </c>
      <c r="M1118" s="25" t="str">
        <f t="shared" si="462"/>
        <v>R</v>
      </c>
      <c r="N1118" s="25" t="str">
        <f>IF(L1118&lt;&gt;"",VLOOKUP(L1118,Categories!$B$2:$D$41,2,FALSE),IF(F1118&lt;&gt;"","No Cat",""))</f>
        <v>Rate Base</v>
      </c>
      <c r="O1118" s="25" t="str">
        <f>IF($L1118&lt;&gt;"",VLOOKUP($L1118,Categories!$B$2:$D$41,3,FALSE),IF($F1118&lt;&gt;"","No Cat",""))</f>
        <v>Deferred Debits &amp; Credits</v>
      </c>
      <c r="P1118" s="736" t="s">
        <v>2483</v>
      </c>
      <c r="Q1118" s="25" t="str">
        <f>VLOOKUP($P1118,Allocators!$B$7:$F$19,5,FALSE)</f>
        <v>Gas</v>
      </c>
      <c r="R1118" s="737">
        <f>VLOOKUP($P1118,Allocators!$B$7:$F$19,2,FALSE)</f>
        <v>0</v>
      </c>
      <c r="S1118" s="737">
        <f>VLOOKUP($P1118,Allocators!$B$7:$F$19,3,FALSE)</f>
        <v>1</v>
      </c>
      <c r="T1118" s="737" t="str">
        <f t="shared" si="463"/>
        <v>0.0%</v>
      </c>
      <c r="U1118" s="2">
        <f t="shared" si="504"/>
        <v>0</v>
      </c>
      <c r="V1118" s="2">
        <f t="shared" si="505"/>
        <v>-3.3583166666666702</v>
      </c>
      <c r="W1118" s="2">
        <f t="shared" si="506"/>
        <v>0</v>
      </c>
      <c r="X1118" s="2">
        <f t="shared" si="502"/>
        <v>-3.3583166666666702</v>
      </c>
      <c r="Y1118" s="2" t="str">
        <f t="shared" si="507"/>
        <v/>
      </c>
      <c r="Z1118" s="2" t="str">
        <f t="shared" si="508"/>
        <v/>
      </c>
      <c r="AA1118" s="2" t="str">
        <f t="shared" si="509"/>
        <v/>
      </c>
      <c r="AB1118" s="2">
        <f t="shared" si="503"/>
        <v>0</v>
      </c>
      <c r="AC1118" s="734">
        <v>-80.599600000000081</v>
      </c>
      <c r="AD1118" s="625">
        <v>0</v>
      </c>
      <c r="AE1118" s="625">
        <v>0</v>
      </c>
      <c r="AF1118" s="38">
        <v>0</v>
      </c>
      <c r="AG1118" s="625">
        <v>0</v>
      </c>
      <c r="AH1118" s="625">
        <v>0</v>
      </c>
      <c r="AI1118" s="625">
        <v>0</v>
      </c>
      <c r="AJ1118" s="625">
        <v>0</v>
      </c>
      <c r="AK1118" s="625">
        <v>0</v>
      </c>
      <c r="AL1118" s="625">
        <v>0</v>
      </c>
      <c r="AM1118" s="625">
        <v>0</v>
      </c>
      <c r="AN1118" s="625">
        <v>0</v>
      </c>
      <c r="AO1118" s="625">
        <v>0</v>
      </c>
      <c r="AP1118" s="41" t="str">
        <f t="shared" si="496"/>
        <v>Reg AssetR</v>
      </c>
      <c r="AQ1118" s="41" t="str">
        <f t="shared" si="497"/>
        <v>Reg AssetRR10Merchant Function Charge-Gas</v>
      </c>
      <c r="AR1118" s="41" t="str">
        <f t="shared" si="498"/>
        <v>R10Merchant Function Charge-Gas</v>
      </c>
      <c r="CK1118" s="625"/>
    </row>
    <row r="1119" spans="1:89" s="41" customFormat="1" ht="12.75" customHeight="1">
      <c r="A1119" s="25" t="s">
        <v>746</v>
      </c>
      <c r="B1119" s="25" t="str">
        <f t="shared" si="455"/>
        <v>Reg Asset254017601246-12BG030247</v>
      </c>
      <c r="C1119" s="736">
        <v>254017</v>
      </c>
      <c r="D1119" s="738" t="s">
        <v>1298</v>
      </c>
      <c r="E1119" s="41" t="s">
        <v>1231</v>
      </c>
      <c r="F1119" s="41" t="str">
        <f t="shared" si="510"/>
        <v>OTH REG LIAB - MISC - GAS</v>
      </c>
      <c r="G1119" s="41" t="s">
        <v>1299</v>
      </c>
      <c r="H1119" s="736" t="s">
        <v>1234</v>
      </c>
      <c r="I1119" s="25"/>
      <c r="J1119" s="25" t="str">
        <f t="shared" si="511"/>
        <v/>
      </c>
      <c r="K1119" s="442" t="str">
        <f t="shared" si="474"/>
        <v/>
      </c>
      <c r="L1119" s="736" t="s">
        <v>2441</v>
      </c>
      <c r="M1119" s="25" t="str">
        <f t="shared" si="462"/>
        <v>R</v>
      </c>
      <c r="N1119" s="25" t="str">
        <f>IF(L1119&lt;&gt;"",VLOOKUP(L1119,Categories!$B$2:$D$41,2,FALSE),IF(F1119&lt;&gt;"","No Cat",""))</f>
        <v>Rate Base</v>
      </c>
      <c r="O1119" s="25" t="str">
        <f>IF($L1119&lt;&gt;"",VLOOKUP($L1119,Categories!$B$2:$D$41,3,FALSE),IF($F1119&lt;&gt;"","No Cat",""))</f>
        <v>Deferred Debits &amp; Credits</v>
      </c>
      <c r="P1119" s="736" t="s">
        <v>2483</v>
      </c>
      <c r="Q1119" s="25" t="str">
        <f>VLOOKUP($P1119,Allocators!$B$7:$F$19,5,FALSE)</f>
        <v>Gas</v>
      </c>
      <c r="R1119" s="737">
        <f>VLOOKUP($P1119,Allocators!$B$7:$F$19,2,FALSE)</f>
        <v>0</v>
      </c>
      <c r="S1119" s="737">
        <f>VLOOKUP($P1119,Allocators!$B$7:$F$19,3,FALSE)</f>
        <v>1</v>
      </c>
      <c r="T1119" s="737" t="str">
        <f t="shared" si="463"/>
        <v>0.0%</v>
      </c>
      <c r="U1119" s="2">
        <f t="shared" si="504"/>
        <v>0</v>
      </c>
      <c r="V1119" s="2">
        <f t="shared" si="505"/>
        <v>0.29733875000000098</v>
      </c>
      <c r="W1119" s="2">
        <f t="shared" si="506"/>
        <v>0</v>
      </c>
      <c r="X1119" s="2">
        <f t="shared" si="502"/>
        <v>0.29733875000000098</v>
      </c>
      <c r="Y1119" s="2" t="str">
        <f t="shared" si="507"/>
        <v/>
      </c>
      <c r="Z1119" s="2" t="str">
        <f t="shared" si="508"/>
        <v/>
      </c>
      <c r="AA1119" s="2" t="str">
        <f t="shared" si="509"/>
        <v/>
      </c>
      <c r="AB1119" s="2">
        <f t="shared" si="503"/>
        <v>0</v>
      </c>
      <c r="AC1119" s="734">
        <v>7.1361300000000352</v>
      </c>
      <c r="AD1119" s="625">
        <v>0</v>
      </c>
      <c r="AE1119" s="625">
        <v>0</v>
      </c>
      <c r="AF1119" s="38">
        <v>0</v>
      </c>
      <c r="AG1119" s="625">
        <v>0</v>
      </c>
      <c r="AH1119" s="625">
        <v>0</v>
      </c>
      <c r="AI1119" s="625">
        <v>0</v>
      </c>
      <c r="AJ1119" s="625">
        <v>0</v>
      </c>
      <c r="AK1119" s="625">
        <v>0</v>
      </c>
      <c r="AL1119" s="625">
        <v>0</v>
      </c>
      <c r="AM1119" s="625">
        <v>0</v>
      </c>
      <c r="AN1119" s="625">
        <v>0</v>
      </c>
      <c r="AO1119" s="625">
        <v>0</v>
      </c>
      <c r="AP1119" s="41" t="str">
        <f t="shared" si="496"/>
        <v>Reg AssetR</v>
      </c>
      <c r="AQ1119" s="41" t="str">
        <f t="shared" si="497"/>
        <v>Reg AssetRR10Merchant Function Charge-Gas</v>
      </c>
      <c r="AR1119" s="41" t="str">
        <f t="shared" si="498"/>
        <v>R10Merchant Function Charge-Gas</v>
      </c>
      <c r="CK1119" s="625"/>
    </row>
    <row r="1120" spans="1:89" s="41" customFormat="1" ht="12.75" customHeight="1">
      <c r="A1120" s="25" t="s">
        <v>746</v>
      </c>
      <c r="B1120" s="25" t="str">
        <f t="shared" ref="B1120" si="512">CONCATENATE(A1120,C1120,D1120,E1120)</f>
        <v>Reg Asset254017601246-14BG030247</v>
      </c>
      <c r="C1120" s="736">
        <v>254017</v>
      </c>
      <c r="D1120" s="738" t="s">
        <v>4334</v>
      </c>
      <c r="E1120" s="41" t="s">
        <v>1231</v>
      </c>
      <c r="F1120" s="41" t="str">
        <f t="shared" si="510"/>
        <v>OTH REG LIAB - MISC - GAS</v>
      </c>
      <c r="G1120" s="41" t="s">
        <v>4333</v>
      </c>
      <c r="H1120" s="736" t="s">
        <v>1234</v>
      </c>
      <c r="I1120" s="25"/>
      <c r="J1120" s="25" t="str">
        <f t="shared" ref="J1120" si="513">IF(L1120="N10","Y",IF(L1120="N8","Y",""))</f>
        <v/>
      </c>
      <c r="K1120" s="442" t="str">
        <f t="shared" ref="K1120" si="514">IF(L1120="N3","Y","")</f>
        <v/>
      </c>
      <c r="L1120" s="736" t="s">
        <v>2441</v>
      </c>
      <c r="M1120" s="25" t="str">
        <f t="shared" ref="M1120" si="515">LEFT(L1120,1)</f>
        <v>R</v>
      </c>
      <c r="N1120" s="25" t="str">
        <f>IF(L1120&lt;&gt;"",VLOOKUP(L1120,Categories!$B$2:$D$41,2,FALSE),IF(F1120&lt;&gt;"","No Cat",""))</f>
        <v>Rate Base</v>
      </c>
      <c r="O1120" s="25" t="str">
        <f>IF($L1120&lt;&gt;"",VLOOKUP($L1120,Categories!$B$2:$D$41,3,FALSE),IF($F1120&lt;&gt;"","No Cat",""))</f>
        <v>Deferred Debits &amp; Credits</v>
      </c>
      <c r="P1120" s="736" t="s">
        <v>2483</v>
      </c>
      <c r="Q1120" s="25" t="str">
        <f>VLOOKUP($P1120,Allocators!$B$7:$F$19,5,FALSE)</f>
        <v>Gas</v>
      </c>
      <c r="R1120" s="737">
        <f>VLOOKUP($P1120,Allocators!$B$7:$F$19,2,FALSE)</f>
        <v>0</v>
      </c>
      <c r="S1120" s="737">
        <f>VLOOKUP($P1120,Allocators!$B$7:$F$19,3,FALSE)</f>
        <v>1</v>
      </c>
      <c r="T1120" s="737" t="str">
        <f t="shared" ref="T1120" si="516">IF(P1120="N",1,"0.0%")</f>
        <v>0.0%</v>
      </c>
      <c r="U1120" s="2">
        <f t="shared" si="504"/>
        <v>0</v>
      </c>
      <c r="V1120" s="2">
        <f t="shared" si="505"/>
        <v>-1734.88779916667</v>
      </c>
      <c r="W1120" s="2">
        <f t="shared" si="506"/>
        <v>0</v>
      </c>
      <c r="X1120" s="2">
        <f t="shared" si="502"/>
        <v>-1734.88779916667</v>
      </c>
      <c r="Y1120" s="2">
        <f t="shared" si="507"/>
        <v>0</v>
      </c>
      <c r="Z1120" s="2">
        <f t="shared" si="508"/>
        <v>-604.88400999999999</v>
      </c>
      <c r="AA1120" s="2">
        <f t="shared" si="509"/>
        <v>0</v>
      </c>
      <c r="AB1120" s="2">
        <f t="shared" si="503"/>
        <v>-604.88400999999976</v>
      </c>
      <c r="AC1120" s="734">
        <v>-357.81220999999994</v>
      </c>
      <c r="AD1120" s="625">
        <v>-1322.6342099999999</v>
      </c>
      <c r="AE1120" s="625">
        <v>-2079.4695000000002</v>
      </c>
      <c r="AF1120" s="625">
        <v>-2792.3721</v>
      </c>
      <c r="AG1120" s="625">
        <v>-2850.7146000000002</v>
      </c>
      <c r="AH1120" s="625">
        <v>-2578.6678999999999</v>
      </c>
      <c r="AI1120" s="625">
        <v>-2188.3503999999998</v>
      </c>
      <c r="AJ1120" s="625">
        <v>-1751.47642</v>
      </c>
      <c r="AK1120" s="625">
        <v>-1280.3517099999999</v>
      </c>
      <c r="AL1120" s="625">
        <v>-1285.43577</v>
      </c>
      <c r="AM1120" s="625">
        <v>-1257.9850699999997</v>
      </c>
      <c r="AN1120" s="625">
        <v>-949.84779999999978</v>
      </c>
      <c r="AO1120" s="625">
        <v>-604.88400999999976</v>
      </c>
      <c r="AP1120" s="41" t="str">
        <f t="shared" si="496"/>
        <v>Reg AssetR</v>
      </c>
      <c r="AQ1120" s="41" t="str">
        <f t="shared" si="497"/>
        <v>Reg AssetRR10Merchant Function Charge-Gas</v>
      </c>
      <c r="AR1120" s="41" t="str">
        <f t="shared" si="498"/>
        <v>R10Merchant Function Charge-Gas</v>
      </c>
      <c r="CK1120" s="625"/>
    </row>
    <row r="1121" spans="1:89" s="41" customFormat="1" ht="12.75" customHeight="1">
      <c r="A1121" s="442" t="s">
        <v>746</v>
      </c>
      <c r="B1121" s="442" t="str">
        <f t="shared" si="455"/>
        <v>Reg Asset254017601084BG030266</v>
      </c>
      <c r="C1121" s="736">
        <v>254017</v>
      </c>
      <c r="D1121" s="738">
        <v>601084</v>
      </c>
      <c r="E1121" s="626" t="s">
        <v>969</v>
      </c>
      <c r="F1121" s="626" t="str">
        <f t="shared" si="510"/>
        <v>OTH REG LIAB - MISC - GAS</v>
      </c>
      <c r="G1121" s="626" t="s">
        <v>1300</v>
      </c>
      <c r="H1121" s="736" t="s">
        <v>1132</v>
      </c>
      <c r="I1121" s="442"/>
      <c r="J1121" s="442" t="s">
        <v>7</v>
      </c>
      <c r="K1121" s="442" t="str">
        <f t="shared" si="474"/>
        <v/>
      </c>
      <c r="L1121" s="736" t="s">
        <v>2436</v>
      </c>
      <c r="M1121" s="442" t="str">
        <f t="shared" si="462"/>
        <v>N</v>
      </c>
      <c r="N1121" s="442" t="str">
        <f>IF(L1121&lt;&gt;"",VLOOKUP(L1121,Categories!$B$2:$D$41,2,FALSE),IF(F1121&lt;&gt;"","No Cat",""))</f>
        <v>NRBASE</v>
      </c>
      <c r="O1121" s="442" t="str">
        <f>IF($L1121&lt;&gt;"",VLOOKUP($L1121,Categories!$B$2:$D$41,3,FALSE),IF($F1121&lt;&gt;"","No Cat",""))</f>
        <v>Deferrals Accruing Non-Cash Return   (other than ASGA)</v>
      </c>
      <c r="P1121" s="736" t="s">
        <v>2468</v>
      </c>
      <c r="Q1121" s="442" t="str">
        <f>VLOOKUP($P1121,Allocators!$B$7:$F$19,5,FALSE)</f>
        <v>Not in Rate Base</v>
      </c>
      <c r="R1121" s="737">
        <f>VLOOKUP($P1121,Allocators!$B$7:$F$19,2,FALSE)</f>
        <v>0</v>
      </c>
      <c r="S1121" s="737">
        <f>VLOOKUP($P1121,Allocators!$B$7:$F$19,3,FALSE)</f>
        <v>0</v>
      </c>
      <c r="T1121" s="737">
        <f t="shared" si="463"/>
        <v>1</v>
      </c>
      <c r="U1121" s="2">
        <f t="shared" si="504"/>
        <v>0</v>
      </c>
      <c r="V1121" s="2">
        <f t="shared" si="505"/>
        <v>0</v>
      </c>
      <c r="W1121" s="2">
        <f t="shared" si="506"/>
        <v>-838.76365916666703</v>
      </c>
      <c r="X1121" s="2">
        <f t="shared" si="502"/>
        <v>-838.76365916666703</v>
      </c>
      <c r="Y1121" s="2">
        <f t="shared" si="507"/>
        <v>0</v>
      </c>
      <c r="Z1121" s="2">
        <f t="shared" si="508"/>
        <v>0</v>
      </c>
      <c r="AA1121" s="2">
        <f t="shared" si="509"/>
        <v>-819.13328000000001</v>
      </c>
      <c r="AB1121" s="2">
        <f t="shared" si="503"/>
        <v>-819.13327999999979</v>
      </c>
      <c r="AC1121" s="734">
        <v>-562.59553999999991</v>
      </c>
      <c r="AD1121" s="625">
        <v>-711.50406000000009</v>
      </c>
      <c r="AE1121" s="625">
        <v>-822.46642000000008</v>
      </c>
      <c r="AF1121" s="625">
        <v>-881.51013999999998</v>
      </c>
      <c r="AG1121" s="625">
        <v>-922.93071999999995</v>
      </c>
      <c r="AH1121" s="625">
        <v>-911.23021999999992</v>
      </c>
      <c r="AI1121" s="625">
        <v>-887.17693999999995</v>
      </c>
      <c r="AJ1121" s="625">
        <v>-863.29728999999998</v>
      </c>
      <c r="AK1121" s="625">
        <v>-898.3908899999999</v>
      </c>
      <c r="AL1121" s="625">
        <v>-886.59941999999978</v>
      </c>
      <c r="AM1121" s="625">
        <v>-776.71392999999978</v>
      </c>
      <c r="AN1121" s="625">
        <v>-812.47946999999988</v>
      </c>
      <c r="AO1121" s="625">
        <v>-819.13327999999979</v>
      </c>
      <c r="AP1121" s="41" t="str">
        <f t="shared" si="496"/>
        <v>Reg AssetN</v>
      </c>
      <c r="AQ1121" s="41" t="str">
        <f t="shared" si="497"/>
        <v>Reg AssetNN10Gas Pipeline Integrity</v>
      </c>
      <c r="AR1121" s="41" t="str">
        <f t="shared" si="498"/>
        <v>N10Gas Pipeline IntegrityNCR</v>
      </c>
      <c r="CK1121" s="625"/>
    </row>
    <row r="1122" spans="1:89" s="41" customFormat="1" ht="12.75" customHeight="1">
      <c r="A1122" s="442" t="s">
        <v>746</v>
      </c>
      <c r="B1122" s="442" t="str">
        <f t="shared" si="455"/>
        <v>Reg Asset254017601258BG030911</v>
      </c>
      <c r="C1122" s="736">
        <v>254017</v>
      </c>
      <c r="D1122" s="738">
        <v>601258</v>
      </c>
      <c r="E1122" s="626" t="s">
        <v>1293</v>
      </c>
      <c r="F1122" s="626" t="str">
        <f t="shared" si="510"/>
        <v>OTH REG LIAB - MISC - GAS</v>
      </c>
      <c r="G1122" s="626" t="s">
        <v>1301</v>
      </c>
      <c r="H1122" s="736" t="s">
        <v>1124</v>
      </c>
      <c r="I1122" s="442"/>
      <c r="J1122" s="442" t="s">
        <v>7</v>
      </c>
      <c r="K1122" s="442" t="str">
        <f t="shared" si="474"/>
        <v/>
      </c>
      <c r="L1122" s="736" t="s">
        <v>2436</v>
      </c>
      <c r="M1122" s="442" t="str">
        <f t="shared" si="462"/>
        <v>N</v>
      </c>
      <c r="N1122" s="442" t="str">
        <f>IF(L1122&lt;&gt;"",VLOOKUP(L1122,Categories!$B$2:$D$41,2,FALSE),IF(F1122&lt;&gt;"","No Cat",""))</f>
        <v>NRBASE</v>
      </c>
      <c r="O1122" s="442" t="str">
        <f>IF($L1122&lt;&gt;"",VLOOKUP($L1122,Categories!$B$2:$D$41,3,FALSE),IF($F1122&lt;&gt;"","No Cat",""))</f>
        <v>Deferrals Accruing Non-Cash Return   (other than ASGA)</v>
      </c>
      <c r="P1122" s="736" t="s">
        <v>2468</v>
      </c>
      <c r="Q1122" s="442" t="str">
        <f>VLOOKUP($P1122,Allocators!$B$7:$F$19,5,FALSE)</f>
        <v>Not in Rate Base</v>
      </c>
      <c r="R1122" s="737">
        <f>VLOOKUP($P1122,Allocators!$B$7:$F$19,2,FALSE)</f>
        <v>0</v>
      </c>
      <c r="S1122" s="737">
        <f>VLOOKUP($P1122,Allocators!$B$7:$F$19,3,FALSE)</f>
        <v>0</v>
      </c>
      <c r="T1122" s="737">
        <f t="shared" si="463"/>
        <v>1</v>
      </c>
      <c r="U1122" s="2" t="str">
        <f t="shared" si="504"/>
        <v/>
      </c>
      <c r="V1122" s="2" t="str">
        <f t="shared" si="505"/>
        <v/>
      </c>
      <c r="W1122" s="2" t="str">
        <f t="shared" si="506"/>
        <v/>
      </c>
      <c r="X1122" s="2">
        <f t="shared" si="502"/>
        <v>0</v>
      </c>
      <c r="Y1122" s="2" t="str">
        <f t="shared" si="507"/>
        <v/>
      </c>
      <c r="Z1122" s="2" t="str">
        <f t="shared" si="508"/>
        <v/>
      </c>
      <c r="AA1122" s="2" t="str">
        <f t="shared" si="509"/>
        <v/>
      </c>
      <c r="AB1122" s="2">
        <f t="shared" si="503"/>
        <v>0</v>
      </c>
      <c r="AC1122" s="625">
        <v>0</v>
      </c>
      <c r="AD1122" s="625">
        <v>0</v>
      </c>
      <c r="AE1122" s="625">
        <v>0</v>
      </c>
      <c r="AF1122" s="38">
        <v>0</v>
      </c>
      <c r="AG1122" s="625">
        <v>0</v>
      </c>
      <c r="AH1122" s="625">
        <v>0</v>
      </c>
      <c r="AI1122" s="625">
        <v>0</v>
      </c>
      <c r="AJ1122" s="625">
        <v>0</v>
      </c>
      <c r="AK1122" s="625">
        <v>0</v>
      </c>
      <c r="AL1122" s="625">
        <v>0</v>
      </c>
      <c r="AM1122" s="625">
        <v>0</v>
      </c>
      <c r="AN1122" s="625">
        <v>0</v>
      </c>
      <c r="AO1122" s="625">
        <v>0</v>
      </c>
      <c r="AP1122" s="41" t="str">
        <f t="shared" si="496"/>
        <v>Reg AssetN</v>
      </c>
      <c r="AQ1122" s="41" t="str">
        <f t="shared" si="497"/>
        <v>Reg AssetNN10R&amp;D Tax Credit Deferral</v>
      </c>
      <c r="AR1122" s="41" t="str">
        <f t="shared" si="498"/>
        <v>N10R&amp;D Tax Credit DeferralNCR</v>
      </c>
      <c r="CK1122" s="625"/>
    </row>
    <row r="1123" spans="1:89" s="41" customFormat="1" ht="12.75" customHeight="1">
      <c r="A1123" s="25" t="s">
        <v>746</v>
      </c>
      <c r="B1123" s="25" t="str">
        <f t="shared" ref="B1123" si="517">CONCATENATE(A1123,C1123,D1123,E1123)</f>
        <v>Reg Asset254017601262BG030911</v>
      </c>
      <c r="C1123" s="736">
        <v>254017</v>
      </c>
      <c r="D1123" s="738">
        <v>601262</v>
      </c>
      <c r="E1123" s="41" t="s">
        <v>1293</v>
      </c>
      <c r="F1123" s="41" t="str">
        <f t="shared" si="510"/>
        <v>OTH REG LIAB - MISC - GAS</v>
      </c>
      <c r="G1123" s="41" t="s">
        <v>1301</v>
      </c>
      <c r="H1123" s="736" t="s">
        <v>1124</v>
      </c>
      <c r="I1123" s="25"/>
      <c r="J1123" s="25" t="s">
        <v>7</v>
      </c>
      <c r="K1123" s="25" t="str">
        <f t="shared" si="474"/>
        <v/>
      </c>
      <c r="L1123" s="736" t="s">
        <v>2436</v>
      </c>
      <c r="M1123" s="25" t="str">
        <f t="shared" si="462"/>
        <v>N</v>
      </c>
      <c r="N1123" s="25" t="str">
        <f>IF(L1123&lt;&gt;"",VLOOKUP(L1123,Categories!$B$2:$D$41,2,FALSE),IF(F1123&lt;&gt;"","No Cat",""))</f>
        <v>NRBASE</v>
      </c>
      <c r="O1123" s="25" t="str">
        <f>IF($L1123&lt;&gt;"",VLOOKUP($L1123,Categories!$B$2:$D$41,3,FALSE),IF($F1123&lt;&gt;"","No Cat",""))</f>
        <v>Deferrals Accruing Non-Cash Return   (other than ASGA)</v>
      </c>
      <c r="P1123" s="736" t="s">
        <v>2468</v>
      </c>
      <c r="Q1123" s="25" t="str">
        <f>VLOOKUP($P1123,Allocators!$B$7:$F$19,5,FALSE)</f>
        <v>Not in Rate Base</v>
      </c>
      <c r="R1123" s="737">
        <f>VLOOKUP($P1123,Allocators!$B$7:$F$19,2,FALSE)</f>
        <v>0</v>
      </c>
      <c r="S1123" s="737">
        <f>VLOOKUP($P1123,Allocators!$B$7:$F$19,3,FALSE)</f>
        <v>0</v>
      </c>
      <c r="T1123" s="737">
        <f t="shared" ref="T1123" si="518">IF(P1123="N",1,"0.0%")</f>
        <v>1</v>
      </c>
      <c r="U1123" s="2">
        <f t="shared" si="504"/>
        <v>0</v>
      </c>
      <c r="V1123" s="2">
        <f t="shared" si="505"/>
        <v>0</v>
      </c>
      <c r="W1123" s="2">
        <f t="shared" si="506"/>
        <v>-134.029856666667</v>
      </c>
      <c r="X1123" s="2">
        <f t="shared" si="502"/>
        <v>-134.029856666667</v>
      </c>
      <c r="Y1123" s="2">
        <f t="shared" si="507"/>
        <v>0</v>
      </c>
      <c r="Z1123" s="2">
        <f t="shared" si="508"/>
        <v>0</v>
      </c>
      <c r="AA1123" s="2">
        <f t="shared" si="509"/>
        <v>-175.29481000000001</v>
      </c>
      <c r="AB1123" s="2">
        <f t="shared" si="503"/>
        <v>-175.29480999999996</v>
      </c>
      <c r="AC1123" s="734">
        <v>-90.975009999999983</v>
      </c>
      <c r="AD1123" s="625">
        <v>-129.38165000000001</v>
      </c>
      <c r="AE1123" s="625">
        <v>-128.18683999999999</v>
      </c>
      <c r="AF1123" s="625">
        <v>-126.98526</v>
      </c>
      <c r="AG1123" s="625">
        <v>-125.77687</v>
      </c>
      <c r="AH1123" s="625">
        <v>-124.56162999999999</v>
      </c>
      <c r="AI1123" s="625">
        <v>-123.33949999999999</v>
      </c>
      <c r="AJ1123" s="625">
        <v>-122.11044999999999</v>
      </c>
      <c r="AK1123" s="625">
        <v>-120.87442999999998</v>
      </c>
      <c r="AL1123" s="625">
        <v>-119.63140999999997</v>
      </c>
      <c r="AM1123" s="625">
        <v>-177.81623999999996</v>
      </c>
      <c r="AN1123" s="625">
        <v>-176.55908999999997</v>
      </c>
      <c r="AO1123" s="625">
        <v>-175.29480999999996</v>
      </c>
      <c r="AP1123" s="41" t="str">
        <f t="shared" si="496"/>
        <v>Reg AssetN</v>
      </c>
      <c r="AQ1123" s="41" t="str">
        <f t="shared" si="497"/>
        <v>Reg AssetNN10R&amp;D Tax Credit Deferral</v>
      </c>
      <c r="AR1123" s="41" t="str">
        <f t="shared" si="498"/>
        <v>N10R&amp;D Tax Credit DeferralNCR</v>
      </c>
      <c r="CK1123" s="625"/>
    </row>
    <row r="1124" spans="1:89" s="41" customFormat="1" ht="12.75" customHeight="1">
      <c r="A1124" s="442" t="s">
        <v>746</v>
      </c>
      <c r="B1124" s="442" t="str">
        <f t="shared" si="455"/>
        <v>Reg Asset254017601202BG030594</v>
      </c>
      <c r="C1124" s="736">
        <v>254017</v>
      </c>
      <c r="D1124" s="738">
        <v>601202</v>
      </c>
      <c r="E1124" s="626" t="s">
        <v>942</v>
      </c>
      <c r="F1124" s="626" t="str">
        <f t="shared" si="510"/>
        <v>OTH REG LIAB - MISC - GAS</v>
      </c>
      <c r="G1124" s="626" t="s">
        <v>1302</v>
      </c>
      <c r="H1124" s="736" t="s">
        <v>821</v>
      </c>
      <c r="I1124" s="442"/>
      <c r="J1124" s="442" t="str">
        <f t="shared" si="511"/>
        <v/>
      </c>
      <c r="K1124" s="442" t="str">
        <f t="shared" si="474"/>
        <v/>
      </c>
      <c r="L1124" s="736" t="s">
        <v>2421</v>
      </c>
      <c r="M1124" s="442" t="str">
        <f t="shared" si="462"/>
        <v>N</v>
      </c>
      <c r="N1124" s="442" t="str">
        <f>IF(L1124&lt;&gt;"",VLOOKUP(L1124,Categories!$B$2:$D$41,2,FALSE),IF(F1124&lt;&gt;"","No Cat",""))</f>
        <v>NRBASE</v>
      </c>
      <c r="O1124" s="442" t="str">
        <f>IF($L1124&lt;&gt;"",VLOOKUP($L1124,Categories!$B$2:$D$41,3,FALSE),IF($F1124&lt;&gt;"","No Cat",""))</f>
        <v>Direct Assign Items Not in RB</v>
      </c>
      <c r="P1124" s="736" t="s">
        <v>2468</v>
      </c>
      <c r="Q1124" s="442" t="str">
        <f>VLOOKUP($P1124,Allocators!$B$7:$F$19,5,FALSE)</f>
        <v>Not in Rate Base</v>
      </c>
      <c r="R1124" s="737">
        <f>VLOOKUP($P1124,Allocators!$B$7:$F$19,2,FALSE)</f>
        <v>0</v>
      </c>
      <c r="S1124" s="737">
        <f>VLOOKUP($P1124,Allocators!$B$7:$F$19,3,FALSE)</f>
        <v>0</v>
      </c>
      <c r="T1124" s="737">
        <f t="shared" si="463"/>
        <v>1</v>
      </c>
      <c r="U1124" s="2">
        <f t="shared" si="504"/>
        <v>0</v>
      </c>
      <c r="V1124" s="2">
        <f t="shared" si="505"/>
        <v>0</v>
      </c>
      <c r="W1124" s="2">
        <f t="shared" si="506"/>
        <v>-308.97506708333299</v>
      </c>
      <c r="X1124" s="2">
        <f t="shared" si="502"/>
        <v>-308.97506708333299</v>
      </c>
      <c r="Y1124" s="2">
        <f t="shared" si="507"/>
        <v>0</v>
      </c>
      <c r="Z1124" s="2">
        <f t="shared" si="508"/>
        <v>0</v>
      </c>
      <c r="AA1124" s="2">
        <f t="shared" si="509"/>
        <v>-308.39695999999998</v>
      </c>
      <c r="AB1124" s="2">
        <f t="shared" si="503"/>
        <v>-308.39696000000021</v>
      </c>
      <c r="AC1124" s="734">
        <v>-363.28143000000006</v>
      </c>
      <c r="AD1124" s="625">
        <v>-352.14937000000003</v>
      </c>
      <c r="AE1124" s="625">
        <v>-341.21336000000002</v>
      </c>
      <c r="AF1124" s="625">
        <v>-327.83510000000007</v>
      </c>
      <c r="AG1124" s="625">
        <v>-314.56353000000007</v>
      </c>
      <c r="AH1124" s="625">
        <v>-302.41898000000009</v>
      </c>
      <c r="AI1124" s="625">
        <v>-293.46731000000011</v>
      </c>
      <c r="AJ1124" s="625">
        <v>-287.55758000000014</v>
      </c>
      <c r="AK1124" s="625">
        <v>-284.40361000000019</v>
      </c>
      <c r="AL1124" s="625">
        <v>-284.19747000000018</v>
      </c>
      <c r="AM1124" s="625">
        <v>-288.3825300000002</v>
      </c>
      <c r="AN1124" s="625">
        <v>-295.67277000000018</v>
      </c>
      <c r="AO1124" s="625">
        <v>-308.39696000000021</v>
      </c>
      <c r="AP1124" s="41" t="str">
        <f t="shared" si="496"/>
        <v>Reg AssetN</v>
      </c>
      <c r="AQ1124" s="41" t="str">
        <f t="shared" si="497"/>
        <v>Reg AssetNN2Low Income</v>
      </c>
      <c r="AR1124" s="41" t="str">
        <f t="shared" si="498"/>
        <v>N2Low Income</v>
      </c>
      <c r="CK1124" s="625"/>
    </row>
    <row r="1125" spans="1:89" s="41" customFormat="1" ht="12.75" customHeight="1">
      <c r="A1125" s="442" t="s">
        <v>746</v>
      </c>
      <c r="B1125" s="442" t="str">
        <f t="shared" si="455"/>
        <v>Reg Asset254017601204BG030594</v>
      </c>
      <c r="C1125" s="736">
        <v>254017</v>
      </c>
      <c r="D1125" s="738">
        <v>601204</v>
      </c>
      <c r="E1125" s="626" t="s">
        <v>942</v>
      </c>
      <c r="F1125" s="626" t="str">
        <f t="shared" si="510"/>
        <v>OTH REG LIAB - MISC - GAS</v>
      </c>
      <c r="G1125" s="626" t="s">
        <v>1303</v>
      </c>
      <c r="H1125" s="736" t="s">
        <v>821</v>
      </c>
      <c r="I1125" s="442"/>
      <c r="J1125" s="442" t="str">
        <f t="shared" si="511"/>
        <v/>
      </c>
      <c r="K1125" s="442" t="str">
        <f t="shared" si="474"/>
        <v/>
      </c>
      <c r="L1125" s="736" t="s">
        <v>2421</v>
      </c>
      <c r="M1125" s="442" t="str">
        <f t="shared" si="462"/>
        <v>N</v>
      </c>
      <c r="N1125" s="442" t="str">
        <f>IF(L1125&lt;&gt;"",VLOOKUP(L1125,Categories!$B$2:$D$41,2,FALSE),IF(F1125&lt;&gt;"","No Cat",""))</f>
        <v>NRBASE</v>
      </c>
      <c r="O1125" s="442" t="str">
        <f>IF($L1125&lt;&gt;"",VLOOKUP($L1125,Categories!$B$2:$D$41,3,FALSE),IF($F1125&lt;&gt;"","No Cat",""))</f>
        <v>Direct Assign Items Not in RB</v>
      </c>
      <c r="P1125" s="736" t="s">
        <v>2468</v>
      </c>
      <c r="Q1125" s="442" t="str">
        <f>VLOOKUP($P1125,Allocators!$B$7:$F$19,5,FALSE)</f>
        <v>Not in Rate Base</v>
      </c>
      <c r="R1125" s="737">
        <f>VLOOKUP($P1125,Allocators!$B$7:$F$19,2,FALSE)</f>
        <v>0</v>
      </c>
      <c r="S1125" s="737">
        <f>VLOOKUP($P1125,Allocators!$B$7:$F$19,3,FALSE)</f>
        <v>0</v>
      </c>
      <c r="T1125" s="737">
        <f t="shared" si="463"/>
        <v>1</v>
      </c>
      <c r="U1125" s="2">
        <f t="shared" si="504"/>
        <v>0</v>
      </c>
      <c r="V1125" s="2">
        <f t="shared" si="505"/>
        <v>0</v>
      </c>
      <c r="W1125" s="2">
        <f t="shared" si="506"/>
        <v>-389.14838708333298</v>
      </c>
      <c r="X1125" s="2">
        <f t="shared" si="502"/>
        <v>-389.14838708333298</v>
      </c>
      <c r="Y1125" s="2">
        <f t="shared" si="507"/>
        <v>0</v>
      </c>
      <c r="Z1125" s="2">
        <f t="shared" si="508"/>
        <v>0</v>
      </c>
      <c r="AA1125" s="2">
        <f t="shared" si="509"/>
        <v>-518.20839000000001</v>
      </c>
      <c r="AB1125" s="2">
        <f t="shared" si="503"/>
        <v>-518.20839000000012</v>
      </c>
      <c r="AC1125" s="734">
        <v>-314.68048000000016</v>
      </c>
      <c r="AD1125" s="625">
        <v>-313.10848000000004</v>
      </c>
      <c r="AE1125" s="625">
        <v>-318.64931000000001</v>
      </c>
      <c r="AF1125" s="625">
        <v>-326.14073000000002</v>
      </c>
      <c r="AG1125" s="625">
        <v>-338.84927000000005</v>
      </c>
      <c r="AH1125" s="625">
        <v>-355.39845000000008</v>
      </c>
      <c r="AI1125" s="625">
        <v>-375.01980000000003</v>
      </c>
      <c r="AJ1125" s="625">
        <v>-395.37672000000003</v>
      </c>
      <c r="AK1125" s="625">
        <v>-419.61989000000005</v>
      </c>
      <c r="AL1125" s="625">
        <v>-443.96776000000006</v>
      </c>
      <c r="AM1125" s="625">
        <v>-470.17668000000003</v>
      </c>
      <c r="AN1125" s="625">
        <v>-497.02912000000003</v>
      </c>
      <c r="AO1125" s="625">
        <v>-518.20839000000012</v>
      </c>
      <c r="AP1125" s="41" t="str">
        <f t="shared" si="496"/>
        <v>Reg AssetN</v>
      </c>
      <c r="AQ1125" s="41" t="str">
        <f t="shared" si="497"/>
        <v>Reg AssetNN2Low Income</v>
      </c>
      <c r="AR1125" s="41" t="str">
        <f t="shared" si="498"/>
        <v>N2Low Income</v>
      </c>
      <c r="CK1125" s="625"/>
    </row>
    <row r="1126" spans="1:89" s="41" customFormat="1" ht="12.75" customHeight="1">
      <c r="A1126" s="442" t="s">
        <v>746</v>
      </c>
      <c r="B1126" s="442" t="str">
        <f t="shared" si="455"/>
        <v>Reg Asset254017601206BG030594</v>
      </c>
      <c r="C1126" s="736">
        <v>254017</v>
      </c>
      <c r="D1126" s="738">
        <v>601206</v>
      </c>
      <c r="E1126" s="626" t="s">
        <v>942</v>
      </c>
      <c r="F1126" s="626" t="str">
        <f t="shared" si="510"/>
        <v>OTH REG LIAB - MISC - GAS</v>
      </c>
      <c r="G1126" s="626" t="s">
        <v>1304</v>
      </c>
      <c r="H1126" s="736" t="s">
        <v>821</v>
      </c>
      <c r="I1126" s="442"/>
      <c r="J1126" s="442" t="str">
        <f t="shared" si="511"/>
        <v/>
      </c>
      <c r="K1126" s="442" t="str">
        <f t="shared" si="474"/>
        <v/>
      </c>
      <c r="L1126" s="736" t="s">
        <v>2421</v>
      </c>
      <c r="M1126" s="442" t="str">
        <f t="shared" si="462"/>
        <v>N</v>
      </c>
      <c r="N1126" s="442" t="str">
        <f>IF(L1126&lt;&gt;"",VLOOKUP(L1126,Categories!$B$2:$D$41,2,FALSE),IF(F1126&lt;&gt;"","No Cat",""))</f>
        <v>NRBASE</v>
      </c>
      <c r="O1126" s="442" t="str">
        <f>IF($L1126&lt;&gt;"",VLOOKUP($L1126,Categories!$B$2:$D$41,3,FALSE),IF($F1126&lt;&gt;"","No Cat",""))</f>
        <v>Direct Assign Items Not in RB</v>
      </c>
      <c r="P1126" s="736" t="s">
        <v>2468</v>
      </c>
      <c r="Q1126" s="442" t="str">
        <f>VLOOKUP($P1126,Allocators!$B$7:$F$19,5,FALSE)</f>
        <v>Not in Rate Base</v>
      </c>
      <c r="R1126" s="737">
        <f>VLOOKUP($P1126,Allocators!$B$7:$F$19,2,FALSE)</f>
        <v>0</v>
      </c>
      <c r="S1126" s="737">
        <f>VLOOKUP($P1126,Allocators!$B$7:$F$19,3,FALSE)</f>
        <v>0</v>
      </c>
      <c r="T1126" s="737">
        <f t="shared" si="463"/>
        <v>1</v>
      </c>
      <c r="U1126" s="2">
        <f t="shared" si="504"/>
        <v>0</v>
      </c>
      <c r="V1126" s="2">
        <f t="shared" si="505"/>
        <v>0</v>
      </c>
      <c r="W1126" s="2">
        <f t="shared" si="506"/>
        <v>-76.983260000000001</v>
      </c>
      <c r="X1126" s="2">
        <f t="shared" si="502"/>
        <v>-76.983260000000001</v>
      </c>
      <c r="Y1126" s="2">
        <f t="shared" si="507"/>
        <v>0</v>
      </c>
      <c r="Z1126" s="2">
        <f t="shared" si="508"/>
        <v>0</v>
      </c>
      <c r="AA1126" s="2">
        <f t="shared" si="509"/>
        <v>-86.121660000000006</v>
      </c>
      <c r="AB1126" s="2">
        <f t="shared" si="503"/>
        <v>-86.121660000000006</v>
      </c>
      <c r="AC1126" s="734">
        <v>-63.292060000000014</v>
      </c>
      <c r="AD1126" s="625">
        <v>-66.846080000000001</v>
      </c>
      <c r="AE1126" s="625">
        <v>-70.498130000000003</v>
      </c>
      <c r="AF1126" s="625">
        <v>-73.634799999999998</v>
      </c>
      <c r="AG1126" s="625">
        <v>-75.506960000000007</v>
      </c>
      <c r="AH1126" s="625">
        <v>-77.197180000000003</v>
      </c>
      <c r="AI1126" s="625">
        <v>-78.357489999999999</v>
      </c>
      <c r="AJ1126" s="625">
        <v>-79.76388</v>
      </c>
      <c r="AK1126" s="625">
        <v>-80.008380000000002</v>
      </c>
      <c r="AL1126" s="625">
        <v>-83.784999999999997</v>
      </c>
      <c r="AM1126" s="625">
        <v>-80.18574000000001</v>
      </c>
      <c r="AN1126" s="625">
        <v>-83.308620000000005</v>
      </c>
      <c r="AO1126" s="625">
        <v>-86.121660000000006</v>
      </c>
      <c r="AP1126" s="41" t="str">
        <f t="shared" si="496"/>
        <v>Reg AssetN</v>
      </c>
      <c r="AQ1126" s="41" t="str">
        <f t="shared" si="497"/>
        <v>Reg AssetNN2Low Income</v>
      </c>
      <c r="AR1126" s="41" t="str">
        <f t="shared" si="498"/>
        <v>N2Low Income</v>
      </c>
      <c r="CK1126" s="625"/>
    </row>
    <row r="1127" spans="1:89" s="41" customFormat="1" ht="12.75" customHeight="1">
      <c r="A1127" s="442" t="s">
        <v>746</v>
      </c>
      <c r="B1127" s="442" t="str">
        <f t="shared" si="455"/>
        <v>Reg Asset254017601241BG030594</v>
      </c>
      <c r="C1127" s="736">
        <v>254017</v>
      </c>
      <c r="D1127" s="738">
        <v>601241</v>
      </c>
      <c r="E1127" s="626" t="s">
        <v>942</v>
      </c>
      <c r="F1127" s="626" t="str">
        <f t="shared" si="510"/>
        <v>OTH REG LIAB - MISC - GAS</v>
      </c>
      <c r="G1127" s="626" t="s">
        <v>1305</v>
      </c>
      <c r="H1127" s="736" t="s">
        <v>821</v>
      </c>
      <c r="I1127" s="442"/>
      <c r="J1127" s="442" t="str">
        <f t="shared" si="511"/>
        <v/>
      </c>
      <c r="K1127" s="442" t="str">
        <f t="shared" si="474"/>
        <v/>
      </c>
      <c r="L1127" s="736" t="s">
        <v>2421</v>
      </c>
      <c r="M1127" s="442" t="str">
        <f t="shared" si="462"/>
        <v>N</v>
      </c>
      <c r="N1127" s="442" t="str">
        <f>IF(L1127&lt;&gt;"",VLOOKUP(L1127,Categories!$B$2:$D$41,2,FALSE),IF(F1127&lt;&gt;"","No Cat",""))</f>
        <v>NRBASE</v>
      </c>
      <c r="O1127" s="442" t="str">
        <f>IF($L1127&lt;&gt;"",VLOOKUP($L1127,Categories!$B$2:$D$41,3,FALSE),IF($F1127&lt;&gt;"","No Cat",""))</f>
        <v>Direct Assign Items Not in RB</v>
      </c>
      <c r="P1127" s="736" t="s">
        <v>2468</v>
      </c>
      <c r="Q1127" s="442" t="str">
        <f>VLOOKUP($P1127,Allocators!$B$7:$F$19,5,FALSE)</f>
        <v>Not in Rate Base</v>
      </c>
      <c r="R1127" s="737">
        <f>VLOOKUP($P1127,Allocators!$B$7:$F$19,2,FALSE)</f>
        <v>0</v>
      </c>
      <c r="S1127" s="737">
        <f>VLOOKUP($P1127,Allocators!$B$7:$F$19,3,FALSE)</f>
        <v>0</v>
      </c>
      <c r="T1127" s="737">
        <f t="shared" si="463"/>
        <v>1</v>
      </c>
      <c r="U1127" s="2">
        <f t="shared" si="504"/>
        <v>0</v>
      </c>
      <c r="V1127" s="2">
        <f t="shared" si="505"/>
        <v>0</v>
      </c>
      <c r="W1127" s="2">
        <f t="shared" si="506"/>
        <v>-72.166252499999999</v>
      </c>
      <c r="X1127" s="2">
        <f t="shared" si="502"/>
        <v>-72.166252499999999</v>
      </c>
      <c r="Y1127" s="2">
        <f t="shared" si="507"/>
        <v>0</v>
      </c>
      <c r="Z1127" s="2">
        <f t="shared" si="508"/>
        <v>0</v>
      </c>
      <c r="AA1127" s="2">
        <f t="shared" si="509"/>
        <v>-65.414510000000007</v>
      </c>
      <c r="AB1127" s="2">
        <f t="shared" si="503"/>
        <v>-65.414509999999993</v>
      </c>
      <c r="AC1127" s="734">
        <v>-60.078229999999991</v>
      </c>
      <c r="AD1127" s="625">
        <v>-62.307260000000007</v>
      </c>
      <c r="AE1127" s="625">
        <v>-60.761120000000012</v>
      </c>
      <c r="AF1127" s="625">
        <v>-66.031270000000006</v>
      </c>
      <c r="AG1127" s="625">
        <v>-66.211660000000009</v>
      </c>
      <c r="AH1127" s="625">
        <v>-66.15603999999999</v>
      </c>
      <c r="AI1127" s="625">
        <v>-64.632190000000008</v>
      </c>
      <c r="AJ1127" s="625">
        <v>-91.649240000000006</v>
      </c>
      <c r="AK1127" s="625">
        <v>-96.272580000000005</v>
      </c>
      <c r="AL1127" s="625">
        <v>-100.59344999999999</v>
      </c>
      <c r="AM1127" s="625">
        <v>-64.498080000000002</v>
      </c>
      <c r="AN1127" s="625">
        <v>-64.135769999999994</v>
      </c>
      <c r="AO1127" s="625">
        <v>-65.414509999999993</v>
      </c>
      <c r="AP1127" s="41" t="str">
        <f t="shared" si="496"/>
        <v>Reg AssetN</v>
      </c>
      <c r="AQ1127" s="41" t="str">
        <f t="shared" si="497"/>
        <v>Reg AssetNN2Low Income</v>
      </c>
      <c r="AR1127" s="41" t="str">
        <f t="shared" si="498"/>
        <v>N2Low Income</v>
      </c>
      <c r="CK1127" s="625"/>
    </row>
    <row r="1128" spans="1:89" s="41" customFormat="1" ht="12.75" customHeight="1">
      <c r="A1128" s="442" t="s">
        <v>746</v>
      </c>
      <c r="B1128" s="442" t="str">
        <f t="shared" ref="B1128" si="519">CONCATENATE(A1128,C1128,D1128,E1128)</f>
        <v>Reg Asset254017601248BG030266</v>
      </c>
      <c r="C1128" s="736">
        <v>254017</v>
      </c>
      <c r="D1128" s="738">
        <v>601248</v>
      </c>
      <c r="E1128" s="626" t="s">
        <v>969</v>
      </c>
      <c r="F1128" s="626" t="str">
        <f t="shared" si="510"/>
        <v>OTH REG LIAB - MISC - GAS</v>
      </c>
      <c r="G1128" s="626" t="s">
        <v>4244</v>
      </c>
      <c r="H1128" s="736" t="s">
        <v>1132</v>
      </c>
      <c r="I1128" s="442"/>
      <c r="J1128" s="442" t="s">
        <v>7</v>
      </c>
      <c r="K1128" s="442" t="str">
        <f t="shared" si="474"/>
        <v/>
      </c>
      <c r="L1128" s="736" t="s">
        <v>2436</v>
      </c>
      <c r="M1128" s="442" t="str">
        <f t="shared" ref="M1128:M1131" si="520">LEFT(L1128,1)</f>
        <v>N</v>
      </c>
      <c r="N1128" s="442" t="str">
        <f>IF(L1128&lt;&gt;"",VLOOKUP(L1128,Categories!$B$2:$D$41,2,FALSE),IF(F1128&lt;&gt;"","No Cat",""))</f>
        <v>NRBASE</v>
      </c>
      <c r="O1128" s="442" t="str">
        <f>IF($L1128&lt;&gt;"",VLOOKUP($L1128,Categories!$B$2:$D$41,3,FALSE),IF($F1128&lt;&gt;"","No Cat",""))</f>
        <v>Deferrals Accruing Non-Cash Return   (other than ASGA)</v>
      </c>
      <c r="P1128" s="736" t="s">
        <v>2468</v>
      </c>
      <c r="Q1128" s="442" t="str">
        <f>VLOOKUP($P1128,Allocators!$B$7:$F$19,5,FALSE)</f>
        <v>Not in Rate Base</v>
      </c>
      <c r="R1128" s="737">
        <f>VLOOKUP($P1128,Allocators!$B$7:$F$19,2,FALSE)</f>
        <v>0</v>
      </c>
      <c r="S1128" s="737">
        <f>VLOOKUP($P1128,Allocators!$B$7:$F$19,3,FALSE)</f>
        <v>0</v>
      </c>
      <c r="T1128" s="737">
        <f t="shared" ref="T1128:T1131" si="521">IF(P1128="N",1,"0.0%")</f>
        <v>1</v>
      </c>
      <c r="U1128" s="2" t="str">
        <f t="shared" si="504"/>
        <v/>
      </c>
      <c r="V1128" s="2" t="str">
        <f t="shared" si="505"/>
        <v/>
      </c>
      <c r="W1128" s="2" t="str">
        <f t="shared" si="506"/>
        <v/>
      </c>
      <c r="X1128" s="2">
        <f t="shared" si="502"/>
        <v>0</v>
      </c>
      <c r="Y1128" s="2" t="str">
        <f t="shared" si="507"/>
        <v/>
      </c>
      <c r="Z1128" s="2" t="str">
        <f t="shared" si="508"/>
        <v/>
      </c>
      <c r="AA1128" s="2" t="str">
        <f t="shared" si="509"/>
        <v/>
      </c>
      <c r="AB1128" s="2">
        <f t="shared" si="503"/>
        <v>0</v>
      </c>
      <c r="AC1128" s="625">
        <v>0</v>
      </c>
      <c r="AD1128" s="625">
        <v>0</v>
      </c>
      <c r="AE1128" s="625">
        <v>0</v>
      </c>
      <c r="AF1128" s="38">
        <v>0</v>
      </c>
      <c r="AG1128" s="625">
        <v>0</v>
      </c>
      <c r="AH1128" s="625">
        <v>0</v>
      </c>
      <c r="AI1128" s="625">
        <v>0</v>
      </c>
      <c r="AJ1128" s="625">
        <v>0</v>
      </c>
      <c r="AK1128" s="625">
        <v>0</v>
      </c>
      <c r="AL1128" s="625">
        <v>0</v>
      </c>
      <c r="AM1128" s="625">
        <v>0</v>
      </c>
      <c r="AN1128" s="625">
        <v>0</v>
      </c>
      <c r="AO1128" s="625">
        <v>0</v>
      </c>
      <c r="AP1128" s="41" t="str">
        <f t="shared" si="496"/>
        <v>Reg AssetN</v>
      </c>
      <c r="AQ1128" s="41" t="str">
        <f t="shared" si="497"/>
        <v>Reg AssetNN10Gas Pipeline Integrity</v>
      </c>
      <c r="AR1128" s="41" t="str">
        <f t="shared" si="498"/>
        <v>N10Gas Pipeline IntegrityNCR</v>
      </c>
      <c r="CK1128" s="625"/>
    </row>
    <row r="1129" spans="1:89" s="41" customFormat="1" ht="12.75" customHeight="1">
      <c r="A1129" s="442" t="s">
        <v>746</v>
      </c>
      <c r="B1129" s="442" t="str">
        <f t="shared" ref="B1129" si="522">CONCATENATE(A1129,C1129,D1129,E1129)</f>
        <v>Reg Asset254017601235-ReclassBE039999</v>
      </c>
      <c r="C1129" s="736">
        <v>254017</v>
      </c>
      <c r="D1129" s="738" t="s">
        <v>4267</v>
      </c>
      <c r="E1129" s="626" t="s">
        <v>1161</v>
      </c>
      <c r="F1129" s="626" t="str">
        <f t="shared" si="510"/>
        <v>OTH REG LIAB - MISC - GAS</v>
      </c>
      <c r="G1129" s="626" t="s">
        <v>4266</v>
      </c>
      <c r="H1129" s="736" t="s">
        <v>823</v>
      </c>
      <c r="I1129" s="442"/>
      <c r="J1129" s="442" t="s">
        <v>7</v>
      </c>
      <c r="K1129" s="442" t="str">
        <f t="shared" si="474"/>
        <v/>
      </c>
      <c r="L1129" s="736" t="s">
        <v>2436</v>
      </c>
      <c r="M1129" s="442" t="str">
        <f t="shared" si="520"/>
        <v>N</v>
      </c>
      <c r="N1129" s="442" t="str">
        <f>IF(L1129&lt;&gt;"",VLOOKUP(L1129,Categories!$B$2:$D$41,2,FALSE),IF(F1129&lt;&gt;"","No Cat",""))</f>
        <v>NRBASE</v>
      </c>
      <c r="O1129" s="442" t="str">
        <f>IF($L1129&lt;&gt;"",VLOOKUP($L1129,Categories!$B$2:$D$41,3,FALSE),IF($F1129&lt;&gt;"","No Cat",""))</f>
        <v>Deferrals Accruing Non-Cash Return   (other than ASGA)</v>
      </c>
      <c r="P1129" s="736" t="s">
        <v>2468</v>
      </c>
      <c r="Q1129" s="442" t="str">
        <f>VLOOKUP($P1129,Allocators!$B$7:$F$19,5,FALSE)</f>
        <v>Not in Rate Base</v>
      </c>
      <c r="R1129" s="737">
        <f>VLOOKUP($P1129,Allocators!$B$7:$F$19,2,FALSE)</f>
        <v>0</v>
      </c>
      <c r="S1129" s="737">
        <f>VLOOKUP($P1129,Allocators!$B$7:$F$19,3,FALSE)</f>
        <v>0</v>
      </c>
      <c r="T1129" s="737">
        <f t="shared" si="521"/>
        <v>1</v>
      </c>
      <c r="U1129" s="2">
        <f t="shared" si="504"/>
        <v>0</v>
      </c>
      <c r="V1129" s="2">
        <f t="shared" si="505"/>
        <v>0</v>
      </c>
      <c r="W1129" s="2">
        <f t="shared" si="506"/>
        <v>-2350.1164341666699</v>
      </c>
      <c r="X1129" s="2">
        <f t="shared" si="502"/>
        <v>-2350.1164341666699</v>
      </c>
      <c r="Y1129" s="2" t="str">
        <f t="shared" si="507"/>
        <v/>
      </c>
      <c r="Z1129" s="2" t="str">
        <f t="shared" si="508"/>
        <v/>
      </c>
      <c r="AA1129" s="2" t="str">
        <f t="shared" si="509"/>
        <v/>
      </c>
      <c r="AB1129" s="2">
        <f t="shared" si="503"/>
        <v>0</v>
      </c>
      <c r="AC1129" s="734">
        <v>-4467.5208000000011</v>
      </c>
      <c r="AD1129" s="625">
        <v>-5372.4751900000001</v>
      </c>
      <c r="AE1129" s="625">
        <v>-4847.2233299999998</v>
      </c>
      <c r="AF1129" s="625">
        <v>-4157.4303900000004</v>
      </c>
      <c r="AG1129" s="625">
        <v>-3365.6410500000002</v>
      </c>
      <c r="AH1129" s="625">
        <v>-2676.9606200000003</v>
      </c>
      <c r="AI1129" s="625">
        <v>-2015.1139500000002</v>
      </c>
      <c r="AJ1129" s="625">
        <v>-1813.8137700000002</v>
      </c>
      <c r="AK1129" s="625">
        <v>-988.57177000000024</v>
      </c>
      <c r="AL1129" s="625">
        <v>-730.40674000000024</v>
      </c>
      <c r="AM1129" s="625">
        <v>0</v>
      </c>
      <c r="AN1129" s="625">
        <v>0</v>
      </c>
      <c r="AO1129" s="625">
        <v>0</v>
      </c>
      <c r="AP1129" s="41" t="str">
        <f t="shared" si="496"/>
        <v>Reg AssetN</v>
      </c>
      <c r="AQ1129" s="41" t="str">
        <f t="shared" si="497"/>
        <v>Reg AssetNN10RDM</v>
      </c>
      <c r="AR1129" s="41" t="str">
        <f t="shared" si="498"/>
        <v>N10RDMNCR</v>
      </c>
      <c r="CK1129" s="625"/>
    </row>
    <row r="1130" spans="1:89" s="41" customFormat="1" ht="12.75" customHeight="1">
      <c r="A1130" s="442" t="s">
        <v>746</v>
      </c>
      <c r="B1130" s="442" t="str">
        <f t="shared" ref="B1130" si="523">CONCATENATE(A1130,C1130,D1130,E1130)</f>
        <v>Reg Asset254017601273BG030937</v>
      </c>
      <c r="C1130" s="736">
        <v>254017</v>
      </c>
      <c r="D1130" s="738">
        <v>601273</v>
      </c>
      <c r="E1130" s="626" t="s">
        <v>4447</v>
      </c>
      <c r="F1130" s="626" t="str">
        <f t="shared" si="510"/>
        <v>OTH REG LIAB - MISC - GAS</v>
      </c>
      <c r="G1130" s="626" t="s">
        <v>4443</v>
      </c>
      <c r="H1130" s="736" t="s">
        <v>4455</v>
      </c>
      <c r="I1130" s="442"/>
      <c r="J1130" s="442"/>
      <c r="K1130" s="442"/>
      <c r="L1130" s="736" t="s">
        <v>2441</v>
      </c>
      <c r="M1130" s="25" t="str">
        <f t="shared" si="520"/>
        <v>R</v>
      </c>
      <c r="N1130" s="25" t="str">
        <f>IF(L1130&lt;&gt;"",VLOOKUP(L1130,Categories!$B$2:$D$41,2,FALSE),IF(F1130&lt;&gt;"","No Cat",""))</f>
        <v>Rate Base</v>
      </c>
      <c r="O1130" s="25" t="str">
        <f>IF($L1130&lt;&gt;"",VLOOKUP($L1130,Categories!$B$2:$D$41,3,FALSE),IF($F1130&lt;&gt;"","No Cat",""))</f>
        <v>Deferred Debits &amp; Credits</v>
      </c>
      <c r="P1130" s="736" t="s">
        <v>2483</v>
      </c>
      <c r="Q1130" s="25" t="str">
        <f>VLOOKUP($P1130,Allocators!$B$7:$F$19,5,FALSE)</f>
        <v>Gas</v>
      </c>
      <c r="R1130" s="737">
        <f>VLOOKUP($P1130,Allocators!$B$7:$F$19,2,FALSE)</f>
        <v>0</v>
      </c>
      <c r="S1130" s="737">
        <f>VLOOKUP($P1130,Allocators!$B$7:$F$19,3,FALSE)</f>
        <v>1</v>
      </c>
      <c r="T1130" s="737" t="str">
        <f t="shared" si="521"/>
        <v>0.0%</v>
      </c>
      <c r="U1130" s="2">
        <f t="shared" si="504"/>
        <v>0</v>
      </c>
      <c r="V1130" s="2">
        <f t="shared" si="505"/>
        <v>-496.20833333333297</v>
      </c>
      <c r="W1130" s="2">
        <f t="shared" si="506"/>
        <v>0</v>
      </c>
      <c r="X1130" s="2">
        <f t="shared" si="502"/>
        <v>-496.20833333333297</v>
      </c>
      <c r="Y1130" s="2">
        <f t="shared" si="507"/>
        <v>0</v>
      </c>
      <c r="Z1130" s="2">
        <f t="shared" si="508"/>
        <v>-1193</v>
      </c>
      <c r="AA1130" s="2">
        <f t="shared" si="509"/>
        <v>0</v>
      </c>
      <c r="AB1130" s="2">
        <f t="shared" si="503"/>
        <v>-1193</v>
      </c>
      <c r="AC1130" s="734"/>
      <c r="AD1130" s="625"/>
      <c r="AE1130" s="625"/>
      <c r="AF1130" s="625"/>
      <c r="AG1130" s="625"/>
      <c r="AH1130" s="625"/>
      <c r="AI1130" s="625">
        <v>-833</v>
      </c>
      <c r="AJ1130" s="625">
        <v>-833</v>
      </c>
      <c r="AK1130" s="625">
        <v>-833</v>
      </c>
      <c r="AL1130" s="625">
        <v>-833</v>
      </c>
      <c r="AM1130" s="625">
        <v>-833</v>
      </c>
      <c r="AN1130" s="625">
        <v>-1193</v>
      </c>
      <c r="AO1130" s="625">
        <v>-1193</v>
      </c>
      <c r="AP1130" s="41" t="str">
        <f t="shared" si="496"/>
        <v>Reg AssetR</v>
      </c>
      <c r="AQ1130" s="41" t="str">
        <f t="shared" si="497"/>
        <v>Reg AssetRR10Excess DIT - New York State Tax Rate change</v>
      </c>
      <c r="AR1130" s="41" t="str">
        <f t="shared" si="498"/>
        <v>R10Excess DIT - New York State Tax Rate change</v>
      </c>
      <c r="CK1130" s="625"/>
    </row>
    <row r="1131" spans="1:89" s="41" customFormat="1" ht="12.75" customHeight="1">
      <c r="A1131" s="442" t="s">
        <v>746</v>
      </c>
      <c r="B1131" s="442" t="str">
        <f t="shared" ref="B1131:B1133" si="524">CONCATENATE(A1131,C1131,D1131,E1131)</f>
        <v>Reg Asset254017601122BG030938</v>
      </c>
      <c r="C1131" s="736">
        <v>254017</v>
      </c>
      <c r="D1131" s="738">
        <v>601122</v>
      </c>
      <c r="E1131" s="626" t="s">
        <v>4511</v>
      </c>
      <c r="F1131" s="626" t="str">
        <f t="shared" si="510"/>
        <v>OTH REG LIAB - MISC - GAS</v>
      </c>
      <c r="G1131" s="626" t="s">
        <v>4507</v>
      </c>
      <c r="H1131" s="736" t="s">
        <v>1131</v>
      </c>
      <c r="I1131" s="442"/>
      <c r="J1131" s="442" t="str">
        <f t="shared" ref="J1131" si="525">IF(L1131="N10","Y",IF(L1131="N8","Y",""))</f>
        <v/>
      </c>
      <c r="K1131" s="442"/>
      <c r="L1131" s="736" t="s">
        <v>2441</v>
      </c>
      <c r="M1131" s="442" t="str">
        <f t="shared" si="520"/>
        <v>R</v>
      </c>
      <c r="N1131" s="442" t="str">
        <f>IF(L1131&lt;&gt;"",VLOOKUP(L1131,Categories!$B$2:$D$41,2,FALSE),IF(F1131&lt;&gt;"","No Cat",""))</f>
        <v>Rate Base</v>
      </c>
      <c r="O1131" s="442" t="str">
        <f>IF($L1131&lt;&gt;"",VLOOKUP($L1131,Categories!$B$2:$D$41,3,FALSE),IF($F1131&lt;&gt;"","No Cat",""))</f>
        <v>Deferred Debits &amp; Credits</v>
      </c>
      <c r="P1131" s="736" t="s">
        <v>2483</v>
      </c>
      <c r="Q1131" s="442" t="str">
        <f>VLOOKUP($P1131,Allocators!$B$7:$F$19,5,FALSE)</f>
        <v>Gas</v>
      </c>
      <c r="R1131" s="737">
        <f>VLOOKUP($P1131,Allocators!$B$7:$F$19,2,FALSE)</f>
        <v>0</v>
      </c>
      <c r="S1131" s="737">
        <f>VLOOKUP($P1131,Allocators!$B$7:$F$19,3,FALSE)</f>
        <v>1</v>
      </c>
      <c r="T1131" s="737" t="str">
        <f t="shared" si="521"/>
        <v>0.0%</v>
      </c>
      <c r="U1131" s="2">
        <f t="shared" si="504"/>
        <v>0</v>
      </c>
      <c r="V1131" s="2">
        <f t="shared" si="505"/>
        <v>-187.72641874999999</v>
      </c>
      <c r="W1131" s="2">
        <f t="shared" si="506"/>
        <v>0</v>
      </c>
      <c r="X1131" s="2">
        <f t="shared" si="502"/>
        <v>-187.72641874999999</v>
      </c>
      <c r="Y1131" s="2">
        <f t="shared" si="507"/>
        <v>0</v>
      </c>
      <c r="Z1131" s="2">
        <f t="shared" si="508"/>
        <v>-1206.4433300000001</v>
      </c>
      <c r="AA1131" s="2">
        <f t="shared" si="509"/>
        <v>0</v>
      </c>
      <c r="AB1131" s="2">
        <f t="shared" si="503"/>
        <v>-1206.4433300000001</v>
      </c>
      <c r="AC1131" s="734"/>
      <c r="AD1131" s="625"/>
      <c r="AE1131" s="625"/>
      <c r="AF1131" s="625"/>
      <c r="AG1131" s="625"/>
      <c r="AH1131" s="625"/>
      <c r="AI1131" s="625"/>
      <c r="AJ1131" s="625"/>
      <c r="AK1131" s="625"/>
      <c r="AL1131" s="625">
        <v>-638.01735999999994</v>
      </c>
      <c r="AM1131" s="625">
        <v>-360.97159999999997</v>
      </c>
      <c r="AN1131" s="625">
        <v>-650.50639999999987</v>
      </c>
      <c r="AO1131" s="625">
        <v>-1206.4433300000001</v>
      </c>
      <c r="AP1131" s="41" t="str">
        <f t="shared" si="496"/>
        <v>Reg AssetR</v>
      </c>
      <c r="AQ1131" s="41" t="str">
        <f t="shared" si="497"/>
        <v>Reg AssetRR10Energy Efficiency Portfolio Standard</v>
      </c>
      <c r="AR1131" s="41" t="str">
        <f t="shared" si="498"/>
        <v>R10Energy Efficiency Portfolio Standard</v>
      </c>
      <c r="CK1131" s="625"/>
    </row>
    <row r="1132" spans="1:89" s="41" customFormat="1" ht="12.75" customHeight="1">
      <c r="A1132" s="442" t="s">
        <v>746</v>
      </c>
      <c r="B1132" s="442" t="str">
        <f t="shared" si="524"/>
        <v>Reg Asset254017601123BG030938</v>
      </c>
      <c r="C1132" s="736">
        <v>254017</v>
      </c>
      <c r="D1132" s="738">
        <v>601123</v>
      </c>
      <c r="E1132" s="626" t="s">
        <v>4511</v>
      </c>
      <c r="F1132" s="626" t="str">
        <f t="shared" si="510"/>
        <v>OTH REG LIAB - MISC - GAS</v>
      </c>
      <c r="G1132" s="626" t="s">
        <v>4508</v>
      </c>
      <c r="H1132" s="736" t="s">
        <v>1131</v>
      </c>
      <c r="I1132" s="442"/>
      <c r="J1132" s="442" t="s">
        <v>7</v>
      </c>
      <c r="K1132" s="442"/>
      <c r="L1132" s="736" t="s">
        <v>2436</v>
      </c>
      <c r="M1132" s="442" t="str">
        <f t="shared" ref="M1132" si="526">LEFT(L1132,1)</f>
        <v>N</v>
      </c>
      <c r="N1132" s="442" t="str">
        <f>IF(L1132&lt;&gt;"",VLOOKUP(L1132,Categories!$B$2:$D$41,2,FALSE),IF(F1132&lt;&gt;"","No Cat",""))</f>
        <v>NRBASE</v>
      </c>
      <c r="O1132" s="442" t="str">
        <f>IF($L1132&lt;&gt;"",VLOOKUP($L1132,Categories!$B$2:$D$41,3,FALSE),IF($F1132&lt;&gt;"","No Cat",""))</f>
        <v>Deferrals Accruing Non-Cash Return   (other than ASGA)</v>
      </c>
      <c r="P1132" s="736" t="s">
        <v>2468</v>
      </c>
      <c r="Q1132" s="442" t="str">
        <f>VLOOKUP($P1132,Allocators!$B$7:$F$19,5,FALSE)</f>
        <v>Not in Rate Base</v>
      </c>
      <c r="R1132" s="737">
        <f>VLOOKUP($P1132,Allocators!$B$7:$F$19,2,FALSE)</f>
        <v>0</v>
      </c>
      <c r="S1132" s="737">
        <f>VLOOKUP($P1132,Allocators!$B$7:$F$19,3,FALSE)</f>
        <v>0</v>
      </c>
      <c r="T1132" s="737">
        <f t="shared" ref="T1132" si="527">IF(P1132="N",1,"0.0%")</f>
        <v>1</v>
      </c>
      <c r="U1132" s="2">
        <f t="shared" si="504"/>
        <v>0</v>
      </c>
      <c r="V1132" s="2">
        <f t="shared" si="505"/>
        <v>0</v>
      </c>
      <c r="W1132" s="2">
        <f t="shared" si="506"/>
        <v>-2473.9947770833301</v>
      </c>
      <c r="X1132" s="2">
        <f t="shared" si="502"/>
        <v>-2473.9947770833301</v>
      </c>
      <c r="Y1132" s="2">
        <f t="shared" si="507"/>
        <v>0</v>
      </c>
      <c r="Z1132" s="2">
        <f t="shared" si="508"/>
        <v>0</v>
      </c>
      <c r="AA1132" s="2">
        <f t="shared" si="509"/>
        <v>-8965.9864699999998</v>
      </c>
      <c r="AB1132" s="2">
        <f t="shared" si="503"/>
        <v>-8965.986469999998</v>
      </c>
      <c r="AC1132" s="734"/>
      <c r="AD1132" s="625"/>
      <c r="AE1132" s="625"/>
      <c r="AF1132" s="625"/>
      <c r="AG1132" s="625"/>
      <c r="AH1132" s="625"/>
      <c r="AI1132" s="625"/>
      <c r="AJ1132" s="625"/>
      <c r="AK1132" s="625"/>
      <c r="AL1132" s="625">
        <v>-8093.5326299999997</v>
      </c>
      <c r="AM1132" s="625">
        <v>-8404.6798300000009</v>
      </c>
      <c r="AN1132" s="625">
        <v>-8706.7316299999984</v>
      </c>
      <c r="AO1132" s="625">
        <v>-8965.986469999998</v>
      </c>
      <c r="AP1132" s="41" t="str">
        <f t="shared" si="496"/>
        <v>Reg AssetN</v>
      </c>
      <c r="AQ1132" s="41" t="str">
        <f t="shared" si="497"/>
        <v>Reg AssetNN10Energy Efficiency Portfolio Standard</v>
      </c>
      <c r="AR1132" s="41" t="str">
        <f t="shared" si="498"/>
        <v>N10Energy Efficiency Portfolio StandardNCR</v>
      </c>
      <c r="CK1132" s="625"/>
    </row>
    <row r="1133" spans="1:89" s="41" customFormat="1" ht="12.75" customHeight="1">
      <c r="A1133" s="442" t="s">
        <v>746</v>
      </c>
      <c r="B1133" s="442" t="str">
        <f t="shared" si="524"/>
        <v>Reg Asset254017601246-15BG030247</v>
      </c>
      <c r="C1133" s="736">
        <v>254017</v>
      </c>
      <c r="D1133" s="738" t="s">
        <v>4510</v>
      </c>
      <c r="E1133" s="626" t="s">
        <v>1231</v>
      </c>
      <c r="F1133" s="626" t="str">
        <f t="shared" si="510"/>
        <v>OTH REG LIAB - MISC - GAS</v>
      </c>
      <c r="G1133" s="626" t="s">
        <v>4509</v>
      </c>
      <c r="H1133" s="736" t="s">
        <v>1234</v>
      </c>
      <c r="I1133" s="442"/>
      <c r="J1133" s="442" t="str">
        <f t="shared" ref="J1133" si="528">IF(L1133="N10","Y",IF(L1133="N8","Y",""))</f>
        <v/>
      </c>
      <c r="K1133" s="442" t="str">
        <f t="shared" ref="K1133" si="529">IF(L1133="N3","Y","")</f>
        <v/>
      </c>
      <c r="L1133" s="736" t="s">
        <v>2441</v>
      </c>
      <c r="M1133" s="442" t="str">
        <f t="shared" ref="M1133:M1136" si="530">LEFT(L1133,1)</f>
        <v>R</v>
      </c>
      <c r="N1133" s="442" t="str">
        <f>IF(L1133&lt;&gt;"",VLOOKUP(L1133,Categories!$B$2:$D$41,2,FALSE),IF(F1133&lt;&gt;"","No Cat",""))</f>
        <v>Rate Base</v>
      </c>
      <c r="O1133" s="442" t="str">
        <f>IF($L1133&lt;&gt;"",VLOOKUP($L1133,Categories!$B$2:$D$41,3,FALSE),IF($F1133&lt;&gt;"","No Cat",""))</f>
        <v>Deferred Debits &amp; Credits</v>
      </c>
      <c r="P1133" s="736" t="s">
        <v>2483</v>
      </c>
      <c r="Q1133" s="442" t="str">
        <f>VLOOKUP($P1133,Allocators!$B$7:$F$19,5,FALSE)</f>
        <v>Gas</v>
      </c>
      <c r="R1133" s="737">
        <f>VLOOKUP($P1133,Allocators!$B$7:$F$19,2,FALSE)</f>
        <v>0</v>
      </c>
      <c r="S1133" s="737">
        <f>VLOOKUP($P1133,Allocators!$B$7:$F$19,3,FALSE)</f>
        <v>1</v>
      </c>
      <c r="T1133" s="737" t="str">
        <f t="shared" ref="T1133" si="531">IF(P1133="N",1,"0.0%")</f>
        <v>0.0%</v>
      </c>
      <c r="U1133" s="2">
        <f t="shared" si="504"/>
        <v>0</v>
      </c>
      <c r="V1133" s="2">
        <f t="shared" si="505"/>
        <v>111.442617916667</v>
      </c>
      <c r="W1133" s="2">
        <f t="shared" si="506"/>
        <v>0</v>
      </c>
      <c r="X1133" s="2">
        <f t="shared" si="502"/>
        <v>111.442617916667</v>
      </c>
      <c r="Y1133" s="2">
        <f t="shared" si="507"/>
        <v>0</v>
      </c>
      <c r="Z1133" s="2">
        <f t="shared" si="508"/>
        <v>-66.745529999999903</v>
      </c>
      <c r="AA1133" s="2">
        <f t="shared" si="509"/>
        <v>0</v>
      </c>
      <c r="AB1133" s="2">
        <f t="shared" si="503"/>
        <v>-66.745529999999917</v>
      </c>
      <c r="AC1133" s="734"/>
      <c r="AD1133" s="625"/>
      <c r="AE1133" s="625"/>
      <c r="AF1133" s="625"/>
      <c r="AG1133" s="625"/>
      <c r="AH1133" s="625"/>
      <c r="AI1133" s="625"/>
      <c r="AJ1133" s="625"/>
      <c r="AK1133" s="625"/>
      <c r="AL1133" s="625">
        <v>385.75978000000003</v>
      </c>
      <c r="AM1133" s="625">
        <v>619.52295000000004</v>
      </c>
      <c r="AN1133" s="625">
        <v>365.40145000000007</v>
      </c>
      <c r="AO1133" s="625">
        <v>-66.745529999999917</v>
      </c>
      <c r="AP1133" s="41" t="str">
        <f t="shared" si="496"/>
        <v>Reg AssetR</v>
      </c>
      <c r="AQ1133" s="41" t="str">
        <f t="shared" si="497"/>
        <v>Reg AssetRR10Merchant Function Charge-Gas</v>
      </c>
      <c r="AR1133" s="41" t="str">
        <f t="shared" si="498"/>
        <v>R10Merchant Function Charge-Gas</v>
      </c>
      <c r="CK1133" s="625"/>
    </row>
    <row r="1134" spans="1:89" s="41" customFormat="1" ht="12.75" customHeight="1">
      <c r="A1134" s="442" t="s">
        <v>746</v>
      </c>
      <c r="B1134" s="442" t="str">
        <f t="shared" ref="B1134" si="532">CONCATENATE(A1134,C1134,D1134,E1134)</f>
        <v>Reg Asset254017601246-14 OrphanBG030247</v>
      </c>
      <c r="C1134" s="736">
        <v>254017</v>
      </c>
      <c r="D1134" s="738" t="s">
        <v>4550</v>
      </c>
      <c r="E1134" s="626" t="s">
        <v>1231</v>
      </c>
      <c r="F1134" s="626" t="str">
        <f t="shared" si="510"/>
        <v>OTH REG LIAB - MISC - GAS</v>
      </c>
      <c r="G1134" s="626" t="s">
        <v>4549</v>
      </c>
      <c r="H1134" s="736" t="s">
        <v>1234</v>
      </c>
      <c r="I1134" s="442"/>
      <c r="J1134" s="442"/>
      <c r="K1134" s="442"/>
      <c r="L1134" s="736" t="s">
        <v>2441</v>
      </c>
      <c r="M1134" s="442" t="str">
        <f t="shared" si="530"/>
        <v>R</v>
      </c>
      <c r="N1134" s="442" t="str">
        <f>IF(L1134&lt;&gt;"",VLOOKUP(L1134,Categories!$B$2:$D$41,2,FALSE),IF(F1134&lt;&gt;"","No Cat",""))</f>
        <v>Rate Base</v>
      </c>
      <c r="O1134" s="442" t="str">
        <f>IF($L1134&lt;&gt;"",VLOOKUP($L1134,Categories!$B$2:$D$41,3,FALSE),IF($F1134&lt;&gt;"","No Cat",""))</f>
        <v>Deferred Debits &amp; Credits</v>
      </c>
      <c r="P1134" s="736" t="s">
        <v>2483</v>
      </c>
      <c r="Q1134" s="442" t="str">
        <f>VLOOKUP($P1134,Allocators!$B$7:$F$19,5,FALSE)</f>
        <v>Gas</v>
      </c>
      <c r="R1134" s="737">
        <f>VLOOKUP($P1134,Allocators!$B$7:$F$19,2,FALSE)</f>
        <v>0</v>
      </c>
      <c r="S1134" s="737">
        <f>VLOOKUP($P1134,Allocators!$B$7:$F$19,3,FALSE)</f>
        <v>1</v>
      </c>
      <c r="T1134" s="737" t="str">
        <f t="shared" ref="T1134:T1136" si="533">IF(P1134="N",1,"0.0%")</f>
        <v>0.0%</v>
      </c>
      <c r="U1134" s="2">
        <f t="shared" ref="U1134:U1136" si="534">IF(ABS(X1134)=0,"",IF($R1134="NO ALLOC","NO ALLOC",ROUND($R1134*X1134,15)))</f>
        <v>0</v>
      </c>
      <c r="V1134" s="2">
        <f t="shared" ref="V1134:V1136" si="535">IF(ABS(X1134)=0,"",IF($S1134="NO ALLOC","NO ALLOC",ROUND($S1134*X1134,15)))</f>
        <v>16.041696250000001</v>
      </c>
      <c r="W1134" s="2">
        <f t="shared" ref="W1134:W1136" si="536">IF(ABS(X1134)=0,"",IF($T1134="NO ALLOC","NO ALLOC",ROUND($T1134*X1134,15)))</f>
        <v>0</v>
      </c>
      <c r="X1134" s="2">
        <f t="shared" si="502"/>
        <v>16.041696250000001</v>
      </c>
      <c r="Y1134" s="2">
        <f t="shared" ref="Y1134:Y1136" si="537">IF(ABS(AB1134)=0,"",IF($R1134="NO ALLOC","NO ALLOC",ROUND($R1134*AB1134,15)))</f>
        <v>0</v>
      </c>
      <c r="Z1134" s="2">
        <f t="shared" ref="Z1134:Z1136" si="538">IF(ABS(AB1134)=0,"",IF($S1134="NO ALLOC","NO ALLOC",ROUND($S1134*AB1134,15)))</f>
        <v>128.33357000000001</v>
      </c>
      <c r="AA1134" s="2">
        <f t="shared" ref="AA1134:AA1136" si="539">IF(ABS(AB1134)=0,"",IF($T1134="NO ALLOC","NO ALLOC",ROUND($T1134*AB1134,15)))</f>
        <v>0</v>
      </c>
      <c r="AB1134" s="2">
        <f t="shared" si="503"/>
        <v>128.33357000000001</v>
      </c>
      <c r="AC1134" s="734"/>
      <c r="AD1134" s="625"/>
      <c r="AE1134" s="625"/>
      <c r="AF1134" s="625"/>
      <c r="AG1134" s="625"/>
      <c r="AH1134" s="625"/>
      <c r="AI1134" s="625"/>
      <c r="AJ1134" s="625"/>
      <c r="AK1134" s="625"/>
      <c r="AL1134" s="625"/>
      <c r="AM1134" s="625"/>
      <c r="AN1134" s="625">
        <v>128.33357000000001</v>
      </c>
      <c r="AO1134" s="625">
        <v>128.33357000000001</v>
      </c>
      <c r="AP1134" s="41" t="str">
        <f t="shared" si="496"/>
        <v>Reg AssetR</v>
      </c>
      <c r="AQ1134" s="41" t="str">
        <f t="shared" si="497"/>
        <v>Reg AssetRR10Merchant Function Charge-Gas</v>
      </c>
      <c r="AR1134" s="41" t="str">
        <f t="shared" si="498"/>
        <v>R10Merchant Function Charge-Gas</v>
      </c>
      <c r="CK1134" s="625"/>
    </row>
    <row r="1135" spans="1:89" s="41" customFormat="1" ht="12.75" customHeight="1">
      <c r="A1135" s="442" t="s">
        <v>746</v>
      </c>
      <c r="B1135" s="442" t="str">
        <f t="shared" ref="B1135:B1136" si="540">CONCATENATE(A1135,C1135,D1135,E1135)</f>
        <v>Reg Asset254017601252BG030922</v>
      </c>
      <c r="C1135" s="736">
        <v>254017</v>
      </c>
      <c r="D1135" s="738">
        <v>601252</v>
      </c>
      <c r="E1135" s="626" t="s">
        <v>4577</v>
      </c>
      <c r="F1135" s="626" t="str">
        <f t="shared" si="510"/>
        <v>OTH REG LIAB - MISC - GAS</v>
      </c>
      <c r="G1135" s="626" t="s">
        <v>4578</v>
      </c>
      <c r="H1135" s="736" t="s">
        <v>2125</v>
      </c>
      <c r="I1135" s="442"/>
      <c r="J1135" s="442" t="s">
        <v>7</v>
      </c>
      <c r="K1135" s="442"/>
      <c r="L1135" s="736" t="s">
        <v>2436</v>
      </c>
      <c r="M1135" s="25" t="str">
        <f t="shared" si="530"/>
        <v>N</v>
      </c>
      <c r="N1135" s="25" t="str">
        <f>IF(L1135&lt;&gt;"",VLOOKUP(L1135,Categories!$B$2:$D$41,2,FALSE),IF(F1135&lt;&gt;"","No Cat",""))</f>
        <v>NRBASE</v>
      </c>
      <c r="O1135" s="25" t="str">
        <f>IF($L1135&lt;&gt;"",VLOOKUP($L1135,Categories!$B$2:$D$41,3,FALSE),IF($F1135&lt;&gt;"","No Cat",""))</f>
        <v>Deferrals Accruing Non-Cash Return   (other than ASGA)</v>
      </c>
      <c r="P1135" s="736" t="s">
        <v>2468</v>
      </c>
      <c r="Q1135" s="25" t="str">
        <f>VLOOKUP($P1135,Allocators!$B$7:$F$19,5,FALSE)</f>
        <v>Not in Rate Base</v>
      </c>
      <c r="R1135" s="737">
        <f>VLOOKUP($P1135,Allocators!$B$7:$F$19,2,FALSE)</f>
        <v>0</v>
      </c>
      <c r="S1135" s="737">
        <f>VLOOKUP($P1135,Allocators!$B$7:$F$19,3,FALSE)</f>
        <v>0</v>
      </c>
      <c r="T1135" s="737">
        <f t="shared" si="533"/>
        <v>1</v>
      </c>
      <c r="U1135" s="2">
        <f t="shared" si="534"/>
        <v>0</v>
      </c>
      <c r="V1135" s="2">
        <f t="shared" si="535"/>
        <v>0</v>
      </c>
      <c r="W1135" s="2">
        <f t="shared" si="536"/>
        <v>-24.370959166666701</v>
      </c>
      <c r="X1135" s="2">
        <f t="shared" ref="X1135" si="541">IF(ISERROR(ROUND((SUM(AC1135:AO1135)-((AC1135+AO1135))/2)/12,15)),"",ROUND((SUM(AC1135:AO1135)-((AC1135+AO1135))/2)/12,15))</f>
        <v>-24.370959166666701</v>
      </c>
      <c r="Y1135" s="2">
        <f t="shared" si="537"/>
        <v>0</v>
      </c>
      <c r="Z1135" s="2">
        <f t="shared" si="538"/>
        <v>0</v>
      </c>
      <c r="AA1135" s="2">
        <f t="shared" si="539"/>
        <v>-584.90301999999997</v>
      </c>
      <c r="AB1135" s="2">
        <f t="shared" si="503"/>
        <v>-584.90301999999997</v>
      </c>
      <c r="AC1135" s="734"/>
      <c r="AD1135" s="625"/>
      <c r="AE1135" s="625"/>
      <c r="AF1135" s="625"/>
      <c r="AG1135" s="625"/>
      <c r="AH1135" s="625"/>
      <c r="AI1135" s="625"/>
      <c r="AJ1135" s="625"/>
      <c r="AK1135" s="625"/>
      <c r="AL1135" s="625"/>
      <c r="AM1135" s="625"/>
      <c r="AN1135" s="625"/>
      <c r="AO1135" s="625">
        <v>-584.90301999999997</v>
      </c>
      <c r="AP1135" s="41" t="str">
        <f t="shared" si="496"/>
        <v>Reg AssetN</v>
      </c>
      <c r="AQ1135" s="41" t="str">
        <f t="shared" si="497"/>
        <v>Reg AssetNN10Mixed Use 263(a)</v>
      </c>
      <c r="AR1135" s="41" t="str">
        <f t="shared" si="498"/>
        <v>N10Mixed Use 263(a)NCR</v>
      </c>
      <c r="CK1135" s="625"/>
    </row>
    <row r="1136" spans="1:89" s="41" customFormat="1" ht="12.75" customHeight="1">
      <c r="A1136" s="442" t="s">
        <v>746</v>
      </c>
      <c r="B1136" s="442" t="str">
        <f t="shared" si="540"/>
        <v>Reg Asset254017601238-ReclassBG039999</v>
      </c>
      <c r="C1136" s="736">
        <v>254017</v>
      </c>
      <c r="D1136" s="738" t="s">
        <v>4265</v>
      </c>
      <c r="E1136" s="626" t="s">
        <v>1148</v>
      </c>
      <c r="F1136" s="626" t="str">
        <f t="shared" si="510"/>
        <v>OTH REG LIAB - MISC - GAS</v>
      </c>
      <c r="G1136" s="626" t="s">
        <v>4266</v>
      </c>
      <c r="H1136" s="736" t="s">
        <v>823</v>
      </c>
      <c r="I1136" s="442"/>
      <c r="J1136" s="442" t="s">
        <v>7</v>
      </c>
      <c r="K1136" s="442"/>
      <c r="L1136" s="736" t="s">
        <v>2436</v>
      </c>
      <c r="M1136" s="442" t="str">
        <f t="shared" si="530"/>
        <v>N</v>
      </c>
      <c r="N1136" s="442" t="str">
        <f>IF(L1136&lt;&gt;"",VLOOKUP(L1136,Categories!$B$2:$D$41,2,FALSE),IF(F1136&lt;&gt;"","No Cat",""))</f>
        <v>NRBASE</v>
      </c>
      <c r="O1136" s="442" t="str">
        <f>IF($L1136&lt;&gt;"",VLOOKUP($L1136,Categories!$B$2:$D$41,3,FALSE),IF($F1136&lt;&gt;"","No Cat",""))</f>
        <v>Deferrals Accruing Non-Cash Return   (other than ASGA)</v>
      </c>
      <c r="P1136" s="736" t="s">
        <v>2468</v>
      </c>
      <c r="Q1136" s="442" t="str">
        <f>VLOOKUP($P1136,Allocators!$B$7:$F$19,5,FALSE)</f>
        <v>Not in Rate Base</v>
      </c>
      <c r="R1136" s="737">
        <f>VLOOKUP($P1136,Allocators!$B$7:$F$19,2,FALSE)</f>
        <v>0</v>
      </c>
      <c r="S1136" s="737">
        <f>VLOOKUP($P1136,Allocators!$B$7:$F$19,3,FALSE)</f>
        <v>0</v>
      </c>
      <c r="T1136" s="737">
        <f t="shared" si="533"/>
        <v>1</v>
      </c>
      <c r="U1136" s="2">
        <f t="shared" si="534"/>
        <v>0</v>
      </c>
      <c r="V1136" s="2">
        <f t="shared" si="535"/>
        <v>0</v>
      </c>
      <c r="W1136" s="2">
        <f t="shared" si="536"/>
        <v>-55.271625416666701</v>
      </c>
      <c r="X1136" s="2">
        <f t="shared" ref="X1136" si="542">IF(ISERROR(ROUND((SUM(AC1136:AO1136)-((AC1136+AO1136))/2)/12,15)),"",ROUND((SUM(AC1136:AO1136)-((AC1136+AO1136))/2)/12,15))</f>
        <v>-55.271625416666701</v>
      </c>
      <c r="Y1136" s="2">
        <f t="shared" si="537"/>
        <v>0</v>
      </c>
      <c r="Z1136" s="2">
        <f t="shared" si="538"/>
        <v>0</v>
      </c>
      <c r="AA1136" s="2">
        <f t="shared" si="539"/>
        <v>-1326.51901</v>
      </c>
      <c r="AB1136" s="2">
        <f t="shared" ref="AB1136" si="543">IF(AO1136="",0,+AO1136)</f>
        <v>-1326.51901</v>
      </c>
      <c r="AC1136" s="734"/>
      <c r="AD1136" s="625"/>
      <c r="AE1136" s="625"/>
      <c r="AF1136" s="625"/>
      <c r="AG1136" s="625"/>
      <c r="AH1136" s="625"/>
      <c r="AI1136" s="625"/>
      <c r="AJ1136" s="625"/>
      <c r="AK1136" s="625"/>
      <c r="AL1136" s="625"/>
      <c r="AM1136" s="625"/>
      <c r="AN1136" s="625"/>
      <c r="AO1136" s="625">
        <v>-1326.51901</v>
      </c>
      <c r="AP1136" s="41" t="str">
        <f t="shared" si="496"/>
        <v>Reg AssetN</v>
      </c>
      <c r="AQ1136" s="41" t="str">
        <f t="shared" si="497"/>
        <v>Reg AssetNN10RDM</v>
      </c>
      <c r="AR1136" s="41" t="str">
        <f t="shared" si="498"/>
        <v>N10RDMNCR</v>
      </c>
      <c r="CK1136" s="625"/>
    </row>
    <row r="1137" spans="1:89" s="41" customFormat="1" ht="12.75" customHeight="1">
      <c r="A1137" s="25" t="s">
        <v>746</v>
      </c>
      <c r="B1137" s="25" t="str">
        <f t="shared" si="455"/>
        <v>Reg Asset254017601246-13BG030247</v>
      </c>
      <c r="C1137" s="736">
        <v>254017</v>
      </c>
      <c r="D1137" s="738" t="s">
        <v>2817</v>
      </c>
      <c r="E1137" s="41" t="s">
        <v>1231</v>
      </c>
      <c r="F1137" s="41" t="str">
        <f t="shared" si="510"/>
        <v>OTH REG LIAB - MISC - GAS</v>
      </c>
      <c r="G1137" s="41" t="s">
        <v>2818</v>
      </c>
      <c r="H1137" s="736" t="s">
        <v>1234</v>
      </c>
      <c r="I1137" s="25"/>
      <c r="J1137" s="25" t="str">
        <f t="shared" si="511"/>
        <v/>
      </c>
      <c r="K1137" s="442" t="str">
        <f t="shared" si="474"/>
        <v/>
      </c>
      <c r="L1137" s="736" t="s">
        <v>2441</v>
      </c>
      <c r="M1137" s="25" t="str">
        <f t="shared" si="462"/>
        <v>R</v>
      </c>
      <c r="N1137" s="25" t="str">
        <f>IF(L1137&lt;&gt;"",VLOOKUP(L1137,Categories!$B$2:$D$41,2,FALSE),IF(F1137&lt;&gt;"","No Cat",""))</f>
        <v>Rate Base</v>
      </c>
      <c r="O1137" s="25" t="str">
        <f>IF($L1137&lt;&gt;"",VLOOKUP($L1137,Categories!$B$2:$D$41,3,FALSE),IF($F1137&lt;&gt;"","No Cat",""))</f>
        <v>Deferred Debits &amp; Credits</v>
      </c>
      <c r="P1137" s="736" t="s">
        <v>2483</v>
      </c>
      <c r="Q1137" s="25" t="str">
        <f>VLOOKUP($P1137,Allocators!$B$7:$F$19,5,FALSE)</f>
        <v>Gas</v>
      </c>
      <c r="R1137" s="737">
        <f>VLOOKUP($P1137,Allocators!$B$7:$F$19,2,FALSE)</f>
        <v>0</v>
      </c>
      <c r="S1137" s="737">
        <f>VLOOKUP($P1137,Allocators!$B$7:$F$19,3,FALSE)</f>
        <v>1</v>
      </c>
      <c r="T1137" s="737" t="str">
        <f t="shared" ref="T1137" si="544">IF(P1137="N",1,"0.0%")</f>
        <v>0.0%</v>
      </c>
      <c r="U1137" s="2">
        <f t="shared" si="504"/>
        <v>0</v>
      </c>
      <c r="V1137" s="2">
        <f t="shared" si="505"/>
        <v>-2.96819708333364</v>
      </c>
      <c r="W1137" s="2">
        <f t="shared" si="506"/>
        <v>0</v>
      </c>
      <c r="X1137" s="2">
        <f t="shared" si="502"/>
        <v>-2.96819708333364</v>
      </c>
      <c r="Y1137" s="2">
        <f t="shared" si="507"/>
        <v>0</v>
      </c>
      <c r="Z1137" s="2">
        <f t="shared" si="508"/>
        <v>-3.4899999999999998E-13</v>
      </c>
      <c r="AA1137" s="2">
        <f t="shared" si="509"/>
        <v>0</v>
      </c>
      <c r="AB1137" s="2">
        <f t="shared" si="503"/>
        <v>-3.4924596548080445E-13</v>
      </c>
      <c r="AC1137" s="734">
        <v>-652.11555000000021</v>
      </c>
      <c r="AD1137" s="625">
        <v>-465.89821000000029</v>
      </c>
      <c r="AE1137" s="625">
        <v>-245.9657700000003</v>
      </c>
      <c r="AF1137" s="625">
        <v>-34.852630000000332</v>
      </c>
      <c r="AG1137" s="625">
        <v>63.662709999999677</v>
      </c>
      <c r="AH1137" s="625">
        <v>106.45893999999969</v>
      </c>
      <c r="AI1137" s="625">
        <v>131.88988999999967</v>
      </c>
      <c r="AJ1137" s="625">
        <v>131.88988999999967</v>
      </c>
      <c r="AK1137" s="625">
        <v>147.45295999999965</v>
      </c>
      <c r="AL1137" s="625">
        <v>199.61786999999967</v>
      </c>
      <c r="AM1137" s="625">
        <v>256.18375999999967</v>
      </c>
      <c r="AN1137" s="625">
        <v>-3.4924596548080445E-13</v>
      </c>
      <c r="AO1137" s="625">
        <v>-3.4924596548080445E-13</v>
      </c>
      <c r="AP1137" s="41" t="str">
        <f t="shared" si="496"/>
        <v>Reg AssetR</v>
      </c>
      <c r="AQ1137" s="41" t="str">
        <f t="shared" si="497"/>
        <v>Reg AssetRR10Merchant Function Charge-Gas</v>
      </c>
      <c r="AR1137" s="41" t="str">
        <f t="shared" si="498"/>
        <v>R10Merchant Function Charge-Gas</v>
      </c>
      <c r="CK1137" s="625"/>
    </row>
    <row r="1138" spans="1:89" s="41" customFormat="1" ht="12.75" customHeight="1">
      <c r="A1138" s="25" t="s">
        <v>746</v>
      </c>
      <c r="B1138" s="25" t="str">
        <f t="shared" ref="B1138:B1141" si="545">CONCATENATE(A1138,C1138,D1138,E1138)</f>
        <v>Reg Asset254018601212BE030251</v>
      </c>
      <c r="C1138" s="736">
        <v>254018</v>
      </c>
      <c r="D1138" s="738">
        <v>601212</v>
      </c>
      <c r="E1138" s="41" t="s">
        <v>945</v>
      </c>
      <c r="F1138" s="41" t="s">
        <v>4418</v>
      </c>
      <c r="G1138" s="41" t="s">
        <v>4419</v>
      </c>
      <c r="H1138" s="736" t="s">
        <v>1113</v>
      </c>
      <c r="I1138" s="25"/>
      <c r="J1138" s="442" t="s">
        <v>7</v>
      </c>
      <c r="K1138" s="442" t="str">
        <f t="shared" ref="K1138:K1141" si="546">IF(L1138="N3","Y","")</f>
        <v/>
      </c>
      <c r="L1138" s="736" t="s">
        <v>2436</v>
      </c>
      <c r="M1138" s="25" t="str">
        <f t="shared" ref="M1138:M1147" si="547">LEFT(L1138,1)</f>
        <v>N</v>
      </c>
      <c r="N1138" s="25" t="str">
        <f>IF(L1138&lt;&gt;"",VLOOKUP(L1138,Categories!$B$2:$D$41,2,FALSE),IF(F1138&lt;&gt;"","No Cat",""))</f>
        <v>NRBASE</v>
      </c>
      <c r="O1138" s="25" t="str">
        <f>IF($L1138&lt;&gt;"",VLOOKUP($L1138,Categories!$B$2:$D$41,3,FALSE),IF($F1138&lt;&gt;"","No Cat",""))</f>
        <v>Deferrals Accruing Non-Cash Return   (other than ASGA)</v>
      </c>
      <c r="P1138" s="736" t="s">
        <v>2468</v>
      </c>
      <c r="Q1138" s="25" t="str">
        <f>VLOOKUP($P1138,Allocators!$B$7:$F$19,5,FALSE)</f>
        <v>Not in Rate Base</v>
      </c>
      <c r="R1138" s="737">
        <f>VLOOKUP($P1138,Allocators!$B$7:$F$19,2,FALSE)</f>
        <v>0</v>
      </c>
      <c r="S1138" s="737">
        <f>VLOOKUP($P1138,Allocators!$B$7:$F$19,3,FALSE)</f>
        <v>0</v>
      </c>
      <c r="T1138" s="737">
        <f t="shared" ref="T1138:T1143" si="548">IF(P1138="N",1,"0.0%")</f>
        <v>1</v>
      </c>
      <c r="U1138" s="2">
        <f t="shared" si="504"/>
        <v>0</v>
      </c>
      <c r="V1138" s="2">
        <f t="shared" si="505"/>
        <v>0</v>
      </c>
      <c r="W1138" s="2">
        <f t="shared" si="506"/>
        <v>-37936.281239166703</v>
      </c>
      <c r="X1138" s="2">
        <f t="shared" si="502"/>
        <v>-37936.281239166703</v>
      </c>
      <c r="Y1138" s="2">
        <f t="shared" si="507"/>
        <v>0</v>
      </c>
      <c r="Z1138" s="2">
        <f t="shared" si="508"/>
        <v>0</v>
      </c>
      <c r="AA1138" s="2">
        <f t="shared" si="509"/>
        <v>-59964.591760000003</v>
      </c>
      <c r="AB1138" s="2">
        <f t="shared" si="503"/>
        <v>-59964.59176000001</v>
      </c>
      <c r="AC1138" s="734"/>
      <c r="AD1138" s="625"/>
      <c r="AE1138" s="625"/>
      <c r="AF1138" s="625">
        <v>-1299.53044</v>
      </c>
      <c r="AG1138" s="625">
        <v>-47404.226060000001</v>
      </c>
      <c r="AH1138" s="625">
        <v>-49187.618760000005</v>
      </c>
      <c r="AI1138" s="625">
        <v>-50754.193770000005</v>
      </c>
      <c r="AJ1138" s="625">
        <v>-52348.773330000004</v>
      </c>
      <c r="AK1138" s="625">
        <v>-53943.406270000007</v>
      </c>
      <c r="AL1138" s="625">
        <v>-55306.941500000008</v>
      </c>
      <c r="AM1138" s="625">
        <v>-56835.690490000008</v>
      </c>
      <c r="AN1138" s="625">
        <v>-58172.698370000013</v>
      </c>
      <c r="AO1138" s="625">
        <v>-59964.59176000001</v>
      </c>
      <c r="AP1138" s="41" t="str">
        <f t="shared" si="496"/>
        <v>Reg AssetN</v>
      </c>
      <c r="AQ1138" s="41" t="str">
        <f t="shared" si="497"/>
        <v>Reg AssetNN10Property Tax Deferral</v>
      </c>
      <c r="AR1138" s="41" t="str">
        <f t="shared" si="498"/>
        <v>N10Property Tax DeferralNCR</v>
      </c>
      <c r="CK1138" s="625"/>
    </row>
    <row r="1139" spans="1:89" s="41" customFormat="1" ht="12.75" customHeight="1">
      <c r="A1139" s="25" t="s">
        <v>746</v>
      </c>
      <c r="B1139" s="25" t="str">
        <f t="shared" ref="B1139:B1140" si="549">CONCATENATE(A1139,C1139,D1139,E1139)</f>
        <v>Reg Asset254018601016E-LBE030251</v>
      </c>
      <c r="C1139" s="736">
        <v>254018</v>
      </c>
      <c r="D1139" s="738" t="s">
        <v>841</v>
      </c>
      <c r="E1139" s="41" t="s">
        <v>945</v>
      </c>
      <c r="F1139" s="41" t="s">
        <v>4418</v>
      </c>
      <c r="G1139" s="41" t="s">
        <v>4429</v>
      </c>
      <c r="H1139" s="736" t="s">
        <v>1113</v>
      </c>
      <c r="I1139" s="25"/>
      <c r="J1139" s="442"/>
      <c r="K1139" s="442" t="s">
        <v>7</v>
      </c>
      <c r="L1139" s="736" t="s">
        <v>2436</v>
      </c>
      <c r="M1139" s="25" t="s">
        <v>2468</v>
      </c>
      <c r="N1139" s="25" t="str">
        <f>IF(L1139&lt;&gt;"",VLOOKUP(L1139,Categories!$B$2:$D$41,2,FALSE),IF(F1139&lt;&gt;"","No Cat",""))</f>
        <v>NRBASE</v>
      </c>
      <c r="O1139" s="25" t="str">
        <f>IF($L1139&lt;&gt;"",VLOOKUP($L1139,Categories!$B$2:$D$41,3,FALSE),IF($F1139&lt;&gt;"","No Cat",""))</f>
        <v>Deferrals Accruing Non-Cash Return   (other than ASGA)</v>
      </c>
      <c r="P1139" s="736" t="s">
        <v>2468</v>
      </c>
      <c r="Q1139" s="25" t="str">
        <f>VLOOKUP($P1139,Allocators!$B$7:$F$19,5,FALSE)</f>
        <v>Not in Rate Base</v>
      </c>
      <c r="R1139" s="737">
        <f>VLOOKUP($P1139,Allocators!$B$7:$F$19,2,FALSE)</f>
        <v>0</v>
      </c>
      <c r="S1139" s="737">
        <f>VLOOKUP($P1139,Allocators!$B$7:$F$19,3,FALSE)</f>
        <v>0</v>
      </c>
      <c r="T1139" s="737">
        <f t="shared" ref="T1139:T1140" si="550">IF(P1139="N",1,"0.0%")</f>
        <v>1</v>
      </c>
      <c r="U1139" s="2">
        <f t="shared" si="504"/>
        <v>0</v>
      </c>
      <c r="V1139" s="2">
        <f t="shared" si="505"/>
        <v>0</v>
      </c>
      <c r="W1139" s="2">
        <f t="shared" si="506"/>
        <v>12572.8565079167</v>
      </c>
      <c r="X1139" s="2">
        <f t="shared" si="502"/>
        <v>12572.8565079167</v>
      </c>
      <c r="Y1139" s="2">
        <f t="shared" si="507"/>
        <v>0</v>
      </c>
      <c r="Z1139" s="2">
        <f t="shared" si="508"/>
        <v>0</v>
      </c>
      <c r="AA1139" s="2">
        <f t="shared" si="509"/>
        <v>18178.11937</v>
      </c>
      <c r="AB1139" s="2">
        <f t="shared" si="503"/>
        <v>18178.119369999997</v>
      </c>
      <c r="AC1139" s="734"/>
      <c r="AD1139" s="625"/>
      <c r="AE1139" s="625"/>
      <c r="AF1139" s="625"/>
      <c r="AG1139" s="625">
        <v>17374.586640000001</v>
      </c>
      <c r="AH1139" s="625">
        <v>17473.052820000001</v>
      </c>
      <c r="AI1139" s="625">
        <v>17572.07703</v>
      </c>
      <c r="AJ1139" s="625">
        <v>17671.66244</v>
      </c>
      <c r="AK1139" s="625">
        <v>17771.81223</v>
      </c>
      <c r="AL1139" s="625">
        <v>17872.529589999998</v>
      </c>
      <c r="AM1139" s="625">
        <v>17973.817739999999</v>
      </c>
      <c r="AN1139" s="625">
        <v>18075.679919999999</v>
      </c>
      <c r="AO1139" s="625">
        <v>18178.119369999997</v>
      </c>
      <c r="AP1139" s="41" t="str">
        <f t="shared" si="496"/>
        <v>Reg AssetN</v>
      </c>
      <c r="AQ1139" s="41" t="str">
        <f t="shared" si="497"/>
        <v>Reg AssetNN10Property Tax Deferral</v>
      </c>
      <c r="AR1139" s="41" t="str">
        <f t="shared" si="498"/>
        <v>N10Property Tax Deferral</v>
      </c>
      <c r="CK1139" s="625"/>
    </row>
    <row r="1140" spans="1:89" s="41" customFormat="1" ht="12.75" customHeight="1">
      <c r="A1140" s="25" t="s">
        <v>746</v>
      </c>
      <c r="B1140" s="25" t="str">
        <f t="shared" si="549"/>
        <v>Reg Asset254018601016G-LBG030252</v>
      </c>
      <c r="C1140" s="736">
        <v>254018</v>
      </c>
      <c r="D1140" s="738" t="s">
        <v>898</v>
      </c>
      <c r="E1140" s="41" t="s">
        <v>962</v>
      </c>
      <c r="F1140" s="41" t="s">
        <v>4418</v>
      </c>
      <c r="G1140" s="41" t="s">
        <v>4430</v>
      </c>
      <c r="H1140" s="736" t="s">
        <v>1113</v>
      </c>
      <c r="I1140" s="25"/>
      <c r="J1140" s="442"/>
      <c r="K1140" s="442" t="s">
        <v>7</v>
      </c>
      <c r="L1140" s="736" t="s">
        <v>2436</v>
      </c>
      <c r="M1140" s="25" t="s">
        <v>2468</v>
      </c>
      <c r="N1140" s="25" t="str">
        <f>IF(L1140&lt;&gt;"",VLOOKUP(L1140,Categories!$B$2:$D$41,2,FALSE),IF(F1140&lt;&gt;"","No Cat",""))</f>
        <v>NRBASE</v>
      </c>
      <c r="O1140" s="25" t="str">
        <f>IF($L1140&lt;&gt;"",VLOOKUP($L1140,Categories!$B$2:$D$41,3,FALSE),IF($F1140&lt;&gt;"","No Cat",""))</f>
        <v>Deferrals Accruing Non-Cash Return   (other than ASGA)</v>
      </c>
      <c r="P1140" s="736" t="s">
        <v>2468</v>
      </c>
      <c r="Q1140" s="25" t="str">
        <f>VLOOKUP($P1140,Allocators!$B$7:$F$19,5,FALSE)</f>
        <v>Not in Rate Base</v>
      </c>
      <c r="R1140" s="737">
        <f>VLOOKUP($P1140,Allocators!$B$7:$F$19,2,FALSE)</f>
        <v>0</v>
      </c>
      <c r="S1140" s="737">
        <f>VLOOKUP($P1140,Allocators!$B$7:$F$19,3,FALSE)</f>
        <v>0</v>
      </c>
      <c r="T1140" s="737">
        <f t="shared" si="550"/>
        <v>1</v>
      </c>
      <c r="U1140" s="2">
        <f t="shared" si="504"/>
        <v>0</v>
      </c>
      <c r="V1140" s="2">
        <f t="shared" si="505"/>
        <v>0</v>
      </c>
      <c r="W1140" s="2">
        <f t="shared" si="506"/>
        <v>10023.911344583301</v>
      </c>
      <c r="X1140" s="2">
        <f t="shared" si="502"/>
        <v>10023.911344583301</v>
      </c>
      <c r="Y1140" s="2">
        <f t="shared" si="507"/>
        <v>0</v>
      </c>
      <c r="Z1140" s="2">
        <f t="shared" si="508"/>
        <v>0</v>
      </c>
      <c r="AA1140" s="2">
        <f t="shared" si="509"/>
        <v>14492.796990000001</v>
      </c>
      <c r="AB1140" s="2">
        <f t="shared" si="503"/>
        <v>14492.796990000001</v>
      </c>
      <c r="AC1140" s="734"/>
      <c r="AD1140" s="625"/>
      <c r="AE1140" s="625"/>
      <c r="AF1140" s="625"/>
      <c r="AG1140" s="625">
        <v>13852.167650000001</v>
      </c>
      <c r="AH1140" s="625">
        <v>13930.671390000001</v>
      </c>
      <c r="AI1140" s="625">
        <v>14009.620030000002</v>
      </c>
      <c r="AJ1140" s="625">
        <v>14089.016090000001</v>
      </c>
      <c r="AK1140" s="625">
        <v>14168.862110000002</v>
      </c>
      <c r="AL1140" s="625">
        <v>14249.16064</v>
      </c>
      <c r="AM1140" s="625">
        <v>14329.91424</v>
      </c>
      <c r="AN1140" s="625">
        <v>14411.12549</v>
      </c>
      <c r="AO1140" s="625">
        <v>14492.796990000001</v>
      </c>
      <c r="AP1140" s="41" t="str">
        <f t="shared" si="496"/>
        <v>Reg AssetN</v>
      </c>
      <c r="AQ1140" s="41" t="str">
        <f t="shared" si="497"/>
        <v>Reg AssetNN10Property Tax Deferral</v>
      </c>
      <c r="AR1140" s="41" t="str">
        <f t="shared" si="498"/>
        <v>N10Property Tax Deferral</v>
      </c>
      <c r="CK1140" s="625"/>
    </row>
    <row r="1141" spans="1:89" s="41" customFormat="1" ht="12.75" customHeight="1">
      <c r="A1141" s="25" t="s">
        <v>746</v>
      </c>
      <c r="B1141" s="25" t="str">
        <f t="shared" si="545"/>
        <v>Reg Asset254018601213BG030252</v>
      </c>
      <c r="C1141" s="736">
        <v>254018</v>
      </c>
      <c r="D1141" s="738">
        <v>601213</v>
      </c>
      <c r="E1141" s="41" t="s">
        <v>962</v>
      </c>
      <c r="F1141" s="41" t="s">
        <v>4418</v>
      </c>
      <c r="G1141" s="41" t="s">
        <v>1283</v>
      </c>
      <c r="H1141" s="736" t="s">
        <v>1113</v>
      </c>
      <c r="I1141" s="25"/>
      <c r="J1141" s="442" t="s">
        <v>7</v>
      </c>
      <c r="K1141" s="442" t="str">
        <f t="shared" si="546"/>
        <v/>
      </c>
      <c r="L1141" s="736" t="s">
        <v>2436</v>
      </c>
      <c r="M1141" s="25" t="str">
        <f t="shared" si="547"/>
        <v>N</v>
      </c>
      <c r="N1141" s="25" t="str">
        <f>IF(L1141&lt;&gt;"",VLOOKUP(L1141,Categories!$B$2:$D$41,2,FALSE),IF(F1141&lt;&gt;"","No Cat",""))</f>
        <v>NRBASE</v>
      </c>
      <c r="O1141" s="25" t="str">
        <f>IF($L1141&lt;&gt;"",VLOOKUP($L1141,Categories!$B$2:$D$41,3,FALSE),IF($F1141&lt;&gt;"","No Cat",""))</f>
        <v>Deferrals Accruing Non-Cash Return   (other than ASGA)</v>
      </c>
      <c r="P1141" s="736" t="s">
        <v>2468</v>
      </c>
      <c r="Q1141" s="25" t="str">
        <f>VLOOKUP($P1141,Allocators!$B$7:$F$19,5,FALSE)</f>
        <v>Not in Rate Base</v>
      </c>
      <c r="R1141" s="737">
        <f>VLOOKUP($P1141,Allocators!$B$7:$F$19,2,FALSE)</f>
        <v>0</v>
      </c>
      <c r="S1141" s="737">
        <f>VLOOKUP($P1141,Allocators!$B$7:$F$19,3,FALSE)</f>
        <v>0</v>
      </c>
      <c r="T1141" s="737">
        <f t="shared" si="548"/>
        <v>1</v>
      </c>
      <c r="U1141" s="2">
        <f t="shared" si="504"/>
        <v>0</v>
      </c>
      <c r="V1141" s="2">
        <f t="shared" si="505"/>
        <v>0</v>
      </c>
      <c r="W1141" s="2">
        <f t="shared" si="506"/>
        <v>-14995.088728750001</v>
      </c>
      <c r="X1141" s="2">
        <f t="shared" si="502"/>
        <v>-14995.088728750001</v>
      </c>
      <c r="Y1141" s="2">
        <f t="shared" si="507"/>
        <v>0</v>
      </c>
      <c r="Z1141" s="2">
        <f t="shared" si="508"/>
        <v>0</v>
      </c>
      <c r="AA1141" s="2">
        <f t="shared" si="509"/>
        <v>-24187.607329999999</v>
      </c>
      <c r="AB1141" s="2">
        <f t="shared" si="503"/>
        <v>-24187.607329999999</v>
      </c>
      <c r="AC1141" s="734"/>
      <c r="AD1141" s="625"/>
      <c r="AE1141" s="625"/>
      <c r="AF1141" s="625">
        <v>-621.16102999999998</v>
      </c>
      <c r="AG1141" s="625">
        <v>-18209.325399999998</v>
      </c>
      <c r="AH1141" s="625">
        <v>-19083.151009999998</v>
      </c>
      <c r="AI1141" s="625">
        <v>-19869.57632</v>
      </c>
      <c r="AJ1141" s="625">
        <v>-20613.20954</v>
      </c>
      <c r="AK1141" s="625">
        <v>-21358.670770000001</v>
      </c>
      <c r="AL1141" s="625">
        <v>-22016.270039999999</v>
      </c>
      <c r="AM1141" s="625">
        <v>-22733.278610000001</v>
      </c>
      <c r="AN1141" s="625">
        <v>-23342.61836</v>
      </c>
      <c r="AO1141" s="625">
        <v>-24187.607329999999</v>
      </c>
      <c r="AP1141" s="41" t="str">
        <f t="shared" si="496"/>
        <v>Reg AssetN</v>
      </c>
      <c r="AQ1141" s="41" t="str">
        <f t="shared" si="497"/>
        <v>Reg AssetNN10Property Tax Deferral</v>
      </c>
      <c r="AR1141" s="41" t="str">
        <f t="shared" si="498"/>
        <v>N10Property Tax DeferralNCR</v>
      </c>
      <c r="CK1141" s="625"/>
    </row>
    <row r="1142" spans="1:89" s="41" customFormat="1" ht="12.75" customHeight="1">
      <c r="A1142" s="25" t="s">
        <v>746</v>
      </c>
      <c r="B1142" s="25" t="str">
        <f t="shared" ref="B1142" si="551">CONCATENATE(A1142,C1142,D1142,E1142)</f>
        <v>Reg Asset254021601030E-LBE030263</v>
      </c>
      <c r="C1142" s="736">
        <v>254021</v>
      </c>
      <c r="D1142" s="738" t="s">
        <v>890</v>
      </c>
      <c r="E1142" s="41" t="s">
        <v>960</v>
      </c>
      <c r="F1142" s="1" t="s">
        <v>4428</v>
      </c>
      <c r="G1142" s="41" t="s">
        <v>4431</v>
      </c>
      <c r="H1142" s="736" t="s">
        <v>822</v>
      </c>
      <c r="I1142" s="25"/>
      <c r="J1142" s="442" t="s">
        <v>7</v>
      </c>
      <c r="K1142" s="442"/>
      <c r="L1142" s="736" t="s">
        <v>2436</v>
      </c>
      <c r="M1142" s="25" t="str">
        <f t="shared" si="547"/>
        <v>N</v>
      </c>
      <c r="N1142" s="25" t="str">
        <f>IF(L1142&lt;&gt;"",VLOOKUP(L1142,Categories!$B$2:$D$41,2,FALSE),IF(F1142&lt;&gt;"","No Cat",""))</f>
        <v>NRBASE</v>
      </c>
      <c r="O1142" s="25" t="str">
        <f>IF($L1142&lt;&gt;"",VLOOKUP($L1142,Categories!$B$2:$D$41,3,FALSE),IF($F1142&lt;&gt;"","No Cat",""))</f>
        <v>Deferrals Accruing Non-Cash Return   (other than ASGA)</v>
      </c>
      <c r="P1142" s="736" t="s">
        <v>2468</v>
      </c>
      <c r="Q1142" s="25" t="str">
        <f>VLOOKUP($P1142,Allocators!$B$7:$F$19,5,FALSE)</f>
        <v>Not in Rate Base</v>
      </c>
      <c r="R1142" s="737">
        <f>VLOOKUP($P1142,Allocators!$B$7:$F$19,2,FALSE)</f>
        <v>0</v>
      </c>
      <c r="S1142" s="737">
        <f>VLOOKUP($P1142,Allocators!$B$7:$F$19,3,FALSE)</f>
        <v>0</v>
      </c>
      <c r="T1142" s="737">
        <f t="shared" si="548"/>
        <v>1</v>
      </c>
      <c r="U1142" s="2">
        <f t="shared" si="504"/>
        <v>0</v>
      </c>
      <c r="V1142" s="2">
        <f t="shared" si="505"/>
        <v>0</v>
      </c>
      <c r="W1142" s="2">
        <f t="shared" si="506"/>
        <v>88.323852500000001</v>
      </c>
      <c r="X1142" s="2">
        <f t="shared" si="502"/>
        <v>88.323852500000001</v>
      </c>
      <c r="Y1142" s="2">
        <f t="shared" si="507"/>
        <v>0</v>
      </c>
      <c r="Z1142" s="2">
        <f t="shared" si="508"/>
        <v>0</v>
      </c>
      <c r="AA1142" s="2">
        <f t="shared" si="509"/>
        <v>127.70062</v>
      </c>
      <c r="AB1142" s="2">
        <f t="shared" si="503"/>
        <v>127.70062000000001</v>
      </c>
      <c r="AC1142" s="734"/>
      <c r="AD1142" s="625"/>
      <c r="AE1142" s="625"/>
      <c r="AF1142" s="625"/>
      <c r="AG1142" s="625">
        <v>122.05583</v>
      </c>
      <c r="AH1142" s="625">
        <v>122.74755</v>
      </c>
      <c r="AI1142" s="625">
        <v>123.44319</v>
      </c>
      <c r="AJ1142" s="625">
        <v>124.14277</v>
      </c>
      <c r="AK1142" s="625">
        <v>124.84632000000001</v>
      </c>
      <c r="AL1142" s="625">
        <v>125.55386</v>
      </c>
      <c r="AM1142" s="625">
        <v>126.26541</v>
      </c>
      <c r="AN1142" s="625">
        <v>126.98099000000001</v>
      </c>
      <c r="AO1142" s="625">
        <v>127.70062000000001</v>
      </c>
      <c r="AP1142" s="41" t="str">
        <f t="shared" si="496"/>
        <v>Reg AssetN</v>
      </c>
      <c r="AQ1142" s="41" t="str">
        <f t="shared" si="497"/>
        <v>Reg AssetNN10Variable Rate Debt</v>
      </c>
      <c r="AR1142" s="41" t="str">
        <f t="shared" si="498"/>
        <v>N10Variable Rate DebtNCR</v>
      </c>
      <c r="CK1142" s="625"/>
    </row>
    <row r="1143" spans="1:89" s="41" customFormat="1" ht="12.75" customHeight="1">
      <c r="A1143" s="25" t="s">
        <v>746</v>
      </c>
      <c r="B1143" s="25" t="str">
        <f t="shared" ref="B1143:B1147" si="552">CONCATENATE(A1143,C1143,D1143,E1143)</f>
        <v>Reg Asset254021601030G-LBG030264</v>
      </c>
      <c r="C1143" s="736">
        <v>254021</v>
      </c>
      <c r="D1143" s="738" t="s">
        <v>922</v>
      </c>
      <c r="E1143" s="41" t="s">
        <v>970</v>
      </c>
      <c r="F1143" s="1" t="s">
        <v>4428</v>
      </c>
      <c r="G1143" s="41" t="s">
        <v>4432</v>
      </c>
      <c r="H1143" s="736" t="s">
        <v>822</v>
      </c>
      <c r="I1143" s="25"/>
      <c r="J1143" s="442" t="s">
        <v>7</v>
      </c>
      <c r="K1143" s="442"/>
      <c r="L1143" s="736" t="s">
        <v>2436</v>
      </c>
      <c r="M1143" s="25" t="str">
        <f t="shared" si="547"/>
        <v>N</v>
      </c>
      <c r="N1143" s="25" t="str">
        <f>IF(L1143&lt;&gt;"",VLOOKUP(L1143,Categories!$B$2:$D$41,2,FALSE),IF(F1143&lt;&gt;"","No Cat",""))</f>
        <v>NRBASE</v>
      </c>
      <c r="O1143" s="25" t="str">
        <f>IF($L1143&lt;&gt;"",VLOOKUP($L1143,Categories!$B$2:$D$41,3,FALSE),IF($F1143&lt;&gt;"","No Cat",""))</f>
        <v>Deferrals Accruing Non-Cash Return   (other than ASGA)</v>
      </c>
      <c r="P1143" s="736" t="s">
        <v>2468</v>
      </c>
      <c r="Q1143" s="25" t="str">
        <f>VLOOKUP($P1143,Allocators!$B$7:$F$19,5,FALSE)</f>
        <v>Not in Rate Base</v>
      </c>
      <c r="R1143" s="737">
        <f>VLOOKUP($P1143,Allocators!$B$7:$F$19,2,FALSE)</f>
        <v>0</v>
      </c>
      <c r="S1143" s="737">
        <f>VLOOKUP($P1143,Allocators!$B$7:$F$19,3,FALSE)</f>
        <v>0</v>
      </c>
      <c r="T1143" s="737">
        <f t="shared" si="548"/>
        <v>1</v>
      </c>
      <c r="U1143" s="2">
        <f t="shared" si="504"/>
        <v>0</v>
      </c>
      <c r="V1143" s="2">
        <f t="shared" si="505"/>
        <v>0</v>
      </c>
      <c r="W1143" s="2">
        <f t="shared" si="506"/>
        <v>127.575855416667</v>
      </c>
      <c r="X1143" s="2">
        <f t="shared" si="502"/>
        <v>127.575855416667</v>
      </c>
      <c r="Y1143" s="2">
        <f t="shared" si="507"/>
        <v>0</v>
      </c>
      <c r="Z1143" s="2">
        <f t="shared" si="508"/>
        <v>0</v>
      </c>
      <c r="AA1143" s="2">
        <f t="shared" si="509"/>
        <v>184.45205000000001</v>
      </c>
      <c r="AB1143" s="2">
        <f t="shared" si="503"/>
        <v>184.45205000000001</v>
      </c>
      <c r="AC1143" s="734"/>
      <c r="AD1143" s="625"/>
      <c r="AE1143" s="625"/>
      <c r="AF1143" s="625"/>
      <c r="AG1143" s="625">
        <v>176.29866000000001</v>
      </c>
      <c r="AH1143" s="625">
        <v>177.29779000000002</v>
      </c>
      <c r="AI1143" s="625">
        <v>178.30258000000001</v>
      </c>
      <c r="AJ1143" s="625">
        <v>179.31307000000001</v>
      </c>
      <c r="AK1143" s="625">
        <v>180.32928000000001</v>
      </c>
      <c r="AL1143" s="625">
        <v>181.35124999999999</v>
      </c>
      <c r="AM1143" s="625">
        <v>182.37901000000002</v>
      </c>
      <c r="AN1143" s="625">
        <v>183.4126</v>
      </c>
      <c r="AO1143" s="625">
        <v>184.45205000000001</v>
      </c>
      <c r="AP1143" s="41" t="str">
        <f t="shared" si="496"/>
        <v>Reg AssetN</v>
      </c>
      <c r="AQ1143" s="41" t="str">
        <f t="shared" si="497"/>
        <v>Reg AssetNN10Variable Rate Debt</v>
      </c>
      <c r="AR1143" s="41" t="str">
        <f t="shared" si="498"/>
        <v>N10Variable Rate DebtNCR</v>
      </c>
      <c r="CK1143" s="625"/>
    </row>
    <row r="1144" spans="1:89" s="41" customFormat="1" ht="12.75" customHeight="1">
      <c r="A1144" s="25" t="s">
        <v>746</v>
      </c>
      <c r="B1144" s="25" t="str">
        <f t="shared" si="552"/>
        <v>Reg Asset254021601219BE030598</v>
      </c>
      <c r="C1144" s="736">
        <v>254021</v>
      </c>
      <c r="D1144" s="738">
        <v>601219</v>
      </c>
      <c r="E1144" s="41" t="s">
        <v>768</v>
      </c>
      <c r="F1144" s="1" t="s">
        <v>4428</v>
      </c>
      <c r="G1144" s="41" t="s">
        <v>4433</v>
      </c>
      <c r="H1144" s="736" t="s">
        <v>822</v>
      </c>
      <c r="I1144" s="25"/>
      <c r="J1144" s="442" t="s">
        <v>7</v>
      </c>
      <c r="K1144" s="442"/>
      <c r="L1144" s="736" t="s">
        <v>2436</v>
      </c>
      <c r="M1144" s="25" t="str">
        <f t="shared" si="547"/>
        <v>N</v>
      </c>
      <c r="N1144" s="25" t="str">
        <f>IF(L1144&lt;&gt;"",VLOOKUP(L1144,Categories!$B$2:$D$41,2,FALSE),IF(F1144&lt;&gt;"","No Cat",""))</f>
        <v>NRBASE</v>
      </c>
      <c r="O1144" s="25" t="str">
        <f>IF($L1144&lt;&gt;"",VLOOKUP($L1144,Categories!$B$2:$D$41,3,FALSE),IF($F1144&lt;&gt;"","No Cat",""))</f>
        <v>Deferrals Accruing Non-Cash Return   (other than ASGA)</v>
      </c>
      <c r="P1144" s="736" t="s">
        <v>2468</v>
      </c>
      <c r="Q1144" s="25" t="str">
        <f>VLOOKUP($P1144,Allocators!$B$7:$F$19,5,FALSE)</f>
        <v>Not in Rate Base</v>
      </c>
      <c r="R1144" s="737">
        <f>VLOOKUP($P1144,Allocators!$B$7:$F$19,2,FALSE)</f>
        <v>0</v>
      </c>
      <c r="S1144" s="737">
        <f>VLOOKUP($P1144,Allocators!$B$7:$F$19,3,FALSE)</f>
        <v>0</v>
      </c>
      <c r="T1144" s="737">
        <f t="shared" ref="T1144:T1147" si="553">IF(P1144="N",1,"0.0%")</f>
        <v>1</v>
      </c>
      <c r="U1144" s="2">
        <f t="shared" si="504"/>
        <v>0</v>
      </c>
      <c r="V1144" s="2">
        <f t="shared" si="505"/>
        <v>0</v>
      </c>
      <c r="W1144" s="2">
        <f t="shared" si="506"/>
        <v>-224.1350075</v>
      </c>
      <c r="X1144" s="2">
        <f t="shared" si="502"/>
        <v>-224.1350075</v>
      </c>
      <c r="Y1144" s="2">
        <f t="shared" si="507"/>
        <v>0</v>
      </c>
      <c r="Z1144" s="2">
        <f t="shared" si="508"/>
        <v>0</v>
      </c>
      <c r="AA1144" s="2">
        <f t="shared" si="509"/>
        <v>-389.60660000000001</v>
      </c>
      <c r="AB1144" s="2">
        <f t="shared" si="503"/>
        <v>-389.60660000000001</v>
      </c>
      <c r="AC1144" s="734"/>
      <c r="AD1144" s="625"/>
      <c r="AE1144" s="625"/>
      <c r="AF1144" s="625"/>
      <c r="AG1144" s="625">
        <v>-255.17943</v>
      </c>
      <c r="AH1144" s="625">
        <v>-270.79983000000004</v>
      </c>
      <c r="AI1144" s="625">
        <v>-286.38590999999997</v>
      </c>
      <c r="AJ1144" s="625">
        <v>-302.42199999999997</v>
      </c>
      <c r="AK1144" s="625">
        <v>-319.21753999999999</v>
      </c>
      <c r="AL1144" s="625">
        <v>-336.24790999999999</v>
      </c>
      <c r="AM1144" s="625">
        <v>-353.21456999999998</v>
      </c>
      <c r="AN1144" s="625">
        <v>-371.34960000000001</v>
      </c>
      <c r="AO1144" s="625">
        <v>-389.60660000000001</v>
      </c>
      <c r="AP1144" s="41" t="str">
        <f t="shared" si="496"/>
        <v>Reg AssetN</v>
      </c>
      <c r="AQ1144" s="41" t="str">
        <f t="shared" si="497"/>
        <v>Reg AssetNN10Variable Rate Debt</v>
      </c>
      <c r="AR1144" s="41" t="str">
        <f t="shared" si="498"/>
        <v>N10Variable Rate DebtNCR</v>
      </c>
      <c r="CK1144" s="625"/>
    </row>
    <row r="1145" spans="1:89" s="41" customFormat="1" ht="12.75" customHeight="1">
      <c r="A1145" s="25" t="s">
        <v>746</v>
      </c>
      <c r="B1145" s="25" t="str">
        <f t="shared" ref="B1145:B1146" si="554">CONCATENATE(A1145,C1145,D1145,E1145)</f>
        <v>Reg Asset254021SNF-INT-LBE030395</v>
      </c>
      <c r="C1145" s="736">
        <v>254021</v>
      </c>
      <c r="D1145" s="738" t="s">
        <v>873</v>
      </c>
      <c r="E1145" s="41" t="s">
        <v>952</v>
      </c>
      <c r="F1145" s="1" t="s">
        <v>4428</v>
      </c>
      <c r="G1145" s="41" t="s">
        <v>4448</v>
      </c>
      <c r="H1145" s="736" t="s">
        <v>1120</v>
      </c>
      <c r="I1145" s="442"/>
      <c r="J1145" s="442" t="str">
        <f t="shared" ref="J1145" si="555">IF(L1145="N10","Y",IF(L1145="N8","Y",""))</f>
        <v/>
      </c>
      <c r="K1145" s="442" t="str">
        <f t="shared" ref="K1145:K1146" si="556">IF(L1145="N3","Y","")</f>
        <v/>
      </c>
      <c r="L1145" s="736" t="s">
        <v>2441</v>
      </c>
      <c r="M1145" s="442" t="str">
        <f t="shared" si="547"/>
        <v>R</v>
      </c>
      <c r="N1145" s="442" t="str">
        <f>IF(L1145&lt;&gt;"",VLOOKUP(L1145,Categories!$B$2:$D$41,2,FALSE),IF(F1145&lt;&gt;"","No Cat",""))</f>
        <v>Rate Base</v>
      </c>
      <c r="O1145" s="442" t="str">
        <f>IF($L1145&lt;&gt;"",VLOOKUP($L1145,Categories!$B$2:$D$41,3,FALSE),IF($F1145&lt;&gt;"","No Cat",""))</f>
        <v>Deferred Debits &amp; Credits</v>
      </c>
      <c r="P1145" s="736" t="s">
        <v>2482</v>
      </c>
      <c r="Q1145" s="442" t="str">
        <f>VLOOKUP($P1145,Allocators!$B$7:$F$19,5,FALSE)</f>
        <v>Electric</v>
      </c>
      <c r="R1145" s="737">
        <f>VLOOKUP($P1145,Allocators!$B$7:$F$19,2,FALSE)</f>
        <v>1</v>
      </c>
      <c r="S1145" s="737">
        <f>VLOOKUP($P1145,Allocators!$B$7:$F$19,3,FALSE)</f>
        <v>0</v>
      </c>
      <c r="T1145" s="737" t="str">
        <f t="shared" si="553"/>
        <v>0.0%</v>
      </c>
      <c r="U1145" s="2">
        <f t="shared" si="504"/>
        <v>-1208.270765</v>
      </c>
      <c r="V1145" s="2">
        <f t="shared" si="505"/>
        <v>0</v>
      </c>
      <c r="W1145" s="2">
        <f t="shared" si="506"/>
        <v>0</v>
      </c>
      <c r="X1145" s="2">
        <f t="shared" si="502"/>
        <v>-1208.270765</v>
      </c>
      <c r="Y1145" s="2">
        <f t="shared" si="507"/>
        <v>-2230.6537199999998</v>
      </c>
      <c r="Z1145" s="2">
        <f t="shared" si="508"/>
        <v>0</v>
      </c>
      <c r="AA1145" s="2">
        <f t="shared" si="509"/>
        <v>0</v>
      </c>
      <c r="AB1145" s="2">
        <f t="shared" si="503"/>
        <v>-2230.6537199999998</v>
      </c>
      <c r="AC1145" s="734"/>
      <c r="AD1145" s="625"/>
      <c r="AE1145" s="625"/>
      <c r="AF1145" s="625"/>
      <c r="AG1145" s="625"/>
      <c r="AH1145" s="625"/>
      <c r="AI1145" s="625">
        <v>-2230.6537199999998</v>
      </c>
      <c r="AJ1145" s="625">
        <v>-2230.6537199999998</v>
      </c>
      <c r="AK1145" s="625">
        <v>-2230.6537199999998</v>
      </c>
      <c r="AL1145" s="625">
        <v>-2230.6537199999998</v>
      </c>
      <c r="AM1145" s="625">
        <v>-2230.6537199999998</v>
      </c>
      <c r="AN1145" s="625">
        <v>-2230.6537199999998</v>
      </c>
      <c r="AO1145" s="625">
        <v>-2230.6537199999998</v>
      </c>
      <c r="AP1145" s="41" t="str">
        <f t="shared" si="496"/>
        <v>Reg AssetR</v>
      </c>
      <c r="AQ1145" s="41" t="str">
        <f t="shared" si="497"/>
        <v>Reg AssetRR10DOE Liability - True-up-2004</v>
      </c>
      <c r="AR1145" s="41" t="str">
        <f t="shared" si="498"/>
        <v>R10DOE Liability - True-up-2004</v>
      </c>
      <c r="CK1145" s="625"/>
    </row>
    <row r="1146" spans="1:89" s="41" customFormat="1" ht="12.75" customHeight="1">
      <c r="A1146" s="25" t="s">
        <v>746</v>
      </c>
      <c r="B1146" s="25" t="str">
        <f t="shared" si="554"/>
        <v>Reg Asset254021SNF-INT-NBE030395</v>
      </c>
      <c r="C1146" s="736">
        <v>254021</v>
      </c>
      <c r="D1146" s="738" t="s">
        <v>871</v>
      </c>
      <c r="E1146" s="41" t="s">
        <v>952</v>
      </c>
      <c r="F1146" s="1" t="s">
        <v>4428</v>
      </c>
      <c r="G1146" s="41" t="s">
        <v>4449</v>
      </c>
      <c r="H1146" s="736" t="s">
        <v>1121</v>
      </c>
      <c r="I1146" s="442"/>
      <c r="J1146" s="442" t="s">
        <v>7</v>
      </c>
      <c r="K1146" s="442" t="str">
        <f t="shared" si="556"/>
        <v/>
      </c>
      <c r="L1146" s="736" t="s">
        <v>2436</v>
      </c>
      <c r="M1146" s="442" t="str">
        <f t="shared" si="547"/>
        <v>N</v>
      </c>
      <c r="N1146" s="442" t="str">
        <f>IF(L1146&lt;&gt;"",VLOOKUP(L1146,Categories!$B$2:$D$41,2,FALSE),IF(F1146&lt;&gt;"","No Cat",""))</f>
        <v>NRBASE</v>
      </c>
      <c r="O1146" s="442" t="str">
        <f>IF($L1146&lt;&gt;"",VLOOKUP($L1146,Categories!$B$2:$D$41,3,FALSE),IF($F1146&lt;&gt;"","No Cat",""))</f>
        <v>Deferrals Accruing Non-Cash Return   (other than ASGA)</v>
      </c>
      <c r="P1146" s="736" t="s">
        <v>2468</v>
      </c>
      <c r="Q1146" s="442" t="str">
        <f>VLOOKUP($P1146,Allocators!$B$7:$F$19,5,FALSE)</f>
        <v>Not in Rate Base</v>
      </c>
      <c r="R1146" s="737">
        <f>VLOOKUP($P1146,Allocators!$B$7:$F$19,2,FALSE)</f>
        <v>0</v>
      </c>
      <c r="S1146" s="737">
        <f>VLOOKUP($P1146,Allocators!$B$7:$F$19,3,FALSE)</f>
        <v>0</v>
      </c>
      <c r="T1146" s="737">
        <f t="shared" si="553"/>
        <v>1</v>
      </c>
      <c r="U1146" s="2">
        <f t="shared" si="504"/>
        <v>0</v>
      </c>
      <c r="V1146" s="2">
        <f t="shared" si="505"/>
        <v>0</v>
      </c>
      <c r="W1146" s="2">
        <f t="shared" si="506"/>
        <v>-4681.6464962500004</v>
      </c>
      <c r="X1146" s="2">
        <f t="shared" si="502"/>
        <v>-4681.6464962500004</v>
      </c>
      <c r="Y1146" s="2">
        <f t="shared" si="507"/>
        <v>0</v>
      </c>
      <c r="Z1146" s="2">
        <f t="shared" si="508"/>
        <v>0</v>
      </c>
      <c r="AA1146" s="2">
        <f t="shared" si="509"/>
        <v>-9305.4139300000006</v>
      </c>
      <c r="AB1146" s="2">
        <f t="shared" si="503"/>
        <v>-9305.413929999997</v>
      </c>
      <c r="AC1146" s="734"/>
      <c r="AD1146" s="625"/>
      <c r="AE1146" s="625"/>
      <c r="AF1146" s="625"/>
      <c r="AG1146" s="625"/>
      <c r="AH1146" s="625"/>
      <c r="AI1146" s="625">
        <v>-8079.0658300000005</v>
      </c>
      <c r="AJ1146" s="625">
        <v>-8281.8626100000001</v>
      </c>
      <c r="AK1146" s="625">
        <v>-8484.8880800000006</v>
      </c>
      <c r="AL1146" s="625">
        <v>-8688.1435299999994</v>
      </c>
      <c r="AM1146" s="625">
        <v>-8893.6672899999994</v>
      </c>
      <c r="AN1146" s="625">
        <v>-9099.4236499999988</v>
      </c>
      <c r="AO1146" s="625">
        <v>-9305.413929999997</v>
      </c>
      <c r="AP1146" s="41" t="str">
        <f t="shared" si="496"/>
        <v>Reg AssetN</v>
      </c>
      <c r="AQ1146" s="41" t="str">
        <f t="shared" si="497"/>
        <v>Reg AssetNN10DOE Liability - True-up-2011</v>
      </c>
      <c r="AR1146" s="41" t="str">
        <f t="shared" si="498"/>
        <v>N10DOE Liability - True-up-2011NCR</v>
      </c>
      <c r="CK1146" s="625"/>
    </row>
    <row r="1147" spans="1:89" s="41" customFormat="1" ht="12.75" customHeight="1">
      <c r="A1147" s="25" t="s">
        <v>746</v>
      </c>
      <c r="B1147" s="25" t="str">
        <f t="shared" si="552"/>
        <v>Reg Asset254021601220BG030598</v>
      </c>
      <c r="C1147" s="736">
        <v>254021</v>
      </c>
      <c r="D1147" s="738">
        <v>601220</v>
      </c>
      <c r="E1147" s="41" t="s">
        <v>943</v>
      </c>
      <c r="F1147" s="1" t="s">
        <v>4428</v>
      </c>
      <c r="G1147" s="41" t="s">
        <v>4434</v>
      </c>
      <c r="H1147" s="736" t="s">
        <v>822</v>
      </c>
      <c r="I1147" s="25"/>
      <c r="J1147" s="442" t="s">
        <v>7</v>
      </c>
      <c r="K1147" s="442"/>
      <c r="L1147" s="736" t="s">
        <v>2436</v>
      </c>
      <c r="M1147" s="25" t="str">
        <f t="shared" si="547"/>
        <v>N</v>
      </c>
      <c r="N1147" s="25" t="str">
        <f>IF(L1147&lt;&gt;"",VLOOKUP(L1147,Categories!$B$2:$D$41,2,FALSE),IF(F1147&lt;&gt;"","No Cat",""))</f>
        <v>NRBASE</v>
      </c>
      <c r="O1147" s="25" t="str">
        <f>IF($L1147&lt;&gt;"",VLOOKUP($L1147,Categories!$B$2:$D$41,3,FALSE),IF($F1147&lt;&gt;"","No Cat",""))</f>
        <v>Deferrals Accruing Non-Cash Return   (other than ASGA)</v>
      </c>
      <c r="P1147" s="736" t="s">
        <v>2468</v>
      </c>
      <c r="Q1147" s="25" t="str">
        <f>VLOOKUP($P1147,Allocators!$B$7:$F$19,5,FALSE)</f>
        <v>Not in Rate Base</v>
      </c>
      <c r="R1147" s="737">
        <f>VLOOKUP($P1147,Allocators!$B$7:$F$19,2,FALSE)</f>
        <v>0</v>
      </c>
      <c r="S1147" s="737">
        <f>VLOOKUP($P1147,Allocators!$B$7:$F$19,3,FALSE)</f>
        <v>0</v>
      </c>
      <c r="T1147" s="737">
        <f t="shared" si="553"/>
        <v>1</v>
      </c>
      <c r="U1147" s="2">
        <f t="shared" si="504"/>
        <v>0</v>
      </c>
      <c r="V1147" s="2">
        <f t="shared" si="505"/>
        <v>0</v>
      </c>
      <c r="W1147" s="2">
        <f t="shared" si="506"/>
        <v>-100.26125999999999</v>
      </c>
      <c r="X1147" s="2">
        <f t="shared" si="502"/>
        <v>-100.26125999999999</v>
      </c>
      <c r="Y1147" s="2">
        <f t="shared" si="507"/>
        <v>0</v>
      </c>
      <c r="Z1147" s="2">
        <f t="shared" si="508"/>
        <v>0</v>
      </c>
      <c r="AA1147" s="2">
        <f t="shared" si="509"/>
        <v>-171.44759999999999</v>
      </c>
      <c r="AB1147" s="2">
        <f t="shared" si="503"/>
        <v>-171.44759999999999</v>
      </c>
      <c r="AC1147" s="734"/>
      <c r="AD1147" s="625"/>
      <c r="AE1147" s="625"/>
      <c r="AF1147" s="625"/>
      <c r="AG1147" s="625">
        <v>-116.50637999999999</v>
      </c>
      <c r="AH1147" s="625">
        <v>-122.89446999999998</v>
      </c>
      <c r="AI1147" s="625">
        <v>-129.26911999999999</v>
      </c>
      <c r="AJ1147" s="625">
        <v>-135.82603999999998</v>
      </c>
      <c r="AK1147" s="625">
        <v>-142.69028999999998</v>
      </c>
      <c r="AL1147" s="625">
        <v>-149.64986999999999</v>
      </c>
      <c r="AM1147" s="625">
        <v>-156.58414999999999</v>
      </c>
      <c r="AN1147" s="625">
        <v>-163.99100000000001</v>
      </c>
      <c r="AO1147" s="625">
        <v>-171.44759999999999</v>
      </c>
      <c r="AP1147" s="41" t="str">
        <f t="shared" si="496"/>
        <v>Reg AssetN</v>
      </c>
      <c r="AQ1147" s="41" t="str">
        <f t="shared" si="497"/>
        <v>Reg AssetNN10Variable Rate Debt</v>
      </c>
      <c r="AR1147" s="41" t="str">
        <f t="shared" si="498"/>
        <v>N10Variable Rate DebtNCR</v>
      </c>
      <c r="CK1147" s="625"/>
    </row>
    <row r="1148" spans="1:89" s="41" customFormat="1" ht="12.75" customHeight="1">
      <c r="A1148" s="25" t="s">
        <v>746</v>
      </c>
      <c r="B1148" s="25" t="str">
        <f t="shared" ref="B1148:B1151" si="557">CONCATENATE(A1148,C1148,D1148,E1148)</f>
        <v>Reg Asset254022601139BE030139</v>
      </c>
      <c r="C1148" s="736">
        <v>254022</v>
      </c>
      <c r="D1148" s="738">
        <v>601139</v>
      </c>
      <c r="E1148" s="41" t="s">
        <v>4468</v>
      </c>
      <c r="F1148" s="1" t="s">
        <v>4428</v>
      </c>
      <c r="G1148" s="41" t="s">
        <v>4470</v>
      </c>
      <c r="H1148" s="736" t="s">
        <v>1186</v>
      </c>
      <c r="I1148" s="25"/>
      <c r="J1148" s="442" t="s">
        <v>7</v>
      </c>
      <c r="K1148" s="442"/>
      <c r="L1148" s="736" t="s">
        <v>2436</v>
      </c>
      <c r="M1148" s="25" t="str">
        <f t="shared" ref="M1148:M1151" si="558">LEFT(L1148,1)</f>
        <v>N</v>
      </c>
      <c r="N1148" s="25" t="str">
        <f>IF(L1148&lt;&gt;"",VLOOKUP(L1148,Categories!$B$2:$D$41,2,FALSE),IF(F1148&lt;&gt;"","No Cat",""))</f>
        <v>NRBASE</v>
      </c>
      <c r="O1148" s="25" t="str">
        <f>IF($L1148&lt;&gt;"",VLOOKUP($L1148,Categories!$B$2:$D$41,3,FALSE),IF($F1148&lt;&gt;"","No Cat",""))</f>
        <v>Deferrals Accruing Non-Cash Return   (other than ASGA)</v>
      </c>
      <c r="P1148" s="736" t="s">
        <v>2468</v>
      </c>
      <c r="Q1148" s="25" t="str">
        <f>VLOOKUP($P1148,Allocators!$B$7:$F$19,5,FALSE)</f>
        <v>Not in Rate Base</v>
      </c>
      <c r="R1148" s="737">
        <f>VLOOKUP($P1148,Allocators!$B$7:$F$19,2,FALSE)</f>
        <v>0</v>
      </c>
      <c r="S1148" s="737">
        <f>VLOOKUP($P1148,Allocators!$B$7:$F$19,3,FALSE)</f>
        <v>0</v>
      </c>
      <c r="T1148" s="737">
        <f t="shared" ref="T1148:T1151" si="559">IF(P1148="N",1,"0.0%")</f>
        <v>1</v>
      </c>
      <c r="U1148" s="2">
        <f t="shared" si="504"/>
        <v>0</v>
      </c>
      <c r="V1148" s="2">
        <f t="shared" si="505"/>
        <v>0</v>
      </c>
      <c r="W1148" s="2">
        <f t="shared" si="506"/>
        <v>-1312.9946154166701</v>
      </c>
      <c r="X1148" s="2">
        <f t="shared" si="502"/>
        <v>-1312.9946154166701</v>
      </c>
      <c r="Y1148" s="2">
        <f t="shared" si="507"/>
        <v>0</v>
      </c>
      <c r="Z1148" s="2">
        <f t="shared" si="508"/>
        <v>0</v>
      </c>
      <c r="AA1148" s="2">
        <f t="shared" si="509"/>
        <v>-2909.0909499999998</v>
      </c>
      <c r="AB1148" s="2">
        <f t="shared" si="503"/>
        <v>-2909.0909499999998</v>
      </c>
      <c r="AC1148" s="734"/>
      <c r="AD1148" s="625"/>
      <c r="AE1148" s="625"/>
      <c r="AF1148" s="625"/>
      <c r="AG1148" s="625"/>
      <c r="AH1148" s="625"/>
      <c r="AI1148" s="625"/>
      <c r="AJ1148" s="625">
        <v>-2828.04135</v>
      </c>
      <c r="AK1148" s="625">
        <v>-2844.0685800000001</v>
      </c>
      <c r="AL1148" s="625">
        <v>-2860.1866400000004</v>
      </c>
      <c r="AM1148" s="625">
        <v>-2876.3960400000001</v>
      </c>
      <c r="AN1148" s="625">
        <v>-2892.6972999999998</v>
      </c>
      <c r="AO1148" s="625">
        <v>-2909.0909499999998</v>
      </c>
      <c r="AP1148" s="41" t="str">
        <f t="shared" si="496"/>
        <v>Reg AssetN</v>
      </c>
      <c r="AQ1148" s="41" t="str">
        <f t="shared" si="497"/>
        <v>Reg AssetNN10Bonus Depreciation Deferral</v>
      </c>
      <c r="AR1148" s="41" t="str">
        <f t="shared" si="498"/>
        <v>N10Bonus Depreciation DeferralNCR</v>
      </c>
      <c r="CK1148" s="625"/>
    </row>
    <row r="1149" spans="1:89" s="41" customFormat="1" ht="12.75" customHeight="1">
      <c r="A1149" s="25" t="s">
        <v>746</v>
      </c>
      <c r="B1149" s="25" t="str">
        <f t="shared" si="557"/>
        <v>Reg Asset254022601140BG030588</v>
      </c>
      <c r="C1149" s="736">
        <v>254022</v>
      </c>
      <c r="D1149" s="738">
        <v>601140</v>
      </c>
      <c r="E1149" s="41" t="s">
        <v>1240</v>
      </c>
      <c r="F1149" s="1" t="s">
        <v>4428</v>
      </c>
      <c r="G1149" s="41" t="s">
        <v>4471</v>
      </c>
      <c r="H1149" s="736" t="s">
        <v>1186</v>
      </c>
      <c r="I1149" s="25"/>
      <c r="J1149" s="442" t="s">
        <v>7</v>
      </c>
      <c r="K1149" s="442"/>
      <c r="L1149" s="736" t="s">
        <v>2436</v>
      </c>
      <c r="M1149" s="25" t="str">
        <f t="shared" si="558"/>
        <v>N</v>
      </c>
      <c r="N1149" s="25" t="str">
        <f>IF(L1149&lt;&gt;"",VLOOKUP(L1149,Categories!$B$2:$D$41,2,FALSE),IF(F1149&lt;&gt;"","No Cat",""))</f>
        <v>NRBASE</v>
      </c>
      <c r="O1149" s="25" t="str">
        <f>IF($L1149&lt;&gt;"",VLOOKUP($L1149,Categories!$B$2:$D$41,3,FALSE),IF($F1149&lt;&gt;"","No Cat",""))</f>
        <v>Deferrals Accruing Non-Cash Return   (other than ASGA)</v>
      </c>
      <c r="P1149" s="736" t="s">
        <v>2468</v>
      </c>
      <c r="Q1149" s="25" t="str">
        <f>VLOOKUP($P1149,Allocators!$B$7:$F$19,5,FALSE)</f>
        <v>Not in Rate Base</v>
      </c>
      <c r="R1149" s="737">
        <f>VLOOKUP($P1149,Allocators!$B$7:$F$19,2,FALSE)</f>
        <v>0</v>
      </c>
      <c r="S1149" s="737">
        <f>VLOOKUP($P1149,Allocators!$B$7:$F$19,3,FALSE)</f>
        <v>0</v>
      </c>
      <c r="T1149" s="737">
        <f t="shared" si="559"/>
        <v>1</v>
      </c>
      <c r="U1149" s="2">
        <f t="shared" si="504"/>
        <v>0</v>
      </c>
      <c r="V1149" s="2">
        <f t="shared" si="505"/>
        <v>0</v>
      </c>
      <c r="W1149" s="2">
        <f t="shared" si="506"/>
        <v>-629.70364541666697</v>
      </c>
      <c r="X1149" s="2">
        <f t="shared" si="502"/>
        <v>-629.70364541666697</v>
      </c>
      <c r="Y1149" s="2">
        <f t="shared" si="507"/>
        <v>0</v>
      </c>
      <c r="Z1149" s="2">
        <f t="shared" si="508"/>
        <v>0</v>
      </c>
      <c r="AA1149" s="2">
        <f t="shared" si="509"/>
        <v>-1409.19327</v>
      </c>
      <c r="AB1149" s="2">
        <f t="shared" si="503"/>
        <v>-1409.1932700000002</v>
      </c>
      <c r="AC1149" s="734"/>
      <c r="AD1149" s="625"/>
      <c r="AE1149" s="625"/>
      <c r="AF1149" s="625"/>
      <c r="AG1149" s="625"/>
      <c r="AH1149" s="625"/>
      <c r="AI1149" s="625"/>
      <c r="AJ1149" s="625">
        <v>-1344.8873100000001</v>
      </c>
      <c r="AK1149" s="625">
        <v>-1357.50935</v>
      </c>
      <c r="AL1149" s="625">
        <v>-1370.2498500000002</v>
      </c>
      <c r="AM1149" s="625">
        <v>-1383.1099200000001</v>
      </c>
      <c r="AN1149" s="625">
        <v>-1396.0906800000002</v>
      </c>
      <c r="AO1149" s="625">
        <v>-1409.1932700000002</v>
      </c>
      <c r="AP1149" s="41" t="str">
        <f t="shared" si="496"/>
        <v>Reg AssetN</v>
      </c>
      <c r="AQ1149" s="41" t="str">
        <f t="shared" si="497"/>
        <v>Reg AssetNN10Bonus Depreciation Deferral</v>
      </c>
      <c r="AR1149" s="41" t="str">
        <f t="shared" si="498"/>
        <v>N10Bonus Depreciation DeferralNCR</v>
      </c>
      <c r="CK1149" s="625"/>
    </row>
    <row r="1150" spans="1:89" s="41" customFormat="1" ht="12.75" customHeight="1">
      <c r="A1150" s="25" t="s">
        <v>746</v>
      </c>
      <c r="B1150" s="25" t="str">
        <f t="shared" si="557"/>
        <v>Reg Asset254022601248BE030192</v>
      </c>
      <c r="C1150" s="736">
        <v>254022</v>
      </c>
      <c r="D1150" s="738">
        <v>601248</v>
      </c>
      <c r="E1150" s="41" t="s">
        <v>1183</v>
      </c>
      <c r="F1150" s="1" t="s">
        <v>4428</v>
      </c>
      <c r="G1150" s="41" t="s">
        <v>4472</v>
      </c>
      <c r="H1150" s="736" t="s">
        <v>1186</v>
      </c>
      <c r="I1150" s="25"/>
      <c r="J1150" s="442" t="s">
        <v>7</v>
      </c>
      <c r="K1150" s="442"/>
      <c r="L1150" s="736" t="s">
        <v>2436</v>
      </c>
      <c r="M1150" s="25" t="str">
        <f t="shared" si="558"/>
        <v>N</v>
      </c>
      <c r="N1150" s="25" t="str">
        <f>IF(L1150&lt;&gt;"",VLOOKUP(L1150,Categories!$B$2:$D$41,2,FALSE),IF(F1150&lt;&gt;"","No Cat",""))</f>
        <v>NRBASE</v>
      </c>
      <c r="O1150" s="25" t="str">
        <f>IF($L1150&lt;&gt;"",VLOOKUP($L1150,Categories!$B$2:$D$41,3,FALSE),IF($F1150&lt;&gt;"","No Cat",""))</f>
        <v>Deferrals Accruing Non-Cash Return   (other than ASGA)</v>
      </c>
      <c r="P1150" s="736" t="s">
        <v>2468</v>
      </c>
      <c r="Q1150" s="25" t="str">
        <f>VLOOKUP($P1150,Allocators!$B$7:$F$19,5,FALSE)</f>
        <v>Not in Rate Base</v>
      </c>
      <c r="R1150" s="737">
        <f>VLOOKUP($P1150,Allocators!$B$7:$F$19,2,FALSE)</f>
        <v>0</v>
      </c>
      <c r="S1150" s="737">
        <f>VLOOKUP($P1150,Allocators!$B$7:$F$19,3,FALSE)</f>
        <v>0</v>
      </c>
      <c r="T1150" s="737">
        <f t="shared" si="559"/>
        <v>1</v>
      </c>
      <c r="U1150" s="2">
        <f t="shared" si="504"/>
        <v>0</v>
      </c>
      <c r="V1150" s="2">
        <f t="shared" si="505"/>
        <v>0</v>
      </c>
      <c r="W1150" s="2">
        <f t="shared" si="506"/>
        <v>-10600.578987499999</v>
      </c>
      <c r="X1150" s="2">
        <f t="shared" si="502"/>
        <v>-10600.578987499999</v>
      </c>
      <c r="Y1150" s="2">
        <f t="shared" si="507"/>
        <v>0</v>
      </c>
      <c r="Z1150" s="2">
        <f t="shared" si="508"/>
        <v>0</v>
      </c>
      <c r="AA1150" s="2">
        <f t="shared" si="509"/>
        <v>-25481.026620000001</v>
      </c>
      <c r="AB1150" s="2">
        <f t="shared" si="503"/>
        <v>-25481.026620000001</v>
      </c>
      <c r="AC1150" s="734"/>
      <c r="AD1150" s="625"/>
      <c r="AE1150" s="625"/>
      <c r="AF1150" s="625"/>
      <c r="AG1150" s="625"/>
      <c r="AH1150" s="625"/>
      <c r="AI1150" s="625"/>
      <c r="AJ1150" s="625">
        <v>-21279.573359999999</v>
      </c>
      <c r="AK1150" s="625">
        <v>-22119.159589999999</v>
      </c>
      <c r="AL1150" s="625">
        <v>-22858.673579999999</v>
      </c>
      <c r="AM1150" s="625">
        <v>-23689.552739999999</v>
      </c>
      <c r="AN1150" s="625">
        <v>-24519.475269999999</v>
      </c>
      <c r="AO1150" s="625">
        <v>-25481.026620000001</v>
      </c>
      <c r="AP1150" s="41" t="str">
        <f t="shared" si="496"/>
        <v>Reg AssetN</v>
      </c>
      <c r="AQ1150" s="41" t="str">
        <f t="shared" si="497"/>
        <v>Reg AssetNN10Bonus Depreciation Deferral</v>
      </c>
      <c r="AR1150" s="41" t="str">
        <f t="shared" si="498"/>
        <v>N10Bonus Depreciation DeferralNCR</v>
      </c>
      <c r="CK1150" s="625"/>
    </row>
    <row r="1151" spans="1:89" s="41" customFormat="1" ht="12.75" customHeight="1">
      <c r="A1151" s="25" t="s">
        <v>746</v>
      </c>
      <c r="B1151" s="25" t="str">
        <f t="shared" si="557"/>
        <v>Reg Asset254022601249BE030588</v>
      </c>
      <c r="C1151" s="736">
        <v>254022</v>
      </c>
      <c r="D1151" s="738">
        <v>601249</v>
      </c>
      <c r="E1151" s="41" t="s">
        <v>4469</v>
      </c>
      <c r="F1151" s="1" t="s">
        <v>4428</v>
      </c>
      <c r="G1151" s="41" t="s">
        <v>4473</v>
      </c>
      <c r="H1151" s="736" t="s">
        <v>1186</v>
      </c>
      <c r="I1151" s="25"/>
      <c r="J1151" s="442" t="s">
        <v>7</v>
      </c>
      <c r="K1151" s="442"/>
      <c r="L1151" s="736" t="s">
        <v>2436</v>
      </c>
      <c r="M1151" s="25" t="str">
        <f t="shared" si="558"/>
        <v>N</v>
      </c>
      <c r="N1151" s="25" t="str">
        <f>IF(L1151&lt;&gt;"",VLOOKUP(L1151,Categories!$B$2:$D$41,2,FALSE),IF(F1151&lt;&gt;"","No Cat",""))</f>
        <v>NRBASE</v>
      </c>
      <c r="O1151" s="25" t="str">
        <f>IF($L1151&lt;&gt;"",VLOOKUP($L1151,Categories!$B$2:$D$41,3,FALSE),IF($F1151&lt;&gt;"","No Cat",""))</f>
        <v>Deferrals Accruing Non-Cash Return   (other than ASGA)</v>
      </c>
      <c r="P1151" s="736" t="s">
        <v>2468</v>
      </c>
      <c r="Q1151" s="25" t="str">
        <f>VLOOKUP($P1151,Allocators!$B$7:$F$19,5,FALSE)</f>
        <v>Not in Rate Base</v>
      </c>
      <c r="R1151" s="737">
        <f>VLOOKUP($P1151,Allocators!$B$7:$F$19,2,FALSE)</f>
        <v>0</v>
      </c>
      <c r="S1151" s="737">
        <f>VLOOKUP($P1151,Allocators!$B$7:$F$19,3,FALSE)</f>
        <v>0</v>
      </c>
      <c r="T1151" s="737">
        <f t="shared" si="559"/>
        <v>1</v>
      </c>
      <c r="U1151" s="2">
        <f t="shared" si="504"/>
        <v>0</v>
      </c>
      <c r="V1151" s="2">
        <f t="shared" si="505"/>
        <v>0</v>
      </c>
      <c r="W1151" s="2">
        <f t="shared" si="506"/>
        <v>-3431.2004525000002</v>
      </c>
      <c r="X1151" s="2">
        <f t="shared" si="502"/>
        <v>-3431.2004525000002</v>
      </c>
      <c r="Y1151" s="2">
        <f t="shared" si="507"/>
        <v>0</v>
      </c>
      <c r="Z1151" s="2">
        <f t="shared" si="508"/>
        <v>0</v>
      </c>
      <c r="AA1151" s="2">
        <f t="shared" si="509"/>
        <v>-8140.1200600000002</v>
      </c>
      <c r="AB1151" s="2">
        <f t="shared" si="503"/>
        <v>-8140.1200600000002</v>
      </c>
      <c r="AC1151" s="734"/>
      <c r="AD1151" s="625"/>
      <c r="AE1151" s="625"/>
      <c r="AF1151" s="625"/>
      <c r="AG1151" s="625"/>
      <c r="AH1151" s="625"/>
      <c r="AI1151" s="625"/>
      <c r="AJ1151" s="625">
        <v>-6992.4875999999995</v>
      </c>
      <c r="AK1151" s="625">
        <v>-7224.0216300000002</v>
      </c>
      <c r="AL1151" s="625">
        <v>-7401.5295999999998</v>
      </c>
      <c r="AM1151" s="625">
        <v>-7629.36492</v>
      </c>
      <c r="AN1151" s="625">
        <v>-7856.9416500000007</v>
      </c>
      <c r="AO1151" s="625">
        <v>-8140.1200600000002</v>
      </c>
      <c r="AP1151" s="41" t="str">
        <f t="shared" si="496"/>
        <v>Reg AssetN</v>
      </c>
      <c r="AQ1151" s="41" t="str">
        <f t="shared" si="497"/>
        <v>Reg AssetNN10Bonus Depreciation Deferral</v>
      </c>
      <c r="AR1151" s="41" t="str">
        <f t="shared" si="498"/>
        <v>N10Bonus Depreciation DeferralNCR</v>
      </c>
      <c r="CK1151" s="625"/>
    </row>
    <row r="1152" spans="1:89" s="41" customFormat="1" ht="12.75" customHeight="1">
      <c r="A1152" s="25" t="s">
        <v>746</v>
      </c>
      <c r="B1152" s="25" t="str">
        <f t="shared" ref="B1152:B1219" si="560">CONCATENATE(A1152,C1152,D1152,E1152)</f>
        <v>Reg Asset254025601027-ABE030196</v>
      </c>
      <c r="C1152" s="736">
        <v>254025</v>
      </c>
      <c r="D1152" s="738" t="s">
        <v>1307</v>
      </c>
      <c r="E1152" s="41" t="s">
        <v>1306</v>
      </c>
      <c r="F1152" s="41" t="str">
        <f t="shared" si="510"/>
        <v>OTH REG LIAB - ECONOMIC DEVELOPMENT - ELECTRIC</v>
      </c>
      <c r="G1152" s="41" t="s">
        <v>1308</v>
      </c>
      <c r="H1152" s="736" t="s">
        <v>1309</v>
      </c>
      <c r="I1152" s="25"/>
      <c r="J1152" s="25" t="str">
        <f t="shared" si="511"/>
        <v/>
      </c>
      <c r="K1152" s="442" t="str">
        <f t="shared" si="474"/>
        <v/>
      </c>
      <c r="L1152" s="736" t="s">
        <v>2441</v>
      </c>
      <c r="M1152" s="25" t="str">
        <f t="shared" si="462"/>
        <v>R</v>
      </c>
      <c r="N1152" s="25" t="str">
        <f>IF(L1152&lt;&gt;"",VLOOKUP(L1152,Categories!$B$2:$D$41,2,FALSE),IF(F1152&lt;&gt;"","No Cat",""))</f>
        <v>Rate Base</v>
      </c>
      <c r="O1152" s="25" t="str">
        <f>IF($L1152&lt;&gt;"",VLOOKUP($L1152,Categories!$B$2:$D$41,3,FALSE),IF($F1152&lt;&gt;"","No Cat",""))</f>
        <v>Deferred Debits &amp; Credits</v>
      </c>
      <c r="P1152" s="736" t="s">
        <v>2482</v>
      </c>
      <c r="Q1152" s="25" t="str">
        <f>VLOOKUP($P1152,Allocators!$B$7:$F$19,5,FALSE)</f>
        <v>Electric</v>
      </c>
      <c r="R1152" s="737">
        <f>VLOOKUP($P1152,Allocators!$B$7:$F$19,2,FALSE)</f>
        <v>1</v>
      </c>
      <c r="S1152" s="737">
        <f>VLOOKUP($P1152,Allocators!$B$7:$F$19,3,FALSE)</f>
        <v>0</v>
      </c>
      <c r="T1152" s="737" t="str">
        <f t="shared" si="463"/>
        <v>0.0%</v>
      </c>
      <c r="U1152" s="2">
        <f t="shared" si="504"/>
        <v>1.09E-13</v>
      </c>
      <c r="V1152" s="2">
        <f t="shared" si="505"/>
        <v>0</v>
      </c>
      <c r="W1152" s="2">
        <f t="shared" si="506"/>
        <v>0</v>
      </c>
      <c r="X1152" s="2">
        <f t="shared" si="502"/>
        <v>1.09E-13</v>
      </c>
      <c r="Y1152" s="2" t="str">
        <f t="shared" si="507"/>
        <v/>
      </c>
      <c r="Z1152" s="2" t="str">
        <f t="shared" si="508"/>
        <v/>
      </c>
      <c r="AA1152" s="2" t="str">
        <f t="shared" si="509"/>
        <v/>
      </c>
      <c r="AB1152" s="2">
        <f t="shared" si="503"/>
        <v>0</v>
      </c>
      <c r="AC1152" s="734">
        <v>2.6193447411060332E-12</v>
      </c>
      <c r="AD1152" s="625">
        <v>0</v>
      </c>
      <c r="AE1152" s="625">
        <v>0</v>
      </c>
      <c r="AF1152" s="38">
        <v>0</v>
      </c>
      <c r="AG1152" s="625">
        <v>0</v>
      </c>
      <c r="AH1152" s="625">
        <v>0</v>
      </c>
      <c r="AI1152" s="625">
        <v>0</v>
      </c>
      <c r="AJ1152" s="625">
        <v>0</v>
      </c>
      <c r="AK1152" s="625">
        <v>0</v>
      </c>
      <c r="AL1152" s="625">
        <v>0</v>
      </c>
      <c r="AM1152" s="625">
        <v>0</v>
      </c>
      <c r="AN1152" s="625">
        <v>0</v>
      </c>
      <c r="AO1152" s="625">
        <v>0</v>
      </c>
      <c r="AP1152" s="41" t="str">
        <f t="shared" si="496"/>
        <v>Reg AssetR</v>
      </c>
      <c r="AQ1152" s="41" t="str">
        <f t="shared" si="497"/>
        <v>Reg AssetRR10Economic Development</v>
      </c>
      <c r="AR1152" s="41" t="str">
        <f t="shared" si="498"/>
        <v>R10Economic Development</v>
      </c>
      <c r="CK1152" s="625"/>
    </row>
    <row r="1153" spans="1:89" s="41" customFormat="1" ht="12.75" customHeight="1">
      <c r="A1153" s="442" t="s">
        <v>746</v>
      </c>
      <c r="B1153" s="442" t="str">
        <f t="shared" si="560"/>
        <v>Reg Asset254025602027-LBE030196</v>
      </c>
      <c r="C1153" s="736">
        <v>254025</v>
      </c>
      <c r="D1153" s="738" t="s">
        <v>1310</v>
      </c>
      <c r="E1153" s="626" t="s">
        <v>1306</v>
      </c>
      <c r="F1153" s="626" t="str">
        <f t="shared" si="510"/>
        <v>OTH REG LIAB - ECONOMIC DEVELOPMENT - ELECTRIC</v>
      </c>
      <c r="G1153" s="626" t="s">
        <v>1311</v>
      </c>
      <c r="H1153" s="736" t="s">
        <v>1309</v>
      </c>
      <c r="I1153" s="442"/>
      <c r="J1153" s="442" t="s">
        <v>7</v>
      </c>
      <c r="K1153" s="442" t="str">
        <f t="shared" si="474"/>
        <v/>
      </c>
      <c r="L1153" s="736" t="s">
        <v>2436</v>
      </c>
      <c r="M1153" s="442" t="str">
        <f t="shared" si="462"/>
        <v>N</v>
      </c>
      <c r="N1153" s="442" t="str">
        <f>IF(L1153&lt;&gt;"",VLOOKUP(L1153,Categories!$B$2:$D$41,2,FALSE),IF(F1153&lt;&gt;"","No Cat",""))</f>
        <v>NRBASE</v>
      </c>
      <c r="O1153" s="442" t="str">
        <f>IF($L1153&lt;&gt;"",VLOOKUP($L1153,Categories!$B$2:$D$41,3,FALSE),IF($F1153&lt;&gt;"","No Cat",""))</f>
        <v>Deferrals Accruing Non-Cash Return   (other than ASGA)</v>
      </c>
      <c r="P1153" s="736" t="s">
        <v>2468</v>
      </c>
      <c r="Q1153" s="442" t="str">
        <f>VLOOKUP($P1153,Allocators!$B$7:$F$19,5,FALSE)</f>
        <v>Not in Rate Base</v>
      </c>
      <c r="R1153" s="737">
        <f>VLOOKUP($P1153,Allocators!$B$7:$F$19,2,FALSE)</f>
        <v>0</v>
      </c>
      <c r="S1153" s="737">
        <f>VLOOKUP($P1153,Allocators!$B$7:$F$19,3,FALSE)</f>
        <v>0</v>
      </c>
      <c r="T1153" s="737">
        <f t="shared" si="463"/>
        <v>1</v>
      </c>
      <c r="U1153" s="2">
        <f t="shared" si="504"/>
        <v>0</v>
      </c>
      <c r="V1153" s="2">
        <f t="shared" si="505"/>
        <v>0</v>
      </c>
      <c r="W1153" s="2">
        <f t="shared" si="506"/>
        <v>-14406.1403466667</v>
      </c>
      <c r="X1153" s="2">
        <f t="shared" si="502"/>
        <v>-14406.1403466667</v>
      </c>
      <c r="Y1153" s="2">
        <f t="shared" si="507"/>
        <v>0</v>
      </c>
      <c r="Z1153" s="2">
        <f t="shared" si="508"/>
        <v>0</v>
      </c>
      <c r="AA1153" s="2">
        <f t="shared" si="509"/>
        <v>-14900.097900000001</v>
      </c>
      <c r="AB1153" s="2">
        <f t="shared" si="503"/>
        <v>-14900.097900000002</v>
      </c>
      <c r="AC1153" s="734">
        <v>-13923.147259999998</v>
      </c>
      <c r="AD1153" s="625">
        <v>-14002.053260000001</v>
      </c>
      <c r="AE1153" s="625">
        <v>-14081.406439999999</v>
      </c>
      <c r="AF1153" s="625">
        <v>-14161.209339999999</v>
      </c>
      <c r="AG1153" s="625">
        <v>-14241.4645</v>
      </c>
      <c r="AH1153" s="625">
        <v>-14322.174489999999</v>
      </c>
      <c r="AI1153" s="625">
        <v>-14403.34188</v>
      </c>
      <c r="AJ1153" s="625">
        <v>-14484.969270000001</v>
      </c>
      <c r="AK1153" s="625">
        <v>-14567.059260000002</v>
      </c>
      <c r="AL1153" s="625">
        <v>-14649.614470000002</v>
      </c>
      <c r="AM1153" s="625">
        <v>-14732.637540000003</v>
      </c>
      <c r="AN1153" s="625">
        <v>-14816.131130000003</v>
      </c>
      <c r="AO1153" s="625">
        <v>-14900.097900000002</v>
      </c>
      <c r="AP1153" s="41" t="str">
        <f t="shared" si="496"/>
        <v>Reg AssetN</v>
      </c>
      <c r="AQ1153" s="41" t="str">
        <f t="shared" si="497"/>
        <v>Reg AssetNN10Economic Development</v>
      </c>
      <c r="AR1153" s="41" t="str">
        <f t="shared" si="498"/>
        <v>N10Economic DevelopmentNCR</v>
      </c>
      <c r="CK1153" s="625"/>
    </row>
    <row r="1154" spans="1:89" s="41" customFormat="1" ht="12.75" customHeight="1">
      <c r="A1154" s="25" t="s">
        <v>746</v>
      </c>
      <c r="B1154" s="25" t="str">
        <f t="shared" si="560"/>
        <v>Reg Asset254025601043-IMLRBE030196</v>
      </c>
      <c r="C1154" s="736">
        <v>254025</v>
      </c>
      <c r="D1154" s="738" t="s">
        <v>1312</v>
      </c>
      <c r="E1154" s="41" t="s">
        <v>1306</v>
      </c>
      <c r="F1154" s="41" t="str">
        <f t="shared" si="510"/>
        <v>OTH REG LIAB - ECONOMIC DEVELOPMENT - ELECTRIC</v>
      </c>
      <c r="G1154" s="41" t="s">
        <v>1313</v>
      </c>
      <c r="H1154" s="736" t="s">
        <v>1313</v>
      </c>
      <c r="I1154" s="25"/>
      <c r="J1154" s="25" t="str">
        <f t="shared" si="511"/>
        <v/>
      </c>
      <c r="K1154" s="442" t="str">
        <f t="shared" si="474"/>
        <v/>
      </c>
      <c r="L1154" s="736" t="s">
        <v>2441</v>
      </c>
      <c r="M1154" s="25" t="str">
        <f t="shared" si="462"/>
        <v>R</v>
      </c>
      <c r="N1154" s="25" t="str">
        <f>IF(L1154&lt;&gt;"",VLOOKUP(L1154,Categories!$B$2:$D$41,2,FALSE),IF(F1154&lt;&gt;"","No Cat",""))</f>
        <v>Rate Base</v>
      </c>
      <c r="O1154" s="25" t="str">
        <f>IF($L1154&lt;&gt;"",VLOOKUP($L1154,Categories!$B$2:$D$41,3,FALSE),IF($F1154&lt;&gt;"","No Cat",""))</f>
        <v>Deferred Debits &amp; Credits</v>
      </c>
      <c r="P1154" s="736" t="s">
        <v>2482</v>
      </c>
      <c r="Q1154" s="25" t="str">
        <f>VLOOKUP($P1154,Allocators!$B$7:$F$19,5,FALSE)</f>
        <v>Electric</v>
      </c>
      <c r="R1154" s="737">
        <f>VLOOKUP($P1154,Allocators!$B$7:$F$19,2,FALSE)</f>
        <v>1</v>
      </c>
      <c r="S1154" s="737">
        <f>VLOOKUP($P1154,Allocators!$B$7:$F$19,3,FALSE)</f>
        <v>0</v>
      </c>
      <c r="T1154" s="737" t="str">
        <f t="shared" si="463"/>
        <v>0.0%</v>
      </c>
      <c r="U1154" s="2">
        <f t="shared" si="504"/>
        <v>1761.96039</v>
      </c>
      <c r="V1154" s="2">
        <f t="shared" si="505"/>
        <v>0</v>
      </c>
      <c r="W1154" s="2">
        <f t="shared" si="506"/>
        <v>0</v>
      </c>
      <c r="X1154" s="2">
        <f t="shared" si="502"/>
        <v>1761.96039</v>
      </c>
      <c r="Y1154" s="2">
        <f t="shared" si="507"/>
        <v>1761.96039</v>
      </c>
      <c r="Z1154" s="2">
        <f t="shared" si="508"/>
        <v>0</v>
      </c>
      <c r="AA1154" s="2">
        <f t="shared" si="509"/>
        <v>0</v>
      </c>
      <c r="AB1154" s="2">
        <f t="shared" si="503"/>
        <v>1761.96039</v>
      </c>
      <c r="AC1154" s="734">
        <v>1761.96039</v>
      </c>
      <c r="AD1154" s="625">
        <v>1761.96039</v>
      </c>
      <c r="AE1154" s="625">
        <v>1761.96039</v>
      </c>
      <c r="AF1154" s="625">
        <v>1761.96039</v>
      </c>
      <c r="AG1154" s="625">
        <v>1761.96039</v>
      </c>
      <c r="AH1154" s="625">
        <v>1761.96039</v>
      </c>
      <c r="AI1154" s="625">
        <v>1761.96039</v>
      </c>
      <c r="AJ1154" s="625">
        <v>1761.96039</v>
      </c>
      <c r="AK1154" s="625">
        <v>1761.96039</v>
      </c>
      <c r="AL1154" s="625">
        <v>1761.96039</v>
      </c>
      <c r="AM1154" s="625">
        <v>1761.96039</v>
      </c>
      <c r="AN1154" s="625">
        <v>1761.96039</v>
      </c>
      <c r="AO1154" s="625">
        <v>1761.96039</v>
      </c>
      <c r="AP1154" s="41" t="str">
        <f t="shared" si="496"/>
        <v>Reg AssetR</v>
      </c>
      <c r="AQ1154" s="41" t="str">
        <f t="shared" si="497"/>
        <v>Reg AssetRR10IMLR</v>
      </c>
      <c r="AR1154" s="41" t="str">
        <f t="shared" si="498"/>
        <v>R10IMLR</v>
      </c>
      <c r="CK1154" s="625"/>
    </row>
    <row r="1155" spans="1:89" s="41" customFormat="1" ht="12.75" customHeight="1">
      <c r="A1155" s="442" t="s">
        <v>746</v>
      </c>
      <c r="B1155" s="442" t="str">
        <f t="shared" si="560"/>
        <v>Reg Asset254025601233BE030196</v>
      </c>
      <c r="C1155" s="736">
        <v>254025</v>
      </c>
      <c r="D1155" s="738">
        <v>601233</v>
      </c>
      <c r="E1155" s="626" t="s">
        <v>1306</v>
      </c>
      <c r="F1155" s="626" t="str">
        <f t="shared" si="510"/>
        <v>OTH REG LIAB - ECONOMIC DEVELOPMENT - ELECTRIC</v>
      </c>
      <c r="G1155" s="626" t="s">
        <v>1314</v>
      </c>
      <c r="H1155" s="736" t="s">
        <v>1309</v>
      </c>
      <c r="I1155" s="442"/>
      <c r="J1155" s="442" t="s">
        <v>7</v>
      </c>
      <c r="K1155" s="442" t="str">
        <f t="shared" si="474"/>
        <v/>
      </c>
      <c r="L1155" s="736" t="s">
        <v>2436</v>
      </c>
      <c r="M1155" s="442" t="str">
        <f t="shared" si="462"/>
        <v>N</v>
      </c>
      <c r="N1155" s="442" t="str">
        <f>IF(L1155&lt;&gt;"",VLOOKUP(L1155,Categories!$B$2:$D$41,2,FALSE),IF(F1155&lt;&gt;"","No Cat",""))</f>
        <v>NRBASE</v>
      </c>
      <c r="O1155" s="442" t="str">
        <f>IF($L1155&lt;&gt;"",VLOOKUP($L1155,Categories!$B$2:$D$41,3,FALSE),IF($F1155&lt;&gt;"","No Cat",""))</f>
        <v>Deferrals Accruing Non-Cash Return   (other than ASGA)</v>
      </c>
      <c r="P1155" s="736" t="s">
        <v>2468</v>
      </c>
      <c r="Q1155" s="442" t="str">
        <f>VLOOKUP($P1155,Allocators!$B$7:$F$19,5,FALSE)</f>
        <v>Not in Rate Base</v>
      </c>
      <c r="R1155" s="737">
        <f>VLOOKUP($P1155,Allocators!$B$7:$F$19,2,FALSE)</f>
        <v>0</v>
      </c>
      <c r="S1155" s="737">
        <f>VLOOKUP($P1155,Allocators!$B$7:$F$19,3,FALSE)</f>
        <v>0</v>
      </c>
      <c r="T1155" s="737">
        <f t="shared" si="463"/>
        <v>1</v>
      </c>
      <c r="U1155" s="2">
        <f t="shared" si="504"/>
        <v>0</v>
      </c>
      <c r="V1155" s="2">
        <f t="shared" si="505"/>
        <v>0</v>
      </c>
      <c r="W1155" s="2">
        <f t="shared" si="506"/>
        <v>-1695.39586333333</v>
      </c>
      <c r="X1155" s="2">
        <f t="shared" si="502"/>
        <v>-1695.39586333333</v>
      </c>
      <c r="Y1155" s="2">
        <f t="shared" si="507"/>
        <v>0</v>
      </c>
      <c r="Z1155" s="2">
        <f t="shared" si="508"/>
        <v>0</v>
      </c>
      <c r="AA1155" s="2">
        <f t="shared" si="509"/>
        <v>-2505.9969599999999</v>
      </c>
      <c r="AB1155" s="2">
        <f t="shared" si="503"/>
        <v>-2505.9969599999995</v>
      </c>
      <c r="AC1155" s="734">
        <v>-721.7398199999999</v>
      </c>
      <c r="AD1155" s="625">
        <v>-927.88992999999994</v>
      </c>
      <c r="AE1155" s="625">
        <v>-1037.4498799999999</v>
      </c>
      <c r="AF1155" s="625">
        <v>-1319.5613599999999</v>
      </c>
      <c r="AG1155" s="625">
        <v>-1288.4193099999998</v>
      </c>
      <c r="AH1155" s="625">
        <v>-1629.3588699999996</v>
      </c>
      <c r="AI1155" s="625">
        <v>-1469.8804899999996</v>
      </c>
      <c r="AJ1155" s="625">
        <v>-1803.2404199999994</v>
      </c>
      <c r="AK1155" s="625">
        <v>-2147.1402599999997</v>
      </c>
      <c r="AL1155" s="625">
        <v>-2280.8309899999999</v>
      </c>
      <c r="AM1155" s="625">
        <v>-2616.3343999999993</v>
      </c>
      <c r="AN1155" s="625">
        <v>-2210.7760599999997</v>
      </c>
      <c r="AO1155" s="625">
        <v>-2505.9969599999995</v>
      </c>
      <c r="AP1155" s="41" t="str">
        <f t="shared" si="496"/>
        <v>Reg AssetN</v>
      </c>
      <c r="AQ1155" s="41" t="str">
        <f t="shared" si="497"/>
        <v>Reg AssetNN10Economic Development</v>
      </c>
      <c r="AR1155" s="41" t="str">
        <f t="shared" si="498"/>
        <v>N10Economic DevelopmentNCR</v>
      </c>
      <c r="CK1155" s="625"/>
    </row>
    <row r="1156" spans="1:89" s="41" customFormat="1" ht="12.75" customHeight="1">
      <c r="A1156" s="442" t="s">
        <v>746</v>
      </c>
      <c r="B1156" s="442" t="str">
        <f t="shared" si="560"/>
        <v>Reg Asset254026601234BE030196</v>
      </c>
      <c r="C1156" s="736">
        <v>254026</v>
      </c>
      <c r="D1156" s="738">
        <v>601234</v>
      </c>
      <c r="E1156" s="626" t="s">
        <v>1306</v>
      </c>
      <c r="F1156" s="626" t="str">
        <f t="shared" si="510"/>
        <v>OTH REG LIAB - ECONOMIC DEVELOPMENT-GAS</v>
      </c>
      <c r="G1156" s="626" t="s">
        <v>1315</v>
      </c>
      <c r="H1156" s="736" t="s">
        <v>1309</v>
      </c>
      <c r="I1156" s="442"/>
      <c r="J1156" s="442" t="s">
        <v>7</v>
      </c>
      <c r="K1156" s="442" t="str">
        <f t="shared" si="474"/>
        <v/>
      </c>
      <c r="L1156" s="736" t="s">
        <v>2436</v>
      </c>
      <c r="M1156" s="442" t="str">
        <f t="shared" si="462"/>
        <v>N</v>
      </c>
      <c r="N1156" s="442" t="str">
        <f>IF(L1156&lt;&gt;"",VLOOKUP(L1156,Categories!$B$2:$D$41,2,FALSE),IF(F1156&lt;&gt;"","No Cat",""))</f>
        <v>NRBASE</v>
      </c>
      <c r="O1156" s="442" t="str">
        <f>IF($L1156&lt;&gt;"",VLOOKUP($L1156,Categories!$B$2:$D$41,3,FALSE),IF($F1156&lt;&gt;"","No Cat",""))</f>
        <v>Deferrals Accruing Non-Cash Return   (other than ASGA)</v>
      </c>
      <c r="P1156" s="736" t="s">
        <v>2468</v>
      </c>
      <c r="Q1156" s="442" t="str">
        <f>VLOOKUP($P1156,Allocators!$B$7:$F$19,5,FALSE)</f>
        <v>Not in Rate Base</v>
      </c>
      <c r="R1156" s="737">
        <f>VLOOKUP($P1156,Allocators!$B$7:$F$19,2,FALSE)</f>
        <v>0</v>
      </c>
      <c r="S1156" s="737">
        <f>VLOOKUP($P1156,Allocators!$B$7:$F$19,3,FALSE)</f>
        <v>0</v>
      </c>
      <c r="T1156" s="737">
        <f t="shared" si="463"/>
        <v>1</v>
      </c>
      <c r="U1156" s="2">
        <f t="shared" si="504"/>
        <v>0</v>
      </c>
      <c r="V1156" s="2">
        <f t="shared" si="505"/>
        <v>0</v>
      </c>
      <c r="W1156" s="2">
        <f t="shared" si="506"/>
        <v>-796.33164333333298</v>
      </c>
      <c r="X1156" s="2">
        <f t="shared" si="502"/>
        <v>-796.33164333333298</v>
      </c>
      <c r="Y1156" s="2">
        <f t="shared" si="507"/>
        <v>0</v>
      </c>
      <c r="Z1156" s="2">
        <f t="shared" si="508"/>
        <v>0</v>
      </c>
      <c r="AA1156" s="2">
        <f t="shared" si="509"/>
        <v>-919.15446999999995</v>
      </c>
      <c r="AB1156" s="2">
        <f t="shared" si="503"/>
        <v>-919.15447000000029</v>
      </c>
      <c r="AC1156" s="734">
        <v>-680.80881000000022</v>
      </c>
      <c r="AD1156" s="625">
        <v>-698.36342999999988</v>
      </c>
      <c r="AE1156" s="625">
        <v>-715.80693999999994</v>
      </c>
      <c r="AF1156" s="625">
        <v>-733.29511000000002</v>
      </c>
      <c r="AG1156" s="625">
        <v>-751.88729000000001</v>
      </c>
      <c r="AH1156" s="625">
        <v>-772.26893000000007</v>
      </c>
      <c r="AI1156" s="625">
        <v>-793.46759000000009</v>
      </c>
      <c r="AJ1156" s="625">
        <v>-815.08090000000016</v>
      </c>
      <c r="AK1156" s="625">
        <v>-836.70770000000016</v>
      </c>
      <c r="AL1156" s="625">
        <v>-858.4273800000002</v>
      </c>
      <c r="AM1156" s="625">
        <v>-880.17001000000027</v>
      </c>
      <c r="AN1156" s="625">
        <v>-900.5228000000003</v>
      </c>
      <c r="AO1156" s="625">
        <v>-919.15447000000029</v>
      </c>
      <c r="AP1156" s="41" t="str">
        <f t="shared" si="496"/>
        <v>Reg AssetN</v>
      </c>
      <c r="AQ1156" s="41" t="str">
        <f t="shared" si="497"/>
        <v>Reg AssetNN10Economic Development</v>
      </c>
      <c r="AR1156" s="41" t="str">
        <f t="shared" si="498"/>
        <v>N10Economic DevelopmentNCR</v>
      </c>
      <c r="CK1156" s="625"/>
    </row>
    <row r="1157" spans="1:89" s="41" customFormat="1" ht="12.75" customHeight="1">
      <c r="A1157" s="442" t="s">
        <v>746</v>
      </c>
      <c r="B1157" s="442" t="str">
        <f t="shared" ref="B1157" si="561">CONCATENATE(A1157,C1157,D1157,E1157)</f>
        <v>Reg Asset254085BG030421</v>
      </c>
      <c r="C1157" s="736">
        <v>254085</v>
      </c>
      <c r="D1157" s="738"/>
      <c r="E1157" s="626" t="s">
        <v>4268</v>
      </c>
      <c r="F1157" s="626" t="str">
        <f t="shared" si="510"/>
        <v>OTH REG LIAB - GAS HEDGES (GAINS)</v>
      </c>
      <c r="G1157" s="626"/>
      <c r="H1157" s="736" t="s">
        <v>1133</v>
      </c>
      <c r="I1157" s="442"/>
      <c r="J1157" s="442"/>
      <c r="K1157" s="442" t="str">
        <f t="shared" si="474"/>
        <v/>
      </c>
      <c r="L1157" s="736" t="s">
        <v>2427</v>
      </c>
      <c r="M1157" s="442" t="str">
        <f t="shared" si="462"/>
        <v>N</v>
      </c>
      <c r="N1157" s="442" t="str">
        <f>IF(L1157&lt;&gt;"",VLOOKUP(L1157,Categories!$B$2:$D$41,2,FALSE),IF(F1157&lt;&gt;"","No Cat",""))</f>
        <v>NRBASE</v>
      </c>
      <c r="O1157" s="442" t="str">
        <f>IF($L1157&lt;&gt;"",VLOOKUP($L1157,Categories!$B$2:$D$41,3,FALSE),IF($F1157&lt;&gt;"","No Cat",""))</f>
        <v>Hedges &amp; OCI</v>
      </c>
      <c r="P1157" s="736" t="s">
        <v>2468</v>
      </c>
      <c r="Q1157" s="442" t="str">
        <f>VLOOKUP($P1157,Allocators!$B$7:$F$19,5,FALSE)</f>
        <v>Not in Rate Base</v>
      </c>
      <c r="R1157" s="737">
        <f>VLOOKUP($P1157,Allocators!$B$7:$F$19,2,FALSE)</f>
        <v>0</v>
      </c>
      <c r="S1157" s="737">
        <f>VLOOKUP($P1157,Allocators!$B$7:$F$19,3,FALSE)</f>
        <v>0</v>
      </c>
      <c r="T1157" s="737">
        <f t="shared" ref="T1157" si="562">IF(P1157="N",1,"0.0%")</f>
        <v>1</v>
      </c>
      <c r="U1157" s="2">
        <f t="shared" si="504"/>
        <v>0</v>
      </c>
      <c r="V1157" s="2">
        <f t="shared" si="505"/>
        <v>0</v>
      </c>
      <c r="W1157" s="2">
        <f t="shared" si="506"/>
        <v>-617.84416666666698</v>
      </c>
      <c r="X1157" s="2">
        <f t="shared" si="502"/>
        <v>-617.84416666666698</v>
      </c>
      <c r="Y1157" s="2" t="str">
        <f t="shared" si="507"/>
        <v/>
      </c>
      <c r="Z1157" s="2" t="str">
        <f t="shared" si="508"/>
        <v/>
      </c>
      <c r="AA1157" s="2" t="str">
        <f t="shared" si="509"/>
        <v/>
      </c>
      <c r="AB1157" s="2">
        <f t="shared" si="503"/>
        <v>0</v>
      </c>
      <c r="AC1157" s="625">
        <v>-543.96</v>
      </c>
      <c r="AD1157" s="625">
        <v>-2206.88</v>
      </c>
      <c r="AE1157" s="625">
        <v>-1390.57</v>
      </c>
      <c r="AF1157" s="625">
        <v>-713.89</v>
      </c>
      <c r="AG1157" s="625">
        <v>-1509.1</v>
      </c>
      <c r="AH1157" s="625">
        <v>-737.69</v>
      </c>
      <c r="AI1157" s="625">
        <v>-574.01</v>
      </c>
      <c r="AJ1157" s="625">
        <v>0</v>
      </c>
      <c r="AK1157" s="625">
        <v>0</v>
      </c>
      <c r="AL1157" s="625">
        <v>-10.01</v>
      </c>
      <c r="AM1157" s="625">
        <v>0</v>
      </c>
      <c r="AN1157" s="625">
        <v>0</v>
      </c>
      <c r="AO1157" s="625">
        <v>0</v>
      </c>
      <c r="AP1157" s="41" t="str">
        <f t="shared" si="496"/>
        <v>Reg AssetN</v>
      </c>
      <c r="AQ1157" s="41" t="str">
        <f t="shared" si="497"/>
        <v>Reg AssetNN5FAS 133</v>
      </c>
      <c r="AR1157" s="41" t="str">
        <f t="shared" si="498"/>
        <v>N5FAS 133</v>
      </c>
      <c r="CK1157" s="625"/>
    </row>
    <row r="1158" spans="1:89" s="41" customFormat="1" ht="12.75" customHeight="1">
      <c r="A1158" s="442" t="s">
        <v>746</v>
      </c>
      <c r="B1158" s="442" t="str">
        <f t="shared" si="560"/>
        <v>Reg Asset254115601247BE030423</v>
      </c>
      <c r="C1158" s="736">
        <v>254115</v>
      </c>
      <c r="D1158" s="738">
        <v>601247</v>
      </c>
      <c r="E1158" s="626" t="s">
        <v>1316</v>
      </c>
      <c r="F1158" s="626" t="str">
        <f t="shared" si="510"/>
        <v>OTH REG LIAB - PURCHASE OF RECEIVABLES-ELECTRIC</v>
      </c>
      <c r="G1158" s="626" t="s">
        <v>1317</v>
      </c>
      <c r="H1158" s="736" t="s">
        <v>1245</v>
      </c>
      <c r="I1158" s="442"/>
      <c r="J1158" s="442" t="str">
        <f t="shared" si="511"/>
        <v/>
      </c>
      <c r="K1158" s="442" t="str">
        <f t="shared" si="474"/>
        <v/>
      </c>
      <c r="L1158" s="736" t="s">
        <v>2421</v>
      </c>
      <c r="M1158" s="442" t="str">
        <f t="shared" si="462"/>
        <v>N</v>
      </c>
      <c r="N1158" s="442" t="str">
        <f>IF(L1158&lt;&gt;"",VLOOKUP(L1158,Categories!$B$2:$D$41,2,FALSE),IF(F1158&lt;&gt;"","No Cat",""))</f>
        <v>NRBASE</v>
      </c>
      <c r="O1158" s="442" t="str">
        <f>IF($L1158&lt;&gt;"",VLOOKUP($L1158,Categories!$B$2:$D$41,3,FALSE),IF($F1158&lt;&gt;"","No Cat",""))</f>
        <v>Direct Assign Items Not in RB</v>
      </c>
      <c r="P1158" s="736" t="s">
        <v>2468</v>
      </c>
      <c r="Q1158" s="442" t="str">
        <f>VLOOKUP($P1158,Allocators!$B$7:$F$19,5,FALSE)</f>
        <v>Not in Rate Base</v>
      </c>
      <c r="R1158" s="737">
        <f>VLOOKUP($P1158,Allocators!$B$7:$F$19,2,FALSE)</f>
        <v>0</v>
      </c>
      <c r="S1158" s="737">
        <f>VLOOKUP($P1158,Allocators!$B$7:$F$19,3,FALSE)</f>
        <v>0</v>
      </c>
      <c r="T1158" s="737">
        <f t="shared" si="463"/>
        <v>1</v>
      </c>
      <c r="U1158" s="2">
        <f t="shared" si="504"/>
        <v>0</v>
      </c>
      <c r="V1158" s="2">
        <f t="shared" si="505"/>
        <v>0</v>
      </c>
      <c r="W1158" s="2">
        <f t="shared" si="506"/>
        <v>-731.03935624999997</v>
      </c>
      <c r="X1158" s="2">
        <f t="shared" si="502"/>
        <v>-731.03935624999997</v>
      </c>
      <c r="Y1158" s="2">
        <f t="shared" si="507"/>
        <v>0</v>
      </c>
      <c r="Z1158" s="2">
        <f t="shared" si="508"/>
        <v>0</v>
      </c>
      <c r="AA1158" s="2">
        <f t="shared" si="509"/>
        <v>-691.36631</v>
      </c>
      <c r="AB1158" s="2">
        <f t="shared" si="503"/>
        <v>-691.36630999999988</v>
      </c>
      <c r="AC1158" s="734">
        <v>-416.65181999999999</v>
      </c>
      <c r="AD1158" s="625">
        <v>-493.76179999999994</v>
      </c>
      <c r="AE1158" s="625">
        <v>-589.94909999999982</v>
      </c>
      <c r="AF1158" s="625">
        <v>-696.49805999999978</v>
      </c>
      <c r="AG1158" s="625">
        <v>-743.28927999999985</v>
      </c>
      <c r="AH1158" s="625">
        <v>-765.72374999999988</v>
      </c>
      <c r="AI1158" s="625">
        <v>-796.3115499999999</v>
      </c>
      <c r="AJ1158" s="625">
        <v>-852.07154999999989</v>
      </c>
      <c r="AK1158" s="625">
        <v>-891.47999000000004</v>
      </c>
      <c r="AL1158" s="625">
        <v>-850.97268999999994</v>
      </c>
      <c r="AM1158" s="625">
        <v>-803.30133999999998</v>
      </c>
      <c r="AN1158" s="625">
        <v>-735.10410000000002</v>
      </c>
      <c r="AO1158" s="625">
        <v>-691.36630999999988</v>
      </c>
      <c r="AP1158" s="41" t="str">
        <f t="shared" si="496"/>
        <v>Reg AssetN</v>
      </c>
      <c r="AQ1158" s="41" t="str">
        <f t="shared" si="497"/>
        <v>Reg AssetNN2Purchase of Receivables</v>
      </c>
      <c r="AR1158" s="41" t="str">
        <f t="shared" si="498"/>
        <v>N2Purchase of Receivables</v>
      </c>
      <c r="CK1158" s="625"/>
    </row>
    <row r="1159" spans="1:89" s="41" customFormat="1" ht="12.75" customHeight="1">
      <c r="A1159" s="442" t="s">
        <v>746</v>
      </c>
      <c r="B1159" s="442" t="str">
        <f t="shared" si="560"/>
        <v>Reg Asset254116801083(old vintages), blanksBG030424</v>
      </c>
      <c r="C1159" s="736">
        <v>254116</v>
      </c>
      <c r="D1159" s="738" t="s">
        <v>4069</v>
      </c>
      <c r="E1159" s="626" t="s">
        <v>1318</v>
      </c>
      <c r="F1159" s="41" t="str">
        <f t="shared" si="510"/>
        <v>OTH REG LIAB - PURCHASE OF RECEIVABLES-GAS</v>
      </c>
      <c r="G1159" s="626" t="s">
        <v>4068</v>
      </c>
      <c r="H1159" s="736" t="s">
        <v>1245</v>
      </c>
      <c r="I1159" s="442"/>
      <c r="J1159" s="442"/>
      <c r="K1159" s="442" t="str">
        <f t="shared" si="474"/>
        <v/>
      </c>
      <c r="L1159" s="736" t="s">
        <v>2441</v>
      </c>
      <c r="M1159" s="442" t="str">
        <f t="shared" si="462"/>
        <v>R</v>
      </c>
      <c r="N1159" s="442" t="str">
        <f>IF(L1159&lt;&gt;"",VLOOKUP(L1159,Categories!$B$2:$D$41,2,FALSE),IF(F1159&lt;&gt;"","No Cat",""))</f>
        <v>Rate Base</v>
      </c>
      <c r="O1159" s="442" t="str">
        <f>IF($L1159&lt;&gt;"",VLOOKUP($L1159,Categories!$B$2:$D$41,3,FALSE),IF($F1159&lt;&gt;"","No Cat",""))</f>
        <v>Deferred Debits &amp; Credits</v>
      </c>
      <c r="P1159" s="736" t="s">
        <v>2483</v>
      </c>
      <c r="Q1159" s="442" t="str">
        <f>VLOOKUP($P1159,Allocators!$B$7:$F$19,5,FALSE)</f>
        <v>Gas</v>
      </c>
      <c r="R1159" s="737">
        <f>VLOOKUP($P1159,Allocators!$B$7:$F$19,2,FALSE)</f>
        <v>0</v>
      </c>
      <c r="S1159" s="737">
        <f>VLOOKUP($P1159,Allocators!$B$7:$F$19,3,FALSE)</f>
        <v>1</v>
      </c>
      <c r="T1159" s="737" t="str">
        <f t="shared" si="463"/>
        <v>0.0%</v>
      </c>
      <c r="U1159" s="2">
        <f t="shared" si="504"/>
        <v>0</v>
      </c>
      <c r="V1159" s="2">
        <f t="shared" si="505"/>
        <v>29.6253429166666</v>
      </c>
      <c r="W1159" s="2">
        <f t="shared" si="506"/>
        <v>0</v>
      </c>
      <c r="X1159" s="2">
        <f t="shared" si="502"/>
        <v>29.6253429166666</v>
      </c>
      <c r="Y1159" s="2">
        <f t="shared" si="507"/>
        <v>0</v>
      </c>
      <c r="Z1159" s="2">
        <f t="shared" si="508"/>
        <v>21.77242</v>
      </c>
      <c r="AA1159" s="2">
        <f t="shared" si="509"/>
        <v>0</v>
      </c>
      <c r="AB1159" s="2">
        <f t="shared" si="503"/>
        <v>21.772419999999997</v>
      </c>
      <c r="AC1159" s="734">
        <v>38.906069999999929</v>
      </c>
      <c r="AD1159" s="625">
        <v>38.906069999999929</v>
      </c>
      <c r="AE1159" s="625">
        <v>38.906069999999929</v>
      </c>
      <c r="AF1159" s="625">
        <v>38.906069999999929</v>
      </c>
      <c r="AG1159" s="625">
        <v>38.906069999999929</v>
      </c>
      <c r="AH1159" s="625">
        <v>38.906069999999929</v>
      </c>
      <c r="AI1159" s="625">
        <v>21.772419999999997</v>
      </c>
      <c r="AJ1159" s="625">
        <v>21.772419999999997</v>
      </c>
      <c r="AK1159" s="625">
        <v>21.772419999999997</v>
      </c>
      <c r="AL1159" s="625">
        <v>21.772419999999997</v>
      </c>
      <c r="AM1159" s="625">
        <v>21.772419999999997</v>
      </c>
      <c r="AN1159" s="625">
        <v>21.772419999999997</v>
      </c>
      <c r="AO1159" s="625">
        <v>21.772419999999997</v>
      </c>
      <c r="AP1159" s="41" t="str">
        <f t="shared" si="496"/>
        <v>Reg AssetR</v>
      </c>
      <c r="AQ1159" s="41" t="str">
        <f t="shared" si="497"/>
        <v>Reg AssetRR10Purchase of Receivables</v>
      </c>
      <c r="AR1159" s="41" t="str">
        <f t="shared" si="498"/>
        <v>R10Purchase of Receivables</v>
      </c>
      <c r="CK1159" s="625"/>
    </row>
    <row r="1160" spans="1:89" s="41" customFormat="1" ht="12.75" customHeight="1">
      <c r="A1160" s="25" t="s">
        <v>746</v>
      </c>
      <c r="B1160" s="25" t="str">
        <f t="shared" si="560"/>
        <v>Reg Asset254116601248BG030424</v>
      </c>
      <c r="C1160" s="736">
        <v>254116</v>
      </c>
      <c r="D1160" s="738">
        <v>601248</v>
      </c>
      <c r="E1160" s="41" t="s">
        <v>1318</v>
      </c>
      <c r="F1160" s="41" t="str">
        <f t="shared" si="510"/>
        <v>OTH REG LIAB - PURCHASE OF RECEIVABLES-GAS</v>
      </c>
      <c r="G1160" s="41" t="s">
        <v>1319</v>
      </c>
      <c r="H1160" s="736" t="s">
        <v>1245</v>
      </c>
      <c r="I1160" s="25"/>
      <c r="J1160" s="25" t="str">
        <f t="shared" si="511"/>
        <v/>
      </c>
      <c r="K1160" s="442" t="str">
        <f t="shared" si="474"/>
        <v/>
      </c>
      <c r="L1160" s="736" t="s">
        <v>2441</v>
      </c>
      <c r="M1160" s="25" t="str">
        <f t="shared" si="462"/>
        <v>R</v>
      </c>
      <c r="N1160" s="25" t="str">
        <f>IF(L1160&lt;&gt;"",VLOOKUP(L1160,Categories!$B$2:$D$41,2,FALSE),IF(F1160&lt;&gt;"","No Cat",""))</f>
        <v>Rate Base</v>
      </c>
      <c r="O1160" s="25" t="str">
        <f>IF($L1160&lt;&gt;"",VLOOKUP($L1160,Categories!$B$2:$D$41,3,FALSE),IF($F1160&lt;&gt;"","No Cat",""))</f>
        <v>Deferred Debits &amp; Credits</v>
      </c>
      <c r="P1160" s="736" t="s">
        <v>2483</v>
      </c>
      <c r="Q1160" s="25" t="str">
        <f>VLOOKUP($P1160,Allocators!$B$7:$F$19,5,FALSE)</f>
        <v>Gas</v>
      </c>
      <c r="R1160" s="737">
        <f>VLOOKUP($P1160,Allocators!$B$7:$F$19,2,FALSE)</f>
        <v>0</v>
      </c>
      <c r="S1160" s="737">
        <f>VLOOKUP($P1160,Allocators!$B$7:$F$19,3,FALSE)</f>
        <v>1</v>
      </c>
      <c r="T1160" s="737" t="str">
        <f t="shared" si="463"/>
        <v>0.0%</v>
      </c>
      <c r="U1160" s="2">
        <f t="shared" si="504"/>
        <v>0</v>
      </c>
      <c r="V1160" s="2">
        <f t="shared" si="505"/>
        <v>-2.1099774999999998</v>
      </c>
      <c r="W1160" s="2">
        <f t="shared" si="506"/>
        <v>0</v>
      </c>
      <c r="X1160" s="2">
        <f t="shared" si="502"/>
        <v>-2.1099774999999998</v>
      </c>
      <c r="Y1160" s="2" t="str">
        <f t="shared" si="507"/>
        <v/>
      </c>
      <c r="Z1160" s="2" t="str">
        <f t="shared" si="508"/>
        <v/>
      </c>
      <c r="AA1160" s="2" t="str">
        <f t="shared" si="509"/>
        <v/>
      </c>
      <c r="AB1160" s="2">
        <f t="shared" si="503"/>
        <v>0</v>
      </c>
      <c r="AC1160" s="734">
        <v>-50.639460000000049</v>
      </c>
      <c r="AD1160" s="625">
        <v>0</v>
      </c>
      <c r="AE1160" s="625">
        <v>0</v>
      </c>
      <c r="AF1160" s="38">
        <v>0</v>
      </c>
      <c r="AG1160" s="625">
        <v>0</v>
      </c>
      <c r="AH1160" s="625">
        <v>0</v>
      </c>
      <c r="AI1160" s="625">
        <v>0</v>
      </c>
      <c r="AJ1160" s="625">
        <v>0</v>
      </c>
      <c r="AK1160" s="625">
        <v>0</v>
      </c>
      <c r="AL1160" s="625">
        <v>0</v>
      </c>
      <c r="AM1160" s="625">
        <v>0</v>
      </c>
      <c r="AN1160" s="625">
        <v>0</v>
      </c>
      <c r="AO1160" s="625">
        <v>0</v>
      </c>
      <c r="AP1160" s="41" t="str">
        <f t="shared" ref="AP1160:AP1223" si="563">CONCATENATE(A1160,M1160)</f>
        <v>Reg AssetR</v>
      </c>
      <c r="AQ1160" s="41" t="str">
        <f t="shared" ref="AQ1160:AQ1223" si="564">CONCATENATE(AP1160,L1160,H1160)</f>
        <v>Reg AssetRR10Purchase of Receivables</v>
      </c>
      <c r="AR1160" s="41" t="str">
        <f t="shared" ref="AR1160:AR1223" si="565">CONCATENATE(L1160,H1160,J1160)</f>
        <v>R10Purchase of Receivables</v>
      </c>
      <c r="CK1160" s="625"/>
    </row>
    <row r="1161" spans="1:89" s="41" customFormat="1" ht="12.75" customHeight="1">
      <c r="A1161" s="25" t="s">
        <v>746</v>
      </c>
      <c r="B1161" s="25" t="str">
        <f t="shared" si="560"/>
        <v>Reg Asset254116601083-ABG030424</v>
      </c>
      <c r="C1161" s="736">
        <v>254116</v>
      </c>
      <c r="D1161" s="738" t="s">
        <v>1320</v>
      </c>
      <c r="E1161" s="41" t="s">
        <v>1318</v>
      </c>
      <c r="F1161" s="41" t="str">
        <f t="shared" si="510"/>
        <v>OTH REG LIAB - PURCHASE OF RECEIVABLES-GAS</v>
      </c>
      <c r="G1161" s="41" t="s">
        <v>1321</v>
      </c>
      <c r="H1161" s="736" t="s">
        <v>1245</v>
      </c>
      <c r="I1161" s="25"/>
      <c r="J1161" s="25" t="str">
        <f t="shared" si="511"/>
        <v/>
      </c>
      <c r="K1161" s="442" t="str">
        <f t="shared" si="474"/>
        <v/>
      </c>
      <c r="L1161" s="736" t="s">
        <v>2441</v>
      </c>
      <c r="M1161" s="25" t="str">
        <f t="shared" si="462"/>
        <v>R</v>
      </c>
      <c r="N1161" s="25" t="str">
        <f>IF(L1161&lt;&gt;"",VLOOKUP(L1161,Categories!$B$2:$D$41,2,FALSE),IF(F1161&lt;&gt;"","No Cat",""))</f>
        <v>Rate Base</v>
      </c>
      <c r="O1161" s="25" t="str">
        <f>IF($L1161&lt;&gt;"",VLOOKUP($L1161,Categories!$B$2:$D$41,3,FALSE),IF($F1161&lt;&gt;"","No Cat",""))</f>
        <v>Deferred Debits &amp; Credits</v>
      </c>
      <c r="P1161" s="736" t="s">
        <v>2483</v>
      </c>
      <c r="Q1161" s="25" t="str">
        <f>VLOOKUP($P1161,Allocators!$B$7:$F$19,5,FALSE)</f>
        <v>Gas</v>
      </c>
      <c r="R1161" s="737">
        <f>VLOOKUP($P1161,Allocators!$B$7:$F$19,2,FALSE)</f>
        <v>0</v>
      </c>
      <c r="S1161" s="737">
        <f>VLOOKUP($P1161,Allocators!$B$7:$F$19,3,FALSE)</f>
        <v>1</v>
      </c>
      <c r="T1161" s="737" t="str">
        <f t="shared" si="463"/>
        <v>0.0%</v>
      </c>
      <c r="U1161" s="2" t="str">
        <f t="shared" si="504"/>
        <v/>
      </c>
      <c r="V1161" s="2" t="str">
        <f t="shared" si="505"/>
        <v/>
      </c>
      <c r="W1161" s="2" t="str">
        <f t="shared" si="506"/>
        <v/>
      </c>
      <c r="X1161" s="2">
        <f t="shared" si="502"/>
        <v>0</v>
      </c>
      <c r="Y1161" s="2" t="str">
        <f t="shared" si="507"/>
        <v/>
      </c>
      <c r="Z1161" s="2" t="str">
        <f t="shared" si="508"/>
        <v/>
      </c>
      <c r="AA1161" s="2" t="str">
        <f t="shared" si="509"/>
        <v/>
      </c>
      <c r="AB1161" s="2">
        <f t="shared" si="503"/>
        <v>0</v>
      </c>
      <c r="AC1161" s="734">
        <v>0</v>
      </c>
      <c r="AD1161" s="625">
        <v>0</v>
      </c>
      <c r="AE1161" s="625">
        <v>0</v>
      </c>
      <c r="AF1161" s="38">
        <v>0</v>
      </c>
      <c r="AG1161" s="625">
        <v>0</v>
      </c>
      <c r="AH1161" s="625">
        <v>0</v>
      </c>
      <c r="AI1161" s="625">
        <v>0</v>
      </c>
      <c r="AJ1161" s="625">
        <v>0</v>
      </c>
      <c r="AK1161" s="625">
        <v>0</v>
      </c>
      <c r="AL1161" s="625">
        <v>0</v>
      </c>
      <c r="AM1161" s="625">
        <v>0</v>
      </c>
      <c r="AN1161" s="625">
        <v>0</v>
      </c>
      <c r="AO1161" s="625">
        <v>0</v>
      </c>
      <c r="AP1161" s="41" t="str">
        <f t="shared" si="563"/>
        <v>Reg AssetR</v>
      </c>
      <c r="AQ1161" s="41" t="str">
        <f t="shared" si="564"/>
        <v>Reg AssetRR10Purchase of Receivables</v>
      </c>
      <c r="AR1161" s="41" t="str">
        <f t="shared" si="565"/>
        <v>R10Purchase of Receivables</v>
      </c>
      <c r="CK1161" s="625"/>
    </row>
    <row r="1162" spans="1:89" s="41" customFormat="1" ht="12.75" customHeight="1">
      <c r="A1162" s="25" t="s">
        <v>746</v>
      </c>
      <c r="B1162" s="25" t="str">
        <f t="shared" ref="B1162" si="566">CONCATENATE(A1162,C1162,D1162,E1162)</f>
        <v>Reg Asset254116POR-ReclassBG039999</v>
      </c>
      <c r="C1162" s="736">
        <v>254116</v>
      </c>
      <c r="D1162" s="738" t="s">
        <v>4359</v>
      </c>
      <c r="E1162" s="41" t="s">
        <v>1148</v>
      </c>
      <c r="F1162" s="41" t="str">
        <f t="shared" si="510"/>
        <v>OTH REG LIAB - PURCHASE OF RECEIVABLES-GAS</v>
      </c>
      <c r="G1162" s="41" t="s">
        <v>4360</v>
      </c>
      <c r="H1162" s="736" t="s">
        <v>1245</v>
      </c>
      <c r="I1162" s="25"/>
      <c r="J1162" s="25"/>
      <c r="K1162" s="442"/>
      <c r="L1162" s="736" t="s">
        <v>2421</v>
      </c>
      <c r="M1162" s="25" t="str">
        <f t="shared" si="462"/>
        <v>N</v>
      </c>
      <c r="N1162" s="25" t="str">
        <f>IF(L1162&lt;&gt;"",VLOOKUP(L1162,Categories!$B$2:$D$41,2,FALSE),IF(F1162&lt;&gt;"","No Cat",""))</f>
        <v>NRBASE</v>
      </c>
      <c r="O1162" s="25" t="str">
        <f>IF($L1162&lt;&gt;"",VLOOKUP($L1162,Categories!$B$2:$D$41,3,FALSE),IF($F1162&lt;&gt;"","No Cat",""))</f>
        <v>Direct Assign Items Not in RB</v>
      </c>
      <c r="P1162" s="736" t="s">
        <v>2468</v>
      </c>
      <c r="Q1162" s="25" t="str">
        <f>VLOOKUP($P1162,Allocators!$B$7:$F$19,5,FALSE)</f>
        <v>Not in Rate Base</v>
      </c>
      <c r="R1162" s="737">
        <f>VLOOKUP($P1162,Allocators!$B$7:$F$19,2,FALSE)</f>
        <v>0</v>
      </c>
      <c r="S1162" s="737">
        <f>VLOOKUP($P1162,Allocators!$B$7:$F$19,3,FALSE)</f>
        <v>0</v>
      </c>
      <c r="T1162" s="737">
        <f t="shared" si="463"/>
        <v>1</v>
      </c>
      <c r="U1162" s="2">
        <f t="shared" si="504"/>
        <v>0</v>
      </c>
      <c r="V1162" s="2">
        <f t="shared" si="505"/>
        <v>0</v>
      </c>
      <c r="W1162" s="2">
        <f t="shared" si="506"/>
        <v>-616.92834875000005</v>
      </c>
      <c r="X1162" s="2">
        <f t="shared" si="502"/>
        <v>-616.92834875000005</v>
      </c>
      <c r="Y1162" s="2">
        <f t="shared" si="507"/>
        <v>0</v>
      </c>
      <c r="Z1162" s="2">
        <f t="shared" si="508"/>
        <v>0</v>
      </c>
      <c r="AA1162" s="2">
        <f t="shared" si="509"/>
        <v>-1147.0616399999999</v>
      </c>
      <c r="AB1162" s="2">
        <f t="shared" si="503"/>
        <v>-1147.0616399999999</v>
      </c>
      <c r="AC1162" s="734">
        <v>-1323.7073300000002</v>
      </c>
      <c r="AD1162" s="625">
        <v>0</v>
      </c>
      <c r="AE1162" s="625">
        <v>-1098.3678200000002</v>
      </c>
      <c r="AF1162" s="625">
        <v>-951.21306000000004</v>
      </c>
      <c r="AG1162" s="625">
        <v>-877.14571000000012</v>
      </c>
      <c r="AH1162" s="625">
        <v>0</v>
      </c>
      <c r="AI1162" s="625">
        <v>0</v>
      </c>
      <c r="AJ1162" s="625">
        <v>0</v>
      </c>
      <c r="AK1162" s="625">
        <v>-1009.59202</v>
      </c>
      <c r="AL1162" s="625">
        <v>-1084.37545</v>
      </c>
      <c r="AM1162" s="625">
        <v>0</v>
      </c>
      <c r="AN1162" s="625">
        <v>-1147.0616399999999</v>
      </c>
      <c r="AO1162" s="625">
        <v>-1147.0616399999999</v>
      </c>
      <c r="AP1162" s="41" t="str">
        <f t="shared" si="563"/>
        <v>Reg AssetN</v>
      </c>
      <c r="AQ1162" s="41" t="str">
        <f t="shared" si="564"/>
        <v>Reg AssetNN2Purchase of Receivables</v>
      </c>
      <c r="AR1162" s="41" t="str">
        <f t="shared" si="565"/>
        <v>N2Purchase of Receivables</v>
      </c>
      <c r="CK1162" s="625"/>
    </row>
    <row r="1163" spans="1:89" s="41" customFormat="1" ht="12.75" customHeight="1">
      <c r="A1163" s="25" t="s">
        <v>746</v>
      </c>
      <c r="B1163" s="25" t="str">
        <f t="shared" ref="B1163" si="567">CONCATENATE(A1163,C1163,D1163,E1163)</f>
        <v>Reg Asset254116601264BG030424</v>
      </c>
      <c r="C1163" s="736">
        <v>254116</v>
      </c>
      <c r="D1163" s="738">
        <v>601264</v>
      </c>
      <c r="E1163" s="41" t="s">
        <v>1318</v>
      </c>
      <c r="F1163" s="41" t="str">
        <f t="shared" si="510"/>
        <v>OTH REG LIAB - PURCHASE OF RECEIVABLES-GAS</v>
      </c>
      <c r="G1163" s="41" t="s">
        <v>4068</v>
      </c>
      <c r="H1163" s="736" t="s">
        <v>1245</v>
      </c>
      <c r="I1163" s="25"/>
      <c r="J1163" s="25" t="str">
        <f t="shared" ref="J1163" si="568">IF(L1163="N10","Y",IF(L1163="N8","Y",""))</f>
        <v/>
      </c>
      <c r="K1163" s="442" t="str">
        <f t="shared" ref="K1163" si="569">IF(L1163="N3","Y","")</f>
        <v/>
      </c>
      <c r="L1163" s="736" t="s">
        <v>2441</v>
      </c>
      <c r="M1163" s="25" t="str">
        <f t="shared" ref="M1163" si="570">LEFT(L1163,1)</f>
        <v>R</v>
      </c>
      <c r="N1163" s="25" t="str">
        <f>IF(L1163&lt;&gt;"",VLOOKUP(L1163,Categories!$B$2:$D$41,2,FALSE),IF(F1163&lt;&gt;"","No Cat",""))</f>
        <v>Rate Base</v>
      </c>
      <c r="O1163" s="25" t="str">
        <f>IF($L1163&lt;&gt;"",VLOOKUP($L1163,Categories!$B$2:$D$41,3,FALSE),IF($F1163&lt;&gt;"","No Cat",""))</f>
        <v>Deferred Debits &amp; Credits</v>
      </c>
      <c r="P1163" s="736" t="s">
        <v>2483</v>
      </c>
      <c r="Q1163" s="25" t="str">
        <f>VLOOKUP($P1163,Allocators!$B$7:$F$19,5,FALSE)</f>
        <v>Gas</v>
      </c>
      <c r="R1163" s="737">
        <f>VLOOKUP($P1163,Allocators!$B$7:$F$19,2,FALSE)</f>
        <v>0</v>
      </c>
      <c r="S1163" s="737">
        <f>VLOOKUP($P1163,Allocators!$B$7:$F$19,3,FALSE)</f>
        <v>1</v>
      </c>
      <c r="T1163" s="737" t="str">
        <f t="shared" ref="T1163" si="571">IF(P1163="N",1,"0.0%")</f>
        <v>0.0%</v>
      </c>
      <c r="U1163" s="2">
        <f t="shared" si="504"/>
        <v>0</v>
      </c>
      <c r="V1163" s="2">
        <f t="shared" si="505"/>
        <v>-316.04779166666702</v>
      </c>
      <c r="W1163" s="2">
        <f t="shared" si="506"/>
        <v>0</v>
      </c>
      <c r="X1163" s="2">
        <f t="shared" si="502"/>
        <v>-316.04779166666702</v>
      </c>
      <c r="Y1163" s="2">
        <f t="shared" si="507"/>
        <v>0</v>
      </c>
      <c r="Z1163" s="2">
        <f t="shared" si="508"/>
        <v>-210.1515</v>
      </c>
      <c r="AA1163" s="2">
        <f t="shared" si="509"/>
        <v>0</v>
      </c>
      <c r="AB1163" s="2">
        <f t="shared" si="503"/>
        <v>-210.15150000000006</v>
      </c>
      <c r="AC1163" s="734"/>
      <c r="AD1163" s="625">
        <v>-161.81664999999998</v>
      </c>
      <c r="AE1163" s="625">
        <v>-275.97896999999995</v>
      </c>
      <c r="AF1163" s="625">
        <v>-423.13372999999996</v>
      </c>
      <c r="AG1163" s="625">
        <v>-497.20107999999999</v>
      </c>
      <c r="AH1163" s="625">
        <v>-502.49780000000004</v>
      </c>
      <c r="AI1163" s="625">
        <v>-447.80955000000012</v>
      </c>
      <c r="AJ1163" s="625">
        <v>-398.76883000000009</v>
      </c>
      <c r="AK1163" s="625">
        <v>-347.62112000000013</v>
      </c>
      <c r="AL1163" s="625">
        <v>-272.83769000000012</v>
      </c>
      <c r="AM1163" s="625">
        <v>-206.74965000000009</v>
      </c>
      <c r="AN1163" s="625">
        <v>-153.08268000000007</v>
      </c>
      <c r="AO1163" s="625">
        <v>-210.15150000000006</v>
      </c>
      <c r="AP1163" s="41" t="str">
        <f t="shared" si="563"/>
        <v>Reg AssetR</v>
      </c>
      <c r="AQ1163" s="41" t="str">
        <f t="shared" si="564"/>
        <v>Reg AssetRR10Purchase of Receivables</v>
      </c>
      <c r="AR1163" s="41" t="str">
        <f t="shared" si="565"/>
        <v>R10Purchase of Receivables</v>
      </c>
      <c r="CK1163" s="625"/>
    </row>
    <row r="1164" spans="1:89" s="41" customFormat="1" ht="12.75" customHeight="1">
      <c r="A1164" s="25" t="s">
        <v>746</v>
      </c>
      <c r="B1164" s="25" t="str">
        <f t="shared" si="560"/>
        <v>Reg Asset254116601083-LBG030424</v>
      </c>
      <c r="C1164" s="736">
        <v>254116</v>
      </c>
      <c r="D1164" s="738" t="s">
        <v>1322</v>
      </c>
      <c r="E1164" s="41" t="s">
        <v>1318</v>
      </c>
      <c r="F1164" s="41" t="str">
        <f t="shared" si="510"/>
        <v>OTH REG LIAB - PURCHASE OF RECEIVABLES-GAS</v>
      </c>
      <c r="G1164" s="41" t="s">
        <v>1321</v>
      </c>
      <c r="H1164" s="736" t="s">
        <v>1245</v>
      </c>
      <c r="I1164" s="25"/>
      <c r="J1164" s="25" t="str">
        <f t="shared" si="511"/>
        <v/>
      </c>
      <c r="K1164" s="442" t="str">
        <f t="shared" si="474"/>
        <v/>
      </c>
      <c r="L1164" s="736" t="s">
        <v>2441</v>
      </c>
      <c r="M1164" s="25" t="str">
        <f t="shared" ref="M1164:M1227" si="572">LEFT(L1164,1)</f>
        <v>R</v>
      </c>
      <c r="N1164" s="25" t="str">
        <f>IF(L1164&lt;&gt;"",VLOOKUP(L1164,Categories!$B$2:$D$41,2,FALSE),IF(F1164&lt;&gt;"","No Cat",""))</f>
        <v>Rate Base</v>
      </c>
      <c r="O1164" s="25" t="str">
        <f>IF($L1164&lt;&gt;"",VLOOKUP($L1164,Categories!$B$2:$D$41,3,FALSE),IF($F1164&lt;&gt;"","No Cat",""))</f>
        <v>Deferred Debits &amp; Credits</v>
      </c>
      <c r="P1164" s="736" t="s">
        <v>2483</v>
      </c>
      <c r="Q1164" s="25" t="str">
        <f>VLOOKUP($P1164,Allocators!$B$7:$F$19,5,FALSE)</f>
        <v>Gas</v>
      </c>
      <c r="R1164" s="737">
        <f>VLOOKUP($P1164,Allocators!$B$7:$F$19,2,FALSE)</f>
        <v>0</v>
      </c>
      <c r="S1164" s="737">
        <f>VLOOKUP($P1164,Allocators!$B$7:$F$19,3,FALSE)</f>
        <v>1</v>
      </c>
      <c r="T1164" s="737" t="str">
        <f t="shared" ref="T1164:T1227" si="573">IF(P1164="N",1,"0.0%")</f>
        <v>0.0%</v>
      </c>
      <c r="U1164" s="2">
        <f t="shared" si="504"/>
        <v>0</v>
      </c>
      <c r="V1164" s="2">
        <f t="shared" si="505"/>
        <v>1335.4407200000001</v>
      </c>
      <c r="W1164" s="2">
        <f t="shared" si="506"/>
        <v>0</v>
      </c>
      <c r="X1164" s="2">
        <f t="shared" si="502"/>
        <v>1335.4407200000001</v>
      </c>
      <c r="Y1164" s="2">
        <f t="shared" si="507"/>
        <v>0</v>
      </c>
      <c r="Z1164" s="2">
        <f t="shared" si="508"/>
        <v>1335.4407200000001</v>
      </c>
      <c r="AA1164" s="2">
        <f t="shared" si="509"/>
        <v>0</v>
      </c>
      <c r="AB1164" s="2">
        <f t="shared" si="503"/>
        <v>1335.4407200000001</v>
      </c>
      <c r="AC1164" s="734">
        <v>1335.4407200000001</v>
      </c>
      <c r="AD1164" s="625">
        <v>1335.4407200000001</v>
      </c>
      <c r="AE1164" s="625">
        <v>1335.4407200000001</v>
      </c>
      <c r="AF1164" s="625">
        <v>1335.4407200000001</v>
      </c>
      <c r="AG1164" s="625">
        <v>1335.4407200000001</v>
      </c>
      <c r="AH1164" s="625">
        <v>1335.4407200000001</v>
      </c>
      <c r="AI1164" s="625">
        <v>1335.4407200000001</v>
      </c>
      <c r="AJ1164" s="625">
        <v>1335.4407200000001</v>
      </c>
      <c r="AK1164" s="625">
        <v>1335.4407200000001</v>
      </c>
      <c r="AL1164" s="625">
        <v>1335.4407200000001</v>
      </c>
      <c r="AM1164" s="625">
        <v>1335.4407200000001</v>
      </c>
      <c r="AN1164" s="625">
        <v>1335.4407200000001</v>
      </c>
      <c r="AO1164" s="625">
        <v>1335.4407200000001</v>
      </c>
      <c r="AP1164" s="41" t="str">
        <f t="shared" si="563"/>
        <v>Reg AssetR</v>
      </c>
      <c r="AQ1164" s="41" t="str">
        <f t="shared" si="564"/>
        <v>Reg AssetRR10Purchase of Receivables</v>
      </c>
      <c r="AR1164" s="41" t="str">
        <f t="shared" si="565"/>
        <v>R10Purchase of Receivables</v>
      </c>
      <c r="CK1164" s="625"/>
    </row>
    <row r="1165" spans="1:89" s="41" customFormat="1" ht="12.75" customHeight="1">
      <c r="A1165" s="442" t="s">
        <v>746</v>
      </c>
      <c r="B1165" s="442" t="str">
        <f t="shared" si="560"/>
        <v>Reg Asset254171BG030188</v>
      </c>
      <c r="C1165" s="736">
        <v>254171</v>
      </c>
      <c r="D1165" s="738"/>
      <c r="E1165" s="626" t="s">
        <v>1323</v>
      </c>
      <c r="F1165" s="626" t="str">
        <f t="shared" si="510"/>
        <v>OTHER REGULATORY LIAB-STORM COSTS RESERVE</v>
      </c>
      <c r="G1165" s="626" t="s">
        <v>1324</v>
      </c>
      <c r="H1165" s="736" t="s">
        <v>1325</v>
      </c>
      <c r="I1165" s="442"/>
      <c r="J1165" s="442" t="s">
        <v>7</v>
      </c>
      <c r="K1165" s="442" t="str">
        <f t="shared" ref="K1165:K1228" si="574">IF(L1165="N3","Y","")</f>
        <v/>
      </c>
      <c r="L1165" s="736" t="s">
        <v>2436</v>
      </c>
      <c r="M1165" s="442" t="str">
        <f t="shared" si="572"/>
        <v>N</v>
      </c>
      <c r="N1165" s="442" t="str">
        <f>IF(L1165&lt;&gt;"",VLOOKUP(L1165,Categories!$B$2:$D$41,2,FALSE),IF(F1165&lt;&gt;"","No Cat",""))</f>
        <v>NRBASE</v>
      </c>
      <c r="O1165" s="442" t="str">
        <f>IF($L1165&lt;&gt;"",VLOOKUP($L1165,Categories!$B$2:$D$41,3,FALSE),IF($F1165&lt;&gt;"","No Cat",""))</f>
        <v>Deferrals Accruing Non-Cash Return   (other than ASGA)</v>
      </c>
      <c r="P1165" s="736" t="s">
        <v>2468</v>
      </c>
      <c r="Q1165" s="442" t="str">
        <f>VLOOKUP($P1165,Allocators!$B$7:$F$19,5,FALSE)</f>
        <v>Not in Rate Base</v>
      </c>
      <c r="R1165" s="737">
        <f>VLOOKUP($P1165,Allocators!$B$7:$F$19,2,FALSE)</f>
        <v>0</v>
      </c>
      <c r="S1165" s="737">
        <f>VLOOKUP($P1165,Allocators!$B$7:$F$19,3,FALSE)</f>
        <v>0</v>
      </c>
      <c r="T1165" s="737">
        <f t="shared" si="573"/>
        <v>1</v>
      </c>
      <c r="U1165" s="2">
        <f t="shared" si="504"/>
        <v>0</v>
      </c>
      <c r="V1165" s="2">
        <f t="shared" si="505"/>
        <v>0</v>
      </c>
      <c r="W1165" s="2">
        <f t="shared" si="506"/>
        <v>-1235.4077858333301</v>
      </c>
      <c r="X1165" s="2">
        <f t="shared" si="502"/>
        <v>-1235.4077858333301</v>
      </c>
      <c r="Y1165" s="2">
        <f t="shared" si="507"/>
        <v>0</v>
      </c>
      <c r="Z1165" s="2">
        <f t="shared" si="508"/>
        <v>0</v>
      </c>
      <c r="AA1165" s="2">
        <f t="shared" si="509"/>
        <v>-1238.2378100000001</v>
      </c>
      <c r="AB1165" s="2">
        <f t="shared" si="503"/>
        <v>-1238.2378099999999</v>
      </c>
      <c r="AC1165" s="734">
        <v>-644.43534999999963</v>
      </c>
      <c r="AD1165" s="625">
        <v>-451.34852999999998</v>
      </c>
      <c r="AE1165" s="625">
        <v>-591.29611</v>
      </c>
      <c r="AF1165" s="625">
        <v>-803.66543999999999</v>
      </c>
      <c r="AG1165" s="625">
        <v>-2775.5649099999996</v>
      </c>
      <c r="AH1165" s="625">
        <v>-2729.7561099999994</v>
      </c>
      <c r="AI1165" s="625">
        <v>-2098.2161599999999</v>
      </c>
      <c r="AJ1165" s="625">
        <v>-2016.5171499999999</v>
      </c>
      <c r="AK1165" s="625">
        <v>-237.72282999999985</v>
      </c>
      <c r="AL1165" s="625">
        <v>-532.39315999999997</v>
      </c>
      <c r="AM1165" s="625">
        <v>-718.11330999999984</v>
      </c>
      <c r="AN1165" s="625">
        <v>-928.96313999999995</v>
      </c>
      <c r="AO1165" s="625">
        <v>-1238.2378099999999</v>
      </c>
      <c r="AP1165" s="41" t="str">
        <f t="shared" si="563"/>
        <v>Reg AssetN</v>
      </c>
      <c r="AQ1165" s="41" t="str">
        <f t="shared" si="564"/>
        <v>Reg AssetNN10Major Storm Reserve</v>
      </c>
      <c r="AR1165" s="41" t="str">
        <f t="shared" si="565"/>
        <v>N10Major Storm ReserveNCR</v>
      </c>
      <c r="CK1165" s="625"/>
    </row>
    <row r="1166" spans="1:89" s="41" customFormat="1" ht="12.75" customHeight="1">
      <c r="A1166" s="442" t="s">
        <v>746</v>
      </c>
      <c r="B1166" s="442" t="str">
        <f t="shared" si="560"/>
        <v>Reg Asset254670601074GBG030131</v>
      </c>
      <c r="C1166" s="736">
        <v>254670</v>
      </c>
      <c r="D1166" s="738" t="s">
        <v>930</v>
      </c>
      <c r="E1166" s="626" t="s">
        <v>1326</v>
      </c>
      <c r="F1166" s="626" t="str">
        <f t="shared" si="510"/>
        <v>OTHER REG LIAB-ASSET RETIREMENT OBLIGATION GAS</v>
      </c>
      <c r="G1166" s="626" t="s">
        <v>1327</v>
      </c>
      <c r="H1166" s="736" t="s">
        <v>1138</v>
      </c>
      <c r="I1166" s="442"/>
      <c r="J1166" s="442" t="str">
        <f t="shared" si="511"/>
        <v/>
      </c>
      <c r="K1166" s="442" t="str">
        <f t="shared" si="574"/>
        <v/>
      </c>
      <c r="L1166" s="736" t="s">
        <v>2421</v>
      </c>
      <c r="M1166" s="442" t="str">
        <f t="shared" si="572"/>
        <v>N</v>
      </c>
      <c r="N1166" s="442" t="str">
        <f>IF(L1166&lt;&gt;"",VLOOKUP(L1166,Categories!$B$2:$D$41,2,FALSE),IF(F1166&lt;&gt;"","No Cat",""))</f>
        <v>NRBASE</v>
      </c>
      <c r="O1166" s="442" t="str">
        <f>IF($L1166&lt;&gt;"",VLOOKUP($L1166,Categories!$B$2:$D$41,3,FALSE),IF($F1166&lt;&gt;"","No Cat",""))</f>
        <v>Direct Assign Items Not in RB</v>
      </c>
      <c r="P1166" s="736" t="s">
        <v>2468</v>
      </c>
      <c r="Q1166" s="442" t="str">
        <f>VLOOKUP($P1166,Allocators!$B$7:$F$19,5,FALSE)</f>
        <v>Not in Rate Base</v>
      </c>
      <c r="R1166" s="737">
        <f>VLOOKUP($P1166,Allocators!$B$7:$F$19,2,FALSE)</f>
        <v>0</v>
      </c>
      <c r="S1166" s="737">
        <f>VLOOKUP($P1166,Allocators!$B$7:$F$19,3,FALSE)</f>
        <v>0</v>
      </c>
      <c r="T1166" s="737">
        <f t="shared" si="573"/>
        <v>1</v>
      </c>
      <c r="U1166" s="2">
        <f t="shared" si="504"/>
        <v>0</v>
      </c>
      <c r="V1166" s="2">
        <f t="shared" si="505"/>
        <v>0</v>
      </c>
      <c r="W1166" s="2">
        <f t="shared" si="506"/>
        <v>-1374.4324829166701</v>
      </c>
      <c r="X1166" s="2">
        <f t="shared" si="502"/>
        <v>-1374.4324829166701</v>
      </c>
      <c r="Y1166" s="2">
        <f t="shared" si="507"/>
        <v>0</v>
      </c>
      <c r="Z1166" s="2">
        <f t="shared" si="508"/>
        <v>0</v>
      </c>
      <c r="AA1166" s="2">
        <f t="shared" si="509"/>
        <v>-1416.11616</v>
      </c>
      <c r="AB1166" s="2">
        <f t="shared" si="503"/>
        <v>-1416.1161599999998</v>
      </c>
      <c r="AC1166" s="734">
        <v>-1383.0923099999993</v>
      </c>
      <c r="AD1166" s="625">
        <v>-1380.2916399999999</v>
      </c>
      <c r="AE1166" s="625">
        <v>-1377.4799699999999</v>
      </c>
      <c r="AF1166" s="625">
        <v>-1374.65725</v>
      </c>
      <c r="AG1166" s="625">
        <v>-1371.82341</v>
      </c>
      <c r="AH1166" s="625">
        <v>-1368.9784199999999</v>
      </c>
      <c r="AI1166" s="625">
        <v>-1366.12222</v>
      </c>
      <c r="AJ1166" s="625">
        <v>-1363.25478</v>
      </c>
      <c r="AK1166" s="625">
        <v>-1360.3760300000001</v>
      </c>
      <c r="AL1166" s="625">
        <v>-1357.4859299999998</v>
      </c>
      <c r="AM1166" s="625">
        <v>-1354.5844199999999</v>
      </c>
      <c r="AN1166" s="625">
        <v>-1418.5314900000001</v>
      </c>
      <c r="AO1166" s="625">
        <v>-1416.1161599999998</v>
      </c>
      <c r="AP1166" s="41" t="str">
        <f t="shared" si="563"/>
        <v>Reg AssetN</v>
      </c>
      <c r="AQ1166" s="41" t="str">
        <f t="shared" si="564"/>
        <v>Reg AssetNN2Asset Retirement Obligation</v>
      </c>
      <c r="AR1166" s="41" t="str">
        <f t="shared" si="565"/>
        <v>N2Asset Retirement Obligation</v>
      </c>
      <c r="CK1166" s="625"/>
    </row>
    <row r="1167" spans="1:89" s="41" customFormat="1" ht="12.75" customHeight="1">
      <c r="A1167" s="442" t="s">
        <v>746</v>
      </c>
      <c r="B1167" s="442" t="str">
        <f t="shared" si="560"/>
        <v>Reg Asset254680BE030426</v>
      </c>
      <c r="C1167" s="736">
        <v>254680</v>
      </c>
      <c r="D1167" s="738"/>
      <c r="E1167" s="626" t="s">
        <v>1328</v>
      </c>
      <c r="F1167" s="626" t="str">
        <f t="shared" si="510"/>
        <v>OTH REGULATORY LIAB-PASGA2</v>
      </c>
      <c r="G1167" s="626" t="s">
        <v>1329</v>
      </c>
      <c r="H1167" s="736" t="s">
        <v>1330</v>
      </c>
      <c r="I1167" s="442"/>
      <c r="J1167" s="442" t="s">
        <v>7</v>
      </c>
      <c r="K1167" s="442" t="str">
        <f t="shared" si="574"/>
        <v/>
      </c>
      <c r="L1167" s="736" t="s">
        <v>2432</v>
      </c>
      <c r="M1167" s="442" t="str">
        <f t="shared" si="572"/>
        <v>N</v>
      </c>
      <c r="N1167" s="442" t="str">
        <f>IF(L1167&lt;&gt;"",VLOOKUP(L1167,Categories!$B$2:$D$41,2,FALSE),IF(F1167&lt;&gt;"","No Cat",""))</f>
        <v>NRBASE</v>
      </c>
      <c r="O1167" s="442" t="str">
        <f>IF($L1167&lt;&gt;"",VLOOKUP($L1167,Categories!$B$2:$D$41,3,FALSE),IF($F1167&lt;&gt;"","No Cat",""))</f>
        <v>NM-2 ASGA</v>
      </c>
      <c r="P1167" s="736" t="s">
        <v>2468</v>
      </c>
      <c r="Q1167" s="442" t="str">
        <f>VLOOKUP($P1167,Allocators!$B$7:$F$19,5,FALSE)</f>
        <v>Not in Rate Base</v>
      </c>
      <c r="R1167" s="737">
        <f>VLOOKUP($P1167,Allocators!$B$7:$F$19,2,FALSE)</f>
        <v>0</v>
      </c>
      <c r="S1167" s="737">
        <f>VLOOKUP($P1167,Allocators!$B$7:$F$19,3,FALSE)</f>
        <v>0</v>
      </c>
      <c r="T1167" s="737">
        <f t="shared" si="573"/>
        <v>1</v>
      </c>
      <c r="U1167" s="2" t="str">
        <f t="shared" si="504"/>
        <v/>
      </c>
      <c r="V1167" s="2" t="str">
        <f t="shared" si="505"/>
        <v/>
      </c>
      <c r="W1167" s="2" t="str">
        <f t="shared" si="506"/>
        <v/>
      </c>
      <c r="X1167" s="2">
        <f t="shared" ref="X1167:X1230" si="575">IF(ISERROR(ROUND((SUM(AC1167:AO1167)-((AC1167+AO1167))/2)/12,15)),"",ROUND((SUM(AC1167:AO1167)-((AC1167+AO1167))/2)/12,15))</f>
        <v>0</v>
      </c>
      <c r="Y1167" s="2" t="str">
        <f t="shared" si="507"/>
        <v/>
      </c>
      <c r="Z1167" s="2" t="str">
        <f t="shared" si="508"/>
        <v/>
      </c>
      <c r="AA1167" s="2" t="str">
        <f t="shared" si="509"/>
        <v/>
      </c>
      <c r="AB1167" s="2">
        <f t="shared" ref="AB1167:AB1230" si="576">IF(AO1167="",0,+AO1167)</f>
        <v>0</v>
      </c>
      <c r="AC1167" s="625">
        <v>0</v>
      </c>
      <c r="AD1167" s="625">
        <v>0</v>
      </c>
      <c r="AE1167" s="625">
        <v>0</v>
      </c>
      <c r="AF1167" s="38">
        <v>0</v>
      </c>
      <c r="AG1167" s="625">
        <v>0</v>
      </c>
      <c r="AH1167" s="625">
        <v>0</v>
      </c>
      <c r="AI1167" s="625">
        <v>0</v>
      </c>
      <c r="AJ1167" s="625">
        <v>0</v>
      </c>
      <c r="AK1167" s="625">
        <v>0</v>
      </c>
      <c r="AL1167" s="625">
        <v>0</v>
      </c>
      <c r="AM1167" s="625">
        <v>0</v>
      </c>
      <c r="AN1167" s="625">
        <v>0</v>
      </c>
      <c r="AO1167" s="625">
        <v>0</v>
      </c>
      <c r="AP1167" s="41" t="str">
        <f t="shared" si="563"/>
        <v>Reg AssetN</v>
      </c>
      <c r="AQ1167" s="41" t="str">
        <f t="shared" si="564"/>
        <v>Reg AssetNN8ASGA</v>
      </c>
      <c r="AR1167" s="41" t="str">
        <f t="shared" si="565"/>
        <v>N8ASGANCR</v>
      </c>
      <c r="CK1167" s="625"/>
    </row>
    <row r="1168" spans="1:89" s="41" customFormat="1" ht="12.75" customHeight="1">
      <c r="A1168" s="25" t="s">
        <v>746</v>
      </c>
      <c r="B1168" s="25" t="str">
        <f t="shared" si="560"/>
        <v>Reg Asset254690BE030427</v>
      </c>
      <c r="C1168" s="736">
        <v>254690</v>
      </c>
      <c r="D1168" s="738"/>
      <c r="E1168" s="41" t="s">
        <v>1331</v>
      </c>
      <c r="F1168" s="41" t="str">
        <f t="shared" si="510"/>
        <v>OTH REGULATORY LIAB-BEE BEE DECOMMISSIONING</v>
      </c>
      <c r="G1168" s="41" t="s">
        <v>1332</v>
      </c>
      <c r="H1168" s="736" t="s">
        <v>1332</v>
      </c>
      <c r="I1168" s="25"/>
      <c r="J1168" s="25" t="str">
        <f t="shared" si="511"/>
        <v/>
      </c>
      <c r="K1168" s="442" t="str">
        <f t="shared" si="574"/>
        <v/>
      </c>
      <c r="L1168" s="736" t="s">
        <v>2441</v>
      </c>
      <c r="M1168" s="25" t="str">
        <f t="shared" si="572"/>
        <v>R</v>
      </c>
      <c r="N1168" s="25" t="str">
        <f>IF(L1168&lt;&gt;"",VLOOKUP(L1168,Categories!$B$2:$D$41,2,FALSE),IF(F1168&lt;&gt;"","No Cat",""))</f>
        <v>Rate Base</v>
      </c>
      <c r="O1168" s="25" t="str">
        <f>IF($L1168&lt;&gt;"",VLOOKUP($L1168,Categories!$B$2:$D$41,3,FALSE),IF($F1168&lt;&gt;"","No Cat",""))</f>
        <v>Deferred Debits &amp; Credits</v>
      </c>
      <c r="P1168" s="736" t="s">
        <v>2482</v>
      </c>
      <c r="Q1168" s="25" t="str">
        <f>VLOOKUP($P1168,Allocators!$B$7:$F$19,5,FALSE)</f>
        <v>Electric</v>
      </c>
      <c r="R1168" s="737">
        <f>VLOOKUP($P1168,Allocators!$B$7:$F$19,2,FALSE)</f>
        <v>1</v>
      </c>
      <c r="S1168" s="737">
        <f>VLOOKUP($P1168,Allocators!$B$7:$F$19,3,FALSE)</f>
        <v>0</v>
      </c>
      <c r="T1168" s="737" t="str">
        <f t="shared" si="573"/>
        <v>0.0%</v>
      </c>
      <c r="U1168" s="2">
        <f t="shared" si="504"/>
        <v>-6810.4008695833299</v>
      </c>
      <c r="V1168" s="2">
        <f t="shared" si="505"/>
        <v>0</v>
      </c>
      <c r="W1168" s="2">
        <f t="shared" si="506"/>
        <v>0</v>
      </c>
      <c r="X1168" s="2">
        <f t="shared" si="575"/>
        <v>-6810.4008695833299</v>
      </c>
      <c r="Y1168" s="2">
        <f t="shared" si="507"/>
        <v>-4977.3261400000001</v>
      </c>
      <c r="Z1168" s="2">
        <f t="shared" si="508"/>
        <v>0</v>
      </c>
      <c r="AA1168" s="2">
        <f t="shared" si="509"/>
        <v>0</v>
      </c>
      <c r="AB1168" s="2">
        <f t="shared" si="576"/>
        <v>-4977.326140000001</v>
      </c>
      <c r="AC1168" s="734">
        <v>-7534.41255</v>
      </c>
      <c r="AD1168" s="625">
        <v>-7459.6866799999998</v>
      </c>
      <c r="AE1168" s="625">
        <v>-7326.73614</v>
      </c>
      <c r="AF1168" s="625">
        <v>-7149.2435099999993</v>
      </c>
      <c r="AG1168" s="625">
        <v>-7057.6528399999997</v>
      </c>
      <c r="AH1168" s="625">
        <v>-6849.6649299999999</v>
      </c>
      <c r="AI1168" s="625">
        <v>-6767.5591399999994</v>
      </c>
      <c r="AJ1168" s="625">
        <v>-6710.4997100000001</v>
      </c>
      <c r="AK1168" s="625">
        <v>-6656.00972</v>
      </c>
      <c r="AL1168" s="625">
        <v>-6569.2175800000005</v>
      </c>
      <c r="AM1168" s="625">
        <v>-6510.8670700000002</v>
      </c>
      <c r="AN1168" s="625">
        <v>-6411.8037700000004</v>
      </c>
      <c r="AO1168" s="625">
        <v>-4977.326140000001</v>
      </c>
      <c r="AP1168" s="41" t="str">
        <f t="shared" si="563"/>
        <v>Reg AssetR</v>
      </c>
      <c r="AQ1168" s="41" t="str">
        <f t="shared" si="564"/>
        <v>Reg AssetRR10Beebee Decommissioning</v>
      </c>
      <c r="AR1168" s="41" t="str">
        <f t="shared" si="565"/>
        <v>R10Beebee Decommissioning</v>
      </c>
      <c r="CK1168" s="625"/>
    </row>
    <row r="1169" spans="1:89" s="41" customFormat="1" ht="12.75" customHeight="1">
      <c r="A1169" s="442" t="s">
        <v>746</v>
      </c>
      <c r="B1169" s="442" t="str">
        <f t="shared" si="560"/>
        <v>Reg Asset254266DSOBE030149</v>
      </c>
      <c r="C1169" s="736">
        <v>254266</v>
      </c>
      <c r="D1169" s="738" t="s">
        <v>932</v>
      </c>
      <c r="E1169" s="626" t="s">
        <v>987</v>
      </c>
      <c r="F1169" s="626" t="str">
        <f t="shared" si="510"/>
        <v>OTH REGULATORY LIAB-DSO ELECTRIC HEDGES (GAINS)</v>
      </c>
      <c r="G1169" s="626"/>
      <c r="H1169" s="736" t="s">
        <v>1133</v>
      </c>
      <c r="I1169" s="442"/>
      <c r="J1169" s="442" t="str">
        <f t="shared" si="511"/>
        <v/>
      </c>
      <c r="K1169" s="442" t="str">
        <f t="shared" si="574"/>
        <v/>
      </c>
      <c r="L1169" s="736" t="s">
        <v>2427</v>
      </c>
      <c r="M1169" s="442" t="str">
        <f t="shared" si="572"/>
        <v>N</v>
      </c>
      <c r="N1169" s="442" t="str">
        <f>IF(L1169&lt;&gt;"",VLOOKUP(L1169,Categories!$B$2:$D$41,2,FALSE),IF(F1169&lt;&gt;"","No Cat",""))</f>
        <v>NRBASE</v>
      </c>
      <c r="O1169" s="442" t="str">
        <f>IF($L1169&lt;&gt;"",VLOOKUP($L1169,Categories!$B$2:$D$41,3,FALSE),IF($F1169&lt;&gt;"","No Cat",""))</f>
        <v>Hedges &amp; OCI</v>
      </c>
      <c r="P1169" s="736" t="s">
        <v>2468</v>
      </c>
      <c r="Q1169" s="442" t="str">
        <f>VLOOKUP($P1169,Allocators!$B$7:$F$19,5,FALSE)</f>
        <v>Not in Rate Base</v>
      </c>
      <c r="R1169" s="737">
        <f>VLOOKUP($P1169,Allocators!$B$7:$F$19,2,FALSE)</f>
        <v>0</v>
      </c>
      <c r="S1169" s="737">
        <f>VLOOKUP($P1169,Allocators!$B$7:$F$19,3,FALSE)</f>
        <v>0</v>
      </c>
      <c r="T1169" s="737">
        <f t="shared" si="573"/>
        <v>1</v>
      </c>
      <c r="U1169" s="2">
        <f t="shared" si="504"/>
        <v>0</v>
      </c>
      <c r="V1169" s="2">
        <f t="shared" si="505"/>
        <v>0</v>
      </c>
      <c r="W1169" s="2">
        <f t="shared" si="506"/>
        <v>-2777.2809999999999</v>
      </c>
      <c r="X1169" s="2">
        <f t="shared" si="575"/>
        <v>-2777.2809999999999</v>
      </c>
      <c r="Y1169" s="2" t="str">
        <f t="shared" si="507"/>
        <v/>
      </c>
      <c r="Z1169" s="2" t="str">
        <f t="shared" si="508"/>
        <v/>
      </c>
      <c r="AA1169" s="2" t="str">
        <f t="shared" si="509"/>
        <v/>
      </c>
      <c r="AB1169" s="2">
        <f t="shared" si="576"/>
        <v>0</v>
      </c>
      <c r="AC1169" s="734">
        <v>0</v>
      </c>
      <c r="AD1169" s="625">
        <v>-1110.8</v>
      </c>
      <c r="AE1169" s="625">
        <v>-2504.4560000000001</v>
      </c>
      <c r="AF1169" s="625">
        <v>-3231.232</v>
      </c>
      <c r="AG1169" s="625">
        <v>-6737.68</v>
      </c>
      <c r="AH1169" s="625">
        <v>-5495.26</v>
      </c>
      <c r="AI1169" s="625">
        <v>-1535.14</v>
      </c>
      <c r="AJ1169" s="625">
        <v>0</v>
      </c>
      <c r="AK1169" s="625">
        <v>0</v>
      </c>
      <c r="AL1169" s="625">
        <v>-3870.248</v>
      </c>
      <c r="AM1169" s="625">
        <v>-3954.4380000000001</v>
      </c>
      <c r="AN1169" s="625">
        <v>-4888.1180000000004</v>
      </c>
      <c r="AO1169" s="625">
        <v>0</v>
      </c>
      <c r="AP1169" s="41" t="str">
        <f t="shared" si="563"/>
        <v>Reg AssetN</v>
      </c>
      <c r="AQ1169" s="41" t="str">
        <f t="shared" si="564"/>
        <v>Reg AssetNN5FAS 133</v>
      </c>
      <c r="AR1169" s="41" t="str">
        <f t="shared" si="565"/>
        <v>N5FAS 133</v>
      </c>
      <c r="CK1169" s="625"/>
    </row>
    <row r="1170" spans="1:89" s="41" customFormat="1" ht="12.75" customHeight="1">
      <c r="A1170" s="442" t="s">
        <v>746</v>
      </c>
      <c r="B1170" s="442" t="str">
        <f t="shared" si="560"/>
        <v>Reg Asset254270</v>
      </c>
      <c r="C1170" s="736">
        <v>254270</v>
      </c>
      <c r="D1170" s="738"/>
      <c r="E1170" s="626"/>
      <c r="F1170" s="626" t="str">
        <f t="shared" si="510"/>
        <v>OTH REGULATORY LIAB-SALE OF GENERATION ASSETS GAI</v>
      </c>
      <c r="G1170" s="626" t="s">
        <v>1333</v>
      </c>
      <c r="H1170" s="736" t="s">
        <v>1330</v>
      </c>
      <c r="I1170" s="442"/>
      <c r="J1170" s="442" t="s">
        <v>7</v>
      </c>
      <c r="K1170" s="442" t="str">
        <f t="shared" si="574"/>
        <v/>
      </c>
      <c r="L1170" s="736" t="s">
        <v>2432</v>
      </c>
      <c r="M1170" s="442" t="str">
        <f t="shared" si="572"/>
        <v>N</v>
      </c>
      <c r="N1170" s="442" t="str">
        <f>IF(L1170&lt;&gt;"",VLOOKUP(L1170,Categories!$B$2:$D$41,2,FALSE),IF(F1170&lt;&gt;"","No Cat",""))</f>
        <v>NRBASE</v>
      </c>
      <c r="O1170" s="442" t="str">
        <f>IF($L1170&lt;&gt;"",VLOOKUP($L1170,Categories!$B$2:$D$41,3,FALSE),IF($F1170&lt;&gt;"","No Cat",""))</f>
        <v>NM-2 ASGA</v>
      </c>
      <c r="P1170" s="736" t="s">
        <v>2468</v>
      </c>
      <c r="Q1170" s="442" t="str">
        <f>VLOOKUP($P1170,Allocators!$B$7:$F$19,5,FALSE)</f>
        <v>Not in Rate Base</v>
      </c>
      <c r="R1170" s="737">
        <f>VLOOKUP($P1170,Allocators!$B$7:$F$19,2,FALSE)</f>
        <v>0</v>
      </c>
      <c r="S1170" s="737">
        <f>VLOOKUP($P1170,Allocators!$B$7:$F$19,3,FALSE)</f>
        <v>0</v>
      </c>
      <c r="T1170" s="737">
        <f t="shared" si="573"/>
        <v>1</v>
      </c>
      <c r="U1170" s="2" t="str">
        <f t="shared" si="504"/>
        <v/>
      </c>
      <c r="V1170" s="2" t="str">
        <f t="shared" si="505"/>
        <v/>
      </c>
      <c r="W1170" s="2" t="str">
        <f t="shared" si="506"/>
        <v/>
      </c>
      <c r="X1170" s="2">
        <f t="shared" si="575"/>
        <v>0</v>
      </c>
      <c r="Y1170" s="2" t="str">
        <f t="shared" si="507"/>
        <v/>
      </c>
      <c r="Z1170" s="2" t="str">
        <f t="shared" si="508"/>
        <v/>
      </c>
      <c r="AA1170" s="2" t="str">
        <f t="shared" si="509"/>
        <v/>
      </c>
      <c r="AB1170" s="2">
        <f t="shared" si="576"/>
        <v>0</v>
      </c>
      <c r="AC1170" s="625">
        <v>0</v>
      </c>
      <c r="AD1170" s="625">
        <v>0</v>
      </c>
      <c r="AE1170" s="625">
        <v>0</v>
      </c>
      <c r="AF1170" s="625">
        <v>0</v>
      </c>
      <c r="AG1170" s="625">
        <v>0</v>
      </c>
      <c r="AH1170" s="625">
        <v>0</v>
      </c>
      <c r="AI1170" s="625">
        <v>0</v>
      </c>
      <c r="AJ1170" s="625">
        <v>0</v>
      </c>
      <c r="AK1170" s="625">
        <v>0</v>
      </c>
      <c r="AL1170" s="625">
        <v>0</v>
      </c>
      <c r="AM1170" s="625">
        <v>0</v>
      </c>
      <c r="AN1170" s="625">
        <v>0</v>
      </c>
      <c r="AO1170" s="625">
        <v>0</v>
      </c>
      <c r="AP1170" s="41" t="str">
        <f t="shared" si="563"/>
        <v>Reg AssetN</v>
      </c>
      <c r="AQ1170" s="41" t="str">
        <f t="shared" si="564"/>
        <v>Reg AssetNN8ASGA</v>
      </c>
      <c r="AR1170" s="41" t="str">
        <f t="shared" si="565"/>
        <v>N8ASGANCR</v>
      </c>
      <c r="CK1170" s="625"/>
    </row>
    <row r="1171" spans="1:89" s="41" customFormat="1" ht="12.75" customHeight="1">
      <c r="A1171" s="442" t="s">
        <v>746</v>
      </c>
      <c r="B1171" s="442" t="str">
        <f t="shared" si="560"/>
        <v>Reg Asset254270</v>
      </c>
      <c r="C1171" s="736">
        <v>254270</v>
      </c>
      <c r="D1171" s="738"/>
      <c r="E1171" s="626"/>
      <c r="F1171" s="626" t="str">
        <f t="shared" si="510"/>
        <v>OTH REGULATORY LIAB-SALE OF GENERATION ASSETS GAI</v>
      </c>
      <c r="G1171" s="626" t="s">
        <v>1334</v>
      </c>
      <c r="H1171" s="736" t="s">
        <v>1330</v>
      </c>
      <c r="I1171" s="442"/>
      <c r="J1171" s="442" t="s">
        <v>7</v>
      </c>
      <c r="K1171" s="442" t="str">
        <f t="shared" si="574"/>
        <v/>
      </c>
      <c r="L1171" s="736" t="s">
        <v>2432</v>
      </c>
      <c r="M1171" s="442" t="str">
        <f t="shared" si="572"/>
        <v>N</v>
      </c>
      <c r="N1171" s="442" t="str">
        <f>IF(L1171&lt;&gt;"",VLOOKUP(L1171,Categories!$B$2:$D$41,2,FALSE),IF(F1171&lt;&gt;"","No Cat",""))</f>
        <v>NRBASE</v>
      </c>
      <c r="O1171" s="442" t="str">
        <f>IF($L1171&lt;&gt;"",VLOOKUP($L1171,Categories!$B$2:$D$41,3,FALSE),IF($F1171&lt;&gt;"","No Cat",""))</f>
        <v>NM-2 ASGA</v>
      </c>
      <c r="P1171" s="736" t="s">
        <v>2468</v>
      </c>
      <c r="Q1171" s="442" t="str">
        <f>VLOOKUP($P1171,Allocators!$B$7:$F$19,5,FALSE)</f>
        <v>Not in Rate Base</v>
      </c>
      <c r="R1171" s="737">
        <f>VLOOKUP($P1171,Allocators!$B$7:$F$19,2,FALSE)</f>
        <v>0</v>
      </c>
      <c r="S1171" s="737">
        <f>VLOOKUP($P1171,Allocators!$B$7:$F$19,3,FALSE)</f>
        <v>0</v>
      </c>
      <c r="T1171" s="737">
        <f t="shared" si="573"/>
        <v>1</v>
      </c>
      <c r="U1171" s="2" t="str">
        <f t="shared" si="504"/>
        <v/>
      </c>
      <c r="V1171" s="2" t="str">
        <f t="shared" si="505"/>
        <v/>
      </c>
      <c r="W1171" s="2" t="str">
        <f t="shared" si="506"/>
        <v/>
      </c>
      <c r="X1171" s="2">
        <f t="shared" si="575"/>
        <v>0</v>
      </c>
      <c r="Y1171" s="2" t="str">
        <f t="shared" si="507"/>
        <v/>
      </c>
      <c r="Z1171" s="2" t="str">
        <f t="shared" si="508"/>
        <v/>
      </c>
      <c r="AA1171" s="2" t="str">
        <f t="shared" si="509"/>
        <v/>
      </c>
      <c r="AB1171" s="2">
        <f t="shared" si="576"/>
        <v>0</v>
      </c>
      <c r="AC1171" s="625">
        <v>0</v>
      </c>
      <c r="AD1171" s="625">
        <v>0</v>
      </c>
      <c r="AE1171" s="625">
        <v>0</v>
      </c>
      <c r="AF1171" s="38">
        <v>0</v>
      </c>
      <c r="AG1171" s="625">
        <v>0</v>
      </c>
      <c r="AH1171" s="625">
        <v>0</v>
      </c>
      <c r="AI1171" s="625">
        <v>0</v>
      </c>
      <c r="AJ1171" s="625">
        <v>0</v>
      </c>
      <c r="AK1171" s="625">
        <v>0</v>
      </c>
      <c r="AL1171" s="625">
        <v>0</v>
      </c>
      <c r="AM1171" s="625">
        <v>0</v>
      </c>
      <c r="AN1171" s="625">
        <v>0</v>
      </c>
      <c r="AO1171" s="625">
        <v>0</v>
      </c>
      <c r="AP1171" s="41" t="str">
        <f t="shared" si="563"/>
        <v>Reg AssetN</v>
      </c>
      <c r="AQ1171" s="41" t="str">
        <f t="shared" si="564"/>
        <v>Reg AssetNN8ASGA</v>
      </c>
      <c r="AR1171" s="41" t="str">
        <f t="shared" si="565"/>
        <v>N8ASGANCR</v>
      </c>
      <c r="CK1171" s="625"/>
    </row>
    <row r="1172" spans="1:89" s="41" customFormat="1" ht="12.75" customHeight="1">
      <c r="A1172" s="442" t="s">
        <v>746</v>
      </c>
      <c r="B1172" s="442" t="str">
        <f t="shared" si="560"/>
        <v>Reg Asset254270600180BE030432</v>
      </c>
      <c r="C1172" s="736">
        <v>254270</v>
      </c>
      <c r="D1172" s="738">
        <v>600180</v>
      </c>
      <c r="E1172" s="626" t="s">
        <v>1335</v>
      </c>
      <c r="F1172" s="626" t="str">
        <f t="shared" si="510"/>
        <v>OTH REGULATORY LIAB-SALE OF GENERATION ASSETS GAI</v>
      </c>
      <c r="G1172" s="626" t="s">
        <v>1336</v>
      </c>
      <c r="H1172" s="736" t="s">
        <v>1330</v>
      </c>
      <c r="I1172" s="442"/>
      <c r="J1172" s="442" t="s">
        <v>7</v>
      </c>
      <c r="K1172" s="442" t="str">
        <f t="shared" si="574"/>
        <v/>
      </c>
      <c r="L1172" s="736" t="s">
        <v>2432</v>
      </c>
      <c r="M1172" s="442" t="str">
        <f t="shared" si="572"/>
        <v>N</v>
      </c>
      <c r="N1172" s="442" t="str">
        <f>IF(L1172&lt;&gt;"",VLOOKUP(L1172,Categories!$B$2:$D$41,2,FALSE),IF(F1172&lt;&gt;"","No Cat",""))</f>
        <v>NRBASE</v>
      </c>
      <c r="O1172" s="442" t="str">
        <f>IF($L1172&lt;&gt;"",VLOOKUP($L1172,Categories!$B$2:$D$41,3,FALSE),IF($F1172&lt;&gt;"","No Cat",""))</f>
        <v>NM-2 ASGA</v>
      </c>
      <c r="P1172" s="736" t="s">
        <v>2468</v>
      </c>
      <c r="Q1172" s="442" t="str">
        <f>VLOOKUP($P1172,Allocators!$B$7:$F$19,5,FALSE)</f>
        <v>Not in Rate Base</v>
      </c>
      <c r="R1172" s="737">
        <f>VLOOKUP($P1172,Allocators!$B$7:$F$19,2,FALSE)</f>
        <v>0</v>
      </c>
      <c r="S1172" s="737">
        <f>VLOOKUP($P1172,Allocators!$B$7:$F$19,3,FALSE)</f>
        <v>0</v>
      </c>
      <c r="T1172" s="737">
        <f t="shared" si="573"/>
        <v>1</v>
      </c>
      <c r="U1172" s="2">
        <f t="shared" si="504"/>
        <v>0</v>
      </c>
      <c r="V1172" s="2">
        <f t="shared" si="505"/>
        <v>0</v>
      </c>
      <c r="W1172" s="2">
        <f t="shared" si="506"/>
        <v>-229915.00550999999</v>
      </c>
      <c r="X1172" s="2">
        <f t="shared" si="575"/>
        <v>-229915.00550999999</v>
      </c>
      <c r="Y1172" s="2">
        <f t="shared" si="507"/>
        <v>0</v>
      </c>
      <c r="Z1172" s="2">
        <f t="shared" si="508"/>
        <v>0</v>
      </c>
      <c r="AA1172" s="2">
        <f t="shared" si="509"/>
        <v>-229915.00550999999</v>
      </c>
      <c r="AB1172" s="2">
        <f t="shared" si="576"/>
        <v>-229915.00550999999</v>
      </c>
      <c r="AC1172" s="734">
        <v>-229915.00550999999</v>
      </c>
      <c r="AD1172" s="625">
        <v>-229915.00550999999</v>
      </c>
      <c r="AE1172" s="625">
        <v>-229915.00550999999</v>
      </c>
      <c r="AF1172" s="625">
        <v>-229915.00550999999</v>
      </c>
      <c r="AG1172" s="625">
        <v>-229915.00550999999</v>
      </c>
      <c r="AH1172" s="625">
        <v>-229915.00550999999</v>
      </c>
      <c r="AI1172" s="625">
        <v>-229915.00550999999</v>
      </c>
      <c r="AJ1172" s="625">
        <v>-229915.00550999999</v>
      </c>
      <c r="AK1172" s="625">
        <v>-229915.00550999999</v>
      </c>
      <c r="AL1172" s="625">
        <v>-229915.00550999999</v>
      </c>
      <c r="AM1172" s="625">
        <v>-229915.00550999999</v>
      </c>
      <c r="AN1172" s="625">
        <v>-229915.00550999999</v>
      </c>
      <c r="AO1172" s="625">
        <v>-229915.00550999999</v>
      </c>
      <c r="AP1172" s="41" t="str">
        <f t="shared" si="563"/>
        <v>Reg AssetN</v>
      </c>
      <c r="AQ1172" s="41" t="str">
        <f t="shared" si="564"/>
        <v>Reg AssetNN8ASGA</v>
      </c>
      <c r="AR1172" s="41" t="str">
        <f t="shared" si="565"/>
        <v>N8ASGANCR</v>
      </c>
      <c r="CK1172" s="625"/>
    </row>
    <row r="1173" spans="1:89" s="41" customFormat="1" ht="12.75" customHeight="1">
      <c r="A1173" s="442" t="s">
        <v>746</v>
      </c>
      <c r="B1173" s="442" t="str">
        <f t="shared" si="560"/>
        <v>Reg Asset254270600190-TaxBE030433</v>
      </c>
      <c r="C1173" s="736">
        <v>254270</v>
      </c>
      <c r="D1173" s="738" t="s">
        <v>1338</v>
      </c>
      <c r="E1173" s="626" t="s">
        <v>1337</v>
      </c>
      <c r="F1173" s="626" t="str">
        <f t="shared" si="510"/>
        <v>OTH REGULATORY LIAB-SALE OF GENERATION ASSETS GAI</v>
      </c>
      <c r="G1173" s="626" t="s">
        <v>1339</v>
      </c>
      <c r="H1173" s="736" t="s">
        <v>1330</v>
      </c>
      <c r="I1173" s="442"/>
      <c r="J1173" s="442" t="s">
        <v>7</v>
      </c>
      <c r="K1173" s="442" t="str">
        <f t="shared" si="574"/>
        <v/>
      </c>
      <c r="L1173" s="736" t="s">
        <v>2432</v>
      </c>
      <c r="M1173" s="442" t="str">
        <f t="shared" si="572"/>
        <v>N</v>
      </c>
      <c r="N1173" s="442" t="str">
        <f>IF(L1173&lt;&gt;"",VLOOKUP(L1173,Categories!$B$2:$D$41,2,FALSE),IF(F1173&lt;&gt;"","No Cat",""))</f>
        <v>NRBASE</v>
      </c>
      <c r="O1173" s="442" t="str">
        <f>IF($L1173&lt;&gt;"",VLOOKUP($L1173,Categories!$B$2:$D$41,3,FALSE),IF($F1173&lt;&gt;"","No Cat",""))</f>
        <v>NM-2 ASGA</v>
      </c>
      <c r="P1173" s="736" t="s">
        <v>2468</v>
      </c>
      <c r="Q1173" s="442" t="str">
        <f>VLOOKUP($P1173,Allocators!$B$7:$F$19,5,FALSE)</f>
        <v>Not in Rate Base</v>
      </c>
      <c r="R1173" s="737">
        <f>VLOOKUP($P1173,Allocators!$B$7:$F$19,2,FALSE)</f>
        <v>0</v>
      </c>
      <c r="S1173" s="737">
        <f>VLOOKUP($P1173,Allocators!$B$7:$F$19,3,FALSE)</f>
        <v>0</v>
      </c>
      <c r="T1173" s="737">
        <f t="shared" si="573"/>
        <v>1</v>
      </c>
      <c r="U1173" s="2">
        <f t="shared" si="504"/>
        <v>0</v>
      </c>
      <c r="V1173" s="2">
        <f t="shared" si="505"/>
        <v>0</v>
      </c>
      <c r="W1173" s="2">
        <f t="shared" si="506"/>
        <v>-142169.37463000001</v>
      </c>
      <c r="X1173" s="2">
        <f t="shared" si="575"/>
        <v>-142169.37463000001</v>
      </c>
      <c r="Y1173" s="2">
        <f t="shared" si="507"/>
        <v>0</v>
      </c>
      <c r="Z1173" s="2">
        <f t="shared" si="508"/>
        <v>0</v>
      </c>
      <c r="AA1173" s="2">
        <f t="shared" si="509"/>
        <v>-142169.37463000001</v>
      </c>
      <c r="AB1173" s="2">
        <f t="shared" si="576"/>
        <v>-142169.37463000001</v>
      </c>
      <c r="AC1173" s="734">
        <v>-142169.37463000001</v>
      </c>
      <c r="AD1173" s="625">
        <v>-142169.37463000001</v>
      </c>
      <c r="AE1173" s="625">
        <v>-142169.37463000001</v>
      </c>
      <c r="AF1173" s="625">
        <v>-142169.37463000001</v>
      </c>
      <c r="AG1173" s="625">
        <v>-142169.37463000001</v>
      </c>
      <c r="AH1173" s="625">
        <v>-142169.37463000001</v>
      </c>
      <c r="AI1173" s="625">
        <v>-142169.37463000001</v>
      </c>
      <c r="AJ1173" s="625">
        <v>-142169.37463000001</v>
      </c>
      <c r="AK1173" s="625">
        <v>-142169.37463000001</v>
      </c>
      <c r="AL1173" s="625">
        <v>-142169.37463000001</v>
      </c>
      <c r="AM1173" s="625">
        <v>-142169.37463000001</v>
      </c>
      <c r="AN1173" s="625">
        <v>-142169.37463000001</v>
      </c>
      <c r="AO1173" s="625">
        <v>-142169.37463000001</v>
      </c>
      <c r="AP1173" s="41" t="str">
        <f t="shared" si="563"/>
        <v>Reg AssetN</v>
      </c>
      <c r="AQ1173" s="41" t="str">
        <f t="shared" si="564"/>
        <v>Reg AssetNN8ASGA</v>
      </c>
      <c r="AR1173" s="41" t="str">
        <f t="shared" si="565"/>
        <v>N8ASGANCR</v>
      </c>
      <c r="CK1173" s="625"/>
    </row>
    <row r="1174" spans="1:89" s="41" customFormat="1" ht="12.75" customHeight="1">
      <c r="A1174" s="442" t="s">
        <v>746</v>
      </c>
      <c r="B1174" s="442" t="str">
        <f t="shared" si="560"/>
        <v>Reg Asset254270600191-TaxBE030434</v>
      </c>
      <c r="C1174" s="736">
        <v>254270</v>
      </c>
      <c r="D1174" s="738" t="s">
        <v>1341</v>
      </c>
      <c r="E1174" s="626" t="s">
        <v>1340</v>
      </c>
      <c r="F1174" s="626" t="str">
        <f t="shared" si="510"/>
        <v>OTH REGULATORY LIAB-SALE OF GENERATION ASSETS GAI</v>
      </c>
      <c r="G1174" s="626" t="s">
        <v>1342</v>
      </c>
      <c r="H1174" s="736" t="s">
        <v>1330</v>
      </c>
      <c r="I1174" s="442"/>
      <c r="J1174" s="442" t="s">
        <v>7</v>
      </c>
      <c r="K1174" s="442" t="str">
        <f t="shared" si="574"/>
        <v/>
      </c>
      <c r="L1174" s="736" t="s">
        <v>2432</v>
      </c>
      <c r="M1174" s="442" t="str">
        <f t="shared" si="572"/>
        <v>N</v>
      </c>
      <c r="N1174" s="442" t="str">
        <f>IF(L1174&lt;&gt;"",VLOOKUP(L1174,Categories!$B$2:$D$41,2,FALSE),IF(F1174&lt;&gt;"","No Cat",""))</f>
        <v>NRBASE</v>
      </c>
      <c r="O1174" s="442" t="str">
        <f>IF($L1174&lt;&gt;"",VLOOKUP($L1174,Categories!$B$2:$D$41,3,FALSE),IF($F1174&lt;&gt;"","No Cat",""))</f>
        <v>NM-2 ASGA</v>
      </c>
      <c r="P1174" s="736" t="s">
        <v>2468</v>
      </c>
      <c r="Q1174" s="442" t="str">
        <f>VLOOKUP($P1174,Allocators!$B$7:$F$19,5,FALSE)</f>
        <v>Not in Rate Base</v>
      </c>
      <c r="R1174" s="737">
        <f>VLOOKUP($P1174,Allocators!$B$7:$F$19,2,FALSE)</f>
        <v>0</v>
      </c>
      <c r="S1174" s="737">
        <f>VLOOKUP($P1174,Allocators!$B$7:$F$19,3,FALSE)</f>
        <v>0</v>
      </c>
      <c r="T1174" s="737">
        <f t="shared" si="573"/>
        <v>1</v>
      </c>
      <c r="U1174" s="2">
        <f t="shared" ref="U1174:U1237" si="577">IF(ABS(X1174)=0,"",IF($R1174="NO ALLOC","NO ALLOC",ROUND($R1174*X1174,15)))</f>
        <v>0</v>
      </c>
      <c r="V1174" s="2">
        <f t="shared" ref="V1174:V1237" si="578">IF(ABS(X1174)=0,"",IF($S1174="NO ALLOC","NO ALLOC",ROUND($S1174*X1174,15)))</f>
        <v>0</v>
      </c>
      <c r="W1174" s="2">
        <f t="shared" ref="W1174:W1237" si="579">IF(ABS(X1174)=0,"",IF($T1174="NO ALLOC","NO ALLOC",ROUND($T1174*X1174,15)))</f>
        <v>1702.934</v>
      </c>
      <c r="X1174" s="2">
        <f t="shared" si="575"/>
        <v>1702.934</v>
      </c>
      <c r="Y1174" s="2">
        <f t="shared" ref="Y1174:Y1237" si="580">IF(ABS(AB1174)=0,"",IF($R1174="NO ALLOC","NO ALLOC",ROUND($R1174*AB1174,15)))</f>
        <v>0</v>
      </c>
      <c r="Z1174" s="2">
        <f t="shared" ref="Z1174:Z1237" si="581">IF(ABS(AB1174)=0,"",IF($S1174="NO ALLOC","NO ALLOC",ROUND($S1174*AB1174,15)))</f>
        <v>0</v>
      </c>
      <c r="AA1174" s="2">
        <f t="shared" ref="AA1174:AA1237" si="582">IF(ABS(AB1174)=0,"",IF($T1174="NO ALLOC","NO ALLOC",ROUND($T1174*AB1174,15)))</f>
        <v>1702.934</v>
      </c>
      <c r="AB1174" s="2">
        <f t="shared" si="576"/>
        <v>1702.934</v>
      </c>
      <c r="AC1174" s="734">
        <v>1702.934</v>
      </c>
      <c r="AD1174" s="625">
        <v>1702.934</v>
      </c>
      <c r="AE1174" s="625">
        <v>1702.934</v>
      </c>
      <c r="AF1174" s="625">
        <v>1702.934</v>
      </c>
      <c r="AG1174" s="625">
        <v>1702.934</v>
      </c>
      <c r="AH1174" s="625">
        <v>1702.934</v>
      </c>
      <c r="AI1174" s="625">
        <v>1702.934</v>
      </c>
      <c r="AJ1174" s="625">
        <v>1702.934</v>
      </c>
      <c r="AK1174" s="625">
        <v>1702.934</v>
      </c>
      <c r="AL1174" s="625">
        <v>1702.934</v>
      </c>
      <c r="AM1174" s="625">
        <v>1702.934</v>
      </c>
      <c r="AN1174" s="625">
        <v>1702.934</v>
      </c>
      <c r="AO1174" s="625">
        <v>1702.934</v>
      </c>
      <c r="AP1174" s="41" t="str">
        <f t="shared" si="563"/>
        <v>Reg AssetN</v>
      </c>
      <c r="AQ1174" s="41" t="str">
        <f t="shared" si="564"/>
        <v>Reg AssetNN8ASGA</v>
      </c>
      <c r="AR1174" s="41" t="str">
        <f t="shared" si="565"/>
        <v>N8ASGANCR</v>
      </c>
      <c r="CK1174" s="625"/>
    </row>
    <row r="1175" spans="1:89" s="41" customFormat="1" ht="12.75" customHeight="1">
      <c r="A1175" s="442" t="s">
        <v>746</v>
      </c>
      <c r="B1175" s="442" t="str">
        <f t="shared" si="560"/>
        <v>Reg Asset254270600204-ABE030435</v>
      </c>
      <c r="C1175" s="736">
        <v>254270</v>
      </c>
      <c r="D1175" s="738" t="s">
        <v>1344</v>
      </c>
      <c r="E1175" s="626" t="s">
        <v>1343</v>
      </c>
      <c r="F1175" s="626" t="str">
        <f t="shared" si="510"/>
        <v>OTH REGULATORY LIAB-SALE OF GENERATION ASSETS GAI</v>
      </c>
      <c r="G1175" s="626" t="s">
        <v>1345</v>
      </c>
      <c r="H1175" s="736" t="s">
        <v>1330</v>
      </c>
      <c r="I1175" s="442"/>
      <c r="J1175" s="442" t="s">
        <v>7</v>
      </c>
      <c r="K1175" s="442" t="str">
        <f t="shared" si="574"/>
        <v/>
      </c>
      <c r="L1175" s="736" t="s">
        <v>2432</v>
      </c>
      <c r="M1175" s="442" t="str">
        <f t="shared" si="572"/>
        <v>N</v>
      </c>
      <c r="N1175" s="442" t="str">
        <f>IF(L1175&lt;&gt;"",VLOOKUP(L1175,Categories!$B$2:$D$41,2,FALSE),IF(F1175&lt;&gt;"","No Cat",""))</f>
        <v>NRBASE</v>
      </c>
      <c r="O1175" s="442" t="str">
        <f>IF($L1175&lt;&gt;"",VLOOKUP($L1175,Categories!$B$2:$D$41,3,FALSE),IF($F1175&lt;&gt;"","No Cat",""))</f>
        <v>NM-2 ASGA</v>
      </c>
      <c r="P1175" s="736" t="s">
        <v>2468</v>
      </c>
      <c r="Q1175" s="442" t="str">
        <f>VLOOKUP($P1175,Allocators!$B$7:$F$19,5,FALSE)</f>
        <v>Not in Rate Base</v>
      </c>
      <c r="R1175" s="737">
        <f>VLOOKUP($P1175,Allocators!$B$7:$F$19,2,FALSE)</f>
        <v>0</v>
      </c>
      <c r="S1175" s="737">
        <f>VLOOKUP($P1175,Allocators!$B$7:$F$19,3,FALSE)</f>
        <v>0</v>
      </c>
      <c r="T1175" s="737">
        <f t="shared" si="573"/>
        <v>1</v>
      </c>
      <c r="U1175" s="2">
        <f t="shared" si="577"/>
        <v>0</v>
      </c>
      <c r="V1175" s="2">
        <f t="shared" si="578"/>
        <v>0</v>
      </c>
      <c r="W1175" s="2">
        <f t="shared" si="579"/>
        <v>59973.157839999898</v>
      </c>
      <c r="X1175" s="2">
        <f t="shared" si="575"/>
        <v>59973.15784</v>
      </c>
      <c r="Y1175" s="2">
        <f t="shared" si="580"/>
        <v>0</v>
      </c>
      <c r="Z1175" s="2">
        <f t="shared" si="581"/>
        <v>0</v>
      </c>
      <c r="AA1175" s="2">
        <f t="shared" si="582"/>
        <v>59973.15784</v>
      </c>
      <c r="AB1175" s="2">
        <f t="shared" si="576"/>
        <v>59973.157840000007</v>
      </c>
      <c r="AC1175" s="734">
        <v>59973.157840000007</v>
      </c>
      <c r="AD1175" s="625">
        <v>59973.157840000007</v>
      </c>
      <c r="AE1175" s="625">
        <v>59973.157840000007</v>
      </c>
      <c r="AF1175" s="625">
        <v>59973.157840000007</v>
      </c>
      <c r="AG1175" s="625">
        <v>59973.157840000007</v>
      </c>
      <c r="AH1175" s="625">
        <v>59973.157840000007</v>
      </c>
      <c r="AI1175" s="625">
        <v>59973.157840000007</v>
      </c>
      <c r="AJ1175" s="625">
        <v>59973.157840000007</v>
      </c>
      <c r="AK1175" s="625">
        <v>59973.157840000007</v>
      </c>
      <c r="AL1175" s="625">
        <v>59973.157840000007</v>
      </c>
      <c r="AM1175" s="625">
        <v>59973.157840000007</v>
      </c>
      <c r="AN1175" s="625">
        <v>59973.157840000007</v>
      </c>
      <c r="AO1175" s="625">
        <v>59973.157840000007</v>
      </c>
      <c r="AP1175" s="41" t="str">
        <f t="shared" si="563"/>
        <v>Reg AssetN</v>
      </c>
      <c r="AQ1175" s="41" t="str">
        <f t="shared" si="564"/>
        <v>Reg AssetNN8ASGA</v>
      </c>
      <c r="AR1175" s="41" t="str">
        <f t="shared" si="565"/>
        <v>N8ASGANCR</v>
      </c>
      <c r="CK1175" s="625"/>
    </row>
    <row r="1176" spans="1:89" s="41" customFormat="1" ht="12.75" customHeight="1">
      <c r="A1176" s="442" t="s">
        <v>746</v>
      </c>
      <c r="B1176" s="442" t="str">
        <f t="shared" si="560"/>
        <v>Reg Asset254270600204-TAXBE030435</v>
      </c>
      <c r="C1176" s="736">
        <v>254270</v>
      </c>
      <c r="D1176" s="738" t="s">
        <v>1346</v>
      </c>
      <c r="E1176" s="626" t="s">
        <v>1343</v>
      </c>
      <c r="F1176" s="626" t="str">
        <f t="shared" si="510"/>
        <v>OTH REGULATORY LIAB-SALE OF GENERATION ASSETS GAI</v>
      </c>
      <c r="G1176" s="626" t="s">
        <v>1347</v>
      </c>
      <c r="H1176" s="736" t="s">
        <v>1330</v>
      </c>
      <c r="I1176" s="442"/>
      <c r="J1176" s="442" t="s">
        <v>7</v>
      </c>
      <c r="K1176" s="442" t="str">
        <f t="shared" si="574"/>
        <v/>
      </c>
      <c r="L1176" s="736" t="s">
        <v>2432</v>
      </c>
      <c r="M1176" s="442" t="str">
        <f t="shared" si="572"/>
        <v>N</v>
      </c>
      <c r="N1176" s="442" t="str">
        <f>IF(L1176&lt;&gt;"",VLOOKUP(L1176,Categories!$B$2:$D$41,2,FALSE),IF(F1176&lt;&gt;"","No Cat",""))</f>
        <v>NRBASE</v>
      </c>
      <c r="O1176" s="442" t="str">
        <f>IF($L1176&lt;&gt;"",VLOOKUP($L1176,Categories!$B$2:$D$41,3,FALSE),IF($F1176&lt;&gt;"","No Cat",""))</f>
        <v>NM-2 ASGA</v>
      </c>
      <c r="P1176" s="736" t="s">
        <v>2468</v>
      </c>
      <c r="Q1176" s="442" t="str">
        <f>VLOOKUP($P1176,Allocators!$B$7:$F$19,5,FALSE)</f>
        <v>Not in Rate Base</v>
      </c>
      <c r="R1176" s="737">
        <f>VLOOKUP($P1176,Allocators!$B$7:$F$19,2,FALSE)</f>
        <v>0</v>
      </c>
      <c r="S1176" s="737">
        <f>VLOOKUP($P1176,Allocators!$B$7:$F$19,3,FALSE)</f>
        <v>0</v>
      </c>
      <c r="T1176" s="737">
        <f t="shared" si="573"/>
        <v>1</v>
      </c>
      <c r="U1176" s="2">
        <f t="shared" si="577"/>
        <v>0</v>
      </c>
      <c r="V1176" s="2">
        <f t="shared" si="578"/>
        <v>0</v>
      </c>
      <c r="W1176" s="2">
        <f t="shared" si="579"/>
        <v>-23914.366999999998</v>
      </c>
      <c r="X1176" s="2">
        <f t="shared" si="575"/>
        <v>-23914.366999999998</v>
      </c>
      <c r="Y1176" s="2">
        <f t="shared" si="580"/>
        <v>0</v>
      </c>
      <c r="Z1176" s="2">
        <f t="shared" si="581"/>
        <v>0</v>
      </c>
      <c r="AA1176" s="2">
        <f t="shared" si="582"/>
        <v>-23914.366999999998</v>
      </c>
      <c r="AB1176" s="2">
        <f t="shared" si="576"/>
        <v>-23914.366999999998</v>
      </c>
      <c r="AC1176" s="734">
        <v>-23914.366999999998</v>
      </c>
      <c r="AD1176" s="625">
        <v>-23914.366999999998</v>
      </c>
      <c r="AE1176" s="625">
        <v>-23914.366999999998</v>
      </c>
      <c r="AF1176" s="625">
        <v>-23914.366999999998</v>
      </c>
      <c r="AG1176" s="625">
        <v>-23914.366999999998</v>
      </c>
      <c r="AH1176" s="625">
        <v>-23914.366999999998</v>
      </c>
      <c r="AI1176" s="625">
        <v>-23914.366999999998</v>
      </c>
      <c r="AJ1176" s="625">
        <v>-23914.366999999998</v>
      </c>
      <c r="AK1176" s="625">
        <v>-23914.366999999998</v>
      </c>
      <c r="AL1176" s="625">
        <v>-23914.366999999998</v>
      </c>
      <c r="AM1176" s="625">
        <v>-23914.366999999998</v>
      </c>
      <c r="AN1176" s="625">
        <v>-23914.366999999998</v>
      </c>
      <c r="AO1176" s="625">
        <v>-23914.366999999998</v>
      </c>
      <c r="AP1176" s="41" t="str">
        <f t="shared" si="563"/>
        <v>Reg AssetN</v>
      </c>
      <c r="AQ1176" s="41" t="str">
        <f t="shared" si="564"/>
        <v>Reg AssetNN8ASGA</v>
      </c>
      <c r="AR1176" s="41" t="str">
        <f t="shared" si="565"/>
        <v>N8ASGANCR</v>
      </c>
      <c r="CK1176" s="625"/>
    </row>
    <row r="1177" spans="1:89" s="41" customFormat="1" ht="12.75" customHeight="1">
      <c r="A1177" s="442" t="s">
        <v>746</v>
      </c>
      <c r="B1177" s="442" t="str">
        <f t="shared" si="560"/>
        <v>Reg Asset254270600205-ABE030435</v>
      </c>
      <c r="C1177" s="736">
        <v>254270</v>
      </c>
      <c r="D1177" s="738" t="s">
        <v>1348</v>
      </c>
      <c r="E1177" s="626" t="s">
        <v>1343</v>
      </c>
      <c r="F1177" s="626" t="str">
        <f t="shared" si="510"/>
        <v>OTH REGULATORY LIAB-SALE OF GENERATION ASSETS GAI</v>
      </c>
      <c r="G1177" s="626" t="s">
        <v>1349</v>
      </c>
      <c r="H1177" s="736" t="s">
        <v>1330</v>
      </c>
      <c r="I1177" s="442"/>
      <c r="J1177" s="442" t="s">
        <v>7</v>
      </c>
      <c r="K1177" s="442" t="str">
        <f t="shared" si="574"/>
        <v/>
      </c>
      <c r="L1177" s="736" t="s">
        <v>2432</v>
      </c>
      <c r="M1177" s="442" t="str">
        <f t="shared" si="572"/>
        <v>N</v>
      </c>
      <c r="N1177" s="442" t="str">
        <f>IF(L1177&lt;&gt;"",VLOOKUP(L1177,Categories!$B$2:$D$41,2,FALSE),IF(F1177&lt;&gt;"","No Cat",""))</f>
        <v>NRBASE</v>
      </c>
      <c r="O1177" s="442" t="str">
        <f>IF($L1177&lt;&gt;"",VLOOKUP($L1177,Categories!$B$2:$D$41,3,FALSE),IF($F1177&lt;&gt;"","No Cat",""))</f>
        <v>NM-2 ASGA</v>
      </c>
      <c r="P1177" s="736" t="s">
        <v>2468</v>
      </c>
      <c r="Q1177" s="442" t="str">
        <f>VLOOKUP($P1177,Allocators!$B$7:$F$19,5,FALSE)</f>
        <v>Not in Rate Base</v>
      </c>
      <c r="R1177" s="737">
        <f>VLOOKUP($P1177,Allocators!$B$7:$F$19,2,FALSE)</f>
        <v>0</v>
      </c>
      <c r="S1177" s="737">
        <f>VLOOKUP($P1177,Allocators!$B$7:$F$19,3,FALSE)</f>
        <v>0</v>
      </c>
      <c r="T1177" s="737">
        <f t="shared" si="573"/>
        <v>1</v>
      </c>
      <c r="U1177" s="2">
        <f t="shared" si="577"/>
        <v>0</v>
      </c>
      <c r="V1177" s="2">
        <f t="shared" si="578"/>
        <v>0</v>
      </c>
      <c r="W1177" s="2">
        <f t="shared" si="579"/>
        <v>25269.659319999999</v>
      </c>
      <c r="X1177" s="2">
        <f t="shared" si="575"/>
        <v>25269.659319999999</v>
      </c>
      <c r="Y1177" s="2">
        <f t="shared" si="580"/>
        <v>0</v>
      </c>
      <c r="Z1177" s="2">
        <f t="shared" si="581"/>
        <v>0</v>
      </c>
      <c r="AA1177" s="2">
        <f t="shared" si="582"/>
        <v>25269.659319999999</v>
      </c>
      <c r="AB1177" s="2">
        <f t="shared" si="576"/>
        <v>25269.659319999999</v>
      </c>
      <c r="AC1177" s="734">
        <v>25269.659319999999</v>
      </c>
      <c r="AD1177" s="625">
        <v>25269.659319999999</v>
      </c>
      <c r="AE1177" s="625">
        <v>25269.659319999999</v>
      </c>
      <c r="AF1177" s="625">
        <v>25269.659319999999</v>
      </c>
      <c r="AG1177" s="625">
        <v>25269.659319999999</v>
      </c>
      <c r="AH1177" s="625">
        <v>25269.659319999999</v>
      </c>
      <c r="AI1177" s="625">
        <v>25269.659319999999</v>
      </c>
      <c r="AJ1177" s="625">
        <v>25269.659319999999</v>
      </c>
      <c r="AK1177" s="625">
        <v>25269.659319999999</v>
      </c>
      <c r="AL1177" s="625">
        <v>25269.659319999999</v>
      </c>
      <c r="AM1177" s="625">
        <v>25269.659319999999</v>
      </c>
      <c r="AN1177" s="625">
        <v>25269.659319999999</v>
      </c>
      <c r="AO1177" s="625">
        <v>25269.659319999999</v>
      </c>
      <c r="AP1177" s="41" t="str">
        <f t="shared" si="563"/>
        <v>Reg AssetN</v>
      </c>
      <c r="AQ1177" s="41" t="str">
        <f t="shared" si="564"/>
        <v>Reg AssetNN8ASGA</v>
      </c>
      <c r="AR1177" s="41" t="str">
        <f t="shared" si="565"/>
        <v>N8ASGANCR</v>
      </c>
      <c r="CK1177" s="625"/>
    </row>
    <row r="1178" spans="1:89" s="41" customFormat="1" ht="12.75" customHeight="1">
      <c r="A1178" s="442" t="s">
        <v>746</v>
      </c>
      <c r="B1178" s="442" t="str">
        <f t="shared" si="560"/>
        <v>Reg Asset254270600205-A-TAXBE030435</v>
      </c>
      <c r="C1178" s="736">
        <v>254270</v>
      </c>
      <c r="D1178" s="738" t="s">
        <v>1350</v>
      </c>
      <c r="E1178" s="626" t="s">
        <v>1343</v>
      </c>
      <c r="F1178" s="626" t="str">
        <f t="shared" si="510"/>
        <v>OTH REGULATORY LIAB-SALE OF GENERATION ASSETS GAI</v>
      </c>
      <c r="G1178" s="626" t="s">
        <v>1351</v>
      </c>
      <c r="H1178" s="736" t="s">
        <v>1330</v>
      </c>
      <c r="I1178" s="442"/>
      <c r="J1178" s="442" t="s">
        <v>7</v>
      </c>
      <c r="K1178" s="442" t="str">
        <f t="shared" si="574"/>
        <v/>
      </c>
      <c r="L1178" s="736" t="s">
        <v>2432</v>
      </c>
      <c r="M1178" s="442" t="str">
        <f t="shared" si="572"/>
        <v>N</v>
      </c>
      <c r="N1178" s="442" t="str">
        <f>IF(L1178&lt;&gt;"",VLOOKUP(L1178,Categories!$B$2:$D$41,2,FALSE),IF(F1178&lt;&gt;"","No Cat",""))</f>
        <v>NRBASE</v>
      </c>
      <c r="O1178" s="442" t="str">
        <f>IF($L1178&lt;&gt;"",VLOOKUP($L1178,Categories!$B$2:$D$41,3,FALSE),IF($F1178&lt;&gt;"","No Cat",""))</f>
        <v>NM-2 ASGA</v>
      </c>
      <c r="P1178" s="736" t="s">
        <v>2468</v>
      </c>
      <c r="Q1178" s="442" t="str">
        <f>VLOOKUP($P1178,Allocators!$B$7:$F$19,5,FALSE)</f>
        <v>Not in Rate Base</v>
      </c>
      <c r="R1178" s="737">
        <f>VLOOKUP($P1178,Allocators!$B$7:$F$19,2,FALSE)</f>
        <v>0</v>
      </c>
      <c r="S1178" s="737">
        <f>VLOOKUP($P1178,Allocators!$B$7:$F$19,3,FALSE)</f>
        <v>0</v>
      </c>
      <c r="T1178" s="737">
        <f t="shared" si="573"/>
        <v>1</v>
      </c>
      <c r="U1178" s="2">
        <f t="shared" si="577"/>
        <v>0</v>
      </c>
      <c r="V1178" s="2">
        <f t="shared" si="578"/>
        <v>0</v>
      </c>
      <c r="W1178" s="2">
        <f t="shared" si="579"/>
        <v>-10186.476210000001</v>
      </c>
      <c r="X1178" s="2">
        <f t="shared" si="575"/>
        <v>-10186.476210000001</v>
      </c>
      <c r="Y1178" s="2">
        <f t="shared" si="580"/>
        <v>0</v>
      </c>
      <c r="Z1178" s="2">
        <f t="shared" si="581"/>
        <v>0</v>
      </c>
      <c r="AA1178" s="2">
        <f t="shared" si="582"/>
        <v>-10186.476210000001</v>
      </c>
      <c r="AB1178" s="2">
        <f t="shared" si="576"/>
        <v>-10186.476210000001</v>
      </c>
      <c r="AC1178" s="734">
        <v>-10186.476210000001</v>
      </c>
      <c r="AD1178" s="625">
        <v>-10186.476210000001</v>
      </c>
      <c r="AE1178" s="625">
        <v>-10186.476210000001</v>
      </c>
      <c r="AF1178" s="625">
        <v>-10186.476210000001</v>
      </c>
      <c r="AG1178" s="625">
        <v>-10186.476210000001</v>
      </c>
      <c r="AH1178" s="625">
        <v>-10186.476210000001</v>
      </c>
      <c r="AI1178" s="625">
        <v>-10186.476210000001</v>
      </c>
      <c r="AJ1178" s="625">
        <v>-10186.476210000001</v>
      </c>
      <c r="AK1178" s="625">
        <v>-10186.476210000001</v>
      </c>
      <c r="AL1178" s="625">
        <v>-10186.476210000001</v>
      </c>
      <c r="AM1178" s="625">
        <v>-10186.476210000001</v>
      </c>
      <c r="AN1178" s="625">
        <v>-10186.476210000001</v>
      </c>
      <c r="AO1178" s="625">
        <v>-10186.476210000001</v>
      </c>
      <c r="AP1178" s="41" t="str">
        <f t="shared" si="563"/>
        <v>Reg AssetN</v>
      </c>
      <c r="AQ1178" s="41" t="str">
        <f t="shared" si="564"/>
        <v>Reg AssetNN8ASGA</v>
      </c>
      <c r="AR1178" s="41" t="str">
        <f t="shared" si="565"/>
        <v>N8ASGANCR</v>
      </c>
      <c r="CK1178" s="625"/>
    </row>
    <row r="1179" spans="1:89" s="41" customFormat="1" ht="12.75" customHeight="1">
      <c r="A1179" s="442" t="s">
        <v>746</v>
      </c>
      <c r="B1179" s="442" t="str">
        <f t="shared" si="560"/>
        <v>Reg Asset254270600206-ABE030435</v>
      </c>
      <c r="C1179" s="736">
        <v>254270</v>
      </c>
      <c r="D1179" s="738" t="s">
        <v>1352</v>
      </c>
      <c r="E1179" s="626" t="s">
        <v>1343</v>
      </c>
      <c r="F1179" s="626" t="str">
        <f t="shared" si="510"/>
        <v>OTH REGULATORY LIAB-SALE OF GENERATION ASSETS GAI</v>
      </c>
      <c r="G1179" s="626" t="s">
        <v>1353</v>
      </c>
      <c r="H1179" s="736" t="s">
        <v>1330</v>
      </c>
      <c r="I1179" s="442"/>
      <c r="J1179" s="442" t="s">
        <v>7</v>
      </c>
      <c r="K1179" s="442" t="str">
        <f t="shared" si="574"/>
        <v/>
      </c>
      <c r="L1179" s="736" t="s">
        <v>2432</v>
      </c>
      <c r="M1179" s="442" t="str">
        <f t="shared" si="572"/>
        <v>N</v>
      </c>
      <c r="N1179" s="442" t="str">
        <f>IF(L1179&lt;&gt;"",VLOOKUP(L1179,Categories!$B$2:$D$41,2,FALSE),IF(F1179&lt;&gt;"","No Cat",""))</f>
        <v>NRBASE</v>
      </c>
      <c r="O1179" s="442" t="str">
        <f>IF($L1179&lt;&gt;"",VLOOKUP($L1179,Categories!$B$2:$D$41,3,FALSE),IF($F1179&lt;&gt;"","No Cat",""))</f>
        <v>NM-2 ASGA</v>
      </c>
      <c r="P1179" s="736" t="s">
        <v>2468</v>
      </c>
      <c r="Q1179" s="442" t="str">
        <f>VLOOKUP($P1179,Allocators!$B$7:$F$19,5,FALSE)</f>
        <v>Not in Rate Base</v>
      </c>
      <c r="R1179" s="737">
        <f>VLOOKUP($P1179,Allocators!$B$7:$F$19,2,FALSE)</f>
        <v>0</v>
      </c>
      <c r="S1179" s="737">
        <f>VLOOKUP($P1179,Allocators!$B$7:$F$19,3,FALSE)</f>
        <v>0</v>
      </c>
      <c r="T1179" s="737">
        <f t="shared" si="573"/>
        <v>1</v>
      </c>
      <c r="U1179" s="2">
        <f t="shared" si="577"/>
        <v>0</v>
      </c>
      <c r="V1179" s="2">
        <f t="shared" si="578"/>
        <v>0</v>
      </c>
      <c r="W1179" s="2">
        <f t="shared" si="579"/>
        <v>15426.18288</v>
      </c>
      <c r="X1179" s="2">
        <f t="shared" si="575"/>
        <v>15426.18288</v>
      </c>
      <c r="Y1179" s="2">
        <f t="shared" si="580"/>
        <v>0</v>
      </c>
      <c r="Z1179" s="2">
        <f t="shared" si="581"/>
        <v>0</v>
      </c>
      <c r="AA1179" s="2">
        <f t="shared" si="582"/>
        <v>15426.18288</v>
      </c>
      <c r="AB1179" s="2">
        <f t="shared" si="576"/>
        <v>15426.18288</v>
      </c>
      <c r="AC1179" s="734">
        <v>15426.18288</v>
      </c>
      <c r="AD1179" s="625">
        <v>15426.18288</v>
      </c>
      <c r="AE1179" s="625">
        <v>15426.18288</v>
      </c>
      <c r="AF1179" s="625">
        <v>15426.18288</v>
      </c>
      <c r="AG1179" s="625">
        <v>15426.18288</v>
      </c>
      <c r="AH1179" s="625">
        <v>15426.18288</v>
      </c>
      <c r="AI1179" s="625">
        <v>15426.18288</v>
      </c>
      <c r="AJ1179" s="625">
        <v>15426.18288</v>
      </c>
      <c r="AK1179" s="625">
        <v>15426.18288</v>
      </c>
      <c r="AL1179" s="625">
        <v>15426.18288</v>
      </c>
      <c r="AM1179" s="625">
        <v>15426.18288</v>
      </c>
      <c r="AN1179" s="625">
        <v>15426.18288</v>
      </c>
      <c r="AO1179" s="625">
        <v>15426.18288</v>
      </c>
      <c r="AP1179" s="41" t="str">
        <f t="shared" si="563"/>
        <v>Reg AssetN</v>
      </c>
      <c r="AQ1179" s="41" t="str">
        <f t="shared" si="564"/>
        <v>Reg AssetNN8ASGA</v>
      </c>
      <c r="AR1179" s="41" t="str">
        <f t="shared" si="565"/>
        <v>N8ASGANCR</v>
      </c>
      <c r="CK1179" s="625"/>
    </row>
    <row r="1180" spans="1:89" s="41" customFormat="1" ht="12.75" customHeight="1">
      <c r="A1180" s="442" t="s">
        <v>746</v>
      </c>
      <c r="B1180" s="442" t="str">
        <f t="shared" si="560"/>
        <v>Reg Asset254270600206-A-TAXBE030435</v>
      </c>
      <c r="C1180" s="736">
        <v>254270</v>
      </c>
      <c r="D1180" s="738" t="s">
        <v>1354</v>
      </c>
      <c r="E1180" s="626" t="s">
        <v>1343</v>
      </c>
      <c r="F1180" s="626" t="str">
        <f t="shared" si="510"/>
        <v>OTH REGULATORY LIAB-SALE OF GENERATION ASSETS GAI</v>
      </c>
      <c r="G1180" s="626" t="s">
        <v>1355</v>
      </c>
      <c r="H1180" s="736" t="s">
        <v>1330</v>
      </c>
      <c r="I1180" s="442"/>
      <c r="J1180" s="442" t="s">
        <v>7</v>
      </c>
      <c r="K1180" s="442" t="str">
        <f t="shared" si="574"/>
        <v/>
      </c>
      <c r="L1180" s="736" t="s">
        <v>2432</v>
      </c>
      <c r="M1180" s="442" t="str">
        <f t="shared" si="572"/>
        <v>N</v>
      </c>
      <c r="N1180" s="442" t="str">
        <f>IF(L1180&lt;&gt;"",VLOOKUP(L1180,Categories!$B$2:$D$41,2,FALSE),IF(F1180&lt;&gt;"","No Cat",""))</f>
        <v>NRBASE</v>
      </c>
      <c r="O1180" s="442" t="str">
        <f>IF($L1180&lt;&gt;"",VLOOKUP($L1180,Categories!$B$2:$D$41,3,FALSE),IF($F1180&lt;&gt;"","No Cat",""))</f>
        <v>NM-2 ASGA</v>
      </c>
      <c r="P1180" s="736" t="s">
        <v>2468</v>
      </c>
      <c r="Q1180" s="442" t="str">
        <f>VLOOKUP($P1180,Allocators!$B$7:$F$19,5,FALSE)</f>
        <v>Not in Rate Base</v>
      </c>
      <c r="R1180" s="737">
        <f>VLOOKUP($P1180,Allocators!$B$7:$F$19,2,FALSE)</f>
        <v>0</v>
      </c>
      <c r="S1180" s="737">
        <f>VLOOKUP($P1180,Allocators!$B$7:$F$19,3,FALSE)</f>
        <v>0</v>
      </c>
      <c r="T1180" s="737">
        <f t="shared" si="573"/>
        <v>1</v>
      </c>
      <c r="U1180" s="2">
        <f t="shared" si="577"/>
        <v>0</v>
      </c>
      <c r="V1180" s="2">
        <f t="shared" si="578"/>
        <v>0</v>
      </c>
      <c r="W1180" s="2">
        <f t="shared" si="579"/>
        <v>-6150.0820000000003</v>
      </c>
      <c r="X1180" s="2">
        <f t="shared" si="575"/>
        <v>-6150.0820000000003</v>
      </c>
      <c r="Y1180" s="2">
        <f t="shared" si="580"/>
        <v>0</v>
      </c>
      <c r="Z1180" s="2">
        <f t="shared" si="581"/>
        <v>0</v>
      </c>
      <c r="AA1180" s="2">
        <f t="shared" si="582"/>
        <v>-6150.0820000000003</v>
      </c>
      <c r="AB1180" s="2">
        <f t="shared" si="576"/>
        <v>-6150.0820000000003</v>
      </c>
      <c r="AC1180" s="734">
        <v>-6150.0820000000003</v>
      </c>
      <c r="AD1180" s="625">
        <v>-6150.0820000000003</v>
      </c>
      <c r="AE1180" s="625">
        <v>-6150.0820000000003</v>
      </c>
      <c r="AF1180" s="625">
        <v>-6150.0820000000003</v>
      </c>
      <c r="AG1180" s="625">
        <v>-6150.0820000000003</v>
      </c>
      <c r="AH1180" s="625">
        <v>-6150.0820000000003</v>
      </c>
      <c r="AI1180" s="625">
        <v>-6150.0820000000003</v>
      </c>
      <c r="AJ1180" s="625">
        <v>-6150.0820000000003</v>
      </c>
      <c r="AK1180" s="625">
        <v>-6150.0820000000003</v>
      </c>
      <c r="AL1180" s="625">
        <v>-6150.0820000000003</v>
      </c>
      <c r="AM1180" s="625">
        <v>-6150.0820000000003</v>
      </c>
      <c r="AN1180" s="625">
        <v>-6150.0820000000003</v>
      </c>
      <c r="AO1180" s="625">
        <v>-6150.0820000000003</v>
      </c>
      <c r="AP1180" s="41" t="str">
        <f t="shared" si="563"/>
        <v>Reg AssetN</v>
      </c>
      <c r="AQ1180" s="41" t="str">
        <f t="shared" si="564"/>
        <v>Reg AssetNN8ASGA</v>
      </c>
      <c r="AR1180" s="41" t="str">
        <f t="shared" si="565"/>
        <v>N8ASGANCR</v>
      </c>
      <c r="CK1180" s="625"/>
    </row>
    <row r="1181" spans="1:89" s="41" customFormat="1" ht="12.75" customHeight="1">
      <c r="A1181" s="442" t="s">
        <v>746</v>
      </c>
      <c r="B1181" s="442" t="str">
        <f t="shared" si="560"/>
        <v>Reg Asset254270600207-ABE030435</v>
      </c>
      <c r="C1181" s="736">
        <v>254270</v>
      </c>
      <c r="D1181" s="738" t="s">
        <v>1356</v>
      </c>
      <c r="E1181" s="626" t="s">
        <v>1343</v>
      </c>
      <c r="F1181" s="626" t="str">
        <f t="shared" si="510"/>
        <v>OTH REGULATORY LIAB-SALE OF GENERATION ASSETS GAI</v>
      </c>
      <c r="G1181" s="626" t="s">
        <v>1357</v>
      </c>
      <c r="H1181" s="736" t="s">
        <v>1330</v>
      </c>
      <c r="I1181" s="442"/>
      <c r="J1181" s="442" t="s">
        <v>7</v>
      </c>
      <c r="K1181" s="442" t="str">
        <f t="shared" si="574"/>
        <v/>
      </c>
      <c r="L1181" s="736" t="s">
        <v>2432</v>
      </c>
      <c r="M1181" s="442" t="str">
        <f t="shared" si="572"/>
        <v>N</v>
      </c>
      <c r="N1181" s="442" t="str">
        <f>IF(L1181&lt;&gt;"",VLOOKUP(L1181,Categories!$B$2:$D$41,2,FALSE),IF(F1181&lt;&gt;"","No Cat",""))</f>
        <v>NRBASE</v>
      </c>
      <c r="O1181" s="442" t="str">
        <f>IF($L1181&lt;&gt;"",VLOOKUP($L1181,Categories!$B$2:$D$41,3,FALSE),IF($F1181&lt;&gt;"","No Cat",""))</f>
        <v>NM-2 ASGA</v>
      </c>
      <c r="P1181" s="736" t="s">
        <v>2468</v>
      </c>
      <c r="Q1181" s="442" t="str">
        <f>VLOOKUP($P1181,Allocators!$B$7:$F$19,5,FALSE)</f>
        <v>Not in Rate Base</v>
      </c>
      <c r="R1181" s="737">
        <f>VLOOKUP($P1181,Allocators!$B$7:$F$19,2,FALSE)</f>
        <v>0</v>
      </c>
      <c r="S1181" s="737">
        <f>VLOOKUP($P1181,Allocators!$B$7:$F$19,3,FALSE)</f>
        <v>0</v>
      </c>
      <c r="T1181" s="737">
        <f t="shared" si="573"/>
        <v>1</v>
      </c>
      <c r="U1181" s="2">
        <f t="shared" si="577"/>
        <v>0</v>
      </c>
      <c r="V1181" s="2">
        <f t="shared" si="578"/>
        <v>0</v>
      </c>
      <c r="W1181" s="2">
        <f t="shared" si="579"/>
        <v>10056.34332</v>
      </c>
      <c r="X1181" s="2">
        <f t="shared" si="575"/>
        <v>10056.34332</v>
      </c>
      <c r="Y1181" s="2">
        <f t="shared" si="580"/>
        <v>0</v>
      </c>
      <c r="Z1181" s="2">
        <f t="shared" si="581"/>
        <v>0</v>
      </c>
      <c r="AA1181" s="2">
        <f t="shared" si="582"/>
        <v>10056.32446</v>
      </c>
      <c r="AB1181" s="2">
        <f t="shared" si="576"/>
        <v>10056.32446</v>
      </c>
      <c r="AC1181" s="734">
        <v>10056.324460000002</v>
      </c>
      <c r="AD1181" s="625">
        <v>10056.324460000002</v>
      </c>
      <c r="AE1181" s="625">
        <v>10056.324460000002</v>
      </c>
      <c r="AF1181" s="625">
        <v>10056.324460000002</v>
      </c>
      <c r="AG1181" s="625">
        <v>10056.324460000002</v>
      </c>
      <c r="AH1181" s="625">
        <v>10056.324460000002</v>
      </c>
      <c r="AI1181" s="625">
        <v>10056.360500000001</v>
      </c>
      <c r="AJ1181" s="625">
        <v>10056.372029999999</v>
      </c>
      <c r="AK1181" s="625">
        <v>10056.372029999999</v>
      </c>
      <c r="AL1181" s="625">
        <v>10056.372029999999</v>
      </c>
      <c r="AM1181" s="625">
        <v>10056.372029999999</v>
      </c>
      <c r="AN1181" s="625">
        <v>10056.32446</v>
      </c>
      <c r="AO1181" s="625">
        <v>10056.32446</v>
      </c>
      <c r="AP1181" s="41" t="str">
        <f t="shared" si="563"/>
        <v>Reg AssetN</v>
      </c>
      <c r="AQ1181" s="41" t="str">
        <f t="shared" si="564"/>
        <v>Reg AssetNN8ASGA</v>
      </c>
      <c r="AR1181" s="41" t="str">
        <f t="shared" si="565"/>
        <v>N8ASGANCR</v>
      </c>
      <c r="CK1181" s="625"/>
    </row>
    <row r="1182" spans="1:89" s="41" customFormat="1" ht="12.75" customHeight="1">
      <c r="A1182" s="442" t="s">
        <v>746</v>
      </c>
      <c r="B1182" s="442" t="str">
        <f t="shared" si="560"/>
        <v>Reg Asset254270600207-A-TAXBE030435</v>
      </c>
      <c r="C1182" s="736">
        <v>254270</v>
      </c>
      <c r="D1182" s="738" t="s">
        <v>1358</v>
      </c>
      <c r="E1182" s="626" t="s">
        <v>1343</v>
      </c>
      <c r="F1182" s="626" t="str">
        <f t="shared" si="510"/>
        <v>OTH REGULATORY LIAB-SALE OF GENERATION ASSETS GAI</v>
      </c>
      <c r="G1182" s="626" t="s">
        <v>1359</v>
      </c>
      <c r="H1182" s="736" t="s">
        <v>1330</v>
      </c>
      <c r="I1182" s="442"/>
      <c r="J1182" s="442" t="s">
        <v>7</v>
      </c>
      <c r="K1182" s="442" t="str">
        <f t="shared" si="574"/>
        <v/>
      </c>
      <c r="L1182" s="736" t="s">
        <v>2432</v>
      </c>
      <c r="M1182" s="442" t="str">
        <f t="shared" si="572"/>
        <v>N</v>
      </c>
      <c r="N1182" s="442" t="str">
        <f>IF(L1182&lt;&gt;"",VLOOKUP(L1182,Categories!$B$2:$D$41,2,FALSE),IF(F1182&lt;&gt;"","No Cat",""))</f>
        <v>NRBASE</v>
      </c>
      <c r="O1182" s="442" t="str">
        <f>IF($L1182&lt;&gt;"",VLOOKUP($L1182,Categories!$B$2:$D$41,3,FALSE),IF($F1182&lt;&gt;"","No Cat",""))</f>
        <v>NM-2 ASGA</v>
      </c>
      <c r="P1182" s="736" t="s">
        <v>2468</v>
      </c>
      <c r="Q1182" s="442" t="str">
        <f>VLOOKUP($P1182,Allocators!$B$7:$F$19,5,FALSE)</f>
        <v>Not in Rate Base</v>
      </c>
      <c r="R1182" s="737">
        <f>VLOOKUP($P1182,Allocators!$B$7:$F$19,2,FALSE)</f>
        <v>0</v>
      </c>
      <c r="S1182" s="737">
        <f>VLOOKUP($P1182,Allocators!$B$7:$F$19,3,FALSE)</f>
        <v>0</v>
      </c>
      <c r="T1182" s="737">
        <f t="shared" si="573"/>
        <v>1</v>
      </c>
      <c r="U1182" s="2">
        <f t="shared" si="577"/>
        <v>0</v>
      </c>
      <c r="V1182" s="2">
        <f t="shared" si="578"/>
        <v>0</v>
      </c>
      <c r="W1182" s="2">
        <f t="shared" si="579"/>
        <v>-4006.12</v>
      </c>
      <c r="X1182" s="2">
        <f t="shared" si="575"/>
        <v>-4006.12</v>
      </c>
      <c r="Y1182" s="2">
        <f t="shared" si="580"/>
        <v>0</v>
      </c>
      <c r="Z1182" s="2">
        <f t="shared" si="581"/>
        <v>0</v>
      </c>
      <c r="AA1182" s="2">
        <f t="shared" si="582"/>
        <v>-4006.12</v>
      </c>
      <c r="AB1182" s="2">
        <f t="shared" si="576"/>
        <v>-4006.12</v>
      </c>
      <c r="AC1182" s="734">
        <v>-4006.12</v>
      </c>
      <c r="AD1182" s="625">
        <v>-4006.12</v>
      </c>
      <c r="AE1182" s="625">
        <v>-4006.12</v>
      </c>
      <c r="AF1182" s="625">
        <v>-4006.12</v>
      </c>
      <c r="AG1182" s="625">
        <v>-4006.12</v>
      </c>
      <c r="AH1182" s="625">
        <v>-4006.12</v>
      </c>
      <c r="AI1182" s="625">
        <v>-4006.12</v>
      </c>
      <c r="AJ1182" s="625">
        <v>-4006.12</v>
      </c>
      <c r="AK1182" s="625">
        <v>-4006.12</v>
      </c>
      <c r="AL1182" s="625">
        <v>-4006.12</v>
      </c>
      <c r="AM1182" s="625">
        <v>-4006.12</v>
      </c>
      <c r="AN1182" s="625">
        <v>-4006.12</v>
      </c>
      <c r="AO1182" s="625">
        <v>-4006.12</v>
      </c>
      <c r="AP1182" s="41" t="str">
        <f t="shared" si="563"/>
        <v>Reg AssetN</v>
      </c>
      <c r="AQ1182" s="41" t="str">
        <f t="shared" si="564"/>
        <v>Reg AssetNN8ASGA</v>
      </c>
      <c r="AR1182" s="41" t="str">
        <f t="shared" si="565"/>
        <v>N8ASGANCR</v>
      </c>
      <c r="CK1182" s="625"/>
    </row>
    <row r="1183" spans="1:89" s="41" customFormat="1" ht="12.75" customHeight="1">
      <c r="A1183" s="442" t="s">
        <v>746</v>
      </c>
      <c r="B1183" s="442" t="str">
        <f t="shared" si="560"/>
        <v>Reg Asset254270600212BE030438</v>
      </c>
      <c r="C1183" s="736">
        <v>254270</v>
      </c>
      <c r="D1183" s="738">
        <v>600212</v>
      </c>
      <c r="E1183" s="626" t="s">
        <v>1360</v>
      </c>
      <c r="F1183" s="626" t="str">
        <f t="shared" si="510"/>
        <v>OTH REGULATORY LIAB-SALE OF GENERATION ASSETS GAI</v>
      </c>
      <c r="G1183" s="626" t="s">
        <v>1361</v>
      </c>
      <c r="H1183" s="736" t="s">
        <v>1330</v>
      </c>
      <c r="I1183" s="442"/>
      <c r="J1183" s="442" t="s">
        <v>7</v>
      </c>
      <c r="K1183" s="442" t="str">
        <f t="shared" si="574"/>
        <v/>
      </c>
      <c r="L1183" s="736" t="s">
        <v>2432</v>
      </c>
      <c r="M1183" s="442" t="str">
        <f t="shared" si="572"/>
        <v>N</v>
      </c>
      <c r="N1183" s="442" t="str">
        <f>IF(L1183&lt;&gt;"",VLOOKUP(L1183,Categories!$B$2:$D$41,2,FALSE),IF(F1183&lt;&gt;"","No Cat",""))</f>
        <v>NRBASE</v>
      </c>
      <c r="O1183" s="442" t="str">
        <f>IF($L1183&lt;&gt;"",VLOOKUP($L1183,Categories!$B$2:$D$41,3,FALSE),IF($F1183&lt;&gt;"","No Cat",""))</f>
        <v>NM-2 ASGA</v>
      </c>
      <c r="P1183" s="736" t="s">
        <v>2468</v>
      </c>
      <c r="Q1183" s="442" t="str">
        <f>VLOOKUP($P1183,Allocators!$B$7:$F$19,5,FALSE)</f>
        <v>Not in Rate Base</v>
      </c>
      <c r="R1183" s="737">
        <f>VLOOKUP($P1183,Allocators!$B$7:$F$19,2,FALSE)</f>
        <v>0</v>
      </c>
      <c r="S1183" s="737">
        <f>VLOOKUP($P1183,Allocators!$B$7:$F$19,3,FALSE)</f>
        <v>0</v>
      </c>
      <c r="T1183" s="737">
        <f t="shared" si="573"/>
        <v>1</v>
      </c>
      <c r="U1183" s="2">
        <f t="shared" si="577"/>
        <v>0</v>
      </c>
      <c r="V1183" s="2">
        <f t="shared" si="578"/>
        <v>0</v>
      </c>
      <c r="W1183" s="2">
        <f t="shared" si="579"/>
        <v>-1828</v>
      </c>
      <c r="X1183" s="2">
        <f t="shared" si="575"/>
        <v>-1828</v>
      </c>
      <c r="Y1183" s="2">
        <f t="shared" si="580"/>
        <v>0</v>
      </c>
      <c r="Z1183" s="2">
        <f t="shared" si="581"/>
        <v>0</v>
      </c>
      <c r="AA1183" s="2">
        <f t="shared" si="582"/>
        <v>-1828</v>
      </c>
      <c r="AB1183" s="2">
        <f t="shared" si="576"/>
        <v>-1828</v>
      </c>
      <c r="AC1183" s="734">
        <v>-1828</v>
      </c>
      <c r="AD1183" s="625">
        <v>-1828</v>
      </c>
      <c r="AE1183" s="625">
        <v>-1828</v>
      </c>
      <c r="AF1183" s="625">
        <v>-1828</v>
      </c>
      <c r="AG1183" s="625">
        <v>-1828</v>
      </c>
      <c r="AH1183" s="625">
        <v>-1828</v>
      </c>
      <c r="AI1183" s="625">
        <v>-1828</v>
      </c>
      <c r="AJ1183" s="625">
        <v>-1828</v>
      </c>
      <c r="AK1183" s="625">
        <v>-1828</v>
      </c>
      <c r="AL1183" s="625">
        <v>-1828</v>
      </c>
      <c r="AM1183" s="625">
        <v>-1828</v>
      </c>
      <c r="AN1183" s="625">
        <v>-1828</v>
      </c>
      <c r="AO1183" s="625">
        <v>-1828</v>
      </c>
      <c r="AP1183" s="41" t="str">
        <f t="shared" si="563"/>
        <v>Reg AssetN</v>
      </c>
      <c r="AQ1183" s="41" t="str">
        <f t="shared" si="564"/>
        <v>Reg AssetNN8ASGA</v>
      </c>
      <c r="AR1183" s="41" t="str">
        <f t="shared" si="565"/>
        <v>N8ASGANCR</v>
      </c>
      <c r="CK1183" s="625"/>
    </row>
    <row r="1184" spans="1:89" s="41" customFormat="1" ht="12.75" customHeight="1">
      <c r="A1184" s="442" t="s">
        <v>746</v>
      </c>
      <c r="B1184" s="442" t="str">
        <f t="shared" si="560"/>
        <v>Reg Asset254270600212BE030439</v>
      </c>
      <c r="C1184" s="736">
        <v>254270</v>
      </c>
      <c r="D1184" s="738">
        <v>600212</v>
      </c>
      <c r="E1184" s="626" t="s">
        <v>1362</v>
      </c>
      <c r="F1184" s="626" t="str">
        <f t="shared" si="510"/>
        <v>OTH REGULATORY LIAB-SALE OF GENERATION ASSETS GAI</v>
      </c>
      <c r="G1184" s="626" t="s">
        <v>1363</v>
      </c>
      <c r="H1184" s="736" t="s">
        <v>1330</v>
      </c>
      <c r="I1184" s="442"/>
      <c r="J1184" s="442" t="s">
        <v>7</v>
      </c>
      <c r="K1184" s="442" t="str">
        <f t="shared" si="574"/>
        <v/>
      </c>
      <c r="L1184" s="736" t="s">
        <v>2432</v>
      </c>
      <c r="M1184" s="442" t="str">
        <f t="shared" si="572"/>
        <v>N</v>
      </c>
      <c r="N1184" s="442" t="str">
        <f>IF(L1184&lt;&gt;"",VLOOKUP(L1184,Categories!$B$2:$D$41,2,FALSE),IF(F1184&lt;&gt;"","No Cat",""))</f>
        <v>NRBASE</v>
      </c>
      <c r="O1184" s="442" t="str">
        <f>IF($L1184&lt;&gt;"",VLOOKUP($L1184,Categories!$B$2:$D$41,3,FALSE),IF($F1184&lt;&gt;"","No Cat",""))</f>
        <v>NM-2 ASGA</v>
      </c>
      <c r="P1184" s="736" t="s">
        <v>2468</v>
      </c>
      <c r="Q1184" s="442" t="str">
        <f>VLOOKUP($P1184,Allocators!$B$7:$F$19,5,FALSE)</f>
        <v>Not in Rate Base</v>
      </c>
      <c r="R1184" s="737">
        <f>VLOOKUP($P1184,Allocators!$B$7:$F$19,2,FALSE)</f>
        <v>0</v>
      </c>
      <c r="S1184" s="737">
        <f>VLOOKUP($P1184,Allocators!$B$7:$F$19,3,FALSE)</f>
        <v>0</v>
      </c>
      <c r="T1184" s="737">
        <f t="shared" si="573"/>
        <v>1</v>
      </c>
      <c r="U1184" s="2">
        <f t="shared" si="577"/>
        <v>0</v>
      </c>
      <c r="V1184" s="2">
        <f t="shared" si="578"/>
        <v>0</v>
      </c>
      <c r="W1184" s="2">
        <f t="shared" si="579"/>
        <v>394</v>
      </c>
      <c r="X1184" s="2">
        <f t="shared" si="575"/>
        <v>394</v>
      </c>
      <c r="Y1184" s="2">
        <f t="shared" si="580"/>
        <v>0</v>
      </c>
      <c r="Z1184" s="2">
        <f t="shared" si="581"/>
        <v>0</v>
      </c>
      <c r="AA1184" s="2">
        <f t="shared" si="582"/>
        <v>394</v>
      </c>
      <c r="AB1184" s="2">
        <f t="shared" si="576"/>
        <v>394</v>
      </c>
      <c r="AC1184" s="734">
        <v>394</v>
      </c>
      <c r="AD1184" s="625">
        <v>394</v>
      </c>
      <c r="AE1184" s="625">
        <v>394</v>
      </c>
      <c r="AF1184" s="625">
        <v>394</v>
      </c>
      <c r="AG1184" s="625">
        <v>394</v>
      </c>
      <c r="AH1184" s="625">
        <v>394</v>
      </c>
      <c r="AI1184" s="625">
        <v>394</v>
      </c>
      <c r="AJ1184" s="625">
        <v>394</v>
      </c>
      <c r="AK1184" s="625">
        <v>394</v>
      </c>
      <c r="AL1184" s="625">
        <v>394</v>
      </c>
      <c r="AM1184" s="625">
        <v>394</v>
      </c>
      <c r="AN1184" s="625">
        <v>394</v>
      </c>
      <c r="AO1184" s="625">
        <v>394</v>
      </c>
      <c r="AP1184" s="41" t="str">
        <f t="shared" si="563"/>
        <v>Reg AssetN</v>
      </c>
      <c r="AQ1184" s="41" t="str">
        <f t="shared" si="564"/>
        <v>Reg AssetNN8ASGA</v>
      </c>
      <c r="AR1184" s="41" t="str">
        <f t="shared" si="565"/>
        <v>N8ASGANCR</v>
      </c>
      <c r="CK1184" s="625"/>
    </row>
    <row r="1185" spans="1:89" s="41" customFormat="1" ht="12.75" customHeight="1">
      <c r="A1185" s="442" t="s">
        <v>746</v>
      </c>
      <c r="B1185" s="442" t="str">
        <f t="shared" si="560"/>
        <v>Reg Asset254270600006BE030428</v>
      </c>
      <c r="C1185" s="736">
        <v>254270</v>
      </c>
      <c r="D1185" s="738">
        <v>600006</v>
      </c>
      <c r="E1185" s="626" t="s">
        <v>1364</v>
      </c>
      <c r="F1185" s="626" t="str">
        <f t="shared" si="510"/>
        <v>OTH REGULATORY LIAB-SALE OF GENERATION ASSETS GAI</v>
      </c>
      <c r="G1185" s="626" t="s">
        <v>1365</v>
      </c>
      <c r="H1185" s="736" t="s">
        <v>1330</v>
      </c>
      <c r="I1185" s="442"/>
      <c r="J1185" s="442" t="s">
        <v>7</v>
      </c>
      <c r="K1185" s="442" t="str">
        <f t="shared" si="574"/>
        <v/>
      </c>
      <c r="L1185" s="736" t="s">
        <v>2432</v>
      </c>
      <c r="M1185" s="442" t="str">
        <f t="shared" si="572"/>
        <v>N</v>
      </c>
      <c r="N1185" s="442" t="str">
        <f>IF(L1185&lt;&gt;"",VLOOKUP(L1185,Categories!$B$2:$D$41,2,FALSE),IF(F1185&lt;&gt;"","No Cat",""))</f>
        <v>NRBASE</v>
      </c>
      <c r="O1185" s="442" t="str">
        <f>IF($L1185&lt;&gt;"",VLOOKUP($L1185,Categories!$B$2:$D$41,3,FALSE),IF($F1185&lt;&gt;"","No Cat",""))</f>
        <v>NM-2 ASGA</v>
      </c>
      <c r="P1185" s="736" t="s">
        <v>2468</v>
      </c>
      <c r="Q1185" s="442" t="str">
        <f>VLOOKUP($P1185,Allocators!$B$7:$F$19,5,FALSE)</f>
        <v>Not in Rate Base</v>
      </c>
      <c r="R1185" s="737">
        <f>VLOOKUP($P1185,Allocators!$B$7:$F$19,2,FALSE)</f>
        <v>0</v>
      </c>
      <c r="S1185" s="737">
        <f>VLOOKUP($P1185,Allocators!$B$7:$F$19,3,FALSE)</f>
        <v>0</v>
      </c>
      <c r="T1185" s="737">
        <f t="shared" si="573"/>
        <v>1</v>
      </c>
      <c r="U1185" s="2">
        <f t="shared" si="577"/>
        <v>0</v>
      </c>
      <c r="V1185" s="2">
        <f t="shared" si="578"/>
        <v>0</v>
      </c>
      <c r="W1185" s="2">
        <f t="shared" si="579"/>
        <v>730.45935999999995</v>
      </c>
      <c r="X1185" s="2">
        <f t="shared" si="575"/>
        <v>730.45935999999995</v>
      </c>
      <c r="Y1185" s="2">
        <f t="shared" si="580"/>
        <v>0</v>
      </c>
      <c r="Z1185" s="2">
        <f t="shared" si="581"/>
        <v>0</v>
      </c>
      <c r="AA1185" s="2">
        <f t="shared" si="582"/>
        <v>730.45935999999995</v>
      </c>
      <c r="AB1185" s="2">
        <f t="shared" si="576"/>
        <v>730.45935999999995</v>
      </c>
      <c r="AC1185" s="734">
        <v>730.45935999999995</v>
      </c>
      <c r="AD1185" s="625">
        <v>730.45935999999995</v>
      </c>
      <c r="AE1185" s="625">
        <v>730.45935999999995</v>
      </c>
      <c r="AF1185" s="625">
        <v>730.45935999999995</v>
      </c>
      <c r="AG1185" s="625">
        <v>730.45935999999995</v>
      </c>
      <c r="AH1185" s="625">
        <v>730.45935999999995</v>
      </c>
      <c r="AI1185" s="625">
        <v>730.45935999999995</v>
      </c>
      <c r="AJ1185" s="625">
        <v>730.45935999999995</v>
      </c>
      <c r="AK1185" s="625">
        <v>730.45935999999995</v>
      </c>
      <c r="AL1185" s="625">
        <v>730.45935999999995</v>
      </c>
      <c r="AM1185" s="625">
        <v>730.45935999999995</v>
      </c>
      <c r="AN1185" s="625">
        <v>730.45935999999995</v>
      </c>
      <c r="AO1185" s="625">
        <v>730.45935999999995</v>
      </c>
      <c r="AP1185" s="41" t="str">
        <f t="shared" si="563"/>
        <v>Reg AssetN</v>
      </c>
      <c r="AQ1185" s="41" t="str">
        <f t="shared" si="564"/>
        <v>Reg AssetNN8ASGA</v>
      </c>
      <c r="AR1185" s="41" t="str">
        <f t="shared" si="565"/>
        <v>N8ASGANCR</v>
      </c>
      <c r="CK1185" s="625"/>
    </row>
    <row r="1186" spans="1:89" s="41" customFormat="1" ht="12.75" customHeight="1">
      <c r="A1186" s="442" t="s">
        <v>746</v>
      </c>
      <c r="B1186" s="442" t="str">
        <f t="shared" si="560"/>
        <v>Reg Asset254270600006BE030429</v>
      </c>
      <c r="C1186" s="736">
        <v>254270</v>
      </c>
      <c r="D1186" s="738">
        <v>600006</v>
      </c>
      <c r="E1186" s="626" t="s">
        <v>1366</v>
      </c>
      <c r="F1186" s="626" t="str">
        <f t="shared" si="510"/>
        <v>OTH REGULATORY LIAB-SALE OF GENERATION ASSETS GAI</v>
      </c>
      <c r="G1186" s="626" t="s">
        <v>1367</v>
      </c>
      <c r="H1186" s="736" t="s">
        <v>1330</v>
      </c>
      <c r="I1186" s="442"/>
      <c r="J1186" s="442" t="s">
        <v>7</v>
      </c>
      <c r="K1186" s="442" t="str">
        <f t="shared" si="574"/>
        <v/>
      </c>
      <c r="L1186" s="736" t="s">
        <v>2432</v>
      </c>
      <c r="M1186" s="442" t="str">
        <f t="shared" si="572"/>
        <v>N</v>
      </c>
      <c r="N1186" s="442" t="str">
        <f>IF(L1186&lt;&gt;"",VLOOKUP(L1186,Categories!$B$2:$D$41,2,FALSE),IF(F1186&lt;&gt;"","No Cat",""))</f>
        <v>NRBASE</v>
      </c>
      <c r="O1186" s="442" t="str">
        <f>IF($L1186&lt;&gt;"",VLOOKUP($L1186,Categories!$B$2:$D$41,3,FALSE),IF($F1186&lt;&gt;"","No Cat",""))</f>
        <v>NM-2 ASGA</v>
      </c>
      <c r="P1186" s="736" t="s">
        <v>2468</v>
      </c>
      <c r="Q1186" s="442" t="str">
        <f>VLOOKUP($P1186,Allocators!$B$7:$F$19,5,FALSE)</f>
        <v>Not in Rate Base</v>
      </c>
      <c r="R1186" s="737">
        <f>VLOOKUP($P1186,Allocators!$B$7:$F$19,2,FALSE)</f>
        <v>0</v>
      </c>
      <c r="S1186" s="737">
        <f>VLOOKUP($P1186,Allocators!$B$7:$F$19,3,FALSE)</f>
        <v>0</v>
      </c>
      <c r="T1186" s="737">
        <f t="shared" si="573"/>
        <v>1</v>
      </c>
      <c r="U1186" s="2">
        <f t="shared" si="577"/>
        <v>0</v>
      </c>
      <c r="V1186" s="2">
        <f t="shared" si="578"/>
        <v>0</v>
      </c>
      <c r="W1186" s="2">
        <f t="shared" si="579"/>
        <v>-289.50200000000001</v>
      </c>
      <c r="X1186" s="2">
        <f t="shared" si="575"/>
        <v>-289.50200000000001</v>
      </c>
      <c r="Y1186" s="2">
        <f t="shared" si="580"/>
        <v>0</v>
      </c>
      <c r="Z1186" s="2">
        <f t="shared" si="581"/>
        <v>0</v>
      </c>
      <c r="AA1186" s="2">
        <f t="shared" si="582"/>
        <v>-289.50200000000001</v>
      </c>
      <c r="AB1186" s="2">
        <f t="shared" si="576"/>
        <v>-289.50200000000001</v>
      </c>
      <c r="AC1186" s="734">
        <v>-289.50200000000001</v>
      </c>
      <c r="AD1186" s="625">
        <v>-289.50200000000001</v>
      </c>
      <c r="AE1186" s="625">
        <v>-289.50200000000001</v>
      </c>
      <c r="AF1186" s="625">
        <v>-289.50200000000001</v>
      </c>
      <c r="AG1186" s="625">
        <v>-289.50200000000001</v>
      </c>
      <c r="AH1186" s="625">
        <v>-289.50200000000001</v>
      </c>
      <c r="AI1186" s="625">
        <v>-289.50200000000001</v>
      </c>
      <c r="AJ1186" s="625">
        <v>-289.50200000000001</v>
      </c>
      <c r="AK1186" s="625">
        <v>-289.50200000000001</v>
      </c>
      <c r="AL1186" s="625">
        <v>-289.50200000000001</v>
      </c>
      <c r="AM1186" s="625">
        <v>-289.50200000000001</v>
      </c>
      <c r="AN1186" s="625">
        <v>-289.50200000000001</v>
      </c>
      <c r="AO1186" s="625">
        <v>-289.50200000000001</v>
      </c>
      <c r="AP1186" s="41" t="str">
        <f t="shared" si="563"/>
        <v>Reg AssetN</v>
      </c>
      <c r="AQ1186" s="41" t="str">
        <f t="shared" si="564"/>
        <v>Reg AssetNN8ASGA</v>
      </c>
      <c r="AR1186" s="41" t="str">
        <f t="shared" si="565"/>
        <v>N8ASGANCR</v>
      </c>
      <c r="CK1186" s="625"/>
    </row>
    <row r="1187" spans="1:89" s="41" customFormat="1" ht="12.75" customHeight="1">
      <c r="A1187" s="442" t="s">
        <v>746</v>
      </c>
      <c r="B1187" s="442" t="str">
        <f t="shared" si="560"/>
        <v>Reg Asset254270600212-TaxBE030440</v>
      </c>
      <c r="C1187" s="736">
        <v>254270</v>
      </c>
      <c r="D1187" s="738" t="s">
        <v>1369</v>
      </c>
      <c r="E1187" s="626" t="s">
        <v>1368</v>
      </c>
      <c r="F1187" s="626" t="str">
        <f t="shared" si="510"/>
        <v>OTH REGULATORY LIAB-SALE OF GENERATION ASSETS GAI</v>
      </c>
      <c r="G1187" s="626" t="s">
        <v>1370</v>
      </c>
      <c r="H1187" s="736" t="s">
        <v>1330</v>
      </c>
      <c r="I1187" s="442"/>
      <c r="J1187" s="442" t="s">
        <v>7</v>
      </c>
      <c r="K1187" s="442" t="str">
        <f t="shared" si="574"/>
        <v/>
      </c>
      <c r="L1187" s="736" t="s">
        <v>2432</v>
      </c>
      <c r="M1187" s="442" t="str">
        <f t="shared" si="572"/>
        <v>N</v>
      </c>
      <c r="N1187" s="442" t="str">
        <f>IF(L1187&lt;&gt;"",VLOOKUP(L1187,Categories!$B$2:$D$41,2,FALSE),IF(F1187&lt;&gt;"","No Cat",""))</f>
        <v>NRBASE</v>
      </c>
      <c r="O1187" s="442" t="str">
        <f>IF($L1187&lt;&gt;"",VLOOKUP($L1187,Categories!$B$2:$D$41,3,FALSE),IF($F1187&lt;&gt;"","No Cat",""))</f>
        <v>NM-2 ASGA</v>
      </c>
      <c r="P1187" s="736" t="s">
        <v>2468</v>
      </c>
      <c r="Q1187" s="442" t="str">
        <f>VLOOKUP($P1187,Allocators!$B$7:$F$19,5,FALSE)</f>
        <v>Not in Rate Base</v>
      </c>
      <c r="R1187" s="737">
        <f>VLOOKUP($P1187,Allocators!$B$7:$F$19,2,FALSE)</f>
        <v>0</v>
      </c>
      <c r="S1187" s="737">
        <f>VLOOKUP($P1187,Allocators!$B$7:$F$19,3,FALSE)</f>
        <v>0</v>
      </c>
      <c r="T1187" s="737">
        <f t="shared" si="573"/>
        <v>1</v>
      </c>
      <c r="U1187" s="2">
        <f t="shared" si="577"/>
        <v>0</v>
      </c>
      <c r="V1187" s="2">
        <f t="shared" si="578"/>
        <v>0</v>
      </c>
      <c r="W1187" s="2">
        <f t="shared" si="579"/>
        <v>873.51</v>
      </c>
      <c r="X1187" s="2">
        <f t="shared" si="575"/>
        <v>873.51</v>
      </c>
      <c r="Y1187" s="2">
        <f t="shared" si="580"/>
        <v>0</v>
      </c>
      <c r="Z1187" s="2">
        <f t="shared" si="581"/>
        <v>0</v>
      </c>
      <c r="AA1187" s="2">
        <f t="shared" si="582"/>
        <v>873.51</v>
      </c>
      <c r="AB1187" s="2">
        <f t="shared" si="576"/>
        <v>873.51</v>
      </c>
      <c r="AC1187" s="734">
        <v>873.51</v>
      </c>
      <c r="AD1187" s="625">
        <v>873.51</v>
      </c>
      <c r="AE1187" s="625">
        <v>873.51</v>
      </c>
      <c r="AF1187" s="625">
        <v>873.51</v>
      </c>
      <c r="AG1187" s="625">
        <v>873.51</v>
      </c>
      <c r="AH1187" s="625">
        <v>873.51</v>
      </c>
      <c r="AI1187" s="625">
        <v>873.51</v>
      </c>
      <c r="AJ1187" s="625">
        <v>873.51</v>
      </c>
      <c r="AK1187" s="625">
        <v>873.51</v>
      </c>
      <c r="AL1187" s="625">
        <v>873.51</v>
      </c>
      <c r="AM1187" s="625">
        <v>873.51</v>
      </c>
      <c r="AN1187" s="625">
        <v>873.51</v>
      </c>
      <c r="AO1187" s="625">
        <v>873.51</v>
      </c>
      <c r="AP1187" s="41" t="str">
        <f t="shared" si="563"/>
        <v>Reg AssetN</v>
      </c>
      <c r="AQ1187" s="41" t="str">
        <f t="shared" si="564"/>
        <v>Reg AssetNN8ASGA</v>
      </c>
      <c r="AR1187" s="41" t="str">
        <f t="shared" si="565"/>
        <v>N8ASGANCR</v>
      </c>
      <c r="CK1187" s="625"/>
    </row>
    <row r="1188" spans="1:89" s="41" customFormat="1" ht="12.75" customHeight="1">
      <c r="A1188" s="442" t="s">
        <v>746</v>
      </c>
      <c r="B1188" s="442" t="str">
        <f t="shared" si="560"/>
        <v>Reg Asset254270600213BE030441</v>
      </c>
      <c r="C1188" s="736">
        <v>254270</v>
      </c>
      <c r="D1188" s="738">
        <v>600213</v>
      </c>
      <c r="E1188" s="626" t="s">
        <v>1371</v>
      </c>
      <c r="F1188" s="626" t="str">
        <f t="shared" si="510"/>
        <v>OTH REGULATORY LIAB-SALE OF GENERATION ASSETS GAI</v>
      </c>
      <c r="G1188" s="626" t="s">
        <v>1372</v>
      </c>
      <c r="H1188" s="736" t="s">
        <v>1330</v>
      </c>
      <c r="I1188" s="442"/>
      <c r="J1188" s="442" t="s">
        <v>7</v>
      </c>
      <c r="K1188" s="442" t="str">
        <f t="shared" si="574"/>
        <v/>
      </c>
      <c r="L1188" s="736" t="s">
        <v>2432</v>
      </c>
      <c r="M1188" s="442" t="str">
        <f t="shared" si="572"/>
        <v>N</v>
      </c>
      <c r="N1188" s="442" t="str">
        <f>IF(L1188&lt;&gt;"",VLOOKUP(L1188,Categories!$B$2:$D$41,2,FALSE),IF(F1188&lt;&gt;"","No Cat",""))</f>
        <v>NRBASE</v>
      </c>
      <c r="O1188" s="442" t="str">
        <f>IF($L1188&lt;&gt;"",VLOOKUP($L1188,Categories!$B$2:$D$41,3,FALSE),IF($F1188&lt;&gt;"","No Cat",""))</f>
        <v>NM-2 ASGA</v>
      </c>
      <c r="P1188" s="736" t="s">
        <v>2468</v>
      </c>
      <c r="Q1188" s="442" t="str">
        <f>VLOOKUP($P1188,Allocators!$B$7:$F$19,5,FALSE)</f>
        <v>Not in Rate Base</v>
      </c>
      <c r="R1188" s="737">
        <f>VLOOKUP($P1188,Allocators!$B$7:$F$19,2,FALSE)</f>
        <v>0</v>
      </c>
      <c r="S1188" s="737">
        <f>VLOOKUP($P1188,Allocators!$B$7:$F$19,3,FALSE)</f>
        <v>0</v>
      </c>
      <c r="T1188" s="737">
        <f t="shared" si="573"/>
        <v>1</v>
      </c>
      <c r="U1188" s="2">
        <f t="shared" si="577"/>
        <v>0</v>
      </c>
      <c r="V1188" s="2">
        <f t="shared" si="578"/>
        <v>0</v>
      </c>
      <c r="W1188" s="2">
        <f t="shared" si="579"/>
        <v>-397</v>
      </c>
      <c r="X1188" s="2">
        <f t="shared" si="575"/>
        <v>-397</v>
      </c>
      <c r="Y1188" s="2">
        <f t="shared" si="580"/>
        <v>0</v>
      </c>
      <c r="Z1188" s="2">
        <f t="shared" si="581"/>
        <v>0</v>
      </c>
      <c r="AA1188" s="2">
        <f t="shared" si="582"/>
        <v>-397</v>
      </c>
      <c r="AB1188" s="2">
        <f t="shared" si="576"/>
        <v>-397</v>
      </c>
      <c r="AC1188" s="734">
        <v>-397</v>
      </c>
      <c r="AD1188" s="625">
        <v>-397</v>
      </c>
      <c r="AE1188" s="625">
        <v>-397</v>
      </c>
      <c r="AF1188" s="625">
        <v>-397</v>
      </c>
      <c r="AG1188" s="625">
        <v>-397</v>
      </c>
      <c r="AH1188" s="625">
        <v>-397</v>
      </c>
      <c r="AI1188" s="625">
        <v>-397</v>
      </c>
      <c r="AJ1188" s="625">
        <v>-397</v>
      </c>
      <c r="AK1188" s="625">
        <v>-397</v>
      </c>
      <c r="AL1188" s="625">
        <v>-397</v>
      </c>
      <c r="AM1188" s="625">
        <v>-397</v>
      </c>
      <c r="AN1188" s="625">
        <v>-397</v>
      </c>
      <c r="AO1188" s="625">
        <v>-397</v>
      </c>
      <c r="AP1188" s="41" t="str">
        <f t="shared" si="563"/>
        <v>Reg AssetN</v>
      </c>
      <c r="AQ1188" s="41" t="str">
        <f t="shared" si="564"/>
        <v>Reg AssetNN8ASGA</v>
      </c>
      <c r="AR1188" s="41" t="str">
        <f t="shared" si="565"/>
        <v>N8ASGANCR</v>
      </c>
      <c r="CK1188" s="625"/>
    </row>
    <row r="1189" spans="1:89" s="41" customFormat="1" ht="12.75" customHeight="1">
      <c r="A1189" s="442" t="s">
        <v>746</v>
      </c>
      <c r="B1189" s="442" t="str">
        <f t="shared" si="560"/>
        <v>Reg Asset254270600213-TAXBE030442</v>
      </c>
      <c r="C1189" s="736">
        <v>254270</v>
      </c>
      <c r="D1189" s="738" t="s">
        <v>1374</v>
      </c>
      <c r="E1189" s="626" t="s">
        <v>1373</v>
      </c>
      <c r="F1189" s="626" t="str">
        <f t="shared" si="510"/>
        <v>OTH REGULATORY LIAB-SALE OF GENERATION ASSETS GAI</v>
      </c>
      <c r="G1189" s="626" t="s">
        <v>1375</v>
      </c>
      <c r="H1189" s="736" t="s">
        <v>1330</v>
      </c>
      <c r="I1189" s="442"/>
      <c r="J1189" s="442" t="s">
        <v>7</v>
      </c>
      <c r="K1189" s="442" t="str">
        <f t="shared" si="574"/>
        <v/>
      </c>
      <c r="L1189" s="736" t="s">
        <v>2432</v>
      </c>
      <c r="M1189" s="442" t="str">
        <f t="shared" si="572"/>
        <v>N</v>
      </c>
      <c r="N1189" s="442" t="str">
        <f>IF(L1189&lt;&gt;"",VLOOKUP(L1189,Categories!$B$2:$D$41,2,FALSE),IF(F1189&lt;&gt;"","No Cat",""))</f>
        <v>NRBASE</v>
      </c>
      <c r="O1189" s="442" t="str">
        <f>IF($L1189&lt;&gt;"",VLOOKUP($L1189,Categories!$B$2:$D$41,3,FALSE),IF($F1189&lt;&gt;"","No Cat",""))</f>
        <v>NM-2 ASGA</v>
      </c>
      <c r="P1189" s="736" t="s">
        <v>2468</v>
      </c>
      <c r="Q1189" s="442" t="str">
        <f>VLOOKUP($P1189,Allocators!$B$7:$F$19,5,FALSE)</f>
        <v>Not in Rate Base</v>
      </c>
      <c r="R1189" s="737">
        <f>VLOOKUP($P1189,Allocators!$B$7:$F$19,2,FALSE)</f>
        <v>0</v>
      </c>
      <c r="S1189" s="737">
        <f>VLOOKUP($P1189,Allocators!$B$7:$F$19,3,FALSE)</f>
        <v>0</v>
      </c>
      <c r="T1189" s="737">
        <f t="shared" si="573"/>
        <v>1</v>
      </c>
      <c r="U1189" s="2">
        <f t="shared" si="577"/>
        <v>0</v>
      </c>
      <c r="V1189" s="2">
        <f t="shared" si="578"/>
        <v>0</v>
      </c>
      <c r="W1189" s="2">
        <f t="shared" si="579"/>
        <v>158.304</v>
      </c>
      <c r="X1189" s="2">
        <f t="shared" si="575"/>
        <v>158.304</v>
      </c>
      <c r="Y1189" s="2">
        <f t="shared" si="580"/>
        <v>0</v>
      </c>
      <c r="Z1189" s="2">
        <f t="shared" si="581"/>
        <v>0</v>
      </c>
      <c r="AA1189" s="2">
        <f t="shared" si="582"/>
        <v>158.304</v>
      </c>
      <c r="AB1189" s="2">
        <f t="shared" si="576"/>
        <v>158.304</v>
      </c>
      <c r="AC1189" s="734">
        <v>158.304</v>
      </c>
      <c r="AD1189" s="625">
        <v>158.304</v>
      </c>
      <c r="AE1189" s="625">
        <v>158.304</v>
      </c>
      <c r="AF1189" s="625">
        <v>158.304</v>
      </c>
      <c r="AG1189" s="625">
        <v>158.304</v>
      </c>
      <c r="AH1189" s="625">
        <v>158.304</v>
      </c>
      <c r="AI1189" s="625">
        <v>158.304</v>
      </c>
      <c r="AJ1189" s="625">
        <v>158.304</v>
      </c>
      <c r="AK1189" s="625">
        <v>158.304</v>
      </c>
      <c r="AL1189" s="625">
        <v>158.304</v>
      </c>
      <c r="AM1189" s="625">
        <v>158.304</v>
      </c>
      <c r="AN1189" s="625">
        <v>158.304</v>
      </c>
      <c r="AO1189" s="625">
        <v>158.304</v>
      </c>
      <c r="AP1189" s="41" t="str">
        <f t="shared" si="563"/>
        <v>Reg AssetN</v>
      </c>
      <c r="AQ1189" s="41" t="str">
        <f t="shared" si="564"/>
        <v>Reg AssetNN8ASGA</v>
      </c>
      <c r="AR1189" s="41" t="str">
        <f t="shared" si="565"/>
        <v>N8ASGANCR</v>
      </c>
      <c r="CK1189" s="625"/>
    </row>
    <row r="1190" spans="1:89" s="41" customFormat="1" ht="12.75" customHeight="1">
      <c r="A1190" s="442" t="s">
        <v>746</v>
      </c>
      <c r="B1190" s="442" t="str">
        <f t="shared" si="560"/>
        <v>Reg Asset254270601026BE030452</v>
      </c>
      <c r="C1190" s="736">
        <v>254270</v>
      </c>
      <c r="D1190" s="738">
        <v>601026</v>
      </c>
      <c r="E1190" s="626" t="s">
        <v>1376</v>
      </c>
      <c r="F1190" s="626" t="str">
        <f t="shared" si="510"/>
        <v>OTH REGULATORY LIAB-SALE OF GENERATION ASSETS GAI</v>
      </c>
      <c r="G1190" s="626" t="s">
        <v>1377</v>
      </c>
      <c r="H1190" s="736" t="s">
        <v>1330</v>
      </c>
      <c r="I1190" s="442"/>
      <c r="J1190" s="442" t="s">
        <v>7</v>
      </c>
      <c r="K1190" s="442" t="str">
        <f t="shared" si="574"/>
        <v/>
      </c>
      <c r="L1190" s="736" t="s">
        <v>2432</v>
      </c>
      <c r="M1190" s="442" t="str">
        <f t="shared" si="572"/>
        <v>N</v>
      </c>
      <c r="N1190" s="442" t="str">
        <f>IF(L1190&lt;&gt;"",VLOOKUP(L1190,Categories!$B$2:$D$41,2,FALSE),IF(F1190&lt;&gt;"","No Cat",""))</f>
        <v>NRBASE</v>
      </c>
      <c r="O1190" s="442" t="str">
        <f>IF($L1190&lt;&gt;"",VLOOKUP($L1190,Categories!$B$2:$D$41,3,FALSE),IF($F1190&lt;&gt;"","No Cat",""))</f>
        <v>NM-2 ASGA</v>
      </c>
      <c r="P1190" s="736" t="s">
        <v>2468</v>
      </c>
      <c r="Q1190" s="442" t="str">
        <f>VLOOKUP($P1190,Allocators!$B$7:$F$19,5,FALSE)</f>
        <v>Not in Rate Base</v>
      </c>
      <c r="R1190" s="737">
        <f>VLOOKUP($P1190,Allocators!$B$7:$F$19,2,FALSE)</f>
        <v>0</v>
      </c>
      <c r="S1190" s="737">
        <f>VLOOKUP($P1190,Allocators!$B$7:$F$19,3,FALSE)</f>
        <v>0</v>
      </c>
      <c r="T1190" s="737">
        <f t="shared" si="573"/>
        <v>1</v>
      </c>
      <c r="U1190" s="2">
        <f t="shared" si="577"/>
        <v>0</v>
      </c>
      <c r="V1190" s="2">
        <f t="shared" si="578"/>
        <v>0</v>
      </c>
      <c r="W1190" s="2">
        <f t="shared" si="579"/>
        <v>-46319.905503333299</v>
      </c>
      <c r="X1190" s="2">
        <f t="shared" si="575"/>
        <v>-46319.905503333299</v>
      </c>
      <c r="Y1190" s="2">
        <f t="shared" si="580"/>
        <v>0</v>
      </c>
      <c r="Z1190" s="2">
        <f t="shared" si="581"/>
        <v>0</v>
      </c>
      <c r="AA1190" s="2">
        <f t="shared" si="582"/>
        <v>-46637.825989999998</v>
      </c>
      <c r="AB1190" s="2">
        <f t="shared" si="576"/>
        <v>-46637.825990000012</v>
      </c>
      <c r="AC1190" s="734">
        <v>-46009.04151000001</v>
      </c>
      <c r="AD1190" s="625">
        <v>-46059.827060000003</v>
      </c>
      <c r="AE1190" s="625">
        <v>-46110.900420000005</v>
      </c>
      <c r="AF1190" s="625">
        <v>-46162.263230000004</v>
      </c>
      <c r="AG1190" s="625">
        <v>-46213.917120000006</v>
      </c>
      <c r="AH1190" s="625">
        <v>-46265.863750000004</v>
      </c>
      <c r="AI1190" s="625">
        <v>-46318.104770000013</v>
      </c>
      <c r="AJ1190" s="625">
        <v>-46370.641520000012</v>
      </c>
      <c r="AK1190" s="625">
        <v>-46423.476080000015</v>
      </c>
      <c r="AL1190" s="625">
        <v>-46476.610060000006</v>
      </c>
      <c r="AM1190" s="625">
        <v>-46530.045170000012</v>
      </c>
      <c r="AN1190" s="625">
        <v>-46583.783110000004</v>
      </c>
      <c r="AO1190" s="625">
        <v>-46637.825990000012</v>
      </c>
      <c r="AP1190" s="41" t="str">
        <f t="shared" si="563"/>
        <v>Reg AssetN</v>
      </c>
      <c r="AQ1190" s="41" t="str">
        <f t="shared" si="564"/>
        <v>Reg AssetNN8ASGA</v>
      </c>
      <c r="AR1190" s="41" t="str">
        <f t="shared" si="565"/>
        <v>N8ASGANCR</v>
      </c>
      <c r="CK1190" s="625"/>
    </row>
    <row r="1191" spans="1:89" s="41" customFormat="1" ht="12.75" customHeight="1">
      <c r="A1191" s="442" t="s">
        <v>746</v>
      </c>
      <c r="B1191" s="442" t="str">
        <f t="shared" si="560"/>
        <v>Reg Asset254270601026-TaxBE030452</v>
      </c>
      <c r="C1191" s="736">
        <v>254270</v>
      </c>
      <c r="D1191" s="738" t="s">
        <v>1378</v>
      </c>
      <c r="E1191" s="626" t="s">
        <v>1376</v>
      </c>
      <c r="F1191" s="626" t="str">
        <f t="shared" si="510"/>
        <v>OTH REGULATORY LIAB-SALE OF GENERATION ASSETS GAI</v>
      </c>
      <c r="G1191" s="626" t="s">
        <v>1379</v>
      </c>
      <c r="H1191" s="736" t="s">
        <v>1330</v>
      </c>
      <c r="I1191" s="442"/>
      <c r="J1191" s="442" t="s">
        <v>7</v>
      </c>
      <c r="K1191" s="442" t="str">
        <f t="shared" si="574"/>
        <v/>
      </c>
      <c r="L1191" s="736" t="s">
        <v>2432</v>
      </c>
      <c r="M1191" s="442" t="str">
        <f t="shared" si="572"/>
        <v>N</v>
      </c>
      <c r="N1191" s="442" t="str">
        <f>IF(L1191&lt;&gt;"",VLOOKUP(L1191,Categories!$B$2:$D$41,2,FALSE),IF(F1191&lt;&gt;"","No Cat",""))</f>
        <v>NRBASE</v>
      </c>
      <c r="O1191" s="442" t="str">
        <f>IF($L1191&lt;&gt;"",VLOOKUP($L1191,Categories!$B$2:$D$41,3,FALSE),IF($F1191&lt;&gt;"","No Cat",""))</f>
        <v>NM-2 ASGA</v>
      </c>
      <c r="P1191" s="736" t="s">
        <v>2468</v>
      </c>
      <c r="Q1191" s="442" t="str">
        <f>VLOOKUP($P1191,Allocators!$B$7:$F$19,5,FALSE)</f>
        <v>Not in Rate Base</v>
      </c>
      <c r="R1191" s="737">
        <f>VLOOKUP($P1191,Allocators!$B$7:$F$19,2,FALSE)</f>
        <v>0</v>
      </c>
      <c r="S1191" s="737">
        <f>VLOOKUP($P1191,Allocators!$B$7:$F$19,3,FALSE)</f>
        <v>0</v>
      </c>
      <c r="T1191" s="737">
        <f t="shared" si="573"/>
        <v>1</v>
      </c>
      <c r="U1191" s="2">
        <f t="shared" si="577"/>
        <v>0</v>
      </c>
      <c r="V1191" s="2">
        <f t="shared" si="578"/>
        <v>0</v>
      </c>
      <c r="W1191" s="2">
        <f t="shared" si="579"/>
        <v>17418.67742</v>
      </c>
      <c r="X1191" s="2">
        <f t="shared" si="575"/>
        <v>17418.67742</v>
      </c>
      <c r="Y1191" s="2">
        <f t="shared" si="580"/>
        <v>0</v>
      </c>
      <c r="Z1191" s="2">
        <f t="shared" si="581"/>
        <v>0</v>
      </c>
      <c r="AA1191" s="2">
        <f t="shared" si="582"/>
        <v>17418.67742</v>
      </c>
      <c r="AB1191" s="2">
        <f t="shared" si="576"/>
        <v>17418.677419999996</v>
      </c>
      <c r="AC1191" s="734">
        <v>17418.677419999996</v>
      </c>
      <c r="AD1191" s="625">
        <v>17418.677419999996</v>
      </c>
      <c r="AE1191" s="625">
        <v>17418.677419999996</v>
      </c>
      <c r="AF1191" s="625">
        <v>17418.677419999996</v>
      </c>
      <c r="AG1191" s="625">
        <v>17418.677419999996</v>
      </c>
      <c r="AH1191" s="625">
        <v>17418.677419999996</v>
      </c>
      <c r="AI1191" s="625">
        <v>17418.677419999996</v>
      </c>
      <c r="AJ1191" s="625">
        <v>17418.677419999996</v>
      </c>
      <c r="AK1191" s="625">
        <v>17418.677419999996</v>
      </c>
      <c r="AL1191" s="625">
        <v>17418.677419999996</v>
      </c>
      <c r="AM1191" s="625">
        <v>17418.677419999996</v>
      </c>
      <c r="AN1191" s="625">
        <v>17418.677419999996</v>
      </c>
      <c r="AO1191" s="625">
        <v>17418.677419999996</v>
      </c>
      <c r="AP1191" s="41" t="str">
        <f t="shared" si="563"/>
        <v>Reg AssetN</v>
      </c>
      <c r="AQ1191" s="41" t="str">
        <f t="shared" si="564"/>
        <v>Reg AssetNN8ASGA</v>
      </c>
      <c r="AR1191" s="41" t="str">
        <f t="shared" si="565"/>
        <v>N8ASGANCR</v>
      </c>
      <c r="CK1191" s="625"/>
    </row>
    <row r="1192" spans="1:89" s="41" customFormat="1" ht="12.75" customHeight="1">
      <c r="A1192" s="442" t="s">
        <v>746</v>
      </c>
      <c r="B1192" s="442" t="str">
        <f t="shared" si="560"/>
        <v>Reg Asset254270</v>
      </c>
      <c r="C1192" s="736">
        <v>254270</v>
      </c>
      <c r="D1192" s="738"/>
      <c r="E1192" s="626"/>
      <c r="F1192" s="626" t="str">
        <f t="shared" si="510"/>
        <v>OTH REGULATORY LIAB-SALE OF GENERATION ASSETS GAI</v>
      </c>
      <c r="G1192" s="626" t="s">
        <v>1380</v>
      </c>
      <c r="H1192" s="736" t="s">
        <v>1330</v>
      </c>
      <c r="I1192" s="442"/>
      <c r="J1192" s="442" t="s">
        <v>7</v>
      </c>
      <c r="K1192" s="442" t="str">
        <f t="shared" si="574"/>
        <v/>
      </c>
      <c r="L1192" s="736" t="s">
        <v>2432</v>
      </c>
      <c r="M1192" s="442" t="str">
        <f t="shared" si="572"/>
        <v>N</v>
      </c>
      <c r="N1192" s="442" t="str">
        <f>IF(L1192&lt;&gt;"",VLOOKUP(L1192,Categories!$B$2:$D$41,2,FALSE),IF(F1192&lt;&gt;"","No Cat",""))</f>
        <v>NRBASE</v>
      </c>
      <c r="O1192" s="442" t="str">
        <f>IF($L1192&lt;&gt;"",VLOOKUP($L1192,Categories!$B$2:$D$41,3,FALSE),IF($F1192&lt;&gt;"","No Cat",""))</f>
        <v>NM-2 ASGA</v>
      </c>
      <c r="P1192" s="736" t="s">
        <v>2468</v>
      </c>
      <c r="Q1192" s="442" t="str">
        <f>VLOOKUP($P1192,Allocators!$B$7:$F$19,5,FALSE)</f>
        <v>Not in Rate Base</v>
      </c>
      <c r="R1192" s="737">
        <f>VLOOKUP($P1192,Allocators!$B$7:$F$19,2,FALSE)</f>
        <v>0</v>
      </c>
      <c r="S1192" s="737">
        <f>VLOOKUP($P1192,Allocators!$B$7:$F$19,3,FALSE)</f>
        <v>0</v>
      </c>
      <c r="T1192" s="737">
        <f t="shared" si="573"/>
        <v>1</v>
      </c>
      <c r="U1192" s="2" t="str">
        <f t="shared" si="577"/>
        <v/>
      </c>
      <c r="V1192" s="2" t="str">
        <f t="shared" si="578"/>
        <v/>
      </c>
      <c r="W1192" s="2" t="str">
        <f t="shared" si="579"/>
        <v/>
      </c>
      <c r="X1192" s="2">
        <f t="shared" si="575"/>
        <v>0</v>
      </c>
      <c r="Y1192" s="2" t="str">
        <f t="shared" si="580"/>
        <v/>
      </c>
      <c r="Z1192" s="2" t="str">
        <f t="shared" si="581"/>
        <v/>
      </c>
      <c r="AA1192" s="2" t="str">
        <f t="shared" si="582"/>
        <v/>
      </c>
      <c r="AB1192" s="2">
        <f t="shared" si="576"/>
        <v>0</v>
      </c>
      <c r="AC1192" s="625">
        <v>0</v>
      </c>
      <c r="AD1192" s="625">
        <v>0</v>
      </c>
      <c r="AE1192" s="625">
        <v>0</v>
      </c>
      <c r="AF1192" s="38">
        <v>0</v>
      </c>
      <c r="AG1192" s="625">
        <v>0</v>
      </c>
      <c r="AH1192" s="625">
        <v>0</v>
      </c>
      <c r="AI1192" s="625">
        <v>0</v>
      </c>
      <c r="AJ1192" s="625">
        <v>0</v>
      </c>
      <c r="AK1192" s="625">
        <v>0</v>
      </c>
      <c r="AL1192" s="625">
        <v>0</v>
      </c>
      <c r="AM1192" s="625">
        <v>0</v>
      </c>
      <c r="AN1192" s="625">
        <v>0</v>
      </c>
      <c r="AO1192" s="625">
        <v>0</v>
      </c>
      <c r="AP1192" s="41" t="str">
        <f t="shared" si="563"/>
        <v>Reg AssetN</v>
      </c>
      <c r="AQ1192" s="41" t="str">
        <f t="shared" si="564"/>
        <v>Reg AssetNN8ASGA</v>
      </c>
      <c r="AR1192" s="41" t="str">
        <f t="shared" si="565"/>
        <v>N8ASGANCR</v>
      </c>
      <c r="CK1192" s="625"/>
    </row>
    <row r="1193" spans="1:89" s="41" customFormat="1" ht="12.75" customHeight="1">
      <c r="A1193" s="442" t="s">
        <v>746</v>
      </c>
      <c r="B1193" s="442" t="str">
        <f t="shared" si="560"/>
        <v>Reg Asset254270601014-ASGABE030449</v>
      </c>
      <c r="C1193" s="736">
        <v>254270</v>
      </c>
      <c r="D1193" s="738" t="s">
        <v>1382</v>
      </c>
      <c r="E1193" s="626" t="s">
        <v>1381</v>
      </c>
      <c r="F1193" s="626" t="str">
        <f t="shared" si="510"/>
        <v>OTH REGULATORY LIAB-SALE OF GENERATION ASSETS GAI</v>
      </c>
      <c r="G1193" s="626" t="s">
        <v>1383</v>
      </c>
      <c r="H1193" s="736" t="s">
        <v>1330</v>
      </c>
      <c r="I1193" s="442"/>
      <c r="J1193" s="442" t="s">
        <v>7</v>
      </c>
      <c r="K1193" s="442" t="str">
        <f t="shared" si="574"/>
        <v/>
      </c>
      <c r="L1193" s="736" t="s">
        <v>2432</v>
      </c>
      <c r="M1193" s="442" t="str">
        <f t="shared" si="572"/>
        <v>N</v>
      </c>
      <c r="N1193" s="442" t="str">
        <f>IF(L1193&lt;&gt;"",VLOOKUP(L1193,Categories!$B$2:$D$41,2,FALSE),IF(F1193&lt;&gt;"","No Cat",""))</f>
        <v>NRBASE</v>
      </c>
      <c r="O1193" s="442" t="str">
        <f>IF($L1193&lt;&gt;"",VLOOKUP($L1193,Categories!$B$2:$D$41,3,FALSE),IF($F1193&lt;&gt;"","No Cat",""))</f>
        <v>NM-2 ASGA</v>
      </c>
      <c r="P1193" s="736" t="s">
        <v>2468</v>
      </c>
      <c r="Q1193" s="442" t="str">
        <f>VLOOKUP($P1193,Allocators!$B$7:$F$19,5,FALSE)</f>
        <v>Not in Rate Base</v>
      </c>
      <c r="R1193" s="737">
        <f>VLOOKUP($P1193,Allocators!$B$7:$F$19,2,FALSE)</f>
        <v>0</v>
      </c>
      <c r="S1193" s="737">
        <f>VLOOKUP($P1193,Allocators!$B$7:$F$19,3,FALSE)</f>
        <v>0</v>
      </c>
      <c r="T1193" s="737">
        <f t="shared" si="573"/>
        <v>1</v>
      </c>
      <c r="U1193" s="2">
        <f t="shared" si="577"/>
        <v>0</v>
      </c>
      <c r="V1193" s="2">
        <f t="shared" si="578"/>
        <v>0</v>
      </c>
      <c r="W1193" s="2">
        <f t="shared" si="579"/>
        <v>-21826.62789</v>
      </c>
      <c r="X1193" s="2">
        <f t="shared" si="575"/>
        <v>-21826.62789</v>
      </c>
      <c r="Y1193" s="2">
        <f t="shared" si="580"/>
        <v>0</v>
      </c>
      <c r="Z1193" s="2">
        <f t="shared" si="581"/>
        <v>0</v>
      </c>
      <c r="AA1193" s="2">
        <f t="shared" si="582"/>
        <v>-21826.62789</v>
      </c>
      <c r="AB1193" s="2">
        <f t="shared" si="576"/>
        <v>-21826.62789</v>
      </c>
      <c r="AC1193" s="734">
        <v>-21826.62789</v>
      </c>
      <c r="AD1193" s="625">
        <v>-21826.62789</v>
      </c>
      <c r="AE1193" s="625">
        <v>-21826.62789</v>
      </c>
      <c r="AF1193" s="625">
        <v>-21826.62789</v>
      </c>
      <c r="AG1193" s="625">
        <v>-21826.62789</v>
      </c>
      <c r="AH1193" s="625">
        <v>-21826.62789</v>
      </c>
      <c r="AI1193" s="625">
        <v>-21826.62789</v>
      </c>
      <c r="AJ1193" s="625">
        <v>-21826.62789</v>
      </c>
      <c r="AK1193" s="625">
        <v>-21826.62789</v>
      </c>
      <c r="AL1193" s="625">
        <v>-21826.62789</v>
      </c>
      <c r="AM1193" s="625">
        <v>-21826.62789</v>
      </c>
      <c r="AN1193" s="625">
        <v>-21826.62789</v>
      </c>
      <c r="AO1193" s="625">
        <v>-21826.62789</v>
      </c>
      <c r="AP1193" s="41" t="str">
        <f t="shared" si="563"/>
        <v>Reg AssetN</v>
      </c>
      <c r="AQ1193" s="41" t="str">
        <f t="shared" si="564"/>
        <v>Reg AssetNN8ASGA</v>
      </c>
      <c r="AR1193" s="41" t="str">
        <f t="shared" si="565"/>
        <v>N8ASGANCR</v>
      </c>
      <c r="CK1193" s="625"/>
    </row>
    <row r="1194" spans="1:89" s="41" customFormat="1" ht="12.75" customHeight="1">
      <c r="A1194" s="442" t="s">
        <v>746</v>
      </c>
      <c r="B1194" s="442" t="str">
        <f t="shared" si="560"/>
        <v>Reg Asset254270601014-ASGA-TaxBE030450</v>
      </c>
      <c r="C1194" s="736">
        <v>254270</v>
      </c>
      <c r="D1194" s="738" t="s">
        <v>1385</v>
      </c>
      <c r="E1194" s="626" t="s">
        <v>1384</v>
      </c>
      <c r="F1194" s="626" t="str">
        <f t="shared" si="510"/>
        <v>OTH REGULATORY LIAB-SALE OF GENERATION ASSETS GAI</v>
      </c>
      <c r="G1194" s="626" t="s">
        <v>1386</v>
      </c>
      <c r="H1194" s="736" t="s">
        <v>1330</v>
      </c>
      <c r="I1194" s="442"/>
      <c r="J1194" s="442" t="s">
        <v>7</v>
      </c>
      <c r="K1194" s="442" t="str">
        <f t="shared" si="574"/>
        <v/>
      </c>
      <c r="L1194" s="736" t="s">
        <v>2432</v>
      </c>
      <c r="M1194" s="442" t="str">
        <f t="shared" si="572"/>
        <v>N</v>
      </c>
      <c r="N1194" s="442" t="str">
        <f>IF(L1194&lt;&gt;"",VLOOKUP(L1194,Categories!$B$2:$D$41,2,FALSE),IF(F1194&lt;&gt;"","No Cat",""))</f>
        <v>NRBASE</v>
      </c>
      <c r="O1194" s="442" t="str">
        <f>IF($L1194&lt;&gt;"",VLOOKUP($L1194,Categories!$B$2:$D$41,3,FALSE),IF($F1194&lt;&gt;"","No Cat",""))</f>
        <v>NM-2 ASGA</v>
      </c>
      <c r="P1194" s="736" t="s">
        <v>2468</v>
      </c>
      <c r="Q1194" s="442" t="str">
        <f>VLOOKUP($P1194,Allocators!$B$7:$F$19,5,FALSE)</f>
        <v>Not in Rate Base</v>
      </c>
      <c r="R1194" s="737">
        <f>VLOOKUP($P1194,Allocators!$B$7:$F$19,2,FALSE)</f>
        <v>0</v>
      </c>
      <c r="S1194" s="737">
        <f>VLOOKUP($P1194,Allocators!$B$7:$F$19,3,FALSE)</f>
        <v>0</v>
      </c>
      <c r="T1194" s="737">
        <f t="shared" si="573"/>
        <v>1</v>
      </c>
      <c r="U1194" s="2">
        <f t="shared" si="577"/>
        <v>0</v>
      </c>
      <c r="V1194" s="2">
        <f t="shared" si="578"/>
        <v>0</v>
      </c>
      <c r="W1194" s="2">
        <f t="shared" si="579"/>
        <v>9461.4714999999997</v>
      </c>
      <c r="X1194" s="2">
        <f t="shared" si="575"/>
        <v>9461.4714999999997</v>
      </c>
      <c r="Y1194" s="2">
        <f t="shared" si="580"/>
        <v>0</v>
      </c>
      <c r="Z1194" s="2">
        <f t="shared" si="581"/>
        <v>0</v>
      </c>
      <c r="AA1194" s="2">
        <f t="shared" si="582"/>
        <v>9461.4714999999997</v>
      </c>
      <c r="AB1194" s="2">
        <f t="shared" si="576"/>
        <v>9461.4714999999997</v>
      </c>
      <c r="AC1194" s="734">
        <v>9461.4714999999997</v>
      </c>
      <c r="AD1194" s="625">
        <v>9461.4714999999997</v>
      </c>
      <c r="AE1194" s="625">
        <v>9461.4714999999997</v>
      </c>
      <c r="AF1194" s="625">
        <v>9461.4714999999997</v>
      </c>
      <c r="AG1194" s="625">
        <v>9461.4714999999997</v>
      </c>
      <c r="AH1194" s="625">
        <v>9461.4714999999997</v>
      </c>
      <c r="AI1194" s="625">
        <v>9461.4714999999997</v>
      </c>
      <c r="AJ1194" s="625">
        <v>9461.4714999999997</v>
      </c>
      <c r="AK1194" s="625">
        <v>9461.4714999999997</v>
      </c>
      <c r="AL1194" s="625">
        <v>9461.4714999999997</v>
      </c>
      <c r="AM1194" s="625">
        <v>9461.4714999999997</v>
      </c>
      <c r="AN1194" s="625">
        <v>9461.4714999999997</v>
      </c>
      <c r="AO1194" s="625">
        <v>9461.4714999999997</v>
      </c>
      <c r="AP1194" s="41" t="str">
        <f t="shared" si="563"/>
        <v>Reg AssetN</v>
      </c>
      <c r="AQ1194" s="41" t="str">
        <f t="shared" si="564"/>
        <v>Reg AssetNN8ASGA</v>
      </c>
      <c r="AR1194" s="41" t="str">
        <f t="shared" si="565"/>
        <v>N8ASGANCR</v>
      </c>
      <c r="CK1194" s="625"/>
    </row>
    <row r="1195" spans="1:89" s="41" customFormat="1" ht="12.75" customHeight="1">
      <c r="A1195" s="442" t="s">
        <v>746</v>
      </c>
      <c r="B1195" s="442" t="str">
        <f t="shared" si="560"/>
        <v>Reg Asset254270601025-TaxBE030451</v>
      </c>
      <c r="C1195" s="736">
        <v>254270</v>
      </c>
      <c r="D1195" s="738" t="s">
        <v>1388</v>
      </c>
      <c r="E1195" s="626" t="s">
        <v>1387</v>
      </c>
      <c r="F1195" s="626" t="str">
        <f t="shared" si="510"/>
        <v>OTH REGULATORY LIAB-SALE OF GENERATION ASSETS GAI</v>
      </c>
      <c r="G1195" s="626" t="s">
        <v>1389</v>
      </c>
      <c r="H1195" s="736" t="s">
        <v>1330</v>
      </c>
      <c r="I1195" s="442"/>
      <c r="J1195" s="442" t="s">
        <v>7</v>
      </c>
      <c r="K1195" s="442" t="str">
        <f t="shared" si="574"/>
        <v/>
      </c>
      <c r="L1195" s="736" t="s">
        <v>2432</v>
      </c>
      <c r="M1195" s="442" t="str">
        <f t="shared" si="572"/>
        <v>N</v>
      </c>
      <c r="N1195" s="442" t="str">
        <f>IF(L1195&lt;&gt;"",VLOOKUP(L1195,Categories!$B$2:$D$41,2,FALSE),IF(F1195&lt;&gt;"","No Cat",""))</f>
        <v>NRBASE</v>
      </c>
      <c r="O1195" s="442" t="str">
        <f>IF($L1195&lt;&gt;"",VLOOKUP($L1195,Categories!$B$2:$D$41,3,FALSE),IF($F1195&lt;&gt;"","No Cat",""))</f>
        <v>NM-2 ASGA</v>
      </c>
      <c r="P1195" s="736" t="s">
        <v>2468</v>
      </c>
      <c r="Q1195" s="442" t="str">
        <f>VLOOKUP($P1195,Allocators!$B$7:$F$19,5,FALSE)</f>
        <v>Not in Rate Base</v>
      </c>
      <c r="R1195" s="737">
        <f>VLOOKUP($P1195,Allocators!$B$7:$F$19,2,FALSE)</f>
        <v>0</v>
      </c>
      <c r="S1195" s="737">
        <f>VLOOKUP($P1195,Allocators!$B$7:$F$19,3,FALSE)</f>
        <v>0</v>
      </c>
      <c r="T1195" s="737">
        <f t="shared" si="573"/>
        <v>1</v>
      </c>
      <c r="U1195" s="2">
        <f t="shared" si="577"/>
        <v>0</v>
      </c>
      <c r="V1195" s="2">
        <f t="shared" si="578"/>
        <v>0</v>
      </c>
      <c r="W1195" s="2">
        <f t="shared" si="579"/>
        <v>-11180.5</v>
      </c>
      <c r="X1195" s="2">
        <f t="shared" si="575"/>
        <v>-11180.5</v>
      </c>
      <c r="Y1195" s="2">
        <f t="shared" si="580"/>
        <v>0</v>
      </c>
      <c r="Z1195" s="2">
        <f t="shared" si="581"/>
        <v>0</v>
      </c>
      <c r="AA1195" s="2">
        <f t="shared" si="582"/>
        <v>-11180.5</v>
      </c>
      <c r="AB1195" s="2">
        <f t="shared" si="576"/>
        <v>-11180.5</v>
      </c>
      <c r="AC1195" s="734">
        <v>-11180.5</v>
      </c>
      <c r="AD1195" s="625">
        <v>-11180.5</v>
      </c>
      <c r="AE1195" s="625">
        <v>-11180.5</v>
      </c>
      <c r="AF1195" s="625">
        <v>-11180.5</v>
      </c>
      <c r="AG1195" s="625">
        <v>-11180.5</v>
      </c>
      <c r="AH1195" s="625">
        <v>-11180.5</v>
      </c>
      <c r="AI1195" s="625">
        <v>-11180.5</v>
      </c>
      <c r="AJ1195" s="625">
        <v>-11180.5</v>
      </c>
      <c r="AK1195" s="625">
        <v>-11180.5</v>
      </c>
      <c r="AL1195" s="625">
        <v>-11180.5</v>
      </c>
      <c r="AM1195" s="625">
        <v>-11180.5</v>
      </c>
      <c r="AN1195" s="625">
        <v>-11180.5</v>
      </c>
      <c r="AO1195" s="625">
        <v>-11180.5</v>
      </c>
      <c r="AP1195" s="41" t="str">
        <f t="shared" si="563"/>
        <v>Reg AssetN</v>
      </c>
      <c r="AQ1195" s="41" t="str">
        <f t="shared" si="564"/>
        <v>Reg AssetNN8ASGA</v>
      </c>
      <c r="AR1195" s="41" t="str">
        <f t="shared" si="565"/>
        <v>N8ASGANCR</v>
      </c>
      <c r="CK1195" s="625"/>
    </row>
    <row r="1196" spans="1:89" s="41" customFormat="1" ht="12.75" customHeight="1">
      <c r="A1196" s="442" t="s">
        <v>746</v>
      </c>
      <c r="B1196" s="442" t="str">
        <f t="shared" si="560"/>
        <v>Reg Asset254270601025BE030451</v>
      </c>
      <c r="C1196" s="736">
        <v>254270</v>
      </c>
      <c r="D1196" s="738">
        <v>601025</v>
      </c>
      <c r="E1196" s="626" t="s">
        <v>1387</v>
      </c>
      <c r="F1196" s="626" t="str">
        <f t="shared" si="510"/>
        <v>OTH REGULATORY LIAB-SALE OF GENERATION ASSETS GAI</v>
      </c>
      <c r="G1196" s="626" t="s">
        <v>1390</v>
      </c>
      <c r="H1196" s="736" t="s">
        <v>1330</v>
      </c>
      <c r="I1196" s="442"/>
      <c r="J1196" s="442" t="s">
        <v>7</v>
      </c>
      <c r="K1196" s="442" t="str">
        <f t="shared" si="574"/>
        <v/>
      </c>
      <c r="L1196" s="736" t="s">
        <v>2432</v>
      </c>
      <c r="M1196" s="442" t="str">
        <f t="shared" si="572"/>
        <v>N</v>
      </c>
      <c r="N1196" s="442" t="str">
        <f>IF(L1196&lt;&gt;"",VLOOKUP(L1196,Categories!$B$2:$D$41,2,FALSE),IF(F1196&lt;&gt;"","No Cat",""))</f>
        <v>NRBASE</v>
      </c>
      <c r="O1196" s="442" t="str">
        <f>IF($L1196&lt;&gt;"",VLOOKUP($L1196,Categories!$B$2:$D$41,3,FALSE),IF($F1196&lt;&gt;"","No Cat",""))</f>
        <v>NM-2 ASGA</v>
      </c>
      <c r="P1196" s="736" t="s">
        <v>2468</v>
      </c>
      <c r="Q1196" s="442" t="str">
        <f>VLOOKUP($P1196,Allocators!$B$7:$F$19,5,FALSE)</f>
        <v>Not in Rate Base</v>
      </c>
      <c r="R1196" s="737">
        <f>VLOOKUP($P1196,Allocators!$B$7:$F$19,2,FALSE)</f>
        <v>0</v>
      </c>
      <c r="S1196" s="737">
        <f>VLOOKUP($P1196,Allocators!$B$7:$F$19,3,FALSE)</f>
        <v>0</v>
      </c>
      <c r="T1196" s="737">
        <f t="shared" si="573"/>
        <v>1</v>
      </c>
      <c r="U1196" s="2">
        <f t="shared" si="577"/>
        <v>0</v>
      </c>
      <c r="V1196" s="2">
        <f t="shared" si="578"/>
        <v>0</v>
      </c>
      <c r="W1196" s="2">
        <f t="shared" si="579"/>
        <v>28038.873100000001</v>
      </c>
      <c r="X1196" s="2">
        <f t="shared" si="575"/>
        <v>28038.873100000001</v>
      </c>
      <c r="Y1196" s="2">
        <f t="shared" si="580"/>
        <v>0</v>
      </c>
      <c r="Z1196" s="2">
        <f t="shared" si="581"/>
        <v>0</v>
      </c>
      <c r="AA1196" s="2">
        <f t="shared" si="582"/>
        <v>28038.873100000001</v>
      </c>
      <c r="AB1196" s="2">
        <f t="shared" si="576"/>
        <v>28038.873100000001</v>
      </c>
      <c r="AC1196" s="734">
        <v>28038.873100000001</v>
      </c>
      <c r="AD1196" s="625">
        <v>28038.873100000001</v>
      </c>
      <c r="AE1196" s="625">
        <v>28038.873100000001</v>
      </c>
      <c r="AF1196" s="625">
        <v>28038.873100000001</v>
      </c>
      <c r="AG1196" s="625">
        <v>28038.873100000001</v>
      </c>
      <c r="AH1196" s="625">
        <v>28038.873100000001</v>
      </c>
      <c r="AI1196" s="625">
        <v>28038.873100000001</v>
      </c>
      <c r="AJ1196" s="625">
        <v>28038.873100000001</v>
      </c>
      <c r="AK1196" s="625">
        <v>28038.873100000001</v>
      </c>
      <c r="AL1196" s="625">
        <v>28038.873100000001</v>
      </c>
      <c r="AM1196" s="625">
        <v>28038.873100000001</v>
      </c>
      <c r="AN1196" s="625">
        <v>28038.873100000001</v>
      </c>
      <c r="AO1196" s="625">
        <v>28038.873100000001</v>
      </c>
      <c r="AP1196" s="41" t="str">
        <f t="shared" si="563"/>
        <v>Reg AssetN</v>
      </c>
      <c r="AQ1196" s="41" t="str">
        <f t="shared" si="564"/>
        <v>Reg AssetNN8ASGA</v>
      </c>
      <c r="AR1196" s="41" t="str">
        <f t="shared" si="565"/>
        <v>N8ASGANCR</v>
      </c>
      <c r="CK1196" s="625"/>
    </row>
    <row r="1197" spans="1:89" s="41" customFormat="1" ht="12.75" customHeight="1">
      <c r="A1197" s="442" t="s">
        <v>746</v>
      </c>
      <c r="B1197" s="442" t="str">
        <f t="shared" si="560"/>
        <v>Reg Asset254270601029-TaxBE030451</v>
      </c>
      <c r="C1197" s="736">
        <v>254270</v>
      </c>
      <c r="D1197" s="738" t="s">
        <v>1391</v>
      </c>
      <c r="E1197" s="626" t="s">
        <v>1387</v>
      </c>
      <c r="F1197" s="626" t="str">
        <f t="shared" si="510"/>
        <v>OTH REGULATORY LIAB-SALE OF GENERATION ASSETS GAI</v>
      </c>
      <c r="G1197" s="626" t="s">
        <v>1392</v>
      </c>
      <c r="H1197" s="736" t="s">
        <v>1330</v>
      </c>
      <c r="I1197" s="442"/>
      <c r="J1197" s="442" t="s">
        <v>7</v>
      </c>
      <c r="K1197" s="442" t="str">
        <f t="shared" si="574"/>
        <v/>
      </c>
      <c r="L1197" s="736" t="s">
        <v>2432</v>
      </c>
      <c r="M1197" s="442" t="str">
        <f t="shared" si="572"/>
        <v>N</v>
      </c>
      <c r="N1197" s="442" t="str">
        <f>IF(L1197&lt;&gt;"",VLOOKUP(L1197,Categories!$B$2:$D$41,2,FALSE),IF(F1197&lt;&gt;"","No Cat",""))</f>
        <v>NRBASE</v>
      </c>
      <c r="O1197" s="442" t="str">
        <f>IF($L1197&lt;&gt;"",VLOOKUP($L1197,Categories!$B$2:$D$41,3,FALSE),IF($F1197&lt;&gt;"","No Cat",""))</f>
        <v>NM-2 ASGA</v>
      </c>
      <c r="P1197" s="736" t="s">
        <v>2468</v>
      </c>
      <c r="Q1197" s="442" t="str">
        <f>VLOOKUP($P1197,Allocators!$B$7:$F$19,5,FALSE)</f>
        <v>Not in Rate Base</v>
      </c>
      <c r="R1197" s="737">
        <f>VLOOKUP($P1197,Allocators!$B$7:$F$19,2,FALSE)</f>
        <v>0</v>
      </c>
      <c r="S1197" s="737">
        <f>VLOOKUP($P1197,Allocators!$B$7:$F$19,3,FALSE)</f>
        <v>0</v>
      </c>
      <c r="T1197" s="737">
        <f t="shared" si="573"/>
        <v>1</v>
      </c>
      <c r="U1197" s="2" t="str">
        <f t="shared" si="577"/>
        <v/>
      </c>
      <c r="V1197" s="2" t="str">
        <f t="shared" si="578"/>
        <v/>
      </c>
      <c r="W1197" s="2" t="str">
        <f t="shared" si="579"/>
        <v/>
      </c>
      <c r="X1197" s="2">
        <f t="shared" si="575"/>
        <v>0</v>
      </c>
      <c r="Y1197" s="2" t="str">
        <f t="shared" si="580"/>
        <v/>
      </c>
      <c r="Z1197" s="2" t="str">
        <f t="shared" si="581"/>
        <v/>
      </c>
      <c r="AA1197" s="2" t="str">
        <f t="shared" si="582"/>
        <v/>
      </c>
      <c r="AB1197" s="2">
        <f t="shared" si="576"/>
        <v>0</v>
      </c>
      <c r="AC1197" s="625">
        <v>0</v>
      </c>
      <c r="AD1197" s="625">
        <v>0</v>
      </c>
      <c r="AE1197" s="625">
        <v>0</v>
      </c>
      <c r="AF1197" s="38">
        <v>0</v>
      </c>
      <c r="AG1197" s="625">
        <v>0</v>
      </c>
      <c r="AH1197" s="625">
        <v>0</v>
      </c>
      <c r="AI1197" s="625">
        <v>0</v>
      </c>
      <c r="AJ1197" s="625">
        <v>0</v>
      </c>
      <c r="AK1197" s="625">
        <v>0</v>
      </c>
      <c r="AL1197" s="625">
        <v>0</v>
      </c>
      <c r="AM1197" s="625">
        <v>0</v>
      </c>
      <c r="AN1197" s="625">
        <v>0</v>
      </c>
      <c r="AO1197" s="625">
        <v>0</v>
      </c>
      <c r="AP1197" s="41" t="str">
        <f t="shared" si="563"/>
        <v>Reg AssetN</v>
      </c>
      <c r="AQ1197" s="41" t="str">
        <f t="shared" si="564"/>
        <v>Reg AssetNN8ASGA</v>
      </c>
      <c r="AR1197" s="41" t="str">
        <f t="shared" si="565"/>
        <v>N8ASGANCR</v>
      </c>
      <c r="CK1197" s="625"/>
    </row>
    <row r="1198" spans="1:89" s="41" customFormat="1" ht="12.75" customHeight="1">
      <c r="A1198" s="442" t="s">
        <v>746</v>
      </c>
      <c r="B1198" s="442" t="str">
        <f t="shared" si="560"/>
        <v>Reg Asset254270601046-076-CC/OffsetBE030556</v>
      </c>
      <c r="C1198" s="736">
        <v>254270</v>
      </c>
      <c r="D1198" s="738" t="s">
        <v>1394</v>
      </c>
      <c r="E1198" s="626" t="s">
        <v>1393</v>
      </c>
      <c r="F1198" s="626" t="str">
        <f t="shared" si="510"/>
        <v>OTH REGULATORY LIAB-SALE OF GENERATION ASSETS GAI</v>
      </c>
      <c r="G1198" s="626" t="s">
        <v>1395</v>
      </c>
      <c r="H1198" s="736" t="s">
        <v>1330</v>
      </c>
      <c r="I1198" s="442"/>
      <c r="J1198" s="442" t="s">
        <v>7</v>
      </c>
      <c r="K1198" s="442" t="str">
        <f t="shared" si="574"/>
        <v/>
      </c>
      <c r="L1198" s="736" t="s">
        <v>2432</v>
      </c>
      <c r="M1198" s="442" t="str">
        <f t="shared" si="572"/>
        <v>N</v>
      </c>
      <c r="N1198" s="442" t="str">
        <f>IF(L1198&lt;&gt;"",VLOOKUP(L1198,Categories!$B$2:$D$41,2,FALSE),IF(F1198&lt;&gt;"","No Cat",""))</f>
        <v>NRBASE</v>
      </c>
      <c r="O1198" s="442" t="str">
        <f>IF($L1198&lt;&gt;"",VLOOKUP($L1198,Categories!$B$2:$D$41,3,FALSE),IF($F1198&lt;&gt;"","No Cat",""))</f>
        <v>NM-2 ASGA</v>
      </c>
      <c r="P1198" s="736" t="s">
        <v>2468</v>
      </c>
      <c r="Q1198" s="442" t="str">
        <f>VLOOKUP($P1198,Allocators!$B$7:$F$19,5,FALSE)</f>
        <v>Not in Rate Base</v>
      </c>
      <c r="R1198" s="737">
        <f>VLOOKUP($P1198,Allocators!$B$7:$F$19,2,FALSE)</f>
        <v>0</v>
      </c>
      <c r="S1198" s="737">
        <f>VLOOKUP($P1198,Allocators!$B$7:$F$19,3,FALSE)</f>
        <v>0</v>
      </c>
      <c r="T1198" s="737">
        <f t="shared" si="573"/>
        <v>1</v>
      </c>
      <c r="U1198" s="2">
        <f t="shared" si="577"/>
        <v>0</v>
      </c>
      <c r="V1198" s="2">
        <f t="shared" si="578"/>
        <v>0</v>
      </c>
      <c r="W1198" s="2">
        <f t="shared" si="579"/>
        <v>-7245.7965700000004</v>
      </c>
      <c r="X1198" s="2">
        <f t="shared" si="575"/>
        <v>-7245.7965700000004</v>
      </c>
      <c r="Y1198" s="2">
        <f t="shared" si="580"/>
        <v>0</v>
      </c>
      <c r="Z1198" s="2">
        <f t="shared" si="581"/>
        <v>0</v>
      </c>
      <c r="AA1198" s="2">
        <f t="shared" si="582"/>
        <v>-7245.7965700000004</v>
      </c>
      <c r="AB1198" s="2">
        <f t="shared" si="576"/>
        <v>-7245.7965699999995</v>
      </c>
      <c r="AC1198" s="734">
        <v>-7245.7965699999995</v>
      </c>
      <c r="AD1198" s="625">
        <v>-7245.7965699999995</v>
      </c>
      <c r="AE1198" s="625">
        <v>-7245.7965699999995</v>
      </c>
      <c r="AF1198" s="625">
        <v>-7245.7965699999995</v>
      </c>
      <c r="AG1198" s="625">
        <v>-7245.7965699999995</v>
      </c>
      <c r="AH1198" s="625">
        <v>-7245.7965699999995</v>
      </c>
      <c r="AI1198" s="625">
        <v>-7245.7965699999995</v>
      </c>
      <c r="AJ1198" s="625">
        <v>-7245.7965699999995</v>
      </c>
      <c r="AK1198" s="625">
        <v>-7245.7965699999995</v>
      </c>
      <c r="AL1198" s="625">
        <v>-7245.7965699999995</v>
      </c>
      <c r="AM1198" s="625">
        <v>-7245.7965699999995</v>
      </c>
      <c r="AN1198" s="625">
        <v>-7245.7965699999995</v>
      </c>
      <c r="AO1198" s="625">
        <v>-7245.7965699999995</v>
      </c>
      <c r="AP1198" s="41" t="str">
        <f t="shared" si="563"/>
        <v>Reg AssetN</v>
      </c>
      <c r="AQ1198" s="41" t="str">
        <f t="shared" si="564"/>
        <v>Reg AssetNN8ASGA</v>
      </c>
      <c r="AR1198" s="41" t="str">
        <f t="shared" si="565"/>
        <v>N8ASGANCR</v>
      </c>
      <c r="CK1198" s="625"/>
    </row>
    <row r="1199" spans="1:89" s="41" customFormat="1" ht="12.75" customHeight="1">
      <c r="A1199" s="442" t="s">
        <v>746</v>
      </c>
      <c r="B1199" s="442" t="str">
        <f t="shared" si="560"/>
        <v>Reg Asset254270600217/601217-TAXBE030444</v>
      </c>
      <c r="C1199" s="736">
        <v>254270</v>
      </c>
      <c r="D1199" s="738" t="s">
        <v>1397</v>
      </c>
      <c r="E1199" s="626" t="s">
        <v>1396</v>
      </c>
      <c r="F1199" s="626" t="str">
        <f t="shared" si="510"/>
        <v>OTH REGULATORY LIAB-SALE OF GENERATION ASSETS GAI</v>
      </c>
      <c r="G1199" s="626" t="s">
        <v>1398</v>
      </c>
      <c r="H1199" s="736" t="s">
        <v>1330</v>
      </c>
      <c r="I1199" s="442"/>
      <c r="J1199" s="442" t="s">
        <v>7</v>
      </c>
      <c r="K1199" s="442" t="str">
        <f t="shared" si="574"/>
        <v/>
      </c>
      <c r="L1199" s="736" t="s">
        <v>2432</v>
      </c>
      <c r="M1199" s="442" t="str">
        <f t="shared" si="572"/>
        <v>N</v>
      </c>
      <c r="N1199" s="442" t="str">
        <f>IF(L1199&lt;&gt;"",VLOOKUP(L1199,Categories!$B$2:$D$41,2,FALSE),IF(F1199&lt;&gt;"","No Cat",""))</f>
        <v>NRBASE</v>
      </c>
      <c r="O1199" s="442" t="str">
        <f>IF($L1199&lt;&gt;"",VLOOKUP($L1199,Categories!$B$2:$D$41,3,FALSE),IF($F1199&lt;&gt;"","No Cat",""))</f>
        <v>NM-2 ASGA</v>
      </c>
      <c r="P1199" s="736" t="s">
        <v>2468</v>
      </c>
      <c r="Q1199" s="442" t="str">
        <f>VLOOKUP($P1199,Allocators!$B$7:$F$19,5,FALSE)</f>
        <v>Not in Rate Base</v>
      </c>
      <c r="R1199" s="737">
        <f>VLOOKUP($P1199,Allocators!$B$7:$F$19,2,FALSE)</f>
        <v>0</v>
      </c>
      <c r="S1199" s="737">
        <f>VLOOKUP($P1199,Allocators!$B$7:$F$19,3,FALSE)</f>
        <v>0</v>
      </c>
      <c r="T1199" s="737">
        <f t="shared" si="573"/>
        <v>1</v>
      </c>
      <c r="U1199" s="2">
        <f t="shared" si="577"/>
        <v>0</v>
      </c>
      <c r="V1199" s="2">
        <f t="shared" si="578"/>
        <v>0</v>
      </c>
      <c r="W1199" s="2">
        <f t="shared" si="579"/>
        <v>142164.3126</v>
      </c>
      <c r="X1199" s="2">
        <f t="shared" si="575"/>
        <v>142164.3126</v>
      </c>
      <c r="Y1199" s="2">
        <f t="shared" si="580"/>
        <v>0</v>
      </c>
      <c r="Z1199" s="2">
        <f t="shared" si="581"/>
        <v>0</v>
      </c>
      <c r="AA1199" s="2">
        <f t="shared" si="582"/>
        <v>142164.3126</v>
      </c>
      <c r="AB1199" s="2">
        <f t="shared" si="576"/>
        <v>142164.3126</v>
      </c>
      <c r="AC1199" s="734">
        <v>142164.3126</v>
      </c>
      <c r="AD1199" s="625">
        <v>142164.3126</v>
      </c>
      <c r="AE1199" s="625">
        <v>142164.3126</v>
      </c>
      <c r="AF1199" s="625">
        <v>142164.3126</v>
      </c>
      <c r="AG1199" s="625">
        <v>142164.3126</v>
      </c>
      <c r="AH1199" s="625">
        <v>142164.3126</v>
      </c>
      <c r="AI1199" s="625">
        <v>142164.3126</v>
      </c>
      <c r="AJ1199" s="625">
        <v>142164.3126</v>
      </c>
      <c r="AK1199" s="625">
        <v>142164.3126</v>
      </c>
      <c r="AL1199" s="625">
        <v>142164.3126</v>
      </c>
      <c r="AM1199" s="625">
        <v>142164.3126</v>
      </c>
      <c r="AN1199" s="625">
        <v>142164.3126</v>
      </c>
      <c r="AO1199" s="625">
        <v>142164.3126</v>
      </c>
      <c r="AP1199" s="41" t="str">
        <f t="shared" si="563"/>
        <v>Reg AssetN</v>
      </c>
      <c r="AQ1199" s="41" t="str">
        <f t="shared" si="564"/>
        <v>Reg AssetNN8ASGA</v>
      </c>
      <c r="AR1199" s="41" t="str">
        <f t="shared" si="565"/>
        <v>N8ASGANCR</v>
      </c>
      <c r="CK1199" s="625"/>
    </row>
    <row r="1200" spans="1:89" s="41" customFormat="1" ht="12.75" customHeight="1">
      <c r="A1200" s="442" t="s">
        <v>746</v>
      </c>
      <c r="B1200" s="442" t="str">
        <f t="shared" si="560"/>
        <v>Reg Asset254270600109BE030430</v>
      </c>
      <c r="C1200" s="736">
        <v>254270</v>
      </c>
      <c r="D1200" s="738">
        <v>600109</v>
      </c>
      <c r="E1200" s="626" t="s">
        <v>1399</v>
      </c>
      <c r="F1200" s="626" t="str">
        <f t="shared" si="510"/>
        <v>OTH REGULATORY LIAB-SALE OF GENERATION ASSETS GAI</v>
      </c>
      <c r="G1200" s="626" t="s">
        <v>1400</v>
      </c>
      <c r="H1200" s="736" t="s">
        <v>1330</v>
      </c>
      <c r="I1200" s="442"/>
      <c r="J1200" s="442" t="s">
        <v>7</v>
      </c>
      <c r="K1200" s="442" t="str">
        <f t="shared" si="574"/>
        <v/>
      </c>
      <c r="L1200" s="736" t="s">
        <v>2432</v>
      </c>
      <c r="M1200" s="442" t="str">
        <f t="shared" si="572"/>
        <v>N</v>
      </c>
      <c r="N1200" s="442" t="str">
        <f>IF(L1200&lt;&gt;"",VLOOKUP(L1200,Categories!$B$2:$D$41,2,FALSE),IF(F1200&lt;&gt;"","No Cat",""))</f>
        <v>NRBASE</v>
      </c>
      <c r="O1200" s="442" t="str">
        <f>IF($L1200&lt;&gt;"",VLOOKUP($L1200,Categories!$B$2:$D$41,3,FALSE),IF($F1200&lt;&gt;"","No Cat",""))</f>
        <v>NM-2 ASGA</v>
      </c>
      <c r="P1200" s="736" t="s">
        <v>2468</v>
      </c>
      <c r="Q1200" s="442" t="str">
        <f>VLOOKUP($P1200,Allocators!$B$7:$F$19,5,FALSE)</f>
        <v>Not in Rate Base</v>
      </c>
      <c r="R1200" s="737">
        <f>VLOOKUP($P1200,Allocators!$B$7:$F$19,2,FALSE)</f>
        <v>0</v>
      </c>
      <c r="S1200" s="737">
        <f>VLOOKUP($P1200,Allocators!$B$7:$F$19,3,FALSE)</f>
        <v>0</v>
      </c>
      <c r="T1200" s="737">
        <f t="shared" si="573"/>
        <v>1</v>
      </c>
      <c r="U1200" s="2">
        <f t="shared" si="577"/>
        <v>0</v>
      </c>
      <c r="V1200" s="2">
        <f t="shared" si="578"/>
        <v>0</v>
      </c>
      <c r="W1200" s="2">
        <f t="shared" si="579"/>
        <v>559.74405000000002</v>
      </c>
      <c r="X1200" s="2">
        <f t="shared" si="575"/>
        <v>559.74405000000002</v>
      </c>
      <c r="Y1200" s="2">
        <f t="shared" si="580"/>
        <v>0</v>
      </c>
      <c r="Z1200" s="2">
        <f t="shared" si="581"/>
        <v>0</v>
      </c>
      <c r="AA1200" s="2">
        <f t="shared" si="582"/>
        <v>559.74405000000002</v>
      </c>
      <c r="AB1200" s="2">
        <f t="shared" si="576"/>
        <v>559.74405000000002</v>
      </c>
      <c r="AC1200" s="734">
        <v>559.74405000000002</v>
      </c>
      <c r="AD1200" s="625">
        <v>559.74405000000002</v>
      </c>
      <c r="AE1200" s="625">
        <v>559.74405000000002</v>
      </c>
      <c r="AF1200" s="625">
        <v>559.74405000000002</v>
      </c>
      <c r="AG1200" s="625">
        <v>559.74405000000002</v>
      </c>
      <c r="AH1200" s="625">
        <v>559.74405000000002</v>
      </c>
      <c r="AI1200" s="625">
        <v>559.74405000000002</v>
      </c>
      <c r="AJ1200" s="625">
        <v>559.74405000000002</v>
      </c>
      <c r="AK1200" s="625">
        <v>559.74405000000002</v>
      </c>
      <c r="AL1200" s="625">
        <v>559.74405000000002</v>
      </c>
      <c r="AM1200" s="625">
        <v>559.74405000000002</v>
      </c>
      <c r="AN1200" s="625">
        <v>559.74405000000002</v>
      </c>
      <c r="AO1200" s="625">
        <v>559.74405000000002</v>
      </c>
      <c r="AP1200" s="41" t="str">
        <f t="shared" si="563"/>
        <v>Reg AssetN</v>
      </c>
      <c r="AQ1200" s="41" t="str">
        <f t="shared" si="564"/>
        <v>Reg AssetNN8ASGA</v>
      </c>
      <c r="AR1200" s="41" t="str">
        <f t="shared" si="565"/>
        <v>N8ASGANCR</v>
      </c>
      <c r="CK1200" s="625"/>
    </row>
    <row r="1201" spans="1:89" s="41" customFormat="1" ht="12.75" customHeight="1">
      <c r="A1201" s="442" t="s">
        <v>746</v>
      </c>
      <c r="B1201" s="442" t="str">
        <f t="shared" si="560"/>
        <v>Reg Asset254270600109-TAXBE030431</v>
      </c>
      <c r="C1201" s="736">
        <v>254270</v>
      </c>
      <c r="D1201" s="738" t="s">
        <v>1402</v>
      </c>
      <c r="E1201" s="626" t="s">
        <v>1401</v>
      </c>
      <c r="F1201" s="626" t="str">
        <f t="shared" si="510"/>
        <v>OTH REGULATORY LIAB-SALE OF GENERATION ASSETS GAI</v>
      </c>
      <c r="G1201" s="626" t="s">
        <v>1403</v>
      </c>
      <c r="H1201" s="736" t="s">
        <v>1330</v>
      </c>
      <c r="I1201" s="442"/>
      <c r="J1201" s="442" t="s">
        <v>7</v>
      </c>
      <c r="K1201" s="442" t="str">
        <f t="shared" si="574"/>
        <v/>
      </c>
      <c r="L1201" s="736" t="s">
        <v>2432</v>
      </c>
      <c r="M1201" s="442" t="str">
        <f t="shared" si="572"/>
        <v>N</v>
      </c>
      <c r="N1201" s="442" t="str">
        <f>IF(L1201&lt;&gt;"",VLOOKUP(L1201,Categories!$B$2:$D$41,2,FALSE),IF(F1201&lt;&gt;"","No Cat",""))</f>
        <v>NRBASE</v>
      </c>
      <c r="O1201" s="442" t="str">
        <f>IF($L1201&lt;&gt;"",VLOOKUP($L1201,Categories!$B$2:$D$41,3,FALSE),IF($F1201&lt;&gt;"","No Cat",""))</f>
        <v>NM-2 ASGA</v>
      </c>
      <c r="P1201" s="736" t="s">
        <v>2468</v>
      </c>
      <c r="Q1201" s="442" t="str">
        <f>VLOOKUP($P1201,Allocators!$B$7:$F$19,5,FALSE)</f>
        <v>Not in Rate Base</v>
      </c>
      <c r="R1201" s="737">
        <f>VLOOKUP($P1201,Allocators!$B$7:$F$19,2,FALSE)</f>
        <v>0</v>
      </c>
      <c r="S1201" s="737">
        <f>VLOOKUP($P1201,Allocators!$B$7:$F$19,3,FALSE)</f>
        <v>0</v>
      </c>
      <c r="T1201" s="737">
        <f t="shared" si="573"/>
        <v>1</v>
      </c>
      <c r="U1201" s="2">
        <f t="shared" si="577"/>
        <v>0</v>
      </c>
      <c r="V1201" s="2">
        <f t="shared" si="578"/>
        <v>0</v>
      </c>
      <c r="W1201" s="2">
        <f t="shared" si="579"/>
        <v>-223.19800000000001</v>
      </c>
      <c r="X1201" s="2">
        <f t="shared" si="575"/>
        <v>-223.19800000000001</v>
      </c>
      <c r="Y1201" s="2">
        <f t="shared" si="580"/>
        <v>0</v>
      </c>
      <c r="Z1201" s="2">
        <f t="shared" si="581"/>
        <v>0</v>
      </c>
      <c r="AA1201" s="2">
        <f t="shared" si="582"/>
        <v>-223.19800000000001</v>
      </c>
      <c r="AB1201" s="2">
        <f t="shared" si="576"/>
        <v>-223.19800000000001</v>
      </c>
      <c r="AC1201" s="734">
        <v>-223.19800000000001</v>
      </c>
      <c r="AD1201" s="625">
        <v>-223.19800000000001</v>
      </c>
      <c r="AE1201" s="625">
        <v>-223.19800000000001</v>
      </c>
      <c r="AF1201" s="625">
        <v>-223.19800000000001</v>
      </c>
      <c r="AG1201" s="625">
        <v>-223.19800000000001</v>
      </c>
      <c r="AH1201" s="625">
        <v>-223.19800000000001</v>
      </c>
      <c r="AI1201" s="625">
        <v>-223.19800000000001</v>
      </c>
      <c r="AJ1201" s="625">
        <v>-223.19800000000001</v>
      </c>
      <c r="AK1201" s="625">
        <v>-223.19800000000001</v>
      </c>
      <c r="AL1201" s="625">
        <v>-223.19800000000001</v>
      </c>
      <c r="AM1201" s="625">
        <v>-223.19800000000001</v>
      </c>
      <c r="AN1201" s="625">
        <v>-223.19800000000001</v>
      </c>
      <c r="AO1201" s="625">
        <v>-223.19800000000001</v>
      </c>
      <c r="AP1201" s="41" t="str">
        <f t="shared" si="563"/>
        <v>Reg AssetN</v>
      </c>
      <c r="AQ1201" s="41" t="str">
        <f t="shared" si="564"/>
        <v>Reg AssetNN8ASGA</v>
      </c>
      <c r="AR1201" s="41" t="str">
        <f t="shared" si="565"/>
        <v>N8ASGANCR</v>
      </c>
      <c r="CK1201" s="625"/>
    </row>
    <row r="1202" spans="1:89" s="41" customFormat="1" ht="12.75" customHeight="1">
      <c r="A1202" s="442" t="s">
        <v>746</v>
      </c>
      <c r="B1202" s="442" t="str">
        <f t="shared" si="560"/>
        <v>Reg Asset254270601050BE030451</v>
      </c>
      <c r="C1202" s="736">
        <v>254270</v>
      </c>
      <c r="D1202" s="738">
        <v>601050</v>
      </c>
      <c r="E1202" s="626" t="s">
        <v>1387</v>
      </c>
      <c r="F1202" s="626" t="str">
        <f t="shared" si="510"/>
        <v>OTH REGULATORY LIAB-SALE OF GENERATION ASSETS GAI</v>
      </c>
      <c r="G1202" s="626" t="s">
        <v>1404</v>
      </c>
      <c r="H1202" s="736" t="s">
        <v>1330</v>
      </c>
      <c r="I1202" s="442"/>
      <c r="J1202" s="442" t="s">
        <v>7</v>
      </c>
      <c r="K1202" s="442" t="str">
        <f t="shared" si="574"/>
        <v/>
      </c>
      <c r="L1202" s="736" t="s">
        <v>2432</v>
      </c>
      <c r="M1202" s="442" t="str">
        <f t="shared" si="572"/>
        <v>N</v>
      </c>
      <c r="N1202" s="442" t="str">
        <f>IF(L1202&lt;&gt;"",VLOOKUP(L1202,Categories!$B$2:$D$41,2,FALSE),IF(F1202&lt;&gt;"","No Cat",""))</f>
        <v>NRBASE</v>
      </c>
      <c r="O1202" s="442" t="str">
        <f>IF($L1202&lt;&gt;"",VLOOKUP($L1202,Categories!$B$2:$D$41,3,FALSE),IF($F1202&lt;&gt;"","No Cat",""))</f>
        <v>NM-2 ASGA</v>
      </c>
      <c r="P1202" s="736" t="s">
        <v>2468</v>
      </c>
      <c r="Q1202" s="442" t="str">
        <f>VLOOKUP($P1202,Allocators!$B$7:$F$19,5,FALSE)</f>
        <v>Not in Rate Base</v>
      </c>
      <c r="R1202" s="737">
        <f>VLOOKUP($P1202,Allocators!$B$7:$F$19,2,FALSE)</f>
        <v>0</v>
      </c>
      <c r="S1202" s="737">
        <f>VLOOKUP($P1202,Allocators!$B$7:$F$19,3,FALSE)</f>
        <v>0</v>
      </c>
      <c r="T1202" s="737">
        <f t="shared" si="573"/>
        <v>1</v>
      </c>
      <c r="U1202" s="2">
        <f t="shared" si="577"/>
        <v>0</v>
      </c>
      <c r="V1202" s="2">
        <f t="shared" si="578"/>
        <v>0</v>
      </c>
      <c r="W1202" s="2">
        <f t="shared" si="579"/>
        <v>30545.231</v>
      </c>
      <c r="X1202" s="2">
        <f t="shared" si="575"/>
        <v>30545.231</v>
      </c>
      <c r="Y1202" s="2">
        <f t="shared" si="580"/>
        <v>0</v>
      </c>
      <c r="Z1202" s="2">
        <f t="shared" si="581"/>
        <v>0</v>
      </c>
      <c r="AA1202" s="2">
        <f t="shared" si="582"/>
        <v>30545.231</v>
      </c>
      <c r="AB1202" s="2">
        <f t="shared" si="576"/>
        <v>30545.231</v>
      </c>
      <c r="AC1202" s="734">
        <v>30545.231</v>
      </c>
      <c r="AD1202" s="625">
        <v>30545.231</v>
      </c>
      <c r="AE1202" s="625">
        <v>30545.231</v>
      </c>
      <c r="AF1202" s="625">
        <v>30545.231</v>
      </c>
      <c r="AG1202" s="625">
        <v>30545.231</v>
      </c>
      <c r="AH1202" s="625">
        <v>30545.231</v>
      </c>
      <c r="AI1202" s="625">
        <v>30545.231</v>
      </c>
      <c r="AJ1202" s="625">
        <v>30545.231</v>
      </c>
      <c r="AK1202" s="625">
        <v>30545.231</v>
      </c>
      <c r="AL1202" s="625">
        <v>30545.231</v>
      </c>
      <c r="AM1202" s="625">
        <v>30545.231</v>
      </c>
      <c r="AN1202" s="625">
        <v>30545.231</v>
      </c>
      <c r="AO1202" s="625">
        <v>30545.231</v>
      </c>
      <c r="AP1202" s="41" t="str">
        <f t="shared" si="563"/>
        <v>Reg AssetN</v>
      </c>
      <c r="AQ1202" s="41" t="str">
        <f t="shared" si="564"/>
        <v>Reg AssetNN8ASGA</v>
      </c>
      <c r="AR1202" s="41" t="str">
        <f t="shared" si="565"/>
        <v>N8ASGANCR</v>
      </c>
      <c r="CK1202" s="625"/>
    </row>
    <row r="1203" spans="1:89" s="41" customFormat="1" ht="12.75" customHeight="1">
      <c r="A1203" s="442" t="s">
        <v>746</v>
      </c>
      <c r="B1203" s="442" t="str">
        <f t="shared" si="560"/>
        <v>Reg Asset254270601050-TAXBE030451</v>
      </c>
      <c r="C1203" s="736">
        <v>254270</v>
      </c>
      <c r="D1203" s="738" t="s">
        <v>1405</v>
      </c>
      <c r="E1203" s="626" t="s">
        <v>1387</v>
      </c>
      <c r="F1203" s="626" t="str">
        <f t="shared" si="510"/>
        <v>OTH REGULATORY LIAB-SALE OF GENERATION ASSETS GAI</v>
      </c>
      <c r="G1203" s="626" t="s">
        <v>1406</v>
      </c>
      <c r="H1203" s="736" t="s">
        <v>1330</v>
      </c>
      <c r="I1203" s="442"/>
      <c r="J1203" s="442" t="s">
        <v>7</v>
      </c>
      <c r="K1203" s="442" t="str">
        <f t="shared" si="574"/>
        <v/>
      </c>
      <c r="L1203" s="736" t="s">
        <v>2432</v>
      </c>
      <c r="M1203" s="442" t="str">
        <f t="shared" si="572"/>
        <v>N</v>
      </c>
      <c r="N1203" s="442" t="str">
        <f>IF(L1203&lt;&gt;"",VLOOKUP(L1203,Categories!$B$2:$D$41,2,FALSE),IF(F1203&lt;&gt;"","No Cat",""))</f>
        <v>NRBASE</v>
      </c>
      <c r="O1203" s="442" t="str">
        <f>IF($L1203&lt;&gt;"",VLOOKUP($L1203,Categories!$B$2:$D$41,3,FALSE),IF($F1203&lt;&gt;"","No Cat",""))</f>
        <v>NM-2 ASGA</v>
      </c>
      <c r="P1203" s="736" t="s">
        <v>2468</v>
      </c>
      <c r="Q1203" s="442" t="str">
        <f>VLOOKUP($P1203,Allocators!$B$7:$F$19,5,FALSE)</f>
        <v>Not in Rate Base</v>
      </c>
      <c r="R1203" s="737">
        <f>VLOOKUP($P1203,Allocators!$B$7:$F$19,2,FALSE)</f>
        <v>0</v>
      </c>
      <c r="S1203" s="737">
        <f>VLOOKUP($P1203,Allocators!$B$7:$F$19,3,FALSE)</f>
        <v>0</v>
      </c>
      <c r="T1203" s="737">
        <f t="shared" si="573"/>
        <v>1</v>
      </c>
      <c r="U1203" s="2">
        <f t="shared" si="577"/>
        <v>0</v>
      </c>
      <c r="V1203" s="2">
        <f t="shared" si="578"/>
        <v>0</v>
      </c>
      <c r="W1203" s="2">
        <f t="shared" si="579"/>
        <v>-12179.911</v>
      </c>
      <c r="X1203" s="2">
        <f t="shared" si="575"/>
        <v>-12179.911</v>
      </c>
      <c r="Y1203" s="2">
        <f t="shared" si="580"/>
        <v>0</v>
      </c>
      <c r="Z1203" s="2">
        <f t="shared" si="581"/>
        <v>0</v>
      </c>
      <c r="AA1203" s="2">
        <f t="shared" si="582"/>
        <v>-12179.911</v>
      </c>
      <c r="AB1203" s="2">
        <f t="shared" si="576"/>
        <v>-12179.911</v>
      </c>
      <c r="AC1203" s="734">
        <v>-12179.911</v>
      </c>
      <c r="AD1203" s="625">
        <v>-12179.911</v>
      </c>
      <c r="AE1203" s="625">
        <v>-12179.911</v>
      </c>
      <c r="AF1203" s="625">
        <v>-12179.911</v>
      </c>
      <c r="AG1203" s="625">
        <v>-12179.911</v>
      </c>
      <c r="AH1203" s="625">
        <v>-12179.911</v>
      </c>
      <c r="AI1203" s="625">
        <v>-12179.911</v>
      </c>
      <c r="AJ1203" s="625">
        <v>-12179.911</v>
      </c>
      <c r="AK1203" s="625">
        <v>-12179.911</v>
      </c>
      <c r="AL1203" s="625">
        <v>-12179.911</v>
      </c>
      <c r="AM1203" s="625">
        <v>-12179.911</v>
      </c>
      <c r="AN1203" s="625">
        <v>-12179.911</v>
      </c>
      <c r="AO1203" s="625">
        <v>-12179.911</v>
      </c>
      <c r="AP1203" s="41" t="str">
        <f t="shared" si="563"/>
        <v>Reg AssetN</v>
      </c>
      <c r="AQ1203" s="41" t="str">
        <f t="shared" si="564"/>
        <v>Reg AssetNN8ASGA</v>
      </c>
      <c r="AR1203" s="41" t="str">
        <f t="shared" si="565"/>
        <v>N8ASGANCR</v>
      </c>
      <c r="CK1203" s="625"/>
    </row>
    <row r="1204" spans="1:89" s="41" customFormat="1" ht="12.75" customHeight="1">
      <c r="A1204" s="442" t="s">
        <v>746</v>
      </c>
      <c r="B1204" s="442" t="str">
        <f t="shared" si="560"/>
        <v>Reg Asset254270601077BE030451</v>
      </c>
      <c r="C1204" s="736">
        <v>254270</v>
      </c>
      <c r="D1204" s="738">
        <v>601077</v>
      </c>
      <c r="E1204" s="626" t="s">
        <v>1387</v>
      </c>
      <c r="F1204" s="626" t="str">
        <f t="shared" si="510"/>
        <v>OTH REGULATORY LIAB-SALE OF GENERATION ASSETS GAI</v>
      </c>
      <c r="G1204" s="626" t="s">
        <v>1407</v>
      </c>
      <c r="H1204" s="736" t="s">
        <v>1330</v>
      </c>
      <c r="I1204" s="442"/>
      <c r="J1204" s="442" t="s">
        <v>7</v>
      </c>
      <c r="K1204" s="442" t="str">
        <f t="shared" si="574"/>
        <v/>
      </c>
      <c r="L1204" s="736" t="s">
        <v>2432</v>
      </c>
      <c r="M1204" s="442" t="str">
        <f t="shared" si="572"/>
        <v>N</v>
      </c>
      <c r="N1204" s="442" t="str">
        <f>IF(L1204&lt;&gt;"",VLOOKUP(L1204,Categories!$B$2:$D$41,2,FALSE),IF(F1204&lt;&gt;"","No Cat",""))</f>
        <v>NRBASE</v>
      </c>
      <c r="O1204" s="442" t="str">
        <f>IF($L1204&lt;&gt;"",VLOOKUP($L1204,Categories!$B$2:$D$41,3,FALSE),IF($F1204&lt;&gt;"","No Cat",""))</f>
        <v>NM-2 ASGA</v>
      </c>
      <c r="P1204" s="736" t="s">
        <v>2468</v>
      </c>
      <c r="Q1204" s="442" t="str">
        <f>VLOOKUP($P1204,Allocators!$B$7:$F$19,5,FALSE)</f>
        <v>Not in Rate Base</v>
      </c>
      <c r="R1204" s="737">
        <f>VLOOKUP($P1204,Allocators!$B$7:$F$19,2,FALSE)</f>
        <v>0</v>
      </c>
      <c r="S1204" s="737">
        <f>VLOOKUP($P1204,Allocators!$B$7:$F$19,3,FALSE)</f>
        <v>0</v>
      </c>
      <c r="T1204" s="737">
        <f t="shared" si="573"/>
        <v>1</v>
      </c>
      <c r="U1204" s="2">
        <f t="shared" si="577"/>
        <v>0</v>
      </c>
      <c r="V1204" s="2">
        <f t="shared" si="578"/>
        <v>0</v>
      </c>
      <c r="W1204" s="2">
        <f t="shared" si="579"/>
        <v>55419.58</v>
      </c>
      <c r="X1204" s="2">
        <f t="shared" si="575"/>
        <v>55419.58</v>
      </c>
      <c r="Y1204" s="2">
        <f t="shared" si="580"/>
        <v>0</v>
      </c>
      <c r="Z1204" s="2">
        <f t="shared" si="581"/>
        <v>0</v>
      </c>
      <c r="AA1204" s="2">
        <f t="shared" si="582"/>
        <v>55419.58</v>
      </c>
      <c r="AB1204" s="2">
        <f t="shared" si="576"/>
        <v>55419.58</v>
      </c>
      <c r="AC1204" s="734">
        <v>55419.58</v>
      </c>
      <c r="AD1204" s="625">
        <v>55419.58</v>
      </c>
      <c r="AE1204" s="625">
        <v>55419.58</v>
      </c>
      <c r="AF1204" s="625">
        <v>55419.58</v>
      </c>
      <c r="AG1204" s="625">
        <v>55419.58</v>
      </c>
      <c r="AH1204" s="625">
        <v>55419.58</v>
      </c>
      <c r="AI1204" s="625">
        <v>55419.58</v>
      </c>
      <c r="AJ1204" s="625">
        <v>55419.58</v>
      </c>
      <c r="AK1204" s="625">
        <v>55419.58</v>
      </c>
      <c r="AL1204" s="625">
        <v>55419.58</v>
      </c>
      <c r="AM1204" s="625">
        <v>55419.58</v>
      </c>
      <c r="AN1204" s="625">
        <v>55419.58</v>
      </c>
      <c r="AO1204" s="625">
        <v>55419.58</v>
      </c>
      <c r="AP1204" s="41" t="str">
        <f t="shared" si="563"/>
        <v>Reg AssetN</v>
      </c>
      <c r="AQ1204" s="41" t="str">
        <f t="shared" si="564"/>
        <v>Reg AssetNN8ASGA</v>
      </c>
      <c r="AR1204" s="41" t="str">
        <f t="shared" si="565"/>
        <v>N8ASGANCR</v>
      </c>
      <c r="CK1204" s="625"/>
    </row>
    <row r="1205" spans="1:89" s="41" customFormat="1" ht="12.75" customHeight="1">
      <c r="A1205" s="442" t="s">
        <v>746</v>
      </c>
      <c r="B1205" s="442" t="str">
        <f t="shared" si="560"/>
        <v>Reg Asset254270601077-TAXBE030451</v>
      </c>
      <c r="C1205" s="736">
        <v>254270</v>
      </c>
      <c r="D1205" s="738" t="s">
        <v>1408</v>
      </c>
      <c r="E1205" s="626" t="s">
        <v>1387</v>
      </c>
      <c r="F1205" s="626" t="str">
        <f t="shared" si="510"/>
        <v>OTH REGULATORY LIAB-SALE OF GENERATION ASSETS GAI</v>
      </c>
      <c r="G1205" s="626" t="s">
        <v>1409</v>
      </c>
      <c r="H1205" s="736" t="s">
        <v>1330</v>
      </c>
      <c r="I1205" s="442"/>
      <c r="J1205" s="442" t="s">
        <v>7</v>
      </c>
      <c r="K1205" s="442" t="str">
        <f t="shared" si="574"/>
        <v/>
      </c>
      <c r="L1205" s="736" t="s">
        <v>2432</v>
      </c>
      <c r="M1205" s="442" t="str">
        <f t="shared" si="572"/>
        <v>N</v>
      </c>
      <c r="N1205" s="442" t="str">
        <f>IF(L1205&lt;&gt;"",VLOOKUP(L1205,Categories!$B$2:$D$41,2,FALSE),IF(F1205&lt;&gt;"","No Cat",""))</f>
        <v>NRBASE</v>
      </c>
      <c r="O1205" s="442" t="str">
        <f>IF($L1205&lt;&gt;"",VLOOKUP($L1205,Categories!$B$2:$D$41,3,FALSE),IF($F1205&lt;&gt;"","No Cat",""))</f>
        <v>NM-2 ASGA</v>
      </c>
      <c r="P1205" s="736" t="s">
        <v>2468</v>
      </c>
      <c r="Q1205" s="442" t="str">
        <f>VLOOKUP($P1205,Allocators!$B$7:$F$19,5,FALSE)</f>
        <v>Not in Rate Base</v>
      </c>
      <c r="R1205" s="737">
        <f>VLOOKUP($P1205,Allocators!$B$7:$F$19,2,FALSE)</f>
        <v>0</v>
      </c>
      <c r="S1205" s="737">
        <f>VLOOKUP($P1205,Allocators!$B$7:$F$19,3,FALSE)</f>
        <v>0</v>
      </c>
      <c r="T1205" s="737">
        <f t="shared" si="573"/>
        <v>1</v>
      </c>
      <c r="U1205" s="2">
        <f t="shared" si="577"/>
        <v>0</v>
      </c>
      <c r="V1205" s="2">
        <f t="shared" si="578"/>
        <v>0</v>
      </c>
      <c r="W1205" s="2">
        <f t="shared" si="579"/>
        <v>-22098.558000000001</v>
      </c>
      <c r="X1205" s="2">
        <f t="shared" si="575"/>
        <v>-22098.558000000001</v>
      </c>
      <c r="Y1205" s="2">
        <f t="shared" si="580"/>
        <v>0</v>
      </c>
      <c r="Z1205" s="2">
        <f t="shared" si="581"/>
        <v>0</v>
      </c>
      <c r="AA1205" s="2">
        <f t="shared" si="582"/>
        <v>-22098.558000000001</v>
      </c>
      <c r="AB1205" s="2">
        <f t="shared" si="576"/>
        <v>-22098.558000000001</v>
      </c>
      <c r="AC1205" s="734">
        <v>-22098.558000000001</v>
      </c>
      <c r="AD1205" s="625">
        <v>-22098.558000000001</v>
      </c>
      <c r="AE1205" s="625">
        <v>-22098.558000000001</v>
      </c>
      <c r="AF1205" s="625">
        <v>-22098.558000000001</v>
      </c>
      <c r="AG1205" s="625">
        <v>-22098.558000000001</v>
      </c>
      <c r="AH1205" s="625">
        <v>-22098.558000000001</v>
      </c>
      <c r="AI1205" s="625">
        <v>-22098.558000000001</v>
      </c>
      <c r="AJ1205" s="625">
        <v>-22098.558000000001</v>
      </c>
      <c r="AK1205" s="625">
        <v>-22098.558000000001</v>
      </c>
      <c r="AL1205" s="625">
        <v>-22098.558000000001</v>
      </c>
      <c r="AM1205" s="625">
        <v>-22098.558000000001</v>
      </c>
      <c r="AN1205" s="625">
        <v>-22098.558000000001</v>
      </c>
      <c r="AO1205" s="625">
        <v>-22098.558000000001</v>
      </c>
      <c r="AP1205" s="41" t="str">
        <f t="shared" si="563"/>
        <v>Reg AssetN</v>
      </c>
      <c r="AQ1205" s="41" t="str">
        <f t="shared" si="564"/>
        <v>Reg AssetNN8ASGA</v>
      </c>
      <c r="AR1205" s="41" t="str">
        <f t="shared" si="565"/>
        <v>N8ASGANCR</v>
      </c>
      <c r="CK1205" s="625"/>
    </row>
    <row r="1206" spans="1:89" s="41" customFormat="1" ht="12.75" customHeight="1">
      <c r="A1206" s="442" t="s">
        <v>746</v>
      </c>
      <c r="B1206" s="442" t="str">
        <f t="shared" si="560"/>
        <v>Reg Asset254270601040-EBE030261</v>
      </c>
      <c r="C1206" s="736">
        <v>254270</v>
      </c>
      <c r="D1206" s="738" t="s">
        <v>1411</v>
      </c>
      <c r="E1206" s="626" t="s">
        <v>1410</v>
      </c>
      <c r="F1206" s="626" t="str">
        <f t="shared" si="510"/>
        <v>OTH REGULATORY LIAB-SALE OF GENERATION ASSETS GAI</v>
      </c>
      <c r="G1206" s="626" t="s">
        <v>1412</v>
      </c>
      <c r="H1206" s="736" t="s">
        <v>1330</v>
      </c>
      <c r="I1206" s="442"/>
      <c r="J1206" s="442" t="s">
        <v>7</v>
      </c>
      <c r="K1206" s="442" t="str">
        <f t="shared" si="574"/>
        <v/>
      </c>
      <c r="L1206" s="736" t="s">
        <v>2432</v>
      </c>
      <c r="M1206" s="442" t="str">
        <f t="shared" si="572"/>
        <v>N</v>
      </c>
      <c r="N1206" s="442" t="str">
        <f>IF(L1206&lt;&gt;"",VLOOKUP(L1206,Categories!$B$2:$D$41,2,FALSE),IF(F1206&lt;&gt;"","No Cat",""))</f>
        <v>NRBASE</v>
      </c>
      <c r="O1206" s="442" t="str">
        <f>IF($L1206&lt;&gt;"",VLOOKUP($L1206,Categories!$B$2:$D$41,3,FALSE),IF($F1206&lt;&gt;"","No Cat",""))</f>
        <v>NM-2 ASGA</v>
      </c>
      <c r="P1206" s="736" t="s">
        <v>2468</v>
      </c>
      <c r="Q1206" s="442" t="str">
        <f>VLOOKUP($P1206,Allocators!$B$7:$F$19,5,FALSE)</f>
        <v>Not in Rate Base</v>
      </c>
      <c r="R1206" s="737">
        <f>VLOOKUP($P1206,Allocators!$B$7:$F$19,2,FALSE)</f>
        <v>0</v>
      </c>
      <c r="S1206" s="737">
        <f>VLOOKUP($P1206,Allocators!$B$7:$F$19,3,FALSE)</f>
        <v>0</v>
      </c>
      <c r="T1206" s="737">
        <f t="shared" si="573"/>
        <v>1</v>
      </c>
      <c r="U1206" s="2">
        <f t="shared" si="577"/>
        <v>0</v>
      </c>
      <c r="V1206" s="2">
        <f t="shared" si="578"/>
        <v>0</v>
      </c>
      <c r="W1206" s="2">
        <f t="shared" si="579"/>
        <v>46.44491</v>
      </c>
      <c r="X1206" s="2">
        <f t="shared" si="575"/>
        <v>46.44491</v>
      </c>
      <c r="Y1206" s="2">
        <f t="shared" si="580"/>
        <v>0</v>
      </c>
      <c r="Z1206" s="2">
        <f t="shared" si="581"/>
        <v>0</v>
      </c>
      <c r="AA1206" s="2">
        <f t="shared" si="582"/>
        <v>46.44491</v>
      </c>
      <c r="AB1206" s="2">
        <f t="shared" si="576"/>
        <v>46.44491</v>
      </c>
      <c r="AC1206" s="734">
        <v>46.44491</v>
      </c>
      <c r="AD1206" s="625">
        <v>46.44491</v>
      </c>
      <c r="AE1206" s="625">
        <v>46.44491</v>
      </c>
      <c r="AF1206" s="625">
        <v>46.44491</v>
      </c>
      <c r="AG1206" s="625">
        <v>46.44491</v>
      </c>
      <c r="AH1206" s="625">
        <v>46.44491</v>
      </c>
      <c r="AI1206" s="625">
        <v>46.44491</v>
      </c>
      <c r="AJ1206" s="625">
        <v>46.44491</v>
      </c>
      <c r="AK1206" s="625">
        <v>46.44491</v>
      </c>
      <c r="AL1206" s="625">
        <v>46.44491</v>
      </c>
      <c r="AM1206" s="625">
        <v>46.44491</v>
      </c>
      <c r="AN1206" s="625">
        <v>46.44491</v>
      </c>
      <c r="AO1206" s="625">
        <v>46.44491</v>
      </c>
      <c r="AP1206" s="41" t="str">
        <f t="shared" si="563"/>
        <v>Reg AssetN</v>
      </c>
      <c r="AQ1206" s="41" t="str">
        <f t="shared" si="564"/>
        <v>Reg AssetNN8ASGA</v>
      </c>
      <c r="AR1206" s="41" t="str">
        <f t="shared" si="565"/>
        <v>N8ASGANCR</v>
      </c>
      <c r="CK1206" s="625"/>
    </row>
    <row r="1207" spans="1:89" s="41" customFormat="1" ht="12.75" customHeight="1">
      <c r="A1207" s="442" t="s">
        <v>746</v>
      </c>
      <c r="B1207" s="442" t="str">
        <f t="shared" si="560"/>
        <v>Reg Asset254270601082-05BE030398</v>
      </c>
      <c r="C1207" s="736">
        <v>254270</v>
      </c>
      <c r="D1207" s="738" t="s">
        <v>1414</v>
      </c>
      <c r="E1207" s="626" t="s">
        <v>1413</v>
      </c>
      <c r="F1207" s="626" t="str">
        <f t="shared" si="510"/>
        <v>OTH REGULATORY LIAB-SALE OF GENERATION ASSETS GAI</v>
      </c>
      <c r="G1207" s="626" t="s">
        <v>1415</v>
      </c>
      <c r="H1207" s="736" t="s">
        <v>1330</v>
      </c>
      <c r="I1207" s="442"/>
      <c r="J1207" s="442" t="s">
        <v>7</v>
      </c>
      <c r="K1207" s="442" t="str">
        <f t="shared" si="574"/>
        <v/>
      </c>
      <c r="L1207" s="736" t="s">
        <v>2432</v>
      </c>
      <c r="M1207" s="442" t="str">
        <f t="shared" si="572"/>
        <v>N</v>
      </c>
      <c r="N1207" s="442" t="str">
        <f>IF(L1207&lt;&gt;"",VLOOKUP(L1207,Categories!$B$2:$D$41,2,FALSE),IF(F1207&lt;&gt;"","No Cat",""))</f>
        <v>NRBASE</v>
      </c>
      <c r="O1207" s="442" t="str">
        <f>IF($L1207&lt;&gt;"",VLOOKUP($L1207,Categories!$B$2:$D$41,3,FALSE),IF($F1207&lt;&gt;"","No Cat",""))</f>
        <v>NM-2 ASGA</v>
      </c>
      <c r="P1207" s="736" t="s">
        <v>2468</v>
      </c>
      <c r="Q1207" s="442" t="str">
        <f>VLOOKUP($P1207,Allocators!$B$7:$F$19,5,FALSE)</f>
        <v>Not in Rate Base</v>
      </c>
      <c r="R1207" s="737">
        <f>VLOOKUP($P1207,Allocators!$B$7:$F$19,2,FALSE)</f>
        <v>0</v>
      </c>
      <c r="S1207" s="737">
        <f>VLOOKUP($P1207,Allocators!$B$7:$F$19,3,FALSE)</f>
        <v>0</v>
      </c>
      <c r="T1207" s="737">
        <f t="shared" si="573"/>
        <v>1</v>
      </c>
      <c r="U1207" s="2">
        <f t="shared" si="577"/>
        <v>0</v>
      </c>
      <c r="V1207" s="2">
        <f t="shared" si="578"/>
        <v>0</v>
      </c>
      <c r="W1207" s="2">
        <f t="shared" si="579"/>
        <v>-296.15996000000001</v>
      </c>
      <c r="X1207" s="2">
        <f t="shared" si="575"/>
        <v>-296.15996000000001</v>
      </c>
      <c r="Y1207" s="2">
        <f t="shared" si="580"/>
        <v>0</v>
      </c>
      <c r="Z1207" s="2">
        <f t="shared" si="581"/>
        <v>0</v>
      </c>
      <c r="AA1207" s="2">
        <f t="shared" si="582"/>
        <v>-296.15996000000001</v>
      </c>
      <c r="AB1207" s="2">
        <f t="shared" si="576"/>
        <v>-296.15996000000001</v>
      </c>
      <c r="AC1207" s="734">
        <v>-296.15996000000001</v>
      </c>
      <c r="AD1207" s="625">
        <v>-296.15996000000001</v>
      </c>
      <c r="AE1207" s="625">
        <v>-296.15996000000001</v>
      </c>
      <c r="AF1207" s="625">
        <v>-296.15996000000001</v>
      </c>
      <c r="AG1207" s="625">
        <v>-296.15996000000001</v>
      </c>
      <c r="AH1207" s="625">
        <v>-296.15996000000001</v>
      </c>
      <c r="AI1207" s="625">
        <v>-296.15996000000001</v>
      </c>
      <c r="AJ1207" s="625">
        <v>-296.15996000000001</v>
      </c>
      <c r="AK1207" s="625">
        <v>-296.15996000000001</v>
      </c>
      <c r="AL1207" s="625">
        <v>-296.15996000000001</v>
      </c>
      <c r="AM1207" s="625">
        <v>-296.15996000000001</v>
      </c>
      <c r="AN1207" s="625">
        <v>-296.15996000000001</v>
      </c>
      <c r="AO1207" s="625">
        <v>-296.15996000000001</v>
      </c>
      <c r="AP1207" s="41" t="str">
        <f t="shared" si="563"/>
        <v>Reg AssetN</v>
      </c>
      <c r="AQ1207" s="41" t="str">
        <f t="shared" si="564"/>
        <v>Reg AssetNN8ASGA</v>
      </c>
      <c r="AR1207" s="41" t="str">
        <f t="shared" si="565"/>
        <v>N8ASGANCR</v>
      </c>
      <c r="CK1207" s="625"/>
    </row>
    <row r="1208" spans="1:89" s="41" customFormat="1" ht="12.75" customHeight="1">
      <c r="A1208" s="442" t="s">
        <v>746</v>
      </c>
      <c r="B1208" s="442" t="str">
        <f t="shared" si="560"/>
        <v>Reg Asset254270</v>
      </c>
      <c r="C1208" s="736">
        <v>254270</v>
      </c>
      <c r="D1208" s="738"/>
      <c r="E1208" s="626"/>
      <c r="F1208" s="626" t="str">
        <f t="shared" si="510"/>
        <v>OTH REGULATORY LIAB-SALE OF GENERATION ASSETS GAI</v>
      </c>
      <c r="G1208" s="626" t="s">
        <v>1416</v>
      </c>
      <c r="H1208" s="736" t="s">
        <v>1330</v>
      </c>
      <c r="I1208" s="442"/>
      <c r="J1208" s="442" t="s">
        <v>7</v>
      </c>
      <c r="K1208" s="442" t="str">
        <f t="shared" si="574"/>
        <v/>
      </c>
      <c r="L1208" s="736" t="s">
        <v>2432</v>
      </c>
      <c r="M1208" s="442" t="str">
        <f t="shared" si="572"/>
        <v>N</v>
      </c>
      <c r="N1208" s="442" t="str">
        <f>IF(L1208&lt;&gt;"",VLOOKUP(L1208,Categories!$B$2:$D$41,2,FALSE),IF(F1208&lt;&gt;"","No Cat",""))</f>
        <v>NRBASE</v>
      </c>
      <c r="O1208" s="442" t="str">
        <f>IF($L1208&lt;&gt;"",VLOOKUP($L1208,Categories!$B$2:$D$41,3,FALSE),IF($F1208&lt;&gt;"","No Cat",""))</f>
        <v>NM-2 ASGA</v>
      </c>
      <c r="P1208" s="736" t="s">
        <v>2468</v>
      </c>
      <c r="Q1208" s="442" t="str">
        <f>VLOOKUP($P1208,Allocators!$B$7:$F$19,5,FALSE)</f>
        <v>Not in Rate Base</v>
      </c>
      <c r="R1208" s="737">
        <f>VLOOKUP($P1208,Allocators!$B$7:$F$19,2,FALSE)</f>
        <v>0</v>
      </c>
      <c r="S1208" s="737">
        <f>VLOOKUP($P1208,Allocators!$B$7:$F$19,3,FALSE)</f>
        <v>0</v>
      </c>
      <c r="T1208" s="737">
        <f t="shared" si="573"/>
        <v>1</v>
      </c>
      <c r="U1208" s="2" t="str">
        <f t="shared" si="577"/>
        <v/>
      </c>
      <c r="V1208" s="2" t="str">
        <f t="shared" si="578"/>
        <v/>
      </c>
      <c r="W1208" s="2" t="str">
        <f t="shared" si="579"/>
        <v/>
      </c>
      <c r="X1208" s="2">
        <f t="shared" si="575"/>
        <v>0</v>
      </c>
      <c r="Y1208" s="2" t="str">
        <f t="shared" si="580"/>
        <v/>
      </c>
      <c r="Z1208" s="2" t="str">
        <f t="shared" si="581"/>
        <v/>
      </c>
      <c r="AA1208" s="2" t="str">
        <f t="shared" si="582"/>
        <v/>
      </c>
      <c r="AB1208" s="2">
        <f t="shared" si="576"/>
        <v>0</v>
      </c>
      <c r="AC1208" s="625">
        <v>0</v>
      </c>
      <c r="AD1208" s="625">
        <v>0</v>
      </c>
      <c r="AE1208" s="625">
        <v>0</v>
      </c>
      <c r="AF1208" s="38">
        <v>0</v>
      </c>
      <c r="AG1208" s="625">
        <v>0</v>
      </c>
      <c r="AH1208" s="625">
        <v>0</v>
      </c>
      <c r="AI1208" s="625">
        <v>0</v>
      </c>
      <c r="AJ1208" s="625">
        <v>0</v>
      </c>
      <c r="AK1208" s="625">
        <v>0</v>
      </c>
      <c r="AL1208" s="625">
        <v>0</v>
      </c>
      <c r="AM1208" s="625">
        <v>0</v>
      </c>
      <c r="AN1208" s="625">
        <v>0</v>
      </c>
      <c r="AO1208" s="625">
        <v>0</v>
      </c>
      <c r="AP1208" s="41" t="str">
        <f t="shared" si="563"/>
        <v>Reg AssetN</v>
      </c>
      <c r="AQ1208" s="41" t="str">
        <f t="shared" si="564"/>
        <v>Reg AssetNN8ASGA</v>
      </c>
      <c r="AR1208" s="41" t="str">
        <f t="shared" si="565"/>
        <v>N8ASGANCR</v>
      </c>
      <c r="CK1208" s="625"/>
    </row>
    <row r="1209" spans="1:89" s="41" customFormat="1" ht="12.75" customHeight="1">
      <c r="A1209" s="442" t="s">
        <v>746</v>
      </c>
      <c r="B1209" s="442" t="str">
        <f t="shared" si="560"/>
        <v>Reg Asset254270601001BE030445</v>
      </c>
      <c r="C1209" s="736">
        <v>254270</v>
      </c>
      <c r="D1209" s="738">
        <v>601001</v>
      </c>
      <c r="E1209" s="626" t="s">
        <v>1417</v>
      </c>
      <c r="F1209" s="626" t="str">
        <f t="shared" si="510"/>
        <v>OTH REGULATORY LIAB-SALE OF GENERATION ASSETS GAI</v>
      </c>
      <c r="G1209" s="626" t="s">
        <v>1418</v>
      </c>
      <c r="H1209" s="736" t="s">
        <v>1330</v>
      </c>
      <c r="I1209" s="442"/>
      <c r="J1209" s="442" t="s">
        <v>7</v>
      </c>
      <c r="K1209" s="442" t="str">
        <f t="shared" si="574"/>
        <v/>
      </c>
      <c r="L1209" s="736" t="s">
        <v>2432</v>
      </c>
      <c r="M1209" s="442" t="str">
        <f t="shared" si="572"/>
        <v>N</v>
      </c>
      <c r="N1209" s="442" t="str">
        <f>IF(L1209&lt;&gt;"",VLOOKUP(L1209,Categories!$B$2:$D$41,2,FALSE),IF(F1209&lt;&gt;"","No Cat",""))</f>
        <v>NRBASE</v>
      </c>
      <c r="O1209" s="442" t="str">
        <f>IF($L1209&lt;&gt;"",VLOOKUP($L1209,Categories!$B$2:$D$41,3,FALSE),IF($F1209&lt;&gt;"","No Cat",""))</f>
        <v>NM-2 ASGA</v>
      </c>
      <c r="P1209" s="736" t="s">
        <v>2468</v>
      </c>
      <c r="Q1209" s="442" t="str">
        <f>VLOOKUP($P1209,Allocators!$B$7:$F$19,5,FALSE)</f>
        <v>Not in Rate Base</v>
      </c>
      <c r="R1209" s="737">
        <f>VLOOKUP($P1209,Allocators!$B$7:$F$19,2,FALSE)</f>
        <v>0</v>
      </c>
      <c r="S1209" s="737">
        <f>VLOOKUP($P1209,Allocators!$B$7:$F$19,3,FALSE)</f>
        <v>0</v>
      </c>
      <c r="T1209" s="737">
        <f t="shared" si="573"/>
        <v>1</v>
      </c>
      <c r="U1209" s="2">
        <f t="shared" si="577"/>
        <v>0</v>
      </c>
      <c r="V1209" s="2">
        <f t="shared" si="578"/>
        <v>0</v>
      </c>
      <c r="W1209" s="2">
        <f t="shared" si="579"/>
        <v>-5066.2</v>
      </c>
      <c r="X1209" s="2">
        <f t="shared" si="575"/>
        <v>-5066.2</v>
      </c>
      <c r="Y1209" s="2">
        <f t="shared" si="580"/>
        <v>0</v>
      </c>
      <c r="Z1209" s="2">
        <f t="shared" si="581"/>
        <v>0</v>
      </c>
      <c r="AA1209" s="2">
        <f t="shared" si="582"/>
        <v>-5066.2</v>
      </c>
      <c r="AB1209" s="2">
        <f t="shared" si="576"/>
        <v>-5066.2</v>
      </c>
      <c r="AC1209" s="734">
        <v>-5066.2</v>
      </c>
      <c r="AD1209" s="625">
        <v>-5066.2</v>
      </c>
      <c r="AE1209" s="625">
        <v>-5066.2</v>
      </c>
      <c r="AF1209" s="625">
        <v>-5066.2</v>
      </c>
      <c r="AG1209" s="625">
        <v>-5066.2</v>
      </c>
      <c r="AH1209" s="625">
        <v>-5066.2</v>
      </c>
      <c r="AI1209" s="625">
        <v>-5066.2</v>
      </c>
      <c r="AJ1209" s="625">
        <v>-5066.2</v>
      </c>
      <c r="AK1209" s="625">
        <v>-5066.2</v>
      </c>
      <c r="AL1209" s="625">
        <v>-5066.2</v>
      </c>
      <c r="AM1209" s="625">
        <v>-5066.2</v>
      </c>
      <c r="AN1209" s="625">
        <v>-5066.2</v>
      </c>
      <c r="AO1209" s="625">
        <v>-5066.2</v>
      </c>
      <c r="AP1209" s="41" t="str">
        <f t="shared" si="563"/>
        <v>Reg AssetN</v>
      </c>
      <c r="AQ1209" s="41" t="str">
        <f t="shared" si="564"/>
        <v>Reg AssetNN8ASGA</v>
      </c>
      <c r="AR1209" s="41" t="str">
        <f t="shared" si="565"/>
        <v>N8ASGANCR</v>
      </c>
      <c r="CK1209" s="625"/>
    </row>
    <row r="1210" spans="1:89" s="41" customFormat="1" ht="12.75" customHeight="1">
      <c r="A1210" s="442" t="s">
        <v>746</v>
      </c>
      <c r="B1210" s="442" t="str">
        <f t="shared" si="560"/>
        <v>Reg Asset254270601001-TaxBE030445</v>
      </c>
      <c r="C1210" s="736">
        <v>254270</v>
      </c>
      <c r="D1210" s="738" t="s">
        <v>1419</v>
      </c>
      <c r="E1210" s="626" t="s">
        <v>1417</v>
      </c>
      <c r="F1210" s="626" t="str">
        <f t="shared" ref="F1210:F1277" si="583">VLOOKUP(C1210,$C$7:$F$787,4,FALSE)</f>
        <v>OTH REGULATORY LIAB-SALE OF GENERATION ASSETS GAI</v>
      </c>
      <c r="G1210" s="626" t="s">
        <v>1420</v>
      </c>
      <c r="H1210" s="736" t="s">
        <v>1330</v>
      </c>
      <c r="I1210" s="442"/>
      <c r="J1210" s="442" t="s">
        <v>7</v>
      </c>
      <c r="K1210" s="442" t="str">
        <f t="shared" si="574"/>
        <v/>
      </c>
      <c r="L1210" s="736" t="s">
        <v>2432</v>
      </c>
      <c r="M1210" s="442" t="str">
        <f t="shared" si="572"/>
        <v>N</v>
      </c>
      <c r="N1210" s="442" t="str">
        <f>IF(L1210&lt;&gt;"",VLOOKUP(L1210,Categories!$B$2:$D$41,2,FALSE),IF(F1210&lt;&gt;"","No Cat",""))</f>
        <v>NRBASE</v>
      </c>
      <c r="O1210" s="442" t="str">
        <f>IF($L1210&lt;&gt;"",VLOOKUP($L1210,Categories!$B$2:$D$41,3,FALSE),IF($F1210&lt;&gt;"","No Cat",""))</f>
        <v>NM-2 ASGA</v>
      </c>
      <c r="P1210" s="736" t="s">
        <v>2468</v>
      </c>
      <c r="Q1210" s="442" t="str">
        <f>VLOOKUP($P1210,Allocators!$B$7:$F$19,5,FALSE)</f>
        <v>Not in Rate Base</v>
      </c>
      <c r="R1210" s="737">
        <f>VLOOKUP($P1210,Allocators!$B$7:$F$19,2,FALSE)</f>
        <v>0</v>
      </c>
      <c r="S1210" s="737">
        <f>VLOOKUP($P1210,Allocators!$B$7:$F$19,3,FALSE)</f>
        <v>0</v>
      </c>
      <c r="T1210" s="737">
        <f t="shared" si="573"/>
        <v>1</v>
      </c>
      <c r="U1210" s="2">
        <f t="shared" si="577"/>
        <v>0</v>
      </c>
      <c r="V1210" s="2">
        <f t="shared" si="578"/>
        <v>0</v>
      </c>
      <c r="W1210" s="2">
        <f t="shared" si="579"/>
        <v>2020.1469999999999</v>
      </c>
      <c r="X1210" s="2">
        <f t="shared" si="575"/>
        <v>2020.1469999999999</v>
      </c>
      <c r="Y1210" s="2">
        <f t="shared" si="580"/>
        <v>0</v>
      </c>
      <c r="Z1210" s="2">
        <f t="shared" si="581"/>
        <v>0</v>
      </c>
      <c r="AA1210" s="2">
        <f t="shared" si="582"/>
        <v>2020.1469999999999</v>
      </c>
      <c r="AB1210" s="2">
        <f t="shared" si="576"/>
        <v>2020.1469999999999</v>
      </c>
      <c r="AC1210" s="734">
        <v>2020.1469999999999</v>
      </c>
      <c r="AD1210" s="625">
        <v>2020.1469999999999</v>
      </c>
      <c r="AE1210" s="625">
        <v>2020.1469999999999</v>
      </c>
      <c r="AF1210" s="625">
        <v>2020.1469999999999</v>
      </c>
      <c r="AG1210" s="625">
        <v>2020.1469999999999</v>
      </c>
      <c r="AH1210" s="625">
        <v>2020.1469999999999</v>
      </c>
      <c r="AI1210" s="625">
        <v>2020.1469999999999</v>
      </c>
      <c r="AJ1210" s="625">
        <v>2020.1469999999999</v>
      </c>
      <c r="AK1210" s="625">
        <v>2020.1469999999999</v>
      </c>
      <c r="AL1210" s="625">
        <v>2020.1469999999999</v>
      </c>
      <c r="AM1210" s="625">
        <v>2020.1469999999999</v>
      </c>
      <c r="AN1210" s="625">
        <v>2020.1469999999999</v>
      </c>
      <c r="AO1210" s="625">
        <v>2020.1469999999999</v>
      </c>
      <c r="AP1210" s="41" t="str">
        <f t="shared" si="563"/>
        <v>Reg AssetN</v>
      </c>
      <c r="AQ1210" s="41" t="str">
        <f t="shared" si="564"/>
        <v>Reg AssetNN8ASGA</v>
      </c>
      <c r="AR1210" s="41" t="str">
        <f t="shared" si="565"/>
        <v>N8ASGANCR</v>
      </c>
      <c r="CK1210" s="625"/>
    </row>
    <row r="1211" spans="1:89" s="41" customFormat="1" ht="12.75" customHeight="1">
      <c r="A1211" s="442" t="s">
        <v>746</v>
      </c>
      <c r="B1211" s="442" t="str">
        <f t="shared" si="560"/>
        <v>Reg Asset254270601002BE030446</v>
      </c>
      <c r="C1211" s="736">
        <v>254270</v>
      </c>
      <c r="D1211" s="738">
        <v>601002</v>
      </c>
      <c r="E1211" s="626" t="s">
        <v>1421</v>
      </c>
      <c r="F1211" s="626" t="str">
        <f t="shared" si="583"/>
        <v>OTH REGULATORY LIAB-SALE OF GENERATION ASSETS GAI</v>
      </c>
      <c r="G1211" s="626" t="s">
        <v>1422</v>
      </c>
      <c r="H1211" s="736" t="s">
        <v>1330</v>
      </c>
      <c r="I1211" s="442"/>
      <c r="J1211" s="442" t="s">
        <v>7</v>
      </c>
      <c r="K1211" s="442" t="str">
        <f t="shared" si="574"/>
        <v/>
      </c>
      <c r="L1211" s="736" t="s">
        <v>2432</v>
      </c>
      <c r="M1211" s="442" t="str">
        <f t="shared" si="572"/>
        <v>N</v>
      </c>
      <c r="N1211" s="442" t="str">
        <f>IF(L1211&lt;&gt;"",VLOOKUP(L1211,Categories!$B$2:$D$41,2,FALSE),IF(F1211&lt;&gt;"","No Cat",""))</f>
        <v>NRBASE</v>
      </c>
      <c r="O1211" s="442" t="str">
        <f>IF($L1211&lt;&gt;"",VLOOKUP($L1211,Categories!$B$2:$D$41,3,FALSE),IF($F1211&lt;&gt;"","No Cat",""))</f>
        <v>NM-2 ASGA</v>
      </c>
      <c r="P1211" s="736" t="s">
        <v>2468</v>
      </c>
      <c r="Q1211" s="442" t="str">
        <f>VLOOKUP($P1211,Allocators!$B$7:$F$19,5,FALSE)</f>
        <v>Not in Rate Base</v>
      </c>
      <c r="R1211" s="737">
        <f>VLOOKUP($P1211,Allocators!$B$7:$F$19,2,FALSE)</f>
        <v>0</v>
      </c>
      <c r="S1211" s="737">
        <f>VLOOKUP($P1211,Allocators!$B$7:$F$19,3,FALSE)</f>
        <v>0</v>
      </c>
      <c r="T1211" s="737">
        <f t="shared" si="573"/>
        <v>1</v>
      </c>
      <c r="U1211" s="2">
        <f t="shared" si="577"/>
        <v>0</v>
      </c>
      <c r="V1211" s="2">
        <f t="shared" si="578"/>
        <v>0</v>
      </c>
      <c r="W1211" s="2">
        <f t="shared" si="579"/>
        <v>-984.96667000000002</v>
      </c>
      <c r="X1211" s="2">
        <f t="shared" si="575"/>
        <v>-984.96667000000002</v>
      </c>
      <c r="Y1211" s="2">
        <f t="shared" si="580"/>
        <v>0</v>
      </c>
      <c r="Z1211" s="2">
        <f t="shared" si="581"/>
        <v>0</v>
      </c>
      <c r="AA1211" s="2">
        <f t="shared" si="582"/>
        <v>-984.96667000000002</v>
      </c>
      <c r="AB1211" s="2">
        <f t="shared" si="576"/>
        <v>-984.96667000000002</v>
      </c>
      <c r="AC1211" s="734">
        <v>-984.96667000000002</v>
      </c>
      <c r="AD1211" s="625">
        <v>-984.96667000000002</v>
      </c>
      <c r="AE1211" s="625">
        <v>-984.96667000000002</v>
      </c>
      <c r="AF1211" s="625">
        <v>-984.96667000000002</v>
      </c>
      <c r="AG1211" s="625">
        <v>-984.96667000000002</v>
      </c>
      <c r="AH1211" s="625">
        <v>-984.96667000000002</v>
      </c>
      <c r="AI1211" s="625">
        <v>-984.96667000000002</v>
      </c>
      <c r="AJ1211" s="625">
        <v>-984.96667000000002</v>
      </c>
      <c r="AK1211" s="625">
        <v>-984.96667000000002</v>
      </c>
      <c r="AL1211" s="625">
        <v>-984.96667000000002</v>
      </c>
      <c r="AM1211" s="625">
        <v>-984.96667000000002</v>
      </c>
      <c r="AN1211" s="625">
        <v>-984.96667000000002</v>
      </c>
      <c r="AO1211" s="625">
        <v>-984.96667000000002</v>
      </c>
      <c r="AP1211" s="41" t="str">
        <f t="shared" si="563"/>
        <v>Reg AssetN</v>
      </c>
      <c r="AQ1211" s="41" t="str">
        <f t="shared" si="564"/>
        <v>Reg AssetNN8ASGA</v>
      </c>
      <c r="AR1211" s="41" t="str">
        <f t="shared" si="565"/>
        <v>N8ASGANCR</v>
      </c>
      <c r="CK1211" s="625"/>
    </row>
    <row r="1212" spans="1:89" s="41" customFormat="1" ht="12.75" customHeight="1">
      <c r="A1212" s="442" t="s">
        <v>746</v>
      </c>
      <c r="B1212" s="442" t="str">
        <f t="shared" si="560"/>
        <v>Reg Asset254270601002-TaxBE030446</v>
      </c>
      <c r="C1212" s="736">
        <v>254270</v>
      </c>
      <c r="D1212" s="738" t="s">
        <v>1423</v>
      </c>
      <c r="E1212" s="626" t="s">
        <v>1421</v>
      </c>
      <c r="F1212" s="626" t="str">
        <f t="shared" si="583"/>
        <v>OTH REGULATORY LIAB-SALE OF GENERATION ASSETS GAI</v>
      </c>
      <c r="G1212" s="626" t="s">
        <v>1424</v>
      </c>
      <c r="H1212" s="736" t="s">
        <v>1330</v>
      </c>
      <c r="I1212" s="442"/>
      <c r="J1212" s="442" t="s">
        <v>7</v>
      </c>
      <c r="K1212" s="442" t="str">
        <f t="shared" si="574"/>
        <v/>
      </c>
      <c r="L1212" s="736" t="s">
        <v>2432</v>
      </c>
      <c r="M1212" s="442" t="str">
        <f t="shared" si="572"/>
        <v>N</v>
      </c>
      <c r="N1212" s="442" t="str">
        <f>IF(L1212&lt;&gt;"",VLOOKUP(L1212,Categories!$B$2:$D$41,2,FALSE),IF(F1212&lt;&gt;"","No Cat",""))</f>
        <v>NRBASE</v>
      </c>
      <c r="O1212" s="442" t="str">
        <f>IF($L1212&lt;&gt;"",VLOOKUP($L1212,Categories!$B$2:$D$41,3,FALSE),IF($F1212&lt;&gt;"","No Cat",""))</f>
        <v>NM-2 ASGA</v>
      </c>
      <c r="P1212" s="736" t="s">
        <v>2468</v>
      </c>
      <c r="Q1212" s="442" t="str">
        <f>VLOOKUP($P1212,Allocators!$B$7:$F$19,5,FALSE)</f>
        <v>Not in Rate Base</v>
      </c>
      <c r="R1212" s="737">
        <f>VLOOKUP($P1212,Allocators!$B$7:$F$19,2,FALSE)</f>
        <v>0</v>
      </c>
      <c r="S1212" s="737">
        <f>VLOOKUP($P1212,Allocators!$B$7:$F$19,3,FALSE)</f>
        <v>0</v>
      </c>
      <c r="T1212" s="737">
        <f t="shared" si="573"/>
        <v>1</v>
      </c>
      <c r="U1212" s="2">
        <f t="shared" si="577"/>
        <v>0</v>
      </c>
      <c r="V1212" s="2">
        <f t="shared" si="578"/>
        <v>0</v>
      </c>
      <c r="W1212" s="2">
        <f t="shared" si="579"/>
        <v>392.75599999999997</v>
      </c>
      <c r="X1212" s="2">
        <f t="shared" si="575"/>
        <v>392.75599999999997</v>
      </c>
      <c r="Y1212" s="2">
        <f t="shared" si="580"/>
        <v>0</v>
      </c>
      <c r="Z1212" s="2">
        <f t="shared" si="581"/>
        <v>0</v>
      </c>
      <c r="AA1212" s="2">
        <f t="shared" si="582"/>
        <v>392.75599999999997</v>
      </c>
      <c r="AB1212" s="2">
        <f t="shared" si="576"/>
        <v>392.75599999999997</v>
      </c>
      <c r="AC1212" s="734">
        <v>392.75599999999997</v>
      </c>
      <c r="AD1212" s="625">
        <v>392.75599999999997</v>
      </c>
      <c r="AE1212" s="625">
        <v>392.75599999999997</v>
      </c>
      <c r="AF1212" s="625">
        <v>392.75599999999997</v>
      </c>
      <c r="AG1212" s="625">
        <v>392.75599999999997</v>
      </c>
      <c r="AH1212" s="625">
        <v>392.75599999999997</v>
      </c>
      <c r="AI1212" s="625">
        <v>392.75599999999997</v>
      </c>
      <c r="AJ1212" s="625">
        <v>392.75599999999997</v>
      </c>
      <c r="AK1212" s="625">
        <v>392.75599999999997</v>
      </c>
      <c r="AL1212" s="625">
        <v>392.75599999999997</v>
      </c>
      <c r="AM1212" s="625">
        <v>392.75599999999997</v>
      </c>
      <c r="AN1212" s="625">
        <v>392.75599999999997</v>
      </c>
      <c r="AO1212" s="625">
        <v>392.75599999999997</v>
      </c>
      <c r="AP1212" s="41" t="str">
        <f t="shared" si="563"/>
        <v>Reg AssetN</v>
      </c>
      <c r="AQ1212" s="41" t="str">
        <f t="shared" si="564"/>
        <v>Reg AssetNN8ASGA</v>
      </c>
      <c r="AR1212" s="41" t="str">
        <f t="shared" si="565"/>
        <v>N8ASGANCR</v>
      </c>
      <c r="CK1212" s="625"/>
    </row>
    <row r="1213" spans="1:89" s="41" customFormat="1" ht="12.75" customHeight="1">
      <c r="A1213" s="442" t="s">
        <v>746</v>
      </c>
      <c r="B1213" s="442" t="str">
        <f t="shared" si="560"/>
        <v>Reg Asset254270600208BE030436</v>
      </c>
      <c r="C1213" s="736">
        <v>254270</v>
      </c>
      <c r="D1213" s="738">
        <v>600208</v>
      </c>
      <c r="E1213" s="626" t="s">
        <v>1425</v>
      </c>
      <c r="F1213" s="626" t="str">
        <f t="shared" si="583"/>
        <v>OTH REGULATORY LIAB-SALE OF GENERATION ASSETS GAI</v>
      </c>
      <c r="G1213" s="626" t="s">
        <v>1426</v>
      </c>
      <c r="H1213" s="736" t="s">
        <v>1330</v>
      </c>
      <c r="I1213" s="442"/>
      <c r="J1213" s="442" t="s">
        <v>7</v>
      </c>
      <c r="K1213" s="442" t="str">
        <f t="shared" si="574"/>
        <v/>
      </c>
      <c r="L1213" s="736" t="s">
        <v>2432</v>
      </c>
      <c r="M1213" s="442" t="str">
        <f t="shared" si="572"/>
        <v>N</v>
      </c>
      <c r="N1213" s="442" t="str">
        <f>IF(L1213&lt;&gt;"",VLOOKUP(L1213,Categories!$B$2:$D$41,2,FALSE),IF(F1213&lt;&gt;"","No Cat",""))</f>
        <v>NRBASE</v>
      </c>
      <c r="O1213" s="442" t="str">
        <f>IF($L1213&lt;&gt;"",VLOOKUP($L1213,Categories!$B$2:$D$41,3,FALSE),IF($F1213&lt;&gt;"","No Cat",""))</f>
        <v>NM-2 ASGA</v>
      </c>
      <c r="P1213" s="736" t="s">
        <v>2468</v>
      </c>
      <c r="Q1213" s="442" t="str">
        <f>VLOOKUP($P1213,Allocators!$B$7:$F$19,5,FALSE)</f>
        <v>Not in Rate Base</v>
      </c>
      <c r="R1213" s="737">
        <f>VLOOKUP($P1213,Allocators!$B$7:$F$19,2,FALSE)</f>
        <v>0</v>
      </c>
      <c r="S1213" s="737">
        <f>VLOOKUP($P1213,Allocators!$B$7:$F$19,3,FALSE)</f>
        <v>0</v>
      </c>
      <c r="T1213" s="737">
        <f t="shared" si="573"/>
        <v>1</v>
      </c>
      <c r="U1213" s="2">
        <f t="shared" si="577"/>
        <v>0</v>
      </c>
      <c r="V1213" s="2">
        <f t="shared" si="578"/>
        <v>0</v>
      </c>
      <c r="W1213" s="2">
        <f t="shared" si="579"/>
        <v>16603.371609999998</v>
      </c>
      <c r="X1213" s="2">
        <f t="shared" si="575"/>
        <v>16603.371609999998</v>
      </c>
      <c r="Y1213" s="2">
        <f t="shared" si="580"/>
        <v>0</v>
      </c>
      <c r="Z1213" s="2">
        <f t="shared" si="581"/>
        <v>0</v>
      </c>
      <c r="AA1213" s="2">
        <f t="shared" si="582"/>
        <v>16603.371609999998</v>
      </c>
      <c r="AB1213" s="2">
        <f t="shared" si="576"/>
        <v>16603.371609999998</v>
      </c>
      <c r="AC1213" s="734">
        <v>16603.371609999998</v>
      </c>
      <c r="AD1213" s="625">
        <v>16603.371609999998</v>
      </c>
      <c r="AE1213" s="625">
        <v>16603.371609999998</v>
      </c>
      <c r="AF1213" s="625">
        <v>16603.371609999998</v>
      </c>
      <c r="AG1213" s="625">
        <v>16603.371609999998</v>
      </c>
      <c r="AH1213" s="625">
        <v>16603.371609999998</v>
      </c>
      <c r="AI1213" s="625">
        <v>16603.371609999998</v>
      </c>
      <c r="AJ1213" s="625">
        <v>16603.371609999998</v>
      </c>
      <c r="AK1213" s="625">
        <v>16603.371609999998</v>
      </c>
      <c r="AL1213" s="625">
        <v>16603.371609999998</v>
      </c>
      <c r="AM1213" s="625">
        <v>16603.371609999998</v>
      </c>
      <c r="AN1213" s="625">
        <v>16603.371609999998</v>
      </c>
      <c r="AO1213" s="625">
        <v>16603.371609999998</v>
      </c>
      <c r="AP1213" s="41" t="str">
        <f t="shared" si="563"/>
        <v>Reg AssetN</v>
      </c>
      <c r="AQ1213" s="41" t="str">
        <f t="shared" si="564"/>
        <v>Reg AssetNN8ASGA</v>
      </c>
      <c r="AR1213" s="41" t="str">
        <f t="shared" si="565"/>
        <v>N8ASGANCR</v>
      </c>
      <c r="CK1213" s="625"/>
    </row>
    <row r="1214" spans="1:89" s="41" customFormat="1" ht="12.75" customHeight="1">
      <c r="A1214" s="442" t="s">
        <v>746</v>
      </c>
      <c r="B1214" s="442" t="str">
        <f t="shared" si="560"/>
        <v>Reg Asset254270600208-TAXBE030437</v>
      </c>
      <c r="C1214" s="736">
        <v>254270</v>
      </c>
      <c r="D1214" s="738" t="s">
        <v>1428</v>
      </c>
      <c r="E1214" s="626" t="s">
        <v>1427</v>
      </c>
      <c r="F1214" s="626" t="str">
        <f t="shared" si="583"/>
        <v>OTH REGULATORY LIAB-SALE OF GENERATION ASSETS GAI</v>
      </c>
      <c r="G1214" s="626" t="s">
        <v>1429</v>
      </c>
      <c r="H1214" s="736" t="s">
        <v>1330</v>
      </c>
      <c r="I1214" s="442"/>
      <c r="J1214" s="442" t="s">
        <v>7</v>
      </c>
      <c r="K1214" s="442" t="str">
        <f t="shared" si="574"/>
        <v/>
      </c>
      <c r="L1214" s="736" t="s">
        <v>2432</v>
      </c>
      <c r="M1214" s="442" t="str">
        <f t="shared" si="572"/>
        <v>N</v>
      </c>
      <c r="N1214" s="442" t="str">
        <f>IF(L1214&lt;&gt;"",VLOOKUP(L1214,Categories!$B$2:$D$41,2,FALSE),IF(F1214&lt;&gt;"","No Cat",""))</f>
        <v>NRBASE</v>
      </c>
      <c r="O1214" s="442" t="str">
        <f>IF($L1214&lt;&gt;"",VLOOKUP($L1214,Categories!$B$2:$D$41,3,FALSE),IF($F1214&lt;&gt;"","No Cat",""))</f>
        <v>NM-2 ASGA</v>
      </c>
      <c r="P1214" s="736" t="s">
        <v>2468</v>
      </c>
      <c r="Q1214" s="442" t="str">
        <f>VLOOKUP($P1214,Allocators!$B$7:$F$19,5,FALSE)</f>
        <v>Not in Rate Base</v>
      </c>
      <c r="R1214" s="737">
        <f>VLOOKUP($P1214,Allocators!$B$7:$F$19,2,FALSE)</f>
        <v>0</v>
      </c>
      <c r="S1214" s="737">
        <f>VLOOKUP($P1214,Allocators!$B$7:$F$19,3,FALSE)</f>
        <v>0</v>
      </c>
      <c r="T1214" s="737">
        <f t="shared" si="573"/>
        <v>1</v>
      </c>
      <c r="U1214" s="2">
        <f t="shared" si="577"/>
        <v>0</v>
      </c>
      <c r="V1214" s="2">
        <f t="shared" si="578"/>
        <v>0</v>
      </c>
      <c r="W1214" s="2">
        <f t="shared" si="579"/>
        <v>-6614.5513499999997</v>
      </c>
      <c r="X1214" s="2">
        <f t="shared" si="575"/>
        <v>-6614.5513499999997</v>
      </c>
      <c r="Y1214" s="2">
        <f t="shared" si="580"/>
        <v>0</v>
      </c>
      <c r="Z1214" s="2">
        <f t="shared" si="581"/>
        <v>0</v>
      </c>
      <c r="AA1214" s="2">
        <f t="shared" si="582"/>
        <v>-6614.5513499999997</v>
      </c>
      <c r="AB1214" s="2">
        <f t="shared" si="576"/>
        <v>-6614.5513500000006</v>
      </c>
      <c r="AC1214" s="734">
        <v>-6614.5513500000006</v>
      </c>
      <c r="AD1214" s="625">
        <v>-6614.5513500000006</v>
      </c>
      <c r="AE1214" s="625">
        <v>-6614.5513500000006</v>
      </c>
      <c r="AF1214" s="625">
        <v>-6614.5513500000006</v>
      </c>
      <c r="AG1214" s="625">
        <v>-6614.5513500000006</v>
      </c>
      <c r="AH1214" s="625">
        <v>-6614.5513500000006</v>
      </c>
      <c r="AI1214" s="625">
        <v>-6614.5513500000006</v>
      </c>
      <c r="AJ1214" s="625">
        <v>-6614.5513500000006</v>
      </c>
      <c r="AK1214" s="625">
        <v>-6614.5513500000006</v>
      </c>
      <c r="AL1214" s="625">
        <v>-6614.5513500000006</v>
      </c>
      <c r="AM1214" s="625">
        <v>-6614.5513500000006</v>
      </c>
      <c r="AN1214" s="625">
        <v>-6614.5513500000006</v>
      </c>
      <c r="AO1214" s="625">
        <v>-6614.5513500000006</v>
      </c>
      <c r="AP1214" s="41" t="str">
        <f t="shared" si="563"/>
        <v>Reg AssetN</v>
      </c>
      <c r="AQ1214" s="41" t="str">
        <f t="shared" si="564"/>
        <v>Reg AssetNN8ASGA</v>
      </c>
      <c r="AR1214" s="41" t="str">
        <f t="shared" si="565"/>
        <v>N8ASGANCR</v>
      </c>
      <c r="CK1214" s="625"/>
    </row>
    <row r="1215" spans="1:89" s="41" customFormat="1" ht="12.75" customHeight="1">
      <c r="A1215" s="442" t="s">
        <v>746</v>
      </c>
      <c r="B1215" s="442" t="str">
        <f t="shared" si="560"/>
        <v>Reg Asset254270601003BE030447</v>
      </c>
      <c r="C1215" s="736">
        <v>254270</v>
      </c>
      <c r="D1215" s="738">
        <v>601003</v>
      </c>
      <c r="E1215" s="626" t="s">
        <v>1430</v>
      </c>
      <c r="F1215" s="626" t="str">
        <f t="shared" si="583"/>
        <v>OTH REGULATORY LIAB-SALE OF GENERATION ASSETS GAI</v>
      </c>
      <c r="G1215" s="626" t="s">
        <v>1431</v>
      </c>
      <c r="H1215" s="736" t="s">
        <v>1330</v>
      </c>
      <c r="I1215" s="442"/>
      <c r="J1215" s="442" t="s">
        <v>7</v>
      </c>
      <c r="K1215" s="442" t="str">
        <f t="shared" si="574"/>
        <v/>
      </c>
      <c r="L1215" s="736" t="s">
        <v>2432</v>
      </c>
      <c r="M1215" s="442" t="str">
        <f t="shared" si="572"/>
        <v>N</v>
      </c>
      <c r="N1215" s="442" t="str">
        <f>IF(L1215&lt;&gt;"",VLOOKUP(L1215,Categories!$B$2:$D$41,2,FALSE),IF(F1215&lt;&gt;"","No Cat",""))</f>
        <v>NRBASE</v>
      </c>
      <c r="O1215" s="442" t="str">
        <f>IF($L1215&lt;&gt;"",VLOOKUP($L1215,Categories!$B$2:$D$41,3,FALSE),IF($F1215&lt;&gt;"","No Cat",""))</f>
        <v>NM-2 ASGA</v>
      </c>
      <c r="P1215" s="736" t="s">
        <v>2468</v>
      </c>
      <c r="Q1215" s="442" t="str">
        <f>VLOOKUP($P1215,Allocators!$B$7:$F$19,5,FALSE)</f>
        <v>Not in Rate Base</v>
      </c>
      <c r="R1215" s="737">
        <f>VLOOKUP($P1215,Allocators!$B$7:$F$19,2,FALSE)</f>
        <v>0</v>
      </c>
      <c r="S1215" s="737">
        <f>VLOOKUP($P1215,Allocators!$B$7:$F$19,3,FALSE)</f>
        <v>0</v>
      </c>
      <c r="T1215" s="737">
        <f t="shared" si="573"/>
        <v>1</v>
      </c>
      <c r="U1215" s="2">
        <f t="shared" si="577"/>
        <v>0</v>
      </c>
      <c r="V1215" s="2">
        <f t="shared" si="578"/>
        <v>0</v>
      </c>
      <c r="W1215" s="2">
        <f t="shared" si="579"/>
        <v>12666.666660000001</v>
      </c>
      <c r="X1215" s="2">
        <f t="shared" si="575"/>
        <v>12666.666660000001</v>
      </c>
      <c r="Y1215" s="2">
        <f t="shared" si="580"/>
        <v>0</v>
      </c>
      <c r="Z1215" s="2">
        <f t="shared" si="581"/>
        <v>0</v>
      </c>
      <c r="AA1215" s="2">
        <f t="shared" si="582"/>
        <v>12666.666660000001</v>
      </c>
      <c r="AB1215" s="2">
        <f t="shared" si="576"/>
        <v>12666.666660000001</v>
      </c>
      <c r="AC1215" s="734">
        <v>12666.666660000001</v>
      </c>
      <c r="AD1215" s="625">
        <v>12666.666660000001</v>
      </c>
      <c r="AE1215" s="625">
        <v>12666.666660000001</v>
      </c>
      <c r="AF1215" s="625">
        <v>12666.666660000001</v>
      </c>
      <c r="AG1215" s="625">
        <v>12666.666660000001</v>
      </c>
      <c r="AH1215" s="625">
        <v>12666.666660000001</v>
      </c>
      <c r="AI1215" s="625">
        <v>12666.666660000001</v>
      </c>
      <c r="AJ1215" s="625">
        <v>12666.666660000001</v>
      </c>
      <c r="AK1215" s="625">
        <v>12666.666660000001</v>
      </c>
      <c r="AL1215" s="625">
        <v>12666.666660000001</v>
      </c>
      <c r="AM1215" s="625">
        <v>12666.666660000001</v>
      </c>
      <c r="AN1215" s="625">
        <v>12666.666660000001</v>
      </c>
      <c r="AO1215" s="625">
        <v>12666.666660000001</v>
      </c>
      <c r="AP1215" s="41" t="str">
        <f t="shared" si="563"/>
        <v>Reg AssetN</v>
      </c>
      <c r="AQ1215" s="41" t="str">
        <f t="shared" si="564"/>
        <v>Reg AssetNN8ASGA</v>
      </c>
      <c r="AR1215" s="41" t="str">
        <f t="shared" si="565"/>
        <v>N8ASGANCR</v>
      </c>
      <c r="CK1215" s="625"/>
    </row>
    <row r="1216" spans="1:89" s="41" customFormat="1" ht="12.75" customHeight="1">
      <c r="A1216" s="442" t="s">
        <v>746</v>
      </c>
      <c r="B1216" s="442" t="str">
        <f t="shared" si="560"/>
        <v>Reg Asset254270601003-TAXBE030447</v>
      </c>
      <c r="C1216" s="736">
        <v>254270</v>
      </c>
      <c r="D1216" s="738" t="s">
        <v>1432</v>
      </c>
      <c r="E1216" s="626" t="s">
        <v>1430</v>
      </c>
      <c r="F1216" s="626" t="str">
        <f t="shared" si="583"/>
        <v>OTH REGULATORY LIAB-SALE OF GENERATION ASSETS GAI</v>
      </c>
      <c r="G1216" s="626" t="s">
        <v>1433</v>
      </c>
      <c r="H1216" s="736" t="s">
        <v>1330</v>
      </c>
      <c r="I1216" s="442"/>
      <c r="J1216" s="442" t="s">
        <v>7</v>
      </c>
      <c r="K1216" s="442" t="str">
        <f t="shared" si="574"/>
        <v/>
      </c>
      <c r="L1216" s="736" t="s">
        <v>2432</v>
      </c>
      <c r="M1216" s="442" t="str">
        <f t="shared" si="572"/>
        <v>N</v>
      </c>
      <c r="N1216" s="442" t="str">
        <f>IF(L1216&lt;&gt;"",VLOOKUP(L1216,Categories!$B$2:$D$41,2,FALSE),IF(F1216&lt;&gt;"","No Cat",""))</f>
        <v>NRBASE</v>
      </c>
      <c r="O1216" s="442" t="str">
        <f>IF($L1216&lt;&gt;"",VLOOKUP($L1216,Categories!$B$2:$D$41,3,FALSE),IF($F1216&lt;&gt;"","No Cat",""))</f>
        <v>NM-2 ASGA</v>
      </c>
      <c r="P1216" s="736" t="s">
        <v>2468</v>
      </c>
      <c r="Q1216" s="442" t="str">
        <f>VLOOKUP($P1216,Allocators!$B$7:$F$19,5,FALSE)</f>
        <v>Not in Rate Base</v>
      </c>
      <c r="R1216" s="737">
        <f>VLOOKUP($P1216,Allocators!$B$7:$F$19,2,FALSE)</f>
        <v>0</v>
      </c>
      <c r="S1216" s="737">
        <f>VLOOKUP($P1216,Allocators!$B$7:$F$19,3,FALSE)</f>
        <v>0</v>
      </c>
      <c r="T1216" s="737">
        <f t="shared" si="573"/>
        <v>1</v>
      </c>
      <c r="U1216" s="2">
        <f t="shared" si="577"/>
        <v>0</v>
      </c>
      <c r="V1216" s="2">
        <f t="shared" si="578"/>
        <v>0</v>
      </c>
      <c r="W1216" s="2">
        <f t="shared" si="579"/>
        <v>-5031.7669999999998</v>
      </c>
      <c r="X1216" s="2">
        <f t="shared" si="575"/>
        <v>-5031.7669999999998</v>
      </c>
      <c r="Y1216" s="2">
        <f t="shared" si="580"/>
        <v>0</v>
      </c>
      <c r="Z1216" s="2">
        <f t="shared" si="581"/>
        <v>0</v>
      </c>
      <c r="AA1216" s="2">
        <f t="shared" si="582"/>
        <v>-5031.7669999999998</v>
      </c>
      <c r="AB1216" s="2">
        <f t="shared" si="576"/>
        <v>-5031.7669999999998</v>
      </c>
      <c r="AC1216" s="734">
        <v>-5031.7669999999998</v>
      </c>
      <c r="AD1216" s="625">
        <v>-5031.7669999999998</v>
      </c>
      <c r="AE1216" s="625">
        <v>-5031.7669999999998</v>
      </c>
      <c r="AF1216" s="625">
        <v>-5031.7669999999998</v>
      </c>
      <c r="AG1216" s="625">
        <v>-5031.7669999999998</v>
      </c>
      <c r="AH1216" s="625">
        <v>-5031.7669999999998</v>
      </c>
      <c r="AI1216" s="625">
        <v>-5031.7669999999998</v>
      </c>
      <c r="AJ1216" s="625">
        <v>-5031.7669999999998</v>
      </c>
      <c r="AK1216" s="625">
        <v>-5031.7669999999998</v>
      </c>
      <c r="AL1216" s="625">
        <v>-5031.7669999999998</v>
      </c>
      <c r="AM1216" s="625">
        <v>-5031.7669999999998</v>
      </c>
      <c r="AN1216" s="625">
        <v>-5031.7669999999998</v>
      </c>
      <c r="AO1216" s="625">
        <v>-5031.7669999999998</v>
      </c>
      <c r="AP1216" s="41" t="str">
        <f t="shared" si="563"/>
        <v>Reg AssetN</v>
      </c>
      <c r="AQ1216" s="41" t="str">
        <f t="shared" si="564"/>
        <v>Reg AssetNN8ASGA</v>
      </c>
      <c r="AR1216" s="41" t="str">
        <f t="shared" si="565"/>
        <v>N8ASGANCR</v>
      </c>
      <c r="CK1216" s="625"/>
    </row>
    <row r="1217" spans="1:89" s="41" customFormat="1" ht="12.75" customHeight="1">
      <c r="A1217" s="442" t="s">
        <v>746</v>
      </c>
      <c r="B1217" s="442" t="str">
        <f t="shared" si="560"/>
        <v>Reg Asset254270601005BE030448</v>
      </c>
      <c r="C1217" s="736">
        <v>254270</v>
      </c>
      <c r="D1217" s="738">
        <v>601005</v>
      </c>
      <c r="E1217" s="626" t="s">
        <v>1434</v>
      </c>
      <c r="F1217" s="626" t="str">
        <f t="shared" si="583"/>
        <v>OTH REGULATORY LIAB-SALE OF GENERATION ASSETS GAI</v>
      </c>
      <c r="G1217" s="626" t="s">
        <v>1435</v>
      </c>
      <c r="H1217" s="736" t="s">
        <v>1330</v>
      </c>
      <c r="I1217" s="442"/>
      <c r="J1217" s="442" t="s">
        <v>7</v>
      </c>
      <c r="K1217" s="442" t="str">
        <f t="shared" si="574"/>
        <v/>
      </c>
      <c r="L1217" s="736" t="s">
        <v>2432</v>
      </c>
      <c r="M1217" s="442" t="str">
        <f t="shared" si="572"/>
        <v>N</v>
      </c>
      <c r="N1217" s="442" t="str">
        <f>IF(L1217&lt;&gt;"",VLOOKUP(L1217,Categories!$B$2:$D$41,2,FALSE),IF(F1217&lt;&gt;"","No Cat",""))</f>
        <v>NRBASE</v>
      </c>
      <c r="O1217" s="442" t="str">
        <f>IF($L1217&lt;&gt;"",VLOOKUP($L1217,Categories!$B$2:$D$41,3,FALSE),IF($F1217&lt;&gt;"","No Cat",""))</f>
        <v>NM-2 ASGA</v>
      </c>
      <c r="P1217" s="736" t="s">
        <v>2468</v>
      </c>
      <c r="Q1217" s="442" t="str">
        <f>VLOOKUP($P1217,Allocators!$B$7:$F$19,5,FALSE)</f>
        <v>Not in Rate Base</v>
      </c>
      <c r="R1217" s="737">
        <f>VLOOKUP($P1217,Allocators!$B$7:$F$19,2,FALSE)</f>
        <v>0</v>
      </c>
      <c r="S1217" s="737">
        <f>VLOOKUP($P1217,Allocators!$B$7:$F$19,3,FALSE)</f>
        <v>0</v>
      </c>
      <c r="T1217" s="737">
        <f t="shared" si="573"/>
        <v>1</v>
      </c>
      <c r="U1217" s="2">
        <f t="shared" si="577"/>
        <v>0</v>
      </c>
      <c r="V1217" s="2">
        <f t="shared" si="578"/>
        <v>0</v>
      </c>
      <c r="W1217" s="2">
        <f t="shared" si="579"/>
        <v>6000</v>
      </c>
      <c r="X1217" s="2">
        <f t="shared" si="575"/>
        <v>6000</v>
      </c>
      <c r="Y1217" s="2">
        <f t="shared" si="580"/>
        <v>0</v>
      </c>
      <c r="Z1217" s="2">
        <f t="shared" si="581"/>
        <v>0</v>
      </c>
      <c r="AA1217" s="2">
        <f t="shared" si="582"/>
        <v>6000</v>
      </c>
      <c r="AB1217" s="2">
        <f t="shared" si="576"/>
        <v>6000</v>
      </c>
      <c r="AC1217" s="734">
        <v>6000</v>
      </c>
      <c r="AD1217" s="625">
        <v>6000</v>
      </c>
      <c r="AE1217" s="625">
        <v>6000</v>
      </c>
      <c r="AF1217" s="625">
        <v>6000</v>
      </c>
      <c r="AG1217" s="625">
        <v>6000</v>
      </c>
      <c r="AH1217" s="625">
        <v>6000</v>
      </c>
      <c r="AI1217" s="625">
        <v>6000</v>
      </c>
      <c r="AJ1217" s="625">
        <v>6000</v>
      </c>
      <c r="AK1217" s="625">
        <v>6000</v>
      </c>
      <c r="AL1217" s="625">
        <v>6000</v>
      </c>
      <c r="AM1217" s="625">
        <v>6000</v>
      </c>
      <c r="AN1217" s="625">
        <v>6000</v>
      </c>
      <c r="AO1217" s="625">
        <v>6000</v>
      </c>
      <c r="AP1217" s="41" t="str">
        <f t="shared" si="563"/>
        <v>Reg AssetN</v>
      </c>
      <c r="AQ1217" s="41" t="str">
        <f t="shared" si="564"/>
        <v>Reg AssetNN8ASGA</v>
      </c>
      <c r="AR1217" s="41" t="str">
        <f t="shared" si="565"/>
        <v>N8ASGANCR</v>
      </c>
      <c r="CK1217" s="625"/>
    </row>
    <row r="1218" spans="1:89" s="41" customFormat="1" ht="12.75" customHeight="1">
      <c r="A1218" s="442" t="s">
        <v>746</v>
      </c>
      <c r="B1218" s="442" t="str">
        <f t="shared" si="560"/>
        <v>Reg Asset254270601005-TaxBE030448</v>
      </c>
      <c r="C1218" s="736">
        <v>254270</v>
      </c>
      <c r="D1218" s="738" t="s">
        <v>1436</v>
      </c>
      <c r="E1218" s="626" t="s">
        <v>1434</v>
      </c>
      <c r="F1218" s="626" t="str">
        <f t="shared" si="583"/>
        <v>OTH REGULATORY LIAB-SALE OF GENERATION ASSETS GAI</v>
      </c>
      <c r="G1218" s="626" t="s">
        <v>1437</v>
      </c>
      <c r="H1218" s="736" t="s">
        <v>1330</v>
      </c>
      <c r="I1218" s="442"/>
      <c r="J1218" s="442" t="s">
        <v>7</v>
      </c>
      <c r="K1218" s="442" t="str">
        <f t="shared" si="574"/>
        <v/>
      </c>
      <c r="L1218" s="736" t="s">
        <v>2432</v>
      </c>
      <c r="M1218" s="442" t="str">
        <f t="shared" si="572"/>
        <v>N</v>
      </c>
      <c r="N1218" s="442" t="str">
        <f>IF(L1218&lt;&gt;"",VLOOKUP(L1218,Categories!$B$2:$D$41,2,FALSE),IF(F1218&lt;&gt;"","No Cat",""))</f>
        <v>NRBASE</v>
      </c>
      <c r="O1218" s="442" t="str">
        <f>IF($L1218&lt;&gt;"",VLOOKUP($L1218,Categories!$B$2:$D$41,3,FALSE),IF($F1218&lt;&gt;"","No Cat",""))</f>
        <v>NM-2 ASGA</v>
      </c>
      <c r="P1218" s="736" t="s">
        <v>2468</v>
      </c>
      <c r="Q1218" s="442" t="str">
        <f>VLOOKUP($P1218,Allocators!$B$7:$F$19,5,FALSE)</f>
        <v>Not in Rate Base</v>
      </c>
      <c r="R1218" s="737">
        <f>VLOOKUP($P1218,Allocators!$B$7:$F$19,2,FALSE)</f>
        <v>0</v>
      </c>
      <c r="S1218" s="737">
        <f>VLOOKUP($P1218,Allocators!$B$7:$F$19,3,FALSE)</f>
        <v>0</v>
      </c>
      <c r="T1218" s="737">
        <f t="shared" si="573"/>
        <v>1</v>
      </c>
      <c r="U1218" s="2">
        <f t="shared" si="577"/>
        <v>0</v>
      </c>
      <c r="V1218" s="2">
        <f t="shared" si="578"/>
        <v>0</v>
      </c>
      <c r="W1218" s="2">
        <f t="shared" si="579"/>
        <v>-2392.5</v>
      </c>
      <c r="X1218" s="2">
        <f t="shared" si="575"/>
        <v>-2392.5</v>
      </c>
      <c r="Y1218" s="2">
        <f t="shared" si="580"/>
        <v>0</v>
      </c>
      <c r="Z1218" s="2">
        <f t="shared" si="581"/>
        <v>0</v>
      </c>
      <c r="AA1218" s="2">
        <f t="shared" si="582"/>
        <v>-2392.5</v>
      </c>
      <c r="AB1218" s="2">
        <f t="shared" si="576"/>
        <v>-2392.5</v>
      </c>
      <c r="AC1218" s="734">
        <v>-2392.5</v>
      </c>
      <c r="AD1218" s="625">
        <v>-2392.5</v>
      </c>
      <c r="AE1218" s="625">
        <v>-2392.5</v>
      </c>
      <c r="AF1218" s="625">
        <v>-2392.5</v>
      </c>
      <c r="AG1218" s="625">
        <v>-2392.5</v>
      </c>
      <c r="AH1218" s="625">
        <v>-2392.5</v>
      </c>
      <c r="AI1218" s="625">
        <v>-2392.5</v>
      </c>
      <c r="AJ1218" s="625">
        <v>-2392.5</v>
      </c>
      <c r="AK1218" s="625">
        <v>-2392.5</v>
      </c>
      <c r="AL1218" s="625">
        <v>-2392.5</v>
      </c>
      <c r="AM1218" s="625">
        <v>-2392.5</v>
      </c>
      <c r="AN1218" s="625">
        <v>-2392.5</v>
      </c>
      <c r="AO1218" s="625">
        <v>-2392.5</v>
      </c>
      <c r="AP1218" s="41" t="str">
        <f t="shared" si="563"/>
        <v>Reg AssetN</v>
      </c>
      <c r="AQ1218" s="41" t="str">
        <f t="shared" si="564"/>
        <v>Reg AssetNN8ASGA</v>
      </c>
      <c r="AR1218" s="41" t="str">
        <f t="shared" si="565"/>
        <v>N8ASGANCR</v>
      </c>
      <c r="CK1218" s="625"/>
    </row>
    <row r="1219" spans="1:89" s="41" customFormat="1" ht="12.75" customHeight="1">
      <c r="A1219" s="442" t="s">
        <v>746</v>
      </c>
      <c r="B1219" s="442" t="str">
        <f t="shared" si="560"/>
        <v>Reg Asset254270</v>
      </c>
      <c r="C1219" s="736">
        <v>254270</v>
      </c>
      <c r="D1219" s="738"/>
      <c r="E1219" s="626"/>
      <c r="F1219" s="626" t="str">
        <f t="shared" si="583"/>
        <v>OTH REGULATORY LIAB-SALE OF GENERATION ASSETS GAI</v>
      </c>
      <c r="G1219" s="626" t="s">
        <v>1438</v>
      </c>
      <c r="H1219" s="736" t="s">
        <v>1330</v>
      </c>
      <c r="I1219" s="442"/>
      <c r="J1219" s="442" t="s">
        <v>7</v>
      </c>
      <c r="K1219" s="442" t="str">
        <f t="shared" si="574"/>
        <v/>
      </c>
      <c r="L1219" s="736" t="s">
        <v>2432</v>
      </c>
      <c r="M1219" s="442" t="str">
        <f t="shared" si="572"/>
        <v>N</v>
      </c>
      <c r="N1219" s="442" t="str">
        <f>IF(L1219&lt;&gt;"",VLOOKUP(L1219,Categories!$B$2:$D$41,2,FALSE),IF(F1219&lt;&gt;"","No Cat",""))</f>
        <v>NRBASE</v>
      </c>
      <c r="O1219" s="442" t="str">
        <f>IF($L1219&lt;&gt;"",VLOOKUP($L1219,Categories!$B$2:$D$41,3,FALSE),IF($F1219&lt;&gt;"","No Cat",""))</f>
        <v>NM-2 ASGA</v>
      </c>
      <c r="P1219" s="736" t="s">
        <v>2468</v>
      </c>
      <c r="Q1219" s="442" t="str">
        <f>VLOOKUP($P1219,Allocators!$B$7:$F$19,5,FALSE)</f>
        <v>Not in Rate Base</v>
      </c>
      <c r="R1219" s="737">
        <f>VLOOKUP($P1219,Allocators!$B$7:$F$19,2,FALSE)</f>
        <v>0</v>
      </c>
      <c r="S1219" s="737">
        <f>VLOOKUP($P1219,Allocators!$B$7:$F$19,3,FALSE)</f>
        <v>0</v>
      </c>
      <c r="T1219" s="737">
        <f t="shared" si="573"/>
        <v>1</v>
      </c>
      <c r="U1219" s="2" t="str">
        <f t="shared" si="577"/>
        <v/>
      </c>
      <c r="V1219" s="2" t="str">
        <f t="shared" si="578"/>
        <v/>
      </c>
      <c r="W1219" s="2" t="str">
        <f t="shared" si="579"/>
        <v/>
      </c>
      <c r="X1219" s="2">
        <f t="shared" si="575"/>
        <v>0</v>
      </c>
      <c r="Y1219" s="2" t="str">
        <f t="shared" si="580"/>
        <v/>
      </c>
      <c r="Z1219" s="2" t="str">
        <f t="shared" si="581"/>
        <v/>
      </c>
      <c r="AA1219" s="2" t="str">
        <f t="shared" si="582"/>
        <v/>
      </c>
      <c r="AB1219" s="2">
        <f t="shared" si="576"/>
        <v>0</v>
      </c>
      <c r="AC1219" s="625">
        <v>0</v>
      </c>
      <c r="AD1219" s="625">
        <v>0</v>
      </c>
      <c r="AE1219" s="625">
        <v>0</v>
      </c>
      <c r="AF1219" s="38">
        <v>0</v>
      </c>
      <c r="AG1219" s="625">
        <v>0</v>
      </c>
      <c r="AH1219" s="625">
        <v>0</v>
      </c>
      <c r="AI1219" s="625">
        <v>0</v>
      </c>
      <c r="AJ1219" s="625">
        <v>0</v>
      </c>
      <c r="AK1219" s="625">
        <v>0</v>
      </c>
      <c r="AL1219" s="625">
        <v>0</v>
      </c>
      <c r="AM1219" s="625">
        <v>0</v>
      </c>
      <c r="AN1219" s="625">
        <v>0</v>
      </c>
      <c r="AO1219" s="625">
        <v>0</v>
      </c>
      <c r="AP1219" s="41" t="str">
        <f t="shared" si="563"/>
        <v>Reg AssetN</v>
      </c>
      <c r="AQ1219" s="41" t="str">
        <f t="shared" si="564"/>
        <v>Reg AssetNN8ASGA</v>
      </c>
      <c r="AR1219" s="41" t="str">
        <f t="shared" si="565"/>
        <v>N8ASGANCR</v>
      </c>
      <c r="CK1219" s="625"/>
    </row>
    <row r="1220" spans="1:89" s="41" customFormat="1" ht="12.75" customHeight="1">
      <c r="A1220" s="442" t="s">
        <v>746</v>
      </c>
      <c r="B1220" s="442" t="str">
        <f t="shared" ref="B1220:B1291" si="584">CONCATENATE(A1220,C1220,D1220,E1220)</f>
        <v>Reg Asset254270600215-SERPBE030443</v>
      </c>
      <c r="C1220" s="736">
        <v>254270</v>
      </c>
      <c r="D1220" s="738" t="s">
        <v>1440</v>
      </c>
      <c r="E1220" s="626" t="s">
        <v>1439</v>
      </c>
      <c r="F1220" s="626" t="str">
        <f t="shared" si="583"/>
        <v>OTH REGULATORY LIAB-SALE OF GENERATION ASSETS GAI</v>
      </c>
      <c r="G1220" s="626" t="s">
        <v>1441</v>
      </c>
      <c r="H1220" s="736" t="s">
        <v>1330</v>
      </c>
      <c r="I1220" s="442"/>
      <c r="J1220" s="442" t="s">
        <v>7</v>
      </c>
      <c r="K1220" s="442" t="str">
        <f t="shared" si="574"/>
        <v/>
      </c>
      <c r="L1220" s="736" t="s">
        <v>2432</v>
      </c>
      <c r="M1220" s="442" t="str">
        <f t="shared" si="572"/>
        <v>N</v>
      </c>
      <c r="N1220" s="442" t="str">
        <f>IF(L1220&lt;&gt;"",VLOOKUP(L1220,Categories!$B$2:$D$41,2,FALSE),IF(F1220&lt;&gt;"","No Cat",""))</f>
        <v>NRBASE</v>
      </c>
      <c r="O1220" s="442" t="str">
        <f>IF($L1220&lt;&gt;"",VLOOKUP($L1220,Categories!$B$2:$D$41,3,FALSE),IF($F1220&lt;&gt;"","No Cat",""))</f>
        <v>NM-2 ASGA</v>
      </c>
      <c r="P1220" s="736" t="s">
        <v>2468</v>
      </c>
      <c r="Q1220" s="442" t="str">
        <f>VLOOKUP($P1220,Allocators!$B$7:$F$19,5,FALSE)</f>
        <v>Not in Rate Base</v>
      </c>
      <c r="R1220" s="737">
        <f>VLOOKUP($P1220,Allocators!$B$7:$F$19,2,FALSE)</f>
        <v>0</v>
      </c>
      <c r="S1220" s="737">
        <f>VLOOKUP($P1220,Allocators!$B$7:$F$19,3,FALSE)</f>
        <v>0</v>
      </c>
      <c r="T1220" s="737">
        <f t="shared" si="573"/>
        <v>1</v>
      </c>
      <c r="U1220" s="2">
        <f t="shared" si="577"/>
        <v>0</v>
      </c>
      <c r="V1220" s="2">
        <f t="shared" si="578"/>
        <v>0</v>
      </c>
      <c r="W1220" s="2">
        <f t="shared" si="579"/>
        <v>-694</v>
      </c>
      <c r="X1220" s="2">
        <f t="shared" si="575"/>
        <v>-694</v>
      </c>
      <c r="Y1220" s="2">
        <f t="shared" si="580"/>
        <v>0</v>
      </c>
      <c r="Z1220" s="2">
        <f t="shared" si="581"/>
        <v>0</v>
      </c>
      <c r="AA1220" s="2">
        <f t="shared" si="582"/>
        <v>-694</v>
      </c>
      <c r="AB1220" s="2">
        <f t="shared" si="576"/>
        <v>-694</v>
      </c>
      <c r="AC1220" s="734">
        <v>-694</v>
      </c>
      <c r="AD1220" s="625">
        <v>-694</v>
      </c>
      <c r="AE1220" s="625">
        <v>-694</v>
      </c>
      <c r="AF1220" s="625">
        <v>-694</v>
      </c>
      <c r="AG1220" s="625">
        <v>-694</v>
      </c>
      <c r="AH1220" s="625">
        <v>-694</v>
      </c>
      <c r="AI1220" s="625">
        <v>-694</v>
      </c>
      <c r="AJ1220" s="625">
        <v>-694</v>
      </c>
      <c r="AK1220" s="625">
        <v>-694</v>
      </c>
      <c r="AL1220" s="625">
        <v>-694</v>
      </c>
      <c r="AM1220" s="625">
        <v>-694</v>
      </c>
      <c r="AN1220" s="625">
        <v>-694</v>
      </c>
      <c r="AO1220" s="625">
        <v>-694</v>
      </c>
      <c r="AP1220" s="41" t="str">
        <f t="shared" si="563"/>
        <v>Reg AssetN</v>
      </c>
      <c r="AQ1220" s="41" t="str">
        <f t="shared" si="564"/>
        <v>Reg AssetNN8ASGA</v>
      </c>
      <c r="AR1220" s="41" t="str">
        <f t="shared" si="565"/>
        <v>N8ASGANCR</v>
      </c>
      <c r="CK1220" s="625"/>
    </row>
    <row r="1221" spans="1:89" s="41" customFormat="1" ht="12.75" customHeight="1">
      <c r="A1221" s="442" t="s">
        <v>746</v>
      </c>
      <c r="B1221" s="442" t="str">
        <f t="shared" si="584"/>
        <v>Reg Asset254270600215-SERP-TaxBE030443</v>
      </c>
      <c r="C1221" s="736">
        <v>254270</v>
      </c>
      <c r="D1221" s="738" t="s">
        <v>1442</v>
      </c>
      <c r="E1221" s="626" t="s">
        <v>1439</v>
      </c>
      <c r="F1221" s="626" t="str">
        <f t="shared" si="583"/>
        <v>OTH REGULATORY LIAB-SALE OF GENERATION ASSETS GAI</v>
      </c>
      <c r="G1221" s="626" t="s">
        <v>1443</v>
      </c>
      <c r="H1221" s="736" t="s">
        <v>1330</v>
      </c>
      <c r="I1221" s="442"/>
      <c r="J1221" s="442" t="s">
        <v>7</v>
      </c>
      <c r="K1221" s="442" t="str">
        <f t="shared" si="574"/>
        <v/>
      </c>
      <c r="L1221" s="736" t="s">
        <v>2432</v>
      </c>
      <c r="M1221" s="442" t="str">
        <f t="shared" si="572"/>
        <v>N</v>
      </c>
      <c r="N1221" s="442" t="str">
        <f>IF(L1221&lt;&gt;"",VLOOKUP(L1221,Categories!$B$2:$D$41,2,FALSE),IF(F1221&lt;&gt;"","No Cat",""))</f>
        <v>NRBASE</v>
      </c>
      <c r="O1221" s="442" t="str">
        <f>IF($L1221&lt;&gt;"",VLOOKUP($L1221,Categories!$B$2:$D$41,3,FALSE),IF($F1221&lt;&gt;"","No Cat",""))</f>
        <v>NM-2 ASGA</v>
      </c>
      <c r="P1221" s="736" t="s">
        <v>2468</v>
      </c>
      <c r="Q1221" s="442" t="str">
        <f>VLOOKUP($P1221,Allocators!$B$7:$F$19,5,FALSE)</f>
        <v>Not in Rate Base</v>
      </c>
      <c r="R1221" s="737">
        <f>VLOOKUP($P1221,Allocators!$B$7:$F$19,2,FALSE)</f>
        <v>0</v>
      </c>
      <c r="S1221" s="737">
        <f>VLOOKUP($P1221,Allocators!$B$7:$F$19,3,FALSE)</f>
        <v>0</v>
      </c>
      <c r="T1221" s="737">
        <f t="shared" si="573"/>
        <v>1</v>
      </c>
      <c r="U1221" s="2">
        <f t="shared" si="577"/>
        <v>0</v>
      </c>
      <c r="V1221" s="2">
        <f t="shared" si="578"/>
        <v>0</v>
      </c>
      <c r="W1221" s="2">
        <f t="shared" si="579"/>
        <v>276.733</v>
      </c>
      <c r="X1221" s="2">
        <f t="shared" si="575"/>
        <v>276.733</v>
      </c>
      <c r="Y1221" s="2">
        <f t="shared" si="580"/>
        <v>0</v>
      </c>
      <c r="Z1221" s="2">
        <f t="shared" si="581"/>
        <v>0</v>
      </c>
      <c r="AA1221" s="2">
        <f t="shared" si="582"/>
        <v>276.733</v>
      </c>
      <c r="AB1221" s="2">
        <f t="shared" si="576"/>
        <v>276.733</v>
      </c>
      <c r="AC1221" s="734">
        <v>276.733</v>
      </c>
      <c r="AD1221" s="625">
        <v>276.733</v>
      </c>
      <c r="AE1221" s="625">
        <v>276.733</v>
      </c>
      <c r="AF1221" s="625">
        <v>276.733</v>
      </c>
      <c r="AG1221" s="625">
        <v>276.733</v>
      </c>
      <c r="AH1221" s="625">
        <v>276.733</v>
      </c>
      <c r="AI1221" s="625">
        <v>276.733</v>
      </c>
      <c r="AJ1221" s="625">
        <v>276.733</v>
      </c>
      <c r="AK1221" s="625">
        <v>276.733</v>
      </c>
      <c r="AL1221" s="625">
        <v>276.733</v>
      </c>
      <c r="AM1221" s="625">
        <v>276.733</v>
      </c>
      <c r="AN1221" s="625">
        <v>276.733</v>
      </c>
      <c r="AO1221" s="625">
        <v>276.733</v>
      </c>
      <c r="AP1221" s="41" t="str">
        <f t="shared" si="563"/>
        <v>Reg AssetN</v>
      </c>
      <c r="AQ1221" s="41" t="str">
        <f t="shared" si="564"/>
        <v>Reg AssetNN8ASGA</v>
      </c>
      <c r="AR1221" s="41" t="str">
        <f t="shared" si="565"/>
        <v>N8ASGANCR</v>
      </c>
      <c r="CK1221" s="625"/>
    </row>
    <row r="1222" spans="1:89" s="41" customFormat="1" ht="12.75" customHeight="1">
      <c r="A1222" s="442" t="s">
        <v>746</v>
      </c>
      <c r="B1222" s="442" t="str">
        <f t="shared" si="584"/>
        <v>Reg Asset254270601089BE030451</v>
      </c>
      <c r="C1222" s="736">
        <v>254270</v>
      </c>
      <c r="D1222" s="738">
        <v>601089</v>
      </c>
      <c r="E1222" s="626" t="s">
        <v>1387</v>
      </c>
      <c r="F1222" s="626" t="str">
        <f t="shared" si="583"/>
        <v>OTH REGULATORY LIAB-SALE OF GENERATION ASSETS GAI</v>
      </c>
      <c r="G1222" s="626" t="s">
        <v>1444</v>
      </c>
      <c r="H1222" s="736" t="s">
        <v>1330</v>
      </c>
      <c r="I1222" s="442"/>
      <c r="J1222" s="442" t="s">
        <v>7</v>
      </c>
      <c r="K1222" s="442" t="str">
        <f t="shared" si="574"/>
        <v/>
      </c>
      <c r="L1222" s="736" t="s">
        <v>2432</v>
      </c>
      <c r="M1222" s="442" t="str">
        <f t="shared" si="572"/>
        <v>N</v>
      </c>
      <c r="N1222" s="442" t="str">
        <f>IF(L1222&lt;&gt;"",VLOOKUP(L1222,Categories!$B$2:$D$41,2,FALSE),IF(F1222&lt;&gt;"","No Cat",""))</f>
        <v>NRBASE</v>
      </c>
      <c r="O1222" s="442" t="str">
        <f>IF($L1222&lt;&gt;"",VLOOKUP($L1222,Categories!$B$2:$D$41,3,FALSE),IF($F1222&lt;&gt;"","No Cat",""))</f>
        <v>NM-2 ASGA</v>
      </c>
      <c r="P1222" s="736" t="s">
        <v>2468</v>
      </c>
      <c r="Q1222" s="442" t="str">
        <f>VLOOKUP($P1222,Allocators!$B$7:$F$19,5,FALSE)</f>
        <v>Not in Rate Base</v>
      </c>
      <c r="R1222" s="737">
        <f>VLOOKUP($P1222,Allocators!$B$7:$F$19,2,FALSE)</f>
        <v>0</v>
      </c>
      <c r="S1222" s="737">
        <f>VLOOKUP($P1222,Allocators!$B$7:$F$19,3,FALSE)</f>
        <v>0</v>
      </c>
      <c r="T1222" s="737">
        <f t="shared" si="573"/>
        <v>1</v>
      </c>
      <c r="U1222" s="2">
        <f t="shared" si="577"/>
        <v>0</v>
      </c>
      <c r="V1222" s="2">
        <f t="shared" si="578"/>
        <v>0</v>
      </c>
      <c r="W1222" s="2">
        <f t="shared" si="579"/>
        <v>63837.205320000001</v>
      </c>
      <c r="X1222" s="2">
        <f t="shared" si="575"/>
        <v>63837.205320000001</v>
      </c>
      <c r="Y1222" s="2">
        <f t="shared" si="580"/>
        <v>0</v>
      </c>
      <c r="Z1222" s="2">
        <f t="shared" si="581"/>
        <v>0</v>
      </c>
      <c r="AA1222" s="2">
        <f t="shared" si="582"/>
        <v>63837.205320000001</v>
      </c>
      <c r="AB1222" s="2">
        <f t="shared" si="576"/>
        <v>63837.205320000001</v>
      </c>
      <c r="AC1222" s="734">
        <v>63837.205320000001</v>
      </c>
      <c r="AD1222" s="625">
        <v>63837.205320000001</v>
      </c>
      <c r="AE1222" s="625">
        <v>63837.205320000001</v>
      </c>
      <c r="AF1222" s="625">
        <v>63837.205320000001</v>
      </c>
      <c r="AG1222" s="625">
        <v>63837.205320000001</v>
      </c>
      <c r="AH1222" s="625">
        <v>63837.205320000001</v>
      </c>
      <c r="AI1222" s="625">
        <v>63837.205320000001</v>
      </c>
      <c r="AJ1222" s="625">
        <v>63837.205320000001</v>
      </c>
      <c r="AK1222" s="625">
        <v>63837.205320000001</v>
      </c>
      <c r="AL1222" s="625">
        <v>63837.205320000001</v>
      </c>
      <c r="AM1222" s="625">
        <v>63837.205320000001</v>
      </c>
      <c r="AN1222" s="625">
        <v>63837.205320000001</v>
      </c>
      <c r="AO1222" s="625">
        <v>63837.205320000001</v>
      </c>
      <c r="AP1222" s="41" t="str">
        <f t="shared" si="563"/>
        <v>Reg AssetN</v>
      </c>
      <c r="AQ1222" s="41" t="str">
        <f t="shared" si="564"/>
        <v>Reg AssetNN8ASGA</v>
      </c>
      <c r="AR1222" s="41" t="str">
        <f t="shared" si="565"/>
        <v>N8ASGANCR</v>
      </c>
      <c r="CK1222" s="625"/>
    </row>
    <row r="1223" spans="1:89" s="41" customFormat="1" ht="12.75" customHeight="1">
      <c r="A1223" s="442" t="s">
        <v>746</v>
      </c>
      <c r="B1223" s="442" t="str">
        <f t="shared" si="584"/>
        <v>Reg Asset254270601089-TAXBE030451</v>
      </c>
      <c r="C1223" s="736">
        <v>254270</v>
      </c>
      <c r="D1223" s="738" t="s">
        <v>1445</v>
      </c>
      <c r="E1223" s="626" t="s">
        <v>1387</v>
      </c>
      <c r="F1223" s="626" t="str">
        <f t="shared" si="583"/>
        <v>OTH REGULATORY LIAB-SALE OF GENERATION ASSETS GAI</v>
      </c>
      <c r="G1223" s="626" t="s">
        <v>1446</v>
      </c>
      <c r="H1223" s="736" t="s">
        <v>1330</v>
      </c>
      <c r="I1223" s="442"/>
      <c r="J1223" s="442" t="s">
        <v>7</v>
      </c>
      <c r="K1223" s="442" t="str">
        <f t="shared" si="574"/>
        <v/>
      </c>
      <c r="L1223" s="736" t="s">
        <v>2432</v>
      </c>
      <c r="M1223" s="442" t="str">
        <f t="shared" si="572"/>
        <v>N</v>
      </c>
      <c r="N1223" s="442" t="str">
        <f>IF(L1223&lt;&gt;"",VLOOKUP(L1223,Categories!$B$2:$D$41,2,FALSE),IF(F1223&lt;&gt;"","No Cat",""))</f>
        <v>NRBASE</v>
      </c>
      <c r="O1223" s="442" t="str">
        <f>IF($L1223&lt;&gt;"",VLOOKUP($L1223,Categories!$B$2:$D$41,3,FALSE),IF($F1223&lt;&gt;"","No Cat",""))</f>
        <v>NM-2 ASGA</v>
      </c>
      <c r="P1223" s="736" t="s">
        <v>2468</v>
      </c>
      <c r="Q1223" s="442" t="str">
        <f>VLOOKUP($P1223,Allocators!$B$7:$F$19,5,FALSE)</f>
        <v>Not in Rate Base</v>
      </c>
      <c r="R1223" s="737">
        <f>VLOOKUP($P1223,Allocators!$B$7:$F$19,2,FALSE)</f>
        <v>0</v>
      </c>
      <c r="S1223" s="737">
        <f>VLOOKUP($P1223,Allocators!$B$7:$F$19,3,FALSE)</f>
        <v>0</v>
      </c>
      <c r="T1223" s="737">
        <f t="shared" si="573"/>
        <v>1</v>
      </c>
      <c r="U1223" s="2">
        <f t="shared" si="577"/>
        <v>0</v>
      </c>
      <c r="V1223" s="2">
        <f t="shared" si="578"/>
        <v>0</v>
      </c>
      <c r="W1223" s="2">
        <f t="shared" si="579"/>
        <v>-25122.294989999999</v>
      </c>
      <c r="X1223" s="2">
        <f t="shared" si="575"/>
        <v>-25122.294989999999</v>
      </c>
      <c r="Y1223" s="2">
        <f t="shared" si="580"/>
        <v>0</v>
      </c>
      <c r="Z1223" s="2">
        <f t="shared" si="581"/>
        <v>0</v>
      </c>
      <c r="AA1223" s="2">
        <f t="shared" si="582"/>
        <v>-25122.294989999999</v>
      </c>
      <c r="AB1223" s="2">
        <f t="shared" si="576"/>
        <v>-25122.294989999999</v>
      </c>
      <c r="AC1223" s="734">
        <v>-25122.294989999999</v>
      </c>
      <c r="AD1223" s="625">
        <v>-25122.294989999999</v>
      </c>
      <c r="AE1223" s="625">
        <v>-25122.294989999999</v>
      </c>
      <c r="AF1223" s="625">
        <v>-25122.294989999999</v>
      </c>
      <c r="AG1223" s="625">
        <v>-25122.294989999999</v>
      </c>
      <c r="AH1223" s="625">
        <v>-25122.294989999999</v>
      </c>
      <c r="AI1223" s="625">
        <v>-25122.294989999999</v>
      </c>
      <c r="AJ1223" s="625">
        <v>-25122.294989999999</v>
      </c>
      <c r="AK1223" s="625">
        <v>-25122.294989999999</v>
      </c>
      <c r="AL1223" s="625">
        <v>-25122.294989999999</v>
      </c>
      <c r="AM1223" s="625">
        <v>-25122.294989999999</v>
      </c>
      <c r="AN1223" s="625">
        <v>-25122.294989999999</v>
      </c>
      <c r="AO1223" s="625">
        <v>-25122.294989999999</v>
      </c>
      <c r="AP1223" s="41" t="str">
        <f t="shared" si="563"/>
        <v>Reg AssetN</v>
      </c>
      <c r="AQ1223" s="41" t="str">
        <f t="shared" si="564"/>
        <v>Reg AssetNN8ASGA</v>
      </c>
      <c r="AR1223" s="41" t="str">
        <f t="shared" si="565"/>
        <v>N8ASGANCR</v>
      </c>
      <c r="CK1223" s="625"/>
    </row>
    <row r="1224" spans="1:89" s="41" customFormat="1" ht="12.75" customHeight="1">
      <c r="A1224" s="442" t="s">
        <v>746</v>
      </c>
      <c r="B1224" s="442" t="str">
        <f t="shared" si="584"/>
        <v>Reg Asset254270601076BE030556</v>
      </c>
      <c r="C1224" s="736">
        <v>254270</v>
      </c>
      <c r="D1224" s="738">
        <v>601076</v>
      </c>
      <c r="E1224" s="626" t="s">
        <v>1393</v>
      </c>
      <c r="F1224" s="626" t="str">
        <f t="shared" si="583"/>
        <v>OTH REGULATORY LIAB-SALE OF GENERATION ASSETS GAI</v>
      </c>
      <c r="G1224" s="626" t="s">
        <v>1447</v>
      </c>
      <c r="H1224" s="736" t="s">
        <v>1330</v>
      </c>
      <c r="I1224" s="442"/>
      <c r="J1224" s="442" t="s">
        <v>7</v>
      </c>
      <c r="K1224" s="442" t="str">
        <f t="shared" si="574"/>
        <v/>
      </c>
      <c r="L1224" s="736" t="s">
        <v>2432</v>
      </c>
      <c r="M1224" s="442" t="str">
        <f t="shared" si="572"/>
        <v>N</v>
      </c>
      <c r="N1224" s="442" t="str">
        <f>IF(L1224&lt;&gt;"",VLOOKUP(L1224,Categories!$B$2:$D$41,2,FALSE),IF(F1224&lt;&gt;"","No Cat",""))</f>
        <v>NRBASE</v>
      </c>
      <c r="O1224" s="442" t="str">
        <f>IF($L1224&lt;&gt;"",VLOOKUP($L1224,Categories!$B$2:$D$41,3,FALSE),IF($F1224&lt;&gt;"","No Cat",""))</f>
        <v>NM-2 ASGA</v>
      </c>
      <c r="P1224" s="736" t="s">
        <v>2468</v>
      </c>
      <c r="Q1224" s="442" t="str">
        <f>VLOOKUP($P1224,Allocators!$B$7:$F$19,5,FALSE)</f>
        <v>Not in Rate Base</v>
      </c>
      <c r="R1224" s="737">
        <f>VLOOKUP($P1224,Allocators!$B$7:$F$19,2,FALSE)</f>
        <v>0</v>
      </c>
      <c r="S1224" s="737">
        <f>VLOOKUP($P1224,Allocators!$B$7:$F$19,3,FALSE)</f>
        <v>0</v>
      </c>
      <c r="T1224" s="737">
        <f t="shared" si="573"/>
        <v>1</v>
      </c>
      <c r="U1224" s="2">
        <f t="shared" si="577"/>
        <v>0</v>
      </c>
      <c r="V1224" s="2">
        <f t="shared" si="578"/>
        <v>0</v>
      </c>
      <c r="W1224" s="2">
        <f t="shared" si="579"/>
        <v>-2467.5412200000001</v>
      </c>
      <c r="X1224" s="2">
        <f t="shared" si="575"/>
        <v>-2467.5412200000001</v>
      </c>
      <c r="Y1224" s="2">
        <f t="shared" si="580"/>
        <v>0</v>
      </c>
      <c r="Z1224" s="2">
        <f t="shared" si="581"/>
        <v>0</v>
      </c>
      <c r="AA1224" s="2">
        <f t="shared" si="582"/>
        <v>-2467.5412200000001</v>
      </c>
      <c r="AB1224" s="2">
        <f t="shared" si="576"/>
        <v>-2467.5412200000001</v>
      </c>
      <c r="AC1224" s="734">
        <v>-2467.5412200000001</v>
      </c>
      <c r="AD1224" s="625">
        <v>-2467.5412200000001</v>
      </c>
      <c r="AE1224" s="625">
        <v>-2467.5412200000001</v>
      </c>
      <c r="AF1224" s="625">
        <v>-2467.5412200000001</v>
      </c>
      <c r="AG1224" s="625">
        <v>-2467.5412200000001</v>
      </c>
      <c r="AH1224" s="625">
        <v>-2467.5412200000001</v>
      </c>
      <c r="AI1224" s="625">
        <v>-2467.5412200000001</v>
      </c>
      <c r="AJ1224" s="625">
        <v>-2467.5412200000001</v>
      </c>
      <c r="AK1224" s="625">
        <v>-2467.5412200000001</v>
      </c>
      <c r="AL1224" s="625">
        <v>-2467.5412200000001</v>
      </c>
      <c r="AM1224" s="625">
        <v>-2467.5412200000001</v>
      </c>
      <c r="AN1224" s="625">
        <v>-2467.5412200000001</v>
      </c>
      <c r="AO1224" s="625">
        <v>-2467.5412200000001</v>
      </c>
      <c r="AP1224" s="41" t="str">
        <f t="shared" ref="AP1224:AP1287" si="585">CONCATENATE(A1224,M1224)</f>
        <v>Reg AssetN</v>
      </c>
      <c r="AQ1224" s="41" t="str">
        <f t="shared" ref="AQ1224:AQ1287" si="586">CONCATENATE(AP1224,L1224,H1224)</f>
        <v>Reg AssetNN8ASGA</v>
      </c>
      <c r="AR1224" s="41" t="str">
        <f t="shared" ref="AR1224:AR1287" si="587">CONCATENATE(L1224,H1224,J1224)</f>
        <v>N8ASGANCR</v>
      </c>
      <c r="CK1224" s="625"/>
    </row>
    <row r="1225" spans="1:89" s="41" customFormat="1" ht="12.75" customHeight="1">
      <c r="A1225" s="442" t="s">
        <v>746</v>
      </c>
      <c r="B1225" s="442" t="str">
        <f t="shared" si="584"/>
        <v>Reg Asset254270601082-06/07/08/09BE030398</v>
      </c>
      <c r="C1225" s="736">
        <v>254270</v>
      </c>
      <c r="D1225" s="738" t="s">
        <v>1448</v>
      </c>
      <c r="E1225" s="626" t="s">
        <v>1413</v>
      </c>
      <c r="F1225" s="626" t="str">
        <f t="shared" si="583"/>
        <v>OTH REGULATORY LIAB-SALE OF GENERATION ASSETS GAI</v>
      </c>
      <c r="G1225" s="626" t="s">
        <v>1415</v>
      </c>
      <c r="H1225" s="736" t="s">
        <v>1330</v>
      </c>
      <c r="I1225" s="442"/>
      <c r="J1225" s="442" t="s">
        <v>7</v>
      </c>
      <c r="K1225" s="442" t="str">
        <f t="shared" si="574"/>
        <v/>
      </c>
      <c r="L1225" s="736" t="s">
        <v>2432</v>
      </c>
      <c r="M1225" s="442" t="str">
        <f t="shared" si="572"/>
        <v>N</v>
      </c>
      <c r="N1225" s="442" t="str">
        <f>IF(L1225&lt;&gt;"",VLOOKUP(L1225,Categories!$B$2:$D$41,2,FALSE),IF(F1225&lt;&gt;"","No Cat",""))</f>
        <v>NRBASE</v>
      </c>
      <c r="O1225" s="442" t="str">
        <f>IF($L1225&lt;&gt;"",VLOOKUP($L1225,Categories!$B$2:$D$41,3,FALSE),IF($F1225&lt;&gt;"","No Cat",""))</f>
        <v>NM-2 ASGA</v>
      </c>
      <c r="P1225" s="736" t="s">
        <v>2468</v>
      </c>
      <c r="Q1225" s="442" t="str">
        <f>VLOOKUP($P1225,Allocators!$B$7:$F$19,5,FALSE)</f>
        <v>Not in Rate Base</v>
      </c>
      <c r="R1225" s="737">
        <f>VLOOKUP($P1225,Allocators!$B$7:$F$19,2,FALSE)</f>
        <v>0</v>
      </c>
      <c r="S1225" s="737">
        <f>VLOOKUP($P1225,Allocators!$B$7:$F$19,3,FALSE)</f>
        <v>0</v>
      </c>
      <c r="T1225" s="737">
        <f t="shared" si="573"/>
        <v>1</v>
      </c>
      <c r="U1225" s="2">
        <f t="shared" si="577"/>
        <v>0</v>
      </c>
      <c r="V1225" s="2">
        <f t="shared" si="578"/>
        <v>0</v>
      </c>
      <c r="W1225" s="2">
        <f t="shared" si="579"/>
        <v>-730.97793999999999</v>
      </c>
      <c r="X1225" s="2">
        <f t="shared" si="575"/>
        <v>-730.97793999999999</v>
      </c>
      <c r="Y1225" s="2">
        <f t="shared" si="580"/>
        <v>0</v>
      </c>
      <c r="Z1225" s="2">
        <f t="shared" si="581"/>
        <v>0</v>
      </c>
      <c r="AA1225" s="2">
        <f t="shared" si="582"/>
        <v>-730.97793999999999</v>
      </c>
      <c r="AB1225" s="2">
        <f t="shared" si="576"/>
        <v>-730.97793999999999</v>
      </c>
      <c r="AC1225" s="734">
        <v>-730.97793999999999</v>
      </c>
      <c r="AD1225" s="625">
        <v>-730.97793999999999</v>
      </c>
      <c r="AE1225" s="625">
        <v>-730.97793999999999</v>
      </c>
      <c r="AF1225" s="625">
        <v>-730.97793999999999</v>
      </c>
      <c r="AG1225" s="625">
        <v>-730.97793999999999</v>
      </c>
      <c r="AH1225" s="625">
        <v>-730.97793999999999</v>
      </c>
      <c r="AI1225" s="625">
        <v>-730.97793999999999</v>
      </c>
      <c r="AJ1225" s="625">
        <v>-730.97793999999999</v>
      </c>
      <c r="AK1225" s="625">
        <v>-730.97793999999999</v>
      </c>
      <c r="AL1225" s="625">
        <v>-730.97793999999999</v>
      </c>
      <c r="AM1225" s="625">
        <v>-730.97793999999999</v>
      </c>
      <c r="AN1225" s="625">
        <v>-730.97793999999999</v>
      </c>
      <c r="AO1225" s="625">
        <v>-730.97793999999999</v>
      </c>
      <c r="AP1225" s="41" t="str">
        <f t="shared" si="585"/>
        <v>Reg AssetN</v>
      </c>
      <c r="AQ1225" s="41" t="str">
        <f t="shared" si="586"/>
        <v>Reg AssetNN8ASGA</v>
      </c>
      <c r="AR1225" s="41" t="str">
        <f t="shared" si="587"/>
        <v>N8ASGANCR</v>
      </c>
      <c r="CK1225" s="625"/>
    </row>
    <row r="1226" spans="1:89" s="41" customFormat="1" ht="12.75" customHeight="1">
      <c r="A1226" s="442" t="s">
        <v>746</v>
      </c>
      <c r="B1226" s="442" t="str">
        <f t="shared" si="584"/>
        <v>Reg Asset254270601104BE030451</v>
      </c>
      <c r="C1226" s="736">
        <v>254270</v>
      </c>
      <c r="D1226" s="738">
        <v>601104</v>
      </c>
      <c r="E1226" s="626" t="s">
        <v>1387</v>
      </c>
      <c r="F1226" s="626" t="str">
        <f t="shared" si="583"/>
        <v>OTH REGULATORY LIAB-SALE OF GENERATION ASSETS GAI</v>
      </c>
      <c r="G1226" s="626" t="s">
        <v>1449</v>
      </c>
      <c r="H1226" s="736" t="s">
        <v>1330</v>
      </c>
      <c r="I1226" s="442"/>
      <c r="J1226" s="442" t="s">
        <v>7</v>
      </c>
      <c r="K1226" s="442" t="str">
        <f t="shared" si="574"/>
        <v/>
      </c>
      <c r="L1226" s="736" t="s">
        <v>2432</v>
      </c>
      <c r="M1226" s="442" t="str">
        <f t="shared" si="572"/>
        <v>N</v>
      </c>
      <c r="N1226" s="442" t="str">
        <f>IF(L1226&lt;&gt;"",VLOOKUP(L1226,Categories!$B$2:$D$41,2,FALSE),IF(F1226&lt;&gt;"","No Cat",""))</f>
        <v>NRBASE</v>
      </c>
      <c r="O1226" s="442" t="str">
        <f>IF($L1226&lt;&gt;"",VLOOKUP($L1226,Categories!$B$2:$D$41,3,FALSE),IF($F1226&lt;&gt;"","No Cat",""))</f>
        <v>NM-2 ASGA</v>
      </c>
      <c r="P1226" s="736" t="s">
        <v>2468</v>
      </c>
      <c r="Q1226" s="442" t="str">
        <f>VLOOKUP($P1226,Allocators!$B$7:$F$19,5,FALSE)</f>
        <v>Not in Rate Base</v>
      </c>
      <c r="R1226" s="737">
        <f>VLOOKUP($P1226,Allocators!$B$7:$F$19,2,FALSE)</f>
        <v>0</v>
      </c>
      <c r="S1226" s="737">
        <f>VLOOKUP($P1226,Allocators!$B$7:$F$19,3,FALSE)</f>
        <v>0</v>
      </c>
      <c r="T1226" s="737">
        <f t="shared" si="573"/>
        <v>1</v>
      </c>
      <c r="U1226" s="2">
        <f t="shared" si="577"/>
        <v>0</v>
      </c>
      <c r="V1226" s="2">
        <f t="shared" si="578"/>
        <v>0</v>
      </c>
      <c r="W1226" s="2">
        <f t="shared" si="579"/>
        <v>57021.809730000001</v>
      </c>
      <c r="X1226" s="2">
        <f t="shared" si="575"/>
        <v>57021.809730000001</v>
      </c>
      <c r="Y1226" s="2">
        <f t="shared" si="580"/>
        <v>0</v>
      </c>
      <c r="Z1226" s="2">
        <f t="shared" si="581"/>
        <v>0</v>
      </c>
      <c r="AA1226" s="2">
        <f t="shared" si="582"/>
        <v>57021.809730000001</v>
      </c>
      <c r="AB1226" s="2">
        <f t="shared" si="576"/>
        <v>57021.809729999994</v>
      </c>
      <c r="AC1226" s="734">
        <v>57021.809729999994</v>
      </c>
      <c r="AD1226" s="625">
        <v>57021.809729999994</v>
      </c>
      <c r="AE1226" s="625">
        <v>57021.809729999994</v>
      </c>
      <c r="AF1226" s="625">
        <v>57021.809729999994</v>
      </c>
      <c r="AG1226" s="625">
        <v>57021.809729999994</v>
      </c>
      <c r="AH1226" s="625">
        <v>57021.809729999994</v>
      </c>
      <c r="AI1226" s="625">
        <v>57021.809729999994</v>
      </c>
      <c r="AJ1226" s="625">
        <v>57021.809729999994</v>
      </c>
      <c r="AK1226" s="625">
        <v>57021.809729999994</v>
      </c>
      <c r="AL1226" s="625">
        <v>57021.809729999994</v>
      </c>
      <c r="AM1226" s="625">
        <v>57021.809729999994</v>
      </c>
      <c r="AN1226" s="625">
        <v>57021.809729999994</v>
      </c>
      <c r="AO1226" s="625">
        <v>57021.809729999994</v>
      </c>
      <c r="AP1226" s="41" t="str">
        <f t="shared" si="585"/>
        <v>Reg AssetN</v>
      </c>
      <c r="AQ1226" s="41" t="str">
        <f t="shared" si="586"/>
        <v>Reg AssetNN8ASGA</v>
      </c>
      <c r="AR1226" s="41" t="str">
        <f t="shared" si="587"/>
        <v>N8ASGANCR</v>
      </c>
      <c r="CK1226" s="625"/>
    </row>
    <row r="1227" spans="1:89" s="41" customFormat="1" ht="12.75" customHeight="1">
      <c r="A1227" s="442" t="s">
        <v>746</v>
      </c>
      <c r="B1227" s="442" t="str">
        <f t="shared" si="584"/>
        <v>Reg Asset254270601104-TAXBE030451</v>
      </c>
      <c r="C1227" s="736">
        <v>254270</v>
      </c>
      <c r="D1227" s="738" t="s">
        <v>1450</v>
      </c>
      <c r="E1227" s="626" t="s">
        <v>1387</v>
      </c>
      <c r="F1227" s="626" t="str">
        <f t="shared" si="583"/>
        <v>OTH REGULATORY LIAB-SALE OF GENERATION ASSETS GAI</v>
      </c>
      <c r="G1227" s="626" t="s">
        <v>1451</v>
      </c>
      <c r="H1227" s="736" t="s">
        <v>1330</v>
      </c>
      <c r="I1227" s="442"/>
      <c r="J1227" s="442" t="s">
        <v>7</v>
      </c>
      <c r="K1227" s="442" t="str">
        <f t="shared" si="574"/>
        <v/>
      </c>
      <c r="L1227" s="736" t="s">
        <v>2432</v>
      </c>
      <c r="M1227" s="442" t="str">
        <f t="shared" si="572"/>
        <v>N</v>
      </c>
      <c r="N1227" s="442" t="str">
        <f>IF(L1227&lt;&gt;"",VLOOKUP(L1227,Categories!$B$2:$D$41,2,FALSE),IF(F1227&lt;&gt;"","No Cat",""))</f>
        <v>NRBASE</v>
      </c>
      <c r="O1227" s="442" t="str">
        <f>IF($L1227&lt;&gt;"",VLOOKUP($L1227,Categories!$B$2:$D$41,3,FALSE),IF($F1227&lt;&gt;"","No Cat",""))</f>
        <v>NM-2 ASGA</v>
      </c>
      <c r="P1227" s="736" t="s">
        <v>2468</v>
      </c>
      <c r="Q1227" s="442" t="str">
        <f>VLOOKUP($P1227,Allocators!$B$7:$F$19,5,FALSE)</f>
        <v>Not in Rate Base</v>
      </c>
      <c r="R1227" s="737">
        <f>VLOOKUP($P1227,Allocators!$B$7:$F$19,2,FALSE)</f>
        <v>0</v>
      </c>
      <c r="S1227" s="737">
        <f>VLOOKUP($P1227,Allocators!$B$7:$F$19,3,FALSE)</f>
        <v>0</v>
      </c>
      <c r="T1227" s="737">
        <f t="shared" si="573"/>
        <v>1</v>
      </c>
      <c r="U1227" s="2">
        <f t="shared" si="577"/>
        <v>0</v>
      </c>
      <c r="V1227" s="2">
        <f t="shared" si="578"/>
        <v>0</v>
      </c>
      <c r="W1227" s="2">
        <f t="shared" si="579"/>
        <v>-22453.177759999999</v>
      </c>
      <c r="X1227" s="2">
        <f t="shared" si="575"/>
        <v>-22453.177759999999</v>
      </c>
      <c r="Y1227" s="2">
        <f t="shared" si="580"/>
        <v>0</v>
      </c>
      <c r="Z1227" s="2">
        <f t="shared" si="581"/>
        <v>0</v>
      </c>
      <c r="AA1227" s="2">
        <f t="shared" si="582"/>
        <v>-22453.177759999999</v>
      </c>
      <c r="AB1227" s="2">
        <f t="shared" si="576"/>
        <v>-22453.177760000002</v>
      </c>
      <c r="AC1227" s="734">
        <v>-22453.177760000002</v>
      </c>
      <c r="AD1227" s="625">
        <v>-22453.177760000002</v>
      </c>
      <c r="AE1227" s="625">
        <v>-22453.177760000002</v>
      </c>
      <c r="AF1227" s="625">
        <v>-22453.177760000002</v>
      </c>
      <c r="AG1227" s="625">
        <v>-22453.177760000002</v>
      </c>
      <c r="AH1227" s="625">
        <v>-22453.177760000002</v>
      </c>
      <c r="AI1227" s="625">
        <v>-22453.177760000002</v>
      </c>
      <c r="AJ1227" s="625">
        <v>-22453.177760000002</v>
      </c>
      <c r="AK1227" s="625">
        <v>-22453.177760000002</v>
      </c>
      <c r="AL1227" s="625">
        <v>-22453.177760000002</v>
      </c>
      <c r="AM1227" s="625">
        <v>-22453.177760000002</v>
      </c>
      <c r="AN1227" s="625">
        <v>-22453.177760000002</v>
      </c>
      <c r="AO1227" s="625">
        <v>-22453.177760000002</v>
      </c>
      <c r="AP1227" s="41" t="str">
        <f t="shared" si="585"/>
        <v>Reg AssetN</v>
      </c>
      <c r="AQ1227" s="41" t="str">
        <f t="shared" si="586"/>
        <v>Reg AssetNN8ASGA</v>
      </c>
      <c r="AR1227" s="41" t="str">
        <f t="shared" si="587"/>
        <v>N8ASGANCR</v>
      </c>
      <c r="CK1227" s="625"/>
    </row>
    <row r="1228" spans="1:89" s="41" customFormat="1" ht="12.75" customHeight="1">
      <c r="A1228" s="442" t="s">
        <v>746</v>
      </c>
      <c r="B1228" s="442" t="str">
        <f t="shared" si="584"/>
        <v>Reg Asset254270601113/ZZ.GIN02/03BE030426</v>
      </c>
      <c r="C1228" s="736">
        <v>254270</v>
      </c>
      <c r="D1228" s="738" t="s">
        <v>1452</v>
      </c>
      <c r="E1228" s="626" t="s">
        <v>1328</v>
      </c>
      <c r="F1228" s="626" t="str">
        <f t="shared" si="583"/>
        <v>OTH REGULATORY LIAB-SALE OF GENERATION ASSETS GAI</v>
      </c>
      <c r="G1228" s="626" t="s">
        <v>1453</v>
      </c>
      <c r="H1228" s="736" t="s">
        <v>1330</v>
      </c>
      <c r="I1228" s="442"/>
      <c r="J1228" s="442" t="s">
        <v>7</v>
      </c>
      <c r="K1228" s="442" t="str">
        <f t="shared" si="574"/>
        <v/>
      </c>
      <c r="L1228" s="736" t="s">
        <v>2432</v>
      </c>
      <c r="M1228" s="442" t="str">
        <f t="shared" ref="M1228:M1299" si="588">LEFT(L1228,1)</f>
        <v>N</v>
      </c>
      <c r="N1228" s="442" t="str">
        <f>IF(L1228&lt;&gt;"",VLOOKUP(L1228,Categories!$B$2:$D$41,2,FALSE),IF(F1228&lt;&gt;"","No Cat",""))</f>
        <v>NRBASE</v>
      </c>
      <c r="O1228" s="442" t="str">
        <f>IF($L1228&lt;&gt;"",VLOOKUP($L1228,Categories!$B$2:$D$41,3,FALSE),IF($F1228&lt;&gt;"","No Cat",""))</f>
        <v>NM-2 ASGA</v>
      </c>
      <c r="P1228" s="736" t="s">
        <v>2468</v>
      </c>
      <c r="Q1228" s="442" t="str">
        <f>VLOOKUP($P1228,Allocators!$B$7:$F$19,5,FALSE)</f>
        <v>Not in Rate Base</v>
      </c>
      <c r="R1228" s="737">
        <f>VLOOKUP($P1228,Allocators!$B$7:$F$19,2,FALSE)</f>
        <v>0</v>
      </c>
      <c r="S1228" s="737">
        <f>VLOOKUP($P1228,Allocators!$B$7:$F$19,3,FALSE)</f>
        <v>0</v>
      </c>
      <c r="T1228" s="737">
        <f t="shared" ref="T1228:T1299" si="589">IF(P1228="N",1,"0.0%")</f>
        <v>1</v>
      </c>
      <c r="U1228" s="2">
        <f t="shared" si="577"/>
        <v>0</v>
      </c>
      <c r="V1228" s="2">
        <f t="shared" si="578"/>
        <v>0</v>
      </c>
      <c r="W1228" s="2">
        <f t="shared" si="579"/>
        <v>-1938.27153</v>
      </c>
      <c r="X1228" s="2">
        <f t="shared" si="575"/>
        <v>-1938.27153</v>
      </c>
      <c r="Y1228" s="2">
        <f t="shared" si="580"/>
        <v>0</v>
      </c>
      <c r="Z1228" s="2">
        <f t="shared" si="581"/>
        <v>0</v>
      </c>
      <c r="AA1228" s="2">
        <f t="shared" si="582"/>
        <v>-1938.27153</v>
      </c>
      <c r="AB1228" s="2">
        <f t="shared" si="576"/>
        <v>-1938.27153</v>
      </c>
      <c r="AC1228" s="734">
        <v>-1938.27153</v>
      </c>
      <c r="AD1228" s="625">
        <v>-1938.27153</v>
      </c>
      <c r="AE1228" s="625">
        <v>-1938.27153</v>
      </c>
      <c r="AF1228" s="625">
        <v>-1938.27153</v>
      </c>
      <c r="AG1228" s="625">
        <v>-1938.27153</v>
      </c>
      <c r="AH1228" s="625">
        <v>-1938.27153</v>
      </c>
      <c r="AI1228" s="625">
        <v>-1938.27153</v>
      </c>
      <c r="AJ1228" s="625">
        <v>-1938.27153</v>
      </c>
      <c r="AK1228" s="625">
        <v>-1938.27153</v>
      </c>
      <c r="AL1228" s="625">
        <v>-1938.27153</v>
      </c>
      <c r="AM1228" s="625">
        <v>-1938.27153</v>
      </c>
      <c r="AN1228" s="625">
        <v>-1938.27153</v>
      </c>
      <c r="AO1228" s="625">
        <v>-1938.27153</v>
      </c>
      <c r="AP1228" s="41" t="str">
        <f t="shared" si="585"/>
        <v>Reg AssetN</v>
      </c>
      <c r="AQ1228" s="41" t="str">
        <f t="shared" si="586"/>
        <v>Reg AssetNN8ASGA</v>
      </c>
      <c r="AR1228" s="41" t="str">
        <f t="shared" si="587"/>
        <v>N8ASGANCR</v>
      </c>
      <c r="CK1228" s="625"/>
    </row>
    <row r="1229" spans="1:89" s="41" customFormat="1" ht="12.75" customHeight="1">
      <c r="A1229" s="442" t="s">
        <v>746</v>
      </c>
      <c r="B1229" s="442" t="str">
        <f t="shared" si="584"/>
        <v>Reg Asset254270601113-TaxBE030426</v>
      </c>
      <c r="C1229" s="736">
        <v>254270</v>
      </c>
      <c r="D1229" s="738" t="s">
        <v>1454</v>
      </c>
      <c r="E1229" s="626" t="s">
        <v>1328</v>
      </c>
      <c r="F1229" s="626" t="str">
        <f t="shared" si="583"/>
        <v>OTH REGULATORY LIAB-SALE OF GENERATION ASSETS GAI</v>
      </c>
      <c r="G1229" s="626" t="s">
        <v>1455</v>
      </c>
      <c r="H1229" s="736" t="s">
        <v>1330</v>
      </c>
      <c r="I1229" s="442"/>
      <c r="J1229" s="442" t="s">
        <v>7</v>
      </c>
      <c r="K1229" s="442" t="str">
        <f t="shared" ref="K1229:K1298" si="590">IF(L1229="N3","Y","")</f>
        <v/>
      </c>
      <c r="L1229" s="736" t="s">
        <v>2432</v>
      </c>
      <c r="M1229" s="442" t="str">
        <f t="shared" si="588"/>
        <v>N</v>
      </c>
      <c r="N1229" s="442" t="str">
        <f>IF(L1229&lt;&gt;"",VLOOKUP(L1229,Categories!$B$2:$D$41,2,FALSE),IF(F1229&lt;&gt;"","No Cat",""))</f>
        <v>NRBASE</v>
      </c>
      <c r="O1229" s="442" t="str">
        <f>IF($L1229&lt;&gt;"",VLOOKUP($L1229,Categories!$B$2:$D$41,3,FALSE),IF($F1229&lt;&gt;"","No Cat",""))</f>
        <v>NM-2 ASGA</v>
      </c>
      <c r="P1229" s="736" t="s">
        <v>2468</v>
      </c>
      <c r="Q1229" s="442" t="str">
        <f>VLOOKUP($P1229,Allocators!$B$7:$F$19,5,FALSE)</f>
        <v>Not in Rate Base</v>
      </c>
      <c r="R1229" s="737">
        <f>VLOOKUP($P1229,Allocators!$B$7:$F$19,2,FALSE)</f>
        <v>0</v>
      </c>
      <c r="S1229" s="737">
        <f>VLOOKUP($P1229,Allocators!$B$7:$F$19,3,FALSE)</f>
        <v>0</v>
      </c>
      <c r="T1229" s="737">
        <f t="shared" si="589"/>
        <v>1</v>
      </c>
      <c r="U1229" s="2">
        <f t="shared" si="577"/>
        <v>0</v>
      </c>
      <c r="V1229" s="2">
        <f t="shared" si="578"/>
        <v>0</v>
      </c>
      <c r="W1229" s="2">
        <f t="shared" si="579"/>
        <v>791.19579999999996</v>
      </c>
      <c r="X1229" s="2">
        <f t="shared" si="575"/>
        <v>791.19579999999996</v>
      </c>
      <c r="Y1229" s="2">
        <f t="shared" si="580"/>
        <v>0</v>
      </c>
      <c r="Z1229" s="2">
        <f t="shared" si="581"/>
        <v>0</v>
      </c>
      <c r="AA1229" s="2">
        <f t="shared" si="582"/>
        <v>791.19579999999996</v>
      </c>
      <c r="AB1229" s="2">
        <f t="shared" si="576"/>
        <v>791.19580000000008</v>
      </c>
      <c r="AC1229" s="734">
        <v>791.19580000000008</v>
      </c>
      <c r="AD1229" s="625">
        <v>791.19580000000008</v>
      </c>
      <c r="AE1229" s="625">
        <v>791.19580000000008</v>
      </c>
      <c r="AF1229" s="625">
        <v>791.19580000000008</v>
      </c>
      <c r="AG1229" s="625">
        <v>791.19580000000008</v>
      </c>
      <c r="AH1229" s="625">
        <v>791.19580000000008</v>
      </c>
      <c r="AI1229" s="625">
        <v>791.19580000000008</v>
      </c>
      <c r="AJ1229" s="625">
        <v>791.19580000000008</v>
      </c>
      <c r="AK1229" s="625">
        <v>791.19580000000008</v>
      </c>
      <c r="AL1229" s="625">
        <v>791.19580000000008</v>
      </c>
      <c r="AM1229" s="625">
        <v>791.19580000000008</v>
      </c>
      <c r="AN1229" s="625">
        <v>791.19580000000008</v>
      </c>
      <c r="AO1229" s="625">
        <v>791.19580000000008</v>
      </c>
      <c r="AP1229" s="41" t="str">
        <f t="shared" si="585"/>
        <v>Reg AssetN</v>
      </c>
      <c r="AQ1229" s="41" t="str">
        <f t="shared" si="586"/>
        <v>Reg AssetNN8ASGA</v>
      </c>
      <c r="AR1229" s="41" t="str">
        <f t="shared" si="587"/>
        <v>N8ASGANCR</v>
      </c>
      <c r="CK1229" s="625"/>
    </row>
    <row r="1230" spans="1:89" s="41" customFormat="1" ht="12.75" customHeight="1">
      <c r="A1230" s="442" t="s">
        <v>746</v>
      </c>
      <c r="B1230" s="442" t="str">
        <f t="shared" si="584"/>
        <v>Reg Asset254270601133BE030451</v>
      </c>
      <c r="C1230" s="736">
        <v>254270</v>
      </c>
      <c r="D1230" s="738">
        <v>601133</v>
      </c>
      <c r="E1230" s="626" t="s">
        <v>1387</v>
      </c>
      <c r="F1230" s="626" t="str">
        <f t="shared" si="583"/>
        <v>OTH REGULATORY LIAB-SALE OF GENERATION ASSETS GAI</v>
      </c>
      <c r="G1230" s="626" t="s">
        <v>1456</v>
      </c>
      <c r="H1230" s="736" t="s">
        <v>1330</v>
      </c>
      <c r="I1230" s="442"/>
      <c r="J1230" s="442" t="s">
        <v>7</v>
      </c>
      <c r="K1230" s="442" t="str">
        <f t="shared" si="590"/>
        <v/>
      </c>
      <c r="L1230" s="736" t="s">
        <v>2432</v>
      </c>
      <c r="M1230" s="442" t="str">
        <f t="shared" si="588"/>
        <v>N</v>
      </c>
      <c r="N1230" s="442" t="str">
        <f>IF(L1230&lt;&gt;"",VLOOKUP(L1230,Categories!$B$2:$D$41,2,FALSE),IF(F1230&lt;&gt;"","No Cat",""))</f>
        <v>NRBASE</v>
      </c>
      <c r="O1230" s="442" t="str">
        <f>IF($L1230&lt;&gt;"",VLOOKUP($L1230,Categories!$B$2:$D$41,3,FALSE),IF($F1230&lt;&gt;"","No Cat",""))</f>
        <v>NM-2 ASGA</v>
      </c>
      <c r="P1230" s="736" t="s">
        <v>2468</v>
      </c>
      <c r="Q1230" s="442" t="str">
        <f>VLOOKUP($P1230,Allocators!$B$7:$F$19,5,FALSE)</f>
        <v>Not in Rate Base</v>
      </c>
      <c r="R1230" s="737">
        <f>VLOOKUP($P1230,Allocators!$B$7:$F$19,2,FALSE)</f>
        <v>0</v>
      </c>
      <c r="S1230" s="737">
        <f>VLOOKUP($P1230,Allocators!$B$7:$F$19,3,FALSE)</f>
        <v>0</v>
      </c>
      <c r="T1230" s="737">
        <f t="shared" si="589"/>
        <v>1</v>
      </c>
      <c r="U1230" s="2">
        <f t="shared" si="577"/>
        <v>0</v>
      </c>
      <c r="V1230" s="2">
        <f t="shared" si="578"/>
        <v>0</v>
      </c>
      <c r="W1230" s="2">
        <f t="shared" si="579"/>
        <v>56950.896840000001</v>
      </c>
      <c r="X1230" s="2">
        <f t="shared" si="575"/>
        <v>56950.896840000001</v>
      </c>
      <c r="Y1230" s="2">
        <f t="shared" si="580"/>
        <v>0</v>
      </c>
      <c r="Z1230" s="2">
        <f t="shared" si="581"/>
        <v>0</v>
      </c>
      <c r="AA1230" s="2">
        <f t="shared" si="582"/>
        <v>56950.896840000001</v>
      </c>
      <c r="AB1230" s="2">
        <f t="shared" si="576"/>
        <v>56950.896840000001</v>
      </c>
      <c r="AC1230" s="734">
        <v>56950.896840000001</v>
      </c>
      <c r="AD1230" s="625">
        <v>56950.896840000001</v>
      </c>
      <c r="AE1230" s="625">
        <v>56950.896840000001</v>
      </c>
      <c r="AF1230" s="625">
        <v>56950.896840000001</v>
      </c>
      <c r="AG1230" s="625">
        <v>56950.896840000001</v>
      </c>
      <c r="AH1230" s="625">
        <v>56950.896840000001</v>
      </c>
      <c r="AI1230" s="625">
        <v>56950.896840000001</v>
      </c>
      <c r="AJ1230" s="625">
        <v>56950.896840000001</v>
      </c>
      <c r="AK1230" s="625">
        <v>56950.896840000001</v>
      </c>
      <c r="AL1230" s="625">
        <v>56950.896840000001</v>
      </c>
      <c r="AM1230" s="625">
        <v>56950.896840000001</v>
      </c>
      <c r="AN1230" s="625">
        <v>56950.896840000001</v>
      </c>
      <c r="AO1230" s="625">
        <v>56950.896840000001</v>
      </c>
      <c r="AP1230" s="41" t="str">
        <f t="shared" si="585"/>
        <v>Reg AssetN</v>
      </c>
      <c r="AQ1230" s="41" t="str">
        <f t="shared" si="586"/>
        <v>Reg AssetNN8ASGA</v>
      </c>
      <c r="AR1230" s="41" t="str">
        <f t="shared" si="587"/>
        <v>N8ASGANCR</v>
      </c>
      <c r="CK1230" s="625"/>
    </row>
    <row r="1231" spans="1:89" s="41" customFormat="1" ht="12.75" customHeight="1">
      <c r="A1231" s="442" t="s">
        <v>746</v>
      </c>
      <c r="B1231" s="442" t="str">
        <f t="shared" si="584"/>
        <v>Reg Asset254270601133-TaxBE030451</v>
      </c>
      <c r="C1231" s="736">
        <v>254270</v>
      </c>
      <c r="D1231" s="738" t="s">
        <v>1457</v>
      </c>
      <c r="E1231" s="626" t="s">
        <v>1387</v>
      </c>
      <c r="F1231" s="626" t="str">
        <f t="shared" si="583"/>
        <v>OTH REGULATORY LIAB-SALE OF GENERATION ASSETS GAI</v>
      </c>
      <c r="G1231" s="626" t="s">
        <v>1458</v>
      </c>
      <c r="H1231" s="736" t="s">
        <v>1330</v>
      </c>
      <c r="I1231" s="442"/>
      <c r="J1231" s="442" t="s">
        <v>7</v>
      </c>
      <c r="K1231" s="442" t="str">
        <f t="shared" si="590"/>
        <v/>
      </c>
      <c r="L1231" s="736" t="s">
        <v>2432</v>
      </c>
      <c r="M1231" s="442" t="str">
        <f t="shared" si="588"/>
        <v>N</v>
      </c>
      <c r="N1231" s="442" t="str">
        <f>IF(L1231&lt;&gt;"",VLOOKUP(L1231,Categories!$B$2:$D$41,2,FALSE),IF(F1231&lt;&gt;"","No Cat",""))</f>
        <v>NRBASE</v>
      </c>
      <c r="O1231" s="442" t="str">
        <f>IF($L1231&lt;&gt;"",VLOOKUP($L1231,Categories!$B$2:$D$41,3,FALSE),IF($F1231&lt;&gt;"","No Cat",""))</f>
        <v>NM-2 ASGA</v>
      </c>
      <c r="P1231" s="736" t="s">
        <v>2468</v>
      </c>
      <c r="Q1231" s="442" t="str">
        <f>VLOOKUP($P1231,Allocators!$B$7:$F$19,5,FALSE)</f>
        <v>Not in Rate Base</v>
      </c>
      <c r="R1231" s="737">
        <f>VLOOKUP($P1231,Allocators!$B$7:$F$19,2,FALSE)</f>
        <v>0</v>
      </c>
      <c r="S1231" s="737">
        <f>VLOOKUP($P1231,Allocators!$B$7:$F$19,3,FALSE)</f>
        <v>0</v>
      </c>
      <c r="T1231" s="737">
        <f t="shared" si="589"/>
        <v>1</v>
      </c>
      <c r="U1231" s="2">
        <f t="shared" si="577"/>
        <v>0</v>
      </c>
      <c r="V1231" s="2">
        <f t="shared" si="578"/>
        <v>0</v>
      </c>
      <c r="W1231" s="2">
        <f t="shared" si="579"/>
        <v>-23585.397349999999</v>
      </c>
      <c r="X1231" s="2">
        <f t="shared" ref="X1231:X1294" si="591">IF(ISERROR(ROUND((SUM(AC1231:AO1231)-((AC1231+AO1231))/2)/12,15)),"",ROUND((SUM(AC1231:AO1231)-((AC1231+AO1231))/2)/12,15))</f>
        <v>-23585.397349999999</v>
      </c>
      <c r="Y1231" s="2">
        <f t="shared" si="580"/>
        <v>0</v>
      </c>
      <c r="Z1231" s="2">
        <f t="shared" si="581"/>
        <v>0</v>
      </c>
      <c r="AA1231" s="2">
        <f t="shared" si="582"/>
        <v>-23585.397349999999</v>
      </c>
      <c r="AB1231" s="2">
        <f t="shared" ref="AB1231:AB1294" si="592">IF(AO1231="",0,+AO1231)</f>
        <v>-23585.397349999999</v>
      </c>
      <c r="AC1231" s="734">
        <v>-23585.397349999999</v>
      </c>
      <c r="AD1231" s="625">
        <v>-23585.397349999999</v>
      </c>
      <c r="AE1231" s="625">
        <v>-23585.397349999999</v>
      </c>
      <c r="AF1231" s="625">
        <v>-23585.397349999999</v>
      </c>
      <c r="AG1231" s="625">
        <v>-23585.397349999999</v>
      </c>
      <c r="AH1231" s="625">
        <v>-23585.397349999999</v>
      </c>
      <c r="AI1231" s="625">
        <v>-23585.397349999999</v>
      </c>
      <c r="AJ1231" s="625">
        <v>-23585.397349999999</v>
      </c>
      <c r="AK1231" s="625">
        <v>-23585.397349999999</v>
      </c>
      <c r="AL1231" s="625">
        <v>-23585.397349999999</v>
      </c>
      <c r="AM1231" s="625">
        <v>-23585.397349999999</v>
      </c>
      <c r="AN1231" s="625">
        <v>-23585.397349999999</v>
      </c>
      <c r="AO1231" s="625">
        <v>-23585.397349999999</v>
      </c>
      <c r="AP1231" s="41" t="str">
        <f t="shared" si="585"/>
        <v>Reg AssetN</v>
      </c>
      <c r="AQ1231" s="41" t="str">
        <f t="shared" si="586"/>
        <v>Reg AssetNN8ASGA</v>
      </c>
      <c r="AR1231" s="41" t="str">
        <f t="shared" si="587"/>
        <v>N8ASGANCR</v>
      </c>
      <c r="CK1231" s="625"/>
    </row>
    <row r="1232" spans="1:89" s="41" customFormat="1" ht="12.75" customHeight="1">
      <c r="A1232" s="442" t="s">
        <v>746</v>
      </c>
      <c r="B1232" s="442" t="str">
        <f t="shared" si="584"/>
        <v>Reg Asset254270601135BE030369</v>
      </c>
      <c r="C1232" s="736">
        <v>254270</v>
      </c>
      <c r="D1232" s="738">
        <v>601135</v>
      </c>
      <c r="E1232" s="626" t="s">
        <v>1459</v>
      </c>
      <c r="F1232" s="626" t="str">
        <f t="shared" si="583"/>
        <v>OTH REGULATORY LIAB-SALE OF GENERATION ASSETS GAI</v>
      </c>
      <c r="G1232" s="626" t="s">
        <v>1460</v>
      </c>
      <c r="H1232" s="736" t="s">
        <v>1330</v>
      </c>
      <c r="I1232" s="442"/>
      <c r="J1232" s="442" t="s">
        <v>7</v>
      </c>
      <c r="K1232" s="442" t="str">
        <f t="shared" si="590"/>
        <v/>
      </c>
      <c r="L1232" s="736" t="s">
        <v>2432</v>
      </c>
      <c r="M1232" s="442" t="str">
        <f t="shared" si="588"/>
        <v>N</v>
      </c>
      <c r="N1232" s="442" t="str">
        <f>IF(L1232&lt;&gt;"",VLOOKUP(L1232,Categories!$B$2:$D$41,2,FALSE),IF(F1232&lt;&gt;"","No Cat",""))</f>
        <v>NRBASE</v>
      </c>
      <c r="O1232" s="442" t="str">
        <f>IF($L1232&lt;&gt;"",VLOOKUP($L1232,Categories!$B$2:$D$41,3,FALSE),IF($F1232&lt;&gt;"","No Cat",""))</f>
        <v>NM-2 ASGA</v>
      </c>
      <c r="P1232" s="736" t="s">
        <v>2468</v>
      </c>
      <c r="Q1232" s="442" t="str">
        <f>VLOOKUP($P1232,Allocators!$B$7:$F$19,5,FALSE)</f>
        <v>Not in Rate Base</v>
      </c>
      <c r="R1232" s="737">
        <f>VLOOKUP($P1232,Allocators!$B$7:$F$19,2,FALSE)</f>
        <v>0</v>
      </c>
      <c r="S1232" s="737">
        <f>VLOOKUP($P1232,Allocators!$B$7:$F$19,3,FALSE)</f>
        <v>0</v>
      </c>
      <c r="T1232" s="737">
        <f t="shared" si="589"/>
        <v>1</v>
      </c>
      <c r="U1232" s="2">
        <f t="shared" si="577"/>
        <v>0</v>
      </c>
      <c r="V1232" s="2">
        <f t="shared" si="578"/>
        <v>0</v>
      </c>
      <c r="W1232" s="2">
        <f t="shared" si="579"/>
        <v>29001.178</v>
      </c>
      <c r="X1232" s="2">
        <f t="shared" si="591"/>
        <v>29001.178</v>
      </c>
      <c r="Y1232" s="2">
        <f t="shared" si="580"/>
        <v>0</v>
      </c>
      <c r="Z1232" s="2">
        <f t="shared" si="581"/>
        <v>0</v>
      </c>
      <c r="AA1232" s="2">
        <f t="shared" si="582"/>
        <v>29001.178</v>
      </c>
      <c r="AB1232" s="2">
        <f t="shared" si="592"/>
        <v>29001.178</v>
      </c>
      <c r="AC1232" s="734">
        <v>29001.178</v>
      </c>
      <c r="AD1232" s="625">
        <v>29001.178</v>
      </c>
      <c r="AE1232" s="625">
        <v>29001.178</v>
      </c>
      <c r="AF1232" s="625">
        <v>29001.178</v>
      </c>
      <c r="AG1232" s="625">
        <v>29001.178</v>
      </c>
      <c r="AH1232" s="625">
        <v>29001.178</v>
      </c>
      <c r="AI1232" s="625">
        <v>29001.178</v>
      </c>
      <c r="AJ1232" s="625">
        <v>29001.178</v>
      </c>
      <c r="AK1232" s="625">
        <v>29001.178</v>
      </c>
      <c r="AL1232" s="625">
        <v>29001.178</v>
      </c>
      <c r="AM1232" s="625">
        <v>29001.178</v>
      </c>
      <c r="AN1232" s="625">
        <v>29001.178</v>
      </c>
      <c r="AO1232" s="625">
        <v>29001.178</v>
      </c>
      <c r="AP1232" s="41" t="str">
        <f t="shared" si="585"/>
        <v>Reg AssetN</v>
      </c>
      <c r="AQ1232" s="41" t="str">
        <f t="shared" si="586"/>
        <v>Reg AssetNN8ASGA</v>
      </c>
      <c r="AR1232" s="41" t="str">
        <f t="shared" si="587"/>
        <v>N8ASGANCR</v>
      </c>
      <c r="CK1232" s="625"/>
    </row>
    <row r="1233" spans="1:89" s="41" customFormat="1" ht="12.75" customHeight="1">
      <c r="A1233" s="442" t="s">
        <v>746</v>
      </c>
      <c r="B1233" s="442" t="str">
        <f t="shared" si="584"/>
        <v>Reg Asset254270601135-TaxBE030369</v>
      </c>
      <c r="C1233" s="736">
        <v>254270</v>
      </c>
      <c r="D1233" s="738" t="s">
        <v>1461</v>
      </c>
      <c r="E1233" s="626" t="s">
        <v>1459</v>
      </c>
      <c r="F1233" s="626" t="str">
        <f t="shared" si="583"/>
        <v>OTH REGULATORY LIAB-SALE OF GENERATION ASSETS GAI</v>
      </c>
      <c r="G1233" s="626" t="s">
        <v>1462</v>
      </c>
      <c r="H1233" s="736" t="s">
        <v>1330</v>
      </c>
      <c r="I1233" s="442"/>
      <c r="J1233" s="442" t="s">
        <v>7</v>
      </c>
      <c r="K1233" s="442" t="str">
        <f t="shared" si="590"/>
        <v/>
      </c>
      <c r="L1233" s="736" t="s">
        <v>2432</v>
      </c>
      <c r="M1233" s="442" t="str">
        <f t="shared" si="588"/>
        <v>N</v>
      </c>
      <c r="N1233" s="442" t="str">
        <f>IF(L1233&lt;&gt;"",VLOOKUP(L1233,Categories!$B$2:$D$41,2,FALSE),IF(F1233&lt;&gt;"","No Cat",""))</f>
        <v>NRBASE</v>
      </c>
      <c r="O1233" s="442" t="str">
        <f>IF($L1233&lt;&gt;"",VLOOKUP($L1233,Categories!$B$2:$D$41,3,FALSE),IF($F1233&lt;&gt;"","No Cat",""))</f>
        <v>NM-2 ASGA</v>
      </c>
      <c r="P1233" s="736" t="s">
        <v>2468</v>
      </c>
      <c r="Q1233" s="442" t="str">
        <f>VLOOKUP($P1233,Allocators!$B$7:$F$19,5,FALSE)</f>
        <v>Not in Rate Base</v>
      </c>
      <c r="R1233" s="737">
        <f>VLOOKUP($P1233,Allocators!$B$7:$F$19,2,FALSE)</f>
        <v>0</v>
      </c>
      <c r="S1233" s="737">
        <f>VLOOKUP($P1233,Allocators!$B$7:$F$19,3,FALSE)</f>
        <v>0</v>
      </c>
      <c r="T1233" s="737">
        <f t="shared" si="589"/>
        <v>1</v>
      </c>
      <c r="U1233" s="2">
        <f t="shared" si="577"/>
        <v>0</v>
      </c>
      <c r="V1233" s="2">
        <f t="shared" si="578"/>
        <v>0</v>
      </c>
      <c r="W1233" s="2">
        <f t="shared" si="579"/>
        <v>-11488.81667</v>
      </c>
      <c r="X1233" s="2">
        <f t="shared" si="591"/>
        <v>-11488.81667</v>
      </c>
      <c r="Y1233" s="2">
        <f t="shared" si="580"/>
        <v>0</v>
      </c>
      <c r="Z1233" s="2">
        <f t="shared" si="581"/>
        <v>0</v>
      </c>
      <c r="AA1233" s="2">
        <f t="shared" si="582"/>
        <v>-11488.81667</v>
      </c>
      <c r="AB1233" s="2">
        <f t="shared" si="592"/>
        <v>-11488.816670000002</v>
      </c>
      <c r="AC1233" s="734">
        <v>-11488.816670000002</v>
      </c>
      <c r="AD1233" s="625">
        <v>-11488.816670000002</v>
      </c>
      <c r="AE1233" s="625">
        <v>-11488.816670000002</v>
      </c>
      <c r="AF1233" s="625">
        <v>-11488.816670000002</v>
      </c>
      <c r="AG1233" s="625">
        <v>-11488.816670000002</v>
      </c>
      <c r="AH1233" s="625">
        <v>-11488.816670000002</v>
      </c>
      <c r="AI1233" s="625">
        <v>-11488.816670000002</v>
      </c>
      <c r="AJ1233" s="625">
        <v>-11488.816670000002</v>
      </c>
      <c r="AK1233" s="625">
        <v>-11488.816670000002</v>
      </c>
      <c r="AL1233" s="625">
        <v>-11488.816670000002</v>
      </c>
      <c r="AM1233" s="625">
        <v>-11488.816670000002</v>
      </c>
      <c r="AN1233" s="625">
        <v>-11488.816670000002</v>
      </c>
      <c r="AO1233" s="625">
        <v>-11488.816670000002</v>
      </c>
      <c r="AP1233" s="41" t="str">
        <f t="shared" si="585"/>
        <v>Reg AssetN</v>
      </c>
      <c r="AQ1233" s="41" t="str">
        <f t="shared" si="586"/>
        <v>Reg AssetNN8ASGA</v>
      </c>
      <c r="AR1233" s="41" t="str">
        <f t="shared" si="587"/>
        <v>N8ASGANCR</v>
      </c>
      <c r="CK1233" s="625"/>
    </row>
    <row r="1234" spans="1:89" s="41" customFormat="1" ht="12.75" customHeight="1">
      <c r="A1234" s="442" t="s">
        <v>746</v>
      </c>
      <c r="B1234" s="442" t="str">
        <f t="shared" si="584"/>
        <v>Reg Asset254270601082-09-TAXBT010157</v>
      </c>
      <c r="C1234" s="736">
        <v>254270</v>
      </c>
      <c r="D1234" s="738" t="s">
        <v>1464</v>
      </c>
      <c r="E1234" s="626" t="s">
        <v>1463</v>
      </c>
      <c r="F1234" s="626" t="str">
        <f t="shared" si="583"/>
        <v>OTH REGULATORY LIAB-SALE OF GENERATION ASSETS GAI</v>
      </c>
      <c r="G1234" s="626" t="s">
        <v>1465</v>
      </c>
      <c r="H1234" s="736" t="s">
        <v>1330</v>
      </c>
      <c r="I1234" s="442"/>
      <c r="J1234" s="442" t="s">
        <v>7</v>
      </c>
      <c r="K1234" s="442" t="str">
        <f t="shared" si="590"/>
        <v/>
      </c>
      <c r="L1234" s="736" t="s">
        <v>2432</v>
      </c>
      <c r="M1234" s="442" t="str">
        <f t="shared" si="588"/>
        <v>N</v>
      </c>
      <c r="N1234" s="442" t="str">
        <f>IF(L1234&lt;&gt;"",VLOOKUP(L1234,Categories!$B$2:$D$41,2,FALSE),IF(F1234&lt;&gt;"","No Cat",""))</f>
        <v>NRBASE</v>
      </c>
      <c r="O1234" s="442" t="str">
        <f>IF($L1234&lt;&gt;"",VLOOKUP($L1234,Categories!$B$2:$D$41,3,FALSE),IF($F1234&lt;&gt;"","No Cat",""))</f>
        <v>NM-2 ASGA</v>
      </c>
      <c r="P1234" s="736" t="s">
        <v>2468</v>
      </c>
      <c r="Q1234" s="442" t="str">
        <f>VLOOKUP($P1234,Allocators!$B$7:$F$19,5,FALSE)</f>
        <v>Not in Rate Base</v>
      </c>
      <c r="R1234" s="737">
        <f>VLOOKUP($P1234,Allocators!$B$7:$F$19,2,FALSE)</f>
        <v>0</v>
      </c>
      <c r="S1234" s="737">
        <f>VLOOKUP($P1234,Allocators!$B$7:$F$19,3,FALSE)</f>
        <v>0</v>
      </c>
      <c r="T1234" s="737">
        <f t="shared" si="589"/>
        <v>1</v>
      </c>
      <c r="U1234" s="2">
        <f t="shared" si="577"/>
        <v>0</v>
      </c>
      <c r="V1234" s="2">
        <f t="shared" si="578"/>
        <v>0</v>
      </c>
      <c r="W1234" s="2">
        <f t="shared" si="579"/>
        <v>-151.41014999999999</v>
      </c>
      <c r="X1234" s="2">
        <f t="shared" si="591"/>
        <v>-151.41014999999999</v>
      </c>
      <c r="Y1234" s="2">
        <f t="shared" si="580"/>
        <v>0</v>
      </c>
      <c r="Z1234" s="2">
        <f t="shared" si="581"/>
        <v>0</v>
      </c>
      <c r="AA1234" s="2">
        <f t="shared" si="582"/>
        <v>-151.41014999999999</v>
      </c>
      <c r="AB1234" s="2">
        <f t="shared" si="592"/>
        <v>-151.41014999999999</v>
      </c>
      <c r="AC1234" s="734">
        <v>-151.41014999999999</v>
      </c>
      <c r="AD1234" s="625">
        <v>-151.41014999999999</v>
      </c>
      <c r="AE1234" s="625">
        <v>-151.41014999999999</v>
      </c>
      <c r="AF1234" s="625">
        <v>-151.41014999999999</v>
      </c>
      <c r="AG1234" s="625">
        <v>-151.41014999999999</v>
      </c>
      <c r="AH1234" s="625">
        <v>-151.41014999999999</v>
      </c>
      <c r="AI1234" s="625">
        <v>-151.41014999999999</v>
      </c>
      <c r="AJ1234" s="625">
        <v>-151.41014999999999</v>
      </c>
      <c r="AK1234" s="625">
        <v>-151.41014999999999</v>
      </c>
      <c r="AL1234" s="625">
        <v>-151.41014999999999</v>
      </c>
      <c r="AM1234" s="625">
        <v>-151.41014999999999</v>
      </c>
      <c r="AN1234" s="625">
        <v>-151.41014999999999</v>
      </c>
      <c r="AO1234" s="625">
        <v>-151.41014999999999</v>
      </c>
      <c r="AP1234" s="41" t="str">
        <f t="shared" si="585"/>
        <v>Reg AssetN</v>
      </c>
      <c r="AQ1234" s="41" t="str">
        <f t="shared" si="586"/>
        <v>Reg AssetNN8ASGA</v>
      </c>
      <c r="AR1234" s="41" t="str">
        <f t="shared" si="587"/>
        <v>N8ASGANCR</v>
      </c>
      <c r="CK1234" s="625"/>
    </row>
    <row r="1235" spans="1:89" s="41" customFormat="1" ht="12.75" customHeight="1">
      <c r="A1235" s="25" t="s">
        <v>746</v>
      </c>
      <c r="B1235" s="25" t="str">
        <f t="shared" si="584"/>
        <v>Reg Asset254270601200BE030905</v>
      </c>
      <c r="C1235" s="736">
        <v>254270</v>
      </c>
      <c r="D1235" s="738">
        <v>601200</v>
      </c>
      <c r="E1235" s="41" t="s">
        <v>1466</v>
      </c>
      <c r="F1235" s="41" t="str">
        <f t="shared" si="583"/>
        <v>OTH REGULATORY LIAB-SALE OF GENERATION ASSETS GAI</v>
      </c>
      <c r="G1235" s="41" t="s">
        <v>1467</v>
      </c>
      <c r="H1235" s="736" t="s">
        <v>1468</v>
      </c>
      <c r="I1235" s="25"/>
      <c r="J1235" s="25" t="str">
        <f t="shared" ref="J1235:J1278" si="593">IF(L1235="N10","Y",IF(L1235="N8","Y",""))</f>
        <v/>
      </c>
      <c r="K1235" s="442" t="str">
        <f t="shared" si="590"/>
        <v/>
      </c>
      <c r="L1235" s="736" t="s">
        <v>2441</v>
      </c>
      <c r="M1235" s="25" t="str">
        <f t="shared" si="588"/>
        <v>R</v>
      </c>
      <c r="N1235" s="25" t="str">
        <f>IF(L1235&lt;&gt;"",VLOOKUP(L1235,Categories!$B$2:$D$41,2,FALSE),IF(F1235&lt;&gt;"","No Cat",""))</f>
        <v>Rate Base</v>
      </c>
      <c r="O1235" s="25" t="str">
        <f>IF($L1235&lt;&gt;"",VLOOKUP($L1235,Categories!$B$2:$D$41,3,FALSE),IF($F1235&lt;&gt;"","No Cat",""))</f>
        <v>Deferred Debits &amp; Credits</v>
      </c>
      <c r="P1235" s="736" t="s">
        <v>2482</v>
      </c>
      <c r="Q1235" s="25" t="str">
        <f>VLOOKUP($P1235,Allocators!$B$7:$F$19,5,FALSE)</f>
        <v>Electric</v>
      </c>
      <c r="R1235" s="737">
        <f>VLOOKUP($P1235,Allocators!$B$7:$F$19,2,FALSE)</f>
        <v>1</v>
      </c>
      <c r="S1235" s="737">
        <f>VLOOKUP($P1235,Allocators!$B$7:$F$19,3,FALSE)</f>
        <v>0</v>
      </c>
      <c r="T1235" s="737" t="str">
        <f t="shared" si="589"/>
        <v>0.0%</v>
      </c>
      <c r="U1235" s="2" t="str">
        <f t="shared" si="577"/>
        <v/>
      </c>
      <c r="V1235" s="2" t="str">
        <f t="shared" si="578"/>
        <v/>
      </c>
      <c r="W1235" s="2" t="str">
        <f t="shared" si="579"/>
        <v/>
      </c>
      <c r="X1235" s="2">
        <f t="shared" si="591"/>
        <v>0</v>
      </c>
      <c r="Y1235" s="2" t="str">
        <f t="shared" si="580"/>
        <v/>
      </c>
      <c r="Z1235" s="2" t="str">
        <f t="shared" si="581"/>
        <v/>
      </c>
      <c r="AA1235" s="2" t="str">
        <f t="shared" si="582"/>
        <v/>
      </c>
      <c r="AB1235" s="2">
        <f t="shared" si="592"/>
        <v>0</v>
      </c>
      <c r="AC1235" s="734">
        <v>0</v>
      </c>
      <c r="AD1235" s="625">
        <v>0</v>
      </c>
      <c r="AE1235" s="625">
        <v>0</v>
      </c>
      <c r="AF1235" s="38">
        <v>0</v>
      </c>
      <c r="AG1235" s="625">
        <v>0</v>
      </c>
      <c r="AH1235" s="625">
        <v>0</v>
      </c>
      <c r="AI1235" s="625">
        <v>0</v>
      </c>
      <c r="AJ1235" s="625">
        <v>0</v>
      </c>
      <c r="AK1235" s="625">
        <v>0</v>
      </c>
      <c r="AL1235" s="625">
        <v>0</v>
      </c>
      <c r="AM1235" s="625">
        <v>0</v>
      </c>
      <c r="AN1235" s="625">
        <v>0</v>
      </c>
      <c r="AO1235" s="625">
        <v>0</v>
      </c>
      <c r="AP1235" s="41" t="str">
        <f t="shared" si="585"/>
        <v>Reg AssetR</v>
      </c>
      <c r="AQ1235" s="41" t="str">
        <f t="shared" si="586"/>
        <v>Reg AssetRR10ACF</v>
      </c>
      <c r="AR1235" s="41" t="str">
        <f t="shared" si="587"/>
        <v>R10ACF</v>
      </c>
      <c r="CK1235" s="625"/>
    </row>
    <row r="1236" spans="1:89" s="41" customFormat="1" ht="12.75" customHeight="1">
      <c r="A1236" s="442" t="s">
        <v>746</v>
      </c>
      <c r="B1236" s="442" t="str">
        <f t="shared" si="584"/>
        <v>Reg Asset254270601026-AdjBE030452</v>
      </c>
      <c r="C1236" s="736">
        <v>254270</v>
      </c>
      <c r="D1236" s="738" t="s">
        <v>1469</v>
      </c>
      <c r="E1236" s="626" t="s">
        <v>1376</v>
      </c>
      <c r="F1236" s="626" t="str">
        <f t="shared" si="583"/>
        <v>OTH REGULATORY LIAB-SALE OF GENERATION ASSETS GAI</v>
      </c>
      <c r="G1236" s="626" t="s">
        <v>1470</v>
      </c>
      <c r="H1236" s="736" t="s">
        <v>1330</v>
      </c>
      <c r="I1236" s="442"/>
      <c r="J1236" s="442" t="s">
        <v>7</v>
      </c>
      <c r="K1236" s="442" t="str">
        <f t="shared" si="590"/>
        <v/>
      </c>
      <c r="L1236" s="736" t="s">
        <v>2432</v>
      </c>
      <c r="M1236" s="442" t="str">
        <f t="shared" si="588"/>
        <v>N</v>
      </c>
      <c r="N1236" s="442" t="str">
        <f>IF(L1236&lt;&gt;"",VLOOKUP(L1236,Categories!$B$2:$D$41,2,FALSE),IF(F1236&lt;&gt;"","No Cat",""))</f>
        <v>NRBASE</v>
      </c>
      <c r="O1236" s="442" t="str">
        <f>IF($L1236&lt;&gt;"",VLOOKUP($L1236,Categories!$B$2:$D$41,3,FALSE),IF($F1236&lt;&gt;"","No Cat",""))</f>
        <v>NM-2 ASGA</v>
      </c>
      <c r="P1236" s="736" t="s">
        <v>2468</v>
      </c>
      <c r="Q1236" s="442" t="str">
        <f>VLOOKUP($P1236,Allocators!$B$7:$F$19,5,FALSE)</f>
        <v>Not in Rate Base</v>
      </c>
      <c r="R1236" s="737">
        <f>VLOOKUP($P1236,Allocators!$B$7:$F$19,2,FALSE)</f>
        <v>0</v>
      </c>
      <c r="S1236" s="737">
        <f>VLOOKUP($P1236,Allocators!$B$7:$F$19,3,FALSE)</f>
        <v>0</v>
      </c>
      <c r="T1236" s="737">
        <f t="shared" si="589"/>
        <v>1</v>
      </c>
      <c r="U1236" s="2">
        <f t="shared" si="577"/>
        <v>0</v>
      </c>
      <c r="V1236" s="2">
        <f t="shared" si="578"/>
        <v>0</v>
      </c>
      <c r="W1236" s="2">
        <f t="shared" si="579"/>
        <v>-61.778469999999999</v>
      </c>
      <c r="X1236" s="2">
        <f t="shared" si="591"/>
        <v>-61.778469999999999</v>
      </c>
      <c r="Y1236" s="2">
        <f t="shared" si="580"/>
        <v>0</v>
      </c>
      <c r="Z1236" s="2">
        <f t="shared" si="581"/>
        <v>0</v>
      </c>
      <c r="AA1236" s="2">
        <f t="shared" si="582"/>
        <v>-61.778469999999999</v>
      </c>
      <c r="AB1236" s="2">
        <f t="shared" si="592"/>
        <v>-61.778469999999999</v>
      </c>
      <c r="AC1236" s="734">
        <v>-61.778469999999999</v>
      </c>
      <c r="AD1236" s="625">
        <v>-61.778469999999999</v>
      </c>
      <c r="AE1236" s="625">
        <v>-61.778469999999999</v>
      </c>
      <c r="AF1236" s="625">
        <v>-61.778469999999999</v>
      </c>
      <c r="AG1236" s="625">
        <v>-61.778469999999999</v>
      </c>
      <c r="AH1236" s="625">
        <v>-61.778469999999999</v>
      </c>
      <c r="AI1236" s="625">
        <v>-61.778469999999999</v>
      </c>
      <c r="AJ1236" s="625">
        <v>-61.778469999999999</v>
      </c>
      <c r="AK1236" s="625">
        <v>-61.778469999999999</v>
      </c>
      <c r="AL1236" s="625">
        <v>-61.778469999999999</v>
      </c>
      <c r="AM1236" s="625">
        <v>-61.778469999999999</v>
      </c>
      <c r="AN1236" s="625">
        <v>-61.778469999999999</v>
      </c>
      <c r="AO1236" s="625">
        <v>-61.778469999999999</v>
      </c>
      <c r="AP1236" s="41" t="str">
        <f t="shared" si="585"/>
        <v>Reg AssetN</v>
      </c>
      <c r="AQ1236" s="41" t="str">
        <f t="shared" si="586"/>
        <v>Reg AssetNN8ASGA</v>
      </c>
      <c r="AR1236" s="41" t="str">
        <f t="shared" si="587"/>
        <v>N8ASGANCR</v>
      </c>
      <c r="CK1236" s="625"/>
    </row>
    <row r="1237" spans="1:89" s="41" customFormat="1" ht="12.75" customHeight="1">
      <c r="A1237" s="442" t="s">
        <v>746</v>
      </c>
      <c r="B1237" s="442" t="str">
        <f t="shared" si="584"/>
        <v>Reg Asset254270601082-10BE030398</v>
      </c>
      <c r="C1237" s="736">
        <v>254270</v>
      </c>
      <c r="D1237" s="738" t="s">
        <v>1471</v>
      </c>
      <c r="E1237" s="626" t="s">
        <v>1413</v>
      </c>
      <c r="F1237" s="626" t="str">
        <f t="shared" si="583"/>
        <v>OTH REGULATORY LIAB-SALE OF GENERATION ASSETS GAI</v>
      </c>
      <c r="G1237" s="626" t="s">
        <v>1415</v>
      </c>
      <c r="H1237" s="736" t="s">
        <v>1330</v>
      </c>
      <c r="I1237" s="442"/>
      <c r="J1237" s="442" t="s">
        <v>7</v>
      </c>
      <c r="K1237" s="442" t="str">
        <f t="shared" si="590"/>
        <v/>
      </c>
      <c r="L1237" s="736" t="s">
        <v>2432</v>
      </c>
      <c r="M1237" s="442" t="str">
        <f t="shared" si="588"/>
        <v>N</v>
      </c>
      <c r="N1237" s="442" t="str">
        <f>IF(L1237&lt;&gt;"",VLOOKUP(L1237,Categories!$B$2:$D$41,2,FALSE),IF(F1237&lt;&gt;"","No Cat",""))</f>
        <v>NRBASE</v>
      </c>
      <c r="O1237" s="442" t="str">
        <f>IF($L1237&lt;&gt;"",VLOOKUP($L1237,Categories!$B$2:$D$41,3,FALSE),IF($F1237&lt;&gt;"","No Cat",""))</f>
        <v>NM-2 ASGA</v>
      </c>
      <c r="P1237" s="736" t="s">
        <v>2468</v>
      </c>
      <c r="Q1237" s="442" t="str">
        <f>VLOOKUP($P1237,Allocators!$B$7:$F$19,5,FALSE)</f>
        <v>Not in Rate Base</v>
      </c>
      <c r="R1237" s="737">
        <f>VLOOKUP($P1237,Allocators!$B$7:$F$19,2,FALSE)</f>
        <v>0</v>
      </c>
      <c r="S1237" s="737">
        <f>VLOOKUP($P1237,Allocators!$B$7:$F$19,3,FALSE)</f>
        <v>0</v>
      </c>
      <c r="T1237" s="737">
        <f t="shared" si="589"/>
        <v>1</v>
      </c>
      <c r="U1237" s="2">
        <f t="shared" si="577"/>
        <v>0</v>
      </c>
      <c r="V1237" s="2">
        <f t="shared" si="578"/>
        <v>0</v>
      </c>
      <c r="W1237" s="2">
        <f t="shared" si="579"/>
        <v>-122.51578000000001</v>
      </c>
      <c r="X1237" s="2">
        <f t="shared" si="591"/>
        <v>-122.51578000000001</v>
      </c>
      <c r="Y1237" s="2">
        <f t="shared" si="580"/>
        <v>0</v>
      </c>
      <c r="Z1237" s="2">
        <f t="shared" si="581"/>
        <v>0</v>
      </c>
      <c r="AA1237" s="2">
        <f t="shared" si="582"/>
        <v>-122.51578000000001</v>
      </c>
      <c r="AB1237" s="2">
        <f t="shared" si="592"/>
        <v>-122.51577999999999</v>
      </c>
      <c r="AC1237" s="734">
        <v>-122.51577999999999</v>
      </c>
      <c r="AD1237" s="625">
        <v>-122.51577999999999</v>
      </c>
      <c r="AE1237" s="625">
        <v>-122.51577999999999</v>
      </c>
      <c r="AF1237" s="625">
        <v>-122.51577999999999</v>
      </c>
      <c r="AG1237" s="625">
        <v>-122.51577999999999</v>
      </c>
      <c r="AH1237" s="625">
        <v>-122.51577999999999</v>
      </c>
      <c r="AI1237" s="625">
        <v>-122.51577999999999</v>
      </c>
      <c r="AJ1237" s="625">
        <v>-122.51577999999999</v>
      </c>
      <c r="AK1237" s="625">
        <v>-122.51577999999999</v>
      </c>
      <c r="AL1237" s="625">
        <v>-122.51577999999999</v>
      </c>
      <c r="AM1237" s="625">
        <v>-122.51577999999999</v>
      </c>
      <c r="AN1237" s="625">
        <v>-122.51577999999999</v>
      </c>
      <c r="AO1237" s="625">
        <v>-122.51577999999999</v>
      </c>
      <c r="AP1237" s="41" t="str">
        <f t="shared" si="585"/>
        <v>Reg AssetN</v>
      </c>
      <c r="AQ1237" s="41" t="str">
        <f t="shared" si="586"/>
        <v>Reg AssetNN8ASGA</v>
      </c>
      <c r="AR1237" s="41" t="str">
        <f t="shared" si="587"/>
        <v>N8ASGANCR</v>
      </c>
      <c r="CK1237" s="625"/>
    </row>
    <row r="1238" spans="1:89" s="41" customFormat="1" ht="12.75" customHeight="1">
      <c r="A1238" s="442" t="s">
        <v>746</v>
      </c>
      <c r="B1238" s="442" t="str">
        <f t="shared" si="584"/>
        <v>Reg Asset254270600207- BBE030435</v>
      </c>
      <c r="C1238" s="736">
        <v>254270</v>
      </c>
      <c r="D1238" s="738" t="s">
        <v>1472</v>
      </c>
      <c r="E1238" s="626" t="s">
        <v>1343</v>
      </c>
      <c r="F1238" s="626" t="str">
        <f t="shared" si="583"/>
        <v>OTH REGULATORY LIAB-SALE OF GENERATION ASSETS GAI</v>
      </c>
      <c r="G1238" s="626" t="s">
        <v>1473</v>
      </c>
      <c r="H1238" s="736" t="s">
        <v>1330</v>
      </c>
      <c r="I1238" s="442"/>
      <c r="J1238" s="442" t="s">
        <v>7</v>
      </c>
      <c r="K1238" s="442" t="str">
        <f t="shared" si="590"/>
        <v/>
      </c>
      <c r="L1238" s="736" t="s">
        <v>2432</v>
      </c>
      <c r="M1238" s="442" t="str">
        <f t="shared" si="588"/>
        <v>N</v>
      </c>
      <c r="N1238" s="442" t="str">
        <f>IF(L1238&lt;&gt;"",VLOOKUP(L1238,Categories!$B$2:$D$41,2,FALSE),IF(F1238&lt;&gt;"","No Cat",""))</f>
        <v>NRBASE</v>
      </c>
      <c r="O1238" s="442" t="str">
        <f>IF($L1238&lt;&gt;"",VLOOKUP($L1238,Categories!$B$2:$D$41,3,FALSE),IF($F1238&lt;&gt;"","No Cat",""))</f>
        <v>NM-2 ASGA</v>
      </c>
      <c r="P1238" s="736" t="s">
        <v>2468</v>
      </c>
      <c r="Q1238" s="442" t="str">
        <f>VLOOKUP($P1238,Allocators!$B$7:$F$19,5,FALSE)</f>
        <v>Not in Rate Base</v>
      </c>
      <c r="R1238" s="737">
        <f>VLOOKUP($P1238,Allocators!$B$7:$F$19,2,FALSE)</f>
        <v>0</v>
      </c>
      <c r="S1238" s="737">
        <f>VLOOKUP($P1238,Allocators!$B$7:$F$19,3,FALSE)</f>
        <v>0</v>
      </c>
      <c r="T1238" s="737">
        <f t="shared" si="589"/>
        <v>1</v>
      </c>
      <c r="U1238" s="2">
        <f t="shared" ref="U1238:U1301" si="594">IF(ABS(X1238)=0,"",IF($R1238="NO ALLOC","NO ALLOC",ROUND($R1238*X1238,15)))</f>
        <v>0</v>
      </c>
      <c r="V1238" s="2">
        <f t="shared" ref="V1238:V1301" si="595">IF(ABS(X1238)=0,"",IF($S1238="NO ALLOC","NO ALLOC",ROUND($S1238*X1238,15)))</f>
        <v>0</v>
      </c>
      <c r="W1238" s="2">
        <f t="shared" ref="W1238:W1301" si="596">IF(ABS(X1238)=0,"",IF($T1238="NO ALLOC","NO ALLOC",ROUND($T1238*X1238,15)))</f>
        <v>-803.01306999999997</v>
      </c>
      <c r="X1238" s="2">
        <f t="shared" si="591"/>
        <v>-803.01306999999997</v>
      </c>
      <c r="Y1238" s="2">
        <f t="shared" ref="Y1238:Y1301" si="597">IF(ABS(AB1238)=0,"",IF($R1238="NO ALLOC","NO ALLOC",ROUND($R1238*AB1238,15)))</f>
        <v>0</v>
      </c>
      <c r="Z1238" s="2">
        <f t="shared" ref="Z1238:Z1301" si="598">IF(ABS(AB1238)=0,"",IF($S1238="NO ALLOC","NO ALLOC",ROUND($S1238*AB1238,15)))</f>
        <v>0</v>
      </c>
      <c r="AA1238" s="2">
        <f t="shared" ref="AA1238:AA1301" si="599">IF(ABS(AB1238)=0,"",IF($T1238="NO ALLOC","NO ALLOC",ROUND($T1238*AB1238,15)))</f>
        <v>-803.01306999999997</v>
      </c>
      <c r="AB1238" s="2">
        <f t="shared" si="592"/>
        <v>-803.01307000000008</v>
      </c>
      <c r="AC1238" s="734">
        <v>-803.01307000000008</v>
      </c>
      <c r="AD1238" s="625">
        <v>-803.01307000000008</v>
      </c>
      <c r="AE1238" s="625">
        <v>-803.01307000000008</v>
      </c>
      <c r="AF1238" s="625">
        <v>-803.01307000000008</v>
      </c>
      <c r="AG1238" s="625">
        <v>-803.01307000000008</v>
      </c>
      <c r="AH1238" s="625">
        <v>-803.01307000000008</v>
      </c>
      <c r="AI1238" s="625">
        <v>-803.01307000000008</v>
      </c>
      <c r="AJ1238" s="625">
        <v>-803.01307000000008</v>
      </c>
      <c r="AK1238" s="625">
        <v>-803.01307000000008</v>
      </c>
      <c r="AL1238" s="625">
        <v>-803.01307000000008</v>
      </c>
      <c r="AM1238" s="625">
        <v>-803.01307000000008</v>
      </c>
      <c r="AN1238" s="625">
        <v>-803.01307000000008</v>
      </c>
      <c r="AO1238" s="625">
        <v>-803.01307000000008</v>
      </c>
      <c r="AP1238" s="41" t="str">
        <f t="shared" si="585"/>
        <v>Reg AssetN</v>
      </c>
      <c r="AQ1238" s="41" t="str">
        <f t="shared" si="586"/>
        <v>Reg AssetNN8ASGA</v>
      </c>
      <c r="AR1238" s="41" t="str">
        <f t="shared" si="587"/>
        <v>N8ASGANCR</v>
      </c>
      <c r="CK1238" s="625"/>
    </row>
    <row r="1239" spans="1:89" s="41" customFormat="1" ht="12.75" customHeight="1">
      <c r="A1239" s="442" t="s">
        <v>746</v>
      </c>
      <c r="B1239" s="442" t="str">
        <f t="shared" si="584"/>
        <v>Reg Asset2542706012000BE030905</v>
      </c>
      <c r="C1239" s="736">
        <v>254270</v>
      </c>
      <c r="D1239" s="738">
        <v>6012000</v>
      </c>
      <c r="E1239" s="626" t="s">
        <v>1466</v>
      </c>
      <c r="F1239" s="626" t="str">
        <f t="shared" si="583"/>
        <v>OTH REGULATORY LIAB-SALE OF GENERATION ASSETS GAI</v>
      </c>
      <c r="G1239" s="626" t="s">
        <v>1474</v>
      </c>
      <c r="H1239" s="736" t="s">
        <v>1330</v>
      </c>
      <c r="I1239" s="442"/>
      <c r="J1239" s="442" t="s">
        <v>7</v>
      </c>
      <c r="K1239" s="442" t="str">
        <f t="shared" si="590"/>
        <v/>
      </c>
      <c r="L1239" s="736" t="s">
        <v>2432</v>
      </c>
      <c r="M1239" s="442" t="str">
        <f t="shared" si="588"/>
        <v>N</v>
      </c>
      <c r="N1239" s="442" t="str">
        <f>IF(L1239&lt;&gt;"",VLOOKUP(L1239,Categories!$B$2:$D$41,2,FALSE),IF(F1239&lt;&gt;"","No Cat",""))</f>
        <v>NRBASE</v>
      </c>
      <c r="O1239" s="442" t="str">
        <f>IF($L1239&lt;&gt;"",VLOOKUP($L1239,Categories!$B$2:$D$41,3,FALSE),IF($F1239&lt;&gt;"","No Cat",""))</f>
        <v>NM-2 ASGA</v>
      </c>
      <c r="P1239" s="736" t="s">
        <v>2468</v>
      </c>
      <c r="Q1239" s="442" t="str">
        <f>VLOOKUP($P1239,Allocators!$B$7:$F$19,5,FALSE)</f>
        <v>Not in Rate Base</v>
      </c>
      <c r="R1239" s="737">
        <f>VLOOKUP($P1239,Allocators!$B$7:$F$19,2,FALSE)</f>
        <v>0</v>
      </c>
      <c r="S1239" s="737">
        <f>VLOOKUP($P1239,Allocators!$B$7:$F$19,3,FALSE)</f>
        <v>0</v>
      </c>
      <c r="T1239" s="737">
        <f t="shared" si="589"/>
        <v>1</v>
      </c>
      <c r="U1239" s="2" t="str">
        <f t="shared" si="594"/>
        <v/>
      </c>
      <c r="V1239" s="2" t="str">
        <f t="shared" si="595"/>
        <v/>
      </c>
      <c r="W1239" s="2" t="str">
        <f t="shared" si="596"/>
        <v/>
      </c>
      <c r="X1239" s="2">
        <f t="shared" si="591"/>
        <v>0</v>
      </c>
      <c r="Y1239" s="2" t="str">
        <f t="shared" si="597"/>
        <v/>
      </c>
      <c r="Z1239" s="2" t="str">
        <f t="shared" si="598"/>
        <v/>
      </c>
      <c r="AA1239" s="2" t="str">
        <f t="shared" si="599"/>
        <v/>
      </c>
      <c r="AB1239" s="2">
        <f t="shared" si="592"/>
        <v>0</v>
      </c>
      <c r="AC1239" s="625">
        <v>0</v>
      </c>
      <c r="AD1239" s="625">
        <v>0</v>
      </c>
      <c r="AE1239" s="625">
        <v>0</v>
      </c>
      <c r="AF1239" s="38">
        <v>0</v>
      </c>
      <c r="AG1239" s="625">
        <v>0</v>
      </c>
      <c r="AH1239" s="625">
        <v>0</v>
      </c>
      <c r="AI1239" s="625">
        <v>0</v>
      </c>
      <c r="AJ1239" s="625">
        <v>0</v>
      </c>
      <c r="AK1239" s="625">
        <v>0</v>
      </c>
      <c r="AL1239" s="625">
        <v>0</v>
      </c>
      <c r="AM1239" s="625">
        <v>0</v>
      </c>
      <c r="AN1239" s="625">
        <v>0</v>
      </c>
      <c r="AO1239" s="625">
        <v>0</v>
      </c>
      <c r="AP1239" s="41" t="str">
        <f t="shared" si="585"/>
        <v>Reg AssetN</v>
      </c>
      <c r="AQ1239" s="41" t="str">
        <f t="shared" si="586"/>
        <v>Reg AssetNN8ASGA</v>
      </c>
      <c r="AR1239" s="41" t="str">
        <f t="shared" si="587"/>
        <v>N8ASGANCR</v>
      </c>
      <c r="CK1239" s="625"/>
    </row>
    <row r="1240" spans="1:89" s="41" customFormat="1" ht="12.75" customHeight="1">
      <c r="A1240" s="442" t="s">
        <v>746</v>
      </c>
      <c r="B1240" s="442" t="str">
        <f t="shared" si="584"/>
        <v>Reg Asset254270601254BE030926</v>
      </c>
      <c r="C1240" s="736">
        <v>254270</v>
      </c>
      <c r="D1240" s="738">
        <v>601254</v>
      </c>
      <c r="E1240" s="626" t="s">
        <v>1475</v>
      </c>
      <c r="F1240" s="626" t="str">
        <f t="shared" si="583"/>
        <v>OTH REGULATORY LIAB-SALE OF GENERATION ASSETS GAI</v>
      </c>
      <c r="G1240" s="626" t="s">
        <v>1476</v>
      </c>
      <c r="H1240" s="736" t="s">
        <v>1330</v>
      </c>
      <c r="I1240" s="442"/>
      <c r="J1240" s="442" t="s">
        <v>7</v>
      </c>
      <c r="K1240" s="442" t="str">
        <f t="shared" si="590"/>
        <v/>
      </c>
      <c r="L1240" s="736" t="s">
        <v>2432</v>
      </c>
      <c r="M1240" s="442" t="str">
        <f t="shared" si="588"/>
        <v>N</v>
      </c>
      <c r="N1240" s="442" t="str">
        <f>IF(L1240&lt;&gt;"",VLOOKUP(L1240,Categories!$B$2:$D$41,2,FALSE),IF(F1240&lt;&gt;"","No Cat",""))</f>
        <v>NRBASE</v>
      </c>
      <c r="O1240" s="442" t="str">
        <f>IF($L1240&lt;&gt;"",VLOOKUP($L1240,Categories!$B$2:$D$41,3,FALSE),IF($F1240&lt;&gt;"","No Cat",""))</f>
        <v>NM-2 ASGA</v>
      </c>
      <c r="P1240" s="736" t="s">
        <v>2468</v>
      </c>
      <c r="Q1240" s="442" t="str">
        <f>VLOOKUP($P1240,Allocators!$B$7:$F$19,5,FALSE)</f>
        <v>Not in Rate Base</v>
      </c>
      <c r="R1240" s="737">
        <f>VLOOKUP($P1240,Allocators!$B$7:$F$19,2,FALSE)</f>
        <v>0</v>
      </c>
      <c r="S1240" s="737">
        <f>VLOOKUP($P1240,Allocators!$B$7:$F$19,3,FALSE)</f>
        <v>0</v>
      </c>
      <c r="T1240" s="737">
        <f t="shared" si="589"/>
        <v>1</v>
      </c>
      <c r="U1240" s="2">
        <f t="shared" si="594"/>
        <v>0</v>
      </c>
      <c r="V1240" s="2">
        <f t="shared" si="595"/>
        <v>0</v>
      </c>
      <c r="W1240" s="2">
        <f t="shared" si="596"/>
        <v>-10000</v>
      </c>
      <c r="X1240" s="2">
        <f t="shared" si="591"/>
        <v>-10000</v>
      </c>
      <c r="Y1240" s="2">
        <f t="shared" si="597"/>
        <v>0</v>
      </c>
      <c r="Z1240" s="2">
        <f t="shared" si="598"/>
        <v>0</v>
      </c>
      <c r="AA1240" s="2">
        <f t="shared" si="599"/>
        <v>-10000</v>
      </c>
      <c r="AB1240" s="2">
        <f t="shared" si="592"/>
        <v>-10000</v>
      </c>
      <c r="AC1240" s="734">
        <v>-10000</v>
      </c>
      <c r="AD1240" s="625">
        <v>-10000</v>
      </c>
      <c r="AE1240" s="625">
        <v>-10000</v>
      </c>
      <c r="AF1240" s="625">
        <v>-10000</v>
      </c>
      <c r="AG1240" s="625">
        <v>-10000</v>
      </c>
      <c r="AH1240" s="625">
        <v>-10000</v>
      </c>
      <c r="AI1240" s="625">
        <v>-10000</v>
      </c>
      <c r="AJ1240" s="625">
        <v>-10000</v>
      </c>
      <c r="AK1240" s="625">
        <v>-10000</v>
      </c>
      <c r="AL1240" s="625">
        <v>-10000</v>
      </c>
      <c r="AM1240" s="625">
        <v>-10000</v>
      </c>
      <c r="AN1240" s="625">
        <v>-10000</v>
      </c>
      <c r="AO1240" s="625">
        <v>-10000</v>
      </c>
      <c r="AP1240" s="41" t="str">
        <f t="shared" si="585"/>
        <v>Reg AssetN</v>
      </c>
      <c r="AQ1240" s="41" t="str">
        <f t="shared" si="586"/>
        <v>Reg AssetNN8ASGA</v>
      </c>
      <c r="AR1240" s="41" t="str">
        <f t="shared" si="587"/>
        <v>N8ASGANCR</v>
      </c>
      <c r="CK1240" s="625"/>
    </row>
    <row r="1241" spans="1:89" s="41" customFormat="1" ht="12.75" customHeight="1">
      <c r="A1241" s="442" t="s">
        <v>746</v>
      </c>
      <c r="B1241" s="442" t="str">
        <f t="shared" si="584"/>
        <v>Reg Asset254270BT010009</v>
      </c>
      <c r="C1241" s="736">
        <v>254270</v>
      </c>
      <c r="D1241" s="738"/>
      <c r="E1241" s="626" t="s">
        <v>1477</v>
      </c>
      <c r="F1241" s="626" t="str">
        <f t="shared" si="583"/>
        <v>OTH REGULATORY LIAB-SALE OF GENERATION ASSETS GAI</v>
      </c>
      <c r="G1241" s="626" t="s">
        <v>1478</v>
      </c>
      <c r="H1241" s="736" t="s">
        <v>1330</v>
      </c>
      <c r="I1241" s="442"/>
      <c r="J1241" s="442" t="s">
        <v>7</v>
      </c>
      <c r="K1241" s="442" t="str">
        <f t="shared" si="590"/>
        <v/>
      </c>
      <c r="L1241" s="736" t="s">
        <v>2432</v>
      </c>
      <c r="M1241" s="442" t="str">
        <f t="shared" si="588"/>
        <v>N</v>
      </c>
      <c r="N1241" s="442" t="str">
        <f>IF(L1241&lt;&gt;"",VLOOKUP(L1241,Categories!$B$2:$D$41,2,FALSE),IF(F1241&lt;&gt;"","No Cat",""))</f>
        <v>NRBASE</v>
      </c>
      <c r="O1241" s="442" t="str">
        <f>IF($L1241&lt;&gt;"",VLOOKUP($L1241,Categories!$B$2:$D$41,3,FALSE),IF($F1241&lt;&gt;"","No Cat",""))</f>
        <v>NM-2 ASGA</v>
      </c>
      <c r="P1241" s="736" t="s">
        <v>2468</v>
      </c>
      <c r="Q1241" s="442" t="str">
        <f>VLOOKUP($P1241,Allocators!$B$7:$F$19,5,FALSE)</f>
        <v>Not in Rate Base</v>
      </c>
      <c r="R1241" s="737">
        <f>VLOOKUP($P1241,Allocators!$B$7:$F$19,2,FALSE)</f>
        <v>0</v>
      </c>
      <c r="S1241" s="737">
        <f>VLOOKUP($P1241,Allocators!$B$7:$F$19,3,FALSE)</f>
        <v>0</v>
      </c>
      <c r="T1241" s="737">
        <f t="shared" si="589"/>
        <v>1</v>
      </c>
      <c r="U1241" s="2">
        <f t="shared" si="594"/>
        <v>0</v>
      </c>
      <c r="V1241" s="2">
        <f t="shared" si="595"/>
        <v>0</v>
      </c>
      <c r="W1241" s="2">
        <f t="shared" si="596"/>
        <v>6828.9800487499997</v>
      </c>
      <c r="X1241" s="2">
        <f t="shared" si="591"/>
        <v>6828.9800487499997</v>
      </c>
      <c r="Y1241" s="2">
        <f t="shared" si="597"/>
        <v>0</v>
      </c>
      <c r="Z1241" s="2">
        <f t="shared" si="598"/>
        <v>0</v>
      </c>
      <c r="AA1241" s="2">
        <f t="shared" si="599"/>
        <v>6509.73135</v>
      </c>
      <c r="AB1241" s="2">
        <f t="shared" si="592"/>
        <v>6509.7313500000009</v>
      </c>
      <c r="AC1241" s="734">
        <v>8057.1719199999989</v>
      </c>
      <c r="AD1241" s="625">
        <v>9001.1352399999996</v>
      </c>
      <c r="AE1241" s="625">
        <v>6580.68192</v>
      </c>
      <c r="AF1241" s="625">
        <v>6580.6067000000003</v>
      </c>
      <c r="AG1241" s="625">
        <v>6580.5310499999996</v>
      </c>
      <c r="AH1241" s="625">
        <v>6580.4549799999995</v>
      </c>
      <c r="AI1241" s="625">
        <v>6580.4021099999991</v>
      </c>
      <c r="AJ1241" s="625">
        <v>6580.3328099999999</v>
      </c>
      <c r="AK1241" s="625">
        <v>6580.2554199999995</v>
      </c>
      <c r="AL1241" s="625">
        <v>6580.1776100000006</v>
      </c>
      <c r="AM1241" s="625">
        <v>6509.9205100000008</v>
      </c>
      <c r="AN1241" s="625">
        <v>6509.8106000000007</v>
      </c>
      <c r="AO1241" s="625">
        <v>6509.7313500000009</v>
      </c>
      <c r="AP1241" s="41" t="str">
        <f t="shared" si="585"/>
        <v>Reg AssetN</v>
      </c>
      <c r="AQ1241" s="41" t="str">
        <f t="shared" si="586"/>
        <v>Reg AssetNN8ASGA</v>
      </c>
      <c r="AR1241" s="41" t="str">
        <f t="shared" si="587"/>
        <v>N8ASGANCR</v>
      </c>
      <c r="CK1241" s="625"/>
    </row>
    <row r="1242" spans="1:89" s="41" customFormat="1" ht="12.75" customHeight="1">
      <c r="A1242" s="25" t="s">
        <v>746</v>
      </c>
      <c r="B1242" s="25" t="str">
        <f t="shared" si="584"/>
        <v>Reg Asset254275601116BE030573</v>
      </c>
      <c r="C1242" s="736">
        <v>254275</v>
      </c>
      <c r="D1242" s="738">
        <v>601116</v>
      </c>
      <c r="E1242" s="41" t="s">
        <v>1479</v>
      </c>
      <c r="F1242" s="41" t="str">
        <f t="shared" si="583"/>
        <v>PBA-IBERDROLA MERGER ELECTRIC</v>
      </c>
      <c r="G1242" s="41" t="s">
        <v>1480</v>
      </c>
      <c r="H1242" s="736" t="s">
        <v>1481</v>
      </c>
      <c r="I1242" s="25"/>
      <c r="J1242" s="25" t="str">
        <f t="shared" si="593"/>
        <v/>
      </c>
      <c r="K1242" s="442" t="str">
        <f t="shared" si="590"/>
        <v/>
      </c>
      <c r="L1242" s="736" t="s">
        <v>2441</v>
      </c>
      <c r="M1242" s="25" t="str">
        <f t="shared" si="588"/>
        <v>R</v>
      </c>
      <c r="N1242" s="25" t="str">
        <f>IF(L1242&lt;&gt;"",VLOOKUP(L1242,Categories!$B$2:$D$41,2,FALSE),IF(F1242&lt;&gt;"","No Cat",""))</f>
        <v>Rate Base</v>
      </c>
      <c r="O1242" s="25" t="str">
        <f>IF($L1242&lt;&gt;"",VLOOKUP($L1242,Categories!$B$2:$D$41,3,FALSE),IF($F1242&lt;&gt;"","No Cat",""))</f>
        <v>Deferred Debits &amp; Credits</v>
      </c>
      <c r="P1242" s="736" t="s">
        <v>2482</v>
      </c>
      <c r="Q1242" s="25" t="str">
        <f>VLOOKUP($P1242,Allocators!$B$7:$F$19,5,FALSE)</f>
        <v>Electric</v>
      </c>
      <c r="R1242" s="737">
        <f>VLOOKUP($P1242,Allocators!$B$7:$F$19,2,FALSE)</f>
        <v>1</v>
      </c>
      <c r="S1242" s="737">
        <f>VLOOKUP($P1242,Allocators!$B$7:$F$19,3,FALSE)</f>
        <v>0</v>
      </c>
      <c r="T1242" s="737" t="str">
        <f t="shared" si="589"/>
        <v>0.0%</v>
      </c>
      <c r="U1242" s="2">
        <f t="shared" si="594"/>
        <v>-37852.993609999998</v>
      </c>
      <c r="V1242" s="2">
        <f t="shared" si="595"/>
        <v>0</v>
      </c>
      <c r="W1242" s="2">
        <f t="shared" si="596"/>
        <v>0</v>
      </c>
      <c r="X1242" s="2">
        <f t="shared" si="591"/>
        <v>-37852.993609999998</v>
      </c>
      <c r="Y1242" s="2">
        <f t="shared" si="597"/>
        <v>-37852.993609999998</v>
      </c>
      <c r="Z1242" s="2">
        <f t="shared" si="598"/>
        <v>0</v>
      </c>
      <c r="AA1242" s="2">
        <f t="shared" si="599"/>
        <v>0</v>
      </c>
      <c r="AB1242" s="2">
        <f t="shared" si="592"/>
        <v>-37852.993609999998</v>
      </c>
      <c r="AC1242" s="734">
        <v>-37852.99361000002</v>
      </c>
      <c r="AD1242" s="625">
        <v>-37852.993609999998</v>
      </c>
      <c r="AE1242" s="625">
        <v>-37852.993609999998</v>
      </c>
      <c r="AF1242" s="625">
        <v>-37852.993609999998</v>
      </c>
      <c r="AG1242" s="625">
        <v>-37852.993609999998</v>
      </c>
      <c r="AH1242" s="625">
        <v>-37852.993609999998</v>
      </c>
      <c r="AI1242" s="625">
        <v>-37852.993609999998</v>
      </c>
      <c r="AJ1242" s="625">
        <v>-37852.993609999998</v>
      </c>
      <c r="AK1242" s="625">
        <v>-37852.993609999998</v>
      </c>
      <c r="AL1242" s="625">
        <v>-37852.993609999998</v>
      </c>
      <c r="AM1242" s="625">
        <v>-37852.993609999998</v>
      </c>
      <c r="AN1242" s="625">
        <v>-37852.993609999998</v>
      </c>
      <c r="AO1242" s="625">
        <v>-37852.993609999998</v>
      </c>
      <c r="AP1242" s="41" t="str">
        <f t="shared" si="585"/>
        <v>Reg AssetR</v>
      </c>
      <c r="AQ1242" s="41" t="str">
        <f t="shared" si="586"/>
        <v>Reg AssetRR10Positive Benefit Adjustment</v>
      </c>
      <c r="AR1242" s="41" t="str">
        <f t="shared" si="587"/>
        <v>R10Positive Benefit Adjustment</v>
      </c>
      <c r="CK1242" s="625"/>
    </row>
    <row r="1243" spans="1:89" s="41" customFormat="1" ht="12.75" customHeight="1">
      <c r="A1243" s="25" t="s">
        <v>746</v>
      </c>
      <c r="B1243" s="25" t="str">
        <f t="shared" si="584"/>
        <v>Reg Asset254276601117BG030574</v>
      </c>
      <c r="C1243" s="736">
        <v>254276</v>
      </c>
      <c r="D1243" s="738">
        <v>601117</v>
      </c>
      <c r="E1243" s="41" t="s">
        <v>1482</v>
      </c>
      <c r="F1243" s="41" t="str">
        <f t="shared" si="583"/>
        <v>PBA-IBERDROLA MERGER GAS</v>
      </c>
      <c r="G1243" s="41" t="s">
        <v>1483</v>
      </c>
      <c r="H1243" s="736" t="s">
        <v>1481</v>
      </c>
      <c r="I1243" s="25"/>
      <c r="J1243" s="25" t="str">
        <f t="shared" si="593"/>
        <v/>
      </c>
      <c r="K1243" s="442" t="str">
        <f t="shared" si="590"/>
        <v/>
      </c>
      <c r="L1243" s="736" t="s">
        <v>2441</v>
      </c>
      <c r="M1243" s="25" t="str">
        <f t="shared" si="588"/>
        <v>R</v>
      </c>
      <c r="N1243" s="25" t="str">
        <f>IF(L1243&lt;&gt;"",VLOOKUP(L1243,Categories!$B$2:$D$41,2,FALSE),IF(F1243&lt;&gt;"","No Cat",""))</f>
        <v>Rate Base</v>
      </c>
      <c r="O1243" s="25" t="str">
        <f>IF($L1243&lt;&gt;"",VLOOKUP($L1243,Categories!$B$2:$D$41,3,FALSE),IF($F1243&lt;&gt;"","No Cat",""))</f>
        <v>Deferred Debits &amp; Credits</v>
      </c>
      <c r="P1243" s="736" t="s">
        <v>2483</v>
      </c>
      <c r="Q1243" s="25" t="str">
        <f>VLOOKUP($P1243,Allocators!$B$7:$F$19,5,FALSE)</f>
        <v>Gas</v>
      </c>
      <c r="R1243" s="737">
        <f>VLOOKUP($P1243,Allocators!$B$7:$F$19,2,FALSE)</f>
        <v>0</v>
      </c>
      <c r="S1243" s="737">
        <f>VLOOKUP($P1243,Allocators!$B$7:$F$19,3,FALSE)</f>
        <v>1</v>
      </c>
      <c r="T1243" s="737" t="str">
        <f t="shared" si="589"/>
        <v>0.0%</v>
      </c>
      <c r="U1243" s="2">
        <f t="shared" si="594"/>
        <v>0</v>
      </c>
      <c r="V1243" s="2">
        <f t="shared" si="595"/>
        <v>348.34663999999998</v>
      </c>
      <c r="W1243" s="2">
        <f t="shared" si="596"/>
        <v>0</v>
      </c>
      <c r="X1243" s="2">
        <f t="shared" si="591"/>
        <v>348.34663999999998</v>
      </c>
      <c r="Y1243" s="2">
        <f t="shared" si="597"/>
        <v>0</v>
      </c>
      <c r="Z1243" s="2">
        <f t="shared" si="598"/>
        <v>348.34663999999998</v>
      </c>
      <c r="AA1243" s="2">
        <f t="shared" si="599"/>
        <v>0</v>
      </c>
      <c r="AB1243" s="2">
        <f t="shared" si="592"/>
        <v>348.34664000000015</v>
      </c>
      <c r="AC1243" s="734">
        <v>348.34664000000043</v>
      </c>
      <c r="AD1243" s="625">
        <v>348.34664000000015</v>
      </c>
      <c r="AE1243" s="625">
        <v>348.34664000000015</v>
      </c>
      <c r="AF1243" s="625">
        <v>348.34664000000015</v>
      </c>
      <c r="AG1243" s="625">
        <v>348.34664000000015</v>
      </c>
      <c r="AH1243" s="625">
        <v>348.34664000000015</v>
      </c>
      <c r="AI1243" s="625">
        <v>348.34664000000015</v>
      </c>
      <c r="AJ1243" s="625">
        <v>348.34664000000015</v>
      </c>
      <c r="AK1243" s="625">
        <v>348.34664000000015</v>
      </c>
      <c r="AL1243" s="625">
        <v>348.34664000000015</v>
      </c>
      <c r="AM1243" s="625">
        <v>348.34664000000015</v>
      </c>
      <c r="AN1243" s="625">
        <v>348.34664000000015</v>
      </c>
      <c r="AO1243" s="625">
        <v>348.34664000000015</v>
      </c>
      <c r="AP1243" s="41" t="str">
        <f t="shared" si="585"/>
        <v>Reg AssetR</v>
      </c>
      <c r="AQ1243" s="41" t="str">
        <f t="shared" si="586"/>
        <v>Reg AssetRR10Positive Benefit Adjustment</v>
      </c>
      <c r="AR1243" s="41" t="str">
        <f t="shared" si="587"/>
        <v>R10Positive Benefit Adjustment</v>
      </c>
      <c r="CK1243" s="625"/>
    </row>
    <row r="1244" spans="1:89" s="41" customFormat="1" ht="12.75" customHeight="1">
      <c r="A1244" s="25" t="s">
        <v>746</v>
      </c>
      <c r="B1244" s="25" t="str">
        <f t="shared" ref="B1244" si="600">CONCATENATE(A1244,C1244,D1244,E1244)</f>
        <v>Reg Asset254367601049BG039999</v>
      </c>
      <c r="C1244" s="736">
        <v>254367</v>
      </c>
      <c r="D1244" s="738">
        <v>601049</v>
      </c>
      <c r="E1244" s="41" t="s">
        <v>1148</v>
      </c>
      <c r="F1244" s="1" t="s">
        <v>4290</v>
      </c>
      <c r="G1244" s="41" t="s">
        <v>2666</v>
      </c>
      <c r="H1244" s="736" t="s">
        <v>1141</v>
      </c>
      <c r="I1244" s="25"/>
      <c r="J1244" s="25" t="str">
        <f t="shared" si="593"/>
        <v/>
      </c>
      <c r="K1244" s="25" t="str">
        <f t="shared" si="590"/>
        <v/>
      </c>
      <c r="L1244" s="736" t="s">
        <v>2441</v>
      </c>
      <c r="M1244" s="25" t="str">
        <f t="shared" si="588"/>
        <v>R</v>
      </c>
      <c r="N1244" s="25" t="str">
        <f>IF(L1244&lt;&gt;"",VLOOKUP(L1244,Categories!$B$2:$D$41,2,FALSE),IF(F1244&lt;&gt;"","No Cat",""))</f>
        <v>Rate Base</v>
      </c>
      <c r="O1244" s="25" t="str">
        <f>IF($L1244&lt;&gt;"",VLOOKUP($L1244,Categories!$B$2:$D$41,3,FALSE),IF($F1244&lt;&gt;"","No Cat",""))</f>
        <v>Deferred Debits &amp; Credits</v>
      </c>
      <c r="P1244" s="736" t="s">
        <v>2482</v>
      </c>
      <c r="Q1244" s="25" t="str">
        <f>VLOOKUP($P1244,Allocators!$B$7:$F$19,5,FALSE)</f>
        <v>Electric</v>
      </c>
      <c r="R1244" s="737">
        <f>VLOOKUP($P1244,Allocators!$B$7:$F$19,2,FALSE)</f>
        <v>1</v>
      </c>
      <c r="S1244" s="737">
        <f>VLOOKUP($P1244,Allocators!$B$7:$F$19,3,FALSE)</f>
        <v>0</v>
      </c>
      <c r="T1244" s="737" t="str">
        <f t="shared" si="589"/>
        <v>0.0%</v>
      </c>
      <c r="U1244" s="2">
        <f t="shared" si="594"/>
        <v>-11807.2314133333</v>
      </c>
      <c r="V1244" s="2">
        <f t="shared" si="595"/>
        <v>0</v>
      </c>
      <c r="W1244" s="2">
        <f t="shared" si="596"/>
        <v>0</v>
      </c>
      <c r="X1244" s="2">
        <f t="shared" si="591"/>
        <v>-11807.2314133333</v>
      </c>
      <c r="Y1244" s="2" t="str">
        <f t="shared" si="597"/>
        <v/>
      </c>
      <c r="Z1244" s="2" t="str">
        <f t="shared" si="598"/>
        <v/>
      </c>
      <c r="AA1244" s="2" t="str">
        <f t="shared" si="599"/>
        <v/>
      </c>
      <c r="AB1244" s="2">
        <f t="shared" si="592"/>
        <v>0</v>
      </c>
      <c r="AC1244" s="734">
        <v>0</v>
      </c>
      <c r="AD1244" s="625">
        <v>-27828.84</v>
      </c>
      <c r="AE1244" s="625">
        <v>-36440.036999999997</v>
      </c>
      <c r="AF1244" s="625">
        <v>-46094.942280000003</v>
      </c>
      <c r="AG1244" s="625">
        <v>-15405.719519999999</v>
      </c>
      <c r="AH1244" s="625">
        <v>-5883.4837600000001</v>
      </c>
      <c r="AI1244" s="625">
        <v>-5389.36967</v>
      </c>
      <c r="AJ1244" s="625">
        <v>-4644.3847300000007</v>
      </c>
      <c r="AK1244" s="625">
        <v>0</v>
      </c>
      <c r="AL1244" s="625">
        <v>0</v>
      </c>
      <c r="AM1244" s="625">
        <v>0</v>
      </c>
      <c r="AN1244" s="625">
        <v>0</v>
      </c>
      <c r="AO1244" s="625">
        <v>0</v>
      </c>
      <c r="AP1244" s="41" t="str">
        <f t="shared" si="585"/>
        <v>Reg AssetR</v>
      </c>
      <c r="AQ1244" s="41" t="str">
        <f t="shared" si="586"/>
        <v>Reg AssetRR10NBC True-up</v>
      </c>
      <c r="AR1244" s="41" t="str">
        <f t="shared" si="587"/>
        <v>R10NBC True-up</v>
      </c>
      <c r="CK1244" s="625"/>
    </row>
    <row r="1245" spans="1:89" s="41" customFormat="1" ht="12.75" customHeight="1">
      <c r="A1245" s="25" t="s">
        <v>746</v>
      </c>
      <c r="B1245" s="25" t="str">
        <f t="shared" si="584"/>
        <v>Reg Asset2546911X.70004BDEFAULT</v>
      </c>
      <c r="C1245" s="736">
        <v>254691</v>
      </c>
      <c r="D1245" s="738" t="s">
        <v>2819</v>
      </c>
      <c r="E1245" s="41" t="s">
        <v>1620</v>
      </c>
      <c r="F1245" s="41" t="s">
        <v>2821</v>
      </c>
      <c r="H1245" s="736" t="s">
        <v>2694</v>
      </c>
      <c r="I1245" s="25"/>
      <c r="J1245" s="25" t="str">
        <f t="shared" ref="J1245:J1246" si="601">IF(L1245="N10","Y",IF(L1245="N8","Y",""))</f>
        <v/>
      </c>
      <c r="K1245" s="442" t="str">
        <f t="shared" si="590"/>
        <v/>
      </c>
      <c r="L1245" s="736" t="s">
        <v>2441</v>
      </c>
      <c r="M1245" s="25" t="str">
        <f t="shared" ref="M1245:M1246" si="602">LEFT(L1245,1)</f>
        <v>R</v>
      </c>
      <c r="N1245" s="25" t="str">
        <f>IF(L1245&lt;&gt;"",VLOOKUP(L1245,Categories!$B$2:$D$41,2,FALSE),IF(F1245&lt;&gt;"","No Cat",""))</f>
        <v>Rate Base</v>
      </c>
      <c r="O1245" s="25" t="str">
        <f>IF($L1245&lt;&gt;"",VLOOKUP($L1245,Categories!$B$2:$D$41,3,FALSE),IF($F1245&lt;&gt;"","No Cat",""))</f>
        <v>Deferred Debits &amp; Credits</v>
      </c>
      <c r="P1245" s="736" t="s">
        <v>2482</v>
      </c>
      <c r="Q1245" s="25" t="str">
        <f>VLOOKUP($P1245,Allocators!$B$7:$F$19,5,FALSE)</f>
        <v>Electric</v>
      </c>
      <c r="R1245" s="737">
        <f>VLOOKUP($P1245,Allocators!$B$7:$F$19,2,FALSE)</f>
        <v>1</v>
      </c>
      <c r="S1245" s="737">
        <f>VLOOKUP($P1245,Allocators!$B$7:$F$19,3,FALSE)</f>
        <v>0</v>
      </c>
      <c r="T1245" s="737" t="str">
        <f t="shared" ref="T1245:T1246" si="603">IF(P1245="N",1,"0.0%")</f>
        <v>0.0%</v>
      </c>
      <c r="U1245" s="2">
        <f t="shared" si="594"/>
        <v>2202.5033699999999</v>
      </c>
      <c r="V1245" s="2">
        <f t="shared" si="595"/>
        <v>0</v>
      </c>
      <c r="W1245" s="2">
        <f t="shared" si="596"/>
        <v>0</v>
      </c>
      <c r="X1245" s="2">
        <f t="shared" si="591"/>
        <v>2202.5033699999999</v>
      </c>
      <c r="Y1245" s="2">
        <f t="shared" si="597"/>
        <v>3868.6690600000002</v>
      </c>
      <c r="Z1245" s="2">
        <f t="shared" si="598"/>
        <v>0</v>
      </c>
      <c r="AA1245" s="2">
        <f t="shared" si="599"/>
        <v>0</v>
      </c>
      <c r="AB1245" s="2">
        <f t="shared" si="592"/>
        <v>3868.6690600000006</v>
      </c>
      <c r="AC1245" s="734">
        <v>1408.4074399999997</v>
      </c>
      <c r="AD1245" s="625">
        <v>1453.8715299999999</v>
      </c>
      <c r="AE1245" s="625">
        <v>1489.7058399999999</v>
      </c>
      <c r="AF1245" s="625">
        <v>1612.3829999999998</v>
      </c>
      <c r="AG1245" s="625">
        <v>1660.0892999999999</v>
      </c>
      <c r="AH1245" s="625">
        <v>1837.3515299999997</v>
      </c>
      <c r="AI1245" s="625">
        <v>2148.5193200000003</v>
      </c>
      <c r="AJ1245" s="625">
        <v>2259.11843</v>
      </c>
      <c r="AK1245" s="625">
        <v>2696.3750399999999</v>
      </c>
      <c r="AL1245" s="625">
        <v>2809.2409500000003</v>
      </c>
      <c r="AM1245" s="625">
        <v>2870.7421800000002</v>
      </c>
      <c r="AN1245" s="625">
        <v>2954.1050700000005</v>
      </c>
      <c r="AO1245" s="625">
        <v>3868.6690600000006</v>
      </c>
      <c r="AP1245" s="41" t="str">
        <f t="shared" si="585"/>
        <v>Reg AssetR</v>
      </c>
      <c r="AQ1245" s="41" t="str">
        <f t="shared" si="586"/>
        <v>Reg AssetRR10Russell Decommissioning Reserve</v>
      </c>
      <c r="AR1245" s="41" t="str">
        <f t="shared" si="587"/>
        <v>R10Russell Decommissioning Reserve</v>
      </c>
      <c r="CK1245" s="625"/>
    </row>
    <row r="1246" spans="1:89" s="41" customFormat="1" ht="12.75" customHeight="1">
      <c r="A1246" s="25" t="s">
        <v>746</v>
      </c>
      <c r="B1246" s="25" t="str">
        <f t="shared" si="584"/>
        <v>Reg Asset254691PLTEXPBDEFAULT</v>
      </c>
      <c r="C1246" s="736">
        <v>254691</v>
      </c>
      <c r="D1246" s="738" t="s">
        <v>2820</v>
      </c>
      <c r="E1246" s="41" t="s">
        <v>1620</v>
      </c>
      <c r="F1246" s="41" t="s">
        <v>2821</v>
      </c>
      <c r="H1246" s="736" t="s">
        <v>2694</v>
      </c>
      <c r="I1246" s="25"/>
      <c r="J1246" s="25" t="str">
        <f t="shared" si="601"/>
        <v/>
      </c>
      <c r="K1246" s="442" t="str">
        <f t="shared" si="590"/>
        <v/>
      </c>
      <c r="L1246" s="736" t="s">
        <v>2441</v>
      </c>
      <c r="M1246" s="25" t="str">
        <f t="shared" si="602"/>
        <v>R</v>
      </c>
      <c r="N1246" s="25" t="str">
        <f>IF(L1246&lt;&gt;"",VLOOKUP(L1246,Categories!$B$2:$D$41,2,FALSE),IF(F1246&lt;&gt;"","No Cat",""))</f>
        <v>Rate Base</v>
      </c>
      <c r="O1246" s="25" t="str">
        <f>IF($L1246&lt;&gt;"",VLOOKUP($L1246,Categories!$B$2:$D$41,3,FALSE),IF($F1246&lt;&gt;"","No Cat",""))</f>
        <v>Deferred Debits &amp; Credits</v>
      </c>
      <c r="P1246" s="736" t="s">
        <v>2482</v>
      </c>
      <c r="Q1246" s="25" t="str">
        <f>VLOOKUP($P1246,Allocators!$B$7:$F$19,5,FALSE)</f>
        <v>Electric</v>
      </c>
      <c r="R1246" s="737">
        <f>VLOOKUP($P1246,Allocators!$B$7:$F$19,2,FALSE)</f>
        <v>1</v>
      </c>
      <c r="S1246" s="737">
        <f>VLOOKUP($P1246,Allocators!$B$7:$F$19,3,FALSE)</f>
        <v>0</v>
      </c>
      <c r="T1246" s="737" t="str">
        <f t="shared" si="603"/>
        <v>0.0%</v>
      </c>
      <c r="U1246" s="2">
        <f t="shared" si="594"/>
        <v>-11305.875655</v>
      </c>
      <c r="V1246" s="2">
        <f t="shared" si="595"/>
        <v>0</v>
      </c>
      <c r="W1246" s="2">
        <f t="shared" si="596"/>
        <v>0</v>
      </c>
      <c r="X1246" s="2">
        <f t="shared" si="591"/>
        <v>-11305.875655</v>
      </c>
      <c r="Y1246" s="2">
        <f t="shared" si="597"/>
        <v>-11430.125770000001</v>
      </c>
      <c r="Z1246" s="2">
        <f t="shared" si="598"/>
        <v>0</v>
      </c>
      <c r="AA1246" s="2">
        <f t="shared" si="599"/>
        <v>0</v>
      </c>
      <c r="AB1246" s="2">
        <f t="shared" si="592"/>
        <v>-11430.125769999999</v>
      </c>
      <c r="AC1246" s="734">
        <v>-11159.034609999999</v>
      </c>
      <c r="AD1246" s="625">
        <v>-11159.034609999999</v>
      </c>
      <c r="AE1246" s="625">
        <v>-11159.034609999999</v>
      </c>
      <c r="AF1246" s="625">
        <v>-11159.034609999999</v>
      </c>
      <c r="AG1246" s="625">
        <v>-11159.034609999999</v>
      </c>
      <c r="AH1246" s="625">
        <v>-11159.034609999999</v>
      </c>
      <c r="AI1246" s="625">
        <v>-11430.125769999999</v>
      </c>
      <c r="AJ1246" s="625">
        <v>-11430.125769999999</v>
      </c>
      <c r="AK1246" s="625">
        <v>-11430.125769999999</v>
      </c>
      <c r="AL1246" s="625">
        <v>-11430.125769999999</v>
      </c>
      <c r="AM1246" s="625">
        <v>-11430.125769999999</v>
      </c>
      <c r="AN1246" s="625">
        <v>-11430.125769999999</v>
      </c>
      <c r="AO1246" s="625">
        <v>-11430.125769999999</v>
      </c>
      <c r="AP1246" s="41" t="str">
        <f t="shared" si="585"/>
        <v>Reg AssetR</v>
      </c>
      <c r="AQ1246" s="41" t="str">
        <f t="shared" si="586"/>
        <v>Reg AssetRR10Russell Decommissioning Reserve</v>
      </c>
      <c r="AR1246" s="41" t="str">
        <f t="shared" si="587"/>
        <v>R10Russell Decommissioning Reserve</v>
      </c>
      <c r="CK1246" s="625"/>
    </row>
    <row r="1247" spans="1:89" s="41" customFormat="1" ht="12.75" customHeight="1">
      <c r="A1247" s="25" t="s">
        <v>746</v>
      </c>
      <c r="B1247" s="25" t="str">
        <f t="shared" si="584"/>
        <v>Reg Asset254907Excess DITBT010080</v>
      </c>
      <c r="C1247" s="736">
        <v>254907</v>
      </c>
      <c r="D1247" s="738" t="s">
        <v>1485</v>
      </c>
      <c r="E1247" s="41" t="s">
        <v>1484</v>
      </c>
      <c r="F1247" s="41" t="str">
        <f t="shared" si="583"/>
        <v>EXCESS STATE DIT NON NCR ITEMS-ELECTRIC</v>
      </c>
      <c r="G1247" s="41" t="s">
        <v>1486</v>
      </c>
      <c r="H1247" s="736" t="s">
        <v>1487</v>
      </c>
      <c r="I1247" s="25"/>
      <c r="J1247" s="25" t="str">
        <f t="shared" si="593"/>
        <v/>
      </c>
      <c r="K1247" s="442" t="str">
        <f t="shared" si="590"/>
        <v/>
      </c>
      <c r="L1247" s="736" t="s">
        <v>2441</v>
      </c>
      <c r="M1247" s="25" t="str">
        <f t="shared" si="588"/>
        <v>R</v>
      </c>
      <c r="N1247" s="25" t="str">
        <f>IF(L1247&lt;&gt;"",VLOOKUP(L1247,Categories!$B$2:$D$41,2,FALSE),IF(F1247&lt;&gt;"","No Cat",""))</f>
        <v>Rate Base</v>
      </c>
      <c r="O1247" s="25" t="str">
        <f>IF($L1247&lt;&gt;"",VLOOKUP($L1247,Categories!$B$2:$D$41,3,FALSE),IF($F1247&lt;&gt;"","No Cat",""))</f>
        <v>Deferred Debits &amp; Credits</v>
      </c>
      <c r="P1247" s="736" t="s">
        <v>2482</v>
      </c>
      <c r="Q1247" s="25" t="str">
        <f>VLOOKUP($P1247,Allocators!$B$7:$F$19,5,FALSE)</f>
        <v>Electric</v>
      </c>
      <c r="R1247" s="737">
        <f>VLOOKUP($P1247,Allocators!$B$7:$F$19,2,FALSE)</f>
        <v>1</v>
      </c>
      <c r="S1247" s="737">
        <f>VLOOKUP($P1247,Allocators!$B$7:$F$19,3,FALSE)</f>
        <v>0</v>
      </c>
      <c r="T1247" s="737" t="str">
        <f t="shared" si="589"/>
        <v>0.0%</v>
      </c>
      <c r="U1247" s="2">
        <f t="shared" si="594"/>
        <v>5E-15</v>
      </c>
      <c r="V1247" s="2">
        <f t="shared" si="595"/>
        <v>0</v>
      </c>
      <c r="W1247" s="2">
        <f t="shared" si="596"/>
        <v>0</v>
      </c>
      <c r="X1247" s="2">
        <f t="shared" si="591"/>
        <v>5E-15</v>
      </c>
      <c r="Y1247" s="2" t="str">
        <f t="shared" si="597"/>
        <v/>
      </c>
      <c r="Z1247" s="2" t="str">
        <f t="shared" si="598"/>
        <v/>
      </c>
      <c r="AA1247" s="2" t="str">
        <f t="shared" si="599"/>
        <v/>
      </c>
      <c r="AB1247" s="2">
        <f t="shared" si="592"/>
        <v>0</v>
      </c>
      <c r="AC1247" s="734">
        <v>1.2369127944111825E-13</v>
      </c>
      <c r="AD1247" s="625">
        <v>0</v>
      </c>
      <c r="AE1247" s="625">
        <v>0</v>
      </c>
      <c r="AF1247" s="38">
        <v>0</v>
      </c>
      <c r="AG1247" s="625">
        <v>0</v>
      </c>
      <c r="AH1247" s="625">
        <v>0</v>
      </c>
      <c r="AI1247" s="625">
        <v>0</v>
      </c>
      <c r="AJ1247" s="625">
        <v>0</v>
      </c>
      <c r="AK1247" s="625">
        <v>0</v>
      </c>
      <c r="AL1247" s="625">
        <v>0</v>
      </c>
      <c r="AM1247" s="625">
        <v>0</v>
      </c>
      <c r="AN1247" s="625">
        <v>0</v>
      </c>
      <c r="AO1247" s="625">
        <v>0</v>
      </c>
      <c r="AP1247" s="41" t="str">
        <f t="shared" si="585"/>
        <v>Reg AssetR</v>
      </c>
      <c r="AQ1247" s="41" t="str">
        <f t="shared" si="586"/>
        <v>Reg AssetRR10Excess NYS DIT (to 7.1%)</v>
      </c>
      <c r="AR1247" s="41" t="str">
        <f t="shared" si="587"/>
        <v>R10Excess NYS DIT (to 7.1%)</v>
      </c>
      <c r="CK1247" s="625"/>
    </row>
    <row r="1248" spans="1:89" s="41" customFormat="1" ht="12.75" customHeight="1">
      <c r="A1248" s="25" t="s">
        <v>746</v>
      </c>
      <c r="B1248" s="25" t="str">
        <f t="shared" si="584"/>
        <v>Reg Asset254908BG030472</v>
      </c>
      <c r="C1248" s="736">
        <v>254908</v>
      </c>
      <c r="D1248" s="738"/>
      <c r="E1248" s="41" t="s">
        <v>1488</v>
      </c>
      <c r="F1248" s="41" t="str">
        <f t="shared" si="583"/>
        <v>EXCESS STATE DIT NON NCR ITEMS-GAS</v>
      </c>
      <c r="G1248" s="41" t="s">
        <v>1489</v>
      </c>
      <c r="H1248" s="736" t="s">
        <v>1487</v>
      </c>
      <c r="I1248" s="25"/>
      <c r="J1248" s="25" t="str">
        <f t="shared" si="593"/>
        <v/>
      </c>
      <c r="K1248" s="442" t="str">
        <f t="shared" si="590"/>
        <v/>
      </c>
      <c r="L1248" s="736" t="s">
        <v>2441</v>
      </c>
      <c r="M1248" s="25" t="str">
        <f t="shared" si="588"/>
        <v>R</v>
      </c>
      <c r="N1248" s="25" t="str">
        <f>IF(L1248&lt;&gt;"",VLOOKUP(L1248,Categories!$B$2:$D$41,2,FALSE),IF(F1248&lt;&gt;"","No Cat",""))</f>
        <v>Rate Base</v>
      </c>
      <c r="O1248" s="25" t="str">
        <f>IF($L1248&lt;&gt;"",VLOOKUP($L1248,Categories!$B$2:$D$41,3,FALSE),IF($F1248&lt;&gt;"","No Cat",""))</f>
        <v>Deferred Debits &amp; Credits</v>
      </c>
      <c r="P1248" s="736" t="s">
        <v>2483</v>
      </c>
      <c r="Q1248" s="25" t="str">
        <f>VLOOKUP($P1248,Allocators!$B$7:$F$19,5,FALSE)</f>
        <v>Gas</v>
      </c>
      <c r="R1248" s="737">
        <f>VLOOKUP($P1248,Allocators!$B$7:$F$19,2,FALSE)</f>
        <v>0</v>
      </c>
      <c r="S1248" s="737">
        <f>VLOOKUP($P1248,Allocators!$B$7:$F$19,3,FALSE)</f>
        <v>1</v>
      </c>
      <c r="T1248" s="737" t="str">
        <f t="shared" si="589"/>
        <v>0.0%</v>
      </c>
      <c r="U1248" s="2" t="str">
        <f t="shared" si="594"/>
        <v/>
      </c>
      <c r="V1248" s="2" t="str">
        <f t="shared" si="595"/>
        <v/>
      </c>
      <c r="W1248" s="2" t="str">
        <f t="shared" si="596"/>
        <v/>
      </c>
      <c r="X1248" s="2">
        <f t="shared" si="591"/>
        <v>0</v>
      </c>
      <c r="Y1248" s="2" t="str">
        <f t="shared" si="597"/>
        <v/>
      </c>
      <c r="Z1248" s="2" t="str">
        <f t="shared" si="598"/>
        <v/>
      </c>
      <c r="AA1248" s="2" t="str">
        <f t="shared" si="599"/>
        <v/>
      </c>
      <c r="AB1248" s="2">
        <f t="shared" si="592"/>
        <v>0</v>
      </c>
      <c r="AC1248" s="625">
        <v>0</v>
      </c>
      <c r="AD1248" s="625">
        <v>0</v>
      </c>
      <c r="AE1248" s="625">
        <v>0</v>
      </c>
      <c r="AF1248" s="38">
        <v>0</v>
      </c>
      <c r="AG1248" s="625">
        <v>0</v>
      </c>
      <c r="AH1248" s="625">
        <v>0</v>
      </c>
      <c r="AI1248" s="625">
        <v>0</v>
      </c>
      <c r="AJ1248" s="625">
        <v>0</v>
      </c>
      <c r="AK1248" s="625">
        <v>0</v>
      </c>
      <c r="AL1248" s="625">
        <v>0</v>
      </c>
      <c r="AM1248" s="625">
        <v>0</v>
      </c>
      <c r="AN1248" s="625">
        <v>0</v>
      </c>
      <c r="AO1248" s="625">
        <v>0</v>
      </c>
      <c r="AP1248" s="41" t="str">
        <f t="shared" si="585"/>
        <v>Reg AssetR</v>
      </c>
      <c r="AQ1248" s="41" t="str">
        <f t="shared" si="586"/>
        <v>Reg AssetRR10Excess NYS DIT (to 7.1%)</v>
      </c>
      <c r="AR1248" s="41" t="str">
        <f t="shared" si="587"/>
        <v>R10Excess NYS DIT (to 7.1%)</v>
      </c>
      <c r="CK1248" s="625"/>
    </row>
    <row r="1249" spans="1:89" s="41" customFormat="1" ht="12.75" customHeight="1">
      <c r="A1249" s="25" t="s">
        <v>746</v>
      </c>
      <c r="B1249" s="25" t="str">
        <f t="shared" si="584"/>
        <v>Reg Asset254908BG030476</v>
      </c>
      <c r="C1249" s="736">
        <v>254908</v>
      </c>
      <c r="D1249" s="738"/>
      <c r="E1249" s="41" t="s">
        <v>1490</v>
      </c>
      <c r="F1249" s="41" t="str">
        <f t="shared" si="583"/>
        <v>EXCESS STATE DIT NON NCR ITEMS-GAS</v>
      </c>
      <c r="G1249" s="41" t="s">
        <v>1491</v>
      </c>
      <c r="H1249" s="736" t="s">
        <v>1487</v>
      </c>
      <c r="I1249" s="25"/>
      <c r="J1249" s="25" t="str">
        <f t="shared" si="593"/>
        <v/>
      </c>
      <c r="K1249" s="442" t="str">
        <f t="shared" si="590"/>
        <v/>
      </c>
      <c r="L1249" s="736" t="s">
        <v>2441</v>
      </c>
      <c r="M1249" s="25" t="str">
        <f t="shared" si="588"/>
        <v>R</v>
      </c>
      <c r="N1249" s="25" t="str">
        <f>IF(L1249&lt;&gt;"",VLOOKUP(L1249,Categories!$B$2:$D$41,2,FALSE),IF(F1249&lt;&gt;"","No Cat",""))</f>
        <v>Rate Base</v>
      </c>
      <c r="O1249" s="25" t="str">
        <f>IF($L1249&lt;&gt;"",VLOOKUP($L1249,Categories!$B$2:$D$41,3,FALSE),IF($F1249&lt;&gt;"","No Cat",""))</f>
        <v>Deferred Debits &amp; Credits</v>
      </c>
      <c r="P1249" s="736" t="s">
        <v>2483</v>
      </c>
      <c r="Q1249" s="25" t="str">
        <f>VLOOKUP($P1249,Allocators!$B$7:$F$19,5,FALSE)</f>
        <v>Gas</v>
      </c>
      <c r="R1249" s="737">
        <f>VLOOKUP($P1249,Allocators!$B$7:$F$19,2,FALSE)</f>
        <v>0</v>
      </c>
      <c r="S1249" s="737">
        <f>VLOOKUP($P1249,Allocators!$B$7:$F$19,3,FALSE)</f>
        <v>1</v>
      </c>
      <c r="T1249" s="737" t="str">
        <f t="shared" si="589"/>
        <v>0.0%</v>
      </c>
      <c r="U1249" s="2" t="str">
        <f t="shared" si="594"/>
        <v/>
      </c>
      <c r="V1249" s="2" t="str">
        <f t="shared" si="595"/>
        <v/>
      </c>
      <c r="W1249" s="2" t="str">
        <f t="shared" si="596"/>
        <v/>
      </c>
      <c r="X1249" s="2">
        <f t="shared" si="591"/>
        <v>0</v>
      </c>
      <c r="Y1249" s="2" t="str">
        <f t="shared" si="597"/>
        <v/>
      </c>
      <c r="Z1249" s="2" t="str">
        <f t="shared" si="598"/>
        <v/>
      </c>
      <c r="AA1249" s="2" t="str">
        <f t="shared" si="599"/>
        <v/>
      </c>
      <c r="AB1249" s="2">
        <f t="shared" si="592"/>
        <v>0</v>
      </c>
      <c r="AC1249" s="625">
        <v>0</v>
      </c>
      <c r="AD1249" s="625">
        <v>0</v>
      </c>
      <c r="AE1249" s="625">
        <v>0</v>
      </c>
      <c r="AF1249" s="38">
        <v>0</v>
      </c>
      <c r="AG1249" s="625">
        <v>0</v>
      </c>
      <c r="AH1249" s="625">
        <v>0</v>
      </c>
      <c r="AI1249" s="625">
        <v>0</v>
      </c>
      <c r="AJ1249" s="625">
        <v>0</v>
      </c>
      <c r="AK1249" s="625">
        <v>0</v>
      </c>
      <c r="AL1249" s="625">
        <v>0</v>
      </c>
      <c r="AM1249" s="625">
        <v>0</v>
      </c>
      <c r="AN1249" s="625">
        <v>0</v>
      </c>
      <c r="AO1249" s="625">
        <v>0</v>
      </c>
      <c r="AP1249" s="41" t="str">
        <f t="shared" si="585"/>
        <v>Reg AssetR</v>
      </c>
      <c r="AQ1249" s="41" t="str">
        <f t="shared" si="586"/>
        <v>Reg AssetRR10Excess NYS DIT (to 7.1%)</v>
      </c>
      <c r="AR1249" s="41" t="str">
        <f t="shared" si="587"/>
        <v>R10Excess NYS DIT (to 7.1%)</v>
      </c>
      <c r="CK1249" s="625"/>
    </row>
    <row r="1250" spans="1:89" s="41" customFormat="1" ht="12.75" customHeight="1">
      <c r="A1250" s="25" t="s">
        <v>746</v>
      </c>
      <c r="B1250" s="25" t="str">
        <f t="shared" si="584"/>
        <v>Reg Asset254908BDFAULT</v>
      </c>
      <c r="C1250" s="736">
        <v>254908</v>
      </c>
      <c r="D1250" s="738"/>
      <c r="E1250" s="41" t="s">
        <v>1492</v>
      </c>
      <c r="F1250" s="41" t="str">
        <f t="shared" si="583"/>
        <v>EXCESS STATE DIT NON NCR ITEMS-GAS</v>
      </c>
      <c r="G1250" s="41" t="s">
        <v>1493</v>
      </c>
      <c r="H1250" s="736" t="s">
        <v>1487</v>
      </c>
      <c r="I1250" s="25"/>
      <c r="J1250" s="25" t="str">
        <f t="shared" si="593"/>
        <v/>
      </c>
      <c r="K1250" s="442" t="str">
        <f t="shared" si="590"/>
        <v/>
      </c>
      <c r="L1250" s="736" t="s">
        <v>2441</v>
      </c>
      <c r="M1250" s="25" t="str">
        <f t="shared" si="588"/>
        <v>R</v>
      </c>
      <c r="N1250" s="25" t="str">
        <f>IF(L1250&lt;&gt;"",VLOOKUP(L1250,Categories!$B$2:$D$41,2,FALSE),IF(F1250&lt;&gt;"","No Cat",""))</f>
        <v>Rate Base</v>
      </c>
      <c r="O1250" s="25" t="str">
        <f>IF($L1250&lt;&gt;"",VLOOKUP($L1250,Categories!$B$2:$D$41,3,FALSE),IF($F1250&lt;&gt;"","No Cat",""))</f>
        <v>Deferred Debits &amp; Credits</v>
      </c>
      <c r="P1250" s="736" t="s">
        <v>2483</v>
      </c>
      <c r="Q1250" s="25" t="str">
        <f>VLOOKUP($P1250,Allocators!$B$7:$F$19,5,FALSE)</f>
        <v>Gas</v>
      </c>
      <c r="R1250" s="737">
        <f>VLOOKUP($P1250,Allocators!$B$7:$F$19,2,FALSE)</f>
        <v>0</v>
      </c>
      <c r="S1250" s="737">
        <f>VLOOKUP($P1250,Allocators!$B$7:$F$19,3,FALSE)</f>
        <v>1</v>
      </c>
      <c r="T1250" s="737" t="str">
        <f t="shared" si="589"/>
        <v>0.0%</v>
      </c>
      <c r="U1250" s="2" t="str">
        <f t="shared" si="594"/>
        <v/>
      </c>
      <c r="V1250" s="2" t="str">
        <f t="shared" si="595"/>
        <v/>
      </c>
      <c r="W1250" s="2" t="str">
        <f t="shared" si="596"/>
        <v/>
      </c>
      <c r="X1250" s="2">
        <f t="shared" si="591"/>
        <v>0</v>
      </c>
      <c r="Y1250" s="2" t="str">
        <f t="shared" si="597"/>
        <v/>
      </c>
      <c r="Z1250" s="2" t="str">
        <f t="shared" si="598"/>
        <v/>
      </c>
      <c r="AA1250" s="2" t="str">
        <f t="shared" si="599"/>
        <v/>
      </c>
      <c r="AB1250" s="2">
        <f t="shared" si="592"/>
        <v>0</v>
      </c>
      <c r="AC1250" s="734">
        <v>0</v>
      </c>
      <c r="AD1250" s="625">
        <v>0</v>
      </c>
      <c r="AE1250" s="625">
        <v>0</v>
      </c>
      <c r="AF1250" s="38">
        <v>0</v>
      </c>
      <c r="AG1250" s="625">
        <v>0</v>
      </c>
      <c r="AH1250" s="625">
        <v>0</v>
      </c>
      <c r="AI1250" s="625">
        <v>0</v>
      </c>
      <c r="AJ1250" s="625">
        <v>0</v>
      </c>
      <c r="AK1250" s="625">
        <v>0</v>
      </c>
      <c r="AL1250" s="625">
        <v>0</v>
      </c>
      <c r="AM1250" s="625">
        <v>0</v>
      </c>
      <c r="AN1250" s="625">
        <v>0</v>
      </c>
      <c r="AO1250" s="625">
        <v>0</v>
      </c>
      <c r="AP1250" s="41" t="str">
        <f t="shared" si="585"/>
        <v>Reg AssetR</v>
      </c>
      <c r="AQ1250" s="41" t="str">
        <f t="shared" si="586"/>
        <v>Reg AssetRR10Excess NYS DIT (to 7.1%)</v>
      </c>
      <c r="AR1250" s="41" t="str">
        <f t="shared" si="587"/>
        <v>R10Excess NYS DIT (to 7.1%)</v>
      </c>
      <c r="CK1250" s="625"/>
    </row>
    <row r="1251" spans="1:89" s="41" customFormat="1" ht="12.75" customHeight="1">
      <c r="A1251" s="25" t="s">
        <v>746</v>
      </c>
      <c r="B1251" s="25" t="str">
        <f t="shared" si="584"/>
        <v>Reg Asset254908Excess DITBT010080</v>
      </c>
      <c r="C1251" s="736">
        <v>254908</v>
      </c>
      <c r="D1251" s="738" t="s">
        <v>1485</v>
      </c>
      <c r="E1251" s="41" t="s">
        <v>1484</v>
      </c>
      <c r="F1251" s="41" t="str">
        <f t="shared" si="583"/>
        <v>EXCESS STATE DIT NON NCR ITEMS-GAS</v>
      </c>
      <c r="G1251" s="41" t="s">
        <v>1494</v>
      </c>
      <c r="H1251" s="736" t="s">
        <v>1487</v>
      </c>
      <c r="I1251" s="25"/>
      <c r="J1251" s="25" t="str">
        <f t="shared" si="593"/>
        <v/>
      </c>
      <c r="K1251" s="442" t="str">
        <f t="shared" si="590"/>
        <v/>
      </c>
      <c r="L1251" s="736" t="s">
        <v>2441</v>
      </c>
      <c r="M1251" s="25" t="str">
        <f t="shared" si="588"/>
        <v>R</v>
      </c>
      <c r="N1251" s="25" t="str">
        <f>IF(L1251&lt;&gt;"",VLOOKUP(L1251,Categories!$B$2:$D$41,2,FALSE),IF(F1251&lt;&gt;"","No Cat",""))</f>
        <v>Rate Base</v>
      </c>
      <c r="O1251" s="25" t="str">
        <f>IF($L1251&lt;&gt;"",VLOOKUP($L1251,Categories!$B$2:$D$41,3,FALSE),IF($F1251&lt;&gt;"","No Cat",""))</f>
        <v>Deferred Debits &amp; Credits</v>
      </c>
      <c r="P1251" s="736" t="s">
        <v>2483</v>
      </c>
      <c r="Q1251" s="25" t="str">
        <f>VLOOKUP($P1251,Allocators!$B$7:$F$19,5,FALSE)</f>
        <v>Gas</v>
      </c>
      <c r="R1251" s="737">
        <f>VLOOKUP($P1251,Allocators!$B$7:$F$19,2,FALSE)</f>
        <v>0</v>
      </c>
      <c r="S1251" s="737">
        <f>VLOOKUP($P1251,Allocators!$B$7:$F$19,3,FALSE)</f>
        <v>1</v>
      </c>
      <c r="T1251" s="737" t="str">
        <f t="shared" si="589"/>
        <v>0.0%</v>
      </c>
      <c r="U1251" s="2">
        <f t="shared" si="594"/>
        <v>0</v>
      </c>
      <c r="V1251" s="2">
        <f t="shared" si="595"/>
        <v>1.0000000000000001E-15</v>
      </c>
      <c r="W1251" s="2">
        <f t="shared" si="596"/>
        <v>0</v>
      </c>
      <c r="X1251" s="2">
        <f t="shared" si="591"/>
        <v>1.0000000000000001E-15</v>
      </c>
      <c r="Y1251" s="2" t="str">
        <f t="shared" si="597"/>
        <v/>
      </c>
      <c r="Z1251" s="2" t="str">
        <f t="shared" si="598"/>
        <v/>
      </c>
      <c r="AA1251" s="2" t="str">
        <f t="shared" si="599"/>
        <v/>
      </c>
      <c r="AB1251" s="2">
        <f t="shared" si="592"/>
        <v>0</v>
      </c>
      <c r="AC1251" s="734">
        <v>1.4551915228366852E-14</v>
      </c>
      <c r="AD1251" s="625">
        <v>0</v>
      </c>
      <c r="AE1251" s="625">
        <v>0</v>
      </c>
      <c r="AF1251" s="38">
        <v>0</v>
      </c>
      <c r="AG1251" s="625">
        <v>0</v>
      </c>
      <c r="AH1251" s="625">
        <v>0</v>
      </c>
      <c r="AI1251" s="625">
        <v>0</v>
      </c>
      <c r="AJ1251" s="625">
        <v>0</v>
      </c>
      <c r="AK1251" s="625">
        <v>0</v>
      </c>
      <c r="AL1251" s="625">
        <v>0</v>
      </c>
      <c r="AM1251" s="625">
        <v>0</v>
      </c>
      <c r="AN1251" s="625">
        <v>0</v>
      </c>
      <c r="AO1251" s="625">
        <v>0</v>
      </c>
      <c r="AP1251" s="41" t="str">
        <f t="shared" si="585"/>
        <v>Reg AssetR</v>
      </c>
      <c r="AQ1251" s="41" t="str">
        <f t="shared" si="586"/>
        <v>Reg AssetRR10Excess NYS DIT (to 7.1%)</v>
      </c>
      <c r="AR1251" s="41" t="str">
        <f t="shared" si="587"/>
        <v>R10Excess NYS DIT (to 7.1%)</v>
      </c>
      <c r="CK1251" s="625"/>
    </row>
    <row r="1252" spans="1:89" s="41" customFormat="1" ht="12.75" customHeight="1">
      <c r="A1252" s="442" t="s">
        <v>746</v>
      </c>
      <c r="B1252" s="442" t="str">
        <f t="shared" si="584"/>
        <v>Reg Asset254994BE030557</v>
      </c>
      <c r="C1252" s="736">
        <v>254994</v>
      </c>
      <c r="D1252" s="738"/>
      <c r="E1252" s="626" t="s">
        <v>1495</v>
      </c>
      <c r="F1252" s="626" t="str">
        <f t="shared" si="583"/>
        <v>RECLASS OTH REG LIAB-ASGA-ELEC (WITH ACCT 254995)</v>
      </c>
      <c r="G1252" s="626" t="s">
        <v>1496</v>
      </c>
      <c r="H1252" s="736" t="s">
        <v>8</v>
      </c>
      <c r="I1252" s="442"/>
      <c r="J1252" s="442" t="str">
        <f t="shared" si="593"/>
        <v/>
      </c>
      <c r="K1252" s="442" t="str">
        <f t="shared" si="590"/>
        <v>Y</v>
      </c>
      <c r="L1252" s="736" t="s">
        <v>2423</v>
      </c>
      <c r="M1252" s="442" t="str">
        <f t="shared" si="588"/>
        <v>N</v>
      </c>
      <c r="N1252" s="442" t="str">
        <f>IF(L1252&lt;&gt;"",VLOOKUP(L1252,Categories!$B$2:$D$41,2,FALSE),IF(F1252&lt;&gt;"","No Cat",""))</f>
        <v>NRBASE</v>
      </c>
      <c r="O1252" s="442" t="str">
        <f>IF($L1252&lt;&gt;"",VLOOKUP($L1252,Categories!$B$2:$D$41,3,FALSE),IF($F1252&lt;&gt;"","No Cat",""))</f>
        <v>SFAS-109   (offsetting)</v>
      </c>
      <c r="P1252" s="736" t="s">
        <v>2468</v>
      </c>
      <c r="Q1252" s="442" t="str">
        <f>VLOOKUP($P1252,Allocators!$B$7:$F$19,5,FALSE)</f>
        <v>Not in Rate Base</v>
      </c>
      <c r="R1252" s="737">
        <f>VLOOKUP($P1252,Allocators!$B$7:$F$19,2,FALSE)</f>
        <v>0</v>
      </c>
      <c r="S1252" s="737">
        <f>VLOOKUP($P1252,Allocators!$B$7:$F$19,3,FALSE)</f>
        <v>0</v>
      </c>
      <c r="T1252" s="737">
        <f t="shared" si="589"/>
        <v>1</v>
      </c>
      <c r="U1252" s="2">
        <f t="shared" si="594"/>
        <v>0</v>
      </c>
      <c r="V1252" s="2">
        <f t="shared" si="595"/>
        <v>0</v>
      </c>
      <c r="W1252" s="2">
        <f t="shared" si="596"/>
        <v>-2338.02882083333</v>
      </c>
      <c r="X1252" s="2">
        <f t="shared" si="591"/>
        <v>-2338.02882083333</v>
      </c>
      <c r="Y1252" s="2">
        <f t="shared" si="597"/>
        <v>0</v>
      </c>
      <c r="Z1252" s="2">
        <f t="shared" si="598"/>
        <v>0</v>
      </c>
      <c r="AA1252" s="2">
        <f t="shared" si="599"/>
        <v>-1892.8362099999999</v>
      </c>
      <c r="AB1252" s="2">
        <f t="shared" si="592"/>
        <v>-1892.8362100000011</v>
      </c>
      <c r="AC1252" s="734">
        <v>-3689.3691899999999</v>
      </c>
      <c r="AD1252" s="625">
        <v>-4613.2142000000013</v>
      </c>
      <c r="AE1252" s="625">
        <v>-2172.52819</v>
      </c>
      <c r="AF1252" s="625">
        <v>-2152.1052</v>
      </c>
      <c r="AG1252" s="625">
        <v>-2131.5672000000004</v>
      </c>
      <c r="AH1252" s="625">
        <v>-2110.9122000000011</v>
      </c>
      <c r="AI1252" s="625">
        <v>-2090.1641900000013</v>
      </c>
      <c r="AJ1252" s="625">
        <v>-2069.2821900000013</v>
      </c>
      <c r="AK1252" s="625">
        <v>-2048.2752100000012</v>
      </c>
      <c r="AL1252" s="625">
        <v>-2027.148190000001</v>
      </c>
      <c r="AM1252" s="625">
        <v>-1935.7221900000011</v>
      </c>
      <c r="AN1252" s="625">
        <v>-1914.3241900000012</v>
      </c>
      <c r="AO1252" s="625">
        <v>-1892.8362100000011</v>
      </c>
      <c r="AP1252" s="41" t="str">
        <f t="shared" si="585"/>
        <v>Reg AssetN</v>
      </c>
      <c r="AQ1252" s="41" t="str">
        <f t="shared" si="586"/>
        <v>Reg AssetNN3SFAS 109</v>
      </c>
      <c r="AR1252" s="41" t="str">
        <f t="shared" si="587"/>
        <v>N3SFAS 109</v>
      </c>
      <c r="CK1252" s="625"/>
    </row>
    <row r="1253" spans="1:89" s="41" customFormat="1" ht="12.75" customHeight="1">
      <c r="A1253" s="442" t="s">
        <v>746</v>
      </c>
      <c r="B1253" s="442" t="str">
        <f t="shared" si="584"/>
        <v>Reg Asset254995BE030558</v>
      </c>
      <c r="C1253" s="736">
        <v>254995</v>
      </c>
      <c r="D1253" s="738"/>
      <c r="E1253" s="626" t="s">
        <v>1497</v>
      </c>
      <c r="F1253" s="626" t="str">
        <f t="shared" si="583"/>
        <v>RECLASS OTH REG LIAB-ASGA-ELEC (WITH ACCT 254994)</v>
      </c>
      <c r="G1253" s="626" t="s">
        <v>1496</v>
      </c>
      <c r="H1253" s="736" t="s">
        <v>8</v>
      </c>
      <c r="I1253" s="442"/>
      <c r="J1253" s="442" t="str">
        <f t="shared" si="593"/>
        <v/>
      </c>
      <c r="K1253" s="442" t="str">
        <f t="shared" si="590"/>
        <v>Y</v>
      </c>
      <c r="L1253" s="736" t="s">
        <v>2423</v>
      </c>
      <c r="M1253" s="442" t="str">
        <f t="shared" si="588"/>
        <v>N</v>
      </c>
      <c r="N1253" s="442" t="str">
        <f>IF(L1253&lt;&gt;"",VLOOKUP(L1253,Categories!$B$2:$D$41,2,FALSE),IF(F1253&lt;&gt;"","No Cat",""))</f>
        <v>NRBASE</v>
      </c>
      <c r="O1253" s="442" t="str">
        <f>IF($L1253&lt;&gt;"",VLOOKUP($L1253,Categories!$B$2:$D$41,3,FALSE),IF($F1253&lt;&gt;"","No Cat",""))</f>
        <v>SFAS-109   (offsetting)</v>
      </c>
      <c r="P1253" s="736" t="s">
        <v>2468</v>
      </c>
      <c r="Q1253" s="442" t="str">
        <f>VLOOKUP($P1253,Allocators!$B$7:$F$19,5,FALSE)</f>
        <v>Not in Rate Base</v>
      </c>
      <c r="R1253" s="737">
        <f>VLOOKUP($P1253,Allocators!$B$7:$F$19,2,FALSE)</f>
        <v>0</v>
      </c>
      <c r="S1253" s="737">
        <f>VLOOKUP($P1253,Allocators!$B$7:$F$19,3,FALSE)</f>
        <v>0</v>
      </c>
      <c r="T1253" s="737">
        <f t="shared" si="589"/>
        <v>1</v>
      </c>
      <c r="U1253" s="2">
        <f t="shared" si="594"/>
        <v>0</v>
      </c>
      <c r="V1253" s="2">
        <f t="shared" si="595"/>
        <v>0</v>
      </c>
      <c r="W1253" s="2">
        <f t="shared" si="596"/>
        <v>2338.02882083333</v>
      </c>
      <c r="X1253" s="2">
        <f t="shared" si="591"/>
        <v>2338.02882083333</v>
      </c>
      <c r="Y1253" s="2">
        <f t="shared" si="597"/>
        <v>0</v>
      </c>
      <c r="Z1253" s="2">
        <f t="shared" si="598"/>
        <v>0</v>
      </c>
      <c r="AA1253" s="2">
        <f t="shared" si="599"/>
        <v>1892.8362099999999</v>
      </c>
      <c r="AB1253" s="2">
        <f t="shared" si="592"/>
        <v>1892.8362100000011</v>
      </c>
      <c r="AC1253" s="734">
        <v>3689.3691899999999</v>
      </c>
      <c r="AD1253" s="625">
        <v>4613.2142000000013</v>
      </c>
      <c r="AE1253" s="625">
        <v>2172.52819</v>
      </c>
      <c r="AF1253" s="625">
        <v>2152.1052</v>
      </c>
      <c r="AG1253" s="625">
        <v>2131.5672000000004</v>
      </c>
      <c r="AH1253" s="625">
        <v>2110.9122000000011</v>
      </c>
      <c r="AI1253" s="625">
        <v>2090.1641900000013</v>
      </c>
      <c r="AJ1253" s="625">
        <v>2069.2821900000013</v>
      </c>
      <c r="AK1253" s="625">
        <v>2048.2752100000012</v>
      </c>
      <c r="AL1253" s="625">
        <v>2027.148190000001</v>
      </c>
      <c r="AM1253" s="625">
        <v>1935.7221900000011</v>
      </c>
      <c r="AN1253" s="625">
        <v>1914.3241900000012</v>
      </c>
      <c r="AO1253" s="625">
        <v>1892.8362100000011</v>
      </c>
      <c r="AP1253" s="41" t="str">
        <f t="shared" si="585"/>
        <v>Reg AssetN</v>
      </c>
      <c r="AQ1253" s="41" t="str">
        <f t="shared" si="586"/>
        <v>Reg AssetNN3SFAS 109</v>
      </c>
      <c r="AR1253" s="41" t="str">
        <f t="shared" si="587"/>
        <v>N3SFAS 109</v>
      </c>
      <c r="CK1253" s="625"/>
    </row>
    <row r="1254" spans="1:89" s="41" customFormat="1" ht="12.75" customHeight="1">
      <c r="A1254" s="442" t="s">
        <v>746</v>
      </c>
      <c r="B1254" s="442" t="str">
        <f t="shared" si="584"/>
        <v>Reg Asset254996BE030185</v>
      </c>
      <c r="C1254" s="736">
        <v>254996</v>
      </c>
      <c r="D1254" s="738"/>
      <c r="E1254" s="626" t="s">
        <v>1498</v>
      </c>
      <c r="F1254" s="626" t="str">
        <f t="shared" si="583"/>
        <v>OTH REG LIAB-UNFUNDED FUTURE FED IT-ELEC</v>
      </c>
      <c r="G1254" s="626" t="s">
        <v>1499</v>
      </c>
      <c r="H1254" s="736" t="s">
        <v>8</v>
      </c>
      <c r="I1254" s="442"/>
      <c r="J1254" s="442" t="str">
        <f t="shared" si="593"/>
        <v/>
      </c>
      <c r="K1254" s="442" t="str">
        <f t="shared" si="590"/>
        <v>Y</v>
      </c>
      <c r="L1254" s="736" t="s">
        <v>2423</v>
      </c>
      <c r="M1254" s="442" t="str">
        <f t="shared" si="588"/>
        <v>N</v>
      </c>
      <c r="N1254" s="442" t="str">
        <f>IF(L1254&lt;&gt;"",VLOOKUP(L1254,Categories!$B$2:$D$41,2,FALSE),IF(F1254&lt;&gt;"","No Cat",""))</f>
        <v>NRBASE</v>
      </c>
      <c r="O1254" s="442" t="str">
        <f>IF($L1254&lt;&gt;"",VLOOKUP($L1254,Categories!$B$2:$D$41,3,FALSE),IF($F1254&lt;&gt;"","No Cat",""))</f>
        <v>SFAS-109   (offsetting)</v>
      </c>
      <c r="P1254" s="736" t="s">
        <v>2468</v>
      </c>
      <c r="Q1254" s="442" t="str">
        <f>VLOOKUP($P1254,Allocators!$B$7:$F$19,5,FALSE)</f>
        <v>Not in Rate Base</v>
      </c>
      <c r="R1254" s="737">
        <f>VLOOKUP($P1254,Allocators!$B$7:$F$19,2,FALSE)</f>
        <v>0</v>
      </c>
      <c r="S1254" s="737">
        <f>VLOOKUP($P1254,Allocators!$B$7:$F$19,3,FALSE)</f>
        <v>0</v>
      </c>
      <c r="T1254" s="737">
        <f t="shared" si="589"/>
        <v>1</v>
      </c>
      <c r="U1254" s="2" t="str">
        <f t="shared" si="594"/>
        <v/>
      </c>
      <c r="V1254" s="2" t="str">
        <f t="shared" si="595"/>
        <v/>
      </c>
      <c r="W1254" s="2" t="str">
        <f t="shared" si="596"/>
        <v/>
      </c>
      <c r="X1254" s="2">
        <f t="shared" si="591"/>
        <v>0</v>
      </c>
      <c r="Y1254" s="2" t="str">
        <f t="shared" si="597"/>
        <v/>
      </c>
      <c r="Z1254" s="2" t="str">
        <f t="shared" si="598"/>
        <v/>
      </c>
      <c r="AA1254" s="2" t="str">
        <f t="shared" si="599"/>
        <v/>
      </c>
      <c r="AB1254" s="2">
        <f t="shared" si="592"/>
        <v>0</v>
      </c>
      <c r="AC1254" s="625"/>
      <c r="AD1254" s="625">
        <v>0</v>
      </c>
      <c r="AE1254" s="625">
        <v>0</v>
      </c>
      <c r="AF1254" s="38"/>
      <c r="AH1254" s="625">
        <v>0</v>
      </c>
      <c r="AI1254" s="625">
        <v>0</v>
      </c>
      <c r="AJ1254" s="625">
        <v>0</v>
      </c>
      <c r="AK1254" s="625">
        <v>0</v>
      </c>
      <c r="AL1254" s="625">
        <v>0</v>
      </c>
      <c r="AM1254" s="625">
        <v>0</v>
      </c>
      <c r="AN1254" s="625">
        <v>0</v>
      </c>
      <c r="AO1254" s="625">
        <v>0</v>
      </c>
      <c r="AP1254" s="41" t="str">
        <f t="shared" si="585"/>
        <v>Reg AssetN</v>
      </c>
      <c r="AQ1254" s="41" t="str">
        <f t="shared" si="586"/>
        <v>Reg AssetNN3SFAS 109</v>
      </c>
      <c r="AR1254" s="41" t="str">
        <f t="shared" si="587"/>
        <v>N3SFAS 109</v>
      </c>
      <c r="CK1254" s="625"/>
    </row>
    <row r="1255" spans="1:89" s="41" customFormat="1" ht="12.75" customHeight="1">
      <c r="A1255" s="25" t="s">
        <v>746</v>
      </c>
      <c r="B1255" s="25" t="str">
        <f t="shared" si="584"/>
        <v>Reg Asset254266BE030149</v>
      </c>
      <c r="C1255" s="736">
        <v>254266</v>
      </c>
      <c r="D1255" s="738"/>
      <c r="E1255" s="41" t="s">
        <v>987</v>
      </c>
      <c r="F1255" s="41" t="str">
        <f t="shared" si="583"/>
        <v>OTH REGULATORY LIAB-DSO ELECTRIC HEDGES (GAINS)</v>
      </c>
      <c r="G1255" s="41" t="s">
        <v>1500</v>
      </c>
      <c r="H1255" s="736" t="s">
        <v>1501</v>
      </c>
      <c r="I1255" s="25"/>
      <c r="J1255" s="25" t="str">
        <f t="shared" si="593"/>
        <v/>
      </c>
      <c r="K1255" s="442" t="str">
        <f t="shared" si="590"/>
        <v/>
      </c>
      <c r="L1255" s="736" t="s">
        <v>2441</v>
      </c>
      <c r="M1255" s="25" t="str">
        <f t="shared" si="588"/>
        <v>R</v>
      </c>
      <c r="N1255" s="25" t="str">
        <f>IF(L1255&lt;&gt;"",VLOOKUP(L1255,Categories!$B$2:$D$41,2,FALSE),IF(F1255&lt;&gt;"","No Cat",""))</f>
        <v>Rate Base</v>
      </c>
      <c r="O1255" s="25" t="str">
        <f>IF($L1255&lt;&gt;"",VLOOKUP($L1255,Categories!$B$2:$D$41,3,FALSE),IF($F1255&lt;&gt;"","No Cat",""))</f>
        <v>Deferred Debits &amp; Credits</v>
      </c>
      <c r="P1255" s="736" t="s">
        <v>2482</v>
      </c>
      <c r="Q1255" s="25" t="str">
        <f>VLOOKUP($P1255,Allocators!$B$7:$F$19,5,FALSE)</f>
        <v>Electric</v>
      </c>
      <c r="R1255" s="737">
        <f>VLOOKUP($P1255,Allocators!$B$7:$F$19,2,FALSE)</f>
        <v>1</v>
      </c>
      <c r="S1255" s="737">
        <f>VLOOKUP($P1255,Allocators!$B$7:$F$19,3,FALSE)</f>
        <v>0</v>
      </c>
      <c r="T1255" s="737" t="str">
        <f t="shared" si="589"/>
        <v>0.0%</v>
      </c>
      <c r="U1255" s="2" t="str">
        <f t="shared" si="594"/>
        <v/>
      </c>
      <c r="V1255" s="2" t="str">
        <f t="shared" si="595"/>
        <v/>
      </c>
      <c r="W1255" s="2" t="str">
        <f t="shared" si="596"/>
        <v/>
      </c>
      <c r="X1255" s="2">
        <f t="shared" si="591"/>
        <v>0</v>
      </c>
      <c r="Y1255" s="2" t="str">
        <f t="shared" si="597"/>
        <v/>
      </c>
      <c r="Z1255" s="2" t="str">
        <f t="shared" si="598"/>
        <v/>
      </c>
      <c r="AA1255" s="2" t="str">
        <f t="shared" si="599"/>
        <v/>
      </c>
      <c r="AB1255" s="2">
        <f t="shared" si="592"/>
        <v>0</v>
      </c>
      <c r="AC1255" s="625"/>
      <c r="AD1255" s="625">
        <v>0</v>
      </c>
      <c r="AE1255" s="625">
        <v>0</v>
      </c>
      <c r="AH1255" s="625">
        <v>0</v>
      </c>
      <c r="AI1255" s="625">
        <v>0</v>
      </c>
      <c r="AJ1255" s="625">
        <v>0</v>
      </c>
      <c r="AK1255" s="625">
        <v>0</v>
      </c>
      <c r="AL1255" s="625">
        <v>0</v>
      </c>
      <c r="AM1255" s="625">
        <v>0</v>
      </c>
      <c r="AN1255" s="625">
        <v>0</v>
      </c>
      <c r="AO1255" s="625">
        <v>0</v>
      </c>
      <c r="AP1255" s="41" t="str">
        <f t="shared" si="585"/>
        <v>Reg AssetR</v>
      </c>
      <c r="AQ1255" s="41" t="str">
        <f t="shared" si="586"/>
        <v>Reg AssetRR10Commodity Hedge Margin</v>
      </c>
      <c r="AR1255" s="41" t="str">
        <f t="shared" si="587"/>
        <v>R10Commodity Hedge Margin</v>
      </c>
      <c r="CK1255" s="625"/>
    </row>
    <row r="1256" spans="1:89" s="41" customFormat="1" ht="12.75" customHeight="1">
      <c r="A1256" s="442" t="s">
        <v>746</v>
      </c>
      <c r="B1256" s="442" t="str">
        <f t="shared" si="584"/>
        <v>Reg Asset186010253040</v>
      </c>
      <c r="C1256" s="736">
        <v>186010</v>
      </c>
      <c r="D1256" s="738">
        <v>253040</v>
      </c>
      <c r="E1256" s="626"/>
      <c r="F1256" s="626" t="str">
        <f t="shared" si="583"/>
        <v>OTH WIP - BILLING</v>
      </c>
      <c r="G1256" s="626" t="s">
        <v>1502</v>
      </c>
      <c r="H1256" s="736">
        <v>0</v>
      </c>
      <c r="I1256" s="442"/>
      <c r="J1256" s="442" t="str">
        <f t="shared" si="593"/>
        <v/>
      </c>
      <c r="K1256" s="442" t="str">
        <f t="shared" si="590"/>
        <v/>
      </c>
      <c r="L1256" s="736" t="s">
        <v>2421</v>
      </c>
      <c r="M1256" s="442" t="str">
        <f t="shared" si="588"/>
        <v>N</v>
      </c>
      <c r="N1256" s="442" t="str">
        <f>IF(L1256&lt;&gt;"",VLOOKUP(L1256,Categories!$B$2:$D$41,2,FALSE),IF(F1256&lt;&gt;"","No Cat",""))</f>
        <v>NRBASE</v>
      </c>
      <c r="O1256" s="442" t="str">
        <f>IF($L1256&lt;&gt;"",VLOOKUP($L1256,Categories!$B$2:$D$41,3,FALSE),IF($F1256&lt;&gt;"","No Cat",""))</f>
        <v>Direct Assign Items Not in RB</v>
      </c>
      <c r="P1256" s="736" t="s">
        <v>2468</v>
      </c>
      <c r="Q1256" s="442" t="str">
        <f>VLOOKUP($P1256,Allocators!$B$7:$F$19,5,FALSE)</f>
        <v>Not in Rate Base</v>
      </c>
      <c r="R1256" s="737">
        <f>VLOOKUP($P1256,Allocators!$B$7:$F$19,2,FALSE)</f>
        <v>0</v>
      </c>
      <c r="S1256" s="737">
        <f>VLOOKUP($P1256,Allocators!$B$7:$F$19,3,FALSE)</f>
        <v>0</v>
      </c>
      <c r="T1256" s="737">
        <f t="shared" si="589"/>
        <v>1</v>
      </c>
      <c r="U1256" s="2" t="str">
        <f t="shared" si="594"/>
        <v/>
      </c>
      <c r="V1256" s="2" t="str">
        <f t="shared" si="595"/>
        <v/>
      </c>
      <c r="W1256" s="2" t="str">
        <f t="shared" si="596"/>
        <v/>
      </c>
      <c r="X1256" s="2">
        <f t="shared" si="591"/>
        <v>0</v>
      </c>
      <c r="Y1256" s="2" t="str">
        <f t="shared" si="597"/>
        <v/>
      </c>
      <c r="Z1256" s="2" t="str">
        <f t="shared" si="598"/>
        <v/>
      </c>
      <c r="AA1256" s="2" t="str">
        <f t="shared" si="599"/>
        <v/>
      </c>
      <c r="AB1256" s="2">
        <f t="shared" si="592"/>
        <v>0</v>
      </c>
      <c r="AC1256" s="734"/>
      <c r="AD1256" s="625">
        <v>0</v>
      </c>
      <c r="AE1256" s="625">
        <v>0</v>
      </c>
      <c r="AF1256" s="625">
        <v>0</v>
      </c>
      <c r="AG1256" s="826"/>
      <c r="AH1256" s="625">
        <v>0</v>
      </c>
      <c r="AJ1256" s="625">
        <v>0</v>
      </c>
      <c r="AK1256" s="625">
        <v>0</v>
      </c>
      <c r="AL1256" s="625">
        <v>0</v>
      </c>
      <c r="AM1256" s="625">
        <v>0</v>
      </c>
      <c r="AN1256" s="625">
        <v>0</v>
      </c>
      <c r="AO1256" s="625">
        <v>0</v>
      </c>
      <c r="AP1256" s="41" t="str">
        <f t="shared" si="585"/>
        <v>Reg AssetN</v>
      </c>
      <c r="AQ1256" s="41" t="str">
        <f t="shared" si="586"/>
        <v>Reg AssetNN20</v>
      </c>
      <c r="AR1256" s="41" t="str">
        <f t="shared" si="587"/>
        <v>N20</v>
      </c>
      <c r="CK1256" s="625"/>
    </row>
    <row r="1257" spans="1:89" s="41" customFormat="1" ht="12.75" customHeight="1">
      <c r="A1257" s="442" t="s">
        <v>746</v>
      </c>
      <c r="B1257" s="442" t="str">
        <f t="shared" si="584"/>
        <v>Reg Asset186020Various</v>
      </c>
      <c r="C1257" s="736">
        <v>186020</v>
      </c>
      <c r="D1257" s="738" t="s">
        <v>1503</v>
      </c>
      <c r="E1257" s="626"/>
      <c r="F1257" s="626" t="str">
        <f t="shared" si="583"/>
        <v>OTH WIP - MANU MATL &amp; SUPP (NO STORES EXP)</v>
      </c>
      <c r="G1257" s="626" t="s">
        <v>1504</v>
      </c>
      <c r="H1257" s="736">
        <v>0</v>
      </c>
      <c r="I1257" s="442"/>
      <c r="J1257" s="442" t="str">
        <f t="shared" si="593"/>
        <v/>
      </c>
      <c r="K1257" s="442" t="str">
        <f t="shared" si="590"/>
        <v/>
      </c>
      <c r="L1257" s="736" t="s">
        <v>2421</v>
      </c>
      <c r="M1257" s="442" t="str">
        <f t="shared" si="588"/>
        <v>N</v>
      </c>
      <c r="N1257" s="442" t="str">
        <f>IF(L1257&lt;&gt;"",VLOOKUP(L1257,Categories!$B$2:$D$41,2,FALSE),IF(F1257&lt;&gt;"","No Cat",""))</f>
        <v>NRBASE</v>
      </c>
      <c r="O1257" s="442" t="str">
        <f>IF($L1257&lt;&gt;"",VLOOKUP($L1257,Categories!$B$2:$D$41,3,FALSE),IF($F1257&lt;&gt;"","No Cat",""))</f>
        <v>Direct Assign Items Not in RB</v>
      </c>
      <c r="P1257" s="736" t="s">
        <v>2468</v>
      </c>
      <c r="Q1257" s="442" t="str">
        <f>VLOOKUP($P1257,Allocators!$B$7:$F$19,5,FALSE)</f>
        <v>Not in Rate Base</v>
      </c>
      <c r="R1257" s="737">
        <f>VLOOKUP($P1257,Allocators!$B$7:$F$19,2,FALSE)</f>
        <v>0</v>
      </c>
      <c r="S1257" s="737">
        <f>VLOOKUP($P1257,Allocators!$B$7:$F$19,3,FALSE)</f>
        <v>0</v>
      </c>
      <c r="T1257" s="737">
        <f t="shared" si="589"/>
        <v>1</v>
      </c>
      <c r="U1257" s="2">
        <f t="shared" si="594"/>
        <v>0</v>
      </c>
      <c r="V1257" s="2">
        <f t="shared" si="595"/>
        <v>0</v>
      </c>
      <c r="W1257" s="2">
        <f t="shared" si="596"/>
        <v>64.847450833333298</v>
      </c>
      <c r="X1257" s="2">
        <f t="shared" si="591"/>
        <v>64.847450833333298</v>
      </c>
      <c r="Y1257" s="2" t="str">
        <f t="shared" si="597"/>
        <v/>
      </c>
      <c r="Z1257" s="2" t="str">
        <f t="shared" si="598"/>
        <v/>
      </c>
      <c r="AA1257" s="2" t="str">
        <f t="shared" si="599"/>
        <v/>
      </c>
      <c r="AB1257" s="2">
        <f t="shared" si="592"/>
        <v>0</v>
      </c>
      <c r="AC1257" s="734">
        <v>0.87437999999999005</v>
      </c>
      <c r="AD1257" s="625">
        <v>2.7272699999999905</v>
      </c>
      <c r="AE1257" s="625">
        <v>38.745119999999986</v>
      </c>
      <c r="AF1257" s="625">
        <v>29.425919999999987</v>
      </c>
      <c r="AG1257" s="625">
        <v>6.0553599999999861</v>
      </c>
      <c r="AH1257" s="625">
        <v>84.389990000000012</v>
      </c>
      <c r="AI1257" s="625">
        <v>104.203</v>
      </c>
      <c r="AJ1257" s="625">
        <v>115.93488000000001</v>
      </c>
      <c r="AK1257" s="625">
        <v>113.12393</v>
      </c>
      <c r="AL1257" s="625">
        <v>8.9600300000000139</v>
      </c>
      <c r="AM1257" s="625">
        <v>132.22613000000001</v>
      </c>
      <c r="AN1257" s="625">
        <v>141.94058999999999</v>
      </c>
      <c r="AO1257" s="625">
        <v>0</v>
      </c>
      <c r="AP1257" s="41" t="str">
        <f t="shared" si="585"/>
        <v>Reg AssetN</v>
      </c>
      <c r="AQ1257" s="41" t="str">
        <f t="shared" si="586"/>
        <v>Reg AssetNN20</v>
      </c>
      <c r="AR1257" s="41" t="str">
        <f t="shared" si="587"/>
        <v>N20</v>
      </c>
      <c r="CK1257" s="625"/>
    </row>
    <row r="1258" spans="1:89" s="41" customFormat="1" ht="12.75" customHeight="1">
      <c r="A1258" s="442" t="s">
        <v>746</v>
      </c>
      <c r="B1258" s="442" t="str">
        <f t="shared" si="584"/>
        <v>Reg Asset186110Various</v>
      </c>
      <c r="C1258" s="736">
        <v>186110</v>
      </c>
      <c r="D1258" s="738" t="s">
        <v>1503</v>
      </c>
      <c r="E1258" s="626"/>
      <c r="F1258" s="626" t="str">
        <f t="shared" si="583"/>
        <v>OTH DEFERRED DEBITS - MISCELLANEOUS</v>
      </c>
      <c r="G1258" s="626" t="s">
        <v>1505</v>
      </c>
      <c r="H1258" s="736">
        <v>0</v>
      </c>
      <c r="I1258" s="442"/>
      <c r="J1258" s="442" t="str">
        <f t="shared" si="593"/>
        <v/>
      </c>
      <c r="K1258" s="442" t="str">
        <f t="shared" si="590"/>
        <v/>
      </c>
      <c r="L1258" s="736" t="s">
        <v>2421</v>
      </c>
      <c r="M1258" s="442" t="str">
        <f t="shared" si="588"/>
        <v>N</v>
      </c>
      <c r="N1258" s="442" t="str">
        <f>IF(L1258&lt;&gt;"",VLOOKUP(L1258,Categories!$B$2:$D$41,2,FALSE),IF(F1258&lt;&gt;"","No Cat",""))</f>
        <v>NRBASE</v>
      </c>
      <c r="O1258" s="442" t="str">
        <f>IF($L1258&lt;&gt;"",VLOOKUP($L1258,Categories!$B$2:$D$41,3,FALSE),IF($F1258&lt;&gt;"","No Cat",""))</f>
        <v>Direct Assign Items Not in RB</v>
      </c>
      <c r="P1258" s="736" t="s">
        <v>2468</v>
      </c>
      <c r="Q1258" s="442" t="str">
        <f>VLOOKUP($P1258,Allocators!$B$7:$F$19,5,FALSE)</f>
        <v>Not in Rate Base</v>
      </c>
      <c r="R1258" s="737">
        <f>VLOOKUP($P1258,Allocators!$B$7:$F$19,2,FALSE)</f>
        <v>0</v>
      </c>
      <c r="S1258" s="737">
        <f>VLOOKUP($P1258,Allocators!$B$7:$F$19,3,FALSE)</f>
        <v>0</v>
      </c>
      <c r="T1258" s="737">
        <f t="shared" si="589"/>
        <v>1</v>
      </c>
      <c r="U1258" s="2" t="str">
        <f t="shared" si="594"/>
        <v/>
      </c>
      <c r="V1258" s="2" t="str">
        <f t="shared" si="595"/>
        <v/>
      </c>
      <c r="W1258" s="2" t="str">
        <f t="shared" si="596"/>
        <v/>
      </c>
      <c r="X1258" s="2">
        <f t="shared" si="591"/>
        <v>0</v>
      </c>
      <c r="Y1258" s="2" t="str">
        <f t="shared" si="597"/>
        <v/>
      </c>
      <c r="Z1258" s="2" t="str">
        <f t="shared" si="598"/>
        <v/>
      </c>
      <c r="AA1258" s="2" t="str">
        <f t="shared" si="599"/>
        <v/>
      </c>
      <c r="AB1258" s="2">
        <f t="shared" si="592"/>
        <v>0</v>
      </c>
      <c r="AC1258" s="625">
        <v>0</v>
      </c>
      <c r="AD1258" s="625">
        <v>0</v>
      </c>
      <c r="AE1258" s="625">
        <v>0</v>
      </c>
      <c r="AF1258" s="625">
        <v>0</v>
      </c>
      <c r="AG1258" s="625">
        <v>0</v>
      </c>
      <c r="AH1258" s="625">
        <v>0</v>
      </c>
      <c r="AI1258" s="625">
        <v>0</v>
      </c>
      <c r="AJ1258" s="625">
        <v>0</v>
      </c>
      <c r="AK1258" s="625">
        <v>0</v>
      </c>
      <c r="AL1258" s="625">
        <v>0</v>
      </c>
      <c r="AM1258" s="625">
        <v>0</v>
      </c>
      <c r="AN1258" s="625">
        <v>0</v>
      </c>
      <c r="AO1258" s="625">
        <v>0</v>
      </c>
      <c r="AP1258" s="41" t="str">
        <f t="shared" si="585"/>
        <v>Reg AssetN</v>
      </c>
      <c r="AQ1258" s="41" t="str">
        <f t="shared" si="586"/>
        <v>Reg AssetNN20</v>
      </c>
      <c r="AR1258" s="41" t="str">
        <f t="shared" si="587"/>
        <v>N20</v>
      </c>
      <c r="CK1258" s="625"/>
    </row>
    <row r="1259" spans="1:89" s="41" customFormat="1" ht="12.75" customHeight="1">
      <c r="A1259" s="25" t="s">
        <v>746</v>
      </c>
      <c r="B1259" s="25" t="str">
        <f t="shared" si="584"/>
        <v>Reg Asset186215</v>
      </c>
      <c r="C1259" s="736">
        <v>186215</v>
      </c>
      <c r="D1259" s="738"/>
      <c r="F1259" s="41" t="str">
        <f t="shared" si="583"/>
        <v>MISC DEF DEBITS-PREPAID PENSION PLANS</v>
      </c>
      <c r="G1259" s="41" t="s">
        <v>1506</v>
      </c>
      <c r="H1259" s="736" t="s">
        <v>1136</v>
      </c>
      <c r="I1259" s="25"/>
      <c r="J1259" s="25" t="str">
        <f t="shared" si="593"/>
        <v/>
      </c>
      <c r="K1259" s="442" t="str">
        <f t="shared" si="590"/>
        <v/>
      </c>
      <c r="L1259" s="736" t="s">
        <v>2441</v>
      </c>
      <c r="M1259" s="25" t="str">
        <f t="shared" si="588"/>
        <v>R</v>
      </c>
      <c r="N1259" s="25" t="str">
        <f>IF(L1259&lt;&gt;"",VLOOKUP(L1259,Categories!$B$2:$D$41,2,FALSE),IF(F1259&lt;&gt;"","No Cat",""))</f>
        <v>Rate Base</v>
      </c>
      <c r="O1259" s="25" t="str">
        <f>IF($L1259&lt;&gt;"",VLOOKUP($L1259,Categories!$B$2:$D$41,3,FALSE),IF($F1259&lt;&gt;"","No Cat",""))</f>
        <v>Deferred Debits &amp; Credits</v>
      </c>
      <c r="P1259" s="736" t="s">
        <v>2487</v>
      </c>
      <c r="Q1259" s="25" t="str">
        <f>VLOOKUP($P1259,Allocators!$B$7:$F$19,5,FALSE)</f>
        <v>Payroll</v>
      </c>
      <c r="R1259" s="737">
        <f>VLOOKUP($P1259,Allocators!$B$7:$F$19,2,FALSE)</f>
        <v>0.61780000000000002</v>
      </c>
      <c r="S1259" s="737">
        <f>VLOOKUP($P1259,Allocators!$B$7:$F$19,3,FALSE)</f>
        <v>0.38219999999999998</v>
      </c>
      <c r="T1259" s="737" t="str">
        <f t="shared" si="589"/>
        <v>0.0%</v>
      </c>
      <c r="U1259" s="2" t="str">
        <f t="shared" si="594"/>
        <v/>
      </c>
      <c r="V1259" s="2" t="str">
        <f t="shared" si="595"/>
        <v/>
      </c>
      <c r="W1259" s="2" t="str">
        <f t="shared" si="596"/>
        <v/>
      </c>
      <c r="X1259" s="2">
        <f t="shared" si="591"/>
        <v>0</v>
      </c>
      <c r="Y1259" s="2" t="str">
        <f t="shared" si="597"/>
        <v/>
      </c>
      <c r="Z1259" s="2" t="str">
        <f t="shared" si="598"/>
        <v/>
      </c>
      <c r="AA1259" s="2" t="str">
        <f t="shared" si="599"/>
        <v/>
      </c>
      <c r="AB1259" s="2">
        <f t="shared" si="592"/>
        <v>0</v>
      </c>
      <c r="AC1259" s="625">
        <v>0</v>
      </c>
      <c r="AD1259" s="625">
        <v>0</v>
      </c>
      <c r="AE1259" s="625">
        <v>0</v>
      </c>
      <c r="AF1259" s="625">
        <v>0</v>
      </c>
      <c r="AG1259" s="625">
        <v>0</v>
      </c>
      <c r="AH1259" s="625">
        <v>0</v>
      </c>
      <c r="AI1259" s="625">
        <v>0</v>
      </c>
      <c r="AJ1259" s="625">
        <v>0</v>
      </c>
      <c r="AK1259" s="625">
        <v>0</v>
      </c>
      <c r="AL1259" s="625">
        <v>0</v>
      </c>
      <c r="AM1259" s="625">
        <v>0</v>
      </c>
      <c r="AN1259" s="625">
        <v>0</v>
      </c>
      <c r="AO1259" s="625">
        <v>0</v>
      </c>
      <c r="AP1259" s="41" t="str">
        <f t="shared" si="585"/>
        <v>Reg AssetR</v>
      </c>
      <c r="AQ1259" s="41" t="str">
        <f t="shared" si="586"/>
        <v>Reg AssetRR10Pension Asset</v>
      </c>
      <c r="AR1259" s="41" t="str">
        <f t="shared" si="587"/>
        <v>R10Pension Asset</v>
      </c>
      <c r="CK1259" s="625"/>
    </row>
    <row r="1260" spans="1:89" s="41" customFormat="1" ht="12.75" customHeight="1">
      <c r="A1260" s="25" t="s">
        <v>746</v>
      </c>
      <c r="B1260" s="25" t="str">
        <f t="shared" si="584"/>
        <v>Reg Asset186230</v>
      </c>
      <c r="C1260" s="736">
        <v>186230</v>
      </c>
      <c r="D1260" s="738"/>
      <c r="F1260" s="41" t="str">
        <f t="shared" si="583"/>
        <v>MISC DEF DEBITS-PREPAID FAS 106</v>
      </c>
      <c r="G1260" s="41" t="s">
        <v>1507</v>
      </c>
      <c r="H1260" s="736" t="s">
        <v>1135</v>
      </c>
      <c r="I1260" s="25"/>
      <c r="J1260" s="25" t="str">
        <f t="shared" si="593"/>
        <v/>
      </c>
      <c r="K1260" s="442" t="str">
        <f t="shared" si="590"/>
        <v/>
      </c>
      <c r="L1260" s="736" t="s">
        <v>2441</v>
      </c>
      <c r="M1260" s="25" t="str">
        <f t="shared" si="588"/>
        <v>R</v>
      </c>
      <c r="N1260" s="25" t="str">
        <f>IF(L1260&lt;&gt;"",VLOOKUP(L1260,Categories!$B$2:$D$41,2,FALSE),IF(F1260&lt;&gt;"","No Cat",""))</f>
        <v>Rate Base</v>
      </c>
      <c r="O1260" s="25" t="str">
        <f>IF($L1260&lt;&gt;"",VLOOKUP($L1260,Categories!$B$2:$D$41,3,FALSE),IF($F1260&lt;&gt;"","No Cat",""))</f>
        <v>Deferred Debits &amp; Credits</v>
      </c>
      <c r="P1260" s="736" t="s">
        <v>2487</v>
      </c>
      <c r="Q1260" s="25" t="str">
        <f>VLOOKUP($P1260,Allocators!$B$7:$F$19,5,FALSE)</f>
        <v>Payroll</v>
      </c>
      <c r="R1260" s="737">
        <f>VLOOKUP($P1260,Allocators!$B$7:$F$19,2,FALSE)</f>
        <v>0.61780000000000002</v>
      </c>
      <c r="S1260" s="737">
        <f>VLOOKUP($P1260,Allocators!$B$7:$F$19,3,FALSE)</f>
        <v>0.38219999999999998</v>
      </c>
      <c r="T1260" s="737" t="str">
        <f t="shared" si="589"/>
        <v>0.0%</v>
      </c>
      <c r="U1260" s="2" t="str">
        <f t="shared" si="594"/>
        <v/>
      </c>
      <c r="V1260" s="2" t="str">
        <f t="shared" si="595"/>
        <v/>
      </c>
      <c r="W1260" s="2" t="str">
        <f t="shared" si="596"/>
        <v/>
      </c>
      <c r="X1260" s="2">
        <f t="shared" si="591"/>
        <v>0</v>
      </c>
      <c r="Y1260" s="2" t="str">
        <f t="shared" si="597"/>
        <v/>
      </c>
      <c r="Z1260" s="2" t="str">
        <f t="shared" si="598"/>
        <v/>
      </c>
      <c r="AA1260" s="2" t="str">
        <f t="shared" si="599"/>
        <v/>
      </c>
      <c r="AB1260" s="2">
        <f t="shared" si="592"/>
        <v>0</v>
      </c>
      <c r="AC1260" s="625">
        <v>0</v>
      </c>
      <c r="AD1260" s="625">
        <v>0</v>
      </c>
      <c r="AE1260" s="625">
        <v>0</v>
      </c>
      <c r="AF1260" s="625">
        <v>0</v>
      </c>
      <c r="AG1260" s="625">
        <v>0</v>
      </c>
      <c r="AH1260" s="625">
        <v>0</v>
      </c>
      <c r="AI1260" s="625">
        <v>0</v>
      </c>
      <c r="AJ1260" s="625">
        <v>0</v>
      </c>
      <c r="AK1260" s="625">
        <v>0</v>
      </c>
      <c r="AL1260" s="625">
        <v>0</v>
      </c>
      <c r="AM1260" s="625">
        <v>0</v>
      </c>
      <c r="AN1260" s="625">
        <v>0</v>
      </c>
      <c r="AO1260" s="625">
        <v>0</v>
      </c>
      <c r="AP1260" s="41" t="str">
        <f t="shared" si="585"/>
        <v>Reg AssetR</v>
      </c>
      <c r="AQ1260" s="41" t="str">
        <f t="shared" si="586"/>
        <v>Reg AssetRR10OPEB Reserve</v>
      </c>
      <c r="AR1260" s="41" t="str">
        <f t="shared" si="587"/>
        <v>R10OPEB Reserve</v>
      </c>
      <c r="CK1260" s="625"/>
    </row>
    <row r="1261" spans="1:89" s="41" customFormat="1" ht="12.75" customHeight="1">
      <c r="A1261" s="442" t="s">
        <v>746</v>
      </c>
      <c r="B1261" s="442" t="str">
        <f t="shared" si="584"/>
        <v>Reg Asset186255186030</v>
      </c>
      <c r="C1261" s="736">
        <v>186255</v>
      </c>
      <c r="D1261" s="738">
        <v>186030</v>
      </c>
      <c r="E1261" s="626"/>
      <c r="F1261" s="626" t="str">
        <f t="shared" si="583"/>
        <v>MISC DEF DEBITS-OTHER</v>
      </c>
      <c r="G1261" s="626" t="s">
        <v>1508</v>
      </c>
      <c r="H1261" s="736" t="s">
        <v>1535</v>
      </c>
      <c r="I1261" s="442"/>
      <c r="J1261" s="442" t="str">
        <f t="shared" si="593"/>
        <v/>
      </c>
      <c r="K1261" s="442" t="str">
        <f t="shared" si="590"/>
        <v/>
      </c>
      <c r="L1261" s="736" t="s">
        <v>2421</v>
      </c>
      <c r="M1261" s="442" t="str">
        <f t="shared" si="588"/>
        <v>N</v>
      </c>
      <c r="N1261" s="442" t="str">
        <f>IF(L1261&lt;&gt;"",VLOOKUP(L1261,Categories!$B$2:$D$41,2,FALSE),IF(F1261&lt;&gt;"","No Cat",""))</f>
        <v>NRBASE</v>
      </c>
      <c r="O1261" s="442" t="str">
        <f>IF($L1261&lt;&gt;"",VLOOKUP($L1261,Categories!$B$2:$D$41,3,FALSE),IF($F1261&lt;&gt;"","No Cat",""))</f>
        <v>Direct Assign Items Not in RB</v>
      </c>
      <c r="P1261" s="736" t="s">
        <v>2468</v>
      </c>
      <c r="Q1261" s="442" t="str">
        <f>VLOOKUP($P1261,Allocators!$B$7:$F$19,5,FALSE)</f>
        <v>Not in Rate Base</v>
      </c>
      <c r="R1261" s="737">
        <f>VLOOKUP($P1261,Allocators!$B$7:$F$19,2,FALSE)</f>
        <v>0</v>
      </c>
      <c r="S1261" s="737">
        <f>VLOOKUP($P1261,Allocators!$B$7:$F$19,3,FALSE)</f>
        <v>0</v>
      </c>
      <c r="T1261" s="737">
        <f t="shared" si="589"/>
        <v>1</v>
      </c>
      <c r="U1261" s="2" t="str">
        <f t="shared" si="594"/>
        <v/>
      </c>
      <c r="V1261" s="2" t="str">
        <f t="shared" si="595"/>
        <v/>
      </c>
      <c r="W1261" s="2" t="str">
        <f t="shared" si="596"/>
        <v/>
      </c>
      <c r="X1261" s="2">
        <f t="shared" si="591"/>
        <v>0</v>
      </c>
      <c r="Y1261" s="2" t="str">
        <f t="shared" si="597"/>
        <v/>
      </c>
      <c r="Z1261" s="2" t="str">
        <f t="shared" si="598"/>
        <v/>
      </c>
      <c r="AA1261" s="2" t="str">
        <f t="shared" si="599"/>
        <v/>
      </c>
      <c r="AB1261" s="2">
        <f t="shared" si="592"/>
        <v>0</v>
      </c>
      <c r="AC1261" s="625">
        <v>0</v>
      </c>
      <c r="AD1261" s="625">
        <v>0</v>
      </c>
      <c r="AE1261" s="625">
        <v>0</v>
      </c>
      <c r="AF1261" s="625">
        <v>0</v>
      </c>
      <c r="AG1261" s="625">
        <v>0</v>
      </c>
      <c r="AH1261" s="625">
        <v>0</v>
      </c>
      <c r="AI1261" s="625">
        <v>0</v>
      </c>
      <c r="AJ1261" s="625">
        <v>0</v>
      </c>
      <c r="AK1261" s="625">
        <v>0</v>
      </c>
      <c r="AL1261" s="625">
        <v>0</v>
      </c>
      <c r="AM1261" s="625">
        <v>0</v>
      </c>
      <c r="AN1261" s="625">
        <v>0</v>
      </c>
      <c r="AO1261" s="625">
        <v>0</v>
      </c>
      <c r="AP1261" s="41" t="str">
        <f t="shared" si="585"/>
        <v>Reg AssetN</v>
      </c>
      <c r="AQ1261" s="41" t="str">
        <f t="shared" si="586"/>
        <v>Reg AssetNN2Non-Cap Meter Installation</v>
      </c>
      <c r="AR1261" s="41" t="str">
        <f t="shared" si="587"/>
        <v>N2Non-Cap Meter Installation</v>
      </c>
      <c r="CK1261" s="625"/>
    </row>
    <row r="1262" spans="1:89" s="41" customFormat="1" ht="12.75" customHeight="1">
      <c r="A1262" s="442" t="s">
        <v>746</v>
      </c>
      <c r="B1262" s="442" t="str">
        <f t="shared" si="584"/>
        <v>Reg Asset186255601136</v>
      </c>
      <c r="C1262" s="736">
        <v>186255</v>
      </c>
      <c r="D1262" s="738">
        <v>601136</v>
      </c>
      <c r="E1262" s="626"/>
      <c r="F1262" s="626" t="str">
        <f t="shared" si="583"/>
        <v>MISC DEF DEBITS-OTHER</v>
      </c>
      <c r="G1262" s="626" t="s">
        <v>1509</v>
      </c>
      <c r="H1262" s="736" t="s">
        <v>1142</v>
      </c>
      <c r="I1262" s="442"/>
      <c r="J1262" s="442" t="str">
        <f t="shared" si="593"/>
        <v/>
      </c>
      <c r="K1262" s="442" t="str">
        <f t="shared" si="590"/>
        <v/>
      </c>
      <c r="L1262" s="736" t="s">
        <v>2421</v>
      </c>
      <c r="M1262" s="442" t="str">
        <f t="shared" si="588"/>
        <v>N</v>
      </c>
      <c r="N1262" s="442" t="str">
        <f>IF(L1262&lt;&gt;"",VLOOKUP(L1262,Categories!$B$2:$D$41,2,FALSE),IF(F1262&lt;&gt;"","No Cat",""))</f>
        <v>NRBASE</v>
      </c>
      <c r="O1262" s="442" t="str">
        <f>IF($L1262&lt;&gt;"",VLOOKUP($L1262,Categories!$B$2:$D$41,3,FALSE),IF($F1262&lt;&gt;"","No Cat",""))</f>
        <v>Direct Assign Items Not in RB</v>
      </c>
      <c r="P1262" s="736" t="s">
        <v>2468</v>
      </c>
      <c r="Q1262" s="442" t="str">
        <f>VLOOKUP($P1262,Allocators!$B$7:$F$19,5,FALSE)</f>
        <v>Not in Rate Base</v>
      </c>
      <c r="R1262" s="737">
        <f>VLOOKUP($P1262,Allocators!$B$7:$F$19,2,FALSE)</f>
        <v>0</v>
      </c>
      <c r="S1262" s="737">
        <f>VLOOKUP($P1262,Allocators!$B$7:$F$19,3,FALSE)</f>
        <v>0</v>
      </c>
      <c r="T1262" s="737">
        <f t="shared" si="589"/>
        <v>1</v>
      </c>
      <c r="U1262" s="2" t="str">
        <f t="shared" si="594"/>
        <v/>
      </c>
      <c r="V1262" s="2" t="str">
        <f t="shared" si="595"/>
        <v/>
      </c>
      <c r="W1262" s="2" t="str">
        <f t="shared" si="596"/>
        <v/>
      </c>
      <c r="X1262" s="2">
        <f t="shared" si="591"/>
        <v>0</v>
      </c>
      <c r="Y1262" s="2" t="str">
        <f t="shared" si="597"/>
        <v/>
      </c>
      <c r="Z1262" s="2" t="str">
        <f t="shared" si="598"/>
        <v/>
      </c>
      <c r="AA1262" s="2" t="str">
        <f t="shared" si="599"/>
        <v/>
      </c>
      <c r="AB1262" s="2">
        <f t="shared" si="592"/>
        <v>0</v>
      </c>
      <c r="AC1262" s="625">
        <v>0</v>
      </c>
      <c r="AD1262" s="625">
        <v>0</v>
      </c>
      <c r="AE1262" s="625">
        <v>0</v>
      </c>
      <c r="AF1262" s="625">
        <v>0</v>
      </c>
      <c r="AG1262" s="625">
        <v>0</v>
      </c>
      <c r="AH1262" s="625">
        <v>0</v>
      </c>
      <c r="AI1262" s="625">
        <v>0</v>
      </c>
      <c r="AJ1262" s="625">
        <v>0</v>
      </c>
      <c r="AK1262" s="625">
        <v>0</v>
      </c>
      <c r="AL1262" s="625">
        <v>0</v>
      </c>
      <c r="AM1262" s="625">
        <v>0</v>
      </c>
      <c r="AN1262" s="625">
        <v>0</v>
      </c>
      <c r="AO1262" s="625">
        <v>0</v>
      </c>
      <c r="AP1262" s="41" t="str">
        <f t="shared" si="585"/>
        <v>Reg AssetN</v>
      </c>
      <c r="AQ1262" s="41" t="str">
        <f t="shared" si="586"/>
        <v>Reg AssetNN2Gas Costs Deferred</v>
      </c>
      <c r="AR1262" s="41" t="str">
        <f t="shared" si="587"/>
        <v>N2Gas Costs Deferred</v>
      </c>
      <c r="CK1262" s="625"/>
    </row>
    <row r="1263" spans="1:89" s="41" customFormat="1" ht="12.75" customHeight="1">
      <c r="A1263" s="442" t="s">
        <v>746</v>
      </c>
      <c r="B1263" s="442" t="str">
        <f t="shared" si="584"/>
        <v>Reg Asset186255</v>
      </c>
      <c r="C1263" s="736">
        <v>186255</v>
      </c>
      <c r="D1263" s="738"/>
      <c r="E1263" s="626"/>
      <c r="F1263" s="626" t="str">
        <f t="shared" si="583"/>
        <v>MISC DEF DEBITS-OTHER</v>
      </c>
      <c r="G1263" s="626" t="s">
        <v>1510</v>
      </c>
      <c r="H1263" s="736" t="s">
        <v>1536</v>
      </c>
      <c r="I1263" s="442"/>
      <c r="J1263" s="442" t="str">
        <f t="shared" si="593"/>
        <v/>
      </c>
      <c r="K1263" s="442" t="str">
        <f t="shared" si="590"/>
        <v/>
      </c>
      <c r="L1263" s="736" t="s">
        <v>2421</v>
      </c>
      <c r="M1263" s="442" t="str">
        <f t="shared" si="588"/>
        <v>N</v>
      </c>
      <c r="N1263" s="442" t="str">
        <f>IF(L1263&lt;&gt;"",VLOOKUP(L1263,Categories!$B$2:$D$41,2,FALSE),IF(F1263&lt;&gt;"","No Cat",""))</f>
        <v>NRBASE</v>
      </c>
      <c r="O1263" s="442" t="str">
        <f>IF($L1263&lt;&gt;"",VLOOKUP($L1263,Categories!$B$2:$D$41,3,FALSE),IF($F1263&lt;&gt;"","No Cat",""))</f>
        <v>Direct Assign Items Not in RB</v>
      </c>
      <c r="P1263" s="736" t="s">
        <v>2468</v>
      </c>
      <c r="Q1263" s="442" t="str">
        <f>VLOOKUP($P1263,Allocators!$B$7:$F$19,5,FALSE)</f>
        <v>Not in Rate Base</v>
      </c>
      <c r="R1263" s="737">
        <f>VLOOKUP($P1263,Allocators!$B$7:$F$19,2,FALSE)</f>
        <v>0</v>
      </c>
      <c r="S1263" s="737">
        <f>VLOOKUP($P1263,Allocators!$B$7:$F$19,3,FALSE)</f>
        <v>0</v>
      </c>
      <c r="T1263" s="737">
        <f t="shared" si="589"/>
        <v>1</v>
      </c>
      <c r="U1263" s="2" t="str">
        <f t="shared" si="594"/>
        <v/>
      </c>
      <c r="V1263" s="2" t="str">
        <f t="shared" si="595"/>
        <v/>
      </c>
      <c r="W1263" s="2" t="str">
        <f t="shared" si="596"/>
        <v/>
      </c>
      <c r="X1263" s="2">
        <f t="shared" si="591"/>
        <v>0</v>
      </c>
      <c r="Y1263" s="2" t="str">
        <f t="shared" si="597"/>
        <v/>
      </c>
      <c r="Z1263" s="2" t="str">
        <f t="shared" si="598"/>
        <v/>
      </c>
      <c r="AA1263" s="2" t="str">
        <f t="shared" si="599"/>
        <v/>
      </c>
      <c r="AB1263" s="2">
        <f t="shared" si="592"/>
        <v>0</v>
      </c>
      <c r="AC1263" s="625">
        <v>0</v>
      </c>
      <c r="AD1263" s="625">
        <v>0</v>
      </c>
      <c r="AE1263" s="625">
        <v>0</v>
      </c>
      <c r="AF1263" s="625">
        <v>0</v>
      </c>
      <c r="AG1263" s="625">
        <v>0</v>
      </c>
      <c r="AH1263" s="625">
        <v>0</v>
      </c>
      <c r="AI1263" s="625">
        <v>0</v>
      </c>
      <c r="AJ1263" s="625">
        <v>0</v>
      </c>
      <c r="AK1263" s="625">
        <v>0</v>
      </c>
      <c r="AL1263" s="625">
        <v>0</v>
      </c>
      <c r="AM1263" s="625">
        <v>0</v>
      </c>
      <c r="AN1263" s="625">
        <v>0</v>
      </c>
      <c r="AO1263" s="625">
        <v>0</v>
      </c>
      <c r="AP1263" s="41" t="str">
        <f t="shared" si="585"/>
        <v>Reg AssetN</v>
      </c>
      <c r="AQ1263" s="41" t="str">
        <f t="shared" si="586"/>
        <v>Reg AssetNN2Ginna Sale Expenses</v>
      </c>
      <c r="AR1263" s="41" t="str">
        <f t="shared" si="587"/>
        <v>N2Ginna Sale Expenses</v>
      </c>
      <c r="CK1263" s="625"/>
    </row>
    <row r="1264" spans="1:89" s="41" customFormat="1" ht="12.75" customHeight="1">
      <c r="A1264" s="442" t="s">
        <v>746</v>
      </c>
      <c r="B1264" s="442" t="str">
        <f t="shared" si="584"/>
        <v>Reg Asset186255601028/601053</v>
      </c>
      <c r="C1264" s="736">
        <v>186255</v>
      </c>
      <c r="D1264" s="738" t="s">
        <v>1511</v>
      </c>
      <c r="E1264" s="626"/>
      <c r="F1264" s="626" t="str">
        <f t="shared" si="583"/>
        <v>MISC DEF DEBITS-OTHER</v>
      </c>
      <c r="G1264" s="626" t="s">
        <v>1512</v>
      </c>
      <c r="H1264" s="736" t="s">
        <v>1537</v>
      </c>
      <c r="I1264" s="442"/>
      <c r="J1264" s="442" t="str">
        <f t="shared" si="593"/>
        <v/>
      </c>
      <c r="K1264" s="442" t="str">
        <f t="shared" si="590"/>
        <v/>
      </c>
      <c r="L1264" s="736" t="s">
        <v>2421</v>
      </c>
      <c r="M1264" s="442" t="str">
        <f t="shared" si="588"/>
        <v>N</v>
      </c>
      <c r="N1264" s="442" t="str">
        <f>IF(L1264&lt;&gt;"",VLOOKUP(L1264,Categories!$B$2:$D$41,2,FALSE),IF(F1264&lt;&gt;"","No Cat",""))</f>
        <v>NRBASE</v>
      </c>
      <c r="O1264" s="442" t="str">
        <f>IF($L1264&lt;&gt;"",VLOOKUP($L1264,Categories!$B$2:$D$41,3,FALSE),IF($F1264&lt;&gt;"","No Cat",""))</f>
        <v>Direct Assign Items Not in RB</v>
      </c>
      <c r="P1264" s="736" t="s">
        <v>2468</v>
      </c>
      <c r="Q1264" s="442" t="str">
        <f>VLOOKUP($P1264,Allocators!$B$7:$F$19,5,FALSE)</f>
        <v>Not in Rate Base</v>
      </c>
      <c r="R1264" s="737">
        <f>VLOOKUP($P1264,Allocators!$B$7:$F$19,2,FALSE)</f>
        <v>0</v>
      </c>
      <c r="S1264" s="737">
        <f>VLOOKUP($P1264,Allocators!$B$7:$F$19,3,FALSE)</f>
        <v>0</v>
      </c>
      <c r="T1264" s="737">
        <f t="shared" si="589"/>
        <v>1</v>
      </c>
      <c r="U1264" s="2" t="str">
        <f t="shared" si="594"/>
        <v/>
      </c>
      <c r="V1264" s="2" t="str">
        <f t="shared" si="595"/>
        <v/>
      </c>
      <c r="W1264" s="2" t="str">
        <f t="shared" si="596"/>
        <v/>
      </c>
      <c r="X1264" s="2">
        <f t="shared" si="591"/>
        <v>0</v>
      </c>
      <c r="Y1264" s="2" t="str">
        <f t="shared" si="597"/>
        <v/>
      </c>
      <c r="Z1264" s="2" t="str">
        <f t="shared" si="598"/>
        <v/>
      </c>
      <c r="AA1264" s="2" t="str">
        <f t="shared" si="599"/>
        <v/>
      </c>
      <c r="AB1264" s="2">
        <f t="shared" si="592"/>
        <v>0</v>
      </c>
      <c r="AC1264" s="625">
        <v>0</v>
      </c>
      <c r="AD1264" s="625">
        <v>0</v>
      </c>
      <c r="AE1264" s="625">
        <v>0</v>
      </c>
      <c r="AF1264" s="625">
        <v>0</v>
      </c>
      <c r="AG1264" s="625">
        <v>0</v>
      </c>
      <c r="AH1264" s="625">
        <v>0</v>
      </c>
      <c r="AI1264" s="625">
        <v>0</v>
      </c>
      <c r="AJ1264" s="625">
        <v>0</v>
      </c>
      <c r="AK1264" s="625">
        <v>0</v>
      </c>
      <c r="AL1264" s="625">
        <v>0</v>
      </c>
      <c r="AM1264" s="625">
        <v>0</v>
      </c>
      <c r="AN1264" s="625">
        <v>0</v>
      </c>
      <c r="AO1264" s="625">
        <v>0</v>
      </c>
      <c r="AP1264" s="41" t="str">
        <f t="shared" si="585"/>
        <v>Reg AssetN</v>
      </c>
      <c r="AQ1264" s="41" t="str">
        <f t="shared" si="586"/>
        <v>Reg AssetNN2Revolver Facility</v>
      </c>
      <c r="AR1264" s="41" t="str">
        <f t="shared" si="587"/>
        <v>N2Revolver Facility</v>
      </c>
      <c r="CK1264" s="625"/>
    </row>
    <row r="1265" spans="1:89" s="41" customFormat="1" ht="12.75" customHeight="1">
      <c r="A1265" s="442" t="s">
        <v>746</v>
      </c>
      <c r="B1265" s="442" t="str">
        <f t="shared" si="584"/>
        <v>Reg Asset186255601094</v>
      </c>
      <c r="C1265" s="736">
        <v>186255</v>
      </c>
      <c r="D1265" s="738">
        <v>601094</v>
      </c>
      <c r="E1265" s="626"/>
      <c r="F1265" s="626" t="str">
        <f t="shared" si="583"/>
        <v>MISC DEF DEBITS-OTHER</v>
      </c>
      <c r="G1265" s="626" t="s">
        <v>1513</v>
      </c>
      <c r="H1265" s="736" t="s">
        <v>1536</v>
      </c>
      <c r="I1265" s="442"/>
      <c r="J1265" s="442" t="str">
        <f t="shared" si="593"/>
        <v/>
      </c>
      <c r="K1265" s="442" t="str">
        <f t="shared" si="590"/>
        <v/>
      </c>
      <c r="L1265" s="736" t="s">
        <v>2421</v>
      </c>
      <c r="M1265" s="442" t="str">
        <f t="shared" si="588"/>
        <v>N</v>
      </c>
      <c r="N1265" s="442" t="str">
        <f>IF(L1265&lt;&gt;"",VLOOKUP(L1265,Categories!$B$2:$D$41,2,FALSE),IF(F1265&lt;&gt;"","No Cat",""))</f>
        <v>NRBASE</v>
      </c>
      <c r="O1265" s="442" t="str">
        <f>IF($L1265&lt;&gt;"",VLOOKUP($L1265,Categories!$B$2:$D$41,3,FALSE),IF($F1265&lt;&gt;"","No Cat",""))</f>
        <v>Direct Assign Items Not in RB</v>
      </c>
      <c r="P1265" s="736" t="s">
        <v>2468</v>
      </c>
      <c r="Q1265" s="442" t="str">
        <f>VLOOKUP($P1265,Allocators!$B$7:$F$19,5,FALSE)</f>
        <v>Not in Rate Base</v>
      </c>
      <c r="R1265" s="737">
        <f>VLOOKUP($P1265,Allocators!$B$7:$F$19,2,FALSE)</f>
        <v>0</v>
      </c>
      <c r="S1265" s="737">
        <f>VLOOKUP($P1265,Allocators!$B$7:$F$19,3,FALSE)</f>
        <v>0</v>
      </c>
      <c r="T1265" s="737">
        <f t="shared" si="589"/>
        <v>1</v>
      </c>
      <c r="U1265" s="2">
        <f t="shared" si="594"/>
        <v>0</v>
      </c>
      <c r="V1265" s="2">
        <f t="shared" si="595"/>
        <v>0</v>
      </c>
      <c r="W1265" s="2">
        <f t="shared" si="596"/>
        <v>1.3801749999999999</v>
      </c>
      <c r="X1265" s="2">
        <f t="shared" si="591"/>
        <v>1.3801749999999999</v>
      </c>
      <c r="Y1265" s="2">
        <f t="shared" si="597"/>
        <v>0</v>
      </c>
      <c r="Z1265" s="2">
        <f t="shared" si="598"/>
        <v>0</v>
      </c>
      <c r="AA1265" s="2">
        <f t="shared" si="599"/>
        <v>6.6248399999999998</v>
      </c>
      <c r="AB1265" s="2">
        <f t="shared" si="592"/>
        <v>6.6248399999999998</v>
      </c>
      <c r="AC1265" s="625">
        <v>0</v>
      </c>
      <c r="AD1265" s="625">
        <v>0</v>
      </c>
      <c r="AE1265" s="625">
        <v>0</v>
      </c>
      <c r="AF1265" s="625">
        <v>0</v>
      </c>
      <c r="AG1265" s="625">
        <v>0</v>
      </c>
      <c r="AH1265" s="625">
        <v>0</v>
      </c>
      <c r="AI1265" s="625">
        <v>0</v>
      </c>
      <c r="AJ1265" s="625">
        <v>0</v>
      </c>
      <c r="AK1265" s="625">
        <v>0</v>
      </c>
      <c r="AL1265" s="625">
        <v>0</v>
      </c>
      <c r="AM1265" s="625">
        <v>6.6248399999999998</v>
      </c>
      <c r="AN1265" s="625">
        <v>6.6248399999999998</v>
      </c>
      <c r="AO1265" s="625">
        <v>6.6248399999999998</v>
      </c>
      <c r="AP1265" s="41" t="str">
        <f t="shared" si="585"/>
        <v>Reg AssetN</v>
      </c>
      <c r="AQ1265" s="41" t="str">
        <f t="shared" si="586"/>
        <v>Reg AssetNN2Ginna Sale Expenses</v>
      </c>
      <c r="AR1265" s="41" t="str">
        <f t="shared" si="587"/>
        <v>N2Ginna Sale Expenses</v>
      </c>
      <c r="CK1265" s="625"/>
    </row>
    <row r="1266" spans="1:89" s="41" customFormat="1" ht="12.75" customHeight="1">
      <c r="A1266" s="442" t="s">
        <v>746</v>
      </c>
      <c r="B1266" s="442" t="str">
        <f t="shared" si="584"/>
        <v>Reg Asset186255</v>
      </c>
      <c r="C1266" s="736">
        <v>186255</v>
      </c>
      <c r="D1266" s="738"/>
      <c r="E1266" s="626"/>
      <c r="F1266" s="626" t="str">
        <f t="shared" si="583"/>
        <v>MISC DEF DEBITS-OTHER</v>
      </c>
      <c r="G1266" s="626" t="s">
        <v>1514</v>
      </c>
      <c r="H1266" s="736" t="s">
        <v>1538</v>
      </c>
      <c r="I1266" s="442"/>
      <c r="J1266" s="442" t="str">
        <f t="shared" si="593"/>
        <v/>
      </c>
      <c r="K1266" s="442" t="str">
        <f t="shared" si="590"/>
        <v/>
      </c>
      <c r="L1266" s="736" t="s">
        <v>2421</v>
      </c>
      <c r="M1266" s="442" t="str">
        <f t="shared" si="588"/>
        <v>N</v>
      </c>
      <c r="N1266" s="442" t="str">
        <f>IF(L1266&lt;&gt;"",VLOOKUP(L1266,Categories!$B$2:$D$41,2,FALSE),IF(F1266&lt;&gt;"","No Cat",""))</f>
        <v>NRBASE</v>
      </c>
      <c r="O1266" s="442" t="str">
        <f>IF($L1266&lt;&gt;"",VLOOKUP($L1266,Categories!$B$2:$D$41,3,FALSE),IF($F1266&lt;&gt;"","No Cat",""))</f>
        <v>Direct Assign Items Not in RB</v>
      </c>
      <c r="P1266" s="736" t="s">
        <v>2468</v>
      </c>
      <c r="Q1266" s="442" t="str">
        <f>VLOOKUP($P1266,Allocators!$B$7:$F$19,5,FALSE)</f>
        <v>Not in Rate Base</v>
      </c>
      <c r="R1266" s="737">
        <f>VLOOKUP($P1266,Allocators!$B$7:$F$19,2,FALSE)</f>
        <v>0</v>
      </c>
      <c r="S1266" s="737">
        <f>VLOOKUP($P1266,Allocators!$B$7:$F$19,3,FALSE)</f>
        <v>0</v>
      </c>
      <c r="T1266" s="737">
        <f t="shared" si="589"/>
        <v>1</v>
      </c>
      <c r="U1266" s="2" t="str">
        <f t="shared" si="594"/>
        <v/>
      </c>
      <c r="V1266" s="2" t="str">
        <f t="shared" si="595"/>
        <v/>
      </c>
      <c r="W1266" s="2" t="str">
        <f t="shared" si="596"/>
        <v/>
      </c>
      <c r="X1266" s="2">
        <f t="shared" si="591"/>
        <v>0</v>
      </c>
      <c r="Y1266" s="2" t="str">
        <f t="shared" si="597"/>
        <v/>
      </c>
      <c r="Z1266" s="2" t="str">
        <f t="shared" si="598"/>
        <v/>
      </c>
      <c r="AA1266" s="2" t="str">
        <f t="shared" si="599"/>
        <v/>
      </c>
      <c r="AB1266" s="2">
        <f t="shared" si="592"/>
        <v>0</v>
      </c>
      <c r="AC1266" s="625">
        <v>0</v>
      </c>
      <c r="AD1266" s="625">
        <v>0</v>
      </c>
      <c r="AE1266" s="625">
        <v>0</v>
      </c>
      <c r="AF1266" s="625">
        <v>0</v>
      </c>
      <c r="AG1266" s="625">
        <v>0</v>
      </c>
      <c r="AH1266" s="625">
        <v>0</v>
      </c>
      <c r="AI1266" s="625">
        <v>0</v>
      </c>
      <c r="AJ1266" s="625">
        <v>0</v>
      </c>
      <c r="AK1266" s="625">
        <v>0</v>
      </c>
      <c r="AL1266" s="625">
        <v>0</v>
      </c>
      <c r="AM1266" s="625">
        <v>0</v>
      </c>
      <c r="AN1266" s="625">
        <v>0</v>
      </c>
      <c r="AO1266" s="625">
        <v>0</v>
      </c>
      <c r="AP1266" s="41" t="str">
        <f t="shared" si="585"/>
        <v>Reg AssetN</v>
      </c>
      <c r="AQ1266" s="41" t="str">
        <f t="shared" si="586"/>
        <v>Reg AssetNN2PSC Assessment Refund</v>
      </c>
      <c r="AR1266" s="41" t="str">
        <f t="shared" si="587"/>
        <v>N2PSC Assessment Refund</v>
      </c>
      <c r="CK1266" s="625"/>
    </row>
    <row r="1267" spans="1:89" s="41" customFormat="1" ht="12.75" customHeight="1">
      <c r="A1267" s="442" t="s">
        <v>746</v>
      </c>
      <c r="B1267" s="442" t="str">
        <f t="shared" si="584"/>
        <v>Reg Asset186255PSGA</v>
      </c>
      <c r="C1267" s="736">
        <v>186255</v>
      </c>
      <c r="D1267" s="738" t="s">
        <v>1515</v>
      </c>
      <c r="E1267" s="626"/>
      <c r="F1267" s="626" t="str">
        <f t="shared" si="583"/>
        <v>MISC DEF DEBITS-OTHER</v>
      </c>
      <c r="G1267" s="626" t="s">
        <v>1515</v>
      </c>
      <c r="H1267" s="736" t="s">
        <v>1539</v>
      </c>
      <c r="I1267" s="442"/>
      <c r="J1267" s="442" t="str">
        <f t="shared" si="593"/>
        <v/>
      </c>
      <c r="K1267" s="442" t="str">
        <f t="shared" si="590"/>
        <v/>
      </c>
      <c r="L1267" s="736" t="s">
        <v>2421</v>
      </c>
      <c r="M1267" s="442" t="str">
        <f t="shared" si="588"/>
        <v>N</v>
      </c>
      <c r="N1267" s="442" t="str">
        <f>IF(L1267&lt;&gt;"",VLOOKUP(L1267,Categories!$B$2:$D$41,2,FALSE),IF(F1267&lt;&gt;"","No Cat",""))</f>
        <v>NRBASE</v>
      </c>
      <c r="O1267" s="442" t="str">
        <f>IF($L1267&lt;&gt;"",VLOOKUP($L1267,Categories!$B$2:$D$41,3,FALSE),IF($F1267&lt;&gt;"","No Cat",""))</f>
        <v>Direct Assign Items Not in RB</v>
      </c>
      <c r="P1267" s="736" t="s">
        <v>2468</v>
      </c>
      <c r="Q1267" s="442" t="str">
        <f>VLOOKUP($P1267,Allocators!$B$7:$F$19,5,FALSE)</f>
        <v>Not in Rate Base</v>
      </c>
      <c r="R1267" s="737">
        <f>VLOOKUP($P1267,Allocators!$B$7:$F$19,2,FALSE)</f>
        <v>0</v>
      </c>
      <c r="S1267" s="737">
        <f>VLOOKUP($P1267,Allocators!$B$7:$F$19,3,FALSE)</f>
        <v>0</v>
      </c>
      <c r="T1267" s="737">
        <f t="shared" si="589"/>
        <v>1</v>
      </c>
      <c r="U1267" s="2" t="str">
        <f t="shared" si="594"/>
        <v/>
      </c>
      <c r="V1267" s="2" t="str">
        <f t="shared" si="595"/>
        <v/>
      </c>
      <c r="W1267" s="2" t="str">
        <f t="shared" si="596"/>
        <v/>
      </c>
      <c r="X1267" s="2">
        <f t="shared" si="591"/>
        <v>0</v>
      </c>
      <c r="Y1267" s="2" t="str">
        <f t="shared" si="597"/>
        <v/>
      </c>
      <c r="Z1267" s="2" t="str">
        <f t="shared" si="598"/>
        <v/>
      </c>
      <c r="AA1267" s="2" t="str">
        <f t="shared" si="599"/>
        <v/>
      </c>
      <c r="AB1267" s="2">
        <f t="shared" si="592"/>
        <v>0</v>
      </c>
      <c r="AC1267" s="625">
        <v>0</v>
      </c>
      <c r="AD1267" s="625">
        <v>0</v>
      </c>
      <c r="AE1267" s="625">
        <v>0</v>
      </c>
      <c r="AF1267" s="625">
        <v>0</v>
      </c>
      <c r="AG1267" s="625">
        <v>0</v>
      </c>
      <c r="AH1267" s="625">
        <v>0</v>
      </c>
      <c r="AI1267" s="625">
        <v>0</v>
      </c>
      <c r="AJ1267" s="625">
        <v>0</v>
      </c>
      <c r="AK1267" s="625">
        <v>0</v>
      </c>
      <c r="AL1267" s="625">
        <v>0</v>
      </c>
      <c r="AM1267" s="625">
        <v>0</v>
      </c>
      <c r="AN1267" s="625">
        <v>0</v>
      </c>
      <c r="AO1267" s="625">
        <v>0</v>
      </c>
      <c r="AP1267" s="41" t="str">
        <f t="shared" si="585"/>
        <v>Reg AssetN</v>
      </c>
      <c r="AQ1267" s="41" t="str">
        <f t="shared" si="586"/>
        <v>Reg AssetNN2Purchase Gas Clearing-National Fuel</v>
      </c>
      <c r="AR1267" s="41" t="str">
        <f t="shared" si="587"/>
        <v>N2Purchase Gas Clearing-National Fuel</v>
      </c>
      <c r="CK1267" s="625"/>
    </row>
    <row r="1268" spans="1:89" s="41" customFormat="1" ht="12.75" customHeight="1">
      <c r="A1268" s="442" t="s">
        <v>746</v>
      </c>
      <c r="B1268" s="442" t="str">
        <f t="shared" si="584"/>
        <v>Reg Asset18625560104A</v>
      </c>
      <c r="C1268" s="736">
        <v>186255</v>
      </c>
      <c r="D1268" s="738" t="s">
        <v>1516</v>
      </c>
      <c r="E1268" s="626"/>
      <c r="F1268" s="626" t="str">
        <f t="shared" si="583"/>
        <v>MISC DEF DEBITS-OTHER</v>
      </c>
      <c r="G1268" s="626" t="s">
        <v>1517</v>
      </c>
      <c r="H1268" s="736" t="s">
        <v>1540</v>
      </c>
      <c r="I1268" s="442"/>
      <c r="J1268" s="442" t="str">
        <f t="shared" si="593"/>
        <v/>
      </c>
      <c r="K1268" s="442" t="str">
        <f t="shared" si="590"/>
        <v/>
      </c>
      <c r="L1268" s="736" t="s">
        <v>2421</v>
      </c>
      <c r="M1268" s="442" t="str">
        <f t="shared" si="588"/>
        <v>N</v>
      </c>
      <c r="N1268" s="442" t="str">
        <f>IF(L1268&lt;&gt;"",VLOOKUP(L1268,Categories!$B$2:$D$41,2,FALSE),IF(F1268&lt;&gt;"","No Cat",""))</f>
        <v>NRBASE</v>
      </c>
      <c r="O1268" s="442" t="str">
        <f>IF($L1268&lt;&gt;"",VLOOKUP($L1268,Categories!$B$2:$D$41,3,FALSE),IF($F1268&lt;&gt;"","No Cat",""))</f>
        <v>Direct Assign Items Not in RB</v>
      </c>
      <c r="P1268" s="736" t="s">
        <v>2468</v>
      </c>
      <c r="Q1268" s="442" t="str">
        <f>VLOOKUP($P1268,Allocators!$B$7:$F$19,5,FALSE)</f>
        <v>Not in Rate Base</v>
      </c>
      <c r="R1268" s="737">
        <f>VLOOKUP($P1268,Allocators!$B$7:$F$19,2,FALSE)</f>
        <v>0</v>
      </c>
      <c r="S1268" s="737">
        <f>VLOOKUP($P1268,Allocators!$B$7:$F$19,3,FALSE)</f>
        <v>0</v>
      </c>
      <c r="T1268" s="737">
        <f t="shared" si="589"/>
        <v>1</v>
      </c>
      <c r="U1268" s="2">
        <f t="shared" si="594"/>
        <v>0</v>
      </c>
      <c r="V1268" s="2">
        <f t="shared" si="595"/>
        <v>0</v>
      </c>
      <c r="W1268" s="2">
        <f t="shared" si="596"/>
        <v>99.72457</v>
      </c>
      <c r="X1268" s="2">
        <f t="shared" si="591"/>
        <v>99.72457</v>
      </c>
      <c r="Y1268" s="2">
        <f t="shared" si="597"/>
        <v>0</v>
      </c>
      <c r="Z1268" s="2">
        <f t="shared" si="598"/>
        <v>0</v>
      </c>
      <c r="AA1268" s="2">
        <f t="shared" si="599"/>
        <v>-6.6248300000000597</v>
      </c>
      <c r="AB1268" s="2">
        <f t="shared" si="592"/>
        <v>-6.6248300000000597</v>
      </c>
      <c r="AC1268" s="625">
        <v>65.779209999999949</v>
      </c>
      <c r="AD1268" s="625">
        <v>40.238169999999954</v>
      </c>
      <c r="AE1268" s="625">
        <v>48.945479999999954</v>
      </c>
      <c r="AF1268" s="625">
        <v>142.14410999999996</v>
      </c>
      <c r="AG1268" s="625">
        <v>170.71233999999993</v>
      </c>
      <c r="AH1268" s="625">
        <v>177.57689999999994</v>
      </c>
      <c r="AI1268" s="625">
        <v>217.98457999999994</v>
      </c>
      <c r="AJ1268" s="625">
        <v>104.65045999999994</v>
      </c>
      <c r="AK1268" s="625">
        <v>96.967779999999934</v>
      </c>
      <c r="AL1268" s="625">
        <v>87.26132999999993</v>
      </c>
      <c r="AM1268" s="625">
        <v>87.261329999999944</v>
      </c>
      <c r="AN1268" s="625">
        <v>-6.6248300000000597</v>
      </c>
      <c r="AO1268" s="625">
        <v>-6.6248300000000597</v>
      </c>
      <c r="AP1268" s="41" t="str">
        <f t="shared" si="585"/>
        <v>Reg AssetN</v>
      </c>
      <c r="AQ1268" s="41" t="str">
        <f t="shared" si="586"/>
        <v>Reg AssetNN2Health Benefit Accrual</v>
      </c>
      <c r="AR1268" s="41" t="str">
        <f t="shared" si="587"/>
        <v>N2Health Benefit Accrual</v>
      </c>
      <c r="CK1268" s="625"/>
    </row>
    <row r="1269" spans="1:89" s="41" customFormat="1" ht="12.75" customHeight="1">
      <c r="A1269" s="442" t="s">
        <v>746</v>
      </c>
      <c r="B1269" s="442" t="str">
        <f t="shared" si="584"/>
        <v>Reg Asset186255</v>
      </c>
      <c r="C1269" s="736">
        <v>186255</v>
      </c>
      <c r="D1269" s="738"/>
      <c r="E1269" s="626"/>
      <c r="F1269" s="626" t="str">
        <f t="shared" si="583"/>
        <v>MISC DEF DEBITS-OTHER</v>
      </c>
      <c r="G1269" s="626" t="s">
        <v>1518</v>
      </c>
      <c r="H1269" s="736">
        <v>0</v>
      </c>
      <c r="I1269" s="442"/>
      <c r="J1269" s="442" t="str">
        <f t="shared" si="593"/>
        <v/>
      </c>
      <c r="K1269" s="442" t="str">
        <f t="shared" si="590"/>
        <v/>
      </c>
      <c r="L1269" s="736" t="s">
        <v>2421</v>
      </c>
      <c r="M1269" s="442" t="str">
        <f t="shared" si="588"/>
        <v>N</v>
      </c>
      <c r="N1269" s="442" t="str">
        <f>IF(L1269&lt;&gt;"",VLOOKUP(L1269,Categories!$B$2:$D$41,2,FALSE),IF(F1269&lt;&gt;"","No Cat",""))</f>
        <v>NRBASE</v>
      </c>
      <c r="O1269" s="442" t="str">
        <f>IF($L1269&lt;&gt;"",VLOOKUP($L1269,Categories!$B$2:$D$41,3,FALSE),IF($F1269&lt;&gt;"","No Cat",""))</f>
        <v>Direct Assign Items Not in RB</v>
      </c>
      <c r="P1269" s="736" t="s">
        <v>2468</v>
      </c>
      <c r="Q1269" s="442" t="str">
        <f>VLOOKUP($P1269,Allocators!$B$7:$F$19,5,FALSE)</f>
        <v>Not in Rate Base</v>
      </c>
      <c r="R1269" s="737">
        <f>VLOOKUP($P1269,Allocators!$B$7:$F$19,2,FALSE)</f>
        <v>0</v>
      </c>
      <c r="S1269" s="737">
        <f>VLOOKUP($P1269,Allocators!$B$7:$F$19,3,FALSE)</f>
        <v>0</v>
      </c>
      <c r="T1269" s="737">
        <f t="shared" si="589"/>
        <v>1</v>
      </c>
      <c r="U1269" s="2" t="str">
        <f t="shared" si="594"/>
        <v/>
      </c>
      <c r="V1269" s="2" t="str">
        <f t="shared" si="595"/>
        <v/>
      </c>
      <c r="W1269" s="2" t="str">
        <f t="shared" si="596"/>
        <v/>
      </c>
      <c r="X1269" s="2">
        <f t="shared" si="591"/>
        <v>0</v>
      </c>
      <c r="Y1269" s="2" t="str">
        <f t="shared" si="597"/>
        <v/>
      </c>
      <c r="Z1269" s="2" t="str">
        <f t="shared" si="598"/>
        <v/>
      </c>
      <c r="AA1269" s="2" t="str">
        <f t="shared" si="599"/>
        <v/>
      </c>
      <c r="AB1269" s="2">
        <f t="shared" si="592"/>
        <v>0</v>
      </c>
      <c r="AC1269" s="625">
        <v>0</v>
      </c>
      <c r="AD1269" s="625">
        <v>0</v>
      </c>
      <c r="AE1269" s="625">
        <v>0</v>
      </c>
      <c r="AF1269" s="625">
        <v>0</v>
      </c>
      <c r="AG1269" s="625">
        <v>0</v>
      </c>
      <c r="AH1269" s="625">
        <v>0</v>
      </c>
      <c r="AI1269" s="625">
        <v>0</v>
      </c>
      <c r="AJ1269" s="625">
        <v>0</v>
      </c>
      <c r="AK1269" s="625">
        <v>0</v>
      </c>
      <c r="AL1269" s="625">
        <v>0</v>
      </c>
      <c r="AM1269" s="625">
        <v>0</v>
      </c>
      <c r="AN1269" s="625">
        <v>0</v>
      </c>
      <c r="AO1269" s="625">
        <v>0</v>
      </c>
      <c r="AP1269" s="41" t="str">
        <f t="shared" si="585"/>
        <v>Reg AssetN</v>
      </c>
      <c r="AQ1269" s="41" t="str">
        <f t="shared" si="586"/>
        <v>Reg AssetNN20</v>
      </c>
      <c r="AR1269" s="41" t="str">
        <f t="shared" si="587"/>
        <v>N20</v>
      </c>
      <c r="CK1269" s="625"/>
    </row>
    <row r="1270" spans="1:89" s="41" customFormat="1" ht="12.75" customHeight="1">
      <c r="A1270" s="442" t="s">
        <v>746</v>
      </c>
      <c r="B1270" s="442" t="str">
        <f t="shared" si="584"/>
        <v>Reg Asset18625512A12002</v>
      </c>
      <c r="C1270" s="736">
        <v>186255</v>
      </c>
      <c r="D1270" s="738" t="s">
        <v>1519</v>
      </c>
      <c r="E1270" s="626"/>
      <c r="F1270" s="626" t="str">
        <f t="shared" si="583"/>
        <v>MISC DEF DEBITS-OTHER</v>
      </c>
      <c r="G1270" s="626" t="s">
        <v>1520</v>
      </c>
      <c r="H1270" s="736" t="s">
        <v>1541</v>
      </c>
      <c r="I1270" s="442"/>
      <c r="J1270" s="442" t="str">
        <f t="shared" si="593"/>
        <v/>
      </c>
      <c r="K1270" s="442" t="str">
        <f t="shared" si="590"/>
        <v/>
      </c>
      <c r="L1270" s="736" t="s">
        <v>2421</v>
      </c>
      <c r="M1270" s="442" t="str">
        <f t="shared" si="588"/>
        <v>N</v>
      </c>
      <c r="N1270" s="442" t="str">
        <f>IF(L1270&lt;&gt;"",VLOOKUP(L1270,Categories!$B$2:$D$41,2,FALSE),IF(F1270&lt;&gt;"","No Cat",""))</f>
        <v>NRBASE</v>
      </c>
      <c r="O1270" s="442" t="str">
        <f>IF($L1270&lt;&gt;"",VLOOKUP($L1270,Categories!$B$2:$D$41,3,FALSE),IF($F1270&lt;&gt;"","No Cat",""))</f>
        <v>Direct Assign Items Not in RB</v>
      </c>
      <c r="P1270" s="736" t="s">
        <v>2468</v>
      </c>
      <c r="Q1270" s="442" t="str">
        <f>VLOOKUP($P1270,Allocators!$B$7:$F$19,5,FALSE)</f>
        <v>Not in Rate Base</v>
      </c>
      <c r="R1270" s="737">
        <f>VLOOKUP($P1270,Allocators!$B$7:$F$19,2,FALSE)</f>
        <v>0</v>
      </c>
      <c r="S1270" s="737">
        <f>VLOOKUP($P1270,Allocators!$B$7:$F$19,3,FALSE)</f>
        <v>0</v>
      </c>
      <c r="T1270" s="737">
        <f t="shared" si="589"/>
        <v>1</v>
      </c>
      <c r="U1270" s="2">
        <f t="shared" si="594"/>
        <v>0</v>
      </c>
      <c r="V1270" s="2">
        <f t="shared" si="595"/>
        <v>0</v>
      </c>
      <c r="W1270" s="2">
        <f t="shared" si="596"/>
        <v>10.112069999999999</v>
      </c>
      <c r="X1270" s="2">
        <f t="shared" si="591"/>
        <v>10.112069999999999</v>
      </c>
      <c r="Y1270" s="2">
        <f t="shared" si="597"/>
        <v>0</v>
      </c>
      <c r="Z1270" s="2">
        <f t="shared" si="598"/>
        <v>0</v>
      </c>
      <c r="AA1270" s="2">
        <f t="shared" si="599"/>
        <v>10.112069999999999</v>
      </c>
      <c r="AB1270" s="2">
        <f t="shared" si="592"/>
        <v>10.112069999999999</v>
      </c>
      <c r="AC1270" s="625">
        <v>10.112069999999999</v>
      </c>
      <c r="AD1270" s="625">
        <v>10.112069999999999</v>
      </c>
      <c r="AE1270" s="625">
        <v>10.112069999999999</v>
      </c>
      <c r="AF1270" s="625">
        <v>10.112069999999999</v>
      </c>
      <c r="AG1270" s="625">
        <v>10.112069999999999</v>
      </c>
      <c r="AH1270" s="625">
        <v>10.112069999999999</v>
      </c>
      <c r="AI1270" s="625">
        <v>10.112069999999999</v>
      </c>
      <c r="AJ1270" s="625">
        <v>10.112069999999999</v>
      </c>
      <c r="AK1270" s="625">
        <v>10.112069999999999</v>
      </c>
      <c r="AL1270" s="625">
        <v>10.112069999999999</v>
      </c>
      <c r="AM1270" s="625">
        <v>10.112069999999999</v>
      </c>
      <c r="AN1270" s="625">
        <v>10.112069999999999</v>
      </c>
      <c r="AO1270" s="625">
        <v>10.112069999999999</v>
      </c>
      <c r="AP1270" s="41" t="str">
        <f t="shared" si="585"/>
        <v>Reg AssetN</v>
      </c>
      <c r="AQ1270" s="41" t="str">
        <f t="shared" si="586"/>
        <v>Reg AssetNN2Russell</v>
      </c>
      <c r="AR1270" s="41" t="str">
        <f t="shared" si="587"/>
        <v>N2Russell</v>
      </c>
      <c r="CK1270" s="625"/>
    </row>
    <row r="1271" spans="1:89" s="41" customFormat="1" ht="12.75" customHeight="1">
      <c r="A1271" s="442" t="s">
        <v>746</v>
      </c>
      <c r="B1271" s="442" t="str">
        <f t="shared" si="584"/>
        <v>Reg Asset18625512A12003</v>
      </c>
      <c r="C1271" s="736">
        <v>186255</v>
      </c>
      <c r="D1271" s="738" t="s">
        <v>1521</v>
      </c>
      <c r="E1271" s="626"/>
      <c r="F1271" s="626" t="str">
        <f t="shared" si="583"/>
        <v>MISC DEF DEBITS-OTHER</v>
      </c>
      <c r="G1271" s="626" t="s">
        <v>1522</v>
      </c>
      <c r="H1271" s="736" t="s">
        <v>1541</v>
      </c>
      <c r="I1271" s="442"/>
      <c r="J1271" s="442" t="str">
        <f t="shared" si="593"/>
        <v/>
      </c>
      <c r="K1271" s="442" t="str">
        <f t="shared" si="590"/>
        <v/>
      </c>
      <c r="L1271" s="736" t="s">
        <v>2421</v>
      </c>
      <c r="M1271" s="442" t="str">
        <f t="shared" si="588"/>
        <v>N</v>
      </c>
      <c r="N1271" s="442" t="str">
        <f>IF(L1271&lt;&gt;"",VLOOKUP(L1271,Categories!$B$2:$D$41,2,FALSE),IF(F1271&lt;&gt;"","No Cat",""))</f>
        <v>NRBASE</v>
      </c>
      <c r="O1271" s="442" t="str">
        <f>IF($L1271&lt;&gt;"",VLOOKUP($L1271,Categories!$B$2:$D$41,3,FALSE),IF($F1271&lt;&gt;"","No Cat",""))</f>
        <v>Direct Assign Items Not in RB</v>
      </c>
      <c r="P1271" s="736" t="s">
        <v>2468</v>
      </c>
      <c r="Q1271" s="442" t="str">
        <f>VLOOKUP($P1271,Allocators!$B$7:$F$19,5,FALSE)</f>
        <v>Not in Rate Base</v>
      </c>
      <c r="R1271" s="737">
        <f>VLOOKUP($P1271,Allocators!$B$7:$F$19,2,FALSE)</f>
        <v>0</v>
      </c>
      <c r="S1271" s="737">
        <f>VLOOKUP($P1271,Allocators!$B$7:$F$19,3,FALSE)</f>
        <v>0</v>
      </c>
      <c r="T1271" s="737">
        <f t="shared" si="589"/>
        <v>1</v>
      </c>
      <c r="U1271" s="2">
        <f t="shared" si="594"/>
        <v>0</v>
      </c>
      <c r="V1271" s="2">
        <f t="shared" si="595"/>
        <v>0</v>
      </c>
      <c r="W1271" s="2">
        <f t="shared" si="596"/>
        <v>29.671433749999402</v>
      </c>
      <c r="X1271" s="2">
        <f t="shared" si="591"/>
        <v>29.671433749999402</v>
      </c>
      <c r="Y1271" s="2">
        <f t="shared" si="597"/>
        <v>0</v>
      </c>
      <c r="Z1271" s="2">
        <f t="shared" si="598"/>
        <v>0</v>
      </c>
      <c r="AA1271" s="2">
        <f t="shared" si="599"/>
        <v>35.746549999999402</v>
      </c>
      <c r="AB1271" s="2">
        <f t="shared" si="592"/>
        <v>35.746549999999395</v>
      </c>
      <c r="AC1271" s="625">
        <v>53.445459999999379</v>
      </c>
      <c r="AD1271" s="625">
        <v>-28.510160000000614</v>
      </c>
      <c r="AE1271" s="625">
        <v>27.816029999999387</v>
      </c>
      <c r="AF1271" s="625">
        <v>33.955079999999391</v>
      </c>
      <c r="AG1271" s="625">
        <v>34.192119999999392</v>
      </c>
      <c r="AH1271" s="625">
        <v>34.192119999999392</v>
      </c>
      <c r="AI1271" s="625">
        <v>34.192119999999392</v>
      </c>
      <c r="AJ1271" s="625">
        <v>34.192119999999392</v>
      </c>
      <c r="AK1271" s="625">
        <v>34.192119999999392</v>
      </c>
      <c r="AL1271" s="625">
        <v>35.746549999999395</v>
      </c>
      <c r="AM1271" s="625">
        <v>35.746549999999395</v>
      </c>
      <c r="AN1271" s="625">
        <v>35.746549999999395</v>
      </c>
      <c r="AO1271" s="625">
        <v>35.746549999999395</v>
      </c>
      <c r="AP1271" s="41" t="str">
        <f t="shared" si="585"/>
        <v>Reg AssetN</v>
      </c>
      <c r="AQ1271" s="41" t="str">
        <f t="shared" si="586"/>
        <v>Reg AssetNN2Russell</v>
      </c>
      <c r="AR1271" s="41" t="str">
        <f t="shared" si="587"/>
        <v>N2Russell</v>
      </c>
      <c r="CK1271" s="625"/>
    </row>
    <row r="1272" spans="1:89" s="41" customFormat="1" ht="12.75" customHeight="1">
      <c r="A1272" s="442" t="s">
        <v>746</v>
      </c>
      <c r="B1272" s="442" t="str">
        <f t="shared" si="584"/>
        <v>Reg Asset186255</v>
      </c>
      <c r="C1272" s="736">
        <v>186255</v>
      </c>
      <c r="D1272" s="738"/>
      <c r="E1272" s="626"/>
      <c r="F1272" s="626" t="str">
        <f t="shared" si="583"/>
        <v>MISC DEF DEBITS-OTHER</v>
      </c>
      <c r="G1272" s="626" t="s">
        <v>1523</v>
      </c>
      <c r="H1272" s="736">
        <v>0</v>
      </c>
      <c r="I1272" s="442"/>
      <c r="J1272" s="442" t="str">
        <f t="shared" si="593"/>
        <v/>
      </c>
      <c r="K1272" s="442" t="str">
        <f t="shared" si="590"/>
        <v/>
      </c>
      <c r="L1272" s="736" t="s">
        <v>2421</v>
      </c>
      <c r="M1272" s="442" t="str">
        <f t="shared" si="588"/>
        <v>N</v>
      </c>
      <c r="N1272" s="442" t="str">
        <f>IF(L1272&lt;&gt;"",VLOOKUP(L1272,Categories!$B$2:$D$41,2,FALSE),IF(F1272&lt;&gt;"","No Cat",""))</f>
        <v>NRBASE</v>
      </c>
      <c r="O1272" s="442" t="str">
        <f>IF($L1272&lt;&gt;"",VLOOKUP($L1272,Categories!$B$2:$D$41,3,FALSE),IF($F1272&lt;&gt;"","No Cat",""))</f>
        <v>Direct Assign Items Not in RB</v>
      </c>
      <c r="P1272" s="736" t="s">
        <v>2468</v>
      </c>
      <c r="Q1272" s="442" t="str">
        <f>VLOOKUP($P1272,Allocators!$B$7:$F$19,5,FALSE)</f>
        <v>Not in Rate Base</v>
      </c>
      <c r="R1272" s="737">
        <f>VLOOKUP($P1272,Allocators!$B$7:$F$19,2,FALSE)</f>
        <v>0</v>
      </c>
      <c r="S1272" s="737">
        <f>VLOOKUP($P1272,Allocators!$B$7:$F$19,3,FALSE)</f>
        <v>0</v>
      </c>
      <c r="T1272" s="737">
        <f t="shared" si="589"/>
        <v>1</v>
      </c>
      <c r="U1272" s="2" t="str">
        <f t="shared" si="594"/>
        <v/>
      </c>
      <c r="V1272" s="2" t="str">
        <f t="shared" si="595"/>
        <v/>
      </c>
      <c r="W1272" s="2" t="str">
        <f t="shared" si="596"/>
        <v/>
      </c>
      <c r="X1272" s="2">
        <f t="shared" si="591"/>
        <v>0</v>
      </c>
      <c r="Y1272" s="2" t="str">
        <f t="shared" si="597"/>
        <v/>
      </c>
      <c r="Z1272" s="2" t="str">
        <f t="shared" si="598"/>
        <v/>
      </c>
      <c r="AA1272" s="2" t="str">
        <f t="shared" si="599"/>
        <v/>
      </c>
      <c r="AB1272" s="2">
        <f t="shared" si="592"/>
        <v>0</v>
      </c>
      <c r="AC1272" s="625">
        <v>0</v>
      </c>
      <c r="AD1272" s="625">
        <v>0</v>
      </c>
      <c r="AE1272" s="625">
        <v>0</v>
      </c>
      <c r="AF1272" s="625">
        <v>0</v>
      </c>
      <c r="AG1272" s="625">
        <v>0</v>
      </c>
      <c r="AH1272" s="625">
        <v>0</v>
      </c>
      <c r="AI1272" s="625">
        <v>0</v>
      </c>
      <c r="AJ1272" s="625">
        <v>0</v>
      </c>
      <c r="AK1272" s="625">
        <v>0</v>
      </c>
      <c r="AL1272" s="625">
        <v>0</v>
      </c>
      <c r="AM1272" s="625">
        <v>0</v>
      </c>
      <c r="AN1272" s="625">
        <v>0</v>
      </c>
      <c r="AO1272" s="625">
        <v>0</v>
      </c>
      <c r="AP1272" s="41" t="str">
        <f t="shared" si="585"/>
        <v>Reg AssetN</v>
      </c>
      <c r="AQ1272" s="41" t="str">
        <f t="shared" si="586"/>
        <v>Reg AssetNN20</v>
      </c>
      <c r="AR1272" s="41" t="str">
        <f t="shared" si="587"/>
        <v>N20</v>
      </c>
      <c r="CK1272" s="625"/>
    </row>
    <row r="1273" spans="1:89" s="41" customFormat="1" ht="12.75" customHeight="1">
      <c r="A1273" s="442" t="s">
        <v>746</v>
      </c>
      <c r="B1273" s="442" t="str">
        <f t="shared" si="584"/>
        <v>Reg Asset186255601128</v>
      </c>
      <c r="C1273" s="736">
        <v>186255</v>
      </c>
      <c r="D1273" s="738">
        <v>601128</v>
      </c>
      <c r="E1273" s="626"/>
      <c r="F1273" s="626" t="str">
        <f t="shared" si="583"/>
        <v>MISC DEF DEBITS-OTHER</v>
      </c>
      <c r="G1273" s="626" t="s">
        <v>1524</v>
      </c>
      <c r="H1273" s="736" t="s">
        <v>999</v>
      </c>
      <c r="I1273" s="442"/>
      <c r="J1273" s="442" t="str">
        <f t="shared" si="593"/>
        <v/>
      </c>
      <c r="K1273" s="442" t="str">
        <f t="shared" si="590"/>
        <v/>
      </c>
      <c r="L1273" s="736" t="s">
        <v>2421</v>
      </c>
      <c r="M1273" s="442" t="str">
        <f t="shared" si="588"/>
        <v>N</v>
      </c>
      <c r="N1273" s="442" t="str">
        <f>IF(L1273&lt;&gt;"",VLOOKUP(L1273,Categories!$B$2:$D$41,2,FALSE),IF(F1273&lt;&gt;"","No Cat",""))</f>
        <v>NRBASE</v>
      </c>
      <c r="O1273" s="442" t="str">
        <f>IF($L1273&lt;&gt;"",VLOOKUP($L1273,Categories!$B$2:$D$41,3,FALSE),IF($F1273&lt;&gt;"","No Cat",""))</f>
        <v>Direct Assign Items Not in RB</v>
      </c>
      <c r="P1273" s="736" t="s">
        <v>2468</v>
      </c>
      <c r="Q1273" s="442" t="str">
        <f>VLOOKUP($P1273,Allocators!$B$7:$F$19,5,FALSE)</f>
        <v>Not in Rate Base</v>
      </c>
      <c r="R1273" s="737">
        <f>VLOOKUP($P1273,Allocators!$B$7:$F$19,2,FALSE)</f>
        <v>0</v>
      </c>
      <c r="S1273" s="737">
        <f>VLOOKUP($P1273,Allocators!$B$7:$F$19,3,FALSE)</f>
        <v>0</v>
      </c>
      <c r="T1273" s="737">
        <f t="shared" si="589"/>
        <v>1</v>
      </c>
      <c r="U1273" s="2" t="str">
        <f t="shared" si="594"/>
        <v/>
      </c>
      <c r="V1273" s="2" t="str">
        <f t="shared" si="595"/>
        <v/>
      </c>
      <c r="W1273" s="2" t="str">
        <f t="shared" si="596"/>
        <v/>
      </c>
      <c r="X1273" s="2">
        <f t="shared" si="591"/>
        <v>0</v>
      </c>
      <c r="Y1273" s="2" t="str">
        <f t="shared" si="597"/>
        <v/>
      </c>
      <c r="Z1273" s="2" t="str">
        <f t="shared" si="598"/>
        <v/>
      </c>
      <c r="AA1273" s="2" t="str">
        <f t="shared" si="599"/>
        <v/>
      </c>
      <c r="AB1273" s="2">
        <f t="shared" si="592"/>
        <v>0</v>
      </c>
      <c r="AC1273" s="625">
        <v>0</v>
      </c>
      <c r="AD1273" s="625">
        <v>0</v>
      </c>
      <c r="AE1273" s="625">
        <v>0</v>
      </c>
      <c r="AF1273" s="625">
        <v>0</v>
      </c>
      <c r="AG1273" s="625">
        <v>0</v>
      </c>
      <c r="AH1273" s="625">
        <v>0</v>
      </c>
      <c r="AI1273" s="625">
        <v>0</v>
      </c>
      <c r="AJ1273" s="625">
        <v>0</v>
      </c>
      <c r="AK1273" s="625">
        <v>0</v>
      </c>
      <c r="AL1273" s="625">
        <v>0</v>
      </c>
      <c r="AM1273" s="625">
        <v>0</v>
      </c>
      <c r="AN1273" s="625">
        <v>0</v>
      </c>
      <c r="AO1273" s="625">
        <v>0</v>
      </c>
      <c r="AP1273" s="41" t="str">
        <f t="shared" si="585"/>
        <v>Reg AssetN</v>
      </c>
      <c r="AQ1273" s="41" t="str">
        <f t="shared" si="586"/>
        <v>Reg AssetNN2Mendon Heater</v>
      </c>
      <c r="AR1273" s="41" t="str">
        <f t="shared" si="587"/>
        <v>N2Mendon Heater</v>
      </c>
      <c r="CK1273" s="625"/>
    </row>
    <row r="1274" spans="1:89" s="41" customFormat="1" ht="12.75" customHeight="1">
      <c r="A1274" s="442" t="s">
        <v>746</v>
      </c>
      <c r="B1274" s="442" t="str">
        <f t="shared" si="584"/>
        <v>Reg Asset186255GRT Refund</v>
      </c>
      <c r="C1274" s="736">
        <v>186255</v>
      </c>
      <c r="D1274" s="735" t="s">
        <v>2166</v>
      </c>
      <c r="E1274" s="626"/>
      <c r="F1274" s="626" t="str">
        <f t="shared" si="583"/>
        <v>MISC DEF DEBITS-OTHER</v>
      </c>
      <c r="G1274" s="626" t="s">
        <v>1525</v>
      </c>
      <c r="H1274" s="736" t="s">
        <v>1542</v>
      </c>
      <c r="I1274" s="442"/>
      <c r="J1274" s="442" t="str">
        <f t="shared" si="593"/>
        <v/>
      </c>
      <c r="K1274" s="442" t="str">
        <f t="shared" si="590"/>
        <v/>
      </c>
      <c r="L1274" s="736" t="s">
        <v>2421</v>
      </c>
      <c r="M1274" s="442" t="str">
        <f t="shared" si="588"/>
        <v>N</v>
      </c>
      <c r="N1274" s="442" t="str">
        <f>IF(L1274&lt;&gt;"",VLOOKUP(L1274,Categories!$B$2:$D$41,2,FALSE),IF(F1274&lt;&gt;"","No Cat",""))</f>
        <v>NRBASE</v>
      </c>
      <c r="O1274" s="442" t="str">
        <f>IF($L1274&lt;&gt;"",VLOOKUP($L1274,Categories!$B$2:$D$41,3,FALSE),IF($F1274&lt;&gt;"","No Cat",""))</f>
        <v>Direct Assign Items Not in RB</v>
      </c>
      <c r="P1274" s="736" t="s">
        <v>2468</v>
      </c>
      <c r="Q1274" s="442" t="str">
        <f>VLOOKUP($P1274,Allocators!$B$7:$F$19,5,FALSE)</f>
        <v>Not in Rate Base</v>
      </c>
      <c r="R1274" s="737">
        <f>VLOOKUP($P1274,Allocators!$B$7:$F$19,2,FALSE)</f>
        <v>0</v>
      </c>
      <c r="S1274" s="737">
        <f>VLOOKUP($P1274,Allocators!$B$7:$F$19,3,FALSE)</f>
        <v>0</v>
      </c>
      <c r="T1274" s="737">
        <f t="shared" si="589"/>
        <v>1</v>
      </c>
      <c r="U1274" s="2" t="str">
        <f t="shared" si="594"/>
        <v/>
      </c>
      <c r="V1274" s="2" t="str">
        <f t="shared" si="595"/>
        <v/>
      </c>
      <c r="W1274" s="2" t="str">
        <f t="shared" si="596"/>
        <v/>
      </c>
      <c r="X1274" s="2">
        <f t="shared" si="591"/>
        <v>0</v>
      </c>
      <c r="Y1274" s="2" t="str">
        <f t="shared" si="597"/>
        <v/>
      </c>
      <c r="Z1274" s="2" t="str">
        <f t="shared" si="598"/>
        <v/>
      </c>
      <c r="AA1274" s="2" t="str">
        <f t="shared" si="599"/>
        <v/>
      </c>
      <c r="AB1274" s="2">
        <f t="shared" si="592"/>
        <v>0</v>
      </c>
      <c r="AC1274" s="625">
        <v>0</v>
      </c>
      <c r="AD1274" s="625">
        <v>0</v>
      </c>
      <c r="AE1274" s="625">
        <v>0</v>
      </c>
      <c r="AF1274" s="625">
        <v>0</v>
      </c>
      <c r="AG1274" s="625">
        <v>0</v>
      </c>
      <c r="AH1274" s="625">
        <v>0</v>
      </c>
      <c r="AI1274" s="625">
        <v>0</v>
      </c>
      <c r="AJ1274" s="625">
        <v>0</v>
      </c>
      <c r="AK1274" s="625">
        <v>0</v>
      </c>
      <c r="AL1274" s="625">
        <v>0</v>
      </c>
      <c r="AM1274" s="625">
        <v>0</v>
      </c>
      <c r="AN1274" s="625">
        <v>0</v>
      </c>
      <c r="AO1274" s="625">
        <v>0</v>
      </c>
      <c r="AP1274" s="41" t="str">
        <f t="shared" si="585"/>
        <v>Reg AssetN</v>
      </c>
      <c r="AQ1274" s="41" t="str">
        <f t="shared" si="586"/>
        <v>Reg AssetNN2GRT Refund Requests</v>
      </c>
      <c r="AR1274" s="41" t="str">
        <f t="shared" si="587"/>
        <v>N2GRT Refund Requests</v>
      </c>
      <c r="CK1274" s="625"/>
    </row>
    <row r="1275" spans="1:89" s="41" customFormat="1" ht="12.75" customHeight="1">
      <c r="A1275" s="442" t="s">
        <v>746</v>
      </c>
      <c r="B1275" s="442" t="str">
        <f t="shared" si="584"/>
        <v>Reg Asset186255</v>
      </c>
      <c r="C1275" s="736">
        <v>186255</v>
      </c>
      <c r="D1275" s="738"/>
      <c r="E1275" s="626"/>
      <c r="F1275" s="626" t="str">
        <f t="shared" si="583"/>
        <v>MISC DEF DEBITS-OTHER</v>
      </c>
      <c r="G1275" s="626" t="s">
        <v>1526</v>
      </c>
      <c r="H1275" s="736" t="s">
        <v>1543</v>
      </c>
      <c r="I1275" s="442"/>
      <c r="J1275" s="442" t="str">
        <f t="shared" si="593"/>
        <v/>
      </c>
      <c r="K1275" s="442" t="str">
        <f t="shared" si="590"/>
        <v/>
      </c>
      <c r="L1275" s="736" t="s">
        <v>2421</v>
      </c>
      <c r="M1275" s="442" t="str">
        <f t="shared" si="588"/>
        <v>N</v>
      </c>
      <c r="N1275" s="442" t="str">
        <f>IF(L1275&lt;&gt;"",VLOOKUP(L1275,Categories!$B$2:$D$41,2,FALSE),IF(F1275&lt;&gt;"","No Cat",""))</f>
        <v>NRBASE</v>
      </c>
      <c r="O1275" s="442" t="str">
        <f>IF($L1275&lt;&gt;"",VLOOKUP($L1275,Categories!$B$2:$D$41,3,FALSE),IF($F1275&lt;&gt;"","No Cat",""))</f>
        <v>Direct Assign Items Not in RB</v>
      </c>
      <c r="P1275" s="736" t="s">
        <v>2468</v>
      </c>
      <c r="Q1275" s="442" t="str">
        <f>VLOOKUP($P1275,Allocators!$B$7:$F$19,5,FALSE)</f>
        <v>Not in Rate Base</v>
      </c>
      <c r="R1275" s="737">
        <f>VLOOKUP($P1275,Allocators!$B$7:$F$19,2,FALSE)</f>
        <v>0</v>
      </c>
      <c r="S1275" s="737">
        <f>VLOOKUP($P1275,Allocators!$B$7:$F$19,3,FALSE)</f>
        <v>0</v>
      </c>
      <c r="T1275" s="737">
        <f t="shared" si="589"/>
        <v>1</v>
      </c>
      <c r="U1275" s="2" t="str">
        <f t="shared" si="594"/>
        <v/>
      </c>
      <c r="V1275" s="2" t="str">
        <f t="shared" si="595"/>
        <v/>
      </c>
      <c r="W1275" s="2" t="str">
        <f t="shared" si="596"/>
        <v/>
      </c>
      <c r="X1275" s="2">
        <f t="shared" si="591"/>
        <v>0</v>
      </c>
      <c r="Y1275" s="2" t="str">
        <f t="shared" si="597"/>
        <v/>
      </c>
      <c r="Z1275" s="2" t="str">
        <f t="shared" si="598"/>
        <v/>
      </c>
      <c r="AA1275" s="2" t="str">
        <f t="shared" si="599"/>
        <v/>
      </c>
      <c r="AB1275" s="2">
        <f t="shared" si="592"/>
        <v>0</v>
      </c>
      <c r="AC1275" s="625">
        <v>0</v>
      </c>
      <c r="AD1275" s="625">
        <v>0</v>
      </c>
      <c r="AE1275" s="625">
        <v>0</v>
      </c>
      <c r="AF1275" s="625">
        <v>0</v>
      </c>
      <c r="AG1275" s="625">
        <v>0</v>
      </c>
      <c r="AH1275" s="625">
        <v>0</v>
      </c>
      <c r="AI1275" s="625">
        <v>0</v>
      </c>
      <c r="AJ1275" s="625">
        <v>0</v>
      </c>
      <c r="AK1275" s="625">
        <v>0</v>
      </c>
      <c r="AL1275" s="625">
        <v>0</v>
      </c>
      <c r="AM1275" s="625">
        <v>0</v>
      </c>
      <c r="AN1275" s="625">
        <v>0</v>
      </c>
      <c r="AO1275" s="625">
        <v>0</v>
      </c>
      <c r="AP1275" s="41" t="str">
        <f t="shared" si="585"/>
        <v>Reg AssetN</v>
      </c>
      <c r="AQ1275" s="41" t="str">
        <f t="shared" si="586"/>
        <v>Reg AssetNN2Sales &amp; Use Tax</v>
      </c>
      <c r="AR1275" s="41" t="str">
        <f t="shared" si="587"/>
        <v>N2Sales &amp; Use Tax</v>
      </c>
      <c r="CK1275" s="625"/>
    </row>
    <row r="1276" spans="1:89" s="41" customFormat="1" ht="12.75" customHeight="1">
      <c r="A1276" s="442" t="s">
        <v>746</v>
      </c>
      <c r="B1276" s="442" t="str">
        <f t="shared" si="584"/>
        <v>Reg Asset1862552011 revolver</v>
      </c>
      <c r="C1276" s="736">
        <v>186255</v>
      </c>
      <c r="D1276" s="738" t="s">
        <v>1527</v>
      </c>
      <c r="E1276" s="626"/>
      <c r="F1276" s="626" t="str">
        <f t="shared" si="583"/>
        <v>MISC DEF DEBITS-OTHER</v>
      </c>
      <c r="G1276" s="626" t="s">
        <v>1528</v>
      </c>
      <c r="H1276" s="736" t="s">
        <v>1537</v>
      </c>
      <c r="I1276" s="442"/>
      <c r="J1276" s="442" t="str">
        <f t="shared" si="593"/>
        <v/>
      </c>
      <c r="K1276" s="442" t="str">
        <f t="shared" si="590"/>
        <v/>
      </c>
      <c r="L1276" s="736" t="s">
        <v>2421</v>
      </c>
      <c r="M1276" s="442" t="str">
        <f t="shared" si="588"/>
        <v>N</v>
      </c>
      <c r="N1276" s="442" t="str">
        <f>IF(L1276&lt;&gt;"",VLOOKUP(L1276,Categories!$B$2:$D$41,2,FALSE),IF(F1276&lt;&gt;"","No Cat",""))</f>
        <v>NRBASE</v>
      </c>
      <c r="O1276" s="442" t="str">
        <f>IF($L1276&lt;&gt;"",VLOOKUP($L1276,Categories!$B$2:$D$41,3,FALSE),IF($F1276&lt;&gt;"","No Cat",""))</f>
        <v>Direct Assign Items Not in RB</v>
      </c>
      <c r="P1276" s="736" t="s">
        <v>2468</v>
      </c>
      <c r="Q1276" s="442" t="str">
        <f>VLOOKUP($P1276,Allocators!$B$7:$F$19,5,FALSE)</f>
        <v>Not in Rate Base</v>
      </c>
      <c r="R1276" s="737">
        <f>VLOOKUP($P1276,Allocators!$B$7:$F$19,2,FALSE)</f>
        <v>0</v>
      </c>
      <c r="S1276" s="737">
        <f>VLOOKUP($P1276,Allocators!$B$7:$F$19,3,FALSE)</f>
        <v>0</v>
      </c>
      <c r="T1276" s="737">
        <f t="shared" si="589"/>
        <v>1</v>
      </c>
      <c r="U1276" s="2">
        <f t="shared" si="594"/>
        <v>0</v>
      </c>
      <c r="V1276" s="2">
        <f t="shared" si="595"/>
        <v>0</v>
      </c>
      <c r="W1276" s="2">
        <f t="shared" si="596"/>
        <v>137.585653333333</v>
      </c>
      <c r="X1276" s="2">
        <f t="shared" si="591"/>
        <v>137.585653333333</v>
      </c>
      <c r="Y1276" s="2">
        <f t="shared" si="597"/>
        <v>0</v>
      </c>
      <c r="Z1276" s="2">
        <f t="shared" si="598"/>
        <v>0</v>
      </c>
      <c r="AA1276" s="2">
        <f t="shared" si="599"/>
        <v>89.103740000000101</v>
      </c>
      <c r="AB1276" s="2">
        <f t="shared" si="592"/>
        <v>89.10374000000013</v>
      </c>
      <c r="AC1276" s="625">
        <v>146.90090000000006</v>
      </c>
      <c r="AD1276" s="625">
        <v>142.08447000000007</v>
      </c>
      <c r="AE1276" s="625">
        <v>137.26804000000007</v>
      </c>
      <c r="AF1276" s="625">
        <v>132.45161000000007</v>
      </c>
      <c r="AG1276" s="625">
        <v>127.63518000000008</v>
      </c>
      <c r="AH1276" s="625">
        <v>122.81875000000009</v>
      </c>
      <c r="AI1276" s="625">
        <v>118.0023200000001</v>
      </c>
      <c r="AJ1276" s="625">
        <v>230.68589000000011</v>
      </c>
      <c r="AK1276" s="625">
        <v>225.86946000000012</v>
      </c>
      <c r="AL1276" s="625">
        <v>103.55303000000012</v>
      </c>
      <c r="AM1276" s="625">
        <v>98.736600000000124</v>
      </c>
      <c r="AN1276" s="625">
        <v>93.920170000000127</v>
      </c>
      <c r="AO1276" s="625">
        <v>89.10374000000013</v>
      </c>
      <c r="AP1276" s="41" t="str">
        <f t="shared" si="585"/>
        <v>Reg AssetN</v>
      </c>
      <c r="AQ1276" s="41" t="str">
        <f t="shared" si="586"/>
        <v>Reg AssetNN2Revolver Facility</v>
      </c>
      <c r="AR1276" s="41" t="str">
        <f t="shared" si="587"/>
        <v>N2Revolver Facility</v>
      </c>
      <c r="CK1276" s="625"/>
    </row>
    <row r="1277" spans="1:89" s="41" customFormat="1" ht="12.75" customHeight="1">
      <c r="A1277" s="442" t="s">
        <v>746</v>
      </c>
      <c r="B1277" s="442" t="str">
        <f t="shared" ref="B1277" si="604">CONCATENATE(A1277,C1277,D1277,E1277)</f>
        <v>Reg Asset1862552013 Revolver</v>
      </c>
      <c r="C1277" s="736">
        <v>186255</v>
      </c>
      <c r="D1277" s="738" t="s">
        <v>4304</v>
      </c>
      <c r="E1277" s="626"/>
      <c r="F1277" s="626" t="str">
        <f t="shared" si="583"/>
        <v>MISC DEF DEBITS-OTHER</v>
      </c>
      <c r="G1277" s="626" t="s">
        <v>1528</v>
      </c>
      <c r="H1277" s="736" t="s">
        <v>1537</v>
      </c>
      <c r="I1277" s="442"/>
      <c r="J1277" s="442"/>
      <c r="K1277" s="442"/>
      <c r="L1277" s="736" t="s">
        <v>2421</v>
      </c>
      <c r="M1277" s="442" t="str">
        <f t="shared" si="588"/>
        <v>N</v>
      </c>
      <c r="N1277" s="442" t="str">
        <f>IF(L1277&lt;&gt;"",VLOOKUP(L1277,Categories!$B$2:$D$41,2,FALSE),IF(F1277&lt;&gt;"","No Cat",""))</f>
        <v>NRBASE</v>
      </c>
      <c r="O1277" s="442" t="str">
        <f>IF($L1277&lt;&gt;"",VLOOKUP($L1277,Categories!$B$2:$D$41,3,FALSE),IF($F1277&lt;&gt;"","No Cat",""))</f>
        <v>Direct Assign Items Not in RB</v>
      </c>
      <c r="P1277" s="736" t="s">
        <v>2468</v>
      </c>
      <c r="Q1277" s="442" t="str">
        <f>VLOOKUP($P1277,Allocators!$B$7:$F$19,5,FALSE)</f>
        <v>Not in Rate Base</v>
      </c>
      <c r="R1277" s="737">
        <f>VLOOKUP($P1277,Allocators!$B$7:$F$19,2,FALSE)</f>
        <v>0</v>
      </c>
      <c r="S1277" s="737">
        <f>VLOOKUP($P1277,Allocators!$B$7:$F$19,3,FALSE)</f>
        <v>0</v>
      </c>
      <c r="T1277" s="737">
        <f t="shared" ref="T1277" si="605">IF(P1277="N",1,"0.0%")</f>
        <v>1</v>
      </c>
      <c r="U1277" s="2">
        <f t="shared" si="594"/>
        <v>0</v>
      </c>
      <c r="V1277" s="2">
        <f t="shared" si="595"/>
        <v>0</v>
      </c>
      <c r="W1277" s="2">
        <f t="shared" si="596"/>
        <v>45.625</v>
      </c>
      <c r="X1277" s="2">
        <f t="shared" si="591"/>
        <v>45.625</v>
      </c>
      <c r="Y1277" s="2">
        <f t="shared" si="597"/>
        <v>0</v>
      </c>
      <c r="Z1277" s="2">
        <f t="shared" si="598"/>
        <v>0</v>
      </c>
      <c r="AA1277" s="2">
        <f t="shared" si="599"/>
        <v>38.125</v>
      </c>
      <c r="AB1277" s="2">
        <f t="shared" si="592"/>
        <v>38.125</v>
      </c>
      <c r="AC1277" s="625">
        <v>53.125</v>
      </c>
      <c r="AD1277" s="625">
        <v>51.875</v>
      </c>
      <c r="AE1277" s="625">
        <v>50.625</v>
      </c>
      <c r="AF1277" s="625">
        <v>49.375</v>
      </c>
      <c r="AG1277" s="625">
        <v>48.125</v>
      </c>
      <c r="AH1277" s="625">
        <v>46.875</v>
      </c>
      <c r="AI1277" s="625">
        <v>45.625</v>
      </c>
      <c r="AJ1277" s="625">
        <v>45.625</v>
      </c>
      <c r="AK1277" s="625">
        <v>41.875</v>
      </c>
      <c r="AL1277" s="625">
        <v>41.875</v>
      </c>
      <c r="AM1277" s="625">
        <v>40.625</v>
      </c>
      <c r="AN1277" s="625">
        <v>39.375</v>
      </c>
      <c r="AO1277" s="625">
        <v>38.125</v>
      </c>
      <c r="AP1277" s="41" t="str">
        <f t="shared" si="585"/>
        <v>Reg AssetN</v>
      </c>
      <c r="AQ1277" s="41" t="str">
        <f t="shared" si="586"/>
        <v>Reg AssetNN2Revolver Facility</v>
      </c>
      <c r="AR1277" s="41" t="str">
        <f t="shared" si="587"/>
        <v>N2Revolver Facility</v>
      </c>
      <c r="CK1277" s="625"/>
    </row>
    <row r="1278" spans="1:89" s="41" customFormat="1" ht="12.75" customHeight="1">
      <c r="A1278" s="442" t="s">
        <v>746</v>
      </c>
      <c r="B1278" s="442" t="str">
        <f t="shared" si="584"/>
        <v>Reg Asset186255090111-093011</v>
      </c>
      <c r="C1278" s="736">
        <v>186255</v>
      </c>
      <c r="D1278" s="738" t="s">
        <v>1529</v>
      </c>
      <c r="E1278" s="626"/>
      <c r="F1278" s="626" t="str">
        <f t="shared" ref="F1278:F1350" si="606">VLOOKUP(C1278,$C$7:$F$787,4,FALSE)</f>
        <v>MISC DEF DEBITS-OTHER</v>
      </c>
      <c r="G1278" s="626" t="s">
        <v>1530</v>
      </c>
      <c r="H1278" s="736">
        <v>0</v>
      </c>
      <c r="I1278" s="442"/>
      <c r="J1278" s="442" t="str">
        <f t="shared" si="593"/>
        <v/>
      </c>
      <c r="K1278" s="442" t="str">
        <f t="shared" si="590"/>
        <v/>
      </c>
      <c r="L1278" s="736" t="s">
        <v>2421</v>
      </c>
      <c r="M1278" s="442" t="str">
        <f t="shared" si="588"/>
        <v>N</v>
      </c>
      <c r="N1278" s="442" t="str">
        <f>IF(L1278&lt;&gt;"",VLOOKUP(L1278,Categories!$B$2:$D$41,2,FALSE),IF(F1278&lt;&gt;"","No Cat",""))</f>
        <v>NRBASE</v>
      </c>
      <c r="O1278" s="442" t="str">
        <f>IF($L1278&lt;&gt;"",VLOOKUP($L1278,Categories!$B$2:$D$41,3,FALSE),IF($F1278&lt;&gt;"","No Cat",""))</f>
        <v>Direct Assign Items Not in RB</v>
      </c>
      <c r="P1278" s="736" t="s">
        <v>2468</v>
      </c>
      <c r="Q1278" s="442" t="str">
        <f>VLOOKUP($P1278,Allocators!$B$7:$F$19,5,FALSE)</f>
        <v>Not in Rate Base</v>
      </c>
      <c r="R1278" s="737">
        <f>VLOOKUP($P1278,Allocators!$B$7:$F$19,2,FALSE)</f>
        <v>0</v>
      </c>
      <c r="S1278" s="737">
        <f>VLOOKUP($P1278,Allocators!$B$7:$F$19,3,FALSE)</f>
        <v>0</v>
      </c>
      <c r="T1278" s="737">
        <f t="shared" si="589"/>
        <v>1</v>
      </c>
      <c r="U1278" s="2" t="str">
        <f t="shared" si="594"/>
        <v/>
      </c>
      <c r="V1278" s="2" t="str">
        <f t="shared" si="595"/>
        <v/>
      </c>
      <c r="W1278" s="2" t="str">
        <f t="shared" si="596"/>
        <v/>
      </c>
      <c r="X1278" s="2">
        <f t="shared" si="591"/>
        <v>0</v>
      </c>
      <c r="Y1278" s="2" t="str">
        <f t="shared" si="597"/>
        <v/>
      </c>
      <c r="Z1278" s="2" t="str">
        <f t="shared" si="598"/>
        <v/>
      </c>
      <c r="AA1278" s="2" t="str">
        <f t="shared" si="599"/>
        <v/>
      </c>
      <c r="AB1278" s="2">
        <f t="shared" si="592"/>
        <v>0</v>
      </c>
      <c r="AC1278" s="625">
        <v>0</v>
      </c>
      <c r="AD1278" s="625">
        <v>0</v>
      </c>
      <c r="AE1278" s="625">
        <v>0</v>
      </c>
      <c r="AF1278" s="625">
        <v>0</v>
      </c>
      <c r="AG1278" s="625">
        <v>0</v>
      </c>
      <c r="AH1278" s="625">
        <v>0</v>
      </c>
      <c r="AI1278" s="625">
        <v>0</v>
      </c>
      <c r="AJ1278" s="625">
        <v>0</v>
      </c>
      <c r="AK1278" s="625">
        <v>0</v>
      </c>
      <c r="AL1278" s="625">
        <v>0</v>
      </c>
      <c r="AM1278" s="625">
        <v>0</v>
      </c>
      <c r="AN1278" s="625">
        <v>0</v>
      </c>
      <c r="AO1278" s="625">
        <v>0</v>
      </c>
      <c r="AP1278" s="41" t="str">
        <f t="shared" si="585"/>
        <v>Reg AssetN</v>
      </c>
      <c r="AQ1278" s="41" t="str">
        <f t="shared" si="586"/>
        <v>Reg AssetNN20</v>
      </c>
      <c r="AR1278" s="41" t="str">
        <f t="shared" si="587"/>
        <v>N20</v>
      </c>
      <c r="CK1278" s="625"/>
    </row>
    <row r="1279" spans="1:89" s="41" customFormat="1" ht="12.75" customHeight="1">
      <c r="A1279" s="442" t="s">
        <v>746</v>
      </c>
      <c r="B1279" s="442" t="str">
        <f t="shared" si="584"/>
        <v>Reg Asset186255</v>
      </c>
      <c r="C1279" s="736">
        <v>186255</v>
      </c>
      <c r="D1279" s="738"/>
      <c r="E1279" s="626"/>
      <c r="F1279" s="626" t="str">
        <f t="shared" si="606"/>
        <v>MISC DEF DEBITS-OTHER</v>
      </c>
      <c r="G1279" s="626" t="s">
        <v>1531</v>
      </c>
      <c r="H1279" s="736">
        <v>0</v>
      </c>
      <c r="I1279" s="442"/>
      <c r="J1279" s="442" t="str">
        <f t="shared" ref="J1279:J1351" si="607">IF(L1279="N10","Y",IF(L1279="N8","Y",""))</f>
        <v/>
      </c>
      <c r="K1279" s="442" t="str">
        <f t="shared" si="590"/>
        <v/>
      </c>
      <c r="L1279" s="736" t="s">
        <v>2421</v>
      </c>
      <c r="M1279" s="442" t="str">
        <f t="shared" si="588"/>
        <v>N</v>
      </c>
      <c r="N1279" s="442" t="str">
        <f>IF(L1279&lt;&gt;"",VLOOKUP(L1279,Categories!$B$2:$D$41,2,FALSE),IF(F1279&lt;&gt;"","No Cat",""))</f>
        <v>NRBASE</v>
      </c>
      <c r="O1279" s="442" t="str">
        <f>IF($L1279&lt;&gt;"",VLOOKUP($L1279,Categories!$B$2:$D$41,3,FALSE),IF($F1279&lt;&gt;"","No Cat",""))</f>
        <v>Direct Assign Items Not in RB</v>
      </c>
      <c r="P1279" s="736" t="s">
        <v>2468</v>
      </c>
      <c r="Q1279" s="442" t="str">
        <f>VLOOKUP($P1279,Allocators!$B$7:$F$19,5,FALSE)</f>
        <v>Not in Rate Base</v>
      </c>
      <c r="R1279" s="737">
        <f>VLOOKUP($P1279,Allocators!$B$7:$F$19,2,FALSE)</f>
        <v>0</v>
      </c>
      <c r="S1279" s="737">
        <f>VLOOKUP($P1279,Allocators!$B$7:$F$19,3,FALSE)</f>
        <v>0</v>
      </c>
      <c r="T1279" s="737">
        <f t="shared" si="589"/>
        <v>1</v>
      </c>
      <c r="U1279" s="2" t="str">
        <f t="shared" si="594"/>
        <v/>
      </c>
      <c r="V1279" s="2" t="str">
        <f t="shared" si="595"/>
        <v/>
      </c>
      <c r="W1279" s="2" t="str">
        <f t="shared" si="596"/>
        <v/>
      </c>
      <c r="X1279" s="2">
        <f t="shared" si="591"/>
        <v>0</v>
      </c>
      <c r="Y1279" s="2" t="str">
        <f t="shared" si="597"/>
        <v/>
      </c>
      <c r="Z1279" s="2" t="str">
        <f t="shared" si="598"/>
        <v/>
      </c>
      <c r="AA1279" s="2" t="str">
        <f t="shared" si="599"/>
        <v/>
      </c>
      <c r="AB1279" s="2">
        <f t="shared" si="592"/>
        <v>0</v>
      </c>
      <c r="AC1279" s="625">
        <v>0</v>
      </c>
      <c r="AD1279" s="625">
        <v>0</v>
      </c>
      <c r="AE1279" s="625">
        <v>0</v>
      </c>
      <c r="AF1279" s="625">
        <v>0</v>
      </c>
      <c r="AG1279" s="625">
        <v>0</v>
      </c>
      <c r="AH1279" s="625">
        <v>0</v>
      </c>
      <c r="AI1279" s="625">
        <v>0</v>
      </c>
      <c r="AJ1279" s="625">
        <v>0</v>
      </c>
      <c r="AK1279" s="625">
        <v>0</v>
      </c>
      <c r="AL1279" s="625">
        <v>0</v>
      </c>
      <c r="AM1279" s="625">
        <v>0</v>
      </c>
      <c r="AN1279" s="625">
        <v>0</v>
      </c>
      <c r="AO1279" s="625">
        <v>0</v>
      </c>
      <c r="AP1279" s="41" t="str">
        <f t="shared" si="585"/>
        <v>Reg AssetN</v>
      </c>
      <c r="AQ1279" s="41" t="str">
        <f t="shared" si="586"/>
        <v>Reg AssetNN20</v>
      </c>
      <c r="AR1279" s="41" t="str">
        <f t="shared" si="587"/>
        <v>N20</v>
      </c>
      <c r="CK1279" s="625"/>
    </row>
    <row r="1280" spans="1:89" s="41" customFormat="1" ht="12.75" customHeight="1">
      <c r="A1280" s="442" t="s">
        <v>746</v>
      </c>
      <c r="B1280" s="442" t="str">
        <f>CONCATENATE(A1280,C1280,D1280,E1280)</f>
        <v>Reg Asset18625520.PF041</v>
      </c>
      <c r="C1280" s="736">
        <v>186255</v>
      </c>
      <c r="D1280" s="738" t="s">
        <v>4368</v>
      </c>
      <c r="E1280" s="626"/>
      <c r="F1280" s="626" t="str">
        <f>VLOOKUP(C1280,$C$7:$F$787,4,FALSE)</f>
        <v>MISC DEF DEBITS-OTHER</v>
      </c>
      <c r="G1280" s="626" t="s">
        <v>4367</v>
      </c>
      <c r="H1280" s="736" t="s">
        <v>4371</v>
      </c>
      <c r="I1280" s="442"/>
      <c r="J1280" s="442" t="s">
        <v>7</v>
      </c>
      <c r="K1280" s="442" t="str">
        <f t="shared" si="590"/>
        <v/>
      </c>
      <c r="L1280" s="736" t="s">
        <v>2436</v>
      </c>
      <c r="M1280" s="442" t="str">
        <f t="shared" ref="M1280:M1281" si="608">LEFT(L1280,1)</f>
        <v>N</v>
      </c>
      <c r="N1280" s="442" t="str">
        <f>IF(L1280&lt;&gt;"",VLOOKUP(L1280,Categories!$B$2:$D$41,2,FALSE),IF(F1280&lt;&gt;"","No Cat",""))</f>
        <v>NRBASE</v>
      </c>
      <c r="O1280" s="442" t="str">
        <f>IF($L1280&lt;&gt;"",VLOOKUP($L1280,Categories!$B$2:$D$41,3,FALSE),IF($F1280&lt;&gt;"","No Cat",""))</f>
        <v>Deferrals Accruing Non-Cash Return   (other than ASGA)</v>
      </c>
      <c r="P1280" s="736" t="s">
        <v>2468</v>
      </c>
      <c r="Q1280" s="442" t="str">
        <f>VLOOKUP($P1280,Allocators!$B$7:$F$19,5,FALSE)</f>
        <v>Not in Rate Base</v>
      </c>
      <c r="R1280" s="737">
        <f>VLOOKUP($P1280,Allocators!$B$7:$F$19,2,FALSE)</f>
        <v>0</v>
      </c>
      <c r="S1280" s="737">
        <f>VLOOKUP($P1280,Allocators!$B$7:$F$19,3,FALSE)</f>
        <v>0</v>
      </c>
      <c r="T1280" s="737">
        <f t="shared" ref="T1280:T1281" si="609">IF(P1280="N",1,"0.0%")</f>
        <v>1</v>
      </c>
      <c r="U1280" s="2">
        <f t="shared" si="594"/>
        <v>0</v>
      </c>
      <c r="V1280" s="2">
        <f t="shared" si="595"/>
        <v>0</v>
      </c>
      <c r="W1280" s="2">
        <f t="shared" si="596"/>
        <v>-37.947980000000001</v>
      </c>
      <c r="X1280" s="2">
        <f t="shared" si="591"/>
        <v>-37.947980000000001</v>
      </c>
      <c r="Y1280" s="2">
        <f t="shared" si="597"/>
        <v>0</v>
      </c>
      <c r="Z1280" s="2">
        <f t="shared" si="598"/>
        <v>0</v>
      </c>
      <c r="AA1280" s="2">
        <f t="shared" si="599"/>
        <v>-37.947980000000001</v>
      </c>
      <c r="AB1280" s="2">
        <f t="shared" si="592"/>
        <v>-37.947980000000001</v>
      </c>
      <c r="AC1280" s="625">
        <v>-37.947980000000001</v>
      </c>
      <c r="AD1280" s="625">
        <v>-37.947980000000001</v>
      </c>
      <c r="AE1280" s="625">
        <v>-37.947980000000001</v>
      </c>
      <c r="AF1280" s="625">
        <v>-37.947980000000001</v>
      </c>
      <c r="AG1280" s="625">
        <v>-37.947980000000001</v>
      </c>
      <c r="AH1280" s="625">
        <v>-37.947980000000001</v>
      </c>
      <c r="AI1280" s="625">
        <v>-37.947980000000001</v>
      </c>
      <c r="AJ1280" s="625">
        <v>-37.947980000000001</v>
      </c>
      <c r="AK1280" s="625">
        <v>-37.947980000000001</v>
      </c>
      <c r="AL1280" s="625">
        <v>-37.947980000000001</v>
      </c>
      <c r="AM1280" s="625">
        <v>-37.947980000000001</v>
      </c>
      <c r="AN1280" s="625">
        <v>-37.947980000000001</v>
      </c>
      <c r="AO1280" s="625">
        <v>-37.947980000000001</v>
      </c>
      <c r="AP1280" s="41" t="str">
        <f t="shared" si="585"/>
        <v>Reg AssetN</v>
      </c>
      <c r="AQ1280" s="41" t="str">
        <f t="shared" si="586"/>
        <v>Reg AssetNN10Allegany Sale Gain/Loss</v>
      </c>
      <c r="AR1280" s="41" t="str">
        <f t="shared" si="587"/>
        <v>N10Allegany Sale Gain/LossNCR</v>
      </c>
      <c r="CK1280" s="625"/>
    </row>
    <row r="1281" spans="1:89" s="41" customFormat="1" ht="12.75" customHeight="1">
      <c r="A1281" s="442" t="s">
        <v>746</v>
      </c>
      <c r="B1281" s="442" t="str">
        <f>CONCATENATE(A1281,C1281,D1281,E1281)</f>
        <v>Reg Asset186255182371-13</v>
      </c>
      <c r="C1281" s="736">
        <v>186255</v>
      </c>
      <c r="D1281" s="738" t="s">
        <v>4387</v>
      </c>
      <c r="E1281" s="626"/>
      <c r="F1281" s="626" t="str">
        <f>VLOOKUP(C1281,$C$7:$F$787,4,FALSE)</f>
        <v>MISC DEF DEBITS-OTHER</v>
      </c>
      <c r="G1281" s="626" t="s">
        <v>4386</v>
      </c>
      <c r="H1281" s="736" t="s">
        <v>1142</v>
      </c>
      <c r="I1281" s="442"/>
      <c r="J1281" s="442" t="s">
        <v>7</v>
      </c>
      <c r="K1281" s="442" t="str">
        <f t="shared" si="590"/>
        <v/>
      </c>
      <c r="L1281" s="736" t="s">
        <v>2436</v>
      </c>
      <c r="M1281" s="442" t="str">
        <f t="shared" si="608"/>
        <v>N</v>
      </c>
      <c r="N1281" s="442" t="str">
        <f>IF(L1281&lt;&gt;"",VLOOKUP(L1281,Categories!$B$2:$D$41,2,FALSE),IF(F1281&lt;&gt;"","No Cat",""))</f>
        <v>NRBASE</v>
      </c>
      <c r="O1281" s="442" t="str">
        <f>IF($L1281&lt;&gt;"",VLOOKUP($L1281,Categories!$B$2:$D$41,3,FALSE),IF($F1281&lt;&gt;"","No Cat",""))</f>
        <v>Deferrals Accruing Non-Cash Return   (other than ASGA)</v>
      </c>
      <c r="P1281" s="736" t="s">
        <v>2468</v>
      </c>
      <c r="Q1281" s="442" t="str">
        <f>VLOOKUP($P1281,Allocators!$B$7:$F$19,5,FALSE)</f>
        <v>Not in Rate Base</v>
      </c>
      <c r="R1281" s="737">
        <f>VLOOKUP($P1281,Allocators!$B$7:$F$19,2,FALSE)</f>
        <v>0</v>
      </c>
      <c r="S1281" s="737">
        <f>VLOOKUP($P1281,Allocators!$B$7:$F$19,3,FALSE)</f>
        <v>0</v>
      </c>
      <c r="T1281" s="737">
        <f t="shared" si="609"/>
        <v>1</v>
      </c>
      <c r="U1281" s="2">
        <f t="shared" si="594"/>
        <v>0</v>
      </c>
      <c r="V1281" s="2">
        <f t="shared" si="595"/>
        <v>0</v>
      </c>
      <c r="W1281" s="2">
        <f t="shared" si="596"/>
        <v>0.78315666666666695</v>
      </c>
      <c r="X1281" s="2">
        <f t="shared" si="591"/>
        <v>0.78315666666666695</v>
      </c>
      <c r="Y1281" s="2" t="str">
        <f t="shared" si="597"/>
        <v/>
      </c>
      <c r="Z1281" s="2" t="str">
        <f t="shared" si="598"/>
        <v/>
      </c>
      <c r="AA1281" s="2" t="str">
        <f t="shared" si="599"/>
        <v/>
      </c>
      <c r="AB1281" s="2">
        <f t="shared" si="592"/>
        <v>0</v>
      </c>
      <c r="AC1281" s="625">
        <v>6.3603199999999998</v>
      </c>
      <c r="AD1281" s="625">
        <v>0</v>
      </c>
      <c r="AE1281" s="625">
        <v>0</v>
      </c>
      <c r="AF1281" s="625">
        <v>0</v>
      </c>
      <c r="AH1281" s="625">
        <v>1.55443</v>
      </c>
      <c r="AI1281" s="625">
        <v>1.55443</v>
      </c>
      <c r="AJ1281" s="625">
        <v>1.55443</v>
      </c>
      <c r="AK1281" s="625">
        <v>1.55443</v>
      </c>
      <c r="AL1281" s="625">
        <v>0</v>
      </c>
      <c r="AM1281" s="625">
        <v>0</v>
      </c>
      <c r="AN1281" s="625">
        <v>0</v>
      </c>
      <c r="AO1281" s="625">
        <v>0</v>
      </c>
      <c r="AP1281" s="41" t="str">
        <f t="shared" si="585"/>
        <v>Reg AssetN</v>
      </c>
      <c r="AQ1281" s="41" t="str">
        <f t="shared" si="586"/>
        <v>Reg AssetNN10Gas Costs Deferred</v>
      </c>
      <c r="AR1281" s="41" t="str">
        <f t="shared" si="587"/>
        <v>N10Gas Costs DeferredNCR</v>
      </c>
      <c r="CK1281" s="625"/>
    </row>
    <row r="1282" spans="1:89" s="41" customFormat="1" ht="12.75" customHeight="1">
      <c r="A1282" s="442" t="s">
        <v>746</v>
      </c>
      <c r="B1282" s="442" t="str">
        <f>CONCATENATE(A1282,C1282,D1282,E1282)</f>
        <v>Reg Asset1862552014 Revolver</v>
      </c>
      <c r="C1282" s="736">
        <v>186255</v>
      </c>
      <c r="D1282" s="738" t="s">
        <v>4498</v>
      </c>
      <c r="E1282" s="626"/>
      <c r="F1282" s="626" t="str">
        <f>VLOOKUP(C1282,$C$7:$F$787,4,FALSE)</f>
        <v>MISC DEF DEBITS-OTHER</v>
      </c>
      <c r="G1282" s="626" t="s">
        <v>1528</v>
      </c>
      <c r="H1282" s="736" t="s">
        <v>1537</v>
      </c>
      <c r="I1282" s="442"/>
      <c r="J1282" s="442"/>
      <c r="K1282" s="442"/>
      <c r="L1282" s="736" t="s">
        <v>2421</v>
      </c>
      <c r="M1282" s="442" t="str">
        <f t="shared" ref="M1282" si="610">LEFT(L1282,1)</f>
        <v>N</v>
      </c>
      <c r="N1282" s="442" t="str">
        <f>IF(L1282&lt;&gt;"",VLOOKUP(L1282,Categories!$B$2:$D$41,2,FALSE),IF(F1282&lt;&gt;"","No Cat",""))</f>
        <v>NRBASE</v>
      </c>
      <c r="O1282" s="442" t="str">
        <f>IF($L1282&lt;&gt;"",VLOOKUP($L1282,Categories!$B$2:$D$41,3,FALSE),IF($F1282&lt;&gt;"","No Cat",""))</f>
        <v>Direct Assign Items Not in RB</v>
      </c>
      <c r="P1282" s="736" t="s">
        <v>2468</v>
      </c>
      <c r="Q1282" s="442" t="str">
        <f>VLOOKUP($P1282,Allocators!$B$7:$F$19,5,FALSE)</f>
        <v>Not in Rate Base</v>
      </c>
      <c r="R1282" s="737">
        <f>VLOOKUP($P1282,Allocators!$B$7:$F$19,2,FALSE)</f>
        <v>0</v>
      </c>
      <c r="S1282" s="737">
        <f>VLOOKUP($P1282,Allocators!$B$7:$F$19,3,FALSE)</f>
        <v>0</v>
      </c>
      <c r="T1282" s="737">
        <f t="shared" ref="T1282" si="611">IF(P1282="N",1,"0.0%")</f>
        <v>1</v>
      </c>
      <c r="U1282" s="2">
        <f t="shared" si="594"/>
        <v>0</v>
      </c>
      <c r="V1282" s="2">
        <f t="shared" si="595"/>
        <v>0</v>
      </c>
      <c r="W1282" s="2">
        <f t="shared" si="596"/>
        <v>32.2395833333333</v>
      </c>
      <c r="X1282" s="2">
        <f t="shared" si="591"/>
        <v>32.2395833333333</v>
      </c>
      <c r="Y1282" s="2">
        <f t="shared" si="597"/>
        <v>0</v>
      </c>
      <c r="Z1282" s="2">
        <f t="shared" si="598"/>
        <v>0</v>
      </c>
      <c r="AA1282" s="2">
        <f t="shared" si="599"/>
        <v>106.25</v>
      </c>
      <c r="AB1282" s="2">
        <f t="shared" si="592"/>
        <v>106.25</v>
      </c>
      <c r="AC1282" s="625"/>
      <c r="AD1282" s="625"/>
      <c r="AE1282" s="625"/>
      <c r="AF1282" s="625"/>
      <c r="AH1282" s="625"/>
      <c r="AI1282" s="625"/>
      <c r="AJ1282" s="625"/>
      <c r="AK1282" s="625"/>
      <c r="AL1282" s="625">
        <v>113.75</v>
      </c>
      <c r="AM1282" s="625">
        <v>111.25</v>
      </c>
      <c r="AN1282" s="625">
        <v>108.75</v>
      </c>
      <c r="AO1282" s="625">
        <v>106.25</v>
      </c>
      <c r="AP1282" s="41" t="str">
        <f t="shared" si="585"/>
        <v>Reg AssetN</v>
      </c>
      <c r="AQ1282" s="41" t="str">
        <f t="shared" si="586"/>
        <v>Reg AssetNN2Revolver Facility</v>
      </c>
      <c r="AR1282" s="41" t="str">
        <f t="shared" si="587"/>
        <v>N2Revolver Facility</v>
      </c>
      <c r="CK1282" s="625"/>
    </row>
    <row r="1283" spans="1:89" s="41" customFormat="1" ht="12.75" customHeight="1">
      <c r="A1283" s="442" t="s">
        <v>746</v>
      </c>
      <c r="B1283" s="442" t="str">
        <f t="shared" si="584"/>
        <v>Reg Asset186255</v>
      </c>
      <c r="C1283" s="736">
        <v>186255</v>
      </c>
      <c r="D1283" s="738"/>
      <c r="E1283" s="626"/>
      <c r="F1283" s="626" t="str">
        <f t="shared" si="606"/>
        <v>MISC DEF DEBITS-OTHER</v>
      </c>
      <c r="G1283" s="626" t="s">
        <v>1532</v>
      </c>
      <c r="H1283" s="736">
        <v>0</v>
      </c>
      <c r="I1283" s="442"/>
      <c r="J1283" s="442" t="str">
        <f t="shared" si="607"/>
        <v/>
      </c>
      <c r="K1283" s="442" t="str">
        <f t="shared" si="590"/>
        <v/>
      </c>
      <c r="L1283" s="736" t="s">
        <v>2421</v>
      </c>
      <c r="M1283" s="442" t="str">
        <f t="shared" si="588"/>
        <v>N</v>
      </c>
      <c r="N1283" s="442" t="str">
        <f>IF(L1283&lt;&gt;"",VLOOKUP(L1283,Categories!$B$2:$D$41,2,FALSE),IF(F1283&lt;&gt;"","No Cat",""))</f>
        <v>NRBASE</v>
      </c>
      <c r="O1283" s="442" t="str">
        <f>IF($L1283&lt;&gt;"",VLOOKUP($L1283,Categories!$B$2:$D$41,3,FALSE),IF($F1283&lt;&gt;"","No Cat",""))</f>
        <v>Direct Assign Items Not in RB</v>
      </c>
      <c r="P1283" s="736" t="s">
        <v>2468</v>
      </c>
      <c r="Q1283" s="442" t="str">
        <f>VLOOKUP($P1283,Allocators!$B$7:$F$19,5,FALSE)</f>
        <v>Not in Rate Base</v>
      </c>
      <c r="R1283" s="737">
        <f>VLOOKUP($P1283,Allocators!$B$7:$F$19,2,FALSE)</f>
        <v>0</v>
      </c>
      <c r="S1283" s="737">
        <f>VLOOKUP($P1283,Allocators!$B$7:$F$19,3,FALSE)</f>
        <v>0</v>
      </c>
      <c r="T1283" s="737">
        <f t="shared" si="589"/>
        <v>1</v>
      </c>
      <c r="U1283" s="2" t="str">
        <f t="shared" si="594"/>
        <v/>
      </c>
      <c r="V1283" s="2" t="str">
        <f t="shared" si="595"/>
        <v/>
      </c>
      <c r="W1283" s="2" t="str">
        <f t="shared" si="596"/>
        <v/>
      </c>
      <c r="X1283" s="2">
        <f t="shared" si="591"/>
        <v>0</v>
      </c>
      <c r="Y1283" s="2" t="str">
        <f t="shared" si="597"/>
        <v/>
      </c>
      <c r="Z1283" s="2" t="str">
        <f t="shared" si="598"/>
        <v/>
      </c>
      <c r="AA1283" s="2" t="str">
        <f t="shared" si="599"/>
        <v/>
      </c>
      <c r="AB1283" s="2">
        <f t="shared" si="592"/>
        <v>0</v>
      </c>
      <c r="AC1283" s="625">
        <v>0</v>
      </c>
      <c r="AD1283" s="625">
        <v>0</v>
      </c>
      <c r="AE1283" s="625">
        <v>0</v>
      </c>
      <c r="AF1283" s="625">
        <v>0</v>
      </c>
      <c r="AH1283" s="625">
        <v>0</v>
      </c>
      <c r="AI1283" s="625">
        <v>0</v>
      </c>
      <c r="AJ1283" s="625">
        <v>0</v>
      </c>
      <c r="AK1283" s="625">
        <v>0</v>
      </c>
      <c r="AL1283" s="625">
        <v>0</v>
      </c>
      <c r="AM1283" s="625">
        <v>0</v>
      </c>
      <c r="AN1283" s="625">
        <v>0</v>
      </c>
      <c r="AO1283" s="625">
        <v>0</v>
      </c>
      <c r="AP1283" s="41" t="str">
        <f t="shared" si="585"/>
        <v>Reg AssetN</v>
      </c>
      <c r="AQ1283" s="41" t="str">
        <f t="shared" si="586"/>
        <v>Reg AssetNN20</v>
      </c>
      <c r="AR1283" s="41" t="str">
        <f t="shared" si="587"/>
        <v>N20</v>
      </c>
      <c r="CK1283" s="625"/>
    </row>
    <row r="1284" spans="1:89" s="41" customFormat="1" ht="12.75" customHeight="1">
      <c r="A1284" s="25" t="s">
        <v>746</v>
      </c>
      <c r="B1284" s="25" t="str">
        <f t="shared" si="584"/>
        <v>Reg Asset186270</v>
      </c>
      <c r="C1284" s="736">
        <v>186270</v>
      </c>
      <c r="D1284" s="738"/>
      <c r="F1284" s="41" t="str">
        <f t="shared" si="606"/>
        <v>OTH DEFERRED DEBITS - PROPERTY TAX</v>
      </c>
      <c r="G1284" s="41" t="s">
        <v>1533</v>
      </c>
      <c r="H1284" s="736" t="s">
        <v>1113</v>
      </c>
      <c r="I1284" s="25"/>
      <c r="J1284" s="25" t="str">
        <f t="shared" si="607"/>
        <v/>
      </c>
      <c r="K1284" s="442" t="str">
        <f t="shared" si="590"/>
        <v/>
      </c>
      <c r="L1284" s="736" t="s">
        <v>2393</v>
      </c>
      <c r="M1284" s="25" t="str">
        <f t="shared" si="588"/>
        <v>A</v>
      </c>
      <c r="N1284" s="25" t="str">
        <f>IF(L1284&lt;&gt;"",VLOOKUP(L1284,Categories!$B$2:$D$41,2,FALSE),IF(F1284&lt;&gt;"","No Cat",""))</f>
        <v>All Other</v>
      </c>
      <c r="O1284" s="25" t="str">
        <f>IF($L1284&lt;&gt;"",VLOOKUP($L1284,Categories!$B$2:$D$41,3,FALSE),IF($F1284&lt;&gt;"","No Cat",""))</f>
        <v>EB-Cap</v>
      </c>
      <c r="P1284" s="736" t="s">
        <v>2490</v>
      </c>
      <c r="Q1284" s="25" t="str">
        <f>VLOOKUP($P1284,Allocators!$B$7:$F$19,5,FALSE)</f>
        <v>Rate Base</v>
      </c>
      <c r="R1284" s="737">
        <f>VLOOKUP($P1284,Allocators!$B$7:$F$19,2,FALSE)</f>
        <v>0.70940000000000003</v>
      </c>
      <c r="S1284" s="737">
        <f>VLOOKUP($P1284,Allocators!$B$7:$F$19,3,FALSE)</f>
        <v>0.29060000000000002</v>
      </c>
      <c r="T1284" s="737" t="str">
        <f t="shared" si="589"/>
        <v>0.0%</v>
      </c>
      <c r="U1284" s="2">
        <f t="shared" si="594"/>
        <v>6.27078238608334</v>
      </c>
      <c r="V1284" s="2">
        <f t="shared" si="595"/>
        <v>2.5687755305833302</v>
      </c>
      <c r="W1284" s="2">
        <f t="shared" si="596"/>
        <v>0</v>
      </c>
      <c r="X1284" s="2">
        <f t="shared" si="591"/>
        <v>8.8395579166666707</v>
      </c>
      <c r="Y1284" s="2">
        <f t="shared" si="597"/>
        <v>7.8940542259999997</v>
      </c>
      <c r="Z1284" s="2">
        <f t="shared" si="598"/>
        <v>3.2337357739999999</v>
      </c>
      <c r="AA1284" s="2">
        <f t="shared" si="599"/>
        <v>0</v>
      </c>
      <c r="AB1284" s="2">
        <f t="shared" si="592"/>
        <v>11.127790000000001</v>
      </c>
      <c r="AC1284" s="625">
        <v>19.451779999999999</v>
      </c>
      <c r="AD1284" s="625">
        <v>25.872799999999998</v>
      </c>
      <c r="AE1284" s="625">
        <v>0</v>
      </c>
      <c r="AF1284" s="625">
        <v>0</v>
      </c>
      <c r="AH1284" s="625">
        <v>0</v>
      </c>
      <c r="AI1284" s="625">
        <v>0</v>
      </c>
      <c r="AJ1284" s="625">
        <v>20.400950000000002</v>
      </c>
      <c r="AK1284" s="625">
        <v>11.127790000000001</v>
      </c>
      <c r="AL1284" s="625">
        <v>11.127790000000001</v>
      </c>
      <c r="AM1284" s="625">
        <v>11.127790000000001</v>
      </c>
      <c r="AN1284" s="625">
        <v>11.127790000000001</v>
      </c>
      <c r="AO1284" s="625">
        <v>11.127790000000001</v>
      </c>
      <c r="AP1284" s="41" t="str">
        <f t="shared" si="585"/>
        <v>Reg AssetA</v>
      </c>
      <c r="AQ1284" s="41" t="str">
        <f t="shared" si="586"/>
        <v>Reg AssetAA2Property Tax Deferral</v>
      </c>
      <c r="AR1284" s="41" t="str">
        <f t="shared" si="587"/>
        <v>A2Property Tax Deferral</v>
      </c>
      <c r="CK1284" s="625"/>
    </row>
    <row r="1285" spans="1:89" s="41" customFormat="1" ht="12.75" customHeight="1">
      <c r="A1285" s="25" t="s">
        <v>746</v>
      </c>
      <c r="B1285" s="25" t="str">
        <f t="shared" si="584"/>
        <v>Reg Asset186850</v>
      </c>
      <c r="C1285" s="736">
        <v>186850</v>
      </c>
      <c r="D1285" s="738"/>
      <c r="F1285" s="41" t="str">
        <f t="shared" si="606"/>
        <v>INTANGIBLE ASSETS</v>
      </c>
      <c r="G1285" s="41" t="s">
        <v>1534</v>
      </c>
      <c r="H1285" s="736" t="s">
        <v>1133</v>
      </c>
      <c r="I1285" s="25"/>
      <c r="J1285" s="25" t="str">
        <f t="shared" si="607"/>
        <v/>
      </c>
      <c r="K1285" s="442" t="str">
        <f t="shared" si="590"/>
        <v/>
      </c>
      <c r="L1285" s="736" t="s">
        <v>2427</v>
      </c>
      <c r="M1285" s="25" t="str">
        <f t="shared" si="588"/>
        <v>N</v>
      </c>
      <c r="N1285" s="25" t="str">
        <f>IF(L1285&lt;&gt;"",VLOOKUP(L1285,Categories!$B$2:$D$41,2,FALSE),IF(F1285&lt;&gt;"","No Cat",""))</f>
        <v>NRBASE</v>
      </c>
      <c r="O1285" s="25" t="str">
        <f>IF($L1285&lt;&gt;"",VLOOKUP($L1285,Categories!$B$2:$D$41,3,FALSE),IF($F1285&lt;&gt;"","No Cat",""))</f>
        <v>Hedges &amp; OCI</v>
      </c>
      <c r="P1285" s="736" t="s">
        <v>2468</v>
      </c>
      <c r="Q1285" s="25" t="str">
        <f>VLOOKUP($P1285,Allocators!$B$7:$F$19,5,FALSE)</f>
        <v>Not in Rate Base</v>
      </c>
      <c r="R1285" s="737">
        <f>VLOOKUP($P1285,Allocators!$B$7:$F$19,2,FALSE)</f>
        <v>0</v>
      </c>
      <c r="S1285" s="737">
        <f>VLOOKUP($P1285,Allocators!$B$7:$F$19,3,FALSE)</f>
        <v>0</v>
      </c>
      <c r="T1285" s="737">
        <f t="shared" si="589"/>
        <v>1</v>
      </c>
      <c r="U1285" s="2" t="str">
        <f t="shared" si="594"/>
        <v/>
      </c>
      <c r="V1285" s="2" t="str">
        <f t="shared" si="595"/>
        <v/>
      </c>
      <c r="W1285" s="2" t="str">
        <f t="shared" si="596"/>
        <v/>
      </c>
      <c r="X1285" s="2">
        <f t="shared" si="591"/>
        <v>0</v>
      </c>
      <c r="Y1285" s="2" t="str">
        <f t="shared" si="597"/>
        <v/>
      </c>
      <c r="Z1285" s="2" t="str">
        <f t="shared" si="598"/>
        <v/>
      </c>
      <c r="AA1285" s="2" t="str">
        <f t="shared" si="599"/>
        <v/>
      </c>
      <c r="AB1285" s="2">
        <f t="shared" si="592"/>
        <v>0</v>
      </c>
      <c r="AC1285" s="625">
        <v>0</v>
      </c>
      <c r="AD1285" s="625">
        <v>0</v>
      </c>
      <c r="AE1285" s="625">
        <v>0</v>
      </c>
      <c r="AF1285" s="625">
        <v>0</v>
      </c>
      <c r="AH1285" s="625">
        <v>0</v>
      </c>
      <c r="AI1285" s="625">
        <v>0</v>
      </c>
      <c r="AJ1285" s="625">
        <v>0</v>
      </c>
      <c r="AL1285" s="625">
        <v>0</v>
      </c>
      <c r="AM1285" s="625">
        <v>0</v>
      </c>
      <c r="AO1285" s="625">
        <v>0</v>
      </c>
      <c r="AP1285" s="41" t="str">
        <f t="shared" si="585"/>
        <v>Reg AssetN</v>
      </c>
      <c r="AQ1285" s="41" t="str">
        <f t="shared" si="586"/>
        <v>Reg AssetNN5FAS 133</v>
      </c>
      <c r="AR1285" s="41" t="str">
        <f t="shared" si="587"/>
        <v>N5FAS 133</v>
      </c>
      <c r="CK1285" s="625"/>
    </row>
    <row r="1286" spans="1:89" s="41" customFormat="1" ht="12.75" customHeight="1">
      <c r="A1286" s="25" t="s">
        <v>746</v>
      </c>
      <c r="B1286" s="25" t="str">
        <f t="shared" si="584"/>
        <v>Reg Asset253005</v>
      </c>
      <c r="C1286" s="736">
        <v>253005</v>
      </c>
      <c r="D1286" s="738"/>
      <c r="F1286" s="41" t="str">
        <f t="shared" si="606"/>
        <v>OTHER LIABILITIES-CUSTOMERS DOWNPAYMENTS (WMS)</v>
      </c>
      <c r="G1286" s="41" t="s">
        <v>1544</v>
      </c>
      <c r="H1286" s="736" t="s">
        <v>1545</v>
      </c>
      <c r="I1286" s="25"/>
      <c r="J1286" s="25" t="str">
        <f t="shared" si="607"/>
        <v/>
      </c>
      <c r="K1286" s="442" t="str">
        <f t="shared" si="590"/>
        <v/>
      </c>
      <c r="L1286" s="736" t="s">
        <v>2393</v>
      </c>
      <c r="M1286" s="25" t="str">
        <f t="shared" si="588"/>
        <v>A</v>
      </c>
      <c r="N1286" s="25" t="str">
        <f>IF(L1286&lt;&gt;"",VLOOKUP(L1286,Categories!$B$2:$D$41,2,FALSE),IF(F1286&lt;&gt;"","No Cat",""))</f>
        <v>All Other</v>
      </c>
      <c r="O1286" s="25" t="str">
        <f>IF($L1286&lt;&gt;"",VLOOKUP($L1286,Categories!$B$2:$D$41,3,FALSE),IF($F1286&lt;&gt;"","No Cat",""))</f>
        <v>EB-Cap</v>
      </c>
      <c r="P1286" s="736" t="s">
        <v>2490</v>
      </c>
      <c r="Q1286" s="25" t="str">
        <f>VLOOKUP($P1286,Allocators!$B$7:$F$19,5,FALSE)</f>
        <v>Rate Base</v>
      </c>
      <c r="R1286" s="737">
        <f>VLOOKUP($P1286,Allocators!$B$7:$F$19,2,FALSE)</f>
        <v>0.70940000000000003</v>
      </c>
      <c r="S1286" s="737">
        <f>VLOOKUP($P1286,Allocators!$B$7:$F$19,3,FALSE)</f>
        <v>0.29060000000000002</v>
      </c>
      <c r="T1286" s="737" t="str">
        <f t="shared" si="589"/>
        <v>0.0%</v>
      </c>
      <c r="U1286" s="2" t="str">
        <f t="shared" si="594"/>
        <v/>
      </c>
      <c r="V1286" s="2" t="str">
        <f t="shared" si="595"/>
        <v/>
      </c>
      <c r="W1286" s="2" t="str">
        <f t="shared" si="596"/>
        <v/>
      </c>
      <c r="X1286" s="2">
        <f t="shared" si="591"/>
        <v>0</v>
      </c>
      <c r="Y1286" s="2" t="str">
        <f t="shared" si="597"/>
        <v/>
      </c>
      <c r="Z1286" s="2" t="str">
        <f t="shared" si="598"/>
        <v/>
      </c>
      <c r="AA1286" s="2" t="str">
        <f t="shared" si="599"/>
        <v/>
      </c>
      <c r="AB1286" s="2">
        <f t="shared" si="592"/>
        <v>0</v>
      </c>
      <c r="AC1286" s="625">
        <v>0</v>
      </c>
      <c r="AD1286" s="625">
        <v>0</v>
      </c>
      <c r="AE1286" s="625">
        <v>0</v>
      </c>
      <c r="AF1286" s="625"/>
      <c r="AH1286" s="625">
        <v>0</v>
      </c>
      <c r="AI1286" s="625">
        <v>0</v>
      </c>
      <c r="AJ1286" s="625"/>
      <c r="AL1286" s="625">
        <v>0</v>
      </c>
      <c r="AM1286" s="625">
        <v>0</v>
      </c>
      <c r="AN1286" s="625">
        <v>0</v>
      </c>
      <c r="AO1286" s="625">
        <v>0</v>
      </c>
      <c r="AP1286" s="41" t="str">
        <f t="shared" si="585"/>
        <v>Reg AssetA</v>
      </c>
      <c r="AQ1286" s="41" t="str">
        <f t="shared" si="586"/>
        <v>Reg AssetAA2EB-Cap</v>
      </c>
      <c r="AR1286" s="41" t="str">
        <f t="shared" si="587"/>
        <v>A2EB-Cap</v>
      </c>
      <c r="CK1286" s="625"/>
    </row>
    <row r="1287" spans="1:89" s="41" customFormat="1" ht="12.75" customHeight="1">
      <c r="A1287" s="442" t="s">
        <v>746</v>
      </c>
      <c r="B1287" s="442" t="str">
        <f t="shared" si="584"/>
        <v>Reg Asset253006</v>
      </c>
      <c r="C1287" s="736">
        <v>253006</v>
      </c>
      <c r="D1287" s="738"/>
      <c r="E1287" s="626"/>
      <c r="F1287" s="626" t="str">
        <f t="shared" si="606"/>
        <v>ADVANCE PAYMENTS FROM SD</v>
      </c>
      <c r="G1287" s="626" t="s">
        <v>1546</v>
      </c>
      <c r="H1287" s="736" t="s">
        <v>1547</v>
      </c>
      <c r="I1287" s="442"/>
      <c r="J1287" s="442" t="str">
        <f t="shared" si="607"/>
        <v/>
      </c>
      <c r="K1287" s="442" t="str">
        <f t="shared" si="590"/>
        <v/>
      </c>
      <c r="L1287" s="736" t="s">
        <v>2393</v>
      </c>
      <c r="M1287" s="442" t="str">
        <f t="shared" si="588"/>
        <v>A</v>
      </c>
      <c r="N1287" s="442" t="str">
        <f>IF(L1287&lt;&gt;"",VLOOKUP(L1287,Categories!$B$2:$D$41,2,FALSE),IF(F1287&lt;&gt;"","No Cat",""))</f>
        <v>All Other</v>
      </c>
      <c r="O1287" s="442" t="str">
        <f>IF($L1287&lt;&gt;"",VLOOKUP($L1287,Categories!$B$2:$D$41,3,FALSE),IF($F1287&lt;&gt;"","No Cat",""))</f>
        <v>EB-Cap</v>
      </c>
      <c r="P1287" s="736" t="s">
        <v>2490</v>
      </c>
      <c r="Q1287" s="442" t="str">
        <f>VLOOKUP($P1287,Allocators!$B$7:$F$19,5,FALSE)</f>
        <v>Rate Base</v>
      </c>
      <c r="R1287" s="737">
        <f>VLOOKUP($P1287,Allocators!$B$7:$F$19,2,FALSE)</f>
        <v>0.70940000000000003</v>
      </c>
      <c r="S1287" s="737">
        <f>VLOOKUP($P1287,Allocators!$B$7:$F$19,3,FALSE)</f>
        <v>0.29060000000000002</v>
      </c>
      <c r="T1287" s="737" t="str">
        <f t="shared" si="589"/>
        <v>0.0%</v>
      </c>
      <c r="U1287" s="2">
        <f t="shared" si="594"/>
        <v>-246.68974257400001</v>
      </c>
      <c r="V1287" s="2">
        <f t="shared" si="595"/>
        <v>-101.054467426</v>
      </c>
      <c r="W1287" s="2">
        <f t="shared" si="596"/>
        <v>0</v>
      </c>
      <c r="X1287" s="2">
        <f t="shared" si="591"/>
        <v>-347.74421000000001</v>
      </c>
      <c r="Y1287" s="2" t="str">
        <f t="shared" si="597"/>
        <v/>
      </c>
      <c r="Z1287" s="2" t="str">
        <f t="shared" si="598"/>
        <v/>
      </c>
      <c r="AA1287" s="2" t="str">
        <f t="shared" si="599"/>
        <v/>
      </c>
      <c r="AB1287" s="2">
        <f t="shared" si="592"/>
        <v>0</v>
      </c>
      <c r="AC1287" s="625">
        <v>-220.88917999999998</v>
      </c>
      <c r="AD1287" s="625">
        <v>-223.94867000000002</v>
      </c>
      <c r="AE1287" s="625">
        <v>-184.83485000000002</v>
      </c>
      <c r="AF1287" s="625">
        <v>-1749.09032</v>
      </c>
      <c r="AG1287" s="625">
        <v>-869.64697000000001</v>
      </c>
      <c r="AH1287" s="625">
        <v>-80.468559999999997</v>
      </c>
      <c r="AI1287" s="625">
        <v>-324.63771000000003</v>
      </c>
      <c r="AJ1287" s="625">
        <v>-138.83633</v>
      </c>
      <c r="AK1287" s="625">
        <v>-257.41656999999998</v>
      </c>
      <c r="AL1287" s="625">
        <v>-233.60595000000001</v>
      </c>
      <c r="AM1287" s="625">
        <v>0</v>
      </c>
      <c r="AN1287" s="625">
        <v>0</v>
      </c>
      <c r="AO1287" s="625">
        <v>0</v>
      </c>
      <c r="AP1287" s="41" t="str">
        <f t="shared" si="585"/>
        <v>Reg AssetA</v>
      </c>
      <c r="AQ1287" s="41" t="str">
        <f t="shared" si="586"/>
        <v>Reg AssetAA2Customer Deposits</v>
      </c>
      <c r="AR1287" s="41" t="str">
        <f t="shared" si="587"/>
        <v>A2Customer Deposits</v>
      </c>
      <c r="CK1287" s="625"/>
    </row>
    <row r="1288" spans="1:89" s="41" customFormat="1" ht="12.75" customHeight="1">
      <c r="A1288" s="442" t="s">
        <v>746</v>
      </c>
      <c r="B1288" s="442" t="str">
        <f t="shared" ref="B1288" si="612">CONCATENATE(A1288,C1288,D1288,E1288)</f>
        <v>Reg Asset253007POTH1210</v>
      </c>
      <c r="C1288" s="736">
        <v>253007</v>
      </c>
      <c r="D1288" s="738" t="s">
        <v>4259</v>
      </c>
      <c r="E1288" s="626"/>
      <c r="F1288" s="626" t="s">
        <v>4258</v>
      </c>
      <c r="G1288" s="626"/>
      <c r="H1288" s="736" t="s">
        <v>2824</v>
      </c>
      <c r="I1288" s="442"/>
      <c r="J1288" s="442" t="str">
        <f t="shared" ref="J1288" si="613">IF(L1288="N10","Y",IF(L1288="N8","Y",""))</f>
        <v/>
      </c>
      <c r="K1288" s="442" t="str">
        <f t="shared" ref="K1288" si="614">IF(L1288="N3","Y","")</f>
        <v/>
      </c>
      <c r="L1288" s="736" t="s">
        <v>2393</v>
      </c>
      <c r="M1288" s="442" t="str">
        <f t="shared" ref="M1288" si="615">LEFT(L1288,1)</f>
        <v>A</v>
      </c>
      <c r="N1288" s="442" t="str">
        <f>IF(L1288&lt;&gt;"",VLOOKUP(L1288,Categories!$B$2:$D$41,2,FALSE),IF(F1288&lt;&gt;"","No Cat",""))</f>
        <v>All Other</v>
      </c>
      <c r="O1288" s="442" t="str">
        <f>IF($L1288&lt;&gt;"",VLOOKUP($L1288,Categories!$B$2:$D$41,3,FALSE),IF($F1288&lt;&gt;"","No Cat",""))</f>
        <v>EB-Cap</v>
      </c>
      <c r="P1288" s="736" t="s">
        <v>2490</v>
      </c>
      <c r="Q1288" s="442" t="str">
        <f>VLOOKUP($P1288,Allocators!$B$7:$F$19,5,FALSE)</f>
        <v>Rate Base</v>
      </c>
      <c r="R1288" s="737">
        <f>VLOOKUP($P1288,Allocators!$B$7:$F$19,2,FALSE)</f>
        <v>0.70940000000000003</v>
      </c>
      <c r="S1288" s="737">
        <f>VLOOKUP($P1288,Allocators!$B$7:$F$19,3,FALSE)</f>
        <v>0.29060000000000002</v>
      </c>
      <c r="T1288" s="737" t="str">
        <f t="shared" ref="T1288" si="616">IF(P1288="N",1,"0.0%")</f>
        <v>0.0%</v>
      </c>
      <c r="U1288" s="2">
        <f t="shared" si="594"/>
        <v>-176.23275677691601</v>
      </c>
      <c r="V1288" s="2">
        <f t="shared" si="595"/>
        <v>-72.192330306416594</v>
      </c>
      <c r="W1288" s="2">
        <f t="shared" si="596"/>
        <v>0</v>
      </c>
      <c r="X1288" s="2">
        <f t="shared" si="591"/>
        <v>-248.42508708333301</v>
      </c>
      <c r="Y1288" s="2">
        <f t="shared" si="597"/>
        <v>-251.063264514</v>
      </c>
      <c r="Z1288" s="2">
        <f t="shared" si="598"/>
        <v>-102.84604548599999</v>
      </c>
      <c r="AA1288" s="2">
        <f t="shared" si="599"/>
        <v>0</v>
      </c>
      <c r="AB1288" s="2">
        <f t="shared" si="592"/>
        <v>-353.90931</v>
      </c>
      <c r="AC1288" s="625">
        <v>-52.485039999999998</v>
      </c>
      <c r="AD1288" s="625">
        <v>-52.485039999999998</v>
      </c>
      <c r="AE1288" s="625">
        <v>-243.23504</v>
      </c>
      <c r="AF1288" s="625">
        <v>-271.95931000000002</v>
      </c>
      <c r="AG1288" s="625">
        <v>-271.95931000000002</v>
      </c>
      <c r="AH1288" s="625">
        <v>-272.30930999999998</v>
      </c>
      <c r="AI1288" s="625">
        <v>-278.00930999999997</v>
      </c>
      <c r="AJ1288" s="625">
        <v>-278.00930999999997</v>
      </c>
      <c r="AK1288" s="625">
        <v>-278.00930999999997</v>
      </c>
      <c r="AL1288" s="625">
        <v>-278.00930999999997</v>
      </c>
      <c r="AM1288" s="625">
        <v>-278.00930999999997</v>
      </c>
      <c r="AN1288" s="625">
        <v>-275.90931</v>
      </c>
      <c r="AO1288" s="625">
        <v>-353.90931</v>
      </c>
      <c r="AP1288" s="41" t="str">
        <f t="shared" ref="AP1288:AP1351" si="617">CONCATENATE(A1288,M1288)</f>
        <v>Reg AssetA</v>
      </c>
      <c r="AQ1288" s="41" t="str">
        <f t="shared" ref="AQ1288:AQ1351" si="618">CONCATENATE(AP1288,L1288,H1288)</f>
        <v>Reg AssetAA2Advance Payment</v>
      </c>
      <c r="AR1288" s="41" t="str">
        <f t="shared" ref="AR1288:AR1351" si="619">CONCATENATE(L1288,H1288,J1288)</f>
        <v>A2Advance Payment</v>
      </c>
      <c r="CK1288" s="625"/>
    </row>
    <row r="1289" spans="1:89" s="41" customFormat="1" ht="12.75" customHeight="1">
      <c r="A1289" s="25" t="s">
        <v>746</v>
      </c>
      <c r="B1289" s="25" t="str">
        <f t="shared" si="584"/>
        <v>Reg Asset253030</v>
      </c>
      <c r="C1289" s="736">
        <v>253030</v>
      </c>
      <c r="D1289" s="738"/>
      <c r="F1289" s="41" t="str">
        <f t="shared" si="606"/>
        <v>DEF CREDITS - UNCLAIMED WAGES &amp; REFUNDS</v>
      </c>
      <c r="G1289" s="41" t="s">
        <v>1548</v>
      </c>
      <c r="H1289" s="736" t="s">
        <v>1549</v>
      </c>
      <c r="I1289" s="25"/>
      <c r="J1289" s="25" t="str">
        <f t="shared" si="607"/>
        <v/>
      </c>
      <c r="K1289" s="442" t="str">
        <f t="shared" si="590"/>
        <v/>
      </c>
      <c r="L1289" s="736" t="s">
        <v>2441</v>
      </c>
      <c r="M1289" s="25" t="str">
        <f t="shared" si="588"/>
        <v>R</v>
      </c>
      <c r="N1289" s="25" t="str">
        <f>IF(L1289&lt;&gt;"",VLOOKUP(L1289,Categories!$B$2:$D$41,2,FALSE),IF(F1289&lt;&gt;"","No Cat",""))</f>
        <v>Rate Base</v>
      </c>
      <c r="O1289" s="25" t="str">
        <f>IF($L1289&lt;&gt;"",VLOOKUP($L1289,Categories!$B$2:$D$41,3,FALSE),IF($F1289&lt;&gt;"","No Cat",""))</f>
        <v>Deferred Debits &amp; Credits</v>
      </c>
      <c r="P1289" s="736" t="s">
        <v>2482</v>
      </c>
      <c r="Q1289" s="25" t="str">
        <f>VLOOKUP($P1289,Allocators!$B$7:$F$19,5,FALSE)</f>
        <v>Electric</v>
      </c>
      <c r="R1289" s="737">
        <f>VLOOKUP($P1289,Allocators!$B$7:$F$19,2,FALSE)</f>
        <v>1</v>
      </c>
      <c r="S1289" s="737">
        <f>VLOOKUP($P1289,Allocators!$B$7:$F$19,3,FALSE)</f>
        <v>0</v>
      </c>
      <c r="T1289" s="737" t="str">
        <f t="shared" si="589"/>
        <v>0.0%</v>
      </c>
      <c r="U1289" s="2">
        <f t="shared" si="594"/>
        <v>13.437144999999999</v>
      </c>
      <c r="V1289" s="2">
        <f t="shared" si="595"/>
        <v>0</v>
      </c>
      <c r="W1289" s="2">
        <f t="shared" si="596"/>
        <v>0</v>
      </c>
      <c r="X1289" s="2">
        <f t="shared" si="591"/>
        <v>13.437144999999999</v>
      </c>
      <c r="Y1289" s="2" t="str">
        <f t="shared" si="597"/>
        <v/>
      </c>
      <c r="Z1289" s="2" t="str">
        <f t="shared" si="598"/>
        <v/>
      </c>
      <c r="AA1289" s="2" t="str">
        <f t="shared" si="599"/>
        <v/>
      </c>
      <c r="AB1289" s="2">
        <f t="shared" si="592"/>
        <v>0</v>
      </c>
      <c r="AC1289" s="625">
        <v>107.49716000000001</v>
      </c>
      <c r="AD1289" s="625">
        <v>107.49716000000001</v>
      </c>
      <c r="AE1289" s="625">
        <v>0</v>
      </c>
      <c r="AF1289" s="625">
        <v>0</v>
      </c>
      <c r="AG1289" s="625">
        <v>0</v>
      </c>
      <c r="AH1289" s="625">
        <v>0</v>
      </c>
      <c r="AI1289" s="625">
        <v>0</v>
      </c>
      <c r="AJ1289" s="625">
        <v>0</v>
      </c>
      <c r="AK1289" s="625">
        <v>0</v>
      </c>
      <c r="AL1289" s="625">
        <v>0</v>
      </c>
      <c r="AM1289" s="625">
        <v>0</v>
      </c>
      <c r="AN1289" s="625">
        <v>0</v>
      </c>
      <c r="AO1289" s="625">
        <v>0</v>
      </c>
      <c r="AP1289" s="41" t="str">
        <f t="shared" si="617"/>
        <v>Reg AssetR</v>
      </c>
      <c r="AQ1289" s="41" t="str">
        <f t="shared" si="618"/>
        <v>Reg AssetRR10Unclaimed Funds</v>
      </c>
      <c r="AR1289" s="41" t="str">
        <f t="shared" si="619"/>
        <v>R10Unclaimed Funds</v>
      </c>
      <c r="CK1289" s="625"/>
    </row>
    <row r="1290" spans="1:89" s="41" customFormat="1" ht="12.75" customHeight="1">
      <c r="A1290" s="25" t="s">
        <v>746</v>
      </c>
      <c r="B1290" s="25" t="str">
        <f t="shared" si="584"/>
        <v>Reg Asset253040253150</v>
      </c>
      <c r="C1290" s="736">
        <v>253040</v>
      </c>
      <c r="D1290" s="738">
        <v>253150</v>
      </c>
      <c r="F1290" s="41" t="str">
        <f t="shared" si="606"/>
        <v>DEF CREDITS - MISCELLANEOUS - OTHER</v>
      </c>
      <c r="G1290" s="41" t="s">
        <v>1550</v>
      </c>
      <c r="H1290" s="736" t="s">
        <v>1545</v>
      </c>
      <c r="I1290" s="25"/>
      <c r="J1290" s="25" t="str">
        <f t="shared" si="607"/>
        <v/>
      </c>
      <c r="K1290" s="442" t="str">
        <f t="shared" si="590"/>
        <v/>
      </c>
      <c r="L1290" s="736" t="s">
        <v>2393</v>
      </c>
      <c r="M1290" s="25" t="str">
        <f t="shared" si="588"/>
        <v>A</v>
      </c>
      <c r="N1290" s="25" t="str">
        <f>IF(L1290&lt;&gt;"",VLOOKUP(L1290,Categories!$B$2:$D$41,2,FALSE),IF(F1290&lt;&gt;"","No Cat",""))</f>
        <v>All Other</v>
      </c>
      <c r="O1290" s="25" t="str">
        <f>IF($L1290&lt;&gt;"",VLOOKUP($L1290,Categories!$B$2:$D$41,3,FALSE),IF($F1290&lt;&gt;"","No Cat",""))</f>
        <v>EB-Cap</v>
      </c>
      <c r="P1290" s="736" t="s">
        <v>2490</v>
      </c>
      <c r="Q1290" s="25" t="str">
        <f>VLOOKUP($P1290,Allocators!$B$7:$F$19,5,FALSE)</f>
        <v>Rate Base</v>
      </c>
      <c r="R1290" s="737">
        <f>VLOOKUP($P1290,Allocators!$B$7:$F$19,2,FALSE)</f>
        <v>0.70940000000000003</v>
      </c>
      <c r="S1290" s="737">
        <f>VLOOKUP($P1290,Allocators!$B$7:$F$19,3,FALSE)</f>
        <v>0.29060000000000002</v>
      </c>
      <c r="T1290" s="737" t="str">
        <f t="shared" si="589"/>
        <v>0.0%</v>
      </c>
      <c r="U1290" s="2" t="str">
        <f t="shared" si="594"/>
        <v/>
      </c>
      <c r="V1290" s="2" t="str">
        <f t="shared" si="595"/>
        <v/>
      </c>
      <c r="W1290" s="2" t="str">
        <f t="shared" si="596"/>
        <v/>
      </c>
      <c r="X1290" s="2">
        <f t="shared" si="591"/>
        <v>0</v>
      </c>
      <c r="Y1290" s="2" t="str">
        <f t="shared" si="597"/>
        <v/>
      </c>
      <c r="Z1290" s="2" t="str">
        <f t="shared" si="598"/>
        <v/>
      </c>
      <c r="AA1290" s="2" t="str">
        <f t="shared" si="599"/>
        <v/>
      </c>
      <c r="AB1290" s="2">
        <f t="shared" si="592"/>
        <v>0</v>
      </c>
      <c r="AC1290" s="625">
        <v>0</v>
      </c>
      <c r="AD1290" s="625">
        <v>0</v>
      </c>
      <c r="AE1290" s="625">
        <v>0</v>
      </c>
      <c r="AF1290" s="625">
        <v>0</v>
      </c>
      <c r="AG1290" s="625">
        <v>0</v>
      </c>
      <c r="AH1290" s="625">
        <v>0</v>
      </c>
      <c r="AI1290" s="625">
        <v>0</v>
      </c>
      <c r="AJ1290" s="625">
        <v>0</v>
      </c>
      <c r="AK1290" s="625">
        <v>0</v>
      </c>
      <c r="AL1290" s="625">
        <v>0</v>
      </c>
      <c r="AM1290" s="625">
        <v>0</v>
      </c>
      <c r="AN1290" s="625">
        <v>0</v>
      </c>
      <c r="AO1290" s="625">
        <v>0</v>
      </c>
      <c r="AP1290" s="41" t="str">
        <f t="shared" si="617"/>
        <v>Reg AssetA</v>
      </c>
      <c r="AQ1290" s="41" t="str">
        <f t="shared" si="618"/>
        <v>Reg AssetAA2EB-Cap</v>
      </c>
      <c r="AR1290" s="41" t="str">
        <f t="shared" si="619"/>
        <v>A2EB-Cap</v>
      </c>
      <c r="CK1290" s="625"/>
    </row>
    <row r="1291" spans="1:89" s="41" customFormat="1" ht="12.75" customHeight="1">
      <c r="A1291" s="442" t="s">
        <v>746</v>
      </c>
      <c r="B1291" s="442" t="str">
        <f t="shared" si="584"/>
        <v>Reg Asset253040</v>
      </c>
      <c r="C1291" s="736">
        <v>253040</v>
      </c>
      <c r="D1291" s="738"/>
      <c r="E1291" s="626"/>
      <c r="F1291" s="626" t="str">
        <f t="shared" si="606"/>
        <v>DEF CREDITS - MISCELLANEOUS - OTHER</v>
      </c>
      <c r="G1291" s="626" t="s">
        <v>1551</v>
      </c>
      <c r="H1291" s="736" t="s">
        <v>1552</v>
      </c>
      <c r="I1291" s="442"/>
      <c r="J1291" s="442"/>
      <c r="K1291" s="442" t="str">
        <f t="shared" si="590"/>
        <v/>
      </c>
      <c r="L1291" s="736" t="s">
        <v>2421</v>
      </c>
      <c r="M1291" s="442" t="str">
        <f t="shared" si="588"/>
        <v>N</v>
      </c>
      <c r="N1291" s="442" t="str">
        <f>IF(L1291&lt;&gt;"",VLOOKUP(L1291,Categories!$B$2:$D$41,2,FALSE),IF(F1291&lt;&gt;"","No Cat",""))</f>
        <v>NRBASE</v>
      </c>
      <c r="O1291" s="442" t="str">
        <f>IF($L1291&lt;&gt;"",VLOOKUP($L1291,Categories!$B$2:$D$41,3,FALSE),IF($F1291&lt;&gt;"","No Cat",""))</f>
        <v>Direct Assign Items Not in RB</v>
      </c>
      <c r="P1291" s="736" t="s">
        <v>2468</v>
      </c>
      <c r="Q1291" s="442" t="str">
        <f>VLOOKUP($P1291,Allocators!$B$7:$F$19,5,FALSE)</f>
        <v>Not in Rate Base</v>
      </c>
      <c r="R1291" s="737">
        <f>VLOOKUP($P1291,Allocators!$B$7:$F$19,2,FALSE)</f>
        <v>0</v>
      </c>
      <c r="S1291" s="737">
        <f>VLOOKUP($P1291,Allocators!$B$7:$F$19,3,FALSE)</f>
        <v>0</v>
      </c>
      <c r="T1291" s="737">
        <f t="shared" si="589"/>
        <v>1</v>
      </c>
      <c r="U1291" s="2" t="str">
        <f t="shared" si="594"/>
        <v/>
      </c>
      <c r="V1291" s="2" t="str">
        <f t="shared" si="595"/>
        <v/>
      </c>
      <c r="W1291" s="2" t="str">
        <f t="shared" si="596"/>
        <v/>
      </c>
      <c r="X1291" s="2">
        <f t="shared" si="591"/>
        <v>0</v>
      </c>
      <c r="Y1291" s="2" t="str">
        <f t="shared" si="597"/>
        <v/>
      </c>
      <c r="Z1291" s="2" t="str">
        <f t="shared" si="598"/>
        <v/>
      </c>
      <c r="AA1291" s="2" t="str">
        <f t="shared" si="599"/>
        <v/>
      </c>
      <c r="AB1291" s="2">
        <f t="shared" si="592"/>
        <v>0</v>
      </c>
      <c r="AC1291" s="625">
        <v>0</v>
      </c>
      <c r="AD1291" s="625">
        <v>0</v>
      </c>
      <c r="AE1291" s="625">
        <v>0</v>
      </c>
      <c r="AF1291" s="625">
        <v>0</v>
      </c>
      <c r="AG1291" s="625">
        <v>0</v>
      </c>
      <c r="AH1291" s="625">
        <v>0</v>
      </c>
      <c r="AI1291" s="625">
        <v>0</v>
      </c>
      <c r="AJ1291" s="625">
        <v>0</v>
      </c>
      <c r="AK1291" s="625">
        <v>0</v>
      </c>
      <c r="AL1291" s="625">
        <v>0</v>
      </c>
      <c r="AM1291" s="625">
        <v>0</v>
      </c>
      <c r="AN1291" s="625">
        <v>0</v>
      </c>
      <c r="AO1291" s="625">
        <v>0</v>
      </c>
      <c r="AP1291" s="41" t="str">
        <f t="shared" si="617"/>
        <v>Reg AssetN</v>
      </c>
      <c r="AQ1291" s="41" t="str">
        <f t="shared" si="618"/>
        <v>Reg AssetNN2Deferred Compensation</v>
      </c>
      <c r="AR1291" s="41" t="str">
        <f t="shared" si="619"/>
        <v>N2Deferred Compensation</v>
      </c>
      <c r="CK1291" s="625"/>
    </row>
    <row r="1292" spans="1:89" s="41" customFormat="1" ht="12.75" customHeight="1">
      <c r="A1292" s="442" t="s">
        <v>746</v>
      </c>
      <c r="B1292" s="442" t="str">
        <f t="shared" ref="B1292:B1360" si="620">CONCATENATE(A1292,C1292,D1292,E1292)</f>
        <v>Reg Asset253040</v>
      </c>
      <c r="C1292" s="736">
        <v>253040</v>
      </c>
      <c r="D1292" s="738"/>
      <c r="E1292" s="626"/>
      <c r="F1292" s="626" t="str">
        <f t="shared" si="606"/>
        <v>DEF CREDITS - MISCELLANEOUS - OTHER</v>
      </c>
      <c r="G1292" s="626" t="s">
        <v>1553</v>
      </c>
      <c r="H1292" s="736" t="s">
        <v>1552</v>
      </c>
      <c r="I1292" s="442"/>
      <c r="J1292" s="442" t="str">
        <f t="shared" si="607"/>
        <v/>
      </c>
      <c r="K1292" s="442" t="str">
        <f t="shared" si="590"/>
        <v/>
      </c>
      <c r="L1292" s="736" t="s">
        <v>2421</v>
      </c>
      <c r="M1292" s="442" t="str">
        <f t="shared" si="588"/>
        <v>N</v>
      </c>
      <c r="N1292" s="442" t="str">
        <f>IF(L1292&lt;&gt;"",VLOOKUP(L1292,Categories!$B$2:$D$41,2,FALSE),IF(F1292&lt;&gt;"","No Cat",""))</f>
        <v>NRBASE</v>
      </c>
      <c r="O1292" s="442" t="str">
        <f>IF($L1292&lt;&gt;"",VLOOKUP($L1292,Categories!$B$2:$D$41,3,FALSE),IF($F1292&lt;&gt;"","No Cat",""))</f>
        <v>Direct Assign Items Not in RB</v>
      </c>
      <c r="P1292" s="736" t="s">
        <v>2468</v>
      </c>
      <c r="Q1292" s="442" t="str">
        <f>VLOOKUP($P1292,Allocators!$B$7:$F$19,5,FALSE)</f>
        <v>Not in Rate Base</v>
      </c>
      <c r="R1292" s="737">
        <f>VLOOKUP($P1292,Allocators!$B$7:$F$19,2,FALSE)</f>
        <v>0</v>
      </c>
      <c r="S1292" s="737">
        <f>VLOOKUP($P1292,Allocators!$B$7:$F$19,3,FALSE)</f>
        <v>0</v>
      </c>
      <c r="T1292" s="737">
        <f t="shared" si="589"/>
        <v>1</v>
      </c>
      <c r="U1292" s="2" t="str">
        <f t="shared" si="594"/>
        <v/>
      </c>
      <c r="V1292" s="2" t="str">
        <f t="shared" si="595"/>
        <v/>
      </c>
      <c r="W1292" s="2" t="str">
        <f t="shared" si="596"/>
        <v/>
      </c>
      <c r="X1292" s="2">
        <f t="shared" si="591"/>
        <v>0</v>
      </c>
      <c r="Y1292" s="2" t="str">
        <f t="shared" si="597"/>
        <v/>
      </c>
      <c r="Z1292" s="2" t="str">
        <f t="shared" si="598"/>
        <v/>
      </c>
      <c r="AA1292" s="2" t="str">
        <f t="shared" si="599"/>
        <v/>
      </c>
      <c r="AB1292" s="2">
        <f t="shared" si="592"/>
        <v>0</v>
      </c>
      <c r="AC1292" s="625">
        <v>0</v>
      </c>
      <c r="AD1292" s="625">
        <v>0</v>
      </c>
      <c r="AE1292" s="625">
        <v>0</v>
      </c>
      <c r="AF1292" s="625">
        <v>0</v>
      </c>
      <c r="AG1292" s="625">
        <v>0</v>
      </c>
      <c r="AH1292" s="625">
        <v>0</v>
      </c>
      <c r="AI1292" s="625">
        <v>0</v>
      </c>
      <c r="AJ1292" s="625">
        <v>0</v>
      </c>
      <c r="AK1292" s="625">
        <v>0</v>
      </c>
      <c r="AL1292" s="625">
        <v>0</v>
      </c>
      <c r="AM1292" s="625">
        <v>0</v>
      </c>
      <c r="AN1292" s="625">
        <v>0</v>
      </c>
      <c r="AO1292" s="625">
        <v>0</v>
      </c>
      <c r="AP1292" s="41" t="str">
        <f t="shared" si="617"/>
        <v>Reg AssetN</v>
      </c>
      <c r="AQ1292" s="41" t="str">
        <f t="shared" si="618"/>
        <v>Reg AssetNN2Deferred Compensation</v>
      </c>
      <c r="AR1292" s="41" t="str">
        <f t="shared" si="619"/>
        <v>N2Deferred Compensation</v>
      </c>
      <c r="CK1292" s="625"/>
    </row>
    <row r="1293" spans="1:89" s="41" customFormat="1" ht="12.75" customHeight="1">
      <c r="A1293" s="442" t="s">
        <v>746</v>
      </c>
      <c r="B1293" s="442" t="str">
        <f t="shared" si="620"/>
        <v>Reg Asset253040253160</v>
      </c>
      <c r="C1293" s="736">
        <v>253040</v>
      </c>
      <c r="D1293" s="738">
        <v>253160</v>
      </c>
      <c r="E1293" s="626"/>
      <c r="F1293" s="626" t="str">
        <f t="shared" si="606"/>
        <v>DEF CREDITS - MISCELLANEOUS - OTHER</v>
      </c>
      <c r="G1293" s="626" t="s">
        <v>1554</v>
      </c>
      <c r="H1293" s="736" t="s">
        <v>1555</v>
      </c>
      <c r="I1293" s="442"/>
      <c r="J1293" s="442" t="str">
        <f t="shared" si="607"/>
        <v/>
      </c>
      <c r="K1293" s="442" t="str">
        <f t="shared" si="590"/>
        <v/>
      </c>
      <c r="L1293" s="736" t="s">
        <v>2421</v>
      </c>
      <c r="M1293" s="442" t="str">
        <f t="shared" si="588"/>
        <v>N</v>
      </c>
      <c r="N1293" s="442" t="str">
        <f>IF(L1293&lt;&gt;"",VLOOKUP(L1293,Categories!$B$2:$D$41,2,FALSE),IF(F1293&lt;&gt;"","No Cat",""))</f>
        <v>NRBASE</v>
      </c>
      <c r="O1293" s="442" t="str">
        <f>IF($L1293&lt;&gt;"",VLOOKUP($L1293,Categories!$B$2:$D$41,3,FALSE),IF($F1293&lt;&gt;"","No Cat",""))</f>
        <v>Direct Assign Items Not in RB</v>
      </c>
      <c r="P1293" s="736" t="s">
        <v>2468</v>
      </c>
      <c r="Q1293" s="442" t="str">
        <f>VLOOKUP($P1293,Allocators!$B$7:$F$19,5,FALSE)</f>
        <v>Not in Rate Base</v>
      </c>
      <c r="R1293" s="737">
        <f>VLOOKUP($P1293,Allocators!$B$7:$F$19,2,FALSE)</f>
        <v>0</v>
      </c>
      <c r="S1293" s="737">
        <f>VLOOKUP($P1293,Allocators!$B$7:$F$19,3,FALSE)</f>
        <v>0</v>
      </c>
      <c r="T1293" s="737">
        <f t="shared" si="589"/>
        <v>1</v>
      </c>
      <c r="U1293" s="2" t="str">
        <f t="shared" si="594"/>
        <v/>
      </c>
      <c r="V1293" s="2" t="str">
        <f t="shared" si="595"/>
        <v/>
      </c>
      <c r="W1293" s="2" t="str">
        <f t="shared" si="596"/>
        <v/>
      </c>
      <c r="X1293" s="2">
        <f t="shared" si="591"/>
        <v>0</v>
      </c>
      <c r="Y1293" s="2" t="str">
        <f t="shared" si="597"/>
        <v/>
      </c>
      <c r="Z1293" s="2" t="str">
        <f t="shared" si="598"/>
        <v/>
      </c>
      <c r="AA1293" s="2" t="str">
        <f t="shared" si="599"/>
        <v/>
      </c>
      <c r="AB1293" s="2">
        <f t="shared" si="592"/>
        <v>0</v>
      </c>
      <c r="AC1293" s="625">
        <v>0</v>
      </c>
      <c r="AD1293" s="625">
        <v>0</v>
      </c>
      <c r="AE1293" s="625">
        <v>0</v>
      </c>
      <c r="AF1293" s="625">
        <v>0</v>
      </c>
      <c r="AG1293" s="625">
        <v>0</v>
      </c>
      <c r="AH1293" s="625">
        <v>0</v>
      </c>
      <c r="AI1293" s="625">
        <v>0</v>
      </c>
      <c r="AJ1293" s="625">
        <v>0</v>
      </c>
      <c r="AK1293" s="625">
        <v>0</v>
      </c>
      <c r="AL1293" s="625">
        <v>0</v>
      </c>
      <c r="AM1293" s="625">
        <v>0</v>
      </c>
      <c r="AN1293" s="625">
        <v>0</v>
      </c>
      <c r="AO1293" s="625">
        <v>0</v>
      </c>
      <c r="AP1293" s="41" t="str">
        <f t="shared" si="617"/>
        <v>Reg AssetN</v>
      </c>
      <c r="AQ1293" s="41" t="str">
        <f t="shared" si="618"/>
        <v>Reg AssetNN2Steam Abandonment</v>
      </c>
      <c r="AR1293" s="41" t="str">
        <f t="shared" si="619"/>
        <v>N2Steam Abandonment</v>
      </c>
      <c r="CK1293" s="625"/>
    </row>
    <row r="1294" spans="1:89" s="41" customFormat="1" ht="12.75" customHeight="1">
      <c r="A1294" s="25" t="s">
        <v>746</v>
      </c>
      <c r="B1294" s="25" t="str">
        <f t="shared" si="620"/>
        <v>Reg Asset253040253300</v>
      </c>
      <c r="C1294" s="736">
        <v>253040</v>
      </c>
      <c r="D1294" s="738">
        <v>253300</v>
      </c>
      <c r="F1294" s="41" t="str">
        <f t="shared" si="606"/>
        <v>DEF CREDITS - MISCELLANEOUS - OTHER</v>
      </c>
      <c r="G1294" s="41" t="s">
        <v>1556</v>
      </c>
      <c r="H1294" s="736" t="s">
        <v>1557</v>
      </c>
      <c r="I1294" s="25"/>
      <c r="J1294" s="25" t="str">
        <f t="shared" si="607"/>
        <v/>
      </c>
      <c r="K1294" s="442" t="str">
        <f t="shared" si="590"/>
        <v/>
      </c>
      <c r="L1294" s="736" t="s">
        <v>2441</v>
      </c>
      <c r="M1294" s="25" t="str">
        <f t="shared" si="588"/>
        <v>R</v>
      </c>
      <c r="N1294" s="25" t="str">
        <f>IF(L1294&lt;&gt;"",VLOOKUP(L1294,Categories!$B$2:$D$41,2,FALSE),IF(F1294&lt;&gt;"","No Cat",""))</f>
        <v>Rate Base</v>
      </c>
      <c r="O1294" s="25" t="str">
        <f>IF($L1294&lt;&gt;"",VLOOKUP($L1294,Categories!$B$2:$D$41,3,FALSE),IF($F1294&lt;&gt;"","No Cat",""))</f>
        <v>Deferred Debits &amp; Credits</v>
      </c>
      <c r="P1294" s="736" t="s">
        <v>2482</v>
      </c>
      <c r="Q1294" s="25" t="str">
        <f>VLOOKUP($P1294,Allocators!$B$7:$F$19,5,FALSE)</f>
        <v>Electric</v>
      </c>
      <c r="R1294" s="737">
        <f>VLOOKUP($P1294,Allocators!$B$7:$F$19,2,FALSE)</f>
        <v>1</v>
      </c>
      <c r="S1294" s="737">
        <f>VLOOKUP($P1294,Allocators!$B$7:$F$19,3,FALSE)</f>
        <v>0</v>
      </c>
      <c r="T1294" s="737" t="str">
        <f t="shared" si="589"/>
        <v>0.0%</v>
      </c>
      <c r="U1294" s="2" t="str">
        <f t="shared" si="594"/>
        <v/>
      </c>
      <c r="V1294" s="2" t="str">
        <f t="shared" si="595"/>
        <v/>
      </c>
      <c r="W1294" s="2" t="str">
        <f t="shared" si="596"/>
        <v/>
      </c>
      <c r="X1294" s="2">
        <f t="shared" si="591"/>
        <v>0</v>
      </c>
      <c r="Y1294" s="2" t="str">
        <f t="shared" si="597"/>
        <v/>
      </c>
      <c r="Z1294" s="2" t="str">
        <f t="shared" si="598"/>
        <v/>
      </c>
      <c r="AA1294" s="2" t="str">
        <f t="shared" si="599"/>
        <v/>
      </c>
      <c r="AB1294" s="2">
        <f t="shared" si="592"/>
        <v>0</v>
      </c>
      <c r="AC1294" s="625">
        <v>0</v>
      </c>
      <c r="AD1294" s="625">
        <v>0</v>
      </c>
      <c r="AE1294" s="625">
        <v>0</v>
      </c>
      <c r="AF1294" s="625">
        <v>0</v>
      </c>
      <c r="AG1294" s="625">
        <v>0</v>
      </c>
      <c r="AH1294" s="625">
        <v>0</v>
      </c>
      <c r="AI1294" s="625">
        <v>0</v>
      </c>
      <c r="AJ1294" s="625">
        <v>0</v>
      </c>
      <c r="AK1294" s="625">
        <v>0</v>
      </c>
      <c r="AL1294" s="625">
        <v>0</v>
      </c>
      <c r="AM1294" s="625">
        <v>0</v>
      </c>
      <c r="AN1294" s="625">
        <v>0</v>
      </c>
      <c r="AO1294" s="625">
        <v>0</v>
      </c>
      <c r="AP1294" s="41" t="str">
        <f t="shared" si="617"/>
        <v>Reg AssetR</v>
      </c>
      <c r="AQ1294" s="41" t="str">
        <f t="shared" si="618"/>
        <v>Reg AssetRR10Monroe County Conduit</v>
      </c>
      <c r="AR1294" s="41" t="str">
        <f t="shared" si="619"/>
        <v>R10Monroe County Conduit</v>
      </c>
      <c r="CK1294" s="625"/>
    </row>
    <row r="1295" spans="1:89" s="41" customFormat="1" ht="12.75" customHeight="1">
      <c r="A1295" s="442" t="s">
        <v>746</v>
      </c>
      <c r="B1295" s="442" t="str">
        <f t="shared" si="620"/>
        <v>Reg Asset253040601138</v>
      </c>
      <c r="C1295" s="736">
        <v>253040</v>
      </c>
      <c r="D1295" s="738">
        <v>601138</v>
      </c>
      <c r="E1295" s="626"/>
      <c r="F1295" s="626" t="str">
        <f t="shared" si="606"/>
        <v>DEF CREDITS - MISCELLANEOUS - OTHER</v>
      </c>
      <c r="G1295" s="626" t="s">
        <v>1558</v>
      </c>
      <c r="H1295" s="736" t="s">
        <v>1142</v>
      </c>
      <c r="I1295" s="442"/>
      <c r="J1295" s="442" t="s">
        <v>7</v>
      </c>
      <c r="K1295" s="442" t="str">
        <f t="shared" si="590"/>
        <v/>
      </c>
      <c r="L1295" s="736" t="s">
        <v>2436</v>
      </c>
      <c r="M1295" s="442" t="str">
        <f t="shared" si="588"/>
        <v>N</v>
      </c>
      <c r="N1295" s="442" t="str">
        <f>IF(L1295&lt;&gt;"",VLOOKUP(L1295,Categories!$B$2:$D$41,2,FALSE),IF(F1295&lt;&gt;"","No Cat",""))</f>
        <v>NRBASE</v>
      </c>
      <c r="O1295" s="442" t="str">
        <f>IF($L1295&lt;&gt;"",VLOOKUP($L1295,Categories!$B$2:$D$41,3,FALSE),IF($F1295&lt;&gt;"","No Cat",""))</f>
        <v>Deferrals Accruing Non-Cash Return   (other than ASGA)</v>
      </c>
      <c r="P1295" s="736" t="s">
        <v>2468</v>
      </c>
      <c r="Q1295" s="442" t="str">
        <f>VLOOKUP($P1295,Allocators!$B$7:$F$19,5,FALSE)</f>
        <v>Not in Rate Base</v>
      </c>
      <c r="R1295" s="737">
        <f>VLOOKUP($P1295,Allocators!$B$7:$F$19,2,FALSE)</f>
        <v>0</v>
      </c>
      <c r="S1295" s="737">
        <f>VLOOKUP($P1295,Allocators!$B$7:$F$19,3,FALSE)</f>
        <v>0</v>
      </c>
      <c r="T1295" s="737">
        <f t="shared" si="589"/>
        <v>1</v>
      </c>
      <c r="U1295" s="2" t="str">
        <f t="shared" si="594"/>
        <v/>
      </c>
      <c r="V1295" s="2" t="str">
        <f t="shared" si="595"/>
        <v/>
      </c>
      <c r="W1295" s="2" t="str">
        <f t="shared" si="596"/>
        <v/>
      </c>
      <c r="X1295" s="2">
        <f t="shared" ref="X1295:X1358" si="621">IF(ISERROR(ROUND((SUM(AC1295:AO1295)-((AC1295+AO1295))/2)/12,15)),"",ROUND((SUM(AC1295:AO1295)-((AC1295+AO1295))/2)/12,15))</f>
        <v>0</v>
      </c>
      <c r="Y1295" s="2" t="str">
        <f t="shared" si="597"/>
        <v/>
      </c>
      <c r="Z1295" s="2" t="str">
        <f t="shared" si="598"/>
        <v/>
      </c>
      <c r="AA1295" s="2" t="str">
        <f t="shared" si="599"/>
        <v/>
      </c>
      <c r="AB1295" s="2">
        <f t="shared" ref="AB1295:AB1358" si="622">IF(AO1295="",0,+AO1295)</f>
        <v>0</v>
      </c>
      <c r="AC1295" s="625">
        <v>0</v>
      </c>
      <c r="AD1295" s="625">
        <v>0</v>
      </c>
      <c r="AE1295" s="625">
        <v>0</v>
      </c>
      <c r="AF1295" s="625">
        <v>0</v>
      </c>
      <c r="AG1295" s="625">
        <v>0</v>
      </c>
      <c r="AH1295" s="625">
        <v>0</v>
      </c>
      <c r="AI1295" s="625">
        <v>0</v>
      </c>
      <c r="AJ1295" s="625">
        <v>0</v>
      </c>
      <c r="AK1295" s="625">
        <v>0</v>
      </c>
      <c r="AL1295" s="625">
        <v>0</v>
      </c>
      <c r="AM1295" s="625">
        <v>0</v>
      </c>
      <c r="AN1295" s="625">
        <v>0</v>
      </c>
      <c r="AO1295" s="625">
        <v>0</v>
      </c>
      <c r="AP1295" s="41" t="str">
        <f t="shared" si="617"/>
        <v>Reg AssetN</v>
      </c>
      <c r="AQ1295" s="41" t="str">
        <f t="shared" si="618"/>
        <v>Reg AssetNN10Gas Costs Deferred</v>
      </c>
      <c r="AR1295" s="41" t="str">
        <f t="shared" si="619"/>
        <v>N10Gas Costs DeferredNCR</v>
      </c>
      <c r="CK1295" s="625"/>
    </row>
    <row r="1296" spans="1:89" s="41" customFormat="1" ht="12.75" customHeight="1">
      <c r="A1296" s="442" t="s">
        <v>746</v>
      </c>
      <c r="B1296" s="442" t="str">
        <f t="shared" si="620"/>
        <v>Reg Asset253040601138-11</v>
      </c>
      <c r="C1296" s="736">
        <v>253040</v>
      </c>
      <c r="D1296" s="738" t="s">
        <v>1559</v>
      </c>
      <c r="E1296" s="626"/>
      <c r="F1296" s="626" t="str">
        <f t="shared" si="606"/>
        <v>DEF CREDITS - MISCELLANEOUS - OTHER</v>
      </c>
      <c r="G1296" s="626" t="s">
        <v>1558</v>
      </c>
      <c r="H1296" s="736" t="s">
        <v>1142</v>
      </c>
      <c r="I1296" s="442"/>
      <c r="J1296" s="442" t="s">
        <v>7</v>
      </c>
      <c r="K1296" s="442" t="str">
        <f t="shared" si="590"/>
        <v/>
      </c>
      <c r="L1296" s="736" t="s">
        <v>2436</v>
      </c>
      <c r="M1296" s="442" t="str">
        <f t="shared" si="588"/>
        <v>N</v>
      </c>
      <c r="N1296" s="442" t="str">
        <f>IF(L1296&lt;&gt;"",VLOOKUP(L1296,Categories!$B$2:$D$41,2,FALSE),IF(F1296&lt;&gt;"","No Cat",""))</f>
        <v>NRBASE</v>
      </c>
      <c r="O1296" s="442" t="str">
        <f>IF($L1296&lt;&gt;"",VLOOKUP($L1296,Categories!$B$2:$D$41,3,FALSE),IF($F1296&lt;&gt;"","No Cat",""))</f>
        <v>Deferrals Accruing Non-Cash Return   (other than ASGA)</v>
      </c>
      <c r="P1296" s="736" t="s">
        <v>2468</v>
      </c>
      <c r="Q1296" s="442" t="str">
        <f>VLOOKUP($P1296,Allocators!$B$7:$F$19,5,FALSE)</f>
        <v>Not in Rate Base</v>
      </c>
      <c r="R1296" s="737">
        <f>VLOOKUP($P1296,Allocators!$B$7:$F$19,2,FALSE)</f>
        <v>0</v>
      </c>
      <c r="S1296" s="737">
        <f>VLOOKUP($P1296,Allocators!$B$7:$F$19,3,FALSE)</f>
        <v>0</v>
      </c>
      <c r="T1296" s="737">
        <f t="shared" si="589"/>
        <v>1</v>
      </c>
      <c r="U1296" s="2" t="str">
        <f t="shared" si="594"/>
        <v/>
      </c>
      <c r="V1296" s="2" t="str">
        <f t="shared" si="595"/>
        <v/>
      </c>
      <c r="W1296" s="2" t="str">
        <f t="shared" si="596"/>
        <v/>
      </c>
      <c r="X1296" s="2">
        <f t="shared" si="621"/>
        <v>0</v>
      </c>
      <c r="Y1296" s="2" t="str">
        <f t="shared" si="597"/>
        <v/>
      </c>
      <c r="Z1296" s="2" t="str">
        <f t="shared" si="598"/>
        <v/>
      </c>
      <c r="AA1296" s="2" t="str">
        <f t="shared" si="599"/>
        <v/>
      </c>
      <c r="AB1296" s="2">
        <f t="shared" si="622"/>
        <v>0</v>
      </c>
      <c r="AC1296" s="625">
        <v>0</v>
      </c>
      <c r="AD1296" s="625">
        <v>0</v>
      </c>
      <c r="AE1296" s="625">
        <v>0</v>
      </c>
      <c r="AF1296" s="625">
        <v>0</v>
      </c>
      <c r="AG1296" s="625">
        <v>0</v>
      </c>
      <c r="AH1296" s="625">
        <v>0</v>
      </c>
      <c r="AI1296" s="625">
        <v>0</v>
      </c>
      <c r="AJ1296" s="625">
        <v>0</v>
      </c>
      <c r="AK1296" s="625">
        <v>0</v>
      </c>
      <c r="AL1296" s="625">
        <v>0</v>
      </c>
      <c r="AM1296" s="625">
        <v>0</v>
      </c>
      <c r="AN1296" s="625">
        <v>0</v>
      </c>
      <c r="AO1296" s="625">
        <v>0</v>
      </c>
      <c r="AP1296" s="41" t="str">
        <f t="shared" si="617"/>
        <v>Reg AssetN</v>
      </c>
      <c r="AQ1296" s="41" t="str">
        <f t="shared" si="618"/>
        <v>Reg AssetNN10Gas Costs Deferred</v>
      </c>
      <c r="AR1296" s="41" t="str">
        <f t="shared" si="619"/>
        <v>N10Gas Costs DeferredNCR</v>
      </c>
      <c r="CK1296" s="625"/>
    </row>
    <row r="1297" spans="1:89" s="41" customFormat="1" ht="12.75" customHeight="1">
      <c r="A1297" s="442" t="s">
        <v>746</v>
      </c>
      <c r="B1297" s="442" t="str">
        <f t="shared" si="620"/>
        <v>Reg Asset253040Esco Collateral</v>
      </c>
      <c r="C1297" s="736">
        <v>253040</v>
      </c>
      <c r="D1297" s="738" t="s">
        <v>1560</v>
      </c>
      <c r="E1297" s="626"/>
      <c r="F1297" s="626" t="str">
        <f t="shared" si="606"/>
        <v>DEF CREDITS - MISCELLANEOUS - OTHER</v>
      </c>
      <c r="G1297" s="626" t="s">
        <v>1561</v>
      </c>
      <c r="H1297" s="736" t="s">
        <v>1562</v>
      </c>
      <c r="I1297" s="442"/>
      <c r="J1297" s="442" t="str">
        <f t="shared" si="607"/>
        <v/>
      </c>
      <c r="K1297" s="442" t="str">
        <f t="shared" si="590"/>
        <v/>
      </c>
      <c r="L1297" s="736" t="s">
        <v>2421</v>
      </c>
      <c r="M1297" s="442" t="str">
        <f t="shared" si="588"/>
        <v>N</v>
      </c>
      <c r="N1297" s="442" t="str">
        <f>IF(L1297&lt;&gt;"",VLOOKUP(L1297,Categories!$B$2:$D$41,2,FALSE),IF(F1297&lt;&gt;"","No Cat",""))</f>
        <v>NRBASE</v>
      </c>
      <c r="O1297" s="442" t="str">
        <f>IF($L1297&lt;&gt;"",VLOOKUP($L1297,Categories!$B$2:$D$41,3,FALSE),IF($F1297&lt;&gt;"","No Cat",""))</f>
        <v>Direct Assign Items Not in RB</v>
      </c>
      <c r="P1297" s="736" t="s">
        <v>2468</v>
      </c>
      <c r="Q1297" s="442" t="str">
        <f>VLOOKUP($P1297,Allocators!$B$7:$F$19,5,FALSE)</f>
        <v>Not in Rate Base</v>
      </c>
      <c r="R1297" s="737">
        <f>VLOOKUP($P1297,Allocators!$B$7:$F$19,2,FALSE)</f>
        <v>0</v>
      </c>
      <c r="S1297" s="737">
        <f>VLOOKUP($P1297,Allocators!$B$7:$F$19,3,FALSE)</f>
        <v>0</v>
      </c>
      <c r="T1297" s="737">
        <f t="shared" si="589"/>
        <v>1</v>
      </c>
      <c r="U1297" s="2">
        <f t="shared" si="594"/>
        <v>0</v>
      </c>
      <c r="V1297" s="2">
        <f t="shared" si="595"/>
        <v>0</v>
      </c>
      <c r="W1297" s="2">
        <f t="shared" si="596"/>
        <v>-75.529166666666697</v>
      </c>
      <c r="X1297" s="2">
        <f t="shared" si="621"/>
        <v>-75.529166666666697</v>
      </c>
      <c r="Y1297" s="2">
        <f t="shared" si="597"/>
        <v>0</v>
      </c>
      <c r="Z1297" s="2">
        <f t="shared" si="598"/>
        <v>0</v>
      </c>
      <c r="AA1297" s="2">
        <f t="shared" si="599"/>
        <v>-75</v>
      </c>
      <c r="AB1297" s="2">
        <f t="shared" si="622"/>
        <v>-75</v>
      </c>
      <c r="AC1297" s="625">
        <v>-87.7</v>
      </c>
      <c r="AD1297" s="625">
        <v>-75</v>
      </c>
      <c r="AE1297" s="625">
        <v>-75</v>
      </c>
      <c r="AF1297" s="625">
        <v>-75</v>
      </c>
      <c r="AG1297" s="625">
        <v>-75</v>
      </c>
      <c r="AH1297" s="625">
        <v>-75</v>
      </c>
      <c r="AI1297" s="625">
        <v>-75</v>
      </c>
      <c r="AJ1297" s="625">
        <v>-75</v>
      </c>
      <c r="AK1297" s="625">
        <v>-75</v>
      </c>
      <c r="AL1297" s="625">
        <v>-75</v>
      </c>
      <c r="AM1297" s="625">
        <v>-75</v>
      </c>
      <c r="AN1297" s="625">
        <v>-75</v>
      </c>
      <c r="AO1297" s="625">
        <v>-75</v>
      </c>
      <c r="AP1297" s="41" t="str">
        <f t="shared" si="617"/>
        <v>Reg AssetN</v>
      </c>
      <c r="AQ1297" s="41" t="str">
        <f t="shared" si="618"/>
        <v>Reg AssetNN2ESCO Collateral</v>
      </c>
      <c r="AR1297" s="41" t="str">
        <f t="shared" si="619"/>
        <v>N2ESCO Collateral</v>
      </c>
      <c r="CK1297" s="625"/>
    </row>
    <row r="1298" spans="1:89" s="41" customFormat="1" ht="12.75" customHeight="1">
      <c r="A1298" s="442" t="s">
        <v>746</v>
      </c>
      <c r="B1298" s="442" t="str">
        <f t="shared" si="620"/>
        <v>Reg Asset253040</v>
      </c>
      <c r="C1298" s="736">
        <v>253040</v>
      </c>
      <c r="D1298" s="738"/>
      <c r="E1298" s="626"/>
      <c r="F1298" s="626" t="str">
        <f t="shared" si="606"/>
        <v>DEF CREDITS - MISCELLANEOUS - OTHER</v>
      </c>
      <c r="G1298" s="626" t="s">
        <v>1563</v>
      </c>
      <c r="H1298" s="736">
        <v>0</v>
      </c>
      <c r="I1298" s="442"/>
      <c r="J1298" s="442" t="str">
        <f t="shared" si="607"/>
        <v/>
      </c>
      <c r="K1298" s="442" t="str">
        <f t="shared" si="590"/>
        <v/>
      </c>
      <c r="L1298" s="736" t="s">
        <v>2421</v>
      </c>
      <c r="M1298" s="442" t="str">
        <f t="shared" si="588"/>
        <v>N</v>
      </c>
      <c r="N1298" s="442" t="str">
        <f>IF(L1298&lt;&gt;"",VLOOKUP(L1298,Categories!$B$2:$D$41,2,FALSE),IF(F1298&lt;&gt;"","No Cat",""))</f>
        <v>NRBASE</v>
      </c>
      <c r="O1298" s="442" t="str">
        <f>IF($L1298&lt;&gt;"",VLOOKUP($L1298,Categories!$B$2:$D$41,3,FALSE),IF($F1298&lt;&gt;"","No Cat",""))</f>
        <v>Direct Assign Items Not in RB</v>
      </c>
      <c r="P1298" s="736" t="s">
        <v>2468</v>
      </c>
      <c r="Q1298" s="442" t="str">
        <f>VLOOKUP($P1298,Allocators!$B$7:$F$19,5,FALSE)</f>
        <v>Not in Rate Base</v>
      </c>
      <c r="R1298" s="737">
        <f>VLOOKUP($P1298,Allocators!$B$7:$F$19,2,FALSE)</f>
        <v>0</v>
      </c>
      <c r="S1298" s="737">
        <f>VLOOKUP($P1298,Allocators!$B$7:$F$19,3,FALSE)</f>
        <v>0</v>
      </c>
      <c r="T1298" s="737">
        <f t="shared" si="589"/>
        <v>1</v>
      </c>
      <c r="U1298" s="2" t="str">
        <f t="shared" si="594"/>
        <v/>
      </c>
      <c r="V1298" s="2" t="str">
        <f t="shared" si="595"/>
        <v/>
      </c>
      <c r="W1298" s="2" t="str">
        <f t="shared" si="596"/>
        <v/>
      </c>
      <c r="X1298" s="2">
        <f t="shared" si="621"/>
        <v>0</v>
      </c>
      <c r="Y1298" s="2" t="str">
        <f t="shared" si="597"/>
        <v/>
      </c>
      <c r="Z1298" s="2" t="str">
        <f t="shared" si="598"/>
        <v/>
      </c>
      <c r="AA1298" s="2" t="str">
        <f t="shared" si="599"/>
        <v/>
      </c>
      <c r="AB1298" s="2">
        <f t="shared" si="622"/>
        <v>0</v>
      </c>
      <c r="AC1298" s="625">
        <v>0</v>
      </c>
      <c r="AD1298" s="625">
        <v>0</v>
      </c>
      <c r="AE1298" s="625">
        <v>0</v>
      </c>
      <c r="AF1298" s="625">
        <v>0</v>
      </c>
      <c r="AG1298" s="625">
        <v>0</v>
      </c>
      <c r="AH1298" s="625">
        <v>0</v>
      </c>
      <c r="AI1298" s="625">
        <v>0</v>
      </c>
      <c r="AJ1298" s="625">
        <v>0</v>
      </c>
      <c r="AK1298" s="625">
        <v>0</v>
      </c>
      <c r="AL1298" s="625">
        <v>0</v>
      </c>
      <c r="AM1298" s="625">
        <v>0</v>
      </c>
      <c r="AN1298" s="625">
        <v>0</v>
      </c>
      <c r="AO1298" s="625">
        <v>0</v>
      </c>
      <c r="AP1298" s="41" t="str">
        <f t="shared" si="617"/>
        <v>Reg AssetN</v>
      </c>
      <c r="AQ1298" s="41" t="str">
        <f t="shared" si="618"/>
        <v>Reg AssetNN20</v>
      </c>
      <c r="AR1298" s="41" t="str">
        <f t="shared" si="619"/>
        <v>N20</v>
      </c>
      <c r="CK1298" s="625"/>
    </row>
    <row r="1299" spans="1:89" s="41" customFormat="1" ht="12.75" customHeight="1">
      <c r="A1299" s="442" t="s">
        <v>746</v>
      </c>
      <c r="B1299" s="442" t="str">
        <f t="shared" si="620"/>
        <v>Reg Asset253040</v>
      </c>
      <c r="C1299" s="736">
        <v>253040</v>
      </c>
      <c r="D1299" s="738"/>
      <c r="E1299" s="626"/>
      <c r="F1299" s="626" t="str">
        <f t="shared" si="606"/>
        <v>DEF CREDITS - MISCELLANEOUS - OTHER</v>
      </c>
      <c r="G1299" s="626" t="s">
        <v>1552</v>
      </c>
      <c r="H1299" s="736" t="s">
        <v>1552</v>
      </c>
      <c r="I1299" s="442"/>
      <c r="J1299" s="442" t="str">
        <f t="shared" si="607"/>
        <v/>
      </c>
      <c r="K1299" s="442" t="str">
        <f t="shared" ref="K1299:K1363" si="623">IF(L1299="N3","Y","")</f>
        <v/>
      </c>
      <c r="L1299" s="736" t="s">
        <v>2421</v>
      </c>
      <c r="M1299" s="442" t="str">
        <f t="shared" si="588"/>
        <v>N</v>
      </c>
      <c r="N1299" s="442" t="str">
        <f>IF(L1299&lt;&gt;"",VLOOKUP(L1299,Categories!$B$2:$D$41,2,FALSE),IF(F1299&lt;&gt;"","No Cat",""))</f>
        <v>NRBASE</v>
      </c>
      <c r="O1299" s="442" t="str">
        <f>IF($L1299&lt;&gt;"",VLOOKUP($L1299,Categories!$B$2:$D$41,3,FALSE),IF($F1299&lt;&gt;"","No Cat",""))</f>
        <v>Direct Assign Items Not in RB</v>
      </c>
      <c r="P1299" s="736" t="s">
        <v>2468</v>
      </c>
      <c r="Q1299" s="442" t="str">
        <f>VLOOKUP($P1299,Allocators!$B$7:$F$19,5,FALSE)</f>
        <v>Not in Rate Base</v>
      </c>
      <c r="R1299" s="737">
        <f>VLOOKUP($P1299,Allocators!$B$7:$F$19,2,FALSE)</f>
        <v>0</v>
      </c>
      <c r="S1299" s="737">
        <f>VLOOKUP($P1299,Allocators!$B$7:$F$19,3,FALSE)</f>
        <v>0</v>
      </c>
      <c r="T1299" s="737">
        <f t="shared" si="589"/>
        <v>1</v>
      </c>
      <c r="U1299" s="2" t="str">
        <f t="shared" si="594"/>
        <v/>
      </c>
      <c r="V1299" s="2" t="str">
        <f t="shared" si="595"/>
        <v/>
      </c>
      <c r="W1299" s="2" t="str">
        <f t="shared" si="596"/>
        <v/>
      </c>
      <c r="X1299" s="2">
        <f t="shared" si="621"/>
        <v>0</v>
      </c>
      <c r="Y1299" s="2" t="str">
        <f t="shared" si="597"/>
        <v/>
      </c>
      <c r="Z1299" s="2" t="str">
        <f t="shared" si="598"/>
        <v/>
      </c>
      <c r="AA1299" s="2" t="str">
        <f t="shared" si="599"/>
        <v/>
      </c>
      <c r="AB1299" s="2">
        <f t="shared" si="622"/>
        <v>0</v>
      </c>
      <c r="AC1299" s="625">
        <v>0</v>
      </c>
      <c r="AD1299" s="625">
        <v>0</v>
      </c>
      <c r="AE1299" s="625">
        <v>0</v>
      </c>
      <c r="AF1299" s="625">
        <v>0</v>
      </c>
      <c r="AG1299" s="625">
        <v>0</v>
      </c>
      <c r="AH1299" s="625">
        <v>0</v>
      </c>
      <c r="AI1299" s="625">
        <v>0</v>
      </c>
      <c r="AJ1299" s="625">
        <v>0</v>
      </c>
      <c r="AK1299" s="625">
        <v>0</v>
      </c>
      <c r="AL1299" s="625">
        <v>0</v>
      </c>
      <c r="AM1299" s="625">
        <v>0</v>
      </c>
      <c r="AN1299" s="625">
        <v>0</v>
      </c>
      <c r="AO1299" s="625">
        <v>0</v>
      </c>
      <c r="AP1299" s="41" t="str">
        <f t="shared" si="617"/>
        <v>Reg AssetN</v>
      </c>
      <c r="AQ1299" s="41" t="str">
        <f t="shared" si="618"/>
        <v>Reg AssetNN2Deferred Compensation</v>
      </c>
      <c r="AR1299" s="41" t="str">
        <f t="shared" si="619"/>
        <v>N2Deferred Compensation</v>
      </c>
      <c r="CK1299" s="625"/>
    </row>
    <row r="1300" spans="1:89" s="41" customFormat="1" ht="12.75" customHeight="1">
      <c r="A1300" s="442" t="s">
        <v>746</v>
      </c>
      <c r="B1300" s="442" t="str">
        <f t="shared" si="620"/>
        <v>Reg Asset253040</v>
      </c>
      <c r="C1300" s="736">
        <v>253040</v>
      </c>
      <c r="D1300" s="738"/>
      <c r="E1300" s="626"/>
      <c r="F1300" s="626" t="str">
        <f t="shared" si="606"/>
        <v>DEF CREDITS - MISCELLANEOUS - OTHER</v>
      </c>
      <c r="G1300" s="626" t="s">
        <v>1504</v>
      </c>
      <c r="H1300" s="736">
        <v>0</v>
      </c>
      <c r="I1300" s="442"/>
      <c r="J1300" s="442" t="str">
        <f t="shared" si="607"/>
        <v/>
      </c>
      <c r="K1300" s="442" t="str">
        <f t="shared" si="623"/>
        <v/>
      </c>
      <c r="L1300" s="736" t="s">
        <v>2421</v>
      </c>
      <c r="M1300" s="442" t="str">
        <f t="shared" ref="M1300:M1321" si="624">LEFT(L1300,1)</f>
        <v>N</v>
      </c>
      <c r="N1300" s="442" t="str">
        <f>IF(L1300&lt;&gt;"",VLOOKUP(L1300,Categories!$B$2:$D$41,2,FALSE),IF(F1300&lt;&gt;"","No Cat",""))</f>
        <v>NRBASE</v>
      </c>
      <c r="O1300" s="442" t="str">
        <f>IF($L1300&lt;&gt;"",VLOOKUP($L1300,Categories!$B$2:$D$41,3,FALSE),IF($F1300&lt;&gt;"","No Cat",""))</f>
        <v>Direct Assign Items Not in RB</v>
      </c>
      <c r="P1300" s="736" t="s">
        <v>2468</v>
      </c>
      <c r="Q1300" s="442" t="str">
        <f>VLOOKUP($P1300,Allocators!$B$7:$F$19,5,FALSE)</f>
        <v>Not in Rate Base</v>
      </c>
      <c r="R1300" s="737">
        <f>VLOOKUP($P1300,Allocators!$B$7:$F$19,2,FALSE)</f>
        <v>0</v>
      </c>
      <c r="S1300" s="737">
        <f>VLOOKUP($P1300,Allocators!$B$7:$F$19,3,FALSE)</f>
        <v>0</v>
      </c>
      <c r="T1300" s="737">
        <f t="shared" ref="T1300:T1369" si="625">IF(P1300="N",1,"0.0%")</f>
        <v>1</v>
      </c>
      <c r="U1300" s="2" t="str">
        <f t="shared" si="594"/>
        <v/>
      </c>
      <c r="V1300" s="2" t="str">
        <f t="shared" si="595"/>
        <v/>
      </c>
      <c r="W1300" s="2" t="str">
        <f t="shared" si="596"/>
        <v/>
      </c>
      <c r="X1300" s="2">
        <f t="shared" si="621"/>
        <v>0</v>
      </c>
      <c r="Y1300" s="2" t="str">
        <f t="shared" si="597"/>
        <v/>
      </c>
      <c r="Z1300" s="2" t="str">
        <f t="shared" si="598"/>
        <v/>
      </c>
      <c r="AA1300" s="2" t="str">
        <f t="shared" si="599"/>
        <v/>
      </c>
      <c r="AB1300" s="2">
        <f t="shared" si="622"/>
        <v>0</v>
      </c>
      <c r="AC1300" s="625">
        <v>0</v>
      </c>
      <c r="AD1300" s="625">
        <v>0</v>
      </c>
      <c r="AE1300" s="625">
        <v>0</v>
      </c>
      <c r="AF1300" s="625">
        <v>0</v>
      </c>
      <c r="AG1300" s="625">
        <v>0</v>
      </c>
      <c r="AH1300" s="625">
        <v>0</v>
      </c>
      <c r="AI1300" s="625">
        <v>0</v>
      </c>
      <c r="AJ1300" s="625">
        <v>0</v>
      </c>
      <c r="AK1300" s="625">
        <v>0</v>
      </c>
      <c r="AL1300" s="625">
        <v>0</v>
      </c>
      <c r="AM1300" s="625">
        <v>0</v>
      </c>
      <c r="AN1300" s="625">
        <v>0</v>
      </c>
      <c r="AO1300" s="625">
        <v>0</v>
      </c>
      <c r="AP1300" s="41" t="str">
        <f t="shared" si="617"/>
        <v>Reg AssetN</v>
      </c>
      <c r="AQ1300" s="41" t="str">
        <f t="shared" si="618"/>
        <v>Reg AssetNN20</v>
      </c>
      <c r="AR1300" s="41" t="str">
        <f t="shared" si="619"/>
        <v>N20</v>
      </c>
      <c r="CK1300" s="625"/>
    </row>
    <row r="1301" spans="1:89" s="41" customFormat="1" ht="12.75" customHeight="1">
      <c r="A1301" s="25" t="s">
        <v>746</v>
      </c>
      <c r="B1301" s="25" t="str">
        <f t="shared" si="620"/>
        <v>Reg Asset253040Long Pond GR#15555</v>
      </c>
      <c r="C1301" s="736">
        <v>253040</v>
      </c>
      <c r="D1301" s="738" t="s">
        <v>1564</v>
      </c>
      <c r="F1301" s="41" t="str">
        <f t="shared" si="606"/>
        <v>DEF CREDITS - MISCELLANEOUS - OTHER</v>
      </c>
      <c r="G1301" s="41" t="s">
        <v>1564</v>
      </c>
      <c r="H1301" s="736" t="s">
        <v>1565</v>
      </c>
      <c r="I1301" s="25"/>
      <c r="J1301" s="25" t="str">
        <f t="shared" si="607"/>
        <v/>
      </c>
      <c r="K1301" s="442" t="str">
        <f t="shared" si="623"/>
        <v/>
      </c>
      <c r="L1301" s="736" t="s">
        <v>2393</v>
      </c>
      <c r="M1301" s="25" t="str">
        <f t="shared" si="624"/>
        <v>A</v>
      </c>
      <c r="N1301" s="25" t="str">
        <f>IF(L1301&lt;&gt;"",VLOOKUP(L1301,Categories!$B$2:$D$41,2,FALSE),IF(F1301&lt;&gt;"","No Cat",""))</f>
        <v>All Other</v>
      </c>
      <c r="O1301" s="25" t="str">
        <f>IF($L1301&lt;&gt;"",VLOOKUP($L1301,Categories!$B$2:$D$41,3,FALSE),IF($F1301&lt;&gt;"","No Cat",""))</f>
        <v>EB-Cap</v>
      </c>
      <c r="P1301" s="736" t="s">
        <v>2490</v>
      </c>
      <c r="Q1301" s="25" t="str">
        <f>VLOOKUP($P1301,Allocators!$B$7:$F$19,5,FALSE)</f>
        <v>Rate Base</v>
      </c>
      <c r="R1301" s="737">
        <f>VLOOKUP($P1301,Allocators!$B$7:$F$19,2,FALSE)</f>
        <v>0.70940000000000003</v>
      </c>
      <c r="S1301" s="737">
        <f>VLOOKUP($P1301,Allocators!$B$7:$F$19,3,FALSE)</f>
        <v>0.29060000000000002</v>
      </c>
      <c r="T1301" s="737" t="str">
        <f t="shared" si="625"/>
        <v>0.0%</v>
      </c>
      <c r="U1301" s="2" t="str">
        <f t="shared" si="594"/>
        <v/>
      </c>
      <c r="V1301" s="2" t="str">
        <f t="shared" si="595"/>
        <v/>
      </c>
      <c r="W1301" s="2" t="str">
        <f t="shared" si="596"/>
        <v/>
      </c>
      <c r="X1301" s="2">
        <f t="shared" si="621"/>
        <v>0</v>
      </c>
      <c r="Y1301" s="2" t="str">
        <f t="shared" si="597"/>
        <v/>
      </c>
      <c r="Z1301" s="2" t="str">
        <f t="shared" si="598"/>
        <v/>
      </c>
      <c r="AA1301" s="2" t="str">
        <f t="shared" si="599"/>
        <v/>
      </c>
      <c r="AB1301" s="2">
        <f t="shared" si="622"/>
        <v>0</v>
      </c>
      <c r="AC1301" s="625">
        <v>0</v>
      </c>
      <c r="AD1301" s="625">
        <v>0</v>
      </c>
      <c r="AE1301" s="625">
        <v>0</v>
      </c>
      <c r="AF1301" s="625">
        <v>0</v>
      </c>
      <c r="AG1301" s="625">
        <v>0</v>
      </c>
      <c r="AH1301" s="625">
        <v>0</v>
      </c>
      <c r="AI1301" s="625">
        <v>0</v>
      </c>
      <c r="AJ1301" s="625">
        <v>0</v>
      </c>
      <c r="AK1301" s="625">
        <v>0</v>
      </c>
      <c r="AL1301" s="625">
        <v>0</v>
      </c>
      <c r="AM1301" s="625">
        <v>0</v>
      </c>
      <c r="AN1301" s="625">
        <v>0</v>
      </c>
      <c r="AO1301" s="625">
        <v>0</v>
      </c>
      <c r="AP1301" s="41" t="str">
        <f t="shared" si="617"/>
        <v>Reg AssetA</v>
      </c>
      <c r="AQ1301" s="41" t="str">
        <f t="shared" si="618"/>
        <v>Reg AssetAA2CIAC Accrual</v>
      </c>
      <c r="AR1301" s="41" t="str">
        <f t="shared" si="619"/>
        <v>A2CIAC Accrual</v>
      </c>
      <c r="CK1301" s="625"/>
    </row>
    <row r="1302" spans="1:89" s="41" customFormat="1" ht="12.75" customHeight="1">
      <c r="A1302" s="25" t="s">
        <v>746</v>
      </c>
      <c r="B1302" s="25" t="str">
        <f t="shared" si="620"/>
        <v xml:space="preserve">Reg Asset253040Green Power </v>
      </c>
      <c r="C1302" s="736">
        <v>253040</v>
      </c>
      <c r="D1302" s="738" t="s">
        <v>1566</v>
      </c>
      <c r="F1302" s="41" t="str">
        <f t="shared" si="606"/>
        <v>DEF CREDITS - MISCELLANEOUS - OTHER</v>
      </c>
      <c r="G1302" s="41" t="s">
        <v>1566</v>
      </c>
      <c r="H1302" s="736">
        <v>0</v>
      </c>
      <c r="I1302" s="25"/>
      <c r="J1302" s="25" t="str">
        <f t="shared" si="607"/>
        <v/>
      </c>
      <c r="K1302" s="442" t="str">
        <f t="shared" si="623"/>
        <v/>
      </c>
      <c r="L1302" s="736" t="s">
        <v>2393</v>
      </c>
      <c r="M1302" s="25" t="str">
        <f t="shared" si="624"/>
        <v>A</v>
      </c>
      <c r="N1302" s="25" t="str">
        <f>IF(L1302&lt;&gt;"",VLOOKUP(L1302,Categories!$B$2:$D$41,2,FALSE),IF(F1302&lt;&gt;"","No Cat",""))</f>
        <v>All Other</v>
      </c>
      <c r="O1302" s="25" t="str">
        <f>IF($L1302&lt;&gt;"",VLOOKUP($L1302,Categories!$B$2:$D$41,3,FALSE),IF($F1302&lt;&gt;"","No Cat",""))</f>
        <v>EB-Cap</v>
      </c>
      <c r="P1302" s="736" t="s">
        <v>2490</v>
      </c>
      <c r="Q1302" s="25" t="str">
        <f>VLOOKUP($P1302,Allocators!$B$7:$F$19,5,FALSE)</f>
        <v>Rate Base</v>
      </c>
      <c r="R1302" s="737">
        <f>VLOOKUP($P1302,Allocators!$B$7:$F$19,2,FALSE)</f>
        <v>0.70940000000000003</v>
      </c>
      <c r="S1302" s="737">
        <f>VLOOKUP($P1302,Allocators!$B$7:$F$19,3,FALSE)</f>
        <v>0.29060000000000002</v>
      </c>
      <c r="T1302" s="737" t="str">
        <f t="shared" si="625"/>
        <v>0.0%</v>
      </c>
      <c r="U1302" s="2" t="str">
        <f t="shared" ref="U1302:U1365" si="626">IF(ABS(X1302)=0,"",IF($R1302="NO ALLOC","NO ALLOC",ROUND($R1302*X1302,15)))</f>
        <v/>
      </c>
      <c r="V1302" s="2" t="str">
        <f t="shared" ref="V1302:V1365" si="627">IF(ABS(X1302)=0,"",IF($S1302="NO ALLOC","NO ALLOC",ROUND($S1302*X1302,15)))</f>
        <v/>
      </c>
      <c r="W1302" s="2" t="str">
        <f t="shared" ref="W1302:W1365" si="628">IF(ABS(X1302)=0,"",IF($T1302="NO ALLOC","NO ALLOC",ROUND($T1302*X1302,15)))</f>
        <v/>
      </c>
      <c r="X1302" s="2">
        <f t="shared" si="621"/>
        <v>0</v>
      </c>
      <c r="Y1302" s="2" t="str">
        <f t="shared" ref="Y1302:Y1365" si="629">IF(ABS(AB1302)=0,"",IF($R1302="NO ALLOC","NO ALLOC",ROUND($R1302*AB1302,15)))</f>
        <v/>
      </c>
      <c r="Z1302" s="2" t="str">
        <f t="shared" ref="Z1302:Z1365" si="630">IF(ABS(AB1302)=0,"",IF($S1302="NO ALLOC","NO ALLOC",ROUND($S1302*AB1302,15)))</f>
        <v/>
      </c>
      <c r="AA1302" s="2" t="str">
        <f t="shared" ref="AA1302:AA1365" si="631">IF(ABS(AB1302)=0,"",IF($T1302="NO ALLOC","NO ALLOC",ROUND($T1302*AB1302,15)))</f>
        <v/>
      </c>
      <c r="AB1302" s="2">
        <f t="shared" si="622"/>
        <v>0</v>
      </c>
      <c r="AC1302" s="625">
        <v>0</v>
      </c>
      <c r="AD1302" s="625">
        <v>0</v>
      </c>
      <c r="AE1302" s="625">
        <v>0</v>
      </c>
      <c r="AF1302" s="625">
        <v>0</v>
      </c>
      <c r="AG1302" s="625">
        <v>0</v>
      </c>
      <c r="AH1302" s="625">
        <v>0</v>
      </c>
      <c r="AI1302" s="625">
        <v>0</v>
      </c>
      <c r="AJ1302" s="625">
        <v>0</v>
      </c>
      <c r="AK1302" s="625">
        <v>0</v>
      </c>
      <c r="AL1302" s="625">
        <v>0</v>
      </c>
      <c r="AM1302" s="625">
        <v>0</v>
      </c>
      <c r="AN1302" s="625">
        <v>0</v>
      </c>
      <c r="AO1302" s="625">
        <v>0</v>
      </c>
      <c r="AP1302" s="41" t="str">
        <f t="shared" si="617"/>
        <v>Reg AssetA</v>
      </c>
      <c r="AQ1302" s="41" t="str">
        <f t="shared" si="618"/>
        <v>Reg AssetAA20</v>
      </c>
      <c r="AR1302" s="41" t="str">
        <f t="shared" si="619"/>
        <v>A20</v>
      </c>
      <c r="CK1302" s="625"/>
    </row>
    <row r="1303" spans="1:89" s="41" customFormat="1" ht="12.75" customHeight="1">
      <c r="A1303" s="25" t="s">
        <v>746</v>
      </c>
      <c r="B1303" s="25" t="str">
        <f t="shared" si="620"/>
        <v>Reg Asset253040</v>
      </c>
      <c r="C1303" s="736">
        <v>253040</v>
      </c>
      <c r="D1303" s="738"/>
      <c r="F1303" s="41" t="str">
        <f t="shared" si="606"/>
        <v>DEF CREDITS - MISCELLANEOUS - OTHER</v>
      </c>
      <c r="G1303" s="41" t="s">
        <v>1567</v>
      </c>
      <c r="H1303" s="736">
        <v>0</v>
      </c>
      <c r="I1303" s="25"/>
      <c r="J1303" s="25" t="str">
        <f t="shared" si="607"/>
        <v/>
      </c>
      <c r="K1303" s="442" t="str">
        <f t="shared" si="623"/>
        <v/>
      </c>
      <c r="L1303" s="736" t="s">
        <v>2393</v>
      </c>
      <c r="M1303" s="25" t="str">
        <f t="shared" si="624"/>
        <v>A</v>
      </c>
      <c r="N1303" s="25" t="str">
        <f>IF(L1303&lt;&gt;"",VLOOKUP(L1303,Categories!$B$2:$D$41,2,FALSE),IF(F1303&lt;&gt;"","No Cat",""))</f>
        <v>All Other</v>
      </c>
      <c r="O1303" s="25" t="str">
        <f>IF($L1303&lt;&gt;"",VLOOKUP($L1303,Categories!$B$2:$D$41,3,FALSE),IF($F1303&lt;&gt;"","No Cat",""))</f>
        <v>EB-Cap</v>
      </c>
      <c r="P1303" s="736" t="s">
        <v>2490</v>
      </c>
      <c r="Q1303" s="25" t="str">
        <f>VLOOKUP($P1303,Allocators!$B$7:$F$19,5,FALSE)</f>
        <v>Rate Base</v>
      </c>
      <c r="R1303" s="737">
        <f>VLOOKUP($P1303,Allocators!$B$7:$F$19,2,FALSE)</f>
        <v>0.70940000000000003</v>
      </c>
      <c r="S1303" s="737">
        <f>VLOOKUP($P1303,Allocators!$B$7:$F$19,3,FALSE)</f>
        <v>0.29060000000000002</v>
      </c>
      <c r="T1303" s="737" t="str">
        <f t="shared" si="625"/>
        <v>0.0%</v>
      </c>
      <c r="U1303" s="2" t="str">
        <f t="shared" si="626"/>
        <v/>
      </c>
      <c r="V1303" s="2" t="str">
        <f t="shared" si="627"/>
        <v/>
      </c>
      <c r="W1303" s="2" t="str">
        <f t="shared" si="628"/>
        <v/>
      </c>
      <c r="X1303" s="2">
        <f t="shared" si="621"/>
        <v>0</v>
      </c>
      <c r="Y1303" s="2" t="str">
        <f t="shared" si="629"/>
        <v/>
      </c>
      <c r="Z1303" s="2" t="str">
        <f t="shared" si="630"/>
        <v/>
      </c>
      <c r="AA1303" s="2" t="str">
        <f t="shared" si="631"/>
        <v/>
      </c>
      <c r="AB1303" s="2">
        <f t="shared" si="622"/>
        <v>0</v>
      </c>
      <c r="AC1303" s="625">
        <v>0</v>
      </c>
      <c r="AD1303" s="625">
        <v>0</v>
      </c>
      <c r="AE1303" s="625">
        <v>0</v>
      </c>
      <c r="AF1303" s="625">
        <v>0</v>
      </c>
      <c r="AG1303" s="625">
        <v>0</v>
      </c>
      <c r="AH1303" s="625">
        <v>0</v>
      </c>
      <c r="AI1303" s="625">
        <v>0</v>
      </c>
      <c r="AJ1303" s="625">
        <v>0</v>
      </c>
      <c r="AK1303" s="625">
        <v>0</v>
      </c>
      <c r="AL1303" s="625">
        <v>0</v>
      </c>
      <c r="AM1303" s="625">
        <v>0</v>
      </c>
      <c r="AN1303" s="625">
        <v>0</v>
      </c>
      <c r="AO1303" s="625">
        <v>0</v>
      </c>
      <c r="AP1303" s="41" t="str">
        <f t="shared" si="617"/>
        <v>Reg AssetA</v>
      </c>
      <c r="AQ1303" s="41" t="str">
        <f t="shared" si="618"/>
        <v>Reg AssetAA20</v>
      </c>
      <c r="AR1303" s="41" t="str">
        <f t="shared" si="619"/>
        <v>A20</v>
      </c>
      <c r="CK1303" s="625"/>
    </row>
    <row r="1304" spans="1:89" s="41" customFormat="1" ht="12.75" customHeight="1">
      <c r="A1304" s="25" t="s">
        <v>746</v>
      </c>
      <c r="B1304" s="25" t="str">
        <f t="shared" si="620"/>
        <v>Reg Asset253040</v>
      </c>
      <c r="C1304" s="736">
        <v>253040</v>
      </c>
      <c r="D1304" s="738"/>
      <c r="F1304" s="41" t="str">
        <f t="shared" si="606"/>
        <v>DEF CREDITS - MISCELLANEOUS - OTHER</v>
      </c>
      <c r="G1304" s="41" t="s">
        <v>1568</v>
      </c>
      <c r="H1304" s="736">
        <v>0</v>
      </c>
      <c r="I1304" s="25"/>
      <c r="J1304" s="25" t="str">
        <f t="shared" si="607"/>
        <v/>
      </c>
      <c r="K1304" s="442" t="str">
        <f t="shared" si="623"/>
        <v/>
      </c>
      <c r="L1304" s="736" t="s">
        <v>2393</v>
      </c>
      <c r="M1304" s="25" t="str">
        <f t="shared" si="624"/>
        <v>A</v>
      </c>
      <c r="N1304" s="25" t="str">
        <f>IF(L1304&lt;&gt;"",VLOOKUP(L1304,Categories!$B$2:$D$41,2,FALSE),IF(F1304&lt;&gt;"","No Cat",""))</f>
        <v>All Other</v>
      </c>
      <c r="O1304" s="25" t="str">
        <f>IF($L1304&lt;&gt;"",VLOOKUP($L1304,Categories!$B$2:$D$41,3,FALSE),IF($F1304&lt;&gt;"","No Cat",""))</f>
        <v>EB-Cap</v>
      </c>
      <c r="P1304" s="736" t="s">
        <v>2490</v>
      </c>
      <c r="Q1304" s="25" t="str">
        <f>VLOOKUP($P1304,Allocators!$B$7:$F$19,5,FALSE)</f>
        <v>Rate Base</v>
      </c>
      <c r="R1304" s="737">
        <f>VLOOKUP($P1304,Allocators!$B$7:$F$19,2,FALSE)</f>
        <v>0.70940000000000003</v>
      </c>
      <c r="S1304" s="737">
        <f>VLOOKUP($P1304,Allocators!$B$7:$F$19,3,FALSE)</f>
        <v>0.29060000000000002</v>
      </c>
      <c r="T1304" s="737" t="str">
        <f t="shared" si="625"/>
        <v>0.0%</v>
      </c>
      <c r="U1304" s="2" t="str">
        <f t="shared" si="626"/>
        <v/>
      </c>
      <c r="V1304" s="2" t="str">
        <f t="shared" si="627"/>
        <v/>
      </c>
      <c r="W1304" s="2" t="str">
        <f t="shared" si="628"/>
        <v/>
      </c>
      <c r="X1304" s="2">
        <f t="shared" si="621"/>
        <v>0</v>
      </c>
      <c r="Y1304" s="2" t="str">
        <f t="shared" si="629"/>
        <v/>
      </c>
      <c r="Z1304" s="2" t="str">
        <f t="shared" si="630"/>
        <v/>
      </c>
      <c r="AA1304" s="2" t="str">
        <f t="shared" si="631"/>
        <v/>
      </c>
      <c r="AB1304" s="2">
        <f t="shared" si="622"/>
        <v>0</v>
      </c>
      <c r="AC1304" s="625">
        <v>0</v>
      </c>
      <c r="AD1304" s="625">
        <v>0</v>
      </c>
      <c r="AE1304" s="625">
        <v>0</v>
      </c>
      <c r="AF1304" s="625">
        <v>0</v>
      </c>
      <c r="AG1304" s="625">
        <v>0</v>
      </c>
      <c r="AH1304" s="625">
        <v>0</v>
      </c>
      <c r="AI1304" s="625">
        <v>0</v>
      </c>
      <c r="AJ1304" s="625">
        <v>0</v>
      </c>
      <c r="AK1304" s="625">
        <v>0</v>
      </c>
      <c r="AL1304" s="625">
        <v>0</v>
      </c>
      <c r="AM1304" s="625">
        <v>0</v>
      </c>
      <c r="AN1304" s="625">
        <v>0</v>
      </c>
      <c r="AO1304" s="625">
        <v>0</v>
      </c>
      <c r="AP1304" s="41" t="str">
        <f t="shared" si="617"/>
        <v>Reg AssetA</v>
      </c>
      <c r="AQ1304" s="41" t="str">
        <f t="shared" si="618"/>
        <v>Reg AssetAA20</v>
      </c>
      <c r="AR1304" s="41" t="str">
        <f t="shared" si="619"/>
        <v>A20</v>
      </c>
      <c r="CK1304" s="625"/>
    </row>
    <row r="1305" spans="1:89" s="41" customFormat="1" ht="12.75" customHeight="1">
      <c r="A1305" s="442" t="s">
        <v>746</v>
      </c>
      <c r="B1305" s="442" t="str">
        <f t="shared" si="620"/>
        <v>Reg Asset253040</v>
      </c>
      <c r="C1305" s="736">
        <v>253040</v>
      </c>
      <c r="D1305" s="738"/>
      <c r="E1305" s="626"/>
      <c r="F1305" s="626" t="str">
        <f t="shared" si="606"/>
        <v>DEF CREDITS - MISCELLANEOUS - OTHER</v>
      </c>
      <c r="G1305" s="626" t="s">
        <v>1569</v>
      </c>
      <c r="H1305" s="736" t="s">
        <v>1552</v>
      </c>
      <c r="I1305" s="442"/>
      <c r="J1305" s="442" t="str">
        <f t="shared" si="607"/>
        <v/>
      </c>
      <c r="K1305" s="442" t="str">
        <f t="shared" si="623"/>
        <v/>
      </c>
      <c r="L1305" s="736" t="s">
        <v>2421</v>
      </c>
      <c r="M1305" s="442" t="str">
        <f t="shared" si="624"/>
        <v>N</v>
      </c>
      <c r="N1305" s="442" t="str">
        <f>IF(L1305&lt;&gt;"",VLOOKUP(L1305,Categories!$B$2:$D$41,2,FALSE),IF(F1305&lt;&gt;"","No Cat",""))</f>
        <v>NRBASE</v>
      </c>
      <c r="O1305" s="442" t="str">
        <f>IF($L1305&lt;&gt;"",VLOOKUP($L1305,Categories!$B$2:$D$41,3,FALSE),IF($F1305&lt;&gt;"","No Cat",""))</f>
        <v>Direct Assign Items Not in RB</v>
      </c>
      <c r="P1305" s="736" t="s">
        <v>2468</v>
      </c>
      <c r="Q1305" s="442" t="str">
        <f>VLOOKUP($P1305,Allocators!$B$7:$F$19,5,FALSE)</f>
        <v>Not in Rate Base</v>
      </c>
      <c r="R1305" s="737">
        <f>VLOOKUP($P1305,Allocators!$B$7:$F$19,2,FALSE)</f>
        <v>0</v>
      </c>
      <c r="S1305" s="737">
        <f>VLOOKUP($P1305,Allocators!$B$7:$F$19,3,FALSE)</f>
        <v>0</v>
      </c>
      <c r="T1305" s="737">
        <f t="shared" si="625"/>
        <v>1</v>
      </c>
      <c r="U1305" s="2">
        <f t="shared" si="626"/>
        <v>0</v>
      </c>
      <c r="V1305" s="2">
        <f t="shared" si="627"/>
        <v>0</v>
      </c>
      <c r="W1305" s="2">
        <f t="shared" si="628"/>
        <v>-81.421715833333295</v>
      </c>
      <c r="X1305" s="2">
        <f t="shared" si="621"/>
        <v>-81.421715833333295</v>
      </c>
      <c r="Y1305" s="2" t="str">
        <f t="shared" si="629"/>
        <v/>
      </c>
      <c r="Z1305" s="2" t="str">
        <f t="shared" si="630"/>
        <v/>
      </c>
      <c r="AA1305" s="2" t="str">
        <f t="shared" si="631"/>
        <v/>
      </c>
      <c r="AB1305" s="2">
        <f t="shared" si="622"/>
        <v>0</v>
      </c>
      <c r="AC1305" s="625">
        <v>-87.77491999999998</v>
      </c>
      <c r="AD1305" s="625">
        <v>-84.290549999999996</v>
      </c>
      <c r="AE1305" s="625">
        <v>-84.290549999999996</v>
      </c>
      <c r="AF1305" s="625">
        <v>-84.590580000000003</v>
      </c>
      <c r="AG1305" s="625">
        <v>-84.590580000000003</v>
      </c>
      <c r="AH1305" s="625">
        <v>-84.590580000000003</v>
      </c>
      <c r="AI1305" s="625">
        <v>-85.401710000000008</v>
      </c>
      <c r="AJ1305" s="625">
        <v>-85.401710000000008</v>
      </c>
      <c r="AK1305" s="625">
        <v>-85.401710000000008</v>
      </c>
      <c r="AL1305" s="625">
        <v>-84.871719999999996</v>
      </c>
      <c r="AM1305" s="625">
        <v>-84.871719999999996</v>
      </c>
      <c r="AN1305" s="625">
        <v>-84.871719999999996</v>
      </c>
      <c r="AO1305" s="625">
        <v>0</v>
      </c>
      <c r="AP1305" s="41" t="str">
        <f t="shared" si="617"/>
        <v>Reg AssetN</v>
      </c>
      <c r="AQ1305" s="41" t="str">
        <f t="shared" si="618"/>
        <v>Reg AssetNN2Deferred Compensation</v>
      </c>
      <c r="AR1305" s="41" t="str">
        <f t="shared" si="619"/>
        <v>N2Deferred Compensation</v>
      </c>
      <c r="CK1305" s="625"/>
    </row>
    <row r="1306" spans="1:89" s="41" customFormat="1" ht="12.75" customHeight="1">
      <c r="A1306" s="25" t="s">
        <v>746</v>
      </c>
      <c r="B1306" s="25" t="str">
        <f t="shared" si="620"/>
        <v>Reg Asset253040</v>
      </c>
      <c r="C1306" s="736">
        <v>253040</v>
      </c>
      <c r="D1306" s="738"/>
      <c r="F1306" s="41" t="str">
        <f t="shared" si="606"/>
        <v>DEF CREDITS - MISCELLANEOUS - OTHER</v>
      </c>
      <c r="G1306" s="41" t="s">
        <v>1570</v>
      </c>
      <c r="H1306" s="736">
        <v>0</v>
      </c>
      <c r="I1306" s="25"/>
      <c r="J1306" s="25" t="str">
        <f t="shared" si="607"/>
        <v/>
      </c>
      <c r="K1306" s="442" t="str">
        <f t="shared" si="623"/>
        <v/>
      </c>
      <c r="L1306" s="736" t="s">
        <v>2393</v>
      </c>
      <c r="M1306" s="25" t="str">
        <f t="shared" si="624"/>
        <v>A</v>
      </c>
      <c r="N1306" s="25" t="str">
        <f>IF(L1306&lt;&gt;"",VLOOKUP(L1306,Categories!$B$2:$D$41,2,FALSE),IF(F1306&lt;&gt;"","No Cat",""))</f>
        <v>All Other</v>
      </c>
      <c r="O1306" s="25" t="str">
        <f>IF($L1306&lt;&gt;"",VLOOKUP($L1306,Categories!$B$2:$D$41,3,FALSE),IF($F1306&lt;&gt;"","No Cat",""))</f>
        <v>EB-Cap</v>
      </c>
      <c r="P1306" s="736" t="s">
        <v>2490</v>
      </c>
      <c r="Q1306" s="25" t="str">
        <f>VLOOKUP($P1306,Allocators!$B$7:$F$19,5,FALSE)</f>
        <v>Rate Base</v>
      </c>
      <c r="R1306" s="737">
        <f>VLOOKUP($P1306,Allocators!$B$7:$F$19,2,FALSE)</f>
        <v>0.70940000000000003</v>
      </c>
      <c r="S1306" s="737">
        <f>VLOOKUP($P1306,Allocators!$B$7:$F$19,3,FALSE)</f>
        <v>0.29060000000000002</v>
      </c>
      <c r="T1306" s="737" t="str">
        <f t="shared" si="625"/>
        <v>0.0%</v>
      </c>
      <c r="U1306" s="2" t="str">
        <f t="shared" si="626"/>
        <v/>
      </c>
      <c r="V1306" s="2" t="str">
        <f t="shared" si="627"/>
        <v/>
      </c>
      <c r="W1306" s="2" t="str">
        <f t="shared" si="628"/>
        <v/>
      </c>
      <c r="X1306" s="2">
        <f t="shared" si="621"/>
        <v>0</v>
      </c>
      <c r="Y1306" s="2" t="str">
        <f t="shared" si="629"/>
        <v/>
      </c>
      <c r="Z1306" s="2" t="str">
        <f t="shared" si="630"/>
        <v/>
      </c>
      <c r="AA1306" s="2" t="str">
        <f t="shared" si="631"/>
        <v/>
      </c>
      <c r="AB1306" s="2">
        <f t="shared" si="622"/>
        <v>0</v>
      </c>
      <c r="AC1306" s="625">
        <v>0</v>
      </c>
      <c r="AD1306" s="625">
        <v>0</v>
      </c>
      <c r="AE1306" s="625">
        <v>0</v>
      </c>
      <c r="AF1306" s="625">
        <v>0</v>
      </c>
      <c r="AG1306" s="625">
        <v>0</v>
      </c>
      <c r="AH1306" s="625">
        <v>0</v>
      </c>
      <c r="AI1306" s="625">
        <v>0</v>
      </c>
      <c r="AJ1306" s="625">
        <v>0</v>
      </c>
      <c r="AK1306" s="625">
        <v>0</v>
      </c>
      <c r="AL1306" s="625">
        <v>0</v>
      </c>
      <c r="AM1306" s="625">
        <v>0</v>
      </c>
      <c r="AN1306" s="625">
        <v>0</v>
      </c>
      <c r="AO1306" s="625">
        <v>0</v>
      </c>
      <c r="AP1306" s="41" t="str">
        <f t="shared" si="617"/>
        <v>Reg AssetA</v>
      </c>
      <c r="AQ1306" s="41" t="str">
        <f t="shared" si="618"/>
        <v>Reg AssetAA20</v>
      </c>
      <c r="AR1306" s="41" t="str">
        <f t="shared" si="619"/>
        <v>A20</v>
      </c>
      <c r="CK1306" s="625"/>
    </row>
    <row r="1307" spans="1:89" s="41" customFormat="1" ht="12.75" customHeight="1">
      <c r="A1307" s="25" t="s">
        <v>746</v>
      </c>
      <c r="B1307" s="25" t="str">
        <f t="shared" si="620"/>
        <v>Reg Asset253040090111-093011</v>
      </c>
      <c r="C1307" s="736">
        <v>253040</v>
      </c>
      <c r="D1307" s="738" t="s">
        <v>1529</v>
      </c>
      <c r="F1307" s="41" t="str">
        <f t="shared" si="606"/>
        <v>DEF CREDITS - MISCELLANEOUS - OTHER</v>
      </c>
      <c r="G1307" s="41" t="s">
        <v>1571</v>
      </c>
      <c r="H1307" s="736">
        <v>0</v>
      </c>
      <c r="I1307" s="25"/>
      <c r="J1307" s="25" t="str">
        <f t="shared" si="607"/>
        <v/>
      </c>
      <c r="K1307" s="442" t="str">
        <f t="shared" si="623"/>
        <v/>
      </c>
      <c r="L1307" s="736" t="s">
        <v>2393</v>
      </c>
      <c r="M1307" s="25" t="str">
        <f t="shared" si="624"/>
        <v>A</v>
      </c>
      <c r="N1307" s="25" t="str">
        <f>IF(L1307&lt;&gt;"",VLOOKUP(L1307,Categories!$B$2:$D$41,2,FALSE),IF(F1307&lt;&gt;"","No Cat",""))</f>
        <v>All Other</v>
      </c>
      <c r="O1307" s="25" t="str">
        <f>IF($L1307&lt;&gt;"",VLOOKUP($L1307,Categories!$B$2:$D$41,3,FALSE),IF($F1307&lt;&gt;"","No Cat",""))</f>
        <v>EB-Cap</v>
      </c>
      <c r="P1307" s="736" t="s">
        <v>2490</v>
      </c>
      <c r="Q1307" s="25" t="str">
        <f>VLOOKUP($P1307,Allocators!$B$7:$F$19,5,FALSE)</f>
        <v>Rate Base</v>
      </c>
      <c r="R1307" s="737">
        <f>VLOOKUP($P1307,Allocators!$B$7:$F$19,2,FALSE)</f>
        <v>0.70940000000000003</v>
      </c>
      <c r="S1307" s="737">
        <f>VLOOKUP($P1307,Allocators!$B$7:$F$19,3,FALSE)</f>
        <v>0.29060000000000002</v>
      </c>
      <c r="T1307" s="737" t="str">
        <f t="shared" si="625"/>
        <v>0.0%</v>
      </c>
      <c r="U1307" s="2" t="str">
        <f t="shared" si="626"/>
        <v/>
      </c>
      <c r="V1307" s="2" t="str">
        <f t="shared" si="627"/>
        <v/>
      </c>
      <c r="W1307" s="2" t="str">
        <f t="shared" si="628"/>
        <v/>
      </c>
      <c r="X1307" s="2">
        <f t="shared" si="621"/>
        <v>0</v>
      </c>
      <c r="Y1307" s="2" t="str">
        <f t="shared" si="629"/>
        <v/>
      </c>
      <c r="Z1307" s="2" t="str">
        <f t="shared" si="630"/>
        <v/>
      </c>
      <c r="AA1307" s="2" t="str">
        <f t="shared" si="631"/>
        <v/>
      </c>
      <c r="AB1307" s="2">
        <f t="shared" si="622"/>
        <v>0</v>
      </c>
      <c r="AC1307" s="625">
        <v>0</v>
      </c>
      <c r="AD1307" s="625">
        <v>0</v>
      </c>
      <c r="AE1307" s="625">
        <v>0</v>
      </c>
      <c r="AF1307" s="625">
        <v>0</v>
      </c>
      <c r="AG1307" s="625">
        <v>0</v>
      </c>
      <c r="AH1307" s="625">
        <v>0</v>
      </c>
      <c r="AI1307" s="625">
        <v>0</v>
      </c>
      <c r="AJ1307" s="625">
        <v>0</v>
      </c>
      <c r="AK1307" s="625">
        <v>0</v>
      </c>
      <c r="AL1307" s="625">
        <v>0</v>
      </c>
      <c r="AM1307" s="625">
        <v>0</v>
      </c>
      <c r="AN1307" s="625">
        <v>0</v>
      </c>
      <c r="AO1307" s="625">
        <v>0</v>
      </c>
      <c r="AP1307" s="41" t="str">
        <f t="shared" si="617"/>
        <v>Reg AssetA</v>
      </c>
      <c r="AQ1307" s="41" t="str">
        <f t="shared" si="618"/>
        <v>Reg AssetAA20</v>
      </c>
      <c r="AR1307" s="41" t="str">
        <f t="shared" si="619"/>
        <v>A20</v>
      </c>
      <c r="CK1307" s="625"/>
    </row>
    <row r="1308" spans="1:89" s="41" customFormat="1" ht="12.75" customHeight="1">
      <c r="A1308" s="25" t="s">
        <v>746</v>
      </c>
      <c r="B1308" s="25" t="str">
        <f t="shared" si="620"/>
        <v>Reg Asset253040</v>
      </c>
      <c r="C1308" s="736">
        <v>253040</v>
      </c>
      <c r="D1308" s="738"/>
      <c r="F1308" s="41" t="str">
        <f t="shared" si="606"/>
        <v>DEF CREDITS - MISCELLANEOUS - OTHER</v>
      </c>
      <c r="G1308" s="41" t="s">
        <v>2822</v>
      </c>
      <c r="H1308" s="736" t="s">
        <v>2824</v>
      </c>
      <c r="I1308" s="25"/>
      <c r="J1308" s="25"/>
      <c r="K1308" s="442" t="str">
        <f t="shared" si="623"/>
        <v/>
      </c>
      <c r="L1308" s="736" t="s">
        <v>2393</v>
      </c>
      <c r="M1308" s="25" t="str">
        <f t="shared" ref="M1308" si="632">LEFT(L1308,1)</f>
        <v>A</v>
      </c>
      <c r="N1308" s="25" t="str">
        <f>IF(L1308&lt;&gt;"",VLOOKUP(L1308,Categories!$B$2:$D$41,2,FALSE),IF(F1308&lt;&gt;"","No Cat",""))</f>
        <v>All Other</v>
      </c>
      <c r="O1308" s="25" t="str">
        <f>IF($L1308&lt;&gt;"",VLOOKUP($L1308,Categories!$B$2:$D$41,3,FALSE),IF($F1308&lt;&gt;"","No Cat",""))</f>
        <v>EB-Cap</v>
      </c>
      <c r="P1308" s="736" t="s">
        <v>2490</v>
      </c>
      <c r="Q1308" s="25" t="str">
        <f>VLOOKUP($P1308,Allocators!$B$7:$F$19,5,FALSE)</f>
        <v>Rate Base</v>
      </c>
      <c r="R1308" s="737">
        <f>VLOOKUP($P1308,Allocators!$B$7:$F$19,2,FALSE)</f>
        <v>0.70940000000000003</v>
      </c>
      <c r="S1308" s="737">
        <f>VLOOKUP($P1308,Allocators!$B$7:$F$19,3,FALSE)</f>
        <v>0.29060000000000002</v>
      </c>
      <c r="T1308" s="737" t="str">
        <f t="shared" ref="T1308" si="633">IF(P1308="N",1,"0.0%")</f>
        <v>0.0%</v>
      </c>
      <c r="U1308" s="2" t="str">
        <f t="shared" si="626"/>
        <v/>
      </c>
      <c r="V1308" s="2" t="str">
        <f t="shared" si="627"/>
        <v/>
      </c>
      <c r="W1308" s="2" t="str">
        <f t="shared" si="628"/>
        <v/>
      </c>
      <c r="X1308" s="2">
        <f t="shared" si="621"/>
        <v>0</v>
      </c>
      <c r="Y1308" s="2" t="str">
        <f t="shared" si="629"/>
        <v/>
      </c>
      <c r="Z1308" s="2" t="str">
        <f t="shared" si="630"/>
        <v/>
      </c>
      <c r="AA1308" s="2" t="str">
        <f t="shared" si="631"/>
        <v/>
      </c>
      <c r="AB1308" s="2">
        <f t="shared" si="622"/>
        <v>0</v>
      </c>
      <c r="AC1308" s="625">
        <v>0</v>
      </c>
      <c r="AD1308" s="625">
        <v>0</v>
      </c>
      <c r="AE1308" s="625">
        <v>0</v>
      </c>
      <c r="AF1308" s="625">
        <v>0</v>
      </c>
      <c r="AG1308" s="625">
        <v>0</v>
      </c>
      <c r="AH1308" s="625">
        <v>0</v>
      </c>
      <c r="AI1308" s="625">
        <v>0</v>
      </c>
      <c r="AJ1308" s="625">
        <v>0</v>
      </c>
      <c r="AK1308" s="625">
        <v>0</v>
      </c>
      <c r="AL1308" s="625">
        <v>0</v>
      </c>
      <c r="AM1308" s="625">
        <v>0</v>
      </c>
      <c r="AN1308" s="625">
        <v>0</v>
      </c>
      <c r="AO1308" s="625">
        <v>0</v>
      </c>
      <c r="AP1308" s="41" t="str">
        <f t="shared" si="617"/>
        <v>Reg AssetA</v>
      </c>
      <c r="AQ1308" s="41" t="str">
        <f t="shared" si="618"/>
        <v>Reg AssetAA2Advance Payment</v>
      </c>
      <c r="AR1308" s="41" t="str">
        <f t="shared" si="619"/>
        <v>A2Advance Payment</v>
      </c>
      <c r="CK1308" s="625"/>
    </row>
    <row r="1309" spans="1:89" s="41" customFormat="1" ht="12.75" customHeight="1">
      <c r="A1309" s="25" t="s">
        <v>746</v>
      </c>
      <c r="B1309" s="25" t="str">
        <f t="shared" si="620"/>
        <v>Reg Asset253042</v>
      </c>
      <c r="C1309" s="736">
        <v>253042</v>
      </c>
      <c r="D1309" s="738"/>
      <c r="F1309" s="41" t="str">
        <f t="shared" si="606"/>
        <v>DEF CREDITS-DARS INSURANCE PREMIUMS &amp; WARRANTIES</v>
      </c>
      <c r="G1309" s="41" t="s">
        <v>1572</v>
      </c>
      <c r="H1309" s="736" t="s">
        <v>1573</v>
      </c>
      <c r="I1309" s="25"/>
      <c r="J1309" s="25" t="str">
        <f t="shared" si="607"/>
        <v/>
      </c>
      <c r="K1309" s="442" t="str">
        <f t="shared" si="623"/>
        <v/>
      </c>
      <c r="L1309" s="736" t="s">
        <v>2441</v>
      </c>
      <c r="M1309" s="25" t="str">
        <f t="shared" si="624"/>
        <v>R</v>
      </c>
      <c r="N1309" s="25" t="str">
        <f>IF(L1309&lt;&gt;"",VLOOKUP(L1309,Categories!$B$2:$D$41,2,FALSE),IF(F1309&lt;&gt;"","No Cat",""))</f>
        <v>Rate Base</v>
      </c>
      <c r="O1309" s="25" t="str">
        <f>IF($L1309&lt;&gt;"",VLOOKUP($L1309,Categories!$B$2:$D$41,3,FALSE),IF($F1309&lt;&gt;"","No Cat",""))</f>
        <v>Deferred Debits &amp; Credits</v>
      </c>
      <c r="P1309" s="736" t="s">
        <v>2486</v>
      </c>
      <c r="Q1309" s="25" t="str">
        <f>VLOOKUP($P1309,Allocators!$B$7:$F$19,5,FALSE)</f>
        <v>Net Plant</v>
      </c>
      <c r="R1309" s="737">
        <f>VLOOKUP($P1309,Allocators!$B$7:$F$19,2,FALSE)</f>
        <v>0.74150000000000005</v>
      </c>
      <c r="S1309" s="737">
        <f>VLOOKUP($P1309,Allocators!$B$7:$F$19,3,FALSE)</f>
        <v>0.25850000000000001</v>
      </c>
      <c r="T1309" s="737" t="str">
        <f t="shared" si="625"/>
        <v>0.0%</v>
      </c>
      <c r="U1309" s="2">
        <f t="shared" si="626"/>
        <v>-8.7237475000000002E-3</v>
      </c>
      <c r="V1309" s="2">
        <f t="shared" si="627"/>
        <v>-3.0412525000000001E-3</v>
      </c>
      <c r="W1309" s="2">
        <f t="shared" si="628"/>
        <v>0</v>
      </c>
      <c r="X1309" s="2">
        <f t="shared" si="621"/>
        <v>-1.1764999999999999E-2</v>
      </c>
      <c r="Y1309" s="2" t="str">
        <f t="shared" si="629"/>
        <v/>
      </c>
      <c r="Z1309" s="2" t="str">
        <f t="shared" si="630"/>
        <v/>
      </c>
      <c r="AA1309" s="2" t="str">
        <f t="shared" si="631"/>
        <v/>
      </c>
      <c r="AB1309" s="2">
        <f t="shared" si="622"/>
        <v>0</v>
      </c>
      <c r="AC1309" s="625">
        <v>0</v>
      </c>
      <c r="AD1309" s="625">
        <v>0</v>
      </c>
      <c r="AE1309" s="625">
        <v>0</v>
      </c>
      <c r="AF1309" s="625">
        <v>0</v>
      </c>
      <c r="AG1309" s="625">
        <v>0</v>
      </c>
      <c r="AH1309" s="625">
        <v>0</v>
      </c>
      <c r="AI1309" s="625">
        <v>0</v>
      </c>
      <c r="AJ1309" s="625">
        <v>-0.14118</v>
      </c>
      <c r="AK1309" s="625">
        <v>0</v>
      </c>
      <c r="AL1309" s="625">
        <v>0</v>
      </c>
      <c r="AM1309" s="625">
        <v>0</v>
      </c>
      <c r="AN1309" s="625">
        <v>0</v>
      </c>
      <c r="AO1309" s="625">
        <v>0</v>
      </c>
      <c r="AP1309" s="41" t="str">
        <f t="shared" si="617"/>
        <v>Reg AssetR</v>
      </c>
      <c r="AQ1309" s="41" t="str">
        <f t="shared" si="618"/>
        <v>Reg AssetRR10DARS Insurance</v>
      </c>
      <c r="AR1309" s="41" t="str">
        <f t="shared" si="619"/>
        <v>R10DARS Insurance</v>
      </c>
      <c r="CK1309" s="625"/>
    </row>
    <row r="1310" spans="1:89" s="41" customFormat="1" ht="12.75" customHeight="1">
      <c r="A1310" s="442" t="s">
        <v>746</v>
      </c>
      <c r="B1310" s="442" t="str">
        <f t="shared" si="620"/>
        <v>Reg Asset253230AML-SERP</v>
      </c>
      <c r="C1310" s="736">
        <v>253230</v>
      </c>
      <c r="D1310" s="738" t="s">
        <v>1574</v>
      </c>
      <c r="E1310" s="626"/>
      <c r="F1310" s="626" t="str">
        <f t="shared" si="606"/>
        <v>OTHER DEFERRED CREDITS - PENSION LIABILITY</v>
      </c>
      <c r="G1310" s="626" t="s">
        <v>1575</v>
      </c>
      <c r="H1310" s="736" t="s">
        <v>1576</v>
      </c>
      <c r="I1310" s="442"/>
      <c r="J1310" s="442" t="str">
        <f t="shared" si="607"/>
        <v/>
      </c>
      <c r="K1310" s="442" t="str">
        <f t="shared" si="623"/>
        <v/>
      </c>
      <c r="L1310" s="736" t="s">
        <v>2427</v>
      </c>
      <c r="M1310" s="442" t="str">
        <f t="shared" si="624"/>
        <v>N</v>
      </c>
      <c r="N1310" s="442" t="str">
        <f>IF(L1310&lt;&gt;"",VLOOKUP(L1310,Categories!$B$2:$D$41,2,FALSE),IF(F1310&lt;&gt;"","No Cat",""))</f>
        <v>NRBASE</v>
      </c>
      <c r="O1310" s="442" t="str">
        <f>IF($L1310&lt;&gt;"",VLOOKUP($L1310,Categories!$B$2:$D$41,3,FALSE),IF($F1310&lt;&gt;"","No Cat",""))</f>
        <v>Hedges &amp; OCI</v>
      </c>
      <c r="P1310" s="736" t="s">
        <v>2468</v>
      </c>
      <c r="Q1310" s="442" t="str">
        <f>VLOOKUP($P1310,Allocators!$B$7:$F$19,5,FALSE)</f>
        <v>Not in Rate Base</v>
      </c>
      <c r="R1310" s="737">
        <f>VLOOKUP($P1310,Allocators!$B$7:$F$19,2,FALSE)</f>
        <v>0</v>
      </c>
      <c r="S1310" s="737">
        <f>VLOOKUP($P1310,Allocators!$B$7:$F$19,3,FALSE)</f>
        <v>0</v>
      </c>
      <c r="T1310" s="737">
        <f t="shared" si="625"/>
        <v>1</v>
      </c>
      <c r="U1310" s="2">
        <f t="shared" si="626"/>
        <v>0</v>
      </c>
      <c r="V1310" s="2">
        <f t="shared" si="627"/>
        <v>0</v>
      </c>
      <c r="W1310" s="2">
        <f t="shared" si="628"/>
        <v>-227.70998</v>
      </c>
      <c r="X1310" s="2">
        <f t="shared" si="621"/>
        <v>-227.70998</v>
      </c>
      <c r="Y1310" s="2">
        <f t="shared" si="629"/>
        <v>0</v>
      </c>
      <c r="Z1310" s="2">
        <f t="shared" si="630"/>
        <v>0</v>
      </c>
      <c r="AA1310" s="2">
        <f t="shared" si="631"/>
        <v>-227.70998</v>
      </c>
      <c r="AB1310" s="2">
        <f t="shared" si="622"/>
        <v>-227.70998</v>
      </c>
      <c r="AC1310" s="625">
        <v>-227.70998</v>
      </c>
      <c r="AD1310" s="625">
        <v>-227.70998</v>
      </c>
      <c r="AE1310" s="625">
        <v>-227.70998</v>
      </c>
      <c r="AF1310" s="625">
        <v>-227.70998</v>
      </c>
      <c r="AG1310" s="625">
        <v>-227.70998</v>
      </c>
      <c r="AH1310" s="625">
        <v>-227.70998</v>
      </c>
      <c r="AI1310" s="625">
        <v>-227.70998</v>
      </c>
      <c r="AJ1310" s="625">
        <v>-227.70998</v>
      </c>
      <c r="AK1310" s="625">
        <v>-227.70998</v>
      </c>
      <c r="AL1310" s="625">
        <v>-227.70998</v>
      </c>
      <c r="AM1310" s="625">
        <v>-227.70998</v>
      </c>
      <c r="AN1310" s="625">
        <v>-227.70998</v>
      </c>
      <c r="AO1310" s="625">
        <v>-227.70998</v>
      </c>
      <c r="AP1310" s="41" t="str">
        <f t="shared" si="617"/>
        <v>Reg AssetN</v>
      </c>
      <c r="AQ1310" s="41" t="str">
        <f t="shared" si="618"/>
        <v>Reg AssetNN5Fas 133</v>
      </c>
      <c r="AR1310" s="41" t="str">
        <f t="shared" si="619"/>
        <v>N5Fas 133</v>
      </c>
      <c r="CK1310" s="625"/>
    </row>
    <row r="1311" spans="1:89" s="41" customFormat="1" ht="12.75" customHeight="1">
      <c r="A1311" s="442" t="s">
        <v>746</v>
      </c>
      <c r="B1311" s="442" t="str">
        <f t="shared" si="620"/>
        <v>Reg Asset253230JL-EEMC Accrual</v>
      </c>
      <c r="C1311" s="736">
        <v>253230</v>
      </c>
      <c r="D1311" s="738" t="s">
        <v>1577</v>
      </c>
      <c r="E1311" s="626"/>
      <c r="F1311" s="626" t="str">
        <f t="shared" si="606"/>
        <v>OTHER DEFERRED CREDITS - PENSION LIABILITY</v>
      </c>
      <c r="G1311" s="626" t="s">
        <v>1578</v>
      </c>
      <c r="H1311" s="736" t="s">
        <v>810</v>
      </c>
      <c r="I1311" s="442"/>
      <c r="J1311" s="442" t="str">
        <f t="shared" si="607"/>
        <v/>
      </c>
      <c r="K1311" s="442" t="str">
        <f t="shared" si="623"/>
        <v/>
      </c>
      <c r="L1311" s="736" t="s">
        <v>2421</v>
      </c>
      <c r="M1311" s="442" t="str">
        <f t="shared" si="624"/>
        <v>N</v>
      </c>
      <c r="N1311" s="442" t="str">
        <f>IF(L1311&lt;&gt;"",VLOOKUP(L1311,Categories!$B$2:$D$41,2,FALSE),IF(F1311&lt;&gt;"","No Cat",""))</f>
        <v>NRBASE</v>
      </c>
      <c r="O1311" s="442" t="str">
        <f>IF($L1311&lt;&gt;"",VLOOKUP($L1311,Categories!$B$2:$D$41,3,FALSE),IF($F1311&lt;&gt;"","No Cat",""))</f>
        <v>Direct Assign Items Not in RB</v>
      </c>
      <c r="P1311" s="736" t="s">
        <v>2468</v>
      </c>
      <c r="Q1311" s="442" t="str">
        <f>VLOOKUP($P1311,Allocators!$B$7:$F$19,5,FALSE)</f>
        <v>Not in Rate Base</v>
      </c>
      <c r="R1311" s="737">
        <f>VLOOKUP($P1311,Allocators!$B$7:$F$19,2,FALSE)</f>
        <v>0</v>
      </c>
      <c r="S1311" s="737">
        <f>VLOOKUP($P1311,Allocators!$B$7:$F$19,3,FALSE)</f>
        <v>0</v>
      </c>
      <c r="T1311" s="737">
        <f t="shared" si="625"/>
        <v>1</v>
      </c>
      <c r="U1311" s="2">
        <f t="shared" si="626"/>
        <v>0</v>
      </c>
      <c r="V1311" s="2">
        <f t="shared" si="627"/>
        <v>0</v>
      </c>
      <c r="W1311" s="2">
        <f t="shared" si="628"/>
        <v>227.70998</v>
      </c>
      <c r="X1311" s="2">
        <f t="shared" si="621"/>
        <v>227.70998</v>
      </c>
      <c r="Y1311" s="2">
        <f t="shared" si="629"/>
        <v>0</v>
      </c>
      <c r="Z1311" s="2">
        <f t="shared" si="630"/>
        <v>0</v>
      </c>
      <c r="AA1311" s="2">
        <f t="shared" si="631"/>
        <v>227.70998</v>
      </c>
      <c r="AB1311" s="2">
        <f t="shared" si="622"/>
        <v>227.70998</v>
      </c>
      <c r="AC1311" s="625">
        <v>227.70998</v>
      </c>
      <c r="AD1311" s="625">
        <v>227.70998</v>
      </c>
      <c r="AE1311" s="625">
        <v>227.70998</v>
      </c>
      <c r="AF1311" s="625">
        <v>227.70998</v>
      </c>
      <c r="AG1311" s="625">
        <v>227.70998</v>
      </c>
      <c r="AH1311" s="625">
        <v>227.70998</v>
      </c>
      <c r="AI1311" s="625">
        <v>227.70998</v>
      </c>
      <c r="AJ1311" s="625">
        <v>227.70998</v>
      </c>
      <c r="AK1311" s="625">
        <v>227.70998</v>
      </c>
      <c r="AL1311" s="625">
        <v>227.70998</v>
      </c>
      <c r="AM1311" s="625">
        <v>227.70998</v>
      </c>
      <c r="AN1311" s="625">
        <v>227.70998</v>
      </c>
      <c r="AO1311" s="625">
        <v>227.70998</v>
      </c>
      <c r="AP1311" s="41" t="str">
        <f t="shared" si="617"/>
        <v>Reg AssetN</v>
      </c>
      <c r="AQ1311" s="41" t="str">
        <f t="shared" si="618"/>
        <v>Reg AssetNN2SERP</v>
      </c>
      <c r="AR1311" s="41" t="str">
        <f t="shared" si="619"/>
        <v>N2SERP</v>
      </c>
      <c r="CK1311" s="625"/>
    </row>
    <row r="1312" spans="1:89" s="41" customFormat="1" ht="12.75" customHeight="1">
      <c r="A1312" s="442" t="s">
        <v>746</v>
      </c>
      <c r="B1312" s="442" t="str">
        <f t="shared" si="620"/>
        <v>Reg Asset253237</v>
      </c>
      <c r="C1312" s="736">
        <v>253237</v>
      </c>
      <c r="D1312" s="738"/>
      <c r="E1312" s="626"/>
      <c r="F1312" s="626" t="str">
        <f t="shared" si="606"/>
        <v>DEF REV - ON-BILL PAYMENT PLAN - GREEN POWER</v>
      </c>
      <c r="G1312" s="626" t="s">
        <v>1579</v>
      </c>
      <c r="H1312" s="736">
        <v>0</v>
      </c>
      <c r="I1312" s="442"/>
      <c r="J1312" s="442" t="str">
        <f t="shared" si="607"/>
        <v/>
      </c>
      <c r="K1312" s="442" t="str">
        <f t="shared" si="623"/>
        <v/>
      </c>
      <c r="L1312" s="736" t="s">
        <v>2421</v>
      </c>
      <c r="M1312" s="442" t="str">
        <f t="shared" si="624"/>
        <v>N</v>
      </c>
      <c r="N1312" s="442" t="str">
        <f>IF(L1312&lt;&gt;"",VLOOKUP(L1312,Categories!$B$2:$D$41,2,FALSE),IF(F1312&lt;&gt;"","No Cat",""))</f>
        <v>NRBASE</v>
      </c>
      <c r="O1312" s="442" t="str">
        <f>IF($L1312&lt;&gt;"",VLOOKUP($L1312,Categories!$B$2:$D$41,3,FALSE),IF($F1312&lt;&gt;"","No Cat",""))</f>
        <v>Direct Assign Items Not in RB</v>
      </c>
      <c r="P1312" s="736" t="s">
        <v>2468</v>
      </c>
      <c r="Q1312" s="442" t="str">
        <f>VLOOKUP($P1312,Allocators!$B$7:$F$19,5,FALSE)</f>
        <v>Not in Rate Base</v>
      </c>
      <c r="R1312" s="737">
        <f>VLOOKUP($P1312,Allocators!$B$7:$F$19,2,FALSE)</f>
        <v>0</v>
      </c>
      <c r="S1312" s="737">
        <f>VLOOKUP($P1312,Allocators!$B$7:$F$19,3,FALSE)</f>
        <v>0</v>
      </c>
      <c r="T1312" s="737">
        <f t="shared" si="625"/>
        <v>1</v>
      </c>
      <c r="U1312" s="2">
        <f t="shared" si="626"/>
        <v>0</v>
      </c>
      <c r="V1312" s="2">
        <f t="shared" si="627"/>
        <v>0</v>
      </c>
      <c r="W1312" s="2">
        <f t="shared" si="628"/>
        <v>-2.27268916666667</v>
      </c>
      <c r="X1312" s="2">
        <f t="shared" si="621"/>
        <v>-2.27268916666667</v>
      </c>
      <c r="Y1312" s="2">
        <f t="shared" si="629"/>
        <v>0</v>
      </c>
      <c r="Z1312" s="2">
        <f t="shared" si="630"/>
        <v>0</v>
      </c>
      <c r="AA1312" s="2">
        <f t="shared" si="631"/>
        <v>-2.3869500000000001</v>
      </c>
      <c r="AB1312" s="2">
        <f t="shared" si="622"/>
        <v>-2.386950000000001</v>
      </c>
      <c r="AC1312" s="625">
        <v>-2.1856900000000001</v>
      </c>
      <c r="AD1312" s="625">
        <v>-2.2575000000000003</v>
      </c>
      <c r="AE1312" s="625">
        <v>-2.2436700000000007</v>
      </c>
      <c r="AF1312" s="625">
        <v>-2.2298400000000007</v>
      </c>
      <c r="AG1312" s="625">
        <v>-2.2891000000000008</v>
      </c>
      <c r="AH1312" s="625">
        <v>-2.2949500000000009</v>
      </c>
      <c r="AI1312" s="625">
        <v>-2.2806000000000006</v>
      </c>
      <c r="AJ1312" s="625">
        <v>-2.2662500000000008</v>
      </c>
      <c r="AK1312" s="625">
        <v>-2.2519000000000009</v>
      </c>
      <c r="AL1312" s="625">
        <v>-2.237550000000001</v>
      </c>
      <c r="AM1312" s="625">
        <v>-2.2792200000000014</v>
      </c>
      <c r="AN1312" s="625">
        <v>-2.3553700000000011</v>
      </c>
      <c r="AO1312" s="625">
        <v>-2.386950000000001</v>
      </c>
      <c r="AP1312" s="41" t="str">
        <f t="shared" si="617"/>
        <v>Reg AssetN</v>
      </c>
      <c r="AQ1312" s="41" t="str">
        <f t="shared" si="618"/>
        <v>Reg AssetNN20</v>
      </c>
      <c r="AR1312" s="41" t="str">
        <f t="shared" si="619"/>
        <v>N20</v>
      </c>
      <c r="CK1312" s="625"/>
    </row>
    <row r="1313" spans="1:89" s="41" customFormat="1" ht="12.75" customHeight="1">
      <c r="A1313" s="442" t="s">
        <v>746</v>
      </c>
      <c r="B1313" s="442" t="str">
        <f t="shared" si="620"/>
        <v>Reg Asset253340SERP</v>
      </c>
      <c r="C1313" s="736">
        <v>253340</v>
      </c>
      <c r="D1313" s="738" t="s">
        <v>810</v>
      </c>
      <c r="E1313" s="626"/>
      <c r="F1313" s="626" t="str">
        <f t="shared" si="606"/>
        <v>OTHER DEFERRED CREDITS - SERP/SRBP</v>
      </c>
      <c r="G1313" s="626" t="s">
        <v>1580</v>
      </c>
      <c r="H1313" s="736" t="s">
        <v>810</v>
      </c>
      <c r="I1313" s="442"/>
      <c r="J1313" s="442" t="str">
        <f t="shared" si="607"/>
        <v/>
      </c>
      <c r="K1313" s="442" t="str">
        <f t="shared" si="623"/>
        <v/>
      </c>
      <c r="L1313" s="736" t="s">
        <v>2421</v>
      </c>
      <c r="M1313" s="442" t="str">
        <f t="shared" si="624"/>
        <v>N</v>
      </c>
      <c r="N1313" s="442" t="str">
        <f>IF(L1313&lt;&gt;"",VLOOKUP(L1313,Categories!$B$2:$D$41,2,FALSE),IF(F1313&lt;&gt;"","No Cat",""))</f>
        <v>NRBASE</v>
      </c>
      <c r="O1313" s="442" t="str">
        <f>IF($L1313&lt;&gt;"",VLOOKUP($L1313,Categories!$B$2:$D$41,3,FALSE),IF($F1313&lt;&gt;"","No Cat",""))</f>
        <v>Direct Assign Items Not in RB</v>
      </c>
      <c r="P1313" s="736" t="s">
        <v>2468</v>
      </c>
      <c r="Q1313" s="442" t="str">
        <f>VLOOKUP($P1313,Allocators!$B$7:$F$19,5,FALSE)</f>
        <v>Not in Rate Base</v>
      </c>
      <c r="R1313" s="737">
        <f>VLOOKUP($P1313,Allocators!$B$7:$F$19,2,FALSE)</f>
        <v>0</v>
      </c>
      <c r="S1313" s="737">
        <f>VLOOKUP($P1313,Allocators!$B$7:$F$19,3,FALSE)</f>
        <v>0</v>
      </c>
      <c r="T1313" s="737">
        <f t="shared" si="625"/>
        <v>1</v>
      </c>
      <c r="U1313" s="2">
        <f t="shared" si="626"/>
        <v>0</v>
      </c>
      <c r="V1313" s="2">
        <f t="shared" si="627"/>
        <v>0</v>
      </c>
      <c r="W1313" s="2">
        <f t="shared" si="628"/>
        <v>-12225.565352916699</v>
      </c>
      <c r="X1313" s="2">
        <f t="shared" si="621"/>
        <v>-12225.565352916699</v>
      </c>
      <c r="Y1313" s="2">
        <f t="shared" si="629"/>
        <v>0</v>
      </c>
      <c r="Z1313" s="2">
        <f t="shared" si="630"/>
        <v>0</v>
      </c>
      <c r="AA1313" s="2">
        <f t="shared" si="631"/>
        <v>-13879.048269999999</v>
      </c>
      <c r="AB1313" s="2">
        <f t="shared" si="622"/>
        <v>-13879.048270000001</v>
      </c>
      <c r="AC1313" s="625">
        <v>-12733.815000000002</v>
      </c>
      <c r="AD1313" s="625">
        <v>-12783.12341</v>
      </c>
      <c r="AE1313" s="625">
        <v>-12832.43182</v>
      </c>
      <c r="AF1313" s="625">
        <v>-12225.241609999999</v>
      </c>
      <c r="AG1313" s="625">
        <v>-12274.550019999999</v>
      </c>
      <c r="AH1313" s="625">
        <v>-12323.85843</v>
      </c>
      <c r="AI1313" s="625">
        <v>-11901.45708</v>
      </c>
      <c r="AJ1313" s="625">
        <v>-11950.76549</v>
      </c>
      <c r="AK1313" s="625">
        <v>-12000.073900000001</v>
      </c>
      <c r="AL1313" s="625">
        <v>-11653.641870000001</v>
      </c>
      <c r="AM1313" s="625">
        <v>-11702.950280000001</v>
      </c>
      <c r="AN1313" s="625">
        <v>-11752.258690000001</v>
      </c>
      <c r="AO1313" s="625">
        <v>-13879.048270000001</v>
      </c>
      <c r="AP1313" s="41" t="str">
        <f t="shared" si="617"/>
        <v>Reg AssetN</v>
      </c>
      <c r="AQ1313" s="41" t="str">
        <f t="shared" si="618"/>
        <v>Reg AssetNN2SERP</v>
      </c>
      <c r="AR1313" s="41" t="str">
        <f t="shared" si="619"/>
        <v>N2SERP</v>
      </c>
      <c r="CK1313" s="625"/>
    </row>
    <row r="1314" spans="1:89" s="41" customFormat="1" ht="12.75" customHeight="1">
      <c r="A1314" s="442" t="s">
        <v>746</v>
      </c>
      <c r="B1314" s="442" t="str">
        <f t="shared" si="620"/>
        <v>Reg Asset253341</v>
      </c>
      <c r="C1314" s="736">
        <v>253341</v>
      </c>
      <c r="D1314" s="738"/>
      <c r="E1314" s="626"/>
      <c r="F1314" s="626" t="str">
        <f t="shared" si="606"/>
        <v>OTH DEF CREDITS-DEFERRED COMPENSATION</v>
      </c>
      <c r="G1314" s="626" t="s">
        <v>1581</v>
      </c>
      <c r="H1314" s="736" t="s">
        <v>1552</v>
      </c>
      <c r="I1314" s="442"/>
      <c r="J1314" s="442" t="str">
        <f t="shared" si="607"/>
        <v/>
      </c>
      <c r="K1314" s="442" t="str">
        <f t="shared" si="623"/>
        <v/>
      </c>
      <c r="L1314" s="736" t="s">
        <v>2421</v>
      </c>
      <c r="M1314" s="442" t="str">
        <f t="shared" si="624"/>
        <v>N</v>
      </c>
      <c r="N1314" s="442" t="str">
        <f>IF(L1314&lt;&gt;"",VLOOKUP(L1314,Categories!$B$2:$D$41,2,FALSE),IF(F1314&lt;&gt;"","No Cat",""))</f>
        <v>NRBASE</v>
      </c>
      <c r="O1314" s="442" t="str">
        <f>IF($L1314&lt;&gt;"",VLOOKUP($L1314,Categories!$B$2:$D$41,3,FALSE),IF($F1314&lt;&gt;"","No Cat",""))</f>
        <v>Direct Assign Items Not in RB</v>
      </c>
      <c r="P1314" s="736" t="s">
        <v>2468</v>
      </c>
      <c r="Q1314" s="442" t="str">
        <f>VLOOKUP($P1314,Allocators!$B$7:$F$19,5,FALSE)</f>
        <v>Not in Rate Base</v>
      </c>
      <c r="R1314" s="737">
        <f>VLOOKUP($P1314,Allocators!$B$7:$F$19,2,FALSE)</f>
        <v>0</v>
      </c>
      <c r="S1314" s="737">
        <f>VLOOKUP($P1314,Allocators!$B$7:$F$19,3,FALSE)</f>
        <v>0</v>
      </c>
      <c r="T1314" s="737">
        <f t="shared" si="625"/>
        <v>1</v>
      </c>
      <c r="U1314" s="2">
        <f t="shared" si="626"/>
        <v>0</v>
      </c>
      <c r="V1314" s="2">
        <f t="shared" si="627"/>
        <v>0</v>
      </c>
      <c r="W1314" s="2">
        <f t="shared" si="628"/>
        <v>-300.95049499999999</v>
      </c>
      <c r="X1314" s="2">
        <f t="shared" si="621"/>
        <v>-300.95049499999999</v>
      </c>
      <c r="Y1314" s="2">
        <f t="shared" si="629"/>
        <v>0</v>
      </c>
      <c r="Z1314" s="2">
        <f t="shared" si="630"/>
        <v>0</v>
      </c>
      <c r="AA1314" s="2">
        <f t="shared" si="631"/>
        <v>-387.16901999999999</v>
      </c>
      <c r="AB1314" s="2">
        <f t="shared" si="622"/>
        <v>-387.16901999999988</v>
      </c>
      <c r="AC1314" s="625">
        <v>-409.08435999999995</v>
      </c>
      <c r="AD1314" s="625">
        <v>-409.08435999999989</v>
      </c>
      <c r="AE1314" s="625">
        <v>-274.91054999999989</v>
      </c>
      <c r="AF1314" s="625">
        <v>-275.43285999999989</v>
      </c>
      <c r="AG1314" s="625">
        <v>-275.43285999999989</v>
      </c>
      <c r="AH1314" s="625">
        <v>-275.43285999999989</v>
      </c>
      <c r="AI1314" s="625">
        <v>-285.7829999999999</v>
      </c>
      <c r="AJ1314" s="625">
        <v>-285.7829999999999</v>
      </c>
      <c r="AK1314" s="625">
        <v>-285.7829999999999</v>
      </c>
      <c r="AL1314" s="625">
        <v>-281.87891999999988</v>
      </c>
      <c r="AM1314" s="625">
        <v>-281.87891999999988</v>
      </c>
      <c r="AN1314" s="625">
        <v>-281.87891999999988</v>
      </c>
      <c r="AO1314" s="625">
        <v>-387.16901999999988</v>
      </c>
      <c r="AP1314" s="41" t="str">
        <f t="shared" si="617"/>
        <v>Reg AssetN</v>
      </c>
      <c r="AQ1314" s="41" t="str">
        <f t="shared" si="618"/>
        <v>Reg AssetNN2Deferred Compensation</v>
      </c>
      <c r="AR1314" s="41" t="str">
        <f t="shared" si="619"/>
        <v>N2Deferred Compensation</v>
      </c>
      <c r="CK1314" s="625"/>
    </row>
    <row r="1315" spans="1:89" s="41" customFormat="1" ht="12.75" customHeight="1">
      <c r="A1315" s="442" t="s">
        <v>746</v>
      </c>
      <c r="B1315" s="442" t="str">
        <f t="shared" si="620"/>
        <v>Reg Asset253355</v>
      </c>
      <c r="C1315" s="736">
        <v>253355</v>
      </c>
      <c r="D1315" s="738"/>
      <c r="E1315" s="626"/>
      <c r="F1315" s="626" t="str">
        <f t="shared" si="606"/>
        <v>OTH DEF CREDITS-RATE CASE ISSUES</v>
      </c>
      <c r="G1315" s="626" t="s">
        <v>1582</v>
      </c>
      <c r="H1315" s="736" t="s">
        <v>1583</v>
      </c>
      <c r="I1315" s="442"/>
      <c r="J1315" s="442" t="str">
        <f t="shared" si="607"/>
        <v/>
      </c>
      <c r="K1315" s="442" t="str">
        <f t="shared" si="623"/>
        <v/>
      </c>
      <c r="L1315" s="736" t="s">
        <v>2421</v>
      </c>
      <c r="M1315" s="442" t="str">
        <f t="shared" si="624"/>
        <v>N</v>
      </c>
      <c r="N1315" s="442" t="str">
        <f>IF(L1315&lt;&gt;"",VLOOKUP(L1315,Categories!$B$2:$D$41,2,FALSE),IF(F1315&lt;&gt;"","No Cat",""))</f>
        <v>NRBASE</v>
      </c>
      <c r="O1315" s="442" t="str">
        <f>IF($L1315&lt;&gt;"",VLOOKUP($L1315,Categories!$B$2:$D$41,3,FALSE),IF($F1315&lt;&gt;"","No Cat",""))</f>
        <v>Direct Assign Items Not in RB</v>
      </c>
      <c r="P1315" s="736" t="s">
        <v>2468</v>
      </c>
      <c r="Q1315" s="442" t="str">
        <f>VLOOKUP($P1315,Allocators!$B$7:$F$19,5,FALSE)</f>
        <v>Not in Rate Base</v>
      </c>
      <c r="R1315" s="737">
        <f>VLOOKUP($P1315,Allocators!$B$7:$F$19,2,FALSE)</f>
        <v>0</v>
      </c>
      <c r="S1315" s="737">
        <f>VLOOKUP($P1315,Allocators!$B$7:$F$19,3,FALSE)</f>
        <v>0</v>
      </c>
      <c r="T1315" s="737">
        <f t="shared" si="625"/>
        <v>1</v>
      </c>
      <c r="U1315" s="2">
        <f t="shared" si="626"/>
        <v>0</v>
      </c>
      <c r="V1315" s="2">
        <f t="shared" si="627"/>
        <v>0</v>
      </c>
      <c r="W1315" s="2">
        <f t="shared" si="628"/>
        <v>-1500</v>
      </c>
      <c r="X1315" s="2">
        <f t="shared" si="621"/>
        <v>-1500</v>
      </c>
      <c r="Y1315" s="2">
        <f t="shared" si="629"/>
        <v>0</v>
      </c>
      <c r="Z1315" s="2">
        <f t="shared" si="630"/>
        <v>0</v>
      </c>
      <c r="AA1315" s="2">
        <f t="shared" si="631"/>
        <v>-1500</v>
      </c>
      <c r="AB1315" s="2">
        <f t="shared" si="622"/>
        <v>-1500</v>
      </c>
      <c r="AC1315" s="625">
        <v>-1500</v>
      </c>
      <c r="AD1315" s="625">
        <v>-1500</v>
      </c>
      <c r="AE1315" s="625">
        <v>-1500</v>
      </c>
      <c r="AF1315" s="625">
        <v>-1500</v>
      </c>
      <c r="AG1315" s="625">
        <v>-1500</v>
      </c>
      <c r="AH1315" s="625">
        <v>-1500</v>
      </c>
      <c r="AI1315" s="625">
        <v>-1500</v>
      </c>
      <c r="AJ1315" s="625">
        <v>-1500</v>
      </c>
      <c r="AK1315" s="625">
        <v>-1500</v>
      </c>
      <c r="AL1315" s="625">
        <v>-1500</v>
      </c>
      <c r="AM1315" s="625">
        <v>-1500</v>
      </c>
      <c r="AN1315" s="625">
        <v>-1500</v>
      </c>
      <c r="AO1315" s="625">
        <v>-1500</v>
      </c>
      <c r="AP1315" s="41" t="str">
        <f t="shared" si="617"/>
        <v>Reg AssetN</v>
      </c>
      <c r="AQ1315" s="41" t="str">
        <f t="shared" si="618"/>
        <v>Reg AssetNN2Regulatory Reserve</v>
      </c>
      <c r="AR1315" s="41" t="str">
        <f t="shared" si="619"/>
        <v>N2Regulatory Reserve</v>
      </c>
      <c r="CK1315" s="625"/>
    </row>
    <row r="1316" spans="1:89" s="41" customFormat="1" ht="12.75" customHeight="1">
      <c r="A1316" s="25" t="s">
        <v>746</v>
      </c>
      <c r="B1316" s="25" t="str">
        <f t="shared" si="620"/>
        <v>Reg Asset253520</v>
      </c>
      <c r="C1316" s="736">
        <v>253520</v>
      </c>
      <c r="D1316" s="738"/>
      <c r="F1316" s="41" t="str">
        <f t="shared" si="606"/>
        <v>DEF CREDITS - FERC 636 TRANSITION COSTS</v>
      </c>
      <c r="G1316" s="41" t="s">
        <v>1584</v>
      </c>
      <c r="H1316" s="736" t="s">
        <v>1137</v>
      </c>
      <c r="I1316" s="25"/>
      <c r="J1316" s="25" t="str">
        <f t="shared" si="607"/>
        <v/>
      </c>
      <c r="K1316" s="442" t="str">
        <f t="shared" si="623"/>
        <v/>
      </c>
      <c r="L1316" s="736" t="s">
        <v>2441</v>
      </c>
      <c r="M1316" s="25" t="str">
        <f t="shared" si="624"/>
        <v>R</v>
      </c>
      <c r="N1316" s="25" t="str">
        <f>IF(L1316&lt;&gt;"",VLOOKUP(L1316,Categories!$B$2:$D$41,2,FALSE),IF(F1316&lt;&gt;"","No Cat",""))</f>
        <v>Rate Base</v>
      </c>
      <c r="O1316" s="25" t="str">
        <f>IF($L1316&lt;&gt;"",VLOOKUP($L1316,Categories!$B$2:$D$41,3,FALSE),IF($F1316&lt;&gt;"","No Cat",""))</f>
        <v>Deferred Debits &amp; Credits</v>
      </c>
      <c r="P1316" s="736" t="s">
        <v>2483</v>
      </c>
      <c r="Q1316" s="25" t="str">
        <f>VLOOKUP($P1316,Allocators!$B$7:$F$19,5,FALSE)</f>
        <v>Gas</v>
      </c>
      <c r="R1316" s="737">
        <f>VLOOKUP($P1316,Allocators!$B$7:$F$19,2,FALSE)</f>
        <v>0</v>
      </c>
      <c r="S1316" s="737">
        <f>VLOOKUP($P1316,Allocators!$B$7:$F$19,3,FALSE)</f>
        <v>1</v>
      </c>
      <c r="T1316" s="737" t="str">
        <f t="shared" si="625"/>
        <v>0.0%</v>
      </c>
      <c r="U1316" s="2" t="str">
        <f t="shared" si="626"/>
        <v/>
      </c>
      <c r="V1316" s="2" t="str">
        <f t="shared" si="627"/>
        <v/>
      </c>
      <c r="W1316" s="2" t="str">
        <f t="shared" si="628"/>
        <v/>
      </c>
      <c r="X1316" s="2">
        <f t="shared" si="621"/>
        <v>0</v>
      </c>
      <c r="Y1316" s="2" t="str">
        <f t="shared" si="629"/>
        <v/>
      </c>
      <c r="Z1316" s="2" t="str">
        <f t="shared" si="630"/>
        <v/>
      </c>
      <c r="AA1316" s="2" t="str">
        <f t="shared" si="631"/>
        <v/>
      </c>
      <c r="AB1316" s="2">
        <f t="shared" si="622"/>
        <v>0</v>
      </c>
      <c r="AC1316" s="625">
        <v>0</v>
      </c>
      <c r="AD1316" s="625">
        <v>0</v>
      </c>
      <c r="AE1316" s="625">
        <v>0</v>
      </c>
      <c r="AF1316" s="625">
        <v>0</v>
      </c>
      <c r="AG1316" s="625">
        <v>0</v>
      </c>
      <c r="AH1316" s="625">
        <v>0</v>
      </c>
      <c r="AI1316" s="625">
        <v>0</v>
      </c>
      <c r="AJ1316" s="625">
        <v>0</v>
      </c>
      <c r="AK1316" s="625">
        <v>0</v>
      </c>
      <c r="AL1316" s="625">
        <v>0</v>
      </c>
      <c r="AM1316" s="625">
        <v>0</v>
      </c>
      <c r="AN1316" s="625">
        <v>0</v>
      </c>
      <c r="AO1316" s="625">
        <v>0</v>
      </c>
      <c r="AP1316" s="41" t="str">
        <f t="shared" si="617"/>
        <v>Reg AssetR</v>
      </c>
      <c r="AQ1316" s="41" t="str">
        <f t="shared" si="618"/>
        <v>Reg AssetRR10FERC 636</v>
      </c>
      <c r="AR1316" s="41" t="str">
        <f t="shared" si="619"/>
        <v>R10FERC 636</v>
      </c>
      <c r="CK1316" s="625"/>
    </row>
    <row r="1317" spans="1:89" s="41" customFormat="1" ht="12.75" customHeight="1">
      <c r="A1317" s="25" t="s">
        <v>746</v>
      </c>
      <c r="B1317" s="25" t="str">
        <f t="shared" si="620"/>
        <v>Reg Asset253560</v>
      </c>
      <c r="C1317" s="736">
        <v>253560</v>
      </c>
      <c r="D1317" s="738"/>
      <c r="F1317" s="41" t="str">
        <f t="shared" si="606"/>
        <v>DEF CREDITS - FAS 112 POSTEMPL BEN LIAB</v>
      </c>
      <c r="G1317" s="41" t="s">
        <v>1585</v>
      </c>
      <c r="H1317" s="736" t="s">
        <v>1586</v>
      </c>
      <c r="I1317" s="25"/>
      <c r="J1317" s="25" t="str">
        <f t="shared" si="607"/>
        <v/>
      </c>
      <c r="K1317" s="442" t="str">
        <f t="shared" si="623"/>
        <v/>
      </c>
      <c r="L1317" s="736" t="s">
        <v>2441</v>
      </c>
      <c r="M1317" s="25" t="str">
        <f t="shared" si="624"/>
        <v>R</v>
      </c>
      <c r="N1317" s="25" t="str">
        <f>IF(L1317&lt;&gt;"",VLOOKUP(L1317,Categories!$B$2:$D$41,2,FALSE),IF(F1317&lt;&gt;"","No Cat",""))</f>
        <v>Rate Base</v>
      </c>
      <c r="O1317" s="25" t="str">
        <f>IF($L1317&lt;&gt;"",VLOOKUP($L1317,Categories!$B$2:$D$41,3,FALSE),IF($F1317&lt;&gt;"","No Cat",""))</f>
        <v>Deferred Debits &amp; Credits</v>
      </c>
      <c r="P1317" s="736" t="s">
        <v>2487</v>
      </c>
      <c r="Q1317" s="25" t="str">
        <f>VLOOKUP($P1317,Allocators!$B$7:$F$19,5,FALSE)</f>
        <v>Payroll</v>
      </c>
      <c r="R1317" s="737">
        <f>VLOOKUP($P1317,Allocators!$B$7:$F$19,2,FALSE)</f>
        <v>0.61780000000000002</v>
      </c>
      <c r="S1317" s="737">
        <f>VLOOKUP($P1317,Allocators!$B$7:$F$19,3,FALSE)</f>
        <v>0.38219999999999998</v>
      </c>
      <c r="T1317" s="737" t="str">
        <f t="shared" si="625"/>
        <v>0.0%</v>
      </c>
      <c r="U1317" s="2">
        <f t="shared" si="626"/>
        <v>-704.00635399199996</v>
      </c>
      <c r="V1317" s="2">
        <f t="shared" si="627"/>
        <v>-435.531286008</v>
      </c>
      <c r="W1317" s="2">
        <f t="shared" si="628"/>
        <v>0</v>
      </c>
      <c r="X1317" s="2">
        <f t="shared" si="621"/>
        <v>-1139.53764</v>
      </c>
      <c r="Y1317" s="2">
        <f t="shared" si="629"/>
        <v>-704.00635399199996</v>
      </c>
      <c r="Z1317" s="2">
        <f t="shared" si="630"/>
        <v>-435.531286008</v>
      </c>
      <c r="AA1317" s="2">
        <f t="shared" si="631"/>
        <v>0</v>
      </c>
      <c r="AB1317" s="2">
        <f t="shared" si="622"/>
        <v>-1139.53764</v>
      </c>
      <c r="AC1317" s="625">
        <v>-1139.53764</v>
      </c>
      <c r="AD1317" s="625">
        <v>-1139.53764</v>
      </c>
      <c r="AE1317" s="625">
        <v>-1139.53764</v>
      </c>
      <c r="AF1317" s="625">
        <v>-1139.53764</v>
      </c>
      <c r="AG1317" s="625">
        <v>-1139.53764</v>
      </c>
      <c r="AH1317" s="625">
        <v>-1139.53764</v>
      </c>
      <c r="AI1317" s="625">
        <v>-1139.53764</v>
      </c>
      <c r="AJ1317" s="625">
        <v>-1139.53764</v>
      </c>
      <c r="AK1317" s="625">
        <v>-1139.53764</v>
      </c>
      <c r="AL1317" s="625">
        <v>-1139.53764</v>
      </c>
      <c r="AM1317" s="625">
        <v>-1139.53764</v>
      </c>
      <c r="AN1317" s="625">
        <v>-1139.53764</v>
      </c>
      <c r="AO1317" s="625">
        <v>-1139.53764</v>
      </c>
      <c r="AP1317" s="41" t="str">
        <f t="shared" si="617"/>
        <v>Reg AssetR</v>
      </c>
      <c r="AQ1317" s="41" t="str">
        <f t="shared" si="618"/>
        <v>Reg AssetRR10FAS 112</v>
      </c>
      <c r="AR1317" s="41" t="str">
        <f t="shared" si="619"/>
        <v>R10FAS 112</v>
      </c>
      <c r="CK1317" s="625"/>
    </row>
    <row r="1318" spans="1:89" s="41" customFormat="1" ht="12.75" customHeight="1">
      <c r="A1318" s="442" t="s">
        <v>746</v>
      </c>
      <c r="B1318" s="442" t="str">
        <f t="shared" si="620"/>
        <v>Reg Asset253561</v>
      </c>
      <c r="C1318" s="736">
        <v>253561</v>
      </c>
      <c r="D1318" s="738"/>
      <c r="E1318" s="626"/>
      <c r="F1318" s="41" t="str">
        <f t="shared" si="606"/>
        <v>DEF CREDITS - FAS 112 POSTEMPL BEN LIAB</v>
      </c>
      <c r="G1318" s="626" t="s">
        <v>4070</v>
      </c>
      <c r="H1318" s="736" t="s">
        <v>1586</v>
      </c>
      <c r="I1318" s="442"/>
      <c r="J1318" s="442"/>
      <c r="K1318" s="442" t="str">
        <f t="shared" si="623"/>
        <v/>
      </c>
      <c r="L1318" s="736" t="s">
        <v>2441</v>
      </c>
      <c r="M1318" s="442" t="str">
        <f t="shared" si="624"/>
        <v>R</v>
      </c>
      <c r="N1318" s="442" t="str">
        <f>IF(L1318&lt;&gt;"",VLOOKUP(L1318,Categories!$B$2:$D$41,2,FALSE),IF(F1318&lt;&gt;"","No Cat",""))</f>
        <v>Rate Base</v>
      </c>
      <c r="O1318" s="442" t="str">
        <f>IF($L1318&lt;&gt;"",VLOOKUP($L1318,Categories!$B$2:$D$41,3,FALSE),IF($F1318&lt;&gt;"","No Cat",""))</f>
        <v>Deferred Debits &amp; Credits</v>
      </c>
      <c r="P1318" s="736" t="s">
        <v>2487</v>
      </c>
      <c r="Q1318" s="442" t="str">
        <f>VLOOKUP($P1318,Allocators!$B$7:$F$19,5,FALSE)</f>
        <v>Payroll</v>
      </c>
      <c r="R1318" s="737">
        <f>VLOOKUP($P1318,Allocators!$B$7:$F$19,2,FALSE)</f>
        <v>0.61780000000000002</v>
      </c>
      <c r="S1318" s="737">
        <f>VLOOKUP($P1318,Allocators!$B$7:$F$19,3,FALSE)</f>
        <v>0.38219999999999998</v>
      </c>
      <c r="T1318" s="737" t="str">
        <f t="shared" si="625"/>
        <v>0.0%</v>
      </c>
      <c r="U1318" s="2">
        <f t="shared" si="626"/>
        <v>-826.21204938516905</v>
      </c>
      <c r="V1318" s="2">
        <f t="shared" si="627"/>
        <v>-511.13344978150099</v>
      </c>
      <c r="W1318" s="2">
        <f t="shared" si="628"/>
        <v>0</v>
      </c>
      <c r="X1318" s="2">
        <f t="shared" si="621"/>
        <v>-1337.3454991666699</v>
      </c>
      <c r="Y1318" s="2">
        <f t="shared" si="629"/>
        <v>-612.48692000000005</v>
      </c>
      <c r="Z1318" s="2">
        <f t="shared" si="630"/>
        <v>-378.91307999999998</v>
      </c>
      <c r="AA1318" s="2">
        <f t="shared" si="631"/>
        <v>0</v>
      </c>
      <c r="AB1318" s="2">
        <f t="shared" si="622"/>
        <v>-991.39999999999964</v>
      </c>
      <c r="AC1318" s="625">
        <v>-1320.6</v>
      </c>
      <c r="AD1318" s="625">
        <v>-1327.1436699999999</v>
      </c>
      <c r="AE1318" s="625">
        <v>-1332.3233499999999</v>
      </c>
      <c r="AF1318" s="625">
        <v>-1337.1533399999998</v>
      </c>
      <c r="AG1318" s="625">
        <v>-1342.7684699999998</v>
      </c>
      <c r="AH1318" s="625">
        <v>-1348.3026099999997</v>
      </c>
      <c r="AI1318" s="625">
        <v>-1353.9905099999996</v>
      </c>
      <c r="AJ1318" s="625">
        <v>-1361.0671299999997</v>
      </c>
      <c r="AK1318" s="625">
        <v>-1365.9214899999997</v>
      </c>
      <c r="AL1318" s="625">
        <v>-1369.4791599999996</v>
      </c>
      <c r="AM1318" s="625">
        <v>-1376.4356599999996</v>
      </c>
      <c r="AN1318" s="625">
        <v>-1377.5605999999996</v>
      </c>
      <c r="AO1318" s="625">
        <v>-991.39999999999964</v>
      </c>
      <c r="AP1318" s="41" t="str">
        <f t="shared" si="617"/>
        <v>Reg AssetR</v>
      </c>
      <c r="AQ1318" s="41" t="str">
        <f t="shared" si="618"/>
        <v>Reg AssetRR10FAS 112</v>
      </c>
      <c r="AR1318" s="41" t="str">
        <f t="shared" si="619"/>
        <v>R10FAS 112</v>
      </c>
      <c r="CK1318" s="625"/>
    </row>
    <row r="1319" spans="1:89" s="41" customFormat="1" ht="12.75" customHeight="1">
      <c r="A1319" s="25" t="s">
        <v>746</v>
      </c>
      <c r="B1319" s="25" t="str">
        <f t="shared" si="620"/>
        <v>Reg Asset253800</v>
      </c>
      <c r="C1319" s="736">
        <v>253800</v>
      </c>
      <c r="D1319" s="738"/>
      <c r="F1319" s="41" t="str">
        <f t="shared" si="606"/>
        <v>OTHER DEFERRED CREDITS - IEE STOCK OPTION</v>
      </c>
      <c r="G1319" s="41" t="s">
        <v>1587</v>
      </c>
      <c r="H1319" s="736">
        <v>0</v>
      </c>
      <c r="I1319" s="25"/>
      <c r="J1319" s="25" t="str">
        <f t="shared" si="607"/>
        <v/>
      </c>
      <c r="K1319" s="442" t="str">
        <f t="shared" si="623"/>
        <v/>
      </c>
      <c r="L1319" s="736" t="s">
        <v>2441</v>
      </c>
      <c r="M1319" s="25" t="str">
        <f t="shared" si="624"/>
        <v>R</v>
      </c>
      <c r="N1319" s="25" t="str">
        <f>IF(L1319&lt;&gt;"",VLOOKUP(L1319,Categories!$B$2:$D$41,2,FALSE),IF(F1319&lt;&gt;"","No Cat",""))</f>
        <v>Rate Base</v>
      </c>
      <c r="O1319" s="25" t="str">
        <f>IF($L1319&lt;&gt;"",VLOOKUP($L1319,Categories!$B$2:$D$41,3,FALSE),IF($F1319&lt;&gt;"","No Cat",""))</f>
        <v>Deferred Debits &amp; Credits</v>
      </c>
      <c r="P1319" s="736" t="s">
        <v>2487</v>
      </c>
      <c r="Q1319" s="25" t="str">
        <f>VLOOKUP($P1319,Allocators!$B$7:$F$19,5,FALSE)</f>
        <v>Payroll</v>
      </c>
      <c r="R1319" s="737">
        <f>VLOOKUP($P1319,Allocators!$B$7:$F$19,2,FALSE)</f>
        <v>0.61780000000000002</v>
      </c>
      <c r="S1319" s="737">
        <f>VLOOKUP($P1319,Allocators!$B$7:$F$19,3,FALSE)</f>
        <v>0.38219999999999998</v>
      </c>
      <c r="T1319" s="737" t="str">
        <f t="shared" si="625"/>
        <v>0.0%</v>
      </c>
      <c r="U1319" s="2" t="str">
        <f t="shared" si="626"/>
        <v/>
      </c>
      <c r="V1319" s="2" t="str">
        <f t="shared" si="627"/>
        <v/>
      </c>
      <c r="W1319" s="2" t="str">
        <f t="shared" si="628"/>
        <v/>
      </c>
      <c r="X1319" s="2">
        <f t="shared" si="621"/>
        <v>0</v>
      </c>
      <c r="Y1319" s="2" t="str">
        <f t="shared" si="629"/>
        <v/>
      </c>
      <c r="Z1319" s="2" t="str">
        <f t="shared" si="630"/>
        <v/>
      </c>
      <c r="AA1319" s="2" t="str">
        <f t="shared" si="631"/>
        <v/>
      </c>
      <c r="AB1319" s="2">
        <f t="shared" si="622"/>
        <v>0</v>
      </c>
      <c r="AC1319" s="625">
        <v>0</v>
      </c>
      <c r="AD1319" s="625">
        <v>0</v>
      </c>
      <c r="AE1319" s="625"/>
      <c r="AF1319" s="625">
        <v>0</v>
      </c>
      <c r="AH1319" s="625">
        <v>0</v>
      </c>
      <c r="AI1319" s="625">
        <v>0</v>
      </c>
      <c r="AJ1319" s="625">
        <v>0</v>
      </c>
      <c r="AL1319" s="625">
        <v>0</v>
      </c>
      <c r="AM1319" s="625">
        <v>0</v>
      </c>
      <c r="AN1319" s="625">
        <v>0</v>
      </c>
      <c r="AO1319" s="625">
        <v>0</v>
      </c>
      <c r="AP1319" s="41" t="str">
        <f t="shared" si="617"/>
        <v>Reg AssetR</v>
      </c>
      <c r="AQ1319" s="41" t="str">
        <f t="shared" si="618"/>
        <v>Reg AssetRR100</v>
      </c>
      <c r="AR1319" s="41" t="str">
        <f t="shared" si="619"/>
        <v>R100</v>
      </c>
      <c r="CK1319" s="625"/>
    </row>
    <row r="1320" spans="1:89" s="41" customFormat="1" ht="12.75" customHeight="1">
      <c r="A1320" s="25" t="s">
        <v>746</v>
      </c>
      <c r="B1320" s="25" t="str">
        <f t="shared" si="620"/>
        <v>Reg Asset253910</v>
      </c>
      <c r="C1320" s="736">
        <v>253910</v>
      </c>
      <c r="D1320" s="738"/>
      <c r="F1320" s="41" t="str">
        <f t="shared" si="606"/>
        <v>OTHER DEF CREDITS-PRE CAP ASSET INSTALLATION-ELEC</v>
      </c>
      <c r="G1320" s="41" t="s">
        <v>1588</v>
      </c>
      <c r="H1320" s="736" t="s">
        <v>1199</v>
      </c>
      <c r="I1320" s="25"/>
      <c r="J1320" s="25" t="str">
        <f t="shared" si="607"/>
        <v/>
      </c>
      <c r="K1320" s="442" t="str">
        <f t="shared" si="623"/>
        <v/>
      </c>
      <c r="L1320" s="736" t="s">
        <v>2441</v>
      </c>
      <c r="M1320" s="25" t="str">
        <f t="shared" si="624"/>
        <v>R</v>
      </c>
      <c r="N1320" s="25" t="str">
        <f>IF(L1320&lt;&gt;"",VLOOKUP(L1320,Categories!$B$2:$D$41,2,FALSE),IF(F1320&lt;&gt;"","No Cat",""))</f>
        <v>Rate Base</v>
      </c>
      <c r="O1320" s="25" t="str">
        <f>IF($L1320&lt;&gt;"",VLOOKUP($L1320,Categories!$B$2:$D$41,3,FALSE),IF($F1320&lt;&gt;"","No Cat",""))</f>
        <v>Deferred Debits &amp; Credits</v>
      </c>
      <c r="P1320" s="736" t="s">
        <v>2482</v>
      </c>
      <c r="Q1320" s="25" t="str">
        <f>VLOOKUP($P1320,Allocators!$B$7:$F$19,5,FALSE)</f>
        <v>Electric</v>
      </c>
      <c r="R1320" s="737">
        <f>VLOOKUP($P1320,Allocators!$B$7:$F$19,2,FALSE)</f>
        <v>1</v>
      </c>
      <c r="S1320" s="737">
        <f>VLOOKUP($P1320,Allocators!$B$7:$F$19,3,FALSE)</f>
        <v>0</v>
      </c>
      <c r="T1320" s="737" t="str">
        <f t="shared" si="625"/>
        <v>0.0%</v>
      </c>
      <c r="U1320" s="2" t="str">
        <f t="shared" si="626"/>
        <v/>
      </c>
      <c r="V1320" s="2" t="str">
        <f t="shared" si="627"/>
        <v/>
      </c>
      <c r="W1320" s="2" t="str">
        <f t="shared" si="628"/>
        <v/>
      </c>
      <c r="X1320" s="2">
        <f t="shared" si="621"/>
        <v>0</v>
      </c>
      <c r="Y1320" s="2" t="str">
        <f t="shared" si="629"/>
        <v/>
      </c>
      <c r="Z1320" s="2" t="str">
        <f t="shared" si="630"/>
        <v/>
      </c>
      <c r="AA1320" s="2" t="str">
        <f t="shared" si="631"/>
        <v/>
      </c>
      <c r="AB1320" s="2">
        <f t="shared" si="622"/>
        <v>0</v>
      </c>
      <c r="AC1320" s="625">
        <v>0</v>
      </c>
      <c r="AD1320" s="625">
        <v>0</v>
      </c>
      <c r="AE1320" s="625"/>
      <c r="AF1320" s="625">
        <v>0</v>
      </c>
      <c r="AH1320" s="625">
        <v>0</v>
      </c>
      <c r="AI1320" s="625">
        <v>0</v>
      </c>
      <c r="AJ1320" s="625">
        <v>0</v>
      </c>
      <c r="AL1320" s="625">
        <v>0</v>
      </c>
      <c r="AM1320" s="625">
        <v>0</v>
      </c>
      <c r="AN1320" s="625">
        <v>0</v>
      </c>
      <c r="AO1320" s="625">
        <v>0</v>
      </c>
      <c r="AP1320" s="41" t="str">
        <f t="shared" si="617"/>
        <v>Reg AssetR</v>
      </c>
      <c r="AQ1320" s="41" t="str">
        <f t="shared" si="618"/>
        <v>Reg AssetRR10Pre-Capitalized Installation Costs</v>
      </c>
      <c r="AR1320" s="41" t="str">
        <f t="shared" si="619"/>
        <v>R10Pre-Capitalized Installation Costs</v>
      </c>
      <c r="CK1320" s="625"/>
    </row>
    <row r="1321" spans="1:89" s="41" customFormat="1" ht="12.75" customHeight="1">
      <c r="A1321" s="25" t="s">
        <v>746</v>
      </c>
      <c r="B1321" s="25" t="str">
        <f t="shared" si="620"/>
        <v>Reg Asset253930</v>
      </c>
      <c r="C1321" s="736">
        <v>253930</v>
      </c>
      <c r="D1321" s="738"/>
      <c r="F1321" s="41" t="str">
        <f t="shared" si="606"/>
        <v>OTHER DEF CREDITS-PRE CAP ASSET INSTALLATION-GAS</v>
      </c>
      <c r="G1321" s="41" t="s">
        <v>1589</v>
      </c>
      <c r="H1321" s="736" t="s">
        <v>1199</v>
      </c>
      <c r="I1321" s="25"/>
      <c r="J1321" s="25" t="str">
        <f t="shared" si="607"/>
        <v/>
      </c>
      <c r="K1321" s="442" t="str">
        <f t="shared" si="623"/>
        <v/>
      </c>
      <c r="L1321" s="736" t="s">
        <v>2441</v>
      </c>
      <c r="M1321" s="25" t="str">
        <f t="shared" si="624"/>
        <v>R</v>
      </c>
      <c r="N1321" s="25" t="str">
        <f>IF(L1321&lt;&gt;"",VLOOKUP(L1321,Categories!$B$2:$D$41,2,FALSE),IF(F1321&lt;&gt;"","No Cat",""))</f>
        <v>Rate Base</v>
      </c>
      <c r="O1321" s="25" t="str">
        <f>IF($L1321&lt;&gt;"",VLOOKUP($L1321,Categories!$B$2:$D$41,3,FALSE),IF($F1321&lt;&gt;"","No Cat",""))</f>
        <v>Deferred Debits &amp; Credits</v>
      </c>
      <c r="P1321" s="736" t="s">
        <v>2483</v>
      </c>
      <c r="Q1321" s="25" t="str">
        <f>VLOOKUP($P1321,Allocators!$B$7:$F$19,5,FALSE)</f>
        <v>Gas</v>
      </c>
      <c r="R1321" s="737">
        <f>VLOOKUP($P1321,Allocators!$B$7:$F$19,2,FALSE)</f>
        <v>0</v>
      </c>
      <c r="S1321" s="737">
        <f>VLOOKUP($P1321,Allocators!$B$7:$F$19,3,FALSE)</f>
        <v>1</v>
      </c>
      <c r="T1321" s="737" t="str">
        <f t="shared" si="625"/>
        <v>0.0%</v>
      </c>
      <c r="U1321" s="2" t="str">
        <f t="shared" si="626"/>
        <v/>
      </c>
      <c r="V1321" s="2" t="str">
        <f t="shared" si="627"/>
        <v/>
      </c>
      <c r="W1321" s="2" t="str">
        <f t="shared" si="628"/>
        <v/>
      </c>
      <c r="X1321" s="2">
        <f t="shared" si="621"/>
        <v>0</v>
      </c>
      <c r="Y1321" s="2" t="str">
        <f t="shared" si="629"/>
        <v/>
      </c>
      <c r="Z1321" s="2" t="str">
        <f t="shared" si="630"/>
        <v/>
      </c>
      <c r="AA1321" s="2" t="str">
        <f t="shared" si="631"/>
        <v/>
      </c>
      <c r="AB1321" s="2">
        <f t="shared" si="622"/>
        <v>0</v>
      </c>
      <c r="AC1321" s="625">
        <v>0</v>
      </c>
      <c r="AD1321" s="625">
        <v>0</v>
      </c>
      <c r="AE1321" s="625"/>
      <c r="AF1321" s="625">
        <v>0</v>
      </c>
      <c r="AH1321" s="625">
        <v>0</v>
      </c>
      <c r="AI1321" s="625">
        <v>0</v>
      </c>
      <c r="AJ1321" s="625">
        <v>0</v>
      </c>
      <c r="AL1321" s="625">
        <v>0</v>
      </c>
      <c r="AM1321" s="625">
        <v>0</v>
      </c>
      <c r="AN1321" s="625">
        <v>0</v>
      </c>
      <c r="AO1321" s="625">
        <v>0</v>
      </c>
      <c r="AP1321" s="41" t="str">
        <f t="shared" si="617"/>
        <v>Reg AssetR</v>
      </c>
      <c r="AQ1321" s="41" t="str">
        <f t="shared" si="618"/>
        <v>Reg AssetRR10Pre-Capitalized Installation Costs</v>
      </c>
      <c r="AR1321" s="41" t="str">
        <f t="shared" si="619"/>
        <v>R10Pre-Capitalized Installation Costs</v>
      </c>
      <c r="CK1321" s="625"/>
    </row>
    <row r="1322" spans="1:89" s="41" customFormat="1" ht="12.75" customHeight="1">
      <c r="A1322" s="442" t="s">
        <v>1590</v>
      </c>
      <c r="B1322" s="442" t="str">
        <f t="shared" si="620"/>
        <v>Def Tax190000OCI 219500BT010141</v>
      </c>
      <c r="C1322" s="736">
        <v>190000</v>
      </c>
      <c r="D1322" s="735" t="s">
        <v>1591</v>
      </c>
      <c r="E1322" s="626" t="s">
        <v>1592</v>
      </c>
      <c r="F1322" s="626" t="str">
        <f t="shared" si="606"/>
        <v>ACCUM DEFERRED INC TAXES - FEDERAL</v>
      </c>
      <c r="G1322" s="626" t="s">
        <v>1593</v>
      </c>
      <c r="H1322" s="736" t="s">
        <v>1594</v>
      </c>
      <c r="I1322" s="442"/>
      <c r="J1322" s="442" t="str">
        <f t="shared" si="607"/>
        <v/>
      </c>
      <c r="K1322" s="442" t="str">
        <f t="shared" si="623"/>
        <v/>
      </c>
      <c r="L1322" s="736" t="s">
        <v>2427</v>
      </c>
      <c r="M1322" s="442" t="str">
        <f t="shared" ref="M1322:M1391" si="634">LEFT(L1322,1)</f>
        <v>N</v>
      </c>
      <c r="N1322" s="442" t="str">
        <f>IF(L1322&lt;&gt;"",VLOOKUP(L1322,Categories!$B$2:$D$41,2,FALSE),IF(F1322&lt;&gt;"","No Cat",""))</f>
        <v>NRBASE</v>
      </c>
      <c r="O1322" s="442" t="str">
        <f>IF($L1322&lt;&gt;"",VLOOKUP($L1322,Categories!$B$2:$D$41,3,FALSE),IF($F1322&lt;&gt;"","No Cat",""))</f>
        <v>Hedges &amp; OCI</v>
      </c>
      <c r="P1322" s="736" t="s">
        <v>2468</v>
      </c>
      <c r="Q1322" s="442" t="str">
        <f>VLOOKUP($P1322,Allocators!$B$7:$F$19,5,FALSE)</f>
        <v>Not in Rate Base</v>
      </c>
      <c r="R1322" s="737">
        <f>VLOOKUP($P1322,Allocators!$B$7:$F$19,2,FALSE)</f>
        <v>0</v>
      </c>
      <c r="S1322" s="737">
        <f>VLOOKUP($P1322,Allocators!$B$7:$F$19,3,FALSE)</f>
        <v>0</v>
      </c>
      <c r="T1322" s="737">
        <f t="shared" si="625"/>
        <v>1</v>
      </c>
      <c r="U1322" s="2">
        <f t="shared" si="626"/>
        <v>0</v>
      </c>
      <c r="V1322" s="2">
        <f t="shared" si="627"/>
        <v>0</v>
      </c>
      <c r="W1322" s="2">
        <f t="shared" si="628"/>
        <v>58.690802083333303</v>
      </c>
      <c r="X1322" s="2">
        <f t="shared" si="621"/>
        <v>58.690802083333303</v>
      </c>
      <c r="Y1322" s="2">
        <f t="shared" si="629"/>
        <v>0</v>
      </c>
      <c r="Z1322" s="2">
        <f t="shared" si="630"/>
        <v>0</v>
      </c>
      <c r="AA1322" s="2">
        <f t="shared" si="631"/>
        <v>207.63455999999999</v>
      </c>
      <c r="AB1322" s="2">
        <f t="shared" si="622"/>
        <v>207.63455999999999</v>
      </c>
      <c r="AC1322" s="625">
        <v>40.012269999999994</v>
      </c>
      <c r="AD1322" s="625">
        <v>32.836580000000005</v>
      </c>
      <c r="AE1322" s="625">
        <v>18.59441</v>
      </c>
      <c r="AF1322" s="625">
        <v>26.526859999999999</v>
      </c>
      <c r="AG1322" s="625">
        <v>26.725429999999999</v>
      </c>
      <c r="AH1322" s="625">
        <v>27.302919999999997</v>
      </c>
      <c r="AI1322" s="625">
        <v>14.86398</v>
      </c>
      <c r="AJ1322" s="625">
        <v>37.282220000000002</v>
      </c>
      <c r="AK1322" s="625">
        <v>47.780860000000004</v>
      </c>
      <c r="AL1322" s="625">
        <v>76.515899999999988</v>
      </c>
      <c r="AM1322" s="625">
        <v>109.42591</v>
      </c>
      <c r="AN1322" s="625">
        <v>162.61114000000001</v>
      </c>
      <c r="AO1322" s="625">
        <v>207.63455999999999</v>
      </c>
      <c r="AP1322" s="41" t="str">
        <f t="shared" si="617"/>
        <v>Def TaxN</v>
      </c>
      <c r="AQ1322" s="41" t="str">
        <f t="shared" si="618"/>
        <v>Def TaxNN5FAS 133 Related</v>
      </c>
      <c r="AR1322" s="41" t="str">
        <f t="shared" si="619"/>
        <v>N5FAS 133 Related</v>
      </c>
    </row>
    <row r="1323" spans="1:89" s="41" customFormat="1" ht="12.75" customHeight="1">
      <c r="A1323" s="442" t="s">
        <v>1590</v>
      </c>
      <c r="B1323" s="442" t="str">
        <f t="shared" si="620"/>
        <v>Def Tax190000OCI 219530BT010136/
BT010151</v>
      </c>
      <c r="C1323" s="736">
        <v>190000</v>
      </c>
      <c r="D1323" s="735" t="s">
        <v>1595</v>
      </c>
      <c r="E1323" s="626" t="s">
        <v>1596</v>
      </c>
      <c r="F1323" s="626" t="str">
        <f t="shared" si="606"/>
        <v>ACCUM DEFERRED INC TAXES - FEDERAL</v>
      </c>
      <c r="G1323" s="626" t="s">
        <v>1597</v>
      </c>
      <c r="H1323" s="736" t="s">
        <v>1594</v>
      </c>
      <c r="I1323" s="442"/>
      <c r="J1323" s="442" t="str">
        <f t="shared" si="607"/>
        <v/>
      </c>
      <c r="K1323" s="442" t="str">
        <f t="shared" si="623"/>
        <v/>
      </c>
      <c r="L1323" s="736" t="s">
        <v>2427</v>
      </c>
      <c r="M1323" s="442" t="str">
        <f t="shared" si="634"/>
        <v>N</v>
      </c>
      <c r="N1323" s="442" t="str">
        <f>IF(L1323&lt;&gt;"",VLOOKUP(L1323,Categories!$B$2:$D$41,2,FALSE),IF(F1323&lt;&gt;"","No Cat",""))</f>
        <v>NRBASE</v>
      </c>
      <c r="O1323" s="442" t="str">
        <f>IF($L1323&lt;&gt;"",VLOOKUP($L1323,Categories!$B$2:$D$41,3,FALSE),IF($F1323&lt;&gt;"","No Cat",""))</f>
        <v>Hedges &amp; OCI</v>
      </c>
      <c r="P1323" s="736" t="s">
        <v>2468</v>
      </c>
      <c r="Q1323" s="442" t="str">
        <f>VLOOKUP($P1323,Allocators!$B$7:$F$19,5,FALSE)</f>
        <v>Not in Rate Base</v>
      </c>
      <c r="R1323" s="737">
        <f>VLOOKUP($P1323,Allocators!$B$7:$F$19,2,FALSE)</f>
        <v>0</v>
      </c>
      <c r="S1323" s="737">
        <f>VLOOKUP($P1323,Allocators!$B$7:$F$19,3,FALSE)</f>
        <v>0</v>
      </c>
      <c r="T1323" s="737">
        <f t="shared" si="625"/>
        <v>1</v>
      </c>
      <c r="U1323" s="2">
        <f t="shared" si="626"/>
        <v>0</v>
      </c>
      <c r="V1323" s="2">
        <f t="shared" si="627"/>
        <v>0</v>
      </c>
      <c r="W1323" s="2">
        <f t="shared" si="628"/>
        <v>6.3399645833333302</v>
      </c>
      <c r="X1323" s="2">
        <f t="shared" si="621"/>
        <v>6.3399645833333302</v>
      </c>
      <c r="Y1323" s="2">
        <f t="shared" si="629"/>
        <v>0</v>
      </c>
      <c r="Z1323" s="2">
        <f t="shared" si="630"/>
        <v>0</v>
      </c>
      <c r="AA1323" s="2">
        <f t="shared" si="631"/>
        <v>-21.232579999999999</v>
      </c>
      <c r="AB1323" s="2">
        <f t="shared" si="622"/>
        <v>-21.232580000000002</v>
      </c>
      <c r="AC1323" s="625">
        <v>-6.5744300000000004</v>
      </c>
      <c r="AD1323" s="625">
        <v>19.92578</v>
      </c>
      <c r="AE1323" s="625">
        <v>17.169090000000001</v>
      </c>
      <c r="AF1323" s="625">
        <v>14.699780000000001</v>
      </c>
      <c r="AG1323" s="625">
        <v>13.48549</v>
      </c>
      <c r="AH1323" s="625">
        <v>12.38692</v>
      </c>
      <c r="AI1323" s="625">
        <v>11.559940000000001</v>
      </c>
      <c r="AJ1323" s="625">
        <v>9.1452999999999989</v>
      </c>
      <c r="AK1323" s="625">
        <v>4.0585599999999999</v>
      </c>
      <c r="AL1323" s="625">
        <v>1.5703699999999998</v>
      </c>
      <c r="AM1323" s="625">
        <v>-3.3517299999999999</v>
      </c>
      <c r="AN1323" s="625">
        <v>-10.66642</v>
      </c>
      <c r="AO1323" s="625">
        <v>-21.232580000000002</v>
      </c>
      <c r="AP1323" s="41" t="str">
        <f t="shared" si="617"/>
        <v>Def TaxN</v>
      </c>
      <c r="AQ1323" s="41" t="str">
        <f t="shared" si="618"/>
        <v>Def TaxNN5FAS 133 Related</v>
      </c>
      <c r="AR1323" s="41" t="str">
        <f t="shared" si="619"/>
        <v>N5FAS 133 Related</v>
      </c>
    </row>
    <row r="1324" spans="1:89" s="41" customFormat="1" ht="12.75" customHeight="1">
      <c r="A1324" s="442" t="s">
        <v>1590</v>
      </c>
      <c r="B1324" s="442" t="str">
        <f t="shared" si="620"/>
        <v>Def Tax190000OCI 219532BT010139</v>
      </c>
      <c r="C1324" s="736">
        <v>190000</v>
      </c>
      <c r="D1324" s="735" t="s">
        <v>1598</v>
      </c>
      <c r="E1324" s="626" t="s">
        <v>1599</v>
      </c>
      <c r="F1324" s="626" t="str">
        <f t="shared" si="606"/>
        <v>ACCUM DEFERRED INC TAXES - FEDERAL</v>
      </c>
      <c r="G1324" s="626" t="s">
        <v>1600</v>
      </c>
      <c r="H1324" s="736" t="s">
        <v>1594</v>
      </c>
      <c r="I1324" s="442"/>
      <c r="J1324" s="442" t="str">
        <f t="shared" si="607"/>
        <v/>
      </c>
      <c r="K1324" s="442" t="str">
        <f t="shared" si="623"/>
        <v/>
      </c>
      <c r="L1324" s="736" t="s">
        <v>2427</v>
      </c>
      <c r="M1324" s="442" t="str">
        <f t="shared" si="634"/>
        <v>N</v>
      </c>
      <c r="N1324" s="442" t="str">
        <f>IF(L1324&lt;&gt;"",VLOOKUP(L1324,Categories!$B$2:$D$41,2,FALSE),IF(F1324&lt;&gt;"","No Cat",""))</f>
        <v>NRBASE</v>
      </c>
      <c r="O1324" s="442" t="str">
        <f>IF($L1324&lt;&gt;"",VLOOKUP($L1324,Categories!$B$2:$D$41,3,FALSE),IF($F1324&lt;&gt;"","No Cat",""))</f>
        <v>Hedges &amp; OCI</v>
      </c>
      <c r="P1324" s="736" t="s">
        <v>2468</v>
      </c>
      <c r="Q1324" s="442" t="str">
        <f>VLOOKUP($P1324,Allocators!$B$7:$F$19,5,FALSE)</f>
        <v>Not in Rate Base</v>
      </c>
      <c r="R1324" s="737">
        <f>VLOOKUP($P1324,Allocators!$B$7:$F$19,2,FALSE)</f>
        <v>0</v>
      </c>
      <c r="S1324" s="737">
        <f>VLOOKUP($P1324,Allocators!$B$7:$F$19,3,FALSE)</f>
        <v>0</v>
      </c>
      <c r="T1324" s="737">
        <f t="shared" si="625"/>
        <v>1</v>
      </c>
      <c r="U1324" s="2">
        <f t="shared" si="626"/>
        <v>0</v>
      </c>
      <c r="V1324" s="2">
        <f t="shared" si="627"/>
        <v>0</v>
      </c>
      <c r="W1324" s="2">
        <f t="shared" si="628"/>
        <v>27885.836985000002</v>
      </c>
      <c r="X1324" s="2">
        <f t="shared" si="621"/>
        <v>27885.836985000002</v>
      </c>
      <c r="Y1324" s="2">
        <f t="shared" si="629"/>
        <v>0</v>
      </c>
      <c r="Z1324" s="2">
        <f t="shared" si="630"/>
        <v>0</v>
      </c>
      <c r="AA1324" s="2">
        <f t="shared" si="631"/>
        <v>27807.697479999999</v>
      </c>
      <c r="AB1324" s="2">
        <f t="shared" si="622"/>
        <v>27807.697479999999</v>
      </c>
      <c r="AC1324" s="625">
        <v>29683.045600000001</v>
      </c>
      <c r="AD1324" s="625">
        <v>27807.697479999999</v>
      </c>
      <c r="AE1324" s="625">
        <v>27807.697479999999</v>
      </c>
      <c r="AF1324" s="625">
        <v>27807.697479999999</v>
      </c>
      <c r="AG1324" s="625">
        <v>27807.697479999999</v>
      </c>
      <c r="AH1324" s="625">
        <v>27807.697479999999</v>
      </c>
      <c r="AI1324" s="625">
        <v>27807.697479999999</v>
      </c>
      <c r="AJ1324" s="625">
        <v>27807.697479999999</v>
      </c>
      <c r="AK1324" s="625">
        <v>27807.697479999999</v>
      </c>
      <c r="AL1324" s="625">
        <v>27807.697479999999</v>
      </c>
      <c r="AM1324" s="625">
        <v>27807.697479999999</v>
      </c>
      <c r="AN1324" s="625">
        <v>27807.697479999999</v>
      </c>
      <c r="AO1324" s="625">
        <v>27807.697479999999</v>
      </c>
      <c r="AP1324" s="41" t="str">
        <f t="shared" si="617"/>
        <v>Def TaxN</v>
      </c>
      <c r="AQ1324" s="41" t="str">
        <f t="shared" si="618"/>
        <v>Def TaxNN5FAS 133 Related</v>
      </c>
      <c r="AR1324" s="41" t="str">
        <f t="shared" si="619"/>
        <v>N5FAS 133 Related</v>
      </c>
    </row>
    <row r="1325" spans="1:89" s="41" customFormat="1" ht="12.75" customHeight="1">
      <c r="A1325" s="442" t="s">
        <v>1590</v>
      </c>
      <c r="B1325" s="442" t="str">
        <f t="shared" si="620"/>
        <v>Def Tax190000OCI 219533BT010138</v>
      </c>
      <c r="C1325" s="736">
        <v>190000</v>
      </c>
      <c r="D1325" s="735" t="s">
        <v>1601</v>
      </c>
      <c r="E1325" s="626" t="s">
        <v>1602</v>
      </c>
      <c r="F1325" s="626" t="str">
        <f t="shared" si="606"/>
        <v>ACCUM DEFERRED INC TAXES - FEDERAL</v>
      </c>
      <c r="G1325" s="626" t="s">
        <v>1603</v>
      </c>
      <c r="H1325" s="736" t="s">
        <v>1594</v>
      </c>
      <c r="I1325" s="442"/>
      <c r="J1325" s="442" t="str">
        <f t="shared" si="607"/>
        <v/>
      </c>
      <c r="K1325" s="442" t="str">
        <f t="shared" si="623"/>
        <v/>
      </c>
      <c r="L1325" s="736" t="s">
        <v>2427</v>
      </c>
      <c r="M1325" s="442" t="str">
        <f t="shared" si="634"/>
        <v>N</v>
      </c>
      <c r="N1325" s="442" t="str">
        <f>IF(L1325&lt;&gt;"",VLOOKUP(L1325,Categories!$B$2:$D$41,2,FALSE),IF(F1325&lt;&gt;"","No Cat",""))</f>
        <v>NRBASE</v>
      </c>
      <c r="O1325" s="442" t="str">
        <f>IF($L1325&lt;&gt;"",VLOOKUP($L1325,Categories!$B$2:$D$41,3,FALSE),IF($F1325&lt;&gt;"","No Cat",""))</f>
        <v>Hedges &amp; OCI</v>
      </c>
      <c r="P1325" s="736" t="s">
        <v>2468</v>
      </c>
      <c r="Q1325" s="442" t="str">
        <f>VLOOKUP($P1325,Allocators!$B$7:$F$19,5,FALSE)</f>
        <v>Not in Rate Base</v>
      </c>
      <c r="R1325" s="737">
        <f>VLOOKUP($P1325,Allocators!$B$7:$F$19,2,FALSE)</f>
        <v>0</v>
      </c>
      <c r="S1325" s="737">
        <f>VLOOKUP($P1325,Allocators!$B$7:$F$19,3,FALSE)</f>
        <v>0</v>
      </c>
      <c r="T1325" s="737">
        <f t="shared" si="625"/>
        <v>1</v>
      </c>
      <c r="U1325" s="2">
        <f t="shared" si="626"/>
        <v>0</v>
      </c>
      <c r="V1325" s="2">
        <f t="shared" si="627"/>
        <v>0</v>
      </c>
      <c r="W1325" s="2">
        <f t="shared" si="628"/>
        <v>1719.06897</v>
      </c>
      <c r="X1325" s="2">
        <f t="shared" si="621"/>
        <v>1719.06897</v>
      </c>
      <c r="Y1325" s="2">
        <f t="shared" si="629"/>
        <v>0</v>
      </c>
      <c r="Z1325" s="2">
        <f t="shared" si="630"/>
        <v>0</v>
      </c>
      <c r="AA1325" s="2">
        <f t="shared" si="631"/>
        <v>1719.06897</v>
      </c>
      <c r="AB1325" s="2">
        <f t="shared" si="622"/>
        <v>1719.06897</v>
      </c>
      <c r="AC1325" s="625">
        <v>1719.06897</v>
      </c>
      <c r="AD1325" s="625">
        <v>1719.06897</v>
      </c>
      <c r="AE1325" s="625">
        <v>1719.06897</v>
      </c>
      <c r="AF1325" s="625">
        <v>1719.06897</v>
      </c>
      <c r="AG1325" s="625">
        <v>1719.06897</v>
      </c>
      <c r="AH1325" s="625">
        <v>1719.06897</v>
      </c>
      <c r="AI1325" s="625">
        <v>1719.06897</v>
      </c>
      <c r="AJ1325" s="625">
        <v>1719.06897</v>
      </c>
      <c r="AK1325" s="625">
        <v>1719.06897</v>
      </c>
      <c r="AL1325" s="625">
        <v>1719.06897</v>
      </c>
      <c r="AM1325" s="625">
        <v>1719.06897</v>
      </c>
      <c r="AN1325" s="625">
        <v>1719.06897</v>
      </c>
      <c r="AO1325" s="625">
        <v>1719.06897</v>
      </c>
      <c r="AP1325" s="41" t="str">
        <f t="shared" si="617"/>
        <v>Def TaxN</v>
      </c>
      <c r="AQ1325" s="41" t="str">
        <f t="shared" si="618"/>
        <v>Def TaxNN5FAS 133 Related</v>
      </c>
      <c r="AR1325" s="41" t="str">
        <f t="shared" si="619"/>
        <v>N5FAS 133 Related</v>
      </c>
    </row>
    <row r="1326" spans="1:89" s="41" customFormat="1" ht="12.75" customHeight="1">
      <c r="A1326" s="442" t="s">
        <v>1590</v>
      </c>
      <c r="B1326" s="442" t="str">
        <f t="shared" si="620"/>
        <v>Def Tax190000OCI 219535BT010137</v>
      </c>
      <c r="C1326" s="736">
        <v>190000</v>
      </c>
      <c r="D1326" s="735" t="s">
        <v>1604</v>
      </c>
      <c r="E1326" s="626" t="s">
        <v>1605</v>
      </c>
      <c r="F1326" s="626" t="str">
        <f t="shared" si="606"/>
        <v>ACCUM DEFERRED INC TAXES - FEDERAL</v>
      </c>
      <c r="G1326" s="626" t="s">
        <v>1606</v>
      </c>
      <c r="H1326" s="736" t="s">
        <v>1594</v>
      </c>
      <c r="I1326" s="442"/>
      <c r="J1326" s="442" t="str">
        <f t="shared" si="607"/>
        <v/>
      </c>
      <c r="K1326" s="442" t="str">
        <f t="shared" si="623"/>
        <v/>
      </c>
      <c r="L1326" s="736" t="s">
        <v>2427</v>
      </c>
      <c r="M1326" s="442" t="str">
        <f t="shared" si="634"/>
        <v>N</v>
      </c>
      <c r="N1326" s="442" t="str">
        <f>IF(L1326&lt;&gt;"",VLOOKUP(L1326,Categories!$B$2:$D$41,2,FALSE),IF(F1326&lt;&gt;"","No Cat",""))</f>
        <v>NRBASE</v>
      </c>
      <c r="O1326" s="442" t="str">
        <f>IF($L1326&lt;&gt;"",VLOOKUP($L1326,Categories!$B$2:$D$41,3,FALSE),IF($F1326&lt;&gt;"","No Cat",""))</f>
        <v>Hedges &amp; OCI</v>
      </c>
      <c r="P1326" s="736" t="s">
        <v>2468</v>
      </c>
      <c r="Q1326" s="442" t="str">
        <f>VLOOKUP($P1326,Allocators!$B$7:$F$19,5,FALSE)</f>
        <v>Not in Rate Base</v>
      </c>
      <c r="R1326" s="737">
        <f>VLOOKUP($P1326,Allocators!$B$7:$F$19,2,FALSE)</f>
        <v>0</v>
      </c>
      <c r="S1326" s="737">
        <f>VLOOKUP($P1326,Allocators!$B$7:$F$19,3,FALSE)</f>
        <v>0</v>
      </c>
      <c r="T1326" s="737">
        <f t="shared" si="625"/>
        <v>1</v>
      </c>
      <c r="U1326" s="2">
        <f t="shared" si="626"/>
        <v>0</v>
      </c>
      <c r="V1326" s="2">
        <f t="shared" si="627"/>
        <v>0</v>
      </c>
      <c r="W1326" s="2">
        <f t="shared" si="628"/>
        <v>-2734.8826749999998</v>
      </c>
      <c r="X1326" s="2">
        <f t="shared" si="621"/>
        <v>-2734.8826749999998</v>
      </c>
      <c r="Y1326" s="2">
        <f t="shared" si="629"/>
        <v>0</v>
      </c>
      <c r="Z1326" s="2">
        <f t="shared" si="630"/>
        <v>0</v>
      </c>
      <c r="AA1326" s="2">
        <f t="shared" si="631"/>
        <v>-3594.41723</v>
      </c>
      <c r="AB1326" s="2">
        <f t="shared" si="622"/>
        <v>-3594.41723</v>
      </c>
      <c r="AC1326" s="625">
        <v>-3594.41723</v>
      </c>
      <c r="AD1326" s="625">
        <v>-1875.3481200000001</v>
      </c>
      <c r="AE1326" s="625">
        <v>-2031.6271299999999</v>
      </c>
      <c r="AF1326" s="625">
        <v>-2187.9061400000001</v>
      </c>
      <c r="AG1326" s="625">
        <v>-2344.1851499999998</v>
      </c>
      <c r="AH1326" s="625">
        <v>-2500.46416</v>
      </c>
      <c r="AI1326" s="625">
        <v>-2656.7431699999997</v>
      </c>
      <c r="AJ1326" s="625">
        <v>-2813.0221800000004</v>
      </c>
      <c r="AK1326" s="625">
        <v>-2969.3011900000001</v>
      </c>
      <c r="AL1326" s="625">
        <v>-3125.5802000000003</v>
      </c>
      <c r="AM1326" s="625">
        <v>-3281.8592100000001</v>
      </c>
      <c r="AN1326" s="625">
        <v>-3438.1382200000003</v>
      </c>
      <c r="AO1326" s="625">
        <v>-3594.41723</v>
      </c>
      <c r="AP1326" s="41" t="str">
        <f t="shared" si="617"/>
        <v>Def TaxN</v>
      </c>
      <c r="AQ1326" s="41" t="str">
        <f t="shared" si="618"/>
        <v>Def TaxNN5FAS 133 Related</v>
      </c>
      <c r="AR1326" s="41" t="str">
        <f t="shared" si="619"/>
        <v>N5FAS 133 Related</v>
      </c>
    </row>
    <row r="1327" spans="1:89" s="41" customFormat="1" ht="12.75" customHeight="1">
      <c r="A1327" s="442" t="s">
        <v>1590</v>
      </c>
      <c r="B1327" s="442" t="str">
        <f t="shared" si="620"/>
        <v>Def Tax190000OCI 219537BT010140</v>
      </c>
      <c r="C1327" s="736">
        <v>190000</v>
      </c>
      <c r="D1327" s="735" t="s">
        <v>1607</v>
      </c>
      <c r="E1327" s="626" t="s">
        <v>1608</v>
      </c>
      <c r="F1327" s="626" t="str">
        <f t="shared" si="606"/>
        <v>ACCUM DEFERRED INC TAXES - FEDERAL</v>
      </c>
      <c r="G1327" s="626" t="s">
        <v>1609</v>
      </c>
      <c r="H1327" s="736" t="s">
        <v>1594</v>
      </c>
      <c r="I1327" s="442"/>
      <c r="J1327" s="442" t="str">
        <f t="shared" si="607"/>
        <v/>
      </c>
      <c r="K1327" s="442" t="str">
        <f t="shared" si="623"/>
        <v/>
      </c>
      <c r="L1327" s="736" t="s">
        <v>2427</v>
      </c>
      <c r="M1327" s="442" t="str">
        <f t="shared" si="634"/>
        <v>N</v>
      </c>
      <c r="N1327" s="442" t="str">
        <f>IF(L1327&lt;&gt;"",VLOOKUP(L1327,Categories!$B$2:$D$41,2,FALSE),IF(F1327&lt;&gt;"","No Cat",""))</f>
        <v>NRBASE</v>
      </c>
      <c r="O1327" s="442" t="str">
        <f>IF($L1327&lt;&gt;"",VLOOKUP($L1327,Categories!$B$2:$D$41,3,FALSE),IF($F1327&lt;&gt;"","No Cat",""))</f>
        <v>Hedges &amp; OCI</v>
      </c>
      <c r="P1327" s="736" t="s">
        <v>2468</v>
      </c>
      <c r="Q1327" s="442" t="str">
        <f>VLOOKUP($P1327,Allocators!$B$7:$F$19,5,FALSE)</f>
        <v>Not in Rate Base</v>
      </c>
      <c r="R1327" s="737">
        <f>VLOOKUP($P1327,Allocators!$B$7:$F$19,2,FALSE)</f>
        <v>0</v>
      </c>
      <c r="S1327" s="737">
        <f>VLOOKUP($P1327,Allocators!$B$7:$F$19,3,FALSE)</f>
        <v>0</v>
      </c>
      <c r="T1327" s="737">
        <f t="shared" si="625"/>
        <v>1</v>
      </c>
      <c r="U1327" s="2" t="str">
        <f t="shared" si="626"/>
        <v/>
      </c>
      <c r="V1327" s="2" t="str">
        <f t="shared" si="627"/>
        <v/>
      </c>
      <c r="W1327" s="2" t="str">
        <f t="shared" si="628"/>
        <v/>
      </c>
      <c r="X1327" s="2">
        <f t="shared" si="621"/>
        <v>0</v>
      </c>
      <c r="Y1327" s="2" t="str">
        <f t="shared" si="629"/>
        <v/>
      </c>
      <c r="Z1327" s="2" t="str">
        <f t="shared" si="630"/>
        <v/>
      </c>
      <c r="AA1327" s="2" t="str">
        <f t="shared" si="631"/>
        <v/>
      </c>
      <c r="AB1327" s="2">
        <f t="shared" si="622"/>
        <v>0</v>
      </c>
      <c r="AC1327" s="625">
        <v>0</v>
      </c>
      <c r="AD1327" s="625">
        <v>0</v>
      </c>
      <c r="AE1327" s="625">
        <v>0</v>
      </c>
      <c r="AF1327" s="625">
        <v>0</v>
      </c>
      <c r="AG1327" s="625">
        <v>0</v>
      </c>
      <c r="AH1327" s="625">
        <v>0</v>
      </c>
      <c r="AI1327" s="625">
        <v>0</v>
      </c>
      <c r="AJ1327" s="625">
        <v>0</v>
      </c>
      <c r="AK1327" s="625">
        <v>0</v>
      </c>
      <c r="AL1327" s="625">
        <v>0</v>
      </c>
      <c r="AM1327" s="625">
        <v>0</v>
      </c>
      <c r="AN1327" s="625">
        <v>0</v>
      </c>
      <c r="AO1327" s="625">
        <v>0</v>
      </c>
      <c r="AP1327" s="41" t="str">
        <f t="shared" si="617"/>
        <v>Def TaxN</v>
      </c>
      <c r="AQ1327" s="41" t="str">
        <f t="shared" si="618"/>
        <v>Def TaxNN5FAS 133 Related</v>
      </c>
      <c r="AR1327" s="41" t="str">
        <f t="shared" si="619"/>
        <v>N5FAS 133 Related</v>
      </c>
    </row>
    <row r="1328" spans="1:89" s="41" customFormat="1" ht="12.75" customHeight="1">
      <c r="A1328" s="442" t="s">
        <v>1590</v>
      </c>
      <c r="B1328" s="442" t="str">
        <f t="shared" si="620"/>
        <v>Def Tax190000OCI 219575BT010143</v>
      </c>
      <c r="C1328" s="736">
        <v>190000</v>
      </c>
      <c r="D1328" s="735" t="s">
        <v>1610</v>
      </c>
      <c r="E1328" s="626" t="s">
        <v>1611</v>
      </c>
      <c r="F1328" s="626" t="str">
        <f t="shared" si="606"/>
        <v>ACCUM DEFERRED INC TAXES - FEDERAL</v>
      </c>
      <c r="G1328" s="626" t="s">
        <v>1612</v>
      </c>
      <c r="H1328" s="736" t="s">
        <v>1594</v>
      </c>
      <c r="I1328" s="442"/>
      <c r="J1328" s="442" t="str">
        <f t="shared" si="607"/>
        <v/>
      </c>
      <c r="K1328" s="442" t="str">
        <f t="shared" si="623"/>
        <v/>
      </c>
      <c r="L1328" s="736" t="s">
        <v>2427</v>
      </c>
      <c r="M1328" s="442" t="str">
        <f t="shared" si="634"/>
        <v>N</v>
      </c>
      <c r="N1328" s="442" t="str">
        <f>IF(L1328&lt;&gt;"",VLOOKUP(L1328,Categories!$B$2:$D$41,2,FALSE),IF(F1328&lt;&gt;"","No Cat",""))</f>
        <v>NRBASE</v>
      </c>
      <c r="O1328" s="442" t="str">
        <f>IF($L1328&lt;&gt;"",VLOOKUP($L1328,Categories!$B$2:$D$41,3,FALSE),IF($F1328&lt;&gt;"","No Cat",""))</f>
        <v>Hedges &amp; OCI</v>
      </c>
      <c r="P1328" s="736" t="s">
        <v>2468</v>
      </c>
      <c r="Q1328" s="442" t="str">
        <f>VLOOKUP($P1328,Allocators!$B$7:$F$19,5,FALSE)</f>
        <v>Not in Rate Base</v>
      </c>
      <c r="R1328" s="737">
        <f>VLOOKUP($P1328,Allocators!$B$7:$F$19,2,FALSE)</f>
        <v>0</v>
      </c>
      <c r="S1328" s="737">
        <f>VLOOKUP($P1328,Allocators!$B$7:$F$19,3,FALSE)</f>
        <v>0</v>
      </c>
      <c r="T1328" s="737">
        <f t="shared" si="625"/>
        <v>1</v>
      </c>
      <c r="U1328" s="2">
        <f t="shared" si="626"/>
        <v>0</v>
      </c>
      <c r="V1328" s="2">
        <f t="shared" si="627"/>
        <v>0</v>
      </c>
      <c r="W1328" s="2">
        <f t="shared" si="628"/>
        <v>-6.66244208333333</v>
      </c>
      <c r="X1328" s="2">
        <f t="shared" si="621"/>
        <v>-6.66244208333333</v>
      </c>
      <c r="Y1328" s="2">
        <f t="shared" si="629"/>
        <v>0</v>
      </c>
      <c r="Z1328" s="2">
        <f t="shared" si="630"/>
        <v>0</v>
      </c>
      <c r="AA1328" s="2">
        <f t="shared" si="631"/>
        <v>-8.7316900000000004</v>
      </c>
      <c r="AB1328" s="2">
        <f t="shared" si="622"/>
        <v>-8.7316900000000004</v>
      </c>
      <c r="AC1328" s="625">
        <v>0.19186</v>
      </c>
      <c r="AD1328" s="625">
        <v>0.19186</v>
      </c>
      <c r="AE1328" s="625">
        <v>0.19186</v>
      </c>
      <c r="AF1328" s="625">
        <v>-8.1813800000000008</v>
      </c>
      <c r="AG1328" s="625">
        <v>-8.1813800000000008</v>
      </c>
      <c r="AH1328" s="625">
        <v>-8.1813800000000008</v>
      </c>
      <c r="AI1328" s="625">
        <v>-10.06705</v>
      </c>
      <c r="AJ1328" s="625">
        <v>-10.06705</v>
      </c>
      <c r="AK1328" s="625">
        <v>-10.06705</v>
      </c>
      <c r="AL1328" s="625">
        <v>-7.1059399999999995</v>
      </c>
      <c r="AM1328" s="625">
        <v>-7.1059399999999995</v>
      </c>
      <c r="AN1328" s="625">
        <v>-7.1059399999999995</v>
      </c>
      <c r="AO1328" s="625">
        <v>-8.7316900000000004</v>
      </c>
      <c r="AP1328" s="41" t="str">
        <f t="shared" si="617"/>
        <v>Def TaxN</v>
      </c>
      <c r="AQ1328" s="41" t="str">
        <f t="shared" si="618"/>
        <v>Def TaxNN5FAS 133 Related</v>
      </c>
      <c r="AR1328" s="41" t="str">
        <f t="shared" si="619"/>
        <v>N5FAS 133 Related</v>
      </c>
    </row>
    <row r="1329" spans="1:44" s="41" customFormat="1" ht="12.75" customHeight="1">
      <c r="A1329" s="442" t="s">
        <v>1590</v>
      </c>
      <c r="B1329" s="442" t="str">
        <f t="shared" si="620"/>
        <v>Def Tax190001AROBT010303</v>
      </c>
      <c r="C1329" s="736">
        <v>190001</v>
      </c>
      <c r="D1329" s="735" t="s">
        <v>1613</v>
      </c>
      <c r="E1329" s="626" t="s">
        <v>1614</v>
      </c>
      <c r="F1329" s="626" t="str">
        <f t="shared" si="606"/>
        <v>ACCUM DEFERRED INC TAXES - FEDERAL - ELECTRIC</v>
      </c>
      <c r="G1329" s="626" t="s">
        <v>1615</v>
      </c>
      <c r="H1329" s="736" t="s">
        <v>1138</v>
      </c>
      <c r="I1329" s="442"/>
      <c r="J1329" s="442" t="str">
        <f t="shared" si="607"/>
        <v/>
      </c>
      <c r="K1329" s="442" t="str">
        <f t="shared" si="623"/>
        <v/>
      </c>
      <c r="L1329" s="736" t="s">
        <v>2421</v>
      </c>
      <c r="M1329" s="442" t="str">
        <f t="shared" si="634"/>
        <v>N</v>
      </c>
      <c r="N1329" s="442" t="str">
        <f>IF(L1329&lt;&gt;"",VLOOKUP(L1329,Categories!$B$2:$D$41,2,FALSE),IF(F1329&lt;&gt;"","No Cat",""))</f>
        <v>NRBASE</v>
      </c>
      <c r="O1329" s="442" t="str">
        <f>IF($L1329&lt;&gt;"",VLOOKUP($L1329,Categories!$B$2:$D$41,3,FALSE),IF($F1329&lt;&gt;"","No Cat",""))</f>
        <v>Direct Assign Items Not in RB</v>
      </c>
      <c r="P1329" s="736" t="s">
        <v>2468</v>
      </c>
      <c r="Q1329" s="442" t="str">
        <f>VLOOKUP($P1329,Allocators!$B$7:$F$19,5,FALSE)</f>
        <v>Not in Rate Base</v>
      </c>
      <c r="R1329" s="737">
        <f>VLOOKUP($P1329,Allocators!$B$7:$F$19,2,FALSE)</f>
        <v>0</v>
      </c>
      <c r="S1329" s="737">
        <f>VLOOKUP($P1329,Allocators!$B$7:$F$19,3,FALSE)</f>
        <v>0</v>
      </c>
      <c r="T1329" s="737">
        <f t="shared" si="625"/>
        <v>1</v>
      </c>
      <c r="U1329" s="2">
        <f t="shared" si="626"/>
        <v>0</v>
      </c>
      <c r="V1329" s="2">
        <f t="shared" si="627"/>
        <v>0</v>
      </c>
      <c r="W1329" s="2">
        <f t="shared" si="628"/>
        <v>5733.2447725000002</v>
      </c>
      <c r="X1329" s="2">
        <f t="shared" si="621"/>
        <v>5733.2447725000002</v>
      </c>
      <c r="Y1329" s="2">
        <f t="shared" si="629"/>
        <v>0</v>
      </c>
      <c r="Z1329" s="2">
        <f t="shared" si="630"/>
        <v>0</v>
      </c>
      <c r="AA1329" s="2">
        <f t="shared" si="631"/>
        <v>6727.5454200000004</v>
      </c>
      <c r="AB1329" s="2">
        <f t="shared" si="622"/>
        <v>6727.5454200000004</v>
      </c>
      <c r="AC1329" s="625">
        <v>4526.5015000000003</v>
      </c>
      <c r="AD1329" s="625">
        <v>4557.8350499999997</v>
      </c>
      <c r="AE1329" s="625">
        <v>4589.3326799999995</v>
      </c>
      <c r="AF1329" s="625">
        <v>4621.0790199999992</v>
      </c>
      <c r="AG1329" s="625">
        <v>4653.0752000000002</v>
      </c>
      <c r="AH1329" s="625">
        <v>4685.3233499999997</v>
      </c>
      <c r="AI1329" s="625">
        <v>6615.2765300000001</v>
      </c>
      <c r="AJ1329" s="625">
        <v>6641.1897600000002</v>
      </c>
      <c r="AK1329" s="625">
        <v>6667.3227999999999</v>
      </c>
      <c r="AL1329" s="625">
        <v>6693.6776600000003</v>
      </c>
      <c r="AM1329" s="625">
        <v>6720.2563399999999</v>
      </c>
      <c r="AN1329" s="625">
        <v>6727.5454200000004</v>
      </c>
      <c r="AO1329" s="625">
        <v>6727.5454200000004</v>
      </c>
      <c r="AP1329" s="41" t="str">
        <f t="shared" si="617"/>
        <v>Def TaxN</v>
      </c>
      <c r="AQ1329" s="41" t="str">
        <f t="shared" si="618"/>
        <v>Def TaxNN2Asset Retirement Obligation</v>
      </c>
      <c r="AR1329" s="41" t="str">
        <f t="shared" si="619"/>
        <v>N2Asset Retirement Obligation</v>
      </c>
    </row>
    <row r="1330" spans="1:44" s="41" customFormat="1" ht="12.75" customHeight="1">
      <c r="A1330" s="442" t="s">
        <v>1590</v>
      </c>
      <c r="B1330" s="442" t="str">
        <f t="shared" si="620"/>
        <v>Def Tax190001ASGA - LOCBT010006/
BT010009</v>
      </c>
      <c r="C1330" s="736">
        <v>190001</v>
      </c>
      <c r="D1330" s="735" t="s">
        <v>1616</v>
      </c>
      <c r="E1330" s="626" t="s">
        <v>1617</v>
      </c>
      <c r="F1330" s="626" t="str">
        <f t="shared" si="606"/>
        <v>ACCUM DEFERRED INC TAXES - FEDERAL - ELECTRIC</v>
      </c>
      <c r="G1330" s="626" t="s">
        <v>1618</v>
      </c>
      <c r="H1330" s="736" t="s">
        <v>1330</v>
      </c>
      <c r="I1330" s="442"/>
      <c r="J1330" s="442" t="str">
        <f t="shared" si="607"/>
        <v/>
      </c>
      <c r="K1330" s="442" t="str">
        <f t="shared" si="623"/>
        <v/>
      </c>
      <c r="L1330" s="736" t="s">
        <v>2421</v>
      </c>
      <c r="M1330" s="442" t="str">
        <f t="shared" si="634"/>
        <v>N</v>
      </c>
      <c r="N1330" s="442" t="str">
        <f>IF(L1330&lt;&gt;"",VLOOKUP(L1330,Categories!$B$2:$D$41,2,FALSE),IF(F1330&lt;&gt;"","No Cat",""))</f>
        <v>NRBASE</v>
      </c>
      <c r="O1330" s="442" t="str">
        <f>IF($L1330&lt;&gt;"",VLOOKUP($L1330,Categories!$B$2:$D$41,3,FALSE),IF($F1330&lt;&gt;"","No Cat",""))</f>
        <v>Direct Assign Items Not in RB</v>
      </c>
      <c r="P1330" s="736" t="s">
        <v>2468</v>
      </c>
      <c r="Q1330" s="442" t="str">
        <f>VLOOKUP($P1330,Allocators!$B$7:$F$19,5,FALSE)</f>
        <v>Not in Rate Base</v>
      </c>
      <c r="R1330" s="737">
        <f>VLOOKUP($P1330,Allocators!$B$7:$F$19,2,FALSE)</f>
        <v>0</v>
      </c>
      <c r="S1330" s="737">
        <f>VLOOKUP($P1330,Allocators!$B$7:$F$19,3,FALSE)</f>
        <v>0</v>
      </c>
      <c r="T1330" s="737">
        <f t="shared" si="625"/>
        <v>1</v>
      </c>
      <c r="U1330" s="2">
        <f t="shared" si="626"/>
        <v>0</v>
      </c>
      <c r="V1330" s="2">
        <f t="shared" si="627"/>
        <v>0</v>
      </c>
      <c r="W1330" s="2">
        <f t="shared" si="628"/>
        <v>591.70399999999995</v>
      </c>
      <c r="X1330" s="2">
        <f t="shared" si="621"/>
        <v>591.70399999999995</v>
      </c>
      <c r="Y1330" s="2">
        <f t="shared" si="629"/>
        <v>0</v>
      </c>
      <c r="Z1330" s="2">
        <f t="shared" si="630"/>
        <v>0</v>
      </c>
      <c r="AA1330" s="2">
        <f t="shared" si="631"/>
        <v>591.70399999999995</v>
      </c>
      <c r="AB1330" s="2">
        <f t="shared" si="622"/>
        <v>591.70399999999995</v>
      </c>
      <c r="AC1330" s="625">
        <v>591.70399999999995</v>
      </c>
      <c r="AD1330" s="625">
        <v>591.70399999999995</v>
      </c>
      <c r="AE1330" s="625">
        <v>591.70399999999995</v>
      </c>
      <c r="AF1330" s="625">
        <v>591.70399999999995</v>
      </c>
      <c r="AG1330" s="625">
        <v>591.70399999999995</v>
      </c>
      <c r="AH1330" s="625">
        <v>591.70399999999995</v>
      </c>
      <c r="AI1330" s="625">
        <v>591.70399999999995</v>
      </c>
      <c r="AJ1330" s="625">
        <v>591.70399999999995</v>
      </c>
      <c r="AK1330" s="625">
        <v>591.70399999999995</v>
      </c>
      <c r="AL1330" s="625">
        <v>591.70399999999995</v>
      </c>
      <c r="AM1330" s="625">
        <v>591.70399999999995</v>
      </c>
      <c r="AN1330" s="625">
        <v>591.70399999999995</v>
      </c>
      <c r="AO1330" s="625">
        <v>591.70399999999995</v>
      </c>
      <c r="AP1330" s="41" t="str">
        <f t="shared" si="617"/>
        <v>Def TaxN</v>
      </c>
      <c r="AQ1330" s="41" t="str">
        <f t="shared" si="618"/>
        <v>Def TaxNN2ASGA</v>
      </c>
      <c r="AR1330" s="41" t="str">
        <f t="shared" si="619"/>
        <v>N2ASGA</v>
      </c>
    </row>
    <row r="1331" spans="1:44" s="41" customFormat="1" ht="12.75" customHeight="1">
      <c r="A1331" s="442" t="s">
        <v>1590</v>
      </c>
      <c r="B1331" s="442" t="str">
        <f t="shared" si="620"/>
        <v>Def Tax190001Cap ExBDEFAULT</v>
      </c>
      <c r="C1331" s="736">
        <v>190001</v>
      </c>
      <c r="D1331" s="735" t="s">
        <v>1619</v>
      </c>
      <c r="E1331" s="626" t="s">
        <v>1620</v>
      </c>
      <c r="F1331" s="626" t="str">
        <f t="shared" si="606"/>
        <v>ACCUM DEFERRED INC TAXES - FEDERAL - ELECTRIC</v>
      </c>
      <c r="G1331" s="626" t="s">
        <v>1621</v>
      </c>
      <c r="H1331" s="736" t="s">
        <v>1622</v>
      </c>
      <c r="I1331" s="442"/>
      <c r="J1331" s="442" t="str">
        <f t="shared" si="607"/>
        <v/>
      </c>
      <c r="K1331" s="442" t="str">
        <f t="shared" si="623"/>
        <v/>
      </c>
      <c r="L1331" s="736" t="s">
        <v>2421</v>
      </c>
      <c r="M1331" s="442" t="str">
        <f t="shared" si="634"/>
        <v>N</v>
      </c>
      <c r="N1331" s="442" t="str">
        <f>IF(L1331&lt;&gt;"",VLOOKUP(L1331,Categories!$B$2:$D$41,2,FALSE),IF(F1331&lt;&gt;"","No Cat",""))</f>
        <v>NRBASE</v>
      </c>
      <c r="O1331" s="442" t="str">
        <f>IF($L1331&lt;&gt;"",VLOOKUP($L1331,Categories!$B$2:$D$41,3,FALSE),IF($F1331&lt;&gt;"","No Cat",""))</f>
        <v>Direct Assign Items Not in RB</v>
      </c>
      <c r="P1331" s="736" t="s">
        <v>2468</v>
      </c>
      <c r="Q1331" s="442" t="str">
        <f>VLOOKUP($P1331,Allocators!$B$7:$F$19,5,FALSE)</f>
        <v>Not in Rate Base</v>
      </c>
      <c r="R1331" s="737">
        <f>VLOOKUP($P1331,Allocators!$B$7:$F$19,2,FALSE)</f>
        <v>0</v>
      </c>
      <c r="S1331" s="737">
        <f>VLOOKUP($P1331,Allocators!$B$7:$F$19,3,FALSE)</f>
        <v>0</v>
      </c>
      <c r="T1331" s="737">
        <f t="shared" si="625"/>
        <v>1</v>
      </c>
      <c r="U1331" s="2">
        <f t="shared" si="626"/>
        <v>0</v>
      </c>
      <c r="V1331" s="2">
        <f t="shared" si="627"/>
        <v>0</v>
      </c>
      <c r="W1331" s="2">
        <f t="shared" si="628"/>
        <v>37.934190416666702</v>
      </c>
      <c r="X1331" s="2">
        <f t="shared" si="621"/>
        <v>37.934190416666702</v>
      </c>
      <c r="Y1331" s="2">
        <f t="shared" si="629"/>
        <v>0</v>
      </c>
      <c r="Z1331" s="2">
        <f t="shared" si="630"/>
        <v>0</v>
      </c>
      <c r="AA1331" s="2">
        <f t="shared" si="631"/>
        <v>130.06003000000001</v>
      </c>
      <c r="AB1331" s="2">
        <f t="shared" si="622"/>
        <v>130.06003000000001</v>
      </c>
      <c r="AC1331" s="625">
        <v>0</v>
      </c>
      <c r="AD1331" s="625">
        <v>2.9999999999999997E-5</v>
      </c>
      <c r="AE1331" s="625">
        <v>5.9999999999999995E-5</v>
      </c>
      <c r="AF1331" s="625">
        <v>2.9999999999999997E-5</v>
      </c>
      <c r="AG1331" s="625">
        <v>5.9999999999999995E-5</v>
      </c>
      <c r="AH1331" s="625">
        <v>0</v>
      </c>
      <c r="AI1331" s="625">
        <v>0</v>
      </c>
      <c r="AJ1331" s="625">
        <v>0</v>
      </c>
      <c r="AK1331" s="625">
        <v>0</v>
      </c>
      <c r="AL1331" s="625">
        <v>130.06003000000001</v>
      </c>
      <c r="AM1331" s="625">
        <v>130.06003000000001</v>
      </c>
      <c r="AN1331" s="625">
        <v>130.06003000000001</v>
      </c>
      <c r="AO1331" s="625">
        <v>130.06003000000001</v>
      </c>
      <c r="AP1331" s="41" t="str">
        <f t="shared" si="617"/>
        <v>Def TaxN</v>
      </c>
      <c r="AQ1331" s="41" t="str">
        <f t="shared" si="618"/>
        <v>Def TaxNN2Cap Ex Reserve</v>
      </c>
      <c r="AR1331" s="41" t="str">
        <f t="shared" si="619"/>
        <v>N2Cap Ex Reserve</v>
      </c>
    </row>
    <row r="1332" spans="1:44" s="41" customFormat="1" ht="12.75" customHeight="1">
      <c r="A1332" s="25" t="s">
        <v>1590</v>
      </c>
      <c r="B1332" s="25" t="str">
        <f t="shared" si="620"/>
        <v>Def Tax190001190-064BTHUNGDT</v>
      </c>
      <c r="C1332" s="736">
        <v>190001</v>
      </c>
      <c r="D1332" s="735" t="s">
        <v>1623</v>
      </c>
      <c r="E1332" s="41" t="s">
        <v>1624</v>
      </c>
      <c r="F1332" s="41" t="str">
        <f t="shared" si="606"/>
        <v>ACCUM DEFERRED INC TAXES - FEDERAL - ELECTRIC</v>
      </c>
      <c r="G1332" s="41" t="s">
        <v>1625</v>
      </c>
      <c r="H1332" s="736">
        <v>0</v>
      </c>
      <c r="I1332" s="25"/>
      <c r="J1332" s="25" t="str">
        <f t="shared" si="607"/>
        <v/>
      </c>
      <c r="K1332" s="442" t="str">
        <f t="shared" si="623"/>
        <v/>
      </c>
      <c r="L1332" s="736" t="s">
        <v>2443</v>
      </c>
      <c r="M1332" s="25" t="str">
        <f t="shared" si="634"/>
        <v>R</v>
      </c>
      <c r="N1332" s="25" t="str">
        <f>IF(L1332&lt;&gt;"",VLOOKUP(L1332,Categories!$B$2:$D$41,2,FALSE),IF(F1332&lt;&gt;"","No Cat",""))</f>
        <v>Rate Base</v>
      </c>
      <c r="O1332" s="25" t="str">
        <f>IF($L1332&lt;&gt;"",VLOOKUP($L1332,Categories!$B$2:$D$41,3,FALSE),IF($F1332&lt;&gt;"","No Cat",""))</f>
        <v>Deferred Income Taxes</v>
      </c>
      <c r="P1332" s="736" t="s">
        <v>2482</v>
      </c>
      <c r="Q1332" s="25" t="str">
        <f>VLOOKUP($P1332,Allocators!$B$7:$F$19,5,FALSE)</f>
        <v>Electric</v>
      </c>
      <c r="R1332" s="737">
        <f>VLOOKUP($P1332,Allocators!$B$7:$F$19,2,FALSE)</f>
        <v>1</v>
      </c>
      <c r="S1332" s="737">
        <f>VLOOKUP($P1332,Allocators!$B$7:$F$19,3,FALSE)</f>
        <v>0</v>
      </c>
      <c r="T1332" s="737" t="str">
        <f t="shared" si="625"/>
        <v>0.0%</v>
      </c>
      <c r="U1332" s="2" t="str">
        <f t="shared" si="626"/>
        <v/>
      </c>
      <c r="V1332" s="2" t="str">
        <f t="shared" si="627"/>
        <v/>
      </c>
      <c r="W1332" s="2" t="str">
        <f t="shared" si="628"/>
        <v/>
      </c>
      <c r="X1332" s="2">
        <f t="shared" si="621"/>
        <v>0</v>
      </c>
      <c r="Y1332" s="2" t="str">
        <f t="shared" si="629"/>
        <v/>
      </c>
      <c r="Z1332" s="2" t="str">
        <f t="shared" si="630"/>
        <v/>
      </c>
      <c r="AA1332" s="2" t="str">
        <f t="shared" si="631"/>
        <v/>
      </c>
      <c r="AB1332" s="2">
        <f t="shared" si="622"/>
        <v>0</v>
      </c>
      <c r="AC1332" s="625">
        <v>0</v>
      </c>
      <c r="AD1332" s="625">
        <v>0</v>
      </c>
      <c r="AE1332" s="625">
        <v>0</v>
      </c>
      <c r="AF1332" s="625">
        <v>0</v>
      </c>
      <c r="AG1332" s="625">
        <v>0</v>
      </c>
      <c r="AH1332" s="625">
        <v>0</v>
      </c>
      <c r="AI1332" s="625">
        <v>0</v>
      </c>
      <c r="AJ1332" s="625">
        <v>0</v>
      </c>
      <c r="AK1332" s="625">
        <v>0</v>
      </c>
      <c r="AL1332" s="625">
        <v>0</v>
      </c>
      <c r="AM1332" s="625">
        <v>0</v>
      </c>
      <c r="AN1332" s="625">
        <v>0</v>
      </c>
      <c r="AO1332" s="625">
        <v>0</v>
      </c>
      <c r="AP1332" s="41" t="str">
        <f t="shared" si="617"/>
        <v>Def TaxR</v>
      </c>
      <c r="AQ1332" s="41" t="str">
        <f t="shared" si="618"/>
        <v>Def TaxRR110</v>
      </c>
      <c r="AR1332" s="41" t="str">
        <f t="shared" si="619"/>
        <v>R110</v>
      </c>
    </row>
    <row r="1333" spans="1:44" s="41" customFormat="1" ht="12.75" customHeight="1">
      <c r="A1333" s="25" t="s">
        <v>1590</v>
      </c>
      <c r="B1333" s="25" t="str">
        <f t="shared" si="620"/>
        <v>Def Tax190001190-092BT010036</v>
      </c>
      <c r="C1333" s="736">
        <v>190001</v>
      </c>
      <c r="D1333" s="735" t="s">
        <v>1626</v>
      </c>
      <c r="E1333" s="41" t="s">
        <v>1627</v>
      </c>
      <c r="F1333" s="41" t="str">
        <f t="shared" si="606"/>
        <v>ACCUM DEFERRED INC TAXES - FEDERAL - ELECTRIC</v>
      </c>
      <c r="G1333" s="41" t="s">
        <v>1628</v>
      </c>
      <c r="H1333" s="736" t="s">
        <v>1629</v>
      </c>
      <c r="I1333" s="25"/>
      <c r="J1333" s="25" t="str">
        <f t="shared" si="607"/>
        <v/>
      </c>
      <c r="K1333" s="442" t="str">
        <f t="shared" si="623"/>
        <v/>
      </c>
      <c r="L1333" s="736" t="s">
        <v>2443</v>
      </c>
      <c r="M1333" s="25" t="str">
        <f t="shared" si="634"/>
        <v>R</v>
      </c>
      <c r="N1333" s="25" t="str">
        <f>IF(L1333&lt;&gt;"",VLOOKUP(L1333,Categories!$B$2:$D$41,2,FALSE),IF(F1333&lt;&gt;"","No Cat",""))</f>
        <v>Rate Base</v>
      </c>
      <c r="O1333" s="25" t="str">
        <f>IF($L1333&lt;&gt;"",VLOOKUP($L1333,Categories!$B$2:$D$41,3,FALSE),IF($F1333&lt;&gt;"","No Cat",""))</f>
        <v>Deferred Income Taxes</v>
      </c>
      <c r="P1333" s="736" t="s">
        <v>2482</v>
      </c>
      <c r="Q1333" s="25" t="str">
        <f>VLOOKUP($P1333,Allocators!$B$7:$F$19,5,FALSE)</f>
        <v>Electric</v>
      </c>
      <c r="R1333" s="737">
        <f>VLOOKUP($P1333,Allocators!$B$7:$F$19,2,FALSE)</f>
        <v>1</v>
      </c>
      <c r="S1333" s="737">
        <f>VLOOKUP($P1333,Allocators!$B$7:$F$19,3,FALSE)</f>
        <v>0</v>
      </c>
      <c r="T1333" s="737" t="str">
        <f t="shared" si="625"/>
        <v>0.0%</v>
      </c>
      <c r="U1333" s="2" t="str">
        <f t="shared" si="626"/>
        <v/>
      </c>
      <c r="V1333" s="2" t="str">
        <f t="shared" si="627"/>
        <v/>
      </c>
      <c r="W1333" s="2" t="str">
        <f t="shared" si="628"/>
        <v/>
      </c>
      <c r="X1333" s="2">
        <f t="shared" si="621"/>
        <v>0</v>
      </c>
      <c r="Y1333" s="2" t="str">
        <f t="shared" si="629"/>
        <v/>
      </c>
      <c r="Z1333" s="2" t="str">
        <f t="shared" si="630"/>
        <v/>
      </c>
      <c r="AA1333" s="2" t="str">
        <f t="shared" si="631"/>
        <v/>
      </c>
      <c r="AB1333" s="2">
        <f t="shared" si="622"/>
        <v>0</v>
      </c>
      <c r="AC1333" s="625">
        <v>0</v>
      </c>
      <c r="AD1333" s="625">
        <v>0</v>
      </c>
      <c r="AE1333" s="625">
        <v>0</v>
      </c>
      <c r="AF1333" s="625">
        <v>0</v>
      </c>
      <c r="AG1333" s="625">
        <v>0</v>
      </c>
      <c r="AH1333" s="625">
        <v>0</v>
      </c>
      <c r="AI1333" s="625">
        <v>0</v>
      </c>
      <c r="AJ1333" s="625">
        <v>0</v>
      </c>
      <c r="AK1333" s="625">
        <v>0</v>
      </c>
      <c r="AL1333" s="625">
        <v>0</v>
      </c>
      <c r="AM1333" s="625">
        <v>0</v>
      </c>
      <c r="AN1333" s="625">
        <v>0</v>
      </c>
      <c r="AO1333" s="625">
        <v>0</v>
      </c>
      <c r="AP1333" s="41" t="str">
        <f t="shared" si="617"/>
        <v>Def TaxR</v>
      </c>
      <c r="AQ1333" s="41" t="str">
        <f t="shared" si="618"/>
        <v>Def TaxRR11Merger Related</v>
      </c>
      <c r="AR1333" s="41" t="str">
        <f t="shared" si="619"/>
        <v>R11Merger Related</v>
      </c>
    </row>
    <row r="1334" spans="1:44" s="41" customFormat="1" ht="12.75" customHeight="1">
      <c r="A1334" s="25" t="s">
        <v>1590</v>
      </c>
      <c r="B1334" s="25" t="str">
        <f t="shared" si="620"/>
        <v>Def Tax190001190-017BT010043</v>
      </c>
      <c r="C1334" s="736">
        <v>190001</v>
      </c>
      <c r="D1334" s="735" t="s">
        <v>1630</v>
      </c>
      <c r="E1334" s="41" t="s">
        <v>1631</v>
      </c>
      <c r="F1334" s="41" t="str">
        <f t="shared" si="606"/>
        <v>ACCUM DEFERRED INC TAXES - FEDERAL - ELECTRIC</v>
      </c>
      <c r="G1334" s="41" t="s">
        <v>1632</v>
      </c>
      <c r="H1334" s="736" t="s">
        <v>1632</v>
      </c>
      <c r="I1334" s="25"/>
      <c r="J1334" s="25" t="str">
        <f t="shared" si="607"/>
        <v/>
      </c>
      <c r="K1334" s="442" t="str">
        <f t="shared" si="623"/>
        <v/>
      </c>
      <c r="L1334" s="736" t="s">
        <v>2443</v>
      </c>
      <c r="M1334" s="25" t="str">
        <f t="shared" si="634"/>
        <v>R</v>
      </c>
      <c r="N1334" s="25" t="str">
        <f>IF(L1334&lt;&gt;"",VLOOKUP(L1334,Categories!$B$2:$D$41,2,FALSE),IF(F1334&lt;&gt;"","No Cat",""))</f>
        <v>Rate Base</v>
      </c>
      <c r="O1334" s="25" t="str">
        <f>IF($L1334&lt;&gt;"",VLOOKUP($L1334,Categories!$B$2:$D$41,3,FALSE),IF($F1334&lt;&gt;"","No Cat",""))</f>
        <v>Deferred Income Taxes</v>
      </c>
      <c r="P1334" s="736" t="s">
        <v>2482</v>
      </c>
      <c r="Q1334" s="25" t="str">
        <f>VLOOKUP($P1334,Allocators!$B$7:$F$19,5,FALSE)</f>
        <v>Electric</v>
      </c>
      <c r="R1334" s="737">
        <f>VLOOKUP($P1334,Allocators!$B$7:$F$19,2,FALSE)</f>
        <v>1</v>
      </c>
      <c r="S1334" s="737">
        <f>VLOOKUP($P1334,Allocators!$B$7:$F$19,3,FALSE)</f>
        <v>0</v>
      </c>
      <c r="T1334" s="737" t="str">
        <f t="shared" si="625"/>
        <v>0.0%</v>
      </c>
      <c r="U1334" s="2" t="str">
        <f t="shared" si="626"/>
        <v/>
      </c>
      <c r="V1334" s="2" t="str">
        <f t="shared" si="627"/>
        <v/>
      </c>
      <c r="W1334" s="2" t="str">
        <f t="shared" si="628"/>
        <v/>
      </c>
      <c r="X1334" s="2">
        <f t="shared" si="621"/>
        <v>0</v>
      </c>
      <c r="Y1334" s="2" t="str">
        <f t="shared" si="629"/>
        <v/>
      </c>
      <c r="Z1334" s="2" t="str">
        <f t="shared" si="630"/>
        <v/>
      </c>
      <c r="AA1334" s="2" t="str">
        <f t="shared" si="631"/>
        <v/>
      </c>
      <c r="AB1334" s="2">
        <f t="shared" si="622"/>
        <v>0</v>
      </c>
      <c r="AC1334" s="625">
        <v>0</v>
      </c>
      <c r="AD1334" s="625">
        <v>0</v>
      </c>
      <c r="AE1334" s="625">
        <v>0</v>
      </c>
      <c r="AF1334" s="625">
        <v>0</v>
      </c>
      <c r="AG1334" s="625">
        <v>0</v>
      </c>
      <c r="AH1334" s="625">
        <v>0</v>
      </c>
      <c r="AI1334" s="625">
        <v>0</v>
      </c>
      <c r="AJ1334" s="625">
        <v>0</v>
      </c>
      <c r="AK1334" s="625">
        <v>0</v>
      </c>
      <c r="AL1334" s="625">
        <v>0</v>
      </c>
      <c r="AM1334" s="625">
        <v>0</v>
      </c>
      <c r="AN1334" s="625">
        <v>0</v>
      </c>
      <c r="AO1334" s="625">
        <v>0</v>
      </c>
      <c r="AP1334" s="41" t="str">
        <f t="shared" si="617"/>
        <v>Def TaxR</v>
      </c>
      <c r="AQ1334" s="41" t="str">
        <f t="shared" si="618"/>
        <v>Def TaxRR11CIAC</v>
      </c>
      <c r="AR1334" s="41" t="str">
        <f t="shared" si="619"/>
        <v>R11CIAC</v>
      </c>
    </row>
    <row r="1335" spans="1:44" s="41" customFormat="1" ht="12.75" customHeight="1">
      <c r="A1335" s="25" t="s">
        <v>1590</v>
      </c>
      <c r="B1335" s="25" t="str">
        <f t="shared" si="620"/>
        <v>Def Tax190001190-049BT010105</v>
      </c>
      <c r="C1335" s="736">
        <v>190001</v>
      </c>
      <c r="D1335" s="735" t="s">
        <v>1633</v>
      </c>
      <c r="E1335" s="41" t="s">
        <v>1634</v>
      </c>
      <c r="F1335" s="41" t="str">
        <f t="shared" si="606"/>
        <v>ACCUM DEFERRED INC TAXES - FEDERAL - ELECTRIC</v>
      </c>
      <c r="G1335" s="41" t="s">
        <v>1635</v>
      </c>
      <c r="H1335" s="736" t="s">
        <v>1636</v>
      </c>
      <c r="I1335" s="25"/>
      <c r="J1335" s="25" t="str">
        <f t="shared" si="607"/>
        <v/>
      </c>
      <c r="K1335" s="442" t="str">
        <f t="shared" si="623"/>
        <v/>
      </c>
      <c r="L1335" s="736" t="s">
        <v>2443</v>
      </c>
      <c r="M1335" s="25" t="str">
        <f t="shared" si="634"/>
        <v>R</v>
      </c>
      <c r="N1335" s="25" t="str">
        <f>IF(L1335&lt;&gt;"",VLOOKUP(L1335,Categories!$B$2:$D$41,2,FALSE),IF(F1335&lt;&gt;"","No Cat",""))</f>
        <v>Rate Base</v>
      </c>
      <c r="O1335" s="25" t="str">
        <f>IF($L1335&lt;&gt;"",VLOOKUP($L1335,Categories!$B$2:$D$41,3,FALSE),IF($F1335&lt;&gt;"","No Cat",""))</f>
        <v>Deferred Income Taxes</v>
      </c>
      <c r="P1335" s="736" t="s">
        <v>2482</v>
      </c>
      <c r="Q1335" s="25" t="str">
        <f>VLOOKUP($P1335,Allocators!$B$7:$F$19,5,FALSE)</f>
        <v>Electric</v>
      </c>
      <c r="R1335" s="737">
        <f>VLOOKUP($P1335,Allocators!$B$7:$F$19,2,FALSE)</f>
        <v>1</v>
      </c>
      <c r="S1335" s="737">
        <f>VLOOKUP($P1335,Allocators!$B$7:$F$19,3,FALSE)</f>
        <v>0</v>
      </c>
      <c r="T1335" s="737" t="str">
        <f t="shared" si="625"/>
        <v>0.0%</v>
      </c>
      <c r="U1335" s="2">
        <f t="shared" si="626"/>
        <v>591.96357416666694</v>
      </c>
      <c r="V1335" s="2">
        <f t="shared" si="627"/>
        <v>0</v>
      </c>
      <c r="W1335" s="2">
        <f t="shared" si="628"/>
        <v>0</v>
      </c>
      <c r="X1335" s="2">
        <f t="shared" si="621"/>
        <v>591.96357416666694</v>
      </c>
      <c r="Y1335" s="2">
        <f t="shared" si="629"/>
        <v>655.39491999999996</v>
      </c>
      <c r="Z1335" s="2">
        <f t="shared" si="630"/>
        <v>0</v>
      </c>
      <c r="AA1335" s="2">
        <f t="shared" si="631"/>
        <v>0</v>
      </c>
      <c r="AB1335" s="2">
        <f t="shared" si="622"/>
        <v>655.39492000000007</v>
      </c>
      <c r="AC1335" s="625">
        <v>540.94212000000005</v>
      </c>
      <c r="AD1335" s="625">
        <v>519.80736999999999</v>
      </c>
      <c r="AE1335" s="625">
        <v>527.28581999999994</v>
      </c>
      <c r="AF1335" s="625">
        <v>498.67261999999999</v>
      </c>
      <c r="AG1335" s="625">
        <v>519.80736999999999</v>
      </c>
      <c r="AH1335" s="625">
        <v>528.58642000000009</v>
      </c>
      <c r="AI1335" s="625">
        <v>697.66442000000006</v>
      </c>
      <c r="AJ1335" s="625">
        <v>655.39492000000007</v>
      </c>
      <c r="AK1335" s="625">
        <v>634.26017000000002</v>
      </c>
      <c r="AL1335" s="625">
        <v>655.39492000000007</v>
      </c>
      <c r="AM1335" s="625">
        <v>634.26017000000002</v>
      </c>
      <c r="AN1335" s="625">
        <v>634.26017000000002</v>
      </c>
      <c r="AO1335" s="625">
        <v>655.39492000000007</v>
      </c>
      <c r="AP1335" s="41" t="str">
        <f t="shared" si="617"/>
        <v>Def TaxR</v>
      </c>
      <c r="AQ1335" s="41" t="str">
        <f t="shared" si="618"/>
        <v>Def TaxRR11Claims Reserve</v>
      </c>
      <c r="AR1335" s="41" t="str">
        <f t="shared" si="619"/>
        <v>R11Claims Reserve</v>
      </c>
    </row>
    <row r="1336" spans="1:44" s="41" customFormat="1" ht="12.75" customHeight="1">
      <c r="A1336" s="25" t="s">
        <v>1590</v>
      </c>
      <c r="B1336" s="25" t="str">
        <f t="shared" si="620"/>
        <v>Def Tax190001190-075BT010042</v>
      </c>
      <c r="C1336" s="736">
        <v>190001</v>
      </c>
      <c r="D1336" s="735" t="s">
        <v>1637</v>
      </c>
      <c r="E1336" s="41" t="s">
        <v>1638</v>
      </c>
      <c r="F1336" s="41" t="str">
        <f t="shared" si="606"/>
        <v>ACCUM DEFERRED INC TAXES - FEDERAL - ELECTRIC</v>
      </c>
      <c r="G1336" s="41" t="s">
        <v>1639</v>
      </c>
      <c r="H1336" s="736" t="s">
        <v>1640</v>
      </c>
      <c r="I1336" s="25"/>
      <c r="J1336" s="25" t="str">
        <f t="shared" si="607"/>
        <v/>
      </c>
      <c r="K1336" s="442" t="str">
        <f t="shared" si="623"/>
        <v/>
      </c>
      <c r="L1336" s="736" t="s">
        <v>2443</v>
      </c>
      <c r="M1336" s="25" t="str">
        <f t="shared" si="634"/>
        <v>R</v>
      </c>
      <c r="N1336" s="25" t="str">
        <f>IF(L1336&lt;&gt;"",VLOOKUP(L1336,Categories!$B$2:$D$41,2,FALSE),IF(F1336&lt;&gt;"","No Cat",""))</f>
        <v>Rate Base</v>
      </c>
      <c r="O1336" s="25" t="str">
        <f>IF($L1336&lt;&gt;"",VLOOKUP($L1336,Categories!$B$2:$D$41,3,FALSE),IF($F1336&lt;&gt;"","No Cat",""))</f>
        <v>Deferred Income Taxes</v>
      </c>
      <c r="P1336" s="736" t="s">
        <v>2482</v>
      </c>
      <c r="Q1336" s="25" t="str">
        <f>VLOOKUP($P1336,Allocators!$B$7:$F$19,5,FALSE)</f>
        <v>Electric</v>
      </c>
      <c r="R1336" s="737">
        <f>VLOOKUP($P1336,Allocators!$B$7:$F$19,2,FALSE)</f>
        <v>1</v>
      </c>
      <c r="S1336" s="737">
        <f>VLOOKUP($P1336,Allocators!$B$7:$F$19,3,FALSE)</f>
        <v>0</v>
      </c>
      <c r="T1336" s="737" t="str">
        <f t="shared" si="625"/>
        <v>0.0%</v>
      </c>
      <c r="U1336" s="2" t="str">
        <f t="shared" si="626"/>
        <v/>
      </c>
      <c r="V1336" s="2" t="str">
        <f t="shared" si="627"/>
        <v/>
      </c>
      <c r="W1336" s="2" t="str">
        <f t="shared" si="628"/>
        <v/>
      </c>
      <c r="X1336" s="2">
        <f t="shared" si="621"/>
        <v>0</v>
      </c>
      <c r="Y1336" s="2" t="str">
        <f t="shared" si="629"/>
        <v/>
      </c>
      <c r="Z1336" s="2" t="str">
        <f t="shared" si="630"/>
        <v/>
      </c>
      <c r="AA1336" s="2" t="str">
        <f t="shared" si="631"/>
        <v/>
      </c>
      <c r="AB1336" s="2">
        <f t="shared" si="622"/>
        <v>0</v>
      </c>
      <c r="AC1336" s="625">
        <v>0</v>
      </c>
      <c r="AD1336" s="625">
        <v>0</v>
      </c>
      <c r="AE1336" s="625">
        <v>0</v>
      </c>
      <c r="AF1336" s="625">
        <v>0</v>
      </c>
      <c r="AG1336" s="625">
        <v>0</v>
      </c>
      <c r="AH1336" s="625">
        <v>0</v>
      </c>
      <c r="AI1336" s="625">
        <v>0</v>
      </c>
      <c r="AJ1336" s="625">
        <v>0</v>
      </c>
      <c r="AK1336" s="625">
        <v>0</v>
      </c>
      <c r="AL1336" s="625">
        <v>0</v>
      </c>
      <c r="AM1336" s="625">
        <v>0</v>
      </c>
      <c r="AN1336" s="625">
        <v>0</v>
      </c>
      <c r="AO1336" s="625">
        <v>0</v>
      </c>
      <c r="AP1336" s="41" t="str">
        <f t="shared" si="617"/>
        <v>Def TaxR</v>
      </c>
      <c r="AQ1336" s="41" t="str">
        <f t="shared" si="618"/>
        <v xml:space="preserve">Def TaxRR11Contractor Settlement </v>
      </c>
      <c r="AR1336" s="41" t="str">
        <f t="shared" si="619"/>
        <v xml:space="preserve">R11Contractor Settlement </v>
      </c>
    </row>
    <row r="1337" spans="1:44" s="41" customFormat="1" ht="12.75" customHeight="1">
      <c r="A1337" s="25" t="s">
        <v>1590</v>
      </c>
      <c r="B1337" s="25" t="str">
        <f t="shared" ref="B1337" si="635">CONCATENATE(A1337,C1337,D1337,E1337)</f>
        <v>Def Tax190001BT010041</v>
      </c>
      <c r="C1337" s="736">
        <v>190001</v>
      </c>
      <c r="D1337" s="735"/>
      <c r="E1337" s="41" t="s">
        <v>4107</v>
      </c>
      <c r="F1337" s="41" t="str">
        <f t="shared" si="606"/>
        <v>ACCUM DEFERRED INC TAXES - FEDERAL - ELECTRIC</v>
      </c>
      <c r="G1337" s="41" t="s">
        <v>4106</v>
      </c>
      <c r="H1337" s="736" t="s">
        <v>4106</v>
      </c>
      <c r="I1337" s="25"/>
      <c r="J1337" s="25" t="str">
        <f t="shared" ref="J1337" si="636">IF(L1337="N10","Y",IF(L1337="N8","Y",""))</f>
        <v/>
      </c>
      <c r="K1337" s="442" t="str">
        <f t="shared" si="623"/>
        <v/>
      </c>
      <c r="L1337" s="736" t="s">
        <v>2443</v>
      </c>
      <c r="M1337" s="25" t="str">
        <f t="shared" ref="M1337" si="637">LEFT(L1337,1)</f>
        <v>R</v>
      </c>
      <c r="N1337" s="25" t="str">
        <f>IF(L1337&lt;&gt;"",VLOOKUP(L1337,Categories!$B$2:$D$41,2,FALSE),IF(F1337&lt;&gt;"","No Cat",""))</f>
        <v>Rate Base</v>
      </c>
      <c r="O1337" s="25" t="str">
        <f>IF($L1337&lt;&gt;"",VLOOKUP($L1337,Categories!$B$2:$D$41,3,FALSE),IF($F1337&lt;&gt;"","No Cat",""))</f>
        <v>Deferred Income Taxes</v>
      </c>
      <c r="P1337" s="736" t="s">
        <v>2482</v>
      </c>
      <c r="Q1337" s="25" t="str">
        <f>VLOOKUP($P1337,Allocators!$B$7:$F$19,5,FALSE)</f>
        <v>Electric</v>
      </c>
      <c r="R1337" s="737">
        <f>VLOOKUP($P1337,Allocators!$B$7:$F$19,2,FALSE)</f>
        <v>1</v>
      </c>
      <c r="S1337" s="737">
        <f>VLOOKUP($P1337,Allocators!$B$7:$F$19,3,FALSE)</f>
        <v>0</v>
      </c>
      <c r="T1337" s="737" t="str">
        <f t="shared" ref="T1337" si="638">IF(P1337="N",1,"0.0%")</f>
        <v>0.0%</v>
      </c>
      <c r="U1337" s="2">
        <f t="shared" si="626"/>
        <v>388.61928</v>
      </c>
      <c r="V1337" s="2">
        <f t="shared" si="627"/>
        <v>0</v>
      </c>
      <c r="W1337" s="2">
        <f t="shared" si="628"/>
        <v>0</v>
      </c>
      <c r="X1337" s="2">
        <f t="shared" si="621"/>
        <v>388.61928</v>
      </c>
      <c r="Y1337" s="2">
        <f t="shared" si="629"/>
        <v>388.61928</v>
      </c>
      <c r="Z1337" s="2">
        <f t="shared" si="630"/>
        <v>0</v>
      </c>
      <c r="AA1337" s="2">
        <f t="shared" si="631"/>
        <v>0</v>
      </c>
      <c r="AB1337" s="2">
        <f t="shared" si="622"/>
        <v>388.61928</v>
      </c>
      <c r="AC1337" s="625">
        <v>388.61928</v>
      </c>
      <c r="AD1337" s="625">
        <v>388.61928</v>
      </c>
      <c r="AE1337" s="625">
        <v>388.61928</v>
      </c>
      <c r="AF1337" s="625">
        <v>388.61928</v>
      </c>
      <c r="AG1337" s="625">
        <v>388.61928</v>
      </c>
      <c r="AH1337" s="625">
        <v>388.61928</v>
      </c>
      <c r="AI1337" s="625">
        <v>388.61928</v>
      </c>
      <c r="AJ1337" s="625">
        <v>388.61928</v>
      </c>
      <c r="AK1337" s="625">
        <v>388.61928</v>
      </c>
      <c r="AL1337" s="625">
        <v>388.61928</v>
      </c>
      <c r="AM1337" s="625">
        <v>388.61928</v>
      </c>
      <c r="AN1337" s="625">
        <v>388.61928</v>
      </c>
      <c r="AO1337" s="625">
        <v>388.61928</v>
      </c>
      <c r="AP1337" s="41" t="str">
        <f t="shared" si="617"/>
        <v>Def TaxR</v>
      </c>
      <c r="AQ1337" s="41" t="str">
        <f t="shared" si="618"/>
        <v>Def TaxRR11Consulting Contract Reserve</v>
      </c>
      <c r="AR1337" s="41" t="str">
        <f t="shared" si="619"/>
        <v>R11Consulting Contract Reserve</v>
      </c>
    </row>
    <row r="1338" spans="1:44" s="41" customFormat="1" ht="12.75" customHeight="1">
      <c r="A1338" s="25" t="s">
        <v>1590</v>
      </c>
      <c r="B1338" s="25" t="str">
        <f t="shared" si="620"/>
        <v>Def Tax190001190-014BT010050</v>
      </c>
      <c r="C1338" s="736">
        <v>190001</v>
      </c>
      <c r="D1338" s="735" t="s">
        <v>1641</v>
      </c>
      <c r="E1338" s="41" t="s">
        <v>1642</v>
      </c>
      <c r="F1338" s="41" t="str">
        <f t="shared" si="606"/>
        <v>ACCUM DEFERRED INC TAXES - FEDERAL - ELECTRIC</v>
      </c>
      <c r="G1338" s="41" t="s">
        <v>1643</v>
      </c>
      <c r="H1338" s="736" t="s">
        <v>1644</v>
      </c>
      <c r="I1338" s="25"/>
      <c r="J1338" s="25" t="str">
        <f t="shared" si="607"/>
        <v/>
      </c>
      <c r="K1338" s="442" t="str">
        <f t="shared" si="623"/>
        <v/>
      </c>
      <c r="L1338" s="736" t="s">
        <v>2443</v>
      </c>
      <c r="M1338" s="25" t="str">
        <f t="shared" si="634"/>
        <v>R</v>
      </c>
      <c r="N1338" s="25" t="str">
        <f>IF(L1338&lt;&gt;"",VLOOKUP(L1338,Categories!$B$2:$D$41,2,FALSE),IF(F1338&lt;&gt;"","No Cat",""))</f>
        <v>Rate Base</v>
      </c>
      <c r="O1338" s="25" t="str">
        <f>IF($L1338&lt;&gt;"",VLOOKUP($L1338,Categories!$B$2:$D$41,3,FALSE),IF($F1338&lt;&gt;"","No Cat",""))</f>
        <v>Deferred Income Taxes</v>
      </c>
      <c r="P1338" s="736" t="s">
        <v>2482</v>
      </c>
      <c r="Q1338" s="25" t="str">
        <f>VLOOKUP($P1338,Allocators!$B$7:$F$19,5,FALSE)</f>
        <v>Electric</v>
      </c>
      <c r="R1338" s="737">
        <f>VLOOKUP($P1338,Allocators!$B$7:$F$19,2,FALSE)</f>
        <v>1</v>
      </c>
      <c r="S1338" s="737">
        <f>VLOOKUP($P1338,Allocators!$B$7:$F$19,3,FALSE)</f>
        <v>0</v>
      </c>
      <c r="T1338" s="737" t="str">
        <f t="shared" si="625"/>
        <v>0.0%</v>
      </c>
      <c r="U1338" s="2" t="str">
        <f t="shared" si="626"/>
        <v/>
      </c>
      <c r="V1338" s="2" t="str">
        <f t="shared" si="627"/>
        <v/>
      </c>
      <c r="W1338" s="2" t="str">
        <f t="shared" si="628"/>
        <v/>
      </c>
      <c r="X1338" s="2">
        <f t="shared" si="621"/>
        <v>0</v>
      </c>
      <c r="Y1338" s="2" t="str">
        <f t="shared" si="629"/>
        <v/>
      </c>
      <c r="Z1338" s="2" t="str">
        <f t="shared" si="630"/>
        <v/>
      </c>
      <c r="AA1338" s="2" t="str">
        <f t="shared" si="631"/>
        <v/>
      </c>
      <c r="AB1338" s="2">
        <f t="shared" si="622"/>
        <v>0</v>
      </c>
      <c r="AC1338" s="625">
        <v>0</v>
      </c>
      <c r="AD1338" s="625">
        <v>0</v>
      </c>
      <c r="AE1338" s="625">
        <v>0</v>
      </c>
      <c r="AF1338" s="625">
        <v>0</v>
      </c>
      <c r="AG1338" s="625">
        <v>0</v>
      </c>
      <c r="AH1338" s="625">
        <v>0</v>
      </c>
      <c r="AI1338" s="625">
        <v>0</v>
      </c>
      <c r="AJ1338" s="625">
        <v>0</v>
      </c>
      <c r="AK1338" s="625">
        <v>0</v>
      </c>
      <c r="AL1338" s="625">
        <v>0</v>
      </c>
      <c r="AM1338" s="625">
        <v>0</v>
      </c>
      <c r="AN1338" s="625">
        <v>0</v>
      </c>
      <c r="AO1338" s="625">
        <v>0</v>
      </c>
      <c r="AP1338" s="41" t="str">
        <f t="shared" si="617"/>
        <v>Def TaxR</v>
      </c>
      <c r="AQ1338" s="41" t="str">
        <f t="shared" si="618"/>
        <v>Def TaxRR11Decommissioning Income</v>
      </c>
      <c r="AR1338" s="41" t="str">
        <f t="shared" si="619"/>
        <v>R11Decommissioning Income</v>
      </c>
    </row>
    <row r="1339" spans="1:44" s="41" customFormat="1" ht="12.75" customHeight="1">
      <c r="A1339" s="25" t="s">
        <v>1590</v>
      </c>
      <c r="B1339" s="25" t="str">
        <f t="shared" si="620"/>
        <v>Def Tax190001190-044BTHUNGDT</v>
      </c>
      <c r="C1339" s="736">
        <v>190001</v>
      </c>
      <c r="D1339" s="735" t="s">
        <v>1645</v>
      </c>
      <c r="E1339" s="41" t="s">
        <v>1624</v>
      </c>
      <c r="F1339" s="41" t="str">
        <f t="shared" si="606"/>
        <v>ACCUM DEFERRED INC TAXES - FEDERAL - ELECTRIC</v>
      </c>
      <c r="G1339" s="41" t="s">
        <v>1646</v>
      </c>
      <c r="H1339" s="736" t="s">
        <v>1647</v>
      </c>
      <c r="I1339" s="25"/>
      <c r="J1339" s="25" t="str">
        <f t="shared" si="607"/>
        <v/>
      </c>
      <c r="K1339" s="442" t="str">
        <f t="shared" si="623"/>
        <v/>
      </c>
      <c r="L1339" s="736" t="s">
        <v>2443</v>
      </c>
      <c r="M1339" s="25" t="str">
        <f t="shared" si="634"/>
        <v>R</v>
      </c>
      <c r="N1339" s="25" t="str">
        <f>IF(L1339&lt;&gt;"",VLOOKUP(L1339,Categories!$B$2:$D$41,2,FALSE),IF(F1339&lt;&gt;"","No Cat",""))</f>
        <v>Rate Base</v>
      </c>
      <c r="O1339" s="25" t="str">
        <f>IF($L1339&lt;&gt;"",VLOOKUP($L1339,Categories!$B$2:$D$41,3,FALSE),IF($F1339&lt;&gt;"","No Cat",""))</f>
        <v>Deferred Income Taxes</v>
      </c>
      <c r="P1339" s="736" t="s">
        <v>2482</v>
      </c>
      <c r="Q1339" s="25" t="str">
        <f>VLOOKUP($P1339,Allocators!$B$7:$F$19,5,FALSE)</f>
        <v>Electric</v>
      </c>
      <c r="R1339" s="737">
        <f>VLOOKUP($P1339,Allocators!$B$7:$F$19,2,FALSE)</f>
        <v>1</v>
      </c>
      <c r="S1339" s="737">
        <f>VLOOKUP($P1339,Allocators!$B$7:$F$19,3,FALSE)</f>
        <v>0</v>
      </c>
      <c r="T1339" s="737" t="str">
        <f t="shared" si="625"/>
        <v>0.0%</v>
      </c>
      <c r="U1339" s="2" t="str">
        <f t="shared" si="626"/>
        <v/>
      </c>
      <c r="V1339" s="2" t="str">
        <f t="shared" si="627"/>
        <v/>
      </c>
      <c r="W1339" s="2" t="str">
        <f t="shared" si="628"/>
        <v/>
      </c>
      <c r="X1339" s="2">
        <f t="shared" si="621"/>
        <v>0</v>
      </c>
      <c r="Y1339" s="2" t="str">
        <f t="shared" si="629"/>
        <v/>
      </c>
      <c r="Z1339" s="2" t="str">
        <f t="shared" si="630"/>
        <v/>
      </c>
      <c r="AA1339" s="2" t="str">
        <f t="shared" si="631"/>
        <v/>
      </c>
      <c r="AB1339" s="2">
        <f t="shared" si="622"/>
        <v>0</v>
      </c>
      <c r="AC1339" s="625">
        <v>0</v>
      </c>
      <c r="AD1339" s="625">
        <v>0</v>
      </c>
      <c r="AE1339" s="625">
        <v>0</v>
      </c>
      <c r="AF1339" s="625">
        <v>0</v>
      </c>
      <c r="AG1339" s="625">
        <v>0</v>
      </c>
      <c r="AH1339" s="625">
        <v>0</v>
      </c>
      <c r="AI1339" s="625">
        <v>0</v>
      </c>
      <c r="AJ1339" s="625">
        <v>0</v>
      </c>
      <c r="AK1339" s="625">
        <v>0</v>
      </c>
      <c r="AL1339" s="625">
        <v>0</v>
      </c>
      <c r="AM1339" s="625">
        <v>0</v>
      </c>
      <c r="AN1339" s="625">
        <v>0</v>
      </c>
      <c r="AO1339" s="625">
        <v>0</v>
      </c>
      <c r="AP1339" s="41" t="str">
        <f t="shared" si="617"/>
        <v>Def TaxR</v>
      </c>
      <c r="AQ1339" s="41" t="str">
        <f t="shared" si="618"/>
        <v>Def TaxRR11Deferred Comp</v>
      </c>
      <c r="AR1339" s="41" t="str">
        <f t="shared" si="619"/>
        <v>R11Deferred Comp</v>
      </c>
    </row>
    <row r="1340" spans="1:44" s="41" customFormat="1" ht="12.75" customHeight="1">
      <c r="A1340" s="25" t="s">
        <v>1590</v>
      </c>
      <c r="B1340" s="25" t="str">
        <f t="shared" si="620"/>
        <v>Def Tax190001190-089BTHUNGDT</v>
      </c>
      <c r="C1340" s="736">
        <v>190001</v>
      </c>
      <c r="D1340" s="735" t="s">
        <v>1648</v>
      </c>
      <c r="E1340" s="41" t="s">
        <v>1624</v>
      </c>
      <c r="F1340" s="41" t="str">
        <f t="shared" si="606"/>
        <v>ACCUM DEFERRED INC TAXES - FEDERAL - ELECTRIC</v>
      </c>
      <c r="G1340" s="41" t="s">
        <v>1649</v>
      </c>
      <c r="H1340" s="736" t="s">
        <v>1629</v>
      </c>
      <c r="I1340" s="25"/>
      <c r="J1340" s="25" t="str">
        <f t="shared" si="607"/>
        <v/>
      </c>
      <c r="K1340" s="442" t="str">
        <f t="shared" si="623"/>
        <v/>
      </c>
      <c r="L1340" s="736" t="s">
        <v>2443</v>
      </c>
      <c r="M1340" s="25" t="str">
        <f t="shared" si="634"/>
        <v>R</v>
      </c>
      <c r="N1340" s="25" t="str">
        <f>IF(L1340&lt;&gt;"",VLOOKUP(L1340,Categories!$B$2:$D$41,2,FALSE),IF(F1340&lt;&gt;"","No Cat",""))</f>
        <v>Rate Base</v>
      </c>
      <c r="O1340" s="25" t="str">
        <f>IF($L1340&lt;&gt;"",VLOOKUP($L1340,Categories!$B$2:$D$41,3,FALSE),IF($F1340&lt;&gt;"","No Cat",""))</f>
        <v>Deferred Income Taxes</v>
      </c>
      <c r="P1340" s="736" t="s">
        <v>2482</v>
      </c>
      <c r="Q1340" s="25" t="str">
        <f>VLOOKUP($P1340,Allocators!$B$7:$F$19,5,FALSE)</f>
        <v>Electric</v>
      </c>
      <c r="R1340" s="737">
        <f>VLOOKUP($P1340,Allocators!$B$7:$F$19,2,FALSE)</f>
        <v>1</v>
      </c>
      <c r="S1340" s="737">
        <f>VLOOKUP($P1340,Allocators!$B$7:$F$19,3,FALSE)</f>
        <v>0</v>
      </c>
      <c r="T1340" s="737" t="str">
        <f t="shared" si="625"/>
        <v>0.0%</v>
      </c>
      <c r="U1340" s="2" t="str">
        <f t="shared" si="626"/>
        <v/>
      </c>
      <c r="V1340" s="2" t="str">
        <f t="shared" si="627"/>
        <v/>
      </c>
      <c r="W1340" s="2" t="str">
        <f t="shared" si="628"/>
        <v/>
      </c>
      <c r="X1340" s="2">
        <f t="shared" si="621"/>
        <v>0</v>
      </c>
      <c r="Y1340" s="2" t="str">
        <f t="shared" si="629"/>
        <v/>
      </c>
      <c r="Z1340" s="2" t="str">
        <f t="shared" si="630"/>
        <v/>
      </c>
      <c r="AA1340" s="2" t="str">
        <f t="shared" si="631"/>
        <v/>
      </c>
      <c r="AB1340" s="2">
        <f t="shared" si="622"/>
        <v>0</v>
      </c>
      <c r="AC1340" s="625">
        <v>0</v>
      </c>
      <c r="AD1340" s="625">
        <v>0</v>
      </c>
      <c r="AE1340" s="625">
        <v>0</v>
      </c>
      <c r="AF1340" s="625">
        <v>0</v>
      </c>
      <c r="AG1340" s="625">
        <v>0</v>
      </c>
      <c r="AH1340" s="625">
        <v>0</v>
      </c>
      <c r="AI1340" s="625">
        <v>0</v>
      </c>
      <c r="AJ1340" s="625">
        <v>0</v>
      </c>
      <c r="AK1340" s="625">
        <v>0</v>
      </c>
      <c r="AL1340" s="625">
        <v>0</v>
      </c>
      <c r="AM1340" s="625">
        <v>0</v>
      </c>
      <c r="AN1340" s="625">
        <v>0</v>
      </c>
      <c r="AO1340" s="625">
        <v>0</v>
      </c>
      <c r="AP1340" s="41" t="str">
        <f t="shared" si="617"/>
        <v>Def TaxR</v>
      </c>
      <c r="AQ1340" s="41" t="str">
        <f t="shared" si="618"/>
        <v>Def TaxRR11Merger Related</v>
      </c>
      <c r="AR1340" s="41" t="str">
        <f t="shared" si="619"/>
        <v>R11Merger Related</v>
      </c>
    </row>
    <row r="1341" spans="1:44" s="41" customFormat="1" ht="12.75" customHeight="1">
      <c r="A1341" s="25" t="s">
        <v>1590</v>
      </c>
      <c r="B1341" s="25" t="str">
        <f t="shared" si="620"/>
        <v>Def Tax190001283-032BT010088</v>
      </c>
      <c r="C1341" s="736">
        <v>190001</v>
      </c>
      <c r="D1341" s="735" t="s">
        <v>1650</v>
      </c>
      <c r="E1341" s="41" t="s">
        <v>1651</v>
      </c>
      <c r="F1341" s="41" t="str">
        <f t="shared" si="606"/>
        <v>ACCUM DEFERRED INC TAXES - FEDERAL - ELECTRIC</v>
      </c>
      <c r="G1341" s="41" t="s">
        <v>1652</v>
      </c>
      <c r="H1341" s="736" t="s">
        <v>1586</v>
      </c>
      <c r="I1341" s="25"/>
      <c r="J1341" s="25" t="str">
        <f t="shared" si="607"/>
        <v/>
      </c>
      <c r="K1341" s="442" t="str">
        <f t="shared" si="623"/>
        <v/>
      </c>
      <c r="L1341" s="736" t="s">
        <v>2443</v>
      </c>
      <c r="M1341" s="25" t="str">
        <f t="shared" si="634"/>
        <v>R</v>
      </c>
      <c r="N1341" s="25" t="str">
        <f>IF(L1341&lt;&gt;"",VLOOKUP(L1341,Categories!$B$2:$D$41,2,FALSE),IF(F1341&lt;&gt;"","No Cat",""))</f>
        <v>Rate Base</v>
      </c>
      <c r="O1341" s="25" t="str">
        <f>IF($L1341&lt;&gt;"",VLOOKUP($L1341,Categories!$B$2:$D$41,3,FALSE),IF($F1341&lt;&gt;"","No Cat",""))</f>
        <v>Deferred Income Taxes</v>
      </c>
      <c r="P1341" s="736" t="s">
        <v>2482</v>
      </c>
      <c r="Q1341" s="25" t="str">
        <f>VLOOKUP($P1341,Allocators!$B$7:$F$19,5,FALSE)</f>
        <v>Electric</v>
      </c>
      <c r="R1341" s="737">
        <f>VLOOKUP($P1341,Allocators!$B$7:$F$19,2,FALSE)</f>
        <v>1</v>
      </c>
      <c r="S1341" s="737">
        <f>VLOOKUP($P1341,Allocators!$B$7:$F$19,3,FALSE)</f>
        <v>0</v>
      </c>
      <c r="T1341" s="737" t="str">
        <f t="shared" si="625"/>
        <v>0.0%</v>
      </c>
      <c r="U1341" s="2" t="str">
        <f t="shared" si="626"/>
        <v/>
      </c>
      <c r="V1341" s="2" t="str">
        <f t="shared" si="627"/>
        <v/>
      </c>
      <c r="W1341" s="2" t="str">
        <f t="shared" si="628"/>
        <v/>
      </c>
      <c r="X1341" s="2">
        <f t="shared" si="621"/>
        <v>0</v>
      </c>
      <c r="Y1341" s="2" t="str">
        <f t="shared" si="629"/>
        <v/>
      </c>
      <c r="Z1341" s="2" t="str">
        <f t="shared" si="630"/>
        <v/>
      </c>
      <c r="AA1341" s="2" t="str">
        <f t="shared" si="631"/>
        <v/>
      </c>
      <c r="AB1341" s="2">
        <f t="shared" si="622"/>
        <v>0</v>
      </c>
      <c r="AC1341" s="625">
        <v>0</v>
      </c>
      <c r="AD1341" s="625">
        <v>0</v>
      </c>
      <c r="AE1341" s="625">
        <v>0</v>
      </c>
      <c r="AF1341" s="625">
        <v>0</v>
      </c>
      <c r="AG1341" s="625">
        <v>0</v>
      </c>
      <c r="AH1341" s="625">
        <v>0</v>
      </c>
      <c r="AI1341" s="625">
        <v>0</v>
      </c>
      <c r="AJ1341" s="625">
        <v>0</v>
      </c>
      <c r="AK1341" s="625">
        <v>0</v>
      </c>
      <c r="AL1341" s="625">
        <v>0</v>
      </c>
      <c r="AM1341" s="625">
        <v>0</v>
      </c>
      <c r="AN1341" s="625">
        <v>0</v>
      </c>
      <c r="AO1341" s="625">
        <v>0</v>
      </c>
      <c r="AP1341" s="41" t="str">
        <f t="shared" si="617"/>
        <v>Def TaxR</v>
      </c>
      <c r="AQ1341" s="41" t="str">
        <f t="shared" si="618"/>
        <v>Def TaxRR11FAS 112</v>
      </c>
      <c r="AR1341" s="41" t="str">
        <f t="shared" si="619"/>
        <v>R11FAS 112</v>
      </c>
    </row>
    <row r="1342" spans="1:44" s="41" customFormat="1" ht="12.75" customHeight="1">
      <c r="A1342" s="25" t="s">
        <v>1590</v>
      </c>
      <c r="B1342" s="25" t="str">
        <f t="shared" ref="B1342" si="639">CONCATENATE(A1342,C1342,D1342,E1342)</f>
        <v>Def Tax190001BT010119</v>
      </c>
      <c r="C1342" s="736">
        <v>190001</v>
      </c>
      <c r="D1342" s="735"/>
      <c r="E1342" s="41" t="s">
        <v>4292</v>
      </c>
      <c r="F1342" s="41" t="str">
        <f t="shared" si="606"/>
        <v>ACCUM DEFERRED INC TAXES - FEDERAL - ELECTRIC</v>
      </c>
      <c r="G1342" s="41" t="s">
        <v>4291</v>
      </c>
      <c r="H1342" s="736" t="s">
        <v>2559</v>
      </c>
      <c r="I1342" s="25"/>
      <c r="J1342" s="25"/>
      <c r="K1342" s="442" t="str">
        <f t="shared" si="623"/>
        <v/>
      </c>
      <c r="L1342" s="736" t="s">
        <v>2393</v>
      </c>
      <c r="M1342" s="25" t="str">
        <f t="shared" si="634"/>
        <v>A</v>
      </c>
      <c r="N1342" s="25" t="str">
        <f>IF(L1342&lt;&gt;"",VLOOKUP(L1342,Categories!$B$2:$D$41,2,FALSE),IF(F1342&lt;&gt;"","No Cat",""))</f>
        <v>All Other</v>
      </c>
      <c r="O1342" s="25" t="str">
        <f>IF($L1342&lt;&gt;"",VLOOKUP($L1342,Categories!$B$2:$D$41,3,FALSE),IF($F1342&lt;&gt;"","No Cat",""))</f>
        <v>EB-Cap</v>
      </c>
      <c r="P1342" s="736" t="s">
        <v>2490</v>
      </c>
      <c r="Q1342" s="25" t="str">
        <f>VLOOKUP($P1342,Allocators!$B$7:$F$19,5,FALSE)</f>
        <v>Rate Base</v>
      </c>
      <c r="R1342" s="737">
        <f>VLOOKUP($P1342,Allocators!$B$7:$F$19,2,FALSE)</f>
        <v>0.70940000000000003</v>
      </c>
      <c r="S1342" s="737">
        <f>VLOOKUP($P1342,Allocators!$B$7:$F$19,3,FALSE)</f>
        <v>0.29060000000000002</v>
      </c>
      <c r="T1342" s="737" t="str">
        <f t="shared" si="625"/>
        <v>0.0%</v>
      </c>
      <c r="U1342" s="2">
        <f t="shared" si="626"/>
        <v>-2.8928785170833402</v>
      </c>
      <c r="V1342" s="2">
        <f t="shared" si="627"/>
        <v>-1.18504439958333</v>
      </c>
      <c r="W1342" s="2">
        <f t="shared" si="628"/>
        <v>0</v>
      </c>
      <c r="X1342" s="2">
        <f t="shared" si="621"/>
        <v>-4.0779229166666697</v>
      </c>
      <c r="Y1342" s="2">
        <f t="shared" si="629"/>
        <v>-45.440297770000001</v>
      </c>
      <c r="Z1342" s="2">
        <f t="shared" si="630"/>
        <v>-18.614252230000002</v>
      </c>
      <c r="AA1342" s="2">
        <f t="shared" si="631"/>
        <v>0</v>
      </c>
      <c r="AB1342" s="2">
        <f t="shared" si="622"/>
        <v>-64.054550000000006</v>
      </c>
      <c r="AC1342" s="625">
        <v>74.134199999999993</v>
      </c>
      <c r="AD1342" s="625">
        <v>74.134199999999993</v>
      </c>
      <c r="AE1342" s="625">
        <v>74.134199999999993</v>
      </c>
      <c r="AF1342" s="625">
        <v>86.164749999999998</v>
      </c>
      <c r="AG1342" s="625">
        <v>86.164749999999998</v>
      </c>
      <c r="AH1342" s="625">
        <v>86.164749999999998</v>
      </c>
      <c r="AI1342" s="625">
        <v>-89.091100000000012</v>
      </c>
      <c r="AJ1342" s="625">
        <v>-89.091100000000012</v>
      </c>
      <c r="AK1342" s="625">
        <v>-86.164749999999998</v>
      </c>
      <c r="AL1342" s="625">
        <v>-67.306049999999999</v>
      </c>
      <c r="AM1342" s="625">
        <v>-65.355149999999995</v>
      </c>
      <c r="AN1342" s="625">
        <v>-63.729399999999998</v>
      </c>
      <c r="AO1342" s="625">
        <v>-64.054550000000006</v>
      </c>
      <c r="AP1342" s="41" t="str">
        <f t="shared" si="617"/>
        <v>Def TaxA</v>
      </c>
      <c r="AQ1342" s="41" t="str">
        <f t="shared" si="618"/>
        <v>Def TaxAA2Fin 48 Reclass</v>
      </c>
      <c r="AR1342" s="41" t="str">
        <f t="shared" si="619"/>
        <v>A2Fin 48 Reclass</v>
      </c>
    </row>
    <row r="1343" spans="1:44" s="41" customFormat="1" ht="12.75" customHeight="1">
      <c r="A1343" s="25" t="s">
        <v>1590</v>
      </c>
      <c r="B1343" s="25" t="str">
        <f t="shared" si="620"/>
        <v>Def Tax190001190-053BTHUNGDT</v>
      </c>
      <c r="C1343" s="736">
        <v>190001</v>
      </c>
      <c r="D1343" s="735" t="s">
        <v>1653</v>
      </c>
      <c r="E1343" s="41" t="s">
        <v>1624</v>
      </c>
      <c r="F1343" s="41" t="str">
        <f t="shared" si="606"/>
        <v>ACCUM DEFERRED INC TAXES - FEDERAL - ELECTRIC</v>
      </c>
      <c r="G1343" s="41" t="s">
        <v>1654</v>
      </c>
      <c r="H1343" s="736">
        <v>0</v>
      </c>
      <c r="I1343" s="25"/>
      <c r="J1343" s="25" t="str">
        <f t="shared" si="607"/>
        <v/>
      </c>
      <c r="K1343" s="442" t="str">
        <f t="shared" si="623"/>
        <v/>
      </c>
      <c r="L1343" s="736" t="s">
        <v>2443</v>
      </c>
      <c r="M1343" s="25" t="str">
        <f t="shared" si="634"/>
        <v>R</v>
      </c>
      <c r="N1343" s="25" t="str">
        <f>IF(L1343&lt;&gt;"",VLOOKUP(L1343,Categories!$B$2:$D$41,2,FALSE),IF(F1343&lt;&gt;"","No Cat",""))</f>
        <v>Rate Base</v>
      </c>
      <c r="O1343" s="25" t="str">
        <f>IF($L1343&lt;&gt;"",VLOOKUP($L1343,Categories!$B$2:$D$41,3,FALSE),IF($F1343&lt;&gt;"","No Cat",""))</f>
        <v>Deferred Income Taxes</v>
      </c>
      <c r="P1343" s="736" t="s">
        <v>2482</v>
      </c>
      <c r="Q1343" s="25" t="str">
        <f>VLOOKUP($P1343,Allocators!$B$7:$F$19,5,FALSE)</f>
        <v>Electric</v>
      </c>
      <c r="R1343" s="737">
        <f>VLOOKUP($P1343,Allocators!$B$7:$F$19,2,FALSE)</f>
        <v>1</v>
      </c>
      <c r="S1343" s="737">
        <f>VLOOKUP($P1343,Allocators!$B$7:$F$19,3,FALSE)</f>
        <v>0</v>
      </c>
      <c r="T1343" s="737" t="str">
        <f t="shared" si="625"/>
        <v>0.0%</v>
      </c>
      <c r="U1343" s="2" t="str">
        <f t="shared" si="626"/>
        <v/>
      </c>
      <c r="V1343" s="2" t="str">
        <f t="shared" si="627"/>
        <v/>
      </c>
      <c r="W1343" s="2" t="str">
        <f t="shared" si="628"/>
        <v/>
      </c>
      <c r="X1343" s="2">
        <f t="shared" si="621"/>
        <v>0</v>
      </c>
      <c r="Y1343" s="2" t="str">
        <f t="shared" si="629"/>
        <v/>
      </c>
      <c r="Z1343" s="2" t="str">
        <f t="shared" si="630"/>
        <v/>
      </c>
      <c r="AA1343" s="2" t="str">
        <f t="shared" si="631"/>
        <v/>
      </c>
      <c r="AB1343" s="2">
        <f t="shared" si="622"/>
        <v>0</v>
      </c>
      <c r="AC1343" s="625">
        <v>0</v>
      </c>
      <c r="AD1343" s="625">
        <v>0</v>
      </c>
      <c r="AE1343" s="625">
        <v>0</v>
      </c>
      <c r="AF1343" s="625">
        <v>0</v>
      </c>
      <c r="AG1343" s="625">
        <v>0</v>
      </c>
      <c r="AH1343" s="625">
        <v>0</v>
      </c>
      <c r="AI1343" s="625">
        <v>0</v>
      </c>
      <c r="AJ1343" s="625">
        <v>0</v>
      </c>
      <c r="AK1343" s="625">
        <v>0</v>
      </c>
      <c r="AL1343" s="625">
        <v>0</v>
      </c>
      <c r="AM1343" s="625">
        <v>0</v>
      </c>
      <c r="AN1343" s="625">
        <v>0</v>
      </c>
      <c r="AO1343" s="625">
        <v>0</v>
      </c>
      <c r="AP1343" s="41" t="str">
        <f t="shared" si="617"/>
        <v>Def TaxR</v>
      </c>
      <c r="AQ1343" s="41" t="str">
        <f t="shared" si="618"/>
        <v>Def TaxRR110</v>
      </c>
      <c r="AR1343" s="41" t="str">
        <f t="shared" si="619"/>
        <v>R110</v>
      </c>
    </row>
    <row r="1344" spans="1:44" s="41" customFormat="1" ht="12.75" customHeight="1">
      <c r="A1344" s="25" t="s">
        <v>1590</v>
      </c>
      <c r="B1344" s="25" t="str">
        <f t="shared" ref="B1344" si="640">CONCATENATE(A1344,C1344,D1344,E1344)</f>
        <v>Def Tax190001BT010271</v>
      </c>
      <c r="C1344" s="736">
        <v>190001</v>
      </c>
      <c r="D1344" s="735"/>
      <c r="E1344" s="41" t="s">
        <v>4109</v>
      </c>
      <c r="F1344" s="41" t="str">
        <f t="shared" si="606"/>
        <v>ACCUM DEFERRED INC TAXES - FEDERAL - ELECTRIC</v>
      </c>
      <c r="G1344" s="41" t="s">
        <v>4108</v>
      </c>
      <c r="H1344" s="736" t="s">
        <v>4108</v>
      </c>
      <c r="I1344" s="25"/>
      <c r="J1344" s="25" t="str">
        <f t="shared" ref="J1344" si="641">IF(L1344="N10","Y",IF(L1344="N8","Y",""))</f>
        <v/>
      </c>
      <c r="K1344" s="442" t="str">
        <f t="shared" si="623"/>
        <v/>
      </c>
      <c r="L1344" s="736" t="s">
        <v>2443</v>
      </c>
      <c r="M1344" s="25" t="str">
        <f t="shared" ref="M1344" si="642">LEFT(L1344,1)</f>
        <v>R</v>
      </c>
      <c r="N1344" s="25" t="str">
        <f>IF(L1344&lt;&gt;"",VLOOKUP(L1344,Categories!$B$2:$D$41,2,FALSE),IF(F1344&lt;&gt;"","No Cat",""))</f>
        <v>Rate Base</v>
      </c>
      <c r="O1344" s="25" t="str">
        <f>IF($L1344&lt;&gt;"",VLOOKUP($L1344,Categories!$B$2:$D$41,3,FALSE),IF($F1344&lt;&gt;"","No Cat",""))</f>
        <v>Deferred Income Taxes</v>
      </c>
      <c r="P1344" s="736" t="s">
        <v>2482</v>
      </c>
      <c r="Q1344" s="25" t="str">
        <f>VLOOKUP($P1344,Allocators!$B$7:$F$19,5,FALSE)</f>
        <v>Electric</v>
      </c>
      <c r="R1344" s="737">
        <f>VLOOKUP($P1344,Allocators!$B$7:$F$19,2,FALSE)</f>
        <v>1</v>
      </c>
      <c r="S1344" s="737">
        <f>VLOOKUP($P1344,Allocators!$B$7:$F$19,3,FALSE)</f>
        <v>0</v>
      </c>
      <c r="T1344" s="737" t="str">
        <f t="shared" ref="T1344" si="643">IF(P1344="N",1,"0.0%")</f>
        <v>0.0%</v>
      </c>
      <c r="U1344" s="2">
        <f t="shared" si="626"/>
        <v>47.277659166666702</v>
      </c>
      <c r="V1344" s="2">
        <f t="shared" si="627"/>
        <v>0</v>
      </c>
      <c r="W1344" s="2">
        <f t="shared" si="628"/>
        <v>0</v>
      </c>
      <c r="X1344" s="2">
        <f t="shared" si="621"/>
        <v>47.277659166666702</v>
      </c>
      <c r="Y1344" s="2">
        <f t="shared" si="629"/>
        <v>155.93391</v>
      </c>
      <c r="Z1344" s="2">
        <f t="shared" si="630"/>
        <v>0</v>
      </c>
      <c r="AA1344" s="2">
        <f t="shared" si="631"/>
        <v>0</v>
      </c>
      <c r="AB1344" s="2">
        <f t="shared" si="622"/>
        <v>155.93391</v>
      </c>
      <c r="AC1344" s="625">
        <v>136.46303</v>
      </c>
      <c r="AD1344" s="625">
        <v>138.92116000000001</v>
      </c>
      <c r="AE1344" s="625">
        <v>141.10617000000002</v>
      </c>
      <c r="AF1344" s="625">
        <v>141.10617000000002</v>
      </c>
      <c r="AG1344" s="625">
        <v>-1.0000000000000001E-5</v>
      </c>
      <c r="AH1344" s="625">
        <v>-5.0000000000000002E-5</v>
      </c>
      <c r="AI1344" s="625">
        <v>0</v>
      </c>
      <c r="AJ1344" s="625">
        <v>0</v>
      </c>
      <c r="AK1344" s="625">
        <v>0</v>
      </c>
      <c r="AL1344" s="625">
        <v>0</v>
      </c>
      <c r="AM1344" s="625">
        <v>0</v>
      </c>
      <c r="AN1344" s="625">
        <v>0</v>
      </c>
      <c r="AO1344" s="625">
        <v>155.93391</v>
      </c>
      <c r="AP1344" s="41" t="str">
        <f t="shared" si="617"/>
        <v>Def TaxR</v>
      </c>
      <c r="AQ1344" s="41" t="str">
        <f t="shared" si="618"/>
        <v>Def TaxRR11GRT Audit Reserve</v>
      </c>
      <c r="AR1344" s="41" t="str">
        <f t="shared" si="619"/>
        <v>R11GRT Audit Reserve</v>
      </c>
    </row>
    <row r="1345" spans="1:44" s="41" customFormat="1" ht="12.75" customHeight="1">
      <c r="A1345" s="442" t="s">
        <v>1590</v>
      </c>
      <c r="B1345" s="442" t="str">
        <f t="shared" si="620"/>
        <v>Def Tax190001190-106BT010112</v>
      </c>
      <c r="C1345" s="736">
        <v>190001</v>
      </c>
      <c r="D1345" s="735" t="s">
        <v>1655</v>
      </c>
      <c r="E1345" s="626" t="s">
        <v>1656</v>
      </c>
      <c r="F1345" s="626" t="str">
        <f t="shared" si="606"/>
        <v>ACCUM DEFERRED INC TAXES - FEDERAL - ELECTRIC</v>
      </c>
      <c r="G1345" s="626" t="s">
        <v>1657</v>
      </c>
      <c r="H1345" s="736" t="s">
        <v>1658</v>
      </c>
      <c r="I1345" s="442"/>
      <c r="J1345" s="442" t="str">
        <f t="shared" si="607"/>
        <v/>
      </c>
      <c r="K1345" s="442" t="str">
        <f t="shared" si="623"/>
        <v/>
      </c>
      <c r="L1345" s="736" t="s">
        <v>2421</v>
      </c>
      <c r="M1345" s="442" t="str">
        <f t="shared" si="634"/>
        <v>N</v>
      </c>
      <c r="N1345" s="442" t="str">
        <f>IF(L1345&lt;&gt;"",VLOOKUP(L1345,Categories!$B$2:$D$41,2,FALSE),IF(F1345&lt;&gt;"","No Cat",""))</f>
        <v>NRBASE</v>
      </c>
      <c r="O1345" s="442" t="str">
        <f>IF($L1345&lt;&gt;"",VLOOKUP($L1345,Categories!$B$2:$D$41,3,FALSE),IF($F1345&lt;&gt;"","No Cat",""))</f>
        <v>Direct Assign Items Not in RB</v>
      </c>
      <c r="P1345" s="736" t="s">
        <v>2468</v>
      </c>
      <c r="Q1345" s="442" t="str">
        <f>VLOOKUP($P1345,Allocators!$B$7:$F$19,5,FALSE)</f>
        <v>Not in Rate Base</v>
      </c>
      <c r="R1345" s="737">
        <f>VLOOKUP($P1345,Allocators!$B$7:$F$19,2,FALSE)</f>
        <v>0</v>
      </c>
      <c r="S1345" s="737">
        <f>VLOOKUP($P1345,Allocators!$B$7:$F$19,3,FALSE)</f>
        <v>0</v>
      </c>
      <c r="T1345" s="737">
        <f t="shared" si="625"/>
        <v>1</v>
      </c>
      <c r="U1345" s="2">
        <f t="shared" si="626"/>
        <v>0</v>
      </c>
      <c r="V1345" s="2">
        <f t="shared" si="627"/>
        <v>0</v>
      </c>
      <c r="W1345" s="2">
        <f t="shared" si="628"/>
        <v>-2.1666666667000002E-5</v>
      </c>
      <c r="X1345" s="2">
        <f t="shared" si="621"/>
        <v>-2.1666666667000002E-5</v>
      </c>
      <c r="Y1345" s="2">
        <f t="shared" si="629"/>
        <v>0</v>
      </c>
      <c r="Z1345" s="2">
        <f t="shared" si="630"/>
        <v>0</v>
      </c>
      <c r="AA1345" s="2">
        <f t="shared" si="631"/>
        <v>-4.0000000000000003E-5</v>
      </c>
      <c r="AB1345" s="2">
        <f t="shared" si="622"/>
        <v>-4.0000000000000003E-5</v>
      </c>
      <c r="AC1345" s="625">
        <v>4.0000000000000002E-4</v>
      </c>
      <c r="AD1345" s="625">
        <v>-4.0000000000000003E-5</v>
      </c>
      <c r="AE1345" s="625">
        <v>-4.0000000000000003E-5</v>
      </c>
      <c r="AF1345" s="625">
        <v>-4.0000000000000003E-5</v>
      </c>
      <c r="AG1345" s="625">
        <v>-4.0000000000000003E-5</v>
      </c>
      <c r="AH1345" s="625">
        <v>-4.0000000000000003E-5</v>
      </c>
      <c r="AI1345" s="625">
        <v>-4.0000000000000003E-5</v>
      </c>
      <c r="AJ1345" s="625">
        <v>-4.0000000000000003E-5</v>
      </c>
      <c r="AK1345" s="625">
        <v>-4.0000000000000003E-5</v>
      </c>
      <c r="AL1345" s="625">
        <v>-4.0000000000000003E-5</v>
      </c>
      <c r="AM1345" s="625">
        <v>-4.0000000000000003E-5</v>
      </c>
      <c r="AN1345" s="625">
        <v>-4.0000000000000003E-5</v>
      </c>
      <c r="AO1345" s="625">
        <v>-4.0000000000000003E-5</v>
      </c>
      <c r="AP1345" s="41" t="str">
        <f t="shared" si="617"/>
        <v>Def TaxN</v>
      </c>
      <c r="AQ1345" s="41" t="str">
        <f t="shared" si="618"/>
        <v>Def TaxNN2Litigation</v>
      </c>
      <c r="AR1345" s="41" t="str">
        <f t="shared" si="619"/>
        <v>N2Litigation</v>
      </c>
    </row>
    <row r="1346" spans="1:44" s="41" customFormat="1" ht="12.75" customHeight="1">
      <c r="A1346" s="442" t="s">
        <v>1590</v>
      </c>
      <c r="B1346" s="442" t="str">
        <f t="shared" si="620"/>
        <v>Def Tax190001LTIBT010356</v>
      </c>
      <c r="C1346" s="736">
        <v>190001</v>
      </c>
      <c r="D1346" s="735" t="s">
        <v>1659</v>
      </c>
      <c r="E1346" s="626" t="s">
        <v>1660</v>
      </c>
      <c r="F1346" s="626" t="str">
        <f t="shared" si="606"/>
        <v>ACCUM DEFERRED INC TAXES - FEDERAL - ELECTRIC</v>
      </c>
      <c r="G1346" s="626" t="s">
        <v>1661</v>
      </c>
      <c r="H1346" s="736" t="s">
        <v>1661</v>
      </c>
      <c r="I1346" s="442"/>
      <c r="J1346" s="442" t="str">
        <f t="shared" si="607"/>
        <v/>
      </c>
      <c r="K1346" s="442" t="str">
        <f t="shared" si="623"/>
        <v/>
      </c>
      <c r="L1346" s="736" t="s">
        <v>2421</v>
      </c>
      <c r="M1346" s="442" t="str">
        <f t="shared" si="634"/>
        <v>N</v>
      </c>
      <c r="N1346" s="442" t="str">
        <f>IF(L1346&lt;&gt;"",VLOOKUP(L1346,Categories!$B$2:$D$41,2,FALSE),IF(F1346&lt;&gt;"","No Cat",""))</f>
        <v>NRBASE</v>
      </c>
      <c r="O1346" s="442" t="str">
        <f>IF($L1346&lt;&gt;"",VLOOKUP($L1346,Categories!$B$2:$D$41,3,FALSE),IF($F1346&lt;&gt;"","No Cat",""))</f>
        <v>Direct Assign Items Not in RB</v>
      </c>
      <c r="P1346" s="736" t="s">
        <v>2468</v>
      </c>
      <c r="Q1346" s="442" t="str">
        <f>VLOOKUP($P1346,Allocators!$B$7:$F$19,5,FALSE)</f>
        <v>Not in Rate Base</v>
      </c>
      <c r="R1346" s="737">
        <f>VLOOKUP($P1346,Allocators!$B$7:$F$19,2,FALSE)</f>
        <v>0</v>
      </c>
      <c r="S1346" s="737">
        <f>VLOOKUP($P1346,Allocators!$B$7:$F$19,3,FALSE)</f>
        <v>0</v>
      </c>
      <c r="T1346" s="737">
        <f t="shared" si="625"/>
        <v>1</v>
      </c>
      <c r="U1346" s="2">
        <f t="shared" si="626"/>
        <v>0</v>
      </c>
      <c r="V1346" s="2">
        <f t="shared" si="627"/>
        <v>0</v>
      </c>
      <c r="W1346" s="2">
        <f t="shared" si="628"/>
        <v>1.1228800000000001</v>
      </c>
      <c r="X1346" s="2">
        <f t="shared" si="621"/>
        <v>1.1228800000000001</v>
      </c>
      <c r="Y1346" s="2">
        <f t="shared" si="629"/>
        <v>0</v>
      </c>
      <c r="Z1346" s="2">
        <f t="shared" si="630"/>
        <v>0</v>
      </c>
      <c r="AA1346" s="2">
        <f t="shared" si="631"/>
        <v>26.949120000000001</v>
      </c>
      <c r="AB1346" s="2">
        <f t="shared" si="622"/>
        <v>26.949120000000001</v>
      </c>
      <c r="AC1346" s="625">
        <v>0</v>
      </c>
      <c r="AD1346" s="625">
        <v>0</v>
      </c>
      <c r="AE1346" s="625">
        <v>0</v>
      </c>
      <c r="AF1346" s="625">
        <v>0</v>
      </c>
      <c r="AG1346" s="625">
        <v>0</v>
      </c>
      <c r="AH1346" s="625">
        <v>0</v>
      </c>
      <c r="AI1346" s="625">
        <v>0</v>
      </c>
      <c r="AJ1346" s="625">
        <v>0</v>
      </c>
      <c r="AK1346" s="625">
        <v>0</v>
      </c>
      <c r="AL1346" s="625">
        <v>0</v>
      </c>
      <c r="AM1346" s="625">
        <v>0</v>
      </c>
      <c r="AN1346" s="625">
        <v>0</v>
      </c>
      <c r="AO1346" s="625">
        <v>26.949120000000001</v>
      </c>
      <c r="AP1346" s="41" t="str">
        <f t="shared" si="617"/>
        <v>Def TaxN</v>
      </c>
      <c r="AQ1346" s="41" t="str">
        <f t="shared" si="618"/>
        <v>Def TaxNN2Long Term Executive Incentive Plan</v>
      </c>
      <c r="AR1346" s="41" t="str">
        <f t="shared" si="619"/>
        <v>N2Long Term Executive Incentive Plan</v>
      </c>
    </row>
    <row r="1347" spans="1:44" s="41" customFormat="1" ht="12.75" customHeight="1">
      <c r="A1347" s="25" t="s">
        <v>1590</v>
      </c>
      <c r="B1347" s="25" t="str">
        <f t="shared" si="620"/>
        <v>Def Tax190001190-043BTHUNGDT</v>
      </c>
      <c r="C1347" s="736">
        <v>190001</v>
      </c>
      <c r="D1347" s="735" t="s">
        <v>1662</v>
      </c>
      <c r="E1347" s="41" t="s">
        <v>1624</v>
      </c>
      <c r="F1347" s="41" t="str">
        <f t="shared" si="606"/>
        <v>ACCUM DEFERRED INC TAXES - FEDERAL - ELECTRIC</v>
      </c>
      <c r="G1347" s="41" t="s">
        <v>1663</v>
      </c>
      <c r="H1347" s="736" t="s">
        <v>1664</v>
      </c>
      <c r="I1347" s="25"/>
      <c r="J1347" s="25" t="str">
        <f t="shared" si="607"/>
        <v/>
      </c>
      <c r="K1347" s="442" t="str">
        <f t="shared" si="623"/>
        <v/>
      </c>
      <c r="L1347" s="736" t="s">
        <v>2443</v>
      </c>
      <c r="M1347" s="25" t="str">
        <f t="shared" si="634"/>
        <v>R</v>
      </c>
      <c r="N1347" s="25" t="str">
        <f>IF(L1347&lt;&gt;"",VLOOKUP(L1347,Categories!$B$2:$D$41,2,FALSE),IF(F1347&lt;&gt;"","No Cat",""))</f>
        <v>Rate Base</v>
      </c>
      <c r="O1347" s="25" t="str">
        <f>IF($L1347&lt;&gt;"",VLOOKUP($L1347,Categories!$B$2:$D$41,3,FALSE),IF($F1347&lt;&gt;"","No Cat",""))</f>
        <v>Deferred Income Taxes</v>
      </c>
      <c r="P1347" s="736" t="s">
        <v>2482</v>
      </c>
      <c r="Q1347" s="25" t="str">
        <f>VLOOKUP($P1347,Allocators!$B$7:$F$19,5,FALSE)</f>
        <v>Electric</v>
      </c>
      <c r="R1347" s="737">
        <f>VLOOKUP($P1347,Allocators!$B$7:$F$19,2,FALSE)</f>
        <v>1</v>
      </c>
      <c r="S1347" s="737">
        <f>VLOOKUP($P1347,Allocators!$B$7:$F$19,3,FALSE)</f>
        <v>0</v>
      </c>
      <c r="T1347" s="737" t="str">
        <f t="shared" si="625"/>
        <v>0.0%</v>
      </c>
      <c r="U1347" s="2" t="str">
        <f t="shared" si="626"/>
        <v/>
      </c>
      <c r="V1347" s="2" t="str">
        <f t="shared" si="627"/>
        <v/>
      </c>
      <c r="W1347" s="2" t="str">
        <f t="shared" si="628"/>
        <v/>
      </c>
      <c r="X1347" s="2">
        <f t="shared" si="621"/>
        <v>0</v>
      </c>
      <c r="Y1347" s="2" t="str">
        <f t="shared" si="629"/>
        <v/>
      </c>
      <c r="Z1347" s="2" t="str">
        <f t="shared" si="630"/>
        <v/>
      </c>
      <c r="AA1347" s="2" t="str">
        <f t="shared" si="631"/>
        <v/>
      </c>
      <c r="AB1347" s="2">
        <f t="shared" si="622"/>
        <v>0</v>
      </c>
      <c r="AC1347" s="625">
        <v>0</v>
      </c>
      <c r="AD1347" s="625">
        <v>0</v>
      </c>
      <c r="AE1347" s="625">
        <v>0</v>
      </c>
      <c r="AF1347" s="625">
        <v>0</v>
      </c>
      <c r="AG1347" s="625">
        <v>0</v>
      </c>
      <c r="AH1347" s="625">
        <v>0</v>
      </c>
      <c r="AI1347" s="625">
        <v>0</v>
      </c>
      <c r="AJ1347" s="625">
        <v>0</v>
      </c>
      <c r="AK1347" s="625">
        <v>0</v>
      </c>
      <c r="AL1347" s="625">
        <v>0</v>
      </c>
      <c r="AM1347" s="625">
        <v>0</v>
      </c>
      <c r="AN1347" s="625">
        <v>0</v>
      </c>
      <c r="AO1347" s="625">
        <v>0</v>
      </c>
      <c r="AP1347" s="41" t="str">
        <f t="shared" si="617"/>
        <v>Def TaxR</v>
      </c>
      <c r="AQ1347" s="41" t="str">
        <f t="shared" si="618"/>
        <v>Def TaxRR11M&amp;S Obsolescence</v>
      </c>
      <c r="AR1347" s="41" t="str">
        <f t="shared" si="619"/>
        <v>R11M&amp;S Obsolescence</v>
      </c>
    </row>
    <row r="1348" spans="1:44" s="41" customFormat="1" ht="12.75" customHeight="1">
      <c r="A1348" s="25" t="s">
        <v>1590</v>
      </c>
      <c r="B1348" s="25" t="str">
        <f t="shared" si="620"/>
        <v>Def Tax190001BT010381</v>
      </c>
      <c r="C1348" s="736">
        <v>190001</v>
      </c>
      <c r="D1348" s="735"/>
      <c r="E1348" s="41" t="s">
        <v>1665</v>
      </c>
      <c r="F1348" s="41" t="str">
        <f t="shared" si="606"/>
        <v>ACCUM DEFERRED INC TAXES - FEDERAL - ELECTRIC</v>
      </c>
      <c r="G1348" s="41" t="s">
        <v>1666</v>
      </c>
      <c r="H1348" s="736" t="s">
        <v>1118</v>
      </c>
      <c r="I1348" s="25"/>
      <c r="J1348" s="25" t="str">
        <f t="shared" si="607"/>
        <v/>
      </c>
      <c r="K1348" s="442" t="str">
        <f t="shared" si="623"/>
        <v/>
      </c>
      <c r="L1348" s="736" t="s">
        <v>2443</v>
      </c>
      <c r="M1348" s="25" t="str">
        <f t="shared" si="634"/>
        <v>R</v>
      </c>
      <c r="N1348" s="25" t="str">
        <f>IF(L1348&lt;&gt;"",VLOOKUP(L1348,Categories!$B$2:$D$41,2,FALSE),IF(F1348&lt;&gt;"","No Cat",""))</f>
        <v>Rate Base</v>
      </c>
      <c r="O1348" s="25" t="str">
        <f>IF($L1348&lt;&gt;"",VLOOKUP($L1348,Categories!$B$2:$D$41,3,FALSE),IF($F1348&lt;&gt;"","No Cat",""))</f>
        <v>Deferred Income Taxes</v>
      </c>
      <c r="P1348" s="736" t="s">
        <v>2482</v>
      </c>
      <c r="Q1348" s="25" t="str">
        <f>VLOOKUP($P1348,Allocators!$B$7:$F$19,5,FALSE)</f>
        <v>Electric</v>
      </c>
      <c r="R1348" s="737">
        <f>VLOOKUP($P1348,Allocators!$B$7:$F$19,2,FALSE)</f>
        <v>1</v>
      </c>
      <c r="S1348" s="737">
        <f>VLOOKUP($P1348,Allocators!$B$7:$F$19,3,FALSE)</f>
        <v>0</v>
      </c>
      <c r="T1348" s="737" t="str">
        <f t="shared" si="625"/>
        <v>0.0%</v>
      </c>
      <c r="U1348" s="2" t="str">
        <f t="shared" si="626"/>
        <v/>
      </c>
      <c r="V1348" s="2" t="str">
        <f t="shared" si="627"/>
        <v/>
      </c>
      <c r="W1348" s="2" t="str">
        <f t="shared" si="628"/>
        <v/>
      </c>
      <c r="X1348" s="2">
        <f t="shared" si="621"/>
        <v>0</v>
      </c>
      <c r="Y1348" s="2" t="str">
        <f t="shared" si="629"/>
        <v/>
      </c>
      <c r="Z1348" s="2" t="str">
        <f t="shared" si="630"/>
        <v/>
      </c>
      <c r="AA1348" s="2" t="str">
        <f t="shared" si="631"/>
        <v/>
      </c>
      <c r="AB1348" s="2">
        <f t="shared" si="622"/>
        <v>0</v>
      </c>
      <c r="AC1348" s="625">
        <v>0</v>
      </c>
      <c r="AD1348" s="625">
        <v>0</v>
      </c>
      <c r="AE1348" s="625">
        <v>0</v>
      </c>
      <c r="AF1348" s="625">
        <v>0</v>
      </c>
      <c r="AG1348" s="625">
        <v>0</v>
      </c>
      <c r="AH1348" s="625">
        <v>0</v>
      </c>
      <c r="AI1348" s="625">
        <v>0</v>
      </c>
      <c r="AJ1348" s="625">
        <v>0</v>
      </c>
      <c r="AK1348" s="625">
        <v>0</v>
      </c>
      <c r="AL1348" s="625">
        <v>0</v>
      </c>
      <c r="AM1348" s="625">
        <v>0</v>
      </c>
      <c r="AN1348" s="625">
        <v>0</v>
      </c>
      <c r="AO1348" s="625">
        <v>0</v>
      </c>
      <c r="AP1348" s="41" t="str">
        <f t="shared" si="617"/>
        <v>Def TaxR</v>
      </c>
      <c r="AQ1348" s="41" t="str">
        <f t="shared" si="618"/>
        <v>Def TaxRR11Medicare Part D</v>
      </c>
      <c r="AR1348" s="41" t="str">
        <f t="shared" si="619"/>
        <v>R11Medicare Part D</v>
      </c>
    </row>
    <row r="1349" spans="1:44" s="41" customFormat="1" ht="12.75" customHeight="1">
      <c r="A1349" s="25" t="s">
        <v>1590</v>
      </c>
      <c r="B1349" s="25" t="str">
        <f t="shared" si="620"/>
        <v>Def Tax190001MedicareBT010125</v>
      </c>
      <c r="C1349" s="736">
        <v>190001</v>
      </c>
      <c r="D1349" s="735" t="s">
        <v>1667</v>
      </c>
      <c r="E1349" s="41" t="s">
        <v>1668</v>
      </c>
      <c r="F1349" s="41" t="str">
        <f t="shared" si="606"/>
        <v>ACCUM DEFERRED INC TAXES - FEDERAL - ELECTRIC</v>
      </c>
      <c r="G1349" s="41" t="s">
        <v>1669</v>
      </c>
      <c r="H1349" s="736" t="s">
        <v>1118</v>
      </c>
      <c r="I1349" s="25"/>
      <c r="J1349" s="25" t="str">
        <f t="shared" si="607"/>
        <v/>
      </c>
      <c r="K1349" s="442" t="str">
        <f t="shared" si="623"/>
        <v/>
      </c>
      <c r="L1349" s="736" t="s">
        <v>2443</v>
      </c>
      <c r="M1349" s="25" t="str">
        <f t="shared" si="634"/>
        <v>R</v>
      </c>
      <c r="N1349" s="25" t="str">
        <f>IF(L1349&lt;&gt;"",VLOOKUP(L1349,Categories!$B$2:$D$41,2,FALSE),IF(F1349&lt;&gt;"","No Cat",""))</f>
        <v>Rate Base</v>
      </c>
      <c r="O1349" s="25" t="str">
        <f>IF($L1349&lt;&gt;"",VLOOKUP($L1349,Categories!$B$2:$D$41,3,FALSE),IF($F1349&lt;&gt;"","No Cat",""))</f>
        <v>Deferred Income Taxes</v>
      </c>
      <c r="P1349" s="736" t="s">
        <v>2482</v>
      </c>
      <c r="Q1349" s="25" t="str">
        <f>VLOOKUP($P1349,Allocators!$B$7:$F$19,5,FALSE)</f>
        <v>Electric</v>
      </c>
      <c r="R1349" s="737">
        <f>VLOOKUP($P1349,Allocators!$B$7:$F$19,2,FALSE)</f>
        <v>1</v>
      </c>
      <c r="S1349" s="737">
        <f>VLOOKUP($P1349,Allocators!$B$7:$F$19,3,FALSE)</f>
        <v>0</v>
      </c>
      <c r="T1349" s="737" t="str">
        <f t="shared" si="625"/>
        <v>0.0%</v>
      </c>
      <c r="U1349" s="2" t="str">
        <f t="shared" si="626"/>
        <v/>
      </c>
      <c r="V1349" s="2" t="str">
        <f t="shared" si="627"/>
        <v/>
      </c>
      <c r="W1349" s="2" t="str">
        <f t="shared" si="628"/>
        <v/>
      </c>
      <c r="X1349" s="2">
        <f t="shared" si="621"/>
        <v>0</v>
      </c>
      <c r="Y1349" s="2" t="str">
        <f t="shared" si="629"/>
        <v/>
      </c>
      <c r="Z1349" s="2" t="str">
        <f t="shared" si="630"/>
        <v/>
      </c>
      <c r="AA1349" s="2" t="str">
        <f t="shared" si="631"/>
        <v/>
      </c>
      <c r="AB1349" s="2">
        <f t="shared" si="622"/>
        <v>0</v>
      </c>
      <c r="AC1349" s="625">
        <v>0</v>
      </c>
      <c r="AD1349" s="625">
        <v>0</v>
      </c>
      <c r="AE1349" s="625">
        <v>0</v>
      </c>
      <c r="AF1349" s="625">
        <v>0</v>
      </c>
      <c r="AG1349" s="625">
        <v>0</v>
      </c>
      <c r="AH1349" s="625">
        <v>0</v>
      </c>
      <c r="AI1349" s="625">
        <v>0</v>
      </c>
      <c r="AJ1349" s="625">
        <v>0</v>
      </c>
      <c r="AK1349" s="625">
        <v>0</v>
      </c>
      <c r="AL1349" s="625">
        <v>0</v>
      </c>
      <c r="AM1349" s="625">
        <v>0</v>
      </c>
      <c r="AN1349" s="625">
        <v>0</v>
      </c>
      <c r="AO1349" s="625">
        <v>0</v>
      </c>
      <c r="AP1349" s="41" t="str">
        <f t="shared" si="617"/>
        <v>Def TaxR</v>
      </c>
      <c r="AQ1349" s="41" t="str">
        <f t="shared" si="618"/>
        <v>Def TaxRR11Medicare Part D</v>
      </c>
      <c r="AR1349" s="41" t="str">
        <f t="shared" si="619"/>
        <v>R11Medicare Part D</v>
      </c>
    </row>
    <row r="1350" spans="1:44" s="41" customFormat="1" ht="12.75" customHeight="1">
      <c r="A1350" s="25" t="s">
        <v>1590</v>
      </c>
      <c r="B1350" s="25" t="str">
        <f t="shared" si="620"/>
        <v>Def Tax190001190-031BT010167</v>
      </c>
      <c r="C1350" s="736">
        <v>190001</v>
      </c>
      <c r="D1350" s="735" t="s">
        <v>1670</v>
      </c>
      <c r="E1350" s="41" t="s">
        <v>1671</v>
      </c>
      <c r="F1350" s="41" t="str">
        <f t="shared" si="606"/>
        <v>ACCUM DEFERRED INC TAXES - FEDERAL - ELECTRIC</v>
      </c>
      <c r="G1350" s="41" t="s">
        <v>1672</v>
      </c>
      <c r="H1350" s="736" t="s">
        <v>1673</v>
      </c>
      <c r="I1350" s="25"/>
      <c r="J1350" s="25" t="str">
        <f t="shared" si="607"/>
        <v/>
      </c>
      <c r="K1350" s="442" t="str">
        <f t="shared" si="623"/>
        <v/>
      </c>
      <c r="L1350" s="736" t="s">
        <v>2443</v>
      </c>
      <c r="M1350" s="25" t="str">
        <f t="shared" si="634"/>
        <v>R</v>
      </c>
      <c r="N1350" s="25" t="str">
        <f>IF(L1350&lt;&gt;"",VLOOKUP(L1350,Categories!$B$2:$D$41,2,FALSE),IF(F1350&lt;&gt;"","No Cat",""))</f>
        <v>Rate Base</v>
      </c>
      <c r="O1350" s="25" t="str">
        <f>IF($L1350&lt;&gt;"",VLOOKUP($L1350,Categories!$B$2:$D$41,3,FALSE),IF($F1350&lt;&gt;"","No Cat",""))</f>
        <v>Deferred Income Taxes</v>
      </c>
      <c r="P1350" s="736" t="s">
        <v>2482</v>
      </c>
      <c r="Q1350" s="25" t="str">
        <f>VLOOKUP($P1350,Allocators!$B$7:$F$19,5,FALSE)</f>
        <v>Electric</v>
      </c>
      <c r="R1350" s="737">
        <f>VLOOKUP($P1350,Allocators!$B$7:$F$19,2,FALSE)</f>
        <v>1</v>
      </c>
      <c r="S1350" s="737">
        <f>VLOOKUP($P1350,Allocators!$B$7:$F$19,3,FALSE)</f>
        <v>0</v>
      </c>
      <c r="T1350" s="737" t="str">
        <f t="shared" si="625"/>
        <v>0.0%</v>
      </c>
      <c r="U1350" s="2" t="str">
        <f t="shared" si="626"/>
        <v/>
      </c>
      <c r="V1350" s="2" t="str">
        <f t="shared" si="627"/>
        <v/>
      </c>
      <c r="W1350" s="2" t="str">
        <f t="shared" si="628"/>
        <v/>
      </c>
      <c r="X1350" s="2">
        <f t="shared" si="621"/>
        <v>0</v>
      </c>
      <c r="Y1350" s="2" t="str">
        <f t="shared" si="629"/>
        <v/>
      </c>
      <c r="Z1350" s="2" t="str">
        <f t="shared" si="630"/>
        <v/>
      </c>
      <c r="AA1350" s="2" t="str">
        <f t="shared" si="631"/>
        <v/>
      </c>
      <c r="AB1350" s="2">
        <f t="shared" si="622"/>
        <v>0</v>
      </c>
      <c r="AC1350" s="625">
        <v>0</v>
      </c>
      <c r="AD1350" s="625">
        <v>0</v>
      </c>
      <c r="AE1350" s="625">
        <v>0</v>
      </c>
      <c r="AF1350" s="625">
        <v>0</v>
      </c>
      <c r="AG1350" s="625">
        <v>0</v>
      </c>
      <c r="AH1350" s="625">
        <v>0</v>
      </c>
      <c r="AI1350" s="625">
        <v>0</v>
      </c>
      <c r="AJ1350" s="625">
        <v>0</v>
      </c>
      <c r="AK1350" s="625">
        <v>0</v>
      </c>
      <c r="AL1350" s="625">
        <v>0</v>
      </c>
      <c r="AM1350" s="625">
        <v>0</v>
      </c>
      <c r="AN1350" s="625">
        <v>0</v>
      </c>
      <c r="AO1350" s="625">
        <v>0</v>
      </c>
      <c r="AP1350" s="41" t="str">
        <f t="shared" si="617"/>
        <v>Def TaxR</v>
      </c>
      <c r="AQ1350" s="41" t="str">
        <f t="shared" si="618"/>
        <v>Def TaxRR11Pension</v>
      </c>
      <c r="AR1350" s="41" t="str">
        <f t="shared" si="619"/>
        <v>R11Pension</v>
      </c>
    </row>
    <row r="1351" spans="1:44" s="41" customFormat="1" ht="12.75" customHeight="1">
      <c r="A1351" s="25" t="s">
        <v>1590</v>
      </c>
      <c r="B1351" s="25" t="str">
        <f t="shared" si="620"/>
        <v>Def Tax190001190-088BT010070</v>
      </c>
      <c r="C1351" s="736">
        <v>190001</v>
      </c>
      <c r="D1351" s="735" t="s">
        <v>1674</v>
      </c>
      <c r="E1351" s="41" t="s">
        <v>1675</v>
      </c>
      <c r="F1351" s="41" t="str">
        <f t="shared" ref="F1351:F1419" si="644">VLOOKUP(C1351,$C$7:$F$787,4,FALSE)</f>
        <v>ACCUM DEFERRED INC TAXES - FEDERAL - ELECTRIC</v>
      </c>
      <c r="G1351" s="41" t="s">
        <v>1676</v>
      </c>
      <c r="H1351" s="736" t="s">
        <v>1677</v>
      </c>
      <c r="I1351" s="25"/>
      <c r="J1351" s="25" t="str">
        <f t="shared" si="607"/>
        <v/>
      </c>
      <c r="K1351" s="442" t="str">
        <f t="shared" si="623"/>
        <v/>
      </c>
      <c r="L1351" s="736" t="s">
        <v>2443</v>
      </c>
      <c r="M1351" s="25" t="str">
        <f t="shared" si="634"/>
        <v>R</v>
      </c>
      <c r="N1351" s="25" t="str">
        <f>IF(L1351&lt;&gt;"",VLOOKUP(L1351,Categories!$B$2:$D$41,2,FALSE),IF(F1351&lt;&gt;"","No Cat",""))</f>
        <v>Rate Base</v>
      </c>
      <c r="O1351" s="25" t="str">
        <f>IF($L1351&lt;&gt;"",VLOOKUP($L1351,Categories!$B$2:$D$41,3,FALSE),IF($F1351&lt;&gt;"","No Cat",""))</f>
        <v>Deferred Income Taxes</v>
      </c>
      <c r="P1351" s="736" t="s">
        <v>2482</v>
      </c>
      <c r="Q1351" s="25" t="str">
        <f>VLOOKUP($P1351,Allocators!$B$7:$F$19,5,FALSE)</f>
        <v>Electric</v>
      </c>
      <c r="R1351" s="737">
        <f>VLOOKUP($P1351,Allocators!$B$7:$F$19,2,FALSE)</f>
        <v>1</v>
      </c>
      <c r="S1351" s="737">
        <f>VLOOKUP($P1351,Allocators!$B$7:$F$19,3,FALSE)</f>
        <v>0</v>
      </c>
      <c r="T1351" s="737" t="str">
        <f t="shared" si="625"/>
        <v>0.0%</v>
      </c>
      <c r="U1351" s="2" t="str">
        <f t="shared" si="626"/>
        <v/>
      </c>
      <c r="V1351" s="2" t="str">
        <f t="shared" si="627"/>
        <v/>
      </c>
      <c r="W1351" s="2" t="str">
        <f t="shared" si="628"/>
        <v/>
      </c>
      <c r="X1351" s="2">
        <f t="shared" si="621"/>
        <v>0</v>
      </c>
      <c r="Y1351" s="2" t="str">
        <f t="shared" si="629"/>
        <v/>
      </c>
      <c r="Z1351" s="2" t="str">
        <f t="shared" si="630"/>
        <v/>
      </c>
      <c r="AA1351" s="2" t="str">
        <f t="shared" si="631"/>
        <v/>
      </c>
      <c r="AB1351" s="2">
        <f t="shared" si="622"/>
        <v>0</v>
      </c>
      <c r="AC1351" s="625">
        <v>0</v>
      </c>
      <c r="AD1351" s="625">
        <v>0</v>
      </c>
      <c r="AE1351" s="625">
        <v>0</v>
      </c>
      <c r="AF1351" s="625">
        <v>0</v>
      </c>
      <c r="AG1351" s="625">
        <v>0</v>
      </c>
      <c r="AH1351" s="625">
        <v>0</v>
      </c>
      <c r="AI1351" s="625">
        <v>0</v>
      </c>
      <c r="AJ1351" s="625">
        <v>0</v>
      </c>
      <c r="AK1351" s="625">
        <v>0</v>
      </c>
      <c r="AL1351" s="625">
        <v>0</v>
      </c>
      <c r="AM1351" s="625">
        <v>0</v>
      </c>
      <c r="AN1351" s="625">
        <v>0</v>
      </c>
      <c r="AO1351" s="625">
        <v>0</v>
      </c>
      <c r="AP1351" s="41" t="str">
        <f t="shared" si="617"/>
        <v>Def TaxR</v>
      </c>
      <c r="AQ1351" s="41" t="str">
        <f t="shared" si="618"/>
        <v>Def TaxRR11Personal Time</v>
      </c>
      <c r="AR1351" s="41" t="str">
        <f t="shared" si="619"/>
        <v>R11Personal Time</v>
      </c>
    </row>
    <row r="1352" spans="1:44" s="41" customFormat="1" ht="12.75" customHeight="1">
      <c r="A1352" s="25" t="s">
        <v>1590</v>
      </c>
      <c r="B1352" s="25" t="str">
        <f t="shared" si="620"/>
        <v>Def Tax190001190-015BT010089</v>
      </c>
      <c r="C1352" s="736">
        <v>190001</v>
      </c>
      <c r="D1352" s="735" t="s">
        <v>1678</v>
      </c>
      <c r="E1352" s="41" t="s">
        <v>1679</v>
      </c>
      <c r="F1352" s="41" t="str">
        <f t="shared" si="644"/>
        <v>ACCUM DEFERRED INC TAXES - FEDERAL - ELECTRIC</v>
      </c>
      <c r="G1352" s="41" t="s">
        <v>1680</v>
      </c>
      <c r="H1352" s="736" t="s">
        <v>927</v>
      </c>
      <c r="I1352" s="25"/>
      <c r="J1352" s="25" t="str">
        <f t="shared" ref="J1352:J1420" si="645">IF(L1352="N10","Y",IF(L1352="N8","Y",""))</f>
        <v/>
      </c>
      <c r="K1352" s="442" t="str">
        <f t="shared" si="623"/>
        <v/>
      </c>
      <c r="L1352" s="736" t="s">
        <v>2443</v>
      </c>
      <c r="M1352" s="25" t="str">
        <f t="shared" si="634"/>
        <v>R</v>
      </c>
      <c r="N1352" s="25" t="str">
        <f>IF(L1352&lt;&gt;"",VLOOKUP(L1352,Categories!$B$2:$D$41,2,FALSE),IF(F1352&lt;&gt;"","No Cat",""))</f>
        <v>Rate Base</v>
      </c>
      <c r="O1352" s="25" t="str">
        <f>IF($L1352&lt;&gt;"",VLOOKUP($L1352,Categories!$B$2:$D$41,3,FALSE),IF($F1352&lt;&gt;"","No Cat",""))</f>
        <v>Deferred Income Taxes</v>
      </c>
      <c r="P1352" s="736" t="s">
        <v>2482</v>
      </c>
      <c r="Q1352" s="25" t="str">
        <f>VLOOKUP($P1352,Allocators!$B$7:$F$19,5,FALSE)</f>
        <v>Electric</v>
      </c>
      <c r="R1352" s="737">
        <f>VLOOKUP($P1352,Allocators!$B$7:$F$19,2,FALSE)</f>
        <v>1</v>
      </c>
      <c r="S1352" s="737">
        <f>VLOOKUP($P1352,Allocators!$B$7:$F$19,3,FALSE)</f>
        <v>0</v>
      </c>
      <c r="T1352" s="737" t="str">
        <f t="shared" si="625"/>
        <v>0.0%</v>
      </c>
      <c r="U1352" s="2" t="str">
        <f t="shared" si="626"/>
        <v/>
      </c>
      <c r="V1352" s="2" t="str">
        <f t="shared" si="627"/>
        <v/>
      </c>
      <c r="W1352" s="2" t="str">
        <f t="shared" si="628"/>
        <v/>
      </c>
      <c r="X1352" s="2">
        <f t="shared" si="621"/>
        <v>0</v>
      </c>
      <c r="Y1352" s="2" t="str">
        <f t="shared" si="629"/>
        <v/>
      </c>
      <c r="Z1352" s="2" t="str">
        <f t="shared" si="630"/>
        <v/>
      </c>
      <c r="AA1352" s="2" t="str">
        <f t="shared" si="631"/>
        <v/>
      </c>
      <c r="AB1352" s="2">
        <f t="shared" si="622"/>
        <v>0</v>
      </c>
      <c r="AC1352" s="625">
        <v>0</v>
      </c>
      <c r="AD1352" s="625">
        <v>0</v>
      </c>
      <c r="AE1352" s="625">
        <v>0</v>
      </c>
      <c r="AF1352" s="625">
        <v>0</v>
      </c>
      <c r="AG1352" s="625">
        <v>0</v>
      </c>
      <c r="AH1352" s="625">
        <v>0</v>
      </c>
      <c r="AI1352" s="625">
        <v>0</v>
      </c>
      <c r="AJ1352" s="625">
        <v>0</v>
      </c>
      <c r="AK1352" s="625">
        <v>0</v>
      </c>
      <c r="AL1352" s="625">
        <v>0</v>
      </c>
      <c r="AM1352" s="625">
        <v>0</v>
      </c>
      <c r="AN1352" s="625">
        <v>0</v>
      </c>
      <c r="AO1352" s="625">
        <v>0</v>
      </c>
      <c r="AP1352" s="41" t="str">
        <f t="shared" ref="AP1352:AP1415" si="646">CONCATENATE(A1352,M1352)</f>
        <v>Def TaxR</v>
      </c>
      <c r="AQ1352" s="41" t="str">
        <f t="shared" ref="AQ1352:AQ1415" si="647">CONCATENATE(AP1352,L1352,H1352)</f>
        <v>Def TaxRR11OPEB</v>
      </c>
      <c r="AR1352" s="41" t="str">
        <f t="shared" ref="AR1352:AR1415" si="648">CONCATENATE(L1352,H1352,J1352)</f>
        <v>R11OPEB</v>
      </c>
    </row>
    <row r="1353" spans="1:44" s="41" customFormat="1" ht="12.75" customHeight="1">
      <c r="A1353" s="25" t="s">
        <v>1590</v>
      </c>
      <c r="B1353" s="25" t="str">
        <f t="shared" si="620"/>
        <v>Def Tax190001190-060BTHUNGDT</v>
      </c>
      <c r="C1353" s="736">
        <v>190001</v>
      </c>
      <c r="D1353" s="735" t="s">
        <v>1681</v>
      </c>
      <c r="E1353" s="41" t="s">
        <v>1624</v>
      </c>
      <c r="F1353" s="41" t="str">
        <f t="shared" si="644"/>
        <v>ACCUM DEFERRED INC TAXES - FEDERAL - ELECTRIC</v>
      </c>
      <c r="G1353" s="41" t="s">
        <v>1682</v>
      </c>
      <c r="H1353" s="736">
        <v>0</v>
      </c>
      <c r="I1353" s="25"/>
      <c r="J1353" s="25" t="str">
        <f t="shared" si="645"/>
        <v/>
      </c>
      <c r="K1353" s="442" t="str">
        <f t="shared" si="623"/>
        <v/>
      </c>
      <c r="L1353" s="736" t="s">
        <v>2443</v>
      </c>
      <c r="M1353" s="25" t="str">
        <f t="shared" si="634"/>
        <v>R</v>
      </c>
      <c r="N1353" s="25" t="str">
        <f>IF(L1353&lt;&gt;"",VLOOKUP(L1353,Categories!$B$2:$D$41,2,FALSE),IF(F1353&lt;&gt;"","No Cat",""))</f>
        <v>Rate Base</v>
      </c>
      <c r="O1353" s="25" t="str">
        <f>IF($L1353&lt;&gt;"",VLOOKUP($L1353,Categories!$B$2:$D$41,3,FALSE),IF($F1353&lt;&gt;"","No Cat",""))</f>
        <v>Deferred Income Taxes</v>
      </c>
      <c r="P1353" s="736" t="s">
        <v>2482</v>
      </c>
      <c r="Q1353" s="25" t="str">
        <f>VLOOKUP($P1353,Allocators!$B$7:$F$19,5,FALSE)</f>
        <v>Electric</v>
      </c>
      <c r="R1353" s="737">
        <f>VLOOKUP($P1353,Allocators!$B$7:$F$19,2,FALSE)</f>
        <v>1</v>
      </c>
      <c r="S1353" s="737">
        <f>VLOOKUP($P1353,Allocators!$B$7:$F$19,3,FALSE)</f>
        <v>0</v>
      </c>
      <c r="T1353" s="737" t="str">
        <f t="shared" si="625"/>
        <v>0.0%</v>
      </c>
      <c r="U1353" s="2" t="str">
        <f t="shared" si="626"/>
        <v/>
      </c>
      <c r="V1353" s="2" t="str">
        <f t="shared" si="627"/>
        <v/>
      </c>
      <c r="W1353" s="2" t="str">
        <f t="shared" si="628"/>
        <v/>
      </c>
      <c r="X1353" s="2">
        <f t="shared" si="621"/>
        <v>0</v>
      </c>
      <c r="Y1353" s="2" t="str">
        <f t="shared" si="629"/>
        <v/>
      </c>
      <c r="Z1353" s="2" t="str">
        <f t="shared" si="630"/>
        <v/>
      </c>
      <c r="AA1353" s="2" t="str">
        <f t="shared" si="631"/>
        <v/>
      </c>
      <c r="AB1353" s="2">
        <f t="shared" si="622"/>
        <v>0</v>
      </c>
      <c r="AC1353" s="625">
        <v>0</v>
      </c>
      <c r="AD1353" s="625">
        <v>0</v>
      </c>
      <c r="AE1353" s="625">
        <v>0</v>
      </c>
      <c r="AF1353" s="625">
        <v>0</v>
      </c>
      <c r="AG1353" s="625">
        <v>0</v>
      </c>
      <c r="AH1353" s="625">
        <v>0</v>
      </c>
      <c r="AI1353" s="625">
        <v>0</v>
      </c>
      <c r="AJ1353" s="625">
        <v>0</v>
      </c>
      <c r="AK1353" s="625">
        <v>0</v>
      </c>
      <c r="AL1353" s="625">
        <v>0</v>
      </c>
      <c r="AM1353" s="625">
        <v>0</v>
      </c>
      <c r="AN1353" s="625">
        <v>0</v>
      </c>
      <c r="AO1353" s="625">
        <v>0</v>
      </c>
      <c r="AP1353" s="41" t="str">
        <f t="shared" si="646"/>
        <v>Def TaxR</v>
      </c>
      <c r="AQ1353" s="41" t="str">
        <f t="shared" si="647"/>
        <v>Def TaxRR110</v>
      </c>
      <c r="AR1353" s="41" t="str">
        <f t="shared" si="648"/>
        <v>R110</v>
      </c>
    </row>
    <row r="1354" spans="1:44" s="41" customFormat="1" ht="12.75" customHeight="1">
      <c r="A1354" s="25" t="s">
        <v>1590</v>
      </c>
      <c r="B1354" s="25" t="str">
        <f t="shared" si="620"/>
        <v>Def Tax190001R&amp;D DeferralBT010177</v>
      </c>
      <c r="C1354" s="736">
        <v>190001</v>
      </c>
      <c r="D1354" s="735" t="s">
        <v>1683</v>
      </c>
      <c r="E1354" s="41" t="s">
        <v>1684</v>
      </c>
      <c r="F1354" s="41" t="str">
        <f t="shared" si="644"/>
        <v>ACCUM DEFERRED INC TAXES - FEDERAL - ELECTRIC</v>
      </c>
      <c r="G1354" s="41" t="s">
        <v>1685</v>
      </c>
      <c r="H1354" s="736" t="s">
        <v>1124</v>
      </c>
      <c r="I1354" s="25"/>
      <c r="J1354" s="25" t="str">
        <f t="shared" si="645"/>
        <v/>
      </c>
      <c r="K1354" s="442" t="str">
        <f t="shared" si="623"/>
        <v/>
      </c>
      <c r="L1354" s="736" t="s">
        <v>2443</v>
      </c>
      <c r="M1354" s="25" t="str">
        <f t="shared" si="634"/>
        <v>R</v>
      </c>
      <c r="N1354" s="25" t="str">
        <f>IF(L1354&lt;&gt;"",VLOOKUP(L1354,Categories!$B$2:$D$41,2,FALSE),IF(F1354&lt;&gt;"","No Cat",""))</f>
        <v>Rate Base</v>
      </c>
      <c r="O1354" s="25" t="str">
        <f>IF($L1354&lt;&gt;"",VLOOKUP($L1354,Categories!$B$2:$D$41,3,FALSE),IF($F1354&lt;&gt;"","No Cat",""))</f>
        <v>Deferred Income Taxes</v>
      </c>
      <c r="P1354" s="736" t="s">
        <v>2482</v>
      </c>
      <c r="Q1354" s="25" t="str">
        <f>VLOOKUP($P1354,Allocators!$B$7:$F$19,5,FALSE)</f>
        <v>Electric</v>
      </c>
      <c r="R1354" s="737">
        <f>VLOOKUP($P1354,Allocators!$B$7:$F$19,2,FALSE)</f>
        <v>1</v>
      </c>
      <c r="S1354" s="737">
        <f>VLOOKUP($P1354,Allocators!$B$7:$F$19,3,FALSE)</f>
        <v>0</v>
      </c>
      <c r="T1354" s="737" t="str">
        <f t="shared" si="625"/>
        <v>0.0%</v>
      </c>
      <c r="U1354" s="2">
        <f t="shared" si="626"/>
        <v>380.52</v>
      </c>
      <c r="V1354" s="2">
        <f t="shared" si="627"/>
        <v>0</v>
      </c>
      <c r="W1354" s="2">
        <f t="shared" si="628"/>
        <v>0</v>
      </c>
      <c r="X1354" s="2">
        <f t="shared" si="621"/>
        <v>380.52</v>
      </c>
      <c r="Y1354" s="2">
        <f t="shared" si="629"/>
        <v>380.52</v>
      </c>
      <c r="Z1354" s="2">
        <f t="shared" si="630"/>
        <v>0</v>
      </c>
      <c r="AA1354" s="2">
        <f t="shared" si="631"/>
        <v>0</v>
      </c>
      <c r="AB1354" s="2">
        <f t="shared" si="622"/>
        <v>380.52</v>
      </c>
      <c r="AC1354" s="625">
        <v>380.52</v>
      </c>
      <c r="AD1354" s="625">
        <v>380.52</v>
      </c>
      <c r="AE1354" s="625">
        <v>380.52</v>
      </c>
      <c r="AF1354" s="625">
        <v>380.52</v>
      </c>
      <c r="AG1354" s="625">
        <v>380.52</v>
      </c>
      <c r="AH1354" s="625">
        <v>380.52</v>
      </c>
      <c r="AI1354" s="625">
        <v>380.52</v>
      </c>
      <c r="AJ1354" s="625">
        <v>380.52</v>
      </c>
      <c r="AK1354" s="625">
        <v>380.52</v>
      </c>
      <c r="AL1354" s="625">
        <v>380.52</v>
      </c>
      <c r="AM1354" s="625">
        <v>380.52</v>
      </c>
      <c r="AN1354" s="625">
        <v>380.52</v>
      </c>
      <c r="AO1354" s="625">
        <v>380.52</v>
      </c>
      <c r="AP1354" s="41" t="str">
        <f t="shared" si="646"/>
        <v>Def TaxR</v>
      </c>
      <c r="AQ1354" s="41" t="str">
        <f t="shared" si="647"/>
        <v>Def TaxRR11R&amp;D Tax Credit Deferral</v>
      </c>
      <c r="AR1354" s="41" t="str">
        <f t="shared" si="648"/>
        <v>R11R&amp;D Tax Credit Deferral</v>
      </c>
    </row>
    <row r="1355" spans="1:44" s="41" customFormat="1" ht="12.75" customHeight="1">
      <c r="A1355" s="25" t="s">
        <v>1590</v>
      </c>
      <c r="B1355" s="25" t="str">
        <f t="shared" si="620"/>
        <v>Def Tax190001190-052BTHUNGDT</v>
      </c>
      <c r="C1355" s="736">
        <v>190001</v>
      </c>
      <c r="D1355" s="735" t="s">
        <v>1686</v>
      </c>
      <c r="E1355" s="41" t="s">
        <v>1624</v>
      </c>
      <c r="F1355" s="41" t="str">
        <f t="shared" si="644"/>
        <v>ACCUM DEFERRED INC TAXES - FEDERAL - ELECTRIC</v>
      </c>
      <c r="G1355" s="41" t="s">
        <v>1687</v>
      </c>
      <c r="H1355" s="736">
        <v>0</v>
      </c>
      <c r="I1355" s="25"/>
      <c r="J1355" s="25" t="str">
        <f t="shared" si="645"/>
        <v/>
      </c>
      <c r="K1355" s="442" t="str">
        <f t="shared" si="623"/>
        <v/>
      </c>
      <c r="L1355" s="736" t="s">
        <v>2443</v>
      </c>
      <c r="M1355" s="25" t="str">
        <f t="shared" si="634"/>
        <v>R</v>
      </c>
      <c r="N1355" s="25" t="str">
        <f>IF(L1355&lt;&gt;"",VLOOKUP(L1355,Categories!$B$2:$D$41,2,FALSE),IF(F1355&lt;&gt;"","No Cat",""))</f>
        <v>Rate Base</v>
      </c>
      <c r="O1355" s="25" t="str">
        <f>IF($L1355&lt;&gt;"",VLOOKUP($L1355,Categories!$B$2:$D$41,3,FALSE),IF($F1355&lt;&gt;"","No Cat",""))</f>
        <v>Deferred Income Taxes</v>
      </c>
      <c r="P1355" s="736" t="s">
        <v>2482</v>
      </c>
      <c r="Q1355" s="25" t="str">
        <f>VLOOKUP($P1355,Allocators!$B$7:$F$19,5,FALSE)</f>
        <v>Electric</v>
      </c>
      <c r="R1355" s="737">
        <f>VLOOKUP($P1355,Allocators!$B$7:$F$19,2,FALSE)</f>
        <v>1</v>
      </c>
      <c r="S1355" s="737">
        <f>VLOOKUP($P1355,Allocators!$B$7:$F$19,3,FALSE)</f>
        <v>0</v>
      </c>
      <c r="T1355" s="737" t="str">
        <f t="shared" si="625"/>
        <v>0.0%</v>
      </c>
      <c r="U1355" s="2" t="str">
        <f t="shared" si="626"/>
        <v/>
      </c>
      <c r="V1355" s="2" t="str">
        <f t="shared" si="627"/>
        <v/>
      </c>
      <c r="W1355" s="2" t="str">
        <f t="shared" si="628"/>
        <v/>
      </c>
      <c r="X1355" s="2">
        <f t="shared" si="621"/>
        <v>0</v>
      </c>
      <c r="Y1355" s="2" t="str">
        <f t="shared" si="629"/>
        <v/>
      </c>
      <c r="Z1355" s="2" t="str">
        <f t="shared" si="630"/>
        <v/>
      </c>
      <c r="AA1355" s="2" t="str">
        <f t="shared" si="631"/>
        <v/>
      </c>
      <c r="AB1355" s="2">
        <f t="shared" si="622"/>
        <v>0</v>
      </c>
      <c r="AC1355" s="625">
        <v>0</v>
      </c>
      <c r="AD1355" s="625">
        <v>0</v>
      </c>
      <c r="AE1355" s="625">
        <v>0</v>
      </c>
      <c r="AF1355" s="625">
        <v>0</v>
      </c>
      <c r="AG1355" s="625">
        <v>0</v>
      </c>
      <c r="AH1355" s="625">
        <v>0</v>
      </c>
      <c r="AI1355" s="625">
        <v>0</v>
      </c>
      <c r="AJ1355" s="625">
        <v>0</v>
      </c>
      <c r="AK1355" s="625">
        <v>0</v>
      </c>
      <c r="AL1355" s="625">
        <v>0</v>
      </c>
      <c r="AM1355" s="625">
        <v>0</v>
      </c>
      <c r="AN1355" s="625">
        <v>0</v>
      </c>
      <c r="AO1355" s="625">
        <v>0</v>
      </c>
      <c r="AP1355" s="41" t="str">
        <f t="shared" si="646"/>
        <v>Def TaxR</v>
      </c>
      <c r="AQ1355" s="41" t="str">
        <f t="shared" si="647"/>
        <v>Def TaxRR110</v>
      </c>
      <c r="AR1355" s="41" t="str">
        <f t="shared" si="648"/>
        <v>R110</v>
      </c>
    </row>
    <row r="1356" spans="1:44" s="41" customFormat="1" ht="12.75" customHeight="1">
      <c r="A1356" s="25" t="s">
        <v>1590</v>
      </c>
      <c r="B1356" s="25" t="str">
        <f t="shared" si="620"/>
        <v>Def Tax190001RestrStkBT010183</v>
      </c>
      <c r="C1356" s="736">
        <v>190001</v>
      </c>
      <c r="D1356" s="735" t="s">
        <v>1688</v>
      </c>
      <c r="E1356" s="41" t="s">
        <v>1689</v>
      </c>
      <c r="F1356" s="41" t="str">
        <f t="shared" si="644"/>
        <v>ACCUM DEFERRED INC TAXES - FEDERAL - ELECTRIC</v>
      </c>
      <c r="G1356" s="41" t="s">
        <v>1690</v>
      </c>
      <c r="H1356" s="736" t="s">
        <v>1691</v>
      </c>
      <c r="I1356" s="25"/>
      <c r="J1356" s="25" t="str">
        <f t="shared" si="645"/>
        <v/>
      </c>
      <c r="K1356" s="442" t="str">
        <f t="shared" si="623"/>
        <v/>
      </c>
      <c r="L1356" s="736" t="s">
        <v>2443</v>
      </c>
      <c r="M1356" s="25" t="str">
        <f t="shared" si="634"/>
        <v>R</v>
      </c>
      <c r="N1356" s="25" t="str">
        <f>IF(L1356&lt;&gt;"",VLOOKUP(L1356,Categories!$B$2:$D$41,2,FALSE),IF(F1356&lt;&gt;"","No Cat",""))</f>
        <v>Rate Base</v>
      </c>
      <c r="O1356" s="25" t="str">
        <f>IF($L1356&lt;&gt;"",VLOOKUP($L1356,Categories!$B$2:$D$41,3,FALSE),IF($F1356&lt;&gt;"","No Cat",""))</f>
        <v>Deferred Income Taxes</v>
      </c>
      <c r="P1356" s="736" t="s">
        <v>2482</v>
      </c>
      <c r="Q1356" s="25" t="str">
        <f>VLOOKUP($P1356,Allocators!$B$7:$F$19,5,FALSE)</f>
        <v>Electric</v>
      </c>
      <c r="R1356" s="737">
        <f>VLOOKUP($P1356,Allocators!$B$7:$F$19,2,FALSE)</f>
        <v>1</v>
      </c>
      <c r="S1356" s="737">
        <f>VLOOKUP($P1356,Allocators!$B$7:$F$19,3,FALSE)</f>
        <v>0</v>
      </c>
      <c r="T1356" s="737" t="str">
        <f t="shared" si="625"/>
        <v>0.0%</v>
      </c>
      <c r="U1356" s="2" t="str">
        <f t="shared" si="626"/>
        <v/>
      </c>
      <c r="V1356" s="2" t="str">
        <f t="shared" si="627"/>
        <v/>
      </c>
      <c r="W1356" s="2" t="str">
        <f t="shared" si="628"/>
        <v/>
      </c>
      <c r="X1356" s="2">
        <f t="shared" si="621"/>
        <v>0</v>
      </c>
      <c r="Y1356" s="2" t="str">
        <f t="shared" si="629"/>
        <v/>
      </c>
      <c r="Z1356" s="2" t="str">
        <f t="shared" si="630"/>
        <v/>
      </c>
      <c r="AA1356" s="2" t="str">
        <f t="shared" si="631"/>
        <v/>
      </c>
      <c r="AB1356" s="2">
        <f t="shared" si="622"/>
        <v>0</v>
      </c>
      <c r="AC1356" s="625">
        <v>0</v>
      </c>
      <c r="AD1356" s="625">
        <v>0</v>
      </c>
      <c r="AE1356" s="625">
        <v>0</v>
      </c>
      <c r="AF1356" s="625">
        <v>0</v>
      </c>
      <c r="AG1356" s="625">
        <v>0</v>
      </c>
      <c r="AH1356" s="625">
        <v>0</v>
      </c>
      <c r="AI1356" s="625">
        <v>0</v>
      </c>
      <c r="AJ1356" s="625">
        <v>0</v>
      </c>
      <c r="AK1356" s="625">
        <v>0</v>
      </c>
      <c r="AL1356" s="625">
        <v>0</v>
      </c>
      <c r="AM1356" s="625">
        <v>0</v>
      </c>
      <c r="AN1356" s="625">
        <v>0</v>
      </c>
      <c r="AO1356" s="625">
        <v>0</v>
      </c>
      <c r="AP1356" s="41" t="str">
        <f t="shared" si="646"/>
        <v>Def TaxR</v>
      </c>
      <c r="AQ1356" s="41" t="str">
        <f t="shared" si="647"/>
        <v>Def TaxRR11Restricted Stock</v>
      </c>
      <c r="AR1356" s="41" t="str">
        <f t="shared" si="648"/>
        <v>R11Restricted Stock</v>
      </c>
    </row>
    <row r="1357" spans="1:44" s="41" customFormat="1" ht="12.75" customHeight="1">
      <c r="A1357" s="25" t="s">
        <v>1590</v>
      </c>
      <c r="B1357" s="25" t="str">
        <f t="shared" si="620"/>
        <v>Def Tax190001190-101BT010194</v>
      </c>
      <c r="C1357" s="736">
        <v>190001</v>
      </c>
      <c r="D1357" s="735" t="s">
        <v>1692</v>
      </c>
      <c r="E1357" s="41" t="s">
        <v>1693</v>
      </c>
      <c r="F1357" s="41" t="str">
        <f t="shared" si="644"/>
        <v>ACCUM DEFERRED INC TAXES - FEDERAL - ELECTRIC</v>
      </c>
      <c r="G1357" s="41" t="s">
        <v>1694</v>
      </c>
      <c r="H1357" s="736" t="s">
        <v>1537</v>
      </c>
      <c r="I1357" s="25"/>
      <c r="J1357" s="25" t="str">
        <f t="shared" si="645"/>
        <v/>
      </c>
      <c r="K1357" s="442" t="str">
        <f t="shared" si="623"/>
        <v/>
      </c>
      <c r="L1357" s="736" t="s">
        <v>2443</v>
      </c>
      <c r="M1357" s="25" t="str">
        <f t="shared" si="634"/>
        <v>R</v>
      </c>
      <c r="N1357" s="25" t="str">
        <f>IF(L1357&lt;&gt;"",VLOOKUP(L1357,Categories!$B$2:$D$41,2,FALSE),IF(F1357&lt;&gt;"","No Cat",""))</f>
        <v>Rate Base</v>
      </c>
      <c r="O1357" s="25" t="str">
        <f>IF($L1357&lt;&gt;"",VLOOKUP($L1357,Categories!$B$2:$D$41,3,FALSE),IF($F1357&lt;&gt;"","No Cat",""))</f>
        <v>Deferred Income Taxes</v>
      </c>
      <c r="P1357" s="736" t="s">
        <v>2482</v>
      </c>
      <c r="Q1357" s="25" t="str">
        <f>VLOOKUP($P1357,Allocators!$B$7:$F$19,5,FALSE)</f>
        <v>Electric</v>
      </c>
      <c r="R1357" s="737">
        <f>VLOOKUP($P1357,Allocators!$B$7:$F$19,2,FALSE)</f>
        <v>1</v>
      </c>
      <c r="S1357" s="737">
        <f>VLOOKUP($P1357,Allocators!$B$7:$F$19,3,FALSE)</f>
        <v>0</v>
      </c>
      <c r="T1357" s="737" t="str">
        <f t="shared" si="625"/>
        <v>0.0%</v>
      </c>
      <c r="U1357" s="2">
        <f t="shared" si="626"/>
        <v>33.655610000000003</v>
      </c>
      <c r="V1357" s="2">
        <f t="shared" si="627"/>
        <v>0</v>
      </c>
      <c r="W1357" s="2">
        <f t="shared" si="628"/>
        <v>0</v>
      </c>
      <c r="X1357" s="2">
        <f t="shared" si="621"/>
        <v>33.655610000000003</v>
      </c>
      <c r="Y1357" s="2">
        <f t="shared" si="629"/>
        <v>33.655610000000003</v>
      </c>
      <c r="Z1357" s="2">
        <f t="shared" si="630"/>
        <v>0</v>
      </c>
      <c r="AA1357" s="2">
        <f t="shared" si="631"/>
        <v>0</v>
      </c>
      <c r="AB1357" s="2">
        <f t="shared" si="622"/>
        <v>33.655610000000003</v>
      </c>
      <c r="AC1357" s="625">
        <v>33.655610000000003</v>
      </c>
      <c r="AD1357" s="625">
        <v>33.655610000000003</v>
      </c>
      <c r="AE1357" s="625">
        <v>33.655610000000003</v>
      </c>
      <c r="AF1357" s="625">
        <v>33.655610000000003</v>
      </c>
      <c r="AG1357" s="625">
        <v>33.655610000000003</v>
      </c>
      <c r="AH1357" s="625">
        <v>33.655610000000003</v>
      </c>
      <c r="AI1357" s="625">
        <v>33.655610000000003</v>
      </c>
      <c r="AJ1357" s="625">
        <v>33.655610000000003</v>
      </c>
      <c r="AK1357" s="625">
        <v>33.655610000000003</v>
      </c>
      <c r="AL1357" s="625">
        <v>33.655610000000003</v>
      </c>
      <c r="AM1357" s="625">
        <v>33.655610000000003</v>
      </c>
      <c r="AN1357" s="625">
        <v>33.655610000000003</v>
      </c>
      <c r="AO1357" s="625">
        <v>33.655610000000003</v>
      </c>
      <c r="AP1357" s="41" t="str">
        <f t="shared" si="646"/>
        <v>Def TaxR</v>
      </c>
      <c r="AQ1357" s="41" t="str">
        <f t="shared" si="647"/>
        <v>Def TaxRR11Revolver Facility</v>
      </c>
      <c r="AR1357" s="41" t="str">
        <f t="shared" si="648"/>
        <v>R11Revolver Facility</v>
      </c>
    </row>
    <row r="1358" spans="1:44" s="41" customFormat="1" ht="12.75" customHeight="1">
      <c r="A1358" s="25" t="s">
        <v>1590</v>
      </c>
      <c r="B1358" s="25" t="str">
        <f t="shared" si="620"/>
        <v>Def Tax190001190-019BT010208</v>
      </c>
      <c r="C1358" s="736">
        <v>190001</v>
      </c>
      <c r="D1358" s="735" t="s">
        <v>1695</v>
      </c>
      <c r="E1358" s="41" t="s">
        <v>1696</v>
      </c>
      <c r="F1358" s="41" t="str">
        <f t="shared" si="644"/>
        <v>ACCUM DEFERRED INC TAXES - FEDERAL - ELECTRIC</v>
      </c>
      <c r="G1358" s="41" t="s">
        <v>1697</v>
      </c>
      <c r="H1358" s="736" t="s">
        <v>1698</v>
      </c>
      <c r="I1358" s="25"/>
      <c r="J1358" s="25" t="str">
        <f t="shared" si="645"/>
        <v/>
      </c>
      <c r="K1358" s="442" t="str">
        <f t="shared" si="623"/>
        <v/>
      </c>
      <c r="L1358" s="736" t="s">
        <v>2443</v>
      </c>
      <c r="M1358" s="25" t="str">
        <f t="shared" si="634"/>
        <v>R</v>
      </c>
      <c r="N1358" s="25" t="str">
        <f>IF(L1358&lt;&gt;"",VLOOKUP(L1358,Categories!$B$2:$D$41,2,FALSE),IF(F1358&lt;&gt;"","No Cat",""))</f>
        <v>Rate Base</v>
      </c>
      <c r="O1358" s="25" t="str">
        <f>IF($L1358&lt;&gt;"",VLOOKUP($L1358,Categories!$B$2:$D$41,3,FALSE),IF($F1358&lt;&gt;"","No Cat",""))</f>
        <v>Deferred Income Taxes</v>
      </c>
      <c r="P1358" s="736" t="s">
        <v>2482</v>
      </c>
      <c r="Q1358" s="25" t="str">
        <f>VLOOKUP($P1358,Allocators!$B$7:$F$19,5,FALSE)</f>
        <v>Electric</v>
      </c>
      <c r="R1358" s="737">
        <f>VLOOKUP($P1358,Allocators!$B$7:$F$19,2,FALSE)</f>
        <v>1</v>
      </c>
      <c r="S1358" s="737">
        <f>VLOOKUP($P1358,Allocators!$B$7:$F$19,3,FALSE)</f>
        <v>0</v>
      </c>
      <c r="T1358" s="737" t="str">
        <f t="shared" si="625"/>
        <v>0.0%</v>
      </c>
      <c r="U1358" s="2" t="str">
        <f t="shared" si="626"/>
        <v/>
      </c>
      <c r="V1358" s="2" t="str">
        <f t="shared" si="627"/>
        <v/>
      </c>
      <c r="W1358" s="2" t="str">
        <f t="shared" si="628"/>
        <v/>
      </c>
      <c r="X1358" s="2">
        <f t="shared" si="621"/>
        <v>0</v>
      </c>
      <c r="Y1358" s="2" t="str">
        <f t="shared" si="629"/>
        <v/>
      </c>
      <c r="Z1358" s="2" t="str">
        <f t="shared" si="630"/>
        <v/>
      </c>
      <c r="AA1358" s="2" t="str">
        <f t="shared" si="631"/>
        <v/>
      </c>
      <c r="AB1358" s="2">
        <f t="shared" si="622"/>
        <v>0</v>
      </c>
      <c r="AC1358" s="625">
        <v>0</v>
      </c>
      <c r="AD1358" s="625">
        <v>0</v>
      </c>
      <c r="AE1358" s="625">
        <v>0</v>
      </c>
      <c r="AF1358" s="625">
        <v>0</v>
      </c>
      <c r="AG1358" s="625">
        <v>0</v>
      </c>
      <c r="AH1358" s="625">
        <v>0</v>
      </c>
      <c r="AI1358" s="625">
        <v>0</v>
      </c>
      <c r="AJ1358" s="625">
        <v>0</v>
      </c>
      <c r="AK1358" s="625">
        <v>0</v>
      </c>
      <c r="AL1358" s="625">
        <v>0</v>
      </c>
      <c r="AM1358" s="625">
        <v>0</v>
      </c>
      <c r="AN1358" s="625">
        <v>0</v>
      </c>
      <c r="AO1358" s="625">
        <v>0</v>
      </c>
      <c r="AP1358" s="41" t="str">
        <f t="shared" si="646"/>
        <v>Def TaxR</v>
      </c>
      <c r="AQ1358" s="41" t="str">
        <f t="shared" si="647"/>
        <v>Def TaxRR11Separation Accrual</v>
      </c>
      <c r="AR1358" s="41" t="str">
        <f t="shared" si="648"/>
        <v>R11Separation Accrual</v>
      </c>
    </row>
    <row r="1359" spans="1:44" s="41" customFormat="1" ht="12.75" customHeight="1">
      <c r="A1359" s="442" t="s">
        <v>1590</v>
      </c>
      <c r="B1359" s="442" t="str">
        <f t="shared" si="620"/>
        <v>Def Tax190001190-105BT010195</v>
      </c>
      <c r="C1359" s="736">
        <v>190001</v>
      </c>
      <c r="D1359" s="735" t="s">
        <v>1699</v>
      </c>
      <c r="E1359" s="626" t="s">
        <v>1700</v>
      </c>
      <c r="F1359" s="626" t="str">
        <f t="shared" si="644"/>
        <v>ACCUM DEFERRED INC TAXES - FEDERAL - ELECTRIC</v>
      </c>
      <c r="G1359" s="626" t="s">
        <v>1701</v>
      </c>
      <c r="H1359" s="736" t="s">
        <v>810</v>
      </c>
      <c r="I1359" s="442"/>
      <c r="J1359" s="442" t="str">
        <f t="shared" si="645"/>
        <v/>
      </c>
      <c r="K1359" s="442" t="str">
        <f t="shared" si="623"/>
        <v/>
      </c>
      <c r="L1359" s="736" t="s">
        <v>2421</v>
      </c>
      <c r="M1359" s="442" t="str">
        <f t="shared" si="634"/>
        <v>N</v>
      </c>
      <c r="N1359" s="442" t="str">
        <f>IF(L1359&lt;&gt;"",VLOOKUP(L1359,Categories!$B$2:$D$41,2,FALSE),IF(F1359&lt;&gt;"","No Cat",""))</f>
        <v>NRBASE</v>
      </c>
      <c r="O1359" s="442" t="str">
        <f>IF($L1359&lt;&gt;"",VLOOKUP($L1359,Categories!$B$2:$D$41,3,FALSE),IF($F1359&lt;&gt;"","No Cat",""))</f>
        <v>Direct Assign Items Not in RB</v>
      </c>
      <c r="P1359" s="736" t="s">
        <v>2468</v>
      </c>
      <c r="Q1359" s="442" t="str">
        <f>VLOOKUP($P1359,Allocators!$B$7:$F$19,5,FALSE)</f>
        <v>Not in Rate Base</v>
      </c>
      <c r="R1359" s="737">
        <f>VLOOKUP($P1359,Allocators!$B$7:$F$19,2,FALSE)</f>
        <v>0</v>
      </c>
      <c r="S1359" s="737">
        <f>VLOOKUP($P1359,Allocators!$B$7:$F$19,3,FALSE)</f>
        <v>0</v>
      </c>
      <c r="T1359" s="737">
        <f t="shared" si="625"/>
        <v>1</v>
      </c>
      <c r="U1359" s="2" t="str">
        <f t="shared" si="626"/>
        <v/>
      </c>
      <c r="V1359" s="2" t="str">
        <f t="shared" si="627"/>
        <v/>
      </c>
      <c r="W1359" s="2" t="str">
        <f t="shared" si="628"/>
        <v/>
      </c>
      <c r="X1359" s="2">
        <f t="shared" ref="X1359:X1423" si="649">IF(ISERROR(ROUND((SUM(AC1359:AO1359)-((AC1359+AO1359))/2)/12,15)),"",ROUND((SUM(AC1359:AO1359)-((AC1359+AO1359))/2)/12,15))</f>
        <v>0</v>
      </c>
      <c r="Y1359" s="2" t="str">
        <f t="shared" si="629"/>
        <v/>
      </c>
      <c r="Z1359" s="2" t="str">
        <f t="shared" si="630"/>
        <v/>
      </c>
      <c r="AA1359" s="2" t="str">
        <f t="shared" si="631"/>
        <v/>
      </c>
      <c r="AB1359" s="2">
        <f t="shared" ref="AB1359:AB1423" si="650">IF(AO1359="",0,+AO1359)</f>
        <v>0</v>
      </c>
      <c r="AC1359" s="625">
        <v>0</v>
      </c>
      <c r="AD1359" s="625">
        <v>0</v>
      </c>
      <c r="AE1359" s="625">
        <v>0</v>
      </c>
      <c r="AF1359" s="625">
        <v>0</v>
      </c>
      <c r="AG1359" s="625">
        <v>0</v>
      </c>
      <c r="AH1359" s="625">
        <v>0</v>
      </c>
      <c r="AI1359" s="625">
        <v>0</v>
      </c>
      <c r="AJ1359" s="625">
        <v>0</v>
      </c>
      <c r="AK1359" s="625">
        <v>0</v>
      </c>
      <c r="AL1359" s="625">
        <v>0</v>
      </c>
      <c r="AM1359" s="625">
        <v>0</v>
      </c>
      <c r="AN1359" s="625">
        <v>0</v>
      </c>
      <c r="AO1359" s="625">
        <v>0</v>
      </c>
      <c r="AP1359" s="41" t="str">
        <f t="shared" si="646"/>
        <v>Def TaxN</v>
      </c>
      <c r="AQ1359" s="41" t="str">
        <f t="shared" si="647"/>
        <v>Def TaxNN2SERP</v>
      </c>
      <c r="AR1359" s="41" t="str">
        <f t="shared" si="648"/>
        <v>N2SERP</v>
      </c>
    </row>
    <row r="1360" spans="1:44" s="41" customFormat="1" ht="12.75" customHeight="1">
      <c r="A1360" s="442" t="s">
        <v>1590</v>
      </c>
      <c r="B1360" s="442" t="str">
        <f t="shared" si="620"/>
        <v>Def Tax190001Severance-StateBT010211</v>
      </c>
      <c r="C1360" s="736">
        <v>190001</v>
      </c>
      <c r="D1360" s="735" t="s">
        <v>1702</v>
      </c>
      <c r="E1360" s="626" t="s">
        <v>1703</v>
      </c>
      <c r="F1360" s="626" t="str">
        <f t="shared" si="644"/>
        <v>ACCUM DEFERRED INC TAXES - FEDERAL - ELECTRIC</v>
      </c>
      <c r="G1360" s="626" t="s">
        <v>1704</v>
      </c>
      <c r="H1360" s="736" t="s">
        <v>1705</v>
      </c>
      <c r="I1360" s="442"/>
      <c r="J1360" s="442" t="str">
        <f t="shared" si="645"/>
        <v/>
      </c>
      <c r="K1360" s="442" t="str">
        <f t="shared" si="623"/>
        <v/>
      </c>
      <c r="L1360" s="736" t="s">
        <v>2421</v>
      </c>
      <c r="M1360" s="442" t="str">
        <f t="shared" si="634"/>
        <v>N</v>
      </c>
      <c r="N1360" s="442" t="str">
        <f>IF(L1360&lt;&gt;"",VLOOKUP(L1360,Categories!$B$2:$D$41,2,FALSE),IF(F1360&lt;&gt;"","No Cat",""))</f>
        <v>NRBASE</v>
      </c>
      <c r="O1360" s="442" t="str">
        <f>IF($L1360&lt;&gt;"",VLOOKUP($L1360,Categories!$B$2:$D$41,3,FALSE),IF($F1360&lt;&gt;"","No Cat",""))</f>
        <v>Direct Assign Items Not in RB</v>
      </c>
      <c r="P1360" s="736" t="s">
        <v>2468</v>
      </c>
      <c r="Q1360" s="442" t="str">
        <f>VLOOKUP($P1360,Allocators!$B$7:$F$19,5,FALSE)</f>
        <v>Not in Rate Base</v>
      </c>
      <c r="R1360" s="737">
        <f>VLOOKUP($P1360,Allocators!$B$7:$F$19,2,FALSE)</f>
        <v>0</v>
      </c>
      <c r="S1360" s="737">
        <f>VLOOKUP($P1360,Allocators!$B$7:$F$19,3,FALSE)</f>
        <v>0</v>
      </c>
      <c r="T1360" s="737">
        <f t="shared" si="625"/>
        <v>1</v>
      </c>
      <c r="U1360" s="2" t="str">
        <f t="shared" si="626"/>
        <v/>
      </c>
      <c r="V1360" s="2" t="str">
        <f t="shared" si="627"/>
        <v/>
      </c>
      <c r="W1360" s="2" t="str">
        <f t="shared" si="628"/>
        <v/>
      </c>
      <c r="X1360" s="2">
        <f t="shared" si="649"/>
        <v>0</v>
      </c>
      <c r="Y1360" s="2" t="str">
        <f t="shared" si="629"/>
        <v/>
      </c>
      <c r="Z1360" s="2" t="str">
        <f t="shared" si="630"/>
        <v/>
      </c>
      <c r="AA1360" s="2" t="str">
        <f t="shared" si="631"/>
        <v/>
      </c>
      <c r="AB1360" s="2">
        <f t="shared" si="650"/>
        <v>0</v>
      </c>
      <c r="AC1360" s="625">
        <v>0</v>
      </c>
      <c r="AD1360" s="625">
        <v>0</v>
      </c>
      <c r="AE1360" s="625">
        <v>0</v>
      </c>
      <c r="AF1360" s="625">
        <v>0</v>
      </c>
      <c r="AG1360" s="625">
        <v>0</v>
      </c>
      <c r="AH1360" s="625">
        <v>0</v>
      </c>
      <c r="AI1360" s="625">
        <v>0</v>
      </c>
      <c r="AJ1360" s="625">
        <v>0</v>
      </c>
      <c r="AK1360" s="625">
        <v>0</v>
      </c>
      <c r="AL1360" s="625">
        <v>0</v>
      </c>
      <c r="AM1360" s="625">
        <v>0</v>
      </c>
      <c r="AN1360" s="625">
        <v>0</v>
      </c>
      <c r="AO1360" s="625">
        <v>0</v>
      </c>
      <c r="AP1360" s="41" t="str">
        <f t="shared" si="646"/>
        <v>Def TaxN</v>
      </c>
      <c r="AQ1360" s="41" t="str">
        <f t="shared" si="647"/>
        <v>Def TaxNN2Iberdrola Merger Severance</v>
      </c>
      <c r="AR1360" s="41" t="str">
        <f t="shared" si="648"/>
        <v>N2Iberdrola Merger Severance</v>
      </c>
    </row>
    <row r="1361" spans="1:44" s="41" customFormat="1" ht="12.75" customHeight="1">
      <c r="A1361" s="25" t="s">
        <v>1590</v>
      </c>
      <c r="B1361" s="25" t="str">
        <f t="shared" ref="B1361:B1429" si="651">CONCATENATE(A1361,C1361,D1361,E1361)</f>
        <v>Def Tax190001283-026BT010071</v>
      </c>
      <c r="C1361" s="736">
        <v>190001</v>
      </c>
      <c r="D1361" s="735" t="s">
        <v>1706</v>
      </c>
      <c r="E1361" s="41" t="s">
        <v>1707</v>
      </c>
      <c r="F1361" s="41" t="str">
        <f t="shared" si="644"/>
        <v>ACCUM DEFERRED INC TAXES - FEDERAL - ELECTRIC</v>
      </c>
      <c r="G1361" s="41" t="s">
        <v>1708</v>
      </c>
      <c r="H1361" s="736" t="s">
        <v>1134</v>
      </c>
      <c r="I1361" s="25"/>
      <c r="J1361" s="25" t="str">
        <f t="shared" si="645"/>
        <v/>
      </c>
      <c r="K1361" s="442" t="str">
        <f t="shared" si="623"/>
        <v/>
      </c>
      <c r="L1361" s="736" t="s">
        <v>2421</v>
      </c>
      <c r="M1361" s="25" t="str">
        <f t="shared" si="634"/>
        <v>N</v>
      </c>
      <c r="N1361" s="25" t="str">
        <f>IF(L1361&lt;&gt;"",VLOOKUP(L1361,Categories!$B$2:$D$41,2,FALSE),IF(F1361&lt;&gt;"","No Cat",""))</f>
        <v>NRBASE</v>
      </c>
      <c r="O1361" s="25" t="str">
        <f>IF($L1361&lt;&gt;"",VLOOKUP($L1361,Categories!$B$2:$D$41,3,FALSE),IF($F1361&lt;&gt;"","No Cat",""))</f>
        <v>Direct Assign Items Not in RB</v>
      </c>
      <c r="P1361" s="736" t="s">
        <v>2468</v>
      </c>
      <c r="Q1361" s="25" t="str">
        <f>VLOOKUP($P1361,Allocators!$B$7:$F$19,5,FALSE)</f>
        <v>Not in Rate Base</v>
      </c>
      <c r="R1361" s="737">
        <f>VLOOKUP($P1361,Allocators!$B$7:$F$19,2,FALSE)</f>
        <v>0</v>
      </c>
      <c r="S1361" s="737">
        <f>VLOOKUP($P1361,Allocators!$B$7:$F$19,3,FALSE)</f>
        <v>0</v>
      </c>
      <c r="T1361" s="737">
        <f t="shared" si="625"/>
        <v>1</v>
      </c>
      <c r="U1361" s="2">
        <f t="shared" si="626"/>
        <v>0</v>
      </c>
      <c r="V1361" s="2">
        <f t="shared" si="627"/>
        <v>0</v>
      </c>
      <c r="W1361" s="2">
        <f t="shared" si="628"/>
        <v>21925.238334166701</v>
      </c>
      <c r="X1361" s="2">
        <f t="shared" si="649"/>
        <v>21925.238334166701</v>
      </c>
      <c r="Y1361" s="2">
        <f t="shared" si="629"/>
        <v>0</v>
      </c>
      <c r="Z1361" s="2">
        <f t="shared" si="630"/>
        <v>0</v>
      </c>
      <c r="AA1361" s="2">
        <f t="shared" si="631"/>
        <v>29740.059069999999</v>
      </c>
      <c r="AB1361" s="2">
        <f t="shared" si="650"/>
        <v>29740.059069999999</v>
      </c>
      <c r="AC1361" s="625">
        <v>20713.089390000001</v>
      </c>
      <c r="AD1361" s="625">
        <v>20713.089390000001</v>
      </c>
      <c r="AE1361" s="625">
        <v>20713.089390000001</v>
      </c>
      <c r="AF1361" s="625">
        <v>20713.089390000001</v>
      </c>
      <c r="AG1361" s="625">
        <v>20617.082160000002</v>
      </c>
      <c r="AH1361" s="625">
        <v>20491.525530000003</v>
      </c>
      <c r="AI1361" s="625">
        <v>20491.525530000003</v>
      </c>
      <c r="AJ1361" s="625">
        <v>20491.525530000003</v>
      </c>
      <c r="AK1361" s="625">
        <v>20491.525530000003</v>
      </c>
      <c r="AL1361" s="625">
        <v>21706.887129999999</v>
      </c>
      <c r="AM1361" s="625">
        <v>21706.887129999999</v>
      </c>
      <c r="AN1361" s="625">
        <v>29740.059069999999</v>
      </c>
      <c r="AO1361" s="625">
        <v>29740.059069999999</v>
      </c>
      <c r="AP1361" s="41" t="str">
        <f t="shared" si="646"/>
        <v>Def TaxN</v>
      </c>
      <c r="AQ1361" s="41" t="str">
        <f t="shared" si="647"/>
        <v>Def TaxNN2Environmental</v>
      </c>
      <c r="AR1361" s="41" t="str">
        <f t="shared" si="648"/>
        <v>N2Environmental</v>
      </c>
    </row>
    <row r="1362" spans="1:44" s="41" customFormat="1" ht="12.75" customHeight="1">
      <c r="A1362" s="25" t="s">
        <v>1590</v>
      </c>
      <c r="B1362" s="25" t="str">
        <f t="shared" si="651"/>
        <v>Def Tax190001190-090BT010220</v>
      </c>
      <c r="C1362" s="736">
        <v>190001</v>
      </c>
      <c r="D1362" s="735" t="s">
        <v>1709</v>
      </c>
      <c r="E1362" s="41" t="s">
        <v>1710</v>
      </c>
      <c r="F1362" s="41" t="str">
        <f t="shared" si="644"/>
        <v>ACCUM DEFERRED INC TAXES - FEDERAL - ELECTRIC</v>
      </c>
      <c r="G1362" s="41" t="s">
        <v>1711</v>
      </c>
      <c r="H1362" s="736" t="s">
        <v>1712</v>
      </c>
      <c r="I1362" s="25"/>
      <c r="J1362" s="25" t="str">
        <f t="shared" si="645"/>
        <v/>
      </c>
      <c r="K1362" s="442" t="str">
        <f t="shared" si="623"/>
        <v/>
      </c>
      <c r="L1362" s="736" t="s">
        <v>2443</v>
      </c>
      <c r="M1362" s="25" t="str">
        <f t="shared" si="634"/>
        <v>R</v>
      </c>
      <c r="N1362" s="25" t="str">
        <f>IF(L1362&lt;&gt;"",VLOOKUP(L1362,Categories!$B$2:$D$41,2,FALSE),IF(F1362&lt;&gt;"","No Cat",""))</f>
        <v>Rate Base</v>
      </c>
      <c r="O1362" s="25" t="str">
        <f>IF($L1362&lt;&gt;"",VLOOKUP($L1362,Categories!$B$2:$D$41,3,FALSE),IF($F1362&lt;&gt;"","No Cat",""))</f>
        <v>Deferred Income Taxes</v>
      </c>
      <c r="P1362" s="736" t="s">
        <v>2482</v>
      </c>
      <c r="Q1362" s="25" t="str">
        <f>VLOOKUP($P1362,Allocators!$B$7:$F$19,5,FALSE)</f>
        <v>Electric</v>
      </c>
      <c r="R1362" s="737">
        <f>VLOOKUP($P1362,Allocators!$B$7:$F$19,2,FALSE)</f>
        <v>1</v>
      </c>
      <c r="S1362" s="737">
        <f>VLOOKUP($P1362,Allocators!$B$7:$F$19,3,FALSE)</f>
        <v>0</v>
      </c>
      <c r="T1362" s="737" t="str">
        <f t="shared" si="625"/>
        <v>0.0%</v>
      </c>
      <c r="U1362" s="2" t="str">
        <f t="shared" si="626"/>
        <v/>
      </c>
      <c r="V1362" s="2" t="str">
        <f t="shared" si="627"/>
        <v/>
      </c>
      <c r="W1362" s="2" t="str">
        <f t="shared" si="628"/>
        <v/>
      </c>
      <c r="X1362" s="2">
        <f t="shared" si="649"/>
        <v>0</v>
      </c>
      <c r="Y1362" s="2" t="str">
        <f t="shared" si="629"/>
        <v/>
      </c>
      <c r="Z1362" s="2" t="str">
        <f t="shared" si="630"/>
        <v/>
      </c>
      <c r="AA1362" s="2" t="str">
        <f t="shared" si="631"/>
        <v/>
      </c>
      <c r="AB1362" s="2">
        <f t="shared" si="650"/>
        <v>0</v>
      </c>
      <c r="AC1362" s="625">
        <v>0</v>
      </c>
      <c r="AD1362" s="625">
        <v>0</v>
      </c>
      <c r="AE1362" s="625">
        <v>0</v>
      </c>
      <c r="AF1362" s="625">
        <v>0</v>
      </c>
      <c r="AG1362" s="625">
        <v>0</v>
      </c>
      <c r="AH1362" s="625">
        <v>0</v>
      </c>
      <c r="AI1362" s="625">
        <v>0</v>
      </c>
      <c r="AJ1362" s="625">
        <v>0</v>
      </c>
      <c r="AK1362" s="625">
        <v>0</v>
      </c>
      <c r="AL1362" s="625">
        <v>0</v>
      </c>
      <c r="AM1362" s="625">
        <v>0</v>
      </c>
      <c r="AN1362" s="625">
        <v>0</v>
      </c>
      <c r="AO1362" s="625">
        <v>0</v>
      </c>
      <c r="AP1362" s="41" t="str">
        <f t="shared" si="646"/>
        <v>Def TaxR</v>
      </c>
      <c r="AQ1362" s="41" t="str">
        <f t="shared" si="647"/>
        <v>Def TaxRR11Stock Options</v>
      </c>
      <c r="AR1362" s="41" t="str">
        <f t="shared" si="648"/>
        <v>R11Stock Options</v>
      </c>
    </row>
    <row r="1363" spans="1:44" s="41" customFormat="1" ht="12.75" customHeight="1">
      <c r="A1363" s="25" t="s">
        <v>1590</v>
      </c>
      <c r="B1363" s="25" t="str">
        <f t="shared" si="651"/>
        <v>Def Tax190001190-103BT010239</v>
      </c>
      <c r="C1363" s="736">
        <v>190001</v>
      </c>
      <c r="D1363" s="735" t="s">
        <v>1713</v>
      </c>
      <c r="E1363" s="41" t="s">
        <v>1714</v>
      </c>
      <c r="F1363" s="41" t="str">
        <f t="shared" si="644"/>
        <v>ACCUM DEFERRED INC TAXES - FEDERAL - ELECTRIC</v>
      </c>
      <c r="G1363" s="41" t="s">
        <v>1715</v>
      </c>
      <c r="H1363" s="736" t="s">
        <v>1716</v>
      </c>
      <c r="I1363" s="25"/>
      <c r="J1363" s="25" t="str">
        <f t="shared" si="645"/>
        <v/>
      </c>
      <c r="K1363" s="442" t="str">
        <f t="shared" si="623"/>
        <v/>
      </c>
      <c r="L1363" s="736" t="s">
        <v>2443</v>
      </c>
      <c r="M1363" s="25" t="str">
        <f t="shared" si="634"/>
        <v>R</v>
      </c>
      <c r="N1363" s="25" t="str">
        <f>IF(L1363&lt;&gt;"",VLOOKUP(L1363,Categories!$B$2:$D$41,2,FALSE),IF(F1363&lt;&gt;"","No Cat",""))</f>
        <v>Rate Base</v>
      </c>
      <c r="O1363" s="25" t="str">
        <f>IF($L1363&lt;&gt;"",VLOOKUP($L1363,Categories!$B$2:$D$41,3,FALSE),IF($F1363&lt;&gt;"","No Cat",""))</f>
        <v>Deferred Income Taxes</v>
      </c>
      <c r="P1363" s="736" t="s">
        <v>2482</v>
      </c>
      <c r="Q1363" s="25" t="str">
        <f>VLOOKUP($P1363,Allocators!$B$7:$F$19,5,FALSE)</f>
        <v>Electric</v>
      </c>
      <c r="R1363" s="737">
        <f>VLOOKUP($P1363,Allocators!$B$7:$F$19,2,FALSE)</f>
        <v>1</v>
      </c>
      <c r="S1363" s="737">
        <f>VLOOKUP($P1363,Allocators!$B$7:$F$19,3,FALSE)</f>
        <v>0</v>
      </c>
      <c r="T1363" s="737" t="str">
        <f t="shared" si="625"/>
        <v>0.0%</v>
      </c>
      <c r="U1363" s="2">
        <f t="shared" si="626"/>
        <v>-4.0000000000000003E-5</v>
      </c>
      <c r="V1363" s="2">
        <f t="shared" si="627"/>
        <v>0</v>
      </c>
      <c r="W1363" s="2">
        <f t="shared" si="628"/>
        <v>0</v>
      </c>
      <c r="X1363" s="2">
        <f t="shared" si="649"/>
        <v>-4.0000000000000003E-5</v>
      </c>
      <c r="Y1363" s="2">
        <f t="shared" si="629"/>
        <v>-4.0000000000000003E-5</v>
      </c>
      <c r="Z1363" s="2">
        <f t="shared" si="630"/>
        <v>0</v>
      </c>
      <c r="AA1363" s="2">
        <f t="shared" si="631"/>
        <v>0</v>
      </c>
      <c r="AB1363" s="2">
        <f t="shared" si="650"/>
        <v>-4.0000000000000003E-5</v>
      </c>
      <c r="AC1363" s="625">
        <v>-4.0000000000000003E-5</v>
      </c>
      <c r="AD1363" s="625">
        <v>-4.0000000000000003E-5</v>
      </c>
      <c r="AE1363" s="625">
        <v>-4.0000000000000003E-5</v>
      </c>
      <c r="AF1363" s="625">
        <v>-4.0000000000000003E-5</v>
      </c>
      <c r="AG1363" s="625">
        <v>-4.0000000000000003E-5</v>
      </c>
      <c r="AH1363" s="625">
        <v>-4.0000000000000003E-5</v>
      </c>
      <c r="AI1363" s="625">
        <v>-4.0000000000000003E-5</v>
      </c>
      <c r="AJ1363" s="625">
        <v>-4.0000000000000003E-5</v>
      </c>
      <c r="AK1363" s="625">
        <v>-4.0000000000000003E-5</v>
      </c>
      <c r="AL1363" s="625">
        <v>-4.0000000000000003E-5</v>
      </c>
      <c r="AM1363" s="625">
        <v>-4.0000000000000003E-5</v>
      </c>
      <c r="AN1363" s="625">
        <v>-4.0000000000000003E-5</v>
      </c>
      <c r="AO1363" s="625">
        <v>-4.0000000000000003E-5</v>
      </c>
      <c r="AP1363" s="41" t="str">
        <f t="shared" si="646"/>
        <v>Def TaxR</v>
      </c>
      <c r="AQ1363" s="41" t="str">
        <f t="shared" si="647"/>
        <v>Def TaxRR11Use Tax Audit</v>
      </c>
      <c r="AR1363" s="41" t="str">
        <f t="shared" si="648"/>
        <v>R11Use Tax Audit</v>
      </c>
    </row>
    <row r="1364" spans="1:44" s="41" customFormat="1" ht="12.75" customHeight="1">
      <c r="A1364" s="25" t="s">
        <v>1590</v>
      </c>
      <c r="B1364" s="25" t="str">
        <f t="shared" si="651"/>
        <v>Def Tax190001190-056BT010242</v>
      </c>
      <c r="C1364" s="736">
        <v>190001</v>
      </c>
      <c r="D1364" s="735" t="s">
        <v>1717</v>
      </c>
      <c r="E1364" s="41" t="s">
        <v>1718</v>
      </c>
      <c r="F1364" s="41" t="str">
        <f t="shared" si="644"/>
        <v>ACCUM DEFERRED INC TAXES - FEDERAL - ELECTRIC</v>
      </c>
      <c r="G1364" s="41" t="s">
        <v>1719</v>
      </c>
      <c r="H1364" s="736" t="s">
        <v>1720</v>
      </c>
      <c r="I1364" s="25"/>
      <c r="J1364" s="25" t="str">
        <f t="shared" si="645"/>
        <v/>
      </c>
      <c r="K1364" s="442" t="str">
        <f t="shared" ref="K1364:K1429" si="652">IF(L1364="N3","Y","")</f>
        <v/>
      </c>
      <c r="L1364" s="736" t="s">
        <v>2443</v>
      </c>
      <c r="M1364" s="25" t="str">
        <f t="shared" si="634"/>
        <v>R</v>
      </c>
      <c r="N1364" s="25" t="str">
        <f>IF(L1364&lt;&gt;"",VLOOKUP(L1364,Categories!$B$2:$D$41,2,FALSE),IF(F1364&lt;&gt;"","No Cat",""))</f>
        <v>Rate Base</v>
      </c>
      <c r="O1364" s="25" t="str">
        <f>IF($L1364&lt;&gt;"",VLOOKUP($L1364,Categories!$B$2:$D$41,3,FALSE),IF($F1364&lt;&gt;"","No Cat",""))</f>
        <v>Deferred Income Taxes</v>
      </c>
      <c r="P1364" s="736" t="s">
        <v>2482</v>
      </c>
      <c r="Q1364" s="25" t="str">
        <f>VLOOKUP($P1364,Allocators!$B$7:$F$19,5,FALSE)</f>
        <v>Electric</v>
      </c>
      <c r="R1364" s="737">
        <f>VLOOKUP($P1364,Allocators!$B$7:$F$19,2,FALSE)</f>
        <v>1</v>
      </c>
      <c r="S1364" s="737">
        <f>VLOOKUP($P1364,Allocators!$B$7:$F$19,3,FALSE)</f>
        <v>0</v>
      </c>
      <c r="T1364" s="737" t="str">
        <f t="shared" si="625"/>
        <v>0.0%</v>
      </c>
      <c r="U1364" s="2">
        <f t="shared" si="626"/>
        <v>11.5465</v>
      </c>
      <c r="V1364" s="2">
        <f t="shared" si="627"/>
        <v>0</v>
      </c>
      <c r="W1364" s="2">
        <f t="shared" si="628"/>
        <v>0</v>
      </c>
      <c r="X1364" s="2">
        <f t="shared" si="649"/>
        <v>11.5465</v>
      </c>
      <c r="Y1364" s="2">
        <f t="shared" si="629"/>
        <v>11.5465</v>
      </c>
      <c r="Z1364" s="2">
        <f t="shared" si="630"/>
        <v>0</v>
      </c>
      <c r="AA1364" s="2">
        <f t="shared" si="631"/>
        <v>0</v>
      </c>
      <c r="AB1364" s="2">
        <f t="shared" si="650"/>
        <v>11.5465</v>
      </c>
      <c r="AC1364" s="625">
        <v>11.5465</v>
      </c>
      <c r="AD1364" s="625">
        <v>11.5465</v>
      </c>
      <c r="AE1364" s="625">
        <v>11.5465</v>
      </c>
      <c r="AF1364" s="625">
        <v>11.5465</v>
      </c>
      <c r="AG1364" s="625">
        <v>11.5465</v>
      </c>
      <c r="AH1364" s="625">
        <v>11.5465</v>
      </c>
      <c r="AI1364" s="625">
        <v>11.5465</v>
      </c>
      <c r="AJ1364" s="625">
        <v>11.5465</v>
      </c>
      <c r="AK1364" s="625">
        <v>11.5465</v>
      </c>
      <c r="AL1364" s="625">
        <v>11.5465</v>
      </c>
      <c r="AM1364" s="625">
        <v>11.5465</v>
      </c>
      <c r="AN1364" s="625">
        <v>11.5465</v>
      </c>
      <c r="AO1364" s="625">
        <v>11.5465</v>
      </c>
      <c r="AP1364" s="41" t="str">
        <f t="shared" si="646"/>
        <v>Def TaxR</v>
      </c>
      <c r="AQ1364" s="41" t="str">
        <f t="shared" si="647"/>
        <v>Def TaxRR11Water Surplus Liability</v>
      </c>
      <c r="AR1364" s="41" t="str">
        <f t="shared" si="648"/>
        <v>R11Water Surplus Liability</v>
      </c>
    </row>
    <row r="1365" spans="1:44" s="41" customFormat="1" ht="12.75" customHeight="1">
      <c r="A1365" s="25" t="s">
        <v>1590</v>
      </c>
      <c r="B1365" s="25" t="str">
        <f t="shared" si="651"/>
        <v>Def Tax190001190-041BT010244</v>
      </c>
      <c r="C1365" s="736">
        <v>190001</v>
      </c>
      <c r="D1365" s="735" t="s">
        <v>1721</v>
      </c>
      <c r="E1365" s="41" t="s">
        <v>1722</v>
      </c>
      <c r="F1365" s="41" t="str">
        <f t="shared" si="644"/>
        <v>ACCUM DEFERRED INC TAXES - FEDERAL - ELECTRIC</v>
      </c>
      <c r="G1365" s="41" t="s">
        <v>1723</v>
      </c>
      <c r="H1365" s="736" t="s">
        <v>1724</v>
      </c>
      <c r="I1365" s="25"/>
      <c r="J1365" s="25" t="str">
        <f t="shared" si="645"/>
        <v/>
      </c>
      <c r="K1365" s="442" t="str">
        <f t="shared" si="652"/>
        <v/>
      </c>
      <c r="L1365" s="736" t="s">
        <v>2443</v>
      </c>
      <c r="M1365" s="25" t="str">
        <f t="shared" si="634"/>
        <v>R</v>
      </c>
      <c r="N1365" s="25" t="str">
        <f>IF(L1365&lt;&gt;"",VLOOKUP(L1365,Categories!$B$2:$D$41,2,FALSE),IF(F1365&lt;&gt;"","No Cat",""))</f>
        <v>Rate Base</v>
      </c>
      <c r="O1365" s="25" t="str">
        <f>IF($L1365&lt;&gt;"",VLOOKUP($L1365,Categories!$B$2:$D$41,3,FALSE),IF($F1365&lt;&gt;"","No Cat",""))</f>
        <v>Deferred Income Taxes</v>
      </c>
      <c r="P1365" s="736" t="s">
        <v>2482</v>
      </c>
      <c r="Q1365" s="25" t="str">
        <f>VLOOKUP($P1365,Allocators!$B$7:$F$19,5,FALSE)</f>
        <v>Electric</v>
      </c>
      <c r="R1365" s="737">
        <f>VLOOKUP($P1365,Allocators!$B$7:$F$19,2,FALSE)</f>
        <v>1</v>
      </c>
      <c r="S1365" s="737">
        <f>VLOOKUP($P1365,Allocators!$B$7:$F$19,3,FALSE)</f>
        <v>0</v>
      </c>
      <c r="T1365" s="737" t="str">
        <f t="shared" si="625"/>
        <v>0.0%</v>
      </c>
      <c r="U1365" s="2" t="str">
        <f t="shared" si="626"/>
        <v/>
      </c>
      <c r="V1365" s="2" t="str">
        <f t="shared" si="627"/>
        <v/>
      </c>
      <c r="W1365" s="2" t="str">
        <f t="shared" si="628"/>
        <v/>
      </c>
      <c r="X1365" s="2">
        <f t="shared" si="649"/>
        <v>0</v>
      </c>
      <c r="Y1365" s="2" t="str">
        <f t="shared" si="629"/>
        <v/>
      </c>
      <c r="Z1365" s="2" t="str">
        <f t="shared" si="630"/>
        <v/>
      </c>
      <c r="AA1365" s="2" t="str">
        <f t="shared" si="631"/>
        <v/>
      </c>
      <c r="AB1365" s="2">
        <f t="shared" si="650"/>
        <v>0</v>
      </c>
      <c r="AC1365" s="625">
        <v>0</v>
      </c>
      <c r="AD1365" s="625">
        <v>0</v>
      </c>
      <c r="AE1365" s="625">
        <v>0</v>
      </c>
      <c r="AF1365" s="625">
        <v>0</v>
      </c>
      <c r="AG1365" s="625">
        <v>0</v>
      </c>
      <c r="AH1365" s="625">
        <v>0</v>
      </c>
      <c r="AI1365" s="625">
        <v>0</v>
      </c>
      <c r="AJ1365" s="625">
        <v>0</v>
      </c>
      <c r="AK1365" s="625">
        <v>0</v>
      </c>
      <c r="AL1365" s="625">
        <v>0</v>
      </c>
      <c r="AM1365" s="625">
        <v>0</v>
      </c>
      <c r="AN1365" s="625">
        <v>0</v>
      </c>
      <c r="AO1365" s="625">
        <v>0</v>
      </c>
      <c r="AP1365" s="41" t="str">
        <f t="shared" si="646"/>
        <v>Def TaxR</v>
      </c>
      <c r="AQ1365" s="41" t="str">
        <f t="shared" si="647"/>
        <v>Def TaxRR11Workers Comp Reserve</v>
      </c>
      <c r="AR1365" s="41" t="str">
        <f t="shared" si="648"/>
        <v>R11Workers Comp Reserve</v>
      </c>
    </row>
    <row r="1366" spans="1:44" s="41" customFormat="1" ht="12.75" customHeight="1">
      <c r="A1366" s="25" t="s">
        <v>1590</v>
      </c>
      <c r="B1366" s="25" t="str">
        <f t="shared" ref="B1366" si="653">CONCATENATE(A1366,C1366,D1366,E1366)</f>
        <v>Def Tax190001Reg ReserveBT010371</v>
      </c>
      <c r="C1366" s="736">
        <v>190001</v>
      </c>
      <c r="D1366" s="735" t="s">
        <v>1852</v>
      </c>
      <c r="E1366" s="41" t="s">
        <v>4116</v>
      </c>
      <c r="F1366" s="41" t="str">
        <f t="shared" si="644"/>
        <v>ACCUM DEFERRED INC TAXES - FEDERAL - ELECTRIC</v>
      </c>
      <c r="G1366" s="41" t="s">
        <v>1853</v>
      </c>
      <c r="H1366" s="736" t="s">
        <v>1583</v>
      </c>
      <c r="I1366" s="25"/>
      <c r="J1366" s="25"/>
      <c r="K1366" s="442"/>
      <c r="L1366" s="736" t="s">
        <v>2421</v>
      </c>
      <c r="M1366" s="25" t="str">
        <f t="shared" ref="M1366" si="654">LEFT(L1366,1)</f>
        <v>N</v>
      </c>
      <c r="N1366" s="25" t="str">
        <f>IF(L1366&lt;&gt;"",VLOOKUP(L1366,Categories!$B$2:$D$41,2,FALSE),IF(F1366&lt;&gt;"","No Cat",""))</f>
        <v>NRBASE</v>
      </c>
      <c r="O1366" s="25" t="str">
        <f>IF($L1366&lt;&gt;"",VLOOKUP($L1366,Categories!$B$2:$D$41,3,FALSE),IF($F1366&lt;&gt;"","No Cat",""))</f>
        <v>Direct Assign Items Not in RB</v>
      </c>
      <c r="P1366" s="736" t="s">
        <v>2468</v>
      </c>
      <c r="Q1366" s="25" t="str">
        <f>VLOOKUP($P1366,Allocators!$B$7:$F$19,5,FALSE)</f>
        <v>Not in Rate Base</v>
      </c>
      <c r="R1366" s="737">
        <f>VLOOKUP($P1366,Allocators!$B$7:$F$19,2,FALSE)</f>
        <v>0</v>
      </c>
      <c r="S1366" s="737">
        <f>VLOOKUP($P1366,Allocators!$B$7:$F$19,3,FALSE)</f>
        <v>0</v>
      </c>
      <c r="T1366" s="737">
        <f t="shared" ref="T1366" si="655">IF(P1366="N",1,"0.0%")</f>
        <v>1</v>
      </c>
      <c r="U1366" s="2">
        <f t="shared" ref="U1366" si="656">IF(ABS(X1366)=0,"",IF($R1366="NO ALLOC","NO ALLOC",ROUND($R1366*X1366,15)))</f>
        <v>0</v>
      </c>
      <c r="V1366" s="2">
        <f t="shared" ref="V1366" si="657">IF(ABS(X1366)=0,"",IF($S1366="NO ALLOC","NO ALLOC",ROUND($S1366*X1366,15)))</f>
        <v>0</v>
      </c>
      <c r="W1366" s="2">
        <f t="shared" ref="W1366" si="658">IF(ABS(X1366)=0,"",IF($T1366="NO ALLOC","NO ALLOC",ROUND($T1366*X1366,15)))</f>
        <v>260.12</v>
      </c>
      <c r="X1366" s="2">
        <f t="shared" ref="X1366" si="659">IF(ISERROR(ROUND((SUM(AC1366:AO1366)-((AC1366+AO1366))/2)/12,15)),"",ROUND((SUM(AC1366:AO1366)-((AC1366+AO1366))/2)/12,15))</f>
        <v>260.12</v>
      </c>
      <c r="Y1366" s="2">
        <f t="shared" ref="Y1366" si="660">IF(ABS(AB1366)=0,"",IF($R1366="NO ALLOC","NO ALLOC",ROUND($R1366*AB1366,15)))</f>
        <v>0</v>
      </c>
      <c r="Z1366" s="2">
        <f t="shared" ref="Z1366" si="661">IF(ABS(AB1366)=0,"",IF($S1366="NO ALLOC","NO ALLOC",ROUND($S1366*AB1366,15)))</f>
        <v>0</v>
      </c>
      <c r="AA1366" s="2">
        <f t="shared" ref="AA1366" si="662">IF(ABS(AB1366)=0,"",IF($T1366="NO ALLOC","NO ALLOC",ROUND($T1366*AB1366,15)))</f>
        <v>260.12</v>
      </c>
      <c r="AB1366" s="2">
        <f t="shared" ref="AB1366" si="663">IF(AO1366="",0,+AO1366)</f>
        <v>260.12</v>
      </c>
      <c r="AC1366" s="625">
        <v>260.12</v>
      </c>
      <c r="AD1366" s="625">
        <v>260.12</v>
      </c>
      <c r="AE1366" s="625">
        <v>260.12</v>
      </c>
      <c r="AF1366" s="625">
        <v>260.12</v>
      </c>
      <c r="AG1366" s="625">
        <v>260.12</v>
      </c>
      <c r="AH1366" s="625">
        <v>260.12</v>
      </c>
      <c r="AI1366" s="625">
        <v>260.12</v>
      </c>
      <c r="AJ1366" s="625">
        <v>260.12</v>
      </c>
      <c r="AK1366" s="625">
        <v>260.12</v>
      </c>
      <c r="AL1366" s="625">
        <v>260.12</v>
      </c>
      <c r="AM1366" s="625">
        <v>260.12</v>
      </c>
      <c r="AN1366" s="625">
        <v>260.12</v>
      </c>
      <c r="AO1366" s="625">
        <v>260.12</v>
      </c>
      <c r="AP1366" s="41" t="str">
        <f t="shared" si="646"/>
        <v>Def TaxN</v>
      </c>
      <c r="AQ1366" s="41" t="str">
        <f t="shared" si="647"/>
        <v>Def TaxNN2Regulatory Reserve</v>
      </c>
      <c r="AR1366" s="41" t="str">
        <f t="shared" si="648"/>
        <v>N2Regulatory Reserve</v>
      </c>
    </row>
    <row r="1367" spans="1:44" s="41" customFormat="1" ht="12.75" customHeight="1">
      <c r="A1367" s="25" t="s">
        <v>1590</v>
      </c>
      <c r="B1367" s="25" t="str">
        <f t="shared" si="651"/>
        <v>Def Tax190001190-074BTHUNGDT</v>
      </c>
      <c r="C1367" s="736">
        <v>190001</v>
      </c>
      <c r="D1367" s="735" t="s">
        <v>1725</v>
      </c>
      <c r="E1367" s="41" t="s">
        <v>1624</v>
      </c>
      <c r="F1367" s="41" t="str">
        <f t="shared" si="644"/>
        <v>ACCUM DEFERRED INC TAXES - FEDERAL - ELECTRIC</v>
      </c>
      <c r="G1367" s="41" t="s">
        <v>1726</v>
      </c>
      <c r="H1367" s="736">
        <v>0</v>
      </c>
      <c r="I1367" s="25"/>
      <c r="J1367" s="25" t="str">
        <f t="shared" si="645"/>
        <v/>
      </c>
      <c r="K1367" s="442" t="str">
        <f t="shared" si="652"/>
        <v/>
      </c>
      <c r="L1367" s="736" t="s">
        <v>2443</v>
      </c>
      <c r="M1367" s="25" t="str">
        <f t="shared" si="634"/>
        <v>R</v>
      </c>
      <c r="N1367" s="25" t="str">
        <f>IF(L1367&lt;&gt;"",VLOOKUP(L1367,Categories!$B$2:$D$41,2,FALSE),IF(F1367&lt;&gt;"","No Cat",""))</f>
        <v>Rate Base</v>
      </c>
      <c r="O1367" s="25" t="str">
        <f>IF($L1367&lt;&gt;"",VLOOKUP($L1367,Categories!$B$2:$D$41,3,FALSE),IF($F1367&lt;&gt;"","No Cat",""))</f>
        <v>Deferred Income Taxes</v>
      </c>
      <c r="P1367" s="736" t="s">
        <v>2482</v>
      </c>
      <c r="Q1367" s="25" t="str">
        <f>VLOOKUP($P1367,Allocators!$B$7:$F$19,5,FALSE)</f>
        <v>Electric</v>
      </c>
      <c r="R1367" s="737">
        <f>VLOOKUP($P1367,Allocators!$B$7:$F$19,2,FALSE)</f>
        <v>1</v>
      </c>
      <c r="S1367" s="737">
        <f>VLOOKUP($P1367,Allocators!$B$7:$F$19,3,FALSE)</f>
        <v>0</v>
      </c>
      <c r="T1367" s="737" t="str">
        <f t="shared" si="625"/>
        <v>0.0%</v>
      </c>
      <c r="U1367" s="2" t="str">
        <f t="shared" ref="U1367:U1430" si="664">IF(ABS(X1367)=0,"",IF($R1367="NO ALLOC","NO ALLOC",ROUND($R1367*X1367,15)))</f>
        <v/>
      </c>
      <c r="V1367" s="2" t="str">
        <f t="shared" ref="V1367:V1430" si="665">IF(ABS(X1367)=0,"",IF($S1367="NO ALLOC","NO ALLOC",ROUND($S1367*X1367,15)))</f>
        <v/>
      </c>
      <c r="W1367" s="2" t="str">
        <f t="shared" ref="W1367:W1430" si="666">IF(ABS(X1367)=0,"",IF($T1367="NO ALLOC","NO ALLOC",ROUND($T1367*X1367,15)))</f>
        <v/>
      </c>
      <c r="X1367" s="2">
        <f t="shared" si="649"/>
        <v>0</v>
      </c>
      <c r="Y1367" s="2" t="str">
        <f t="shared" ref="Y1367:Y1430" si="667">IF(ABS(AB1367)=0,"",IF($R1367="NO ALLOC","NO ALLOC",ROUND($R1367*AB1367,15)))</f>
        <v/>
      </c>
      <c r="Z1367" s="2" t="str">
        <f t="shared" ref="Z1367:Z1430" si="668">IF(ABS(AB1367)=0,"",IF($S1367="NO ALLOC","NO ALLOC",ROUND($S1367*AB1367,15)))</f>
        <v/>
      </c>
      <c r="AA1367" s="2" t="str">
        <f t="shared" ref="AA1367:AA1430" si="669">IF(ABS(AB1367)=0,"",IF($T1367="NO ALLOC","NO ALLOC",ROUND($T1367*AB1367,15)))</f>
        <v/>
      </c>
      <c r="AB1367" s="2">
        <f t="shared" si="650"/>
        <v>0</v>
      </c>
      <c r="AC1367" s="625">
        <v>0</v>
      </c>
      <c r="AD1367" s="625">
        <v>0</v>
      </c>
      <c r="AE1367" s="625">
        <v>0</v>
      </c>
      <c r="AF1367" s="625">
        <v>0</v>
      </c>
      <c r="AG1367" s="625">
        <v>0</v>
      </c>
      <c r="AH1367" s="625">
        <v>0</v>
      </c>
      <c r="AI1367" s="625">
        <v>0</v>
      </c>
      <c r="AJ1367" s="625">
        <v>0</v>
      </c>
      <c r="AK1367" s="625">
        <v>0</v>
      </c>
      <c r="AL1367" s="625">
        <v>0</v>
      </c>
      <c r="AM1367" s="625">
        <v>0</v>
      </c>
      <c r="AN1367" s="625">
        <v>0</v>
      </c>
      <c r="AO1367" s="625">
        <v>0</v>
      </c>
      <c r="AP1367" s="41" t="str">
        <f t="shared" si="646"/>
        <v>Def TaxR</v>
      </c>
      <c r="AQ1367" s="41" t="str">
        <f t="shared" si="647"/>
        <v>Def TaxRR110</v>
      </c>
      <c r="AR1367" s="41" t="str">
        <f t="shared" si="648"/>
        <v>R110</v>
      </c>
    </row>
    <row r="1368" spans="1:44" s="41" customFormat="1" ht="12.75" customHeight="1">
      <c r="A1368" s="25" t="s">
        <v>1590</v>
      </c>
      <c r="B1368" s="25" t="str">
        <f t="shared" si="651"/>
        <v>Def Tax190002190-015BT010089</v>
      </c>
      <c r="C1368" s="736">
        <v>190002</v>
      </c>
      <c r="D1368" s="735" t="s">
        <v>1678</v>
      </c>
      <c r="E1368" s="41" t="s">
        <v>1679</v>
      </c>
      <c r="F1368" s="41" t="str">
        <f t="shared" si="644"/>
        <v>ACCUM DEFERRED INC TAXES - FEDERAL - GAS</v>
      </c>
      <c r="G1368" s="41" t="s">
        <v>1680</v>
      </c>
      <c r="H1368" s="736" t="s">
        <v>927</v>
      </c>
      <c r="I1368" s="25"/>
      <c r="J1368" s="25" t="str">
        <f t="shared" si="645"/>
        <v/>
      </c>
      <c r="K1368" s="442" t="str">
        <f t="shared" si="652"/>
        <v/>
      </c>
      <c r="L1368" s="736" t="s">
        <v>2443</v>
      </c>
      <c r="M1368" s="25" t="str">
        <f t="shared" si="634"/>
        <v>R</v>
      </c>
      <c r="N1368" s="25" t="str">
        <f>IF(L1368&lt;&gt;"",VLOOKUP(L1368,Categories!$B$2:$D$41,2,FALSE),IF(F1368&lt;&gt;"","No Cat",""))</f>
        <v>Rate Base</v>
      </c>
      <c r="O1368" s="25" t="str">
        <f>IF($L1368&lt;&gt;"",VLOOKUP($L1368,Categories!$B$2:$D$41,3,FALSE),IF($F1368&lt;&gt;"","No Cat",""))</f>
        <v>Deferred Income Taxes</v>
      </c>
      <c r="P1368" s="736" t="s">
        <v>2483</v>
      </c>
      <c r="Q1368" s="25" t="str">
        <f>VLOOKUP($P1368,Allocators!$B$7:$F$19,5,FALSE)</f>
        <v>Gas</v>
      </c>
      <c r="R1368" s="737">
        <f>VLOOKUP($P1368,Allocators!$B$7:$F$19,2,FALSE)</f>
        <v>0</v>
      </c>
      <c r="S1368" s="737">
        <f>VLOOKUP($P1368,Allocators!$B$7:$F$19,3,FALSE)</f>
        <v>1</v>
      </c>
      <c r="T1368" s="737" t="str">
        <f t="shared" si="625"/>
        <v>0.0%</v>
      </c>
      <c r="U1368" s="2" t="str">
        <f t="shared" si="664"/>
        <v/>
      </c>
      <c r="V1368" s="2" t="str">
        <f t="shared" si="665"/>
        <v/>
      </c>
      <c r="W1368" s="2" t="str">
        <f t="shared" si="666"/>
        <v/>
      </c>
      <c r="X1368" s="2">
        <f t="shared" si="649"/>
        <v>0</v>
      </c>
      <c r="Y1368" s="2" t="str">
        <f t="shared" si="667"/>
        <v/>
      </c>
      <c r="Z1368" s="2" t="str">
        <f t="shared" si="668"/>
        <v/>
      </c>
      <c r="AA1368" s="2" t="str">
        <f t="shared" si="669"/>
        <v/>
      </c>
      <c r="AB1368" s="2">
        <f t="shared" si="650"/>
        <v>0</v>
      </c>
      <c r="AC1368" s="625">
        <v>0</v>
      </c>
      <c r="AD1368" s="625">
        <v>0</v>
      </c>
      <c r="AE1368" s="625">
        <v>0</v>
      </c>
      <c r="AF1368" s="625">
        <v>0</v>
      </c>
      <c r="AG1368" s="625">
        <v>0</v>
      </c>
      <c r="AH1368" s="625">
        <v>0</v>
      </c>
      <c r="AI1368" s="625">
        <v>0</v>
      </c>
      <c r="AJ1368" s="625">
        <v>0</v>
      </c>
      <c r="AK1368" s="625">
        <v>0</v>
      </c>
      <c r="AL1368" s="625">
        <v>0</v>
      </c>
      <c r="AM1368" s="625">
        <v>0</v>
      </c>
      <c r="AN1368" s="625">
        <v>0</v>
      </c>
      <c r="AO1368" s="625">
        <v>0</v>
      </c>
      <c r="AP1368" s="41" t="str">
        <f t="shared" si="646"/>
        <v>Def TaxR</v>
      </c>
      <c r="AQ1368" s="41" t="str">
        <f t="shared" si="647"/>
        <v>Def TaxRR11OPEB</v>
      </c>
      <c r="AR1368" s="41" t="str">
        <f t="shared" si="648"/>
        <v>R11OPEB</v>
      </c>
    </row>
    <row r="1369" spans="1:44" s="41" customFormat="1" ht="12.75" customHeight="1">
      <c r="A1369" s="25" t="s">
        <v>1590</v>
      </c>
      <c r="B1369" s="25" t="str">
        <f t="shared" si="651"/>
        <v>Def Tax190002190-015-C/LBT010090</v>
      </c>
      <c r="C1369" s="736">
        <v>190002</v>
      </c>
      <c r="D1369" s="735" t="s">
        <v>1727</v>
      </c>
      <c r="E1369" s="41" t="s">
        <v>1728</v>
      </c>
      <c r="F1369" s="41" t="str">
        <f t="shared" si="644"/>
        <v>ACCUM DEFERRED INC TAXES - FEDERAL - GAS</v>
      </c>
      <c r="G1369" s="41" t="s">
        <v>1729</v>
      </c>
      <c r="H1369" s="736" t="s">
        <v>927</v>
      </c>
      <c r="I1369" s="25"/>
      <c r="J1369" s="25" t="str">
        <f t="shared" si="645"/>
        <v/>
      </c>
      <c r="K1369" s="442" t="str">
        <f t="shared" si="652"/>
        <v/>
      </c>
      <c r="L1369" s="736" t="s">
        <v>2443</v>
      </c>
      <c r="M1369" s="25" t="str">
        <f t="shared" si="634"/>
        <v>R</v>
      </c>
      <c r="N1369" s="25" t="str">
        <f>IF(L1369&lt;&gt;"",VLOOKUP(L1369,Categories!$B$2:$D$41,2,FALSE),IF(F1369&lt;&gt;"","No Cat",""))</f>
        <v>Rate Base</v>
      </c>
      <c r="O1369" s="25" t="str">
        <f>IF($L1369&lt;&gt;"",VLOOKUP($L1369,Categories!$B$2:$D$41,3,FALSE),IF($F1369&lt;&gt;"","No Cat",""))</f>
        <v>Deferred Income Taxes</v>
      </c>
      <c r="P1369" s="736" t="s">
        <v>2483</v>
      </c>
      <c r="Q1369" s="25" t="str">
        <f>VLOOKUP($P1369,Allocators!$B$7:$F$19,5,FALSE)</f>
        <v>Gas</v>
      </c>
      <c r="R1369" s="737">
        <f>VLOOKUP($P1369,Allocators!$B$7:$F$19,2,FALSE)</f>
        <v>0</v>
      </c>
      <c r="S1369" s="737">
        <f>VLOOKUP($P1369,Allocators!$B$7:$F$19,3,FALSE)</f>
        <v>1</v>
      </c>
      <c r="T1369" s="737" t="str">
        <f t="shared" si="625"/>
        <v>0.0%</v>
      </c>
      <c r="U1369" s="2" t="str">
        <f t="shared" si="664"/>
        <v/>
      </c>
      <c r="V1369" s="2" t="str">
        <f t="shared" si="665"/>
        <v/>
      </c>
      <c r="W1369" s="2" t="str">
        <f t="shared" si="666"/>
        <v/>
      </c>
      <c r="X1369" s="2">
        <f t="shared" si="649"/>
        <v>0</v>
      </c>
      <c r="Y1369" s="2" t="str">
        <f t="shared" si="667"/>
        <v/>
      </c>
      <c r="Z1369" s="2" t="str">
        <f t="shared" si="668"/>
        <v/>
      </c>
      <c r="AA1369" s="2" t="str">
        <f t="shared" si="669"/>
        <v/>
      </c>
      <c r="AB1369" s="2">
        <f t="shared" si="650"/>
        <v>0</v>
      </c>
      <c r="AC1369" s="625">
        <v>0</v>
      </c>
      <c r="AD1369" s="625">
        <v>0</v>
      </c>
      <c r="AE1369" s="625">
        <v>0</v>
      </c>
      <c r="AF1369" s="625">
        <v>0</v>
      </c>
      <c r="AG1369" s="625">
        <v>0</v>
      </c>
      <c r="AH1369" s="625">
        <v>0</v>
      </c>
      <c r="AI1369" s="625">
        <v>0</v>
      </c>
      <c r="AJ1369" s="625">
        <v>0</v>
      </c>
      <c r="AK1369" s="625">
        <v>0</v>
      </c>
      <c r="AL1369" s="625">
        <v>0</v>
      </c>
      <c r="AM1369" s="625">
        <v>0</v>
      </c>
      <c r="AN1369" s="625">
        <v>0</v>
      </c>
      <c r="AO1369" s="625">
        <v>0</v>
      </c>
      <c r="AP1369" s="41" t="str">
        <f t="shared" si="646"/>
        <v>Def TaxR</v>
      </c>
      <c r="AQ1369" s="41" t="str">
        <f t="shared" si="647"/>
        <v>Def TaxRR11OPEB</v>
      </c>
      <c r="AR1369" s="41" t="str">
        <f t="shared" si="648"/>
        <v>R11OPEB</v>
      </c>
    </row>
    <row r="1370" spans="1:44" s="41" customFormat="1" ht="12.75" customHeight="1">
      <c r="A1370" s="25" t="s">
        <v>1590</v>
      </c>
      <c r="B1370" s="25" t="str">
        <f t="shared" si="651"/>
        <v>Def Tax190002190-015-JP</v>
      </c>
      <c r="C1370" s="736">
        <v>190002</v>
      </c>
      <c r="D1370" s="735" t="s">
        <v>1730</v>
      </c>
      <c r="F1370" s="41" t="str">
        <f t="shared" si="644"/>
        <v>ACCUM DEFERRED INC TAXES - FEDERAL - GAS</v>
      </c>
      <c r="G1370" s="41" t="s">
        <v>1731</v>
      </c>
      <c r="H1370" s="736" t="s">
        <v>927</v>
      </c>
      <c r="I1370" s="25"/>
      <c r="J1370" s="25" t="str">
        <f t="shared" si="645"/>
        <v/>
      </c>
      <c r="K1370" s="442" t="str">
        <f t="shared" si="652"/>
        <v/>
      </c>
      <c r="L1370" s="736" t="s">
        <v>2443</v>
      </c>
      <c r="M1370" s="25" t="str">
        <f t="shared" si="634"/>
        <v>R</v>
      </c>
      <c r="N1370" s="25" t="str">
        <f>IF(L1370&lt;&gt;"",VLOOKUP(L1370,Categories!$B$2:$D$41,2,FALSE),IF(F1370&lt;&gt;"","No Cat",""))</f>
        <v>Rate Base</v>
      </c>
      <c r="O1370" s="25" t="str">
        <f>IF($L1370&lt;&gt;"",VLOOKUP($L1370,Categories!$B$2:$D$41,3,FALSE),IF($F1370&lt;&gt;"","No Cat",""))</f>
        <v>Deferred Income Taxes</v>
      </c>
      <c r="P1370" s="736" t="s">
        <v>2483</v>
      </c>
      <c r="Q1370" s="25" t="str">
        <f>VLOOKUP($P1370,Allocators!$B$7:$F$19,5,FALSE)</f>
        <v>Gas</v>
      </c>
      <c r="R1370" s="737">
        <f>VLOOKUP($P1370,Allocators!$B$7:$F$19,2,FALSE)</f>
        <v>0</v>
      </c>
      <c r="S1370" s="737">
        <f>VLOOKUP($P1370,Allocators!$B$7:$F$19,3,FALSE)</f>
        <v>1</v>
      </c>
      <c r="T1370" s="737" t="str">
        <f t="shared" ref="T1370:T1437" si="670">IF(P1370="N",1,"0.0%")</f>
        <v>0.0%</v>
      </c>
      <c r="U1370" s="2" t="str">
        <f t="shared" si="664"/>
        <v/>
      </c>
      <c r="V1370" s="2" t="str">
        <f t="shared" si="665"/>
        <v/>
      </c>
      <c r="W1370" s="2" t="str">
        <f t="shared" si="666"/>
        <v/>
      </c>
      <c r="X1370" s="2">
        <f t="shared" si="649"/>
        <v>0</v>
      </c>
      <c r="Y1370" s="2" t="str">
        <f t="shared" si="667"/>
        <v/>
      </c>
      <c r="Z1370" s="2" t="str">
        <f t="shared" si="668"/>
        <v/>
      </c>
      <c r="AA1370" s="2" t="str">
        <f t="shared" si="669"/>
        <v/>
      </c>
      <c r="AB1370" s="2">
        <f t="shared" si="650"/>
        <v>0</v>
      </c>
      <c r="AC1370" s="625">
        <v>0</v>
      </c>
      <c r="AD1370" s="625">
        <v>0</v>
      </c>
      <c r="AE1370" s="625">
        <v>0</v>
      </c>
      <c r="AF1370" s="625">
        <v>0</v>
      </c>
      <c r="AG1370" s="625">
        <v>0</v>
      </c>
      <c r="AH1370" s="625">
        <v>0</v>
      </c>
      <c r="AI1370" s="625">
        <v>0</v>
      </c>
      <c r="AJ1370" s="625">
        <v>0</v>
      </c>
      <c r="AK1370" s="625">
        <v>0</v>
      </c>
      <c r="AL1370" s="625">
        <v>0</v>
      </c>
      <c r="AM1370" s="625">
        <v>0</v>
      </c>
      <c r="AN1370" s="625">
        <v>0</v>
      </c>
      <c r="AO1370" s="625">
        <v>0</v>
      </c>
      <c r="AP1370" s="41" t="str">
        <f t="shared" si="646"/>
        <v>Def TaxR</v>
      </c>
      <c r="AQ1370" s="41" t="str">
        <f t="shared" si="647"/>
        <v>Def TaxRR11OPEB</v>
      </c>
      <c r="AR1370" s="41" t="str">
        <f t="shared" si="648"/>
        <v>R11OPEB</v>
      </c>
    </row>
    <row r="1371" spans="1:44" s="41" customFormat="1" ht="12.75" customHeight="1">
      <c r="A1371" s="25" t="s">
        <v>1590</v>
      </c>
      <c r="B1371" s="25" t="str">
        <f t="shared" ref="B1371" si="671">CONCATENATE(A1371,C1371,D1371,E1371)</f>
        <v>Def Tax190002BT010041</v>
      </c>
      <c r="C1371" s="736">
        <v>190002</v>
      </c>
      <c r="D1371" s="735"/>
      <c r="E1371" s="41" t="s">
        <v>4107</v>
      </c>
      <c r="F1371" s="41" t="str">
        <f t="shared" si="644"/>
        <v>ACCUM DEFERRED INC TAXES - FEDERAL - GAS</v>
      </c>
      <c r="G1371" s="41" t="s">
        <v>4106</v>
      </c>
      <c r="H1371" s="736" t="s">
        <v>4106</v>
      </c>
      <c r="I1371" s="25"/>
      <c r="J1371" s="25" t="str">
        <f t="shared" ref="J1371" si="672">IF(L1371="N10","Y",IF(L1371="N8","Y",""))</f>
        <v/>
      </c>
      <c r="K1371" s="442" t="str">
        <f t="shared" si="652"/>
        <v/>
      </c>
      <c r="L1371" s="736" t="s">
        <v>2443</v>
      </c>
      <c r="M1371" s="25" t="str">
        <f t="shared" ref="M1371" si="673">LEFT(L1371,1)</f>
        <v>R</v>
      </c>
      <c r="N1371" s="25" t="str">
        <f>IF(L1371&lt;&gt;"",VLOOKUP(L1371,Categories!$B$2:$D$41,2,FALSE),IF(F1371&lt;&gt;"","No Cat",""))</f>
        <v>Rate Base</v>
      </c>
      <c r="O1371" s="25" t="str">
        <f>IF($L1371&lt;&gt;"",VLOOKUP($L1371,Categories!$B$2:$D$41,3,FALSE),IF($F1371&lt;&gt;"","No Cat",""))</f>
        <v>Deferred Income Taxes</v>
      </c>
      <c r="P1371" s="736" t="s">
        <v>2483</v>
      </c>
      <c r="Q1371" s="25" t="str">
        <f>VLOOKUP($P1371,Allocators!$B$7:$F$19,5,FALSE)</f>
        <v>Gas</v>
      </c>
      <c r="R1371" s="737">
        <f>VLOOKUP($P1371,Allocators!$B$7:$F$19,2,FALSE)</f>
        <v>0</v>
      </c>
      <c r="S1371" s="737">
        <f>VLOOKUP($P1371,Allocators!$B$7:$F$19,3,FALSE)</f>
        <v>1</v>
      </c>
      <c r="T1371" s="737" t="str">
        <f t="shared" ref="T1371" si="674">IF(P1371="N",1,"0.0%")</f>
        <v>0.0%</v>
      </c>
      <c r="U1371" s="2">
        <f t="shared" si="664"/>
        <v>0</v>
      </c>
      <c r="V1371" s="2">
        <f t="shared" si="665"/>
        <v>196.65072000000001</v>
      </c>
      <c r="W1371" s="2">
        <f t="shared" si="666"/>
        <v>0</v>
      </c>
      <c r="X1371" s="2">
        <f t="shared" si="649"/>
        <v>196.65072000000001</v>
      </c>
      <c r="Y1371" s="2">
        <f t="shared" si="667"/>
        <v>0</v>
      </c>
      <c r="Z1371" s="2">
        <f t="shared" si="668"/>
        <v>196.65072000000001</v>
      </c>
      <c r="AA1371" s="2">
        <f t="shared" si="669"/>
        <v>0</v>
      </c>
      <c r="AB1371" s="2">
        <f t="shared" si="650"/>
        <v>196.65072000000001</v>
      </c>
      <c r="AC1371" s="625">
        <v>196.65072000000001</v>
      </c>
      <c r="AD1371" s="625">
        <v>196.65072000000001</v>
      </c>
      <c r="AE1371" s="625">
        <v>196.65072000000001</v>
      </c>
      <c r="AF1371" s="625">
        <v>196.65072000000001</v>
      </c>
      <c r="AG1371" s="625">
        <v>196.65072000000001</v>
      </c>
      <c r="AH1371" s="625">
        <v>196.65072000000001</v>
      </c>
      <c r="AI1371" s="625">
        <v>196.65072000000001</v>
      </c>
      <c r="AJ1371" s="625">
        <v>196.65072000000001</v>
      </c>
      <c r="AK1371" s="625">
        <v>196.65072000000001</v>
      </c>
      <c r="AL1371" s="625">
        <v>196.65072000000001</v>
      </c>
      <c r="AM1371" s="625">
        <v>196.65072000000001</v>
      </c>
      <c r="AN1371" s="625">
        <v>196.65072000000001</v>
      </c>
      <c r="AO1371" s="625">
        <v>196.65072000000001</v>
      </c>
      <c r="AP1371" s="41" t="str">
        <f t="shared" si="646"/>
        <v>Def TaxR</v>
      </c>
      <c r="AQ1371" s="41" t="str">
        <f t="shared" si="647"/>
        <v>Def TaxRR11Consulting Contract Reserve</v>
      </c>
      <c r="AR1371" s="41" t="str">
        <f t="shared" si="648"/>
        <v>R11Consulting Contract Reserve</v>
      </c>
    </row>
    <row r="1372" spans="1:44" s="41" customFormat="1" ht="12.75" customHeight="1">
      <c r="A1372" s="25" t="s">
        <v>1590</v>
      </c>
      <c r="B1372" s="25" t="str">
        <f t="shared" si="651"/>
        <v>Def Tax190002190-017BT010043</v>
      </c>
      <c r="C1372" s="736">
        <v>190002</v>
      </c>
      <c r="D1372" s="735" t="s">
        <v>1630</v>
      </c>
      <c r="E1372" s="41" t="s">
        <v>1631</v>
      </c>
      <c r="F1372" s="41" t="str">
        <f t="shared" si="644"/>
        <v>ACCUM DEFERRED INC TAXES - FEDERAL - GAS</v>
      </c>
      <c r="G1372" s="41" t="s">
        <v>1632</v>
      </c>
      <c r="H1372" s="736" t="s">
        <v>1632</v>
      </c>
      <c r="I1372" s="25"/>
      <c r="J1372" s="25" t="str">
        <f t="shared" si="645"/>
        <v/>
      </c>
      <c r="K1372" s="442" t="str">
        <f t="shared" si="652"/>
        <v/>
      </c>
      <c r="L1372" s="736" t="s">
        <v>2443</v>
      </c>
      <c r="M1372" s="25" t="str">
        <f t="shared" si="634"/>
        <v>R</v>
      </c>
      <c r="N1372" s="25" t="str">
        <f>IF(L1372&lt;&gt;"",VLOOKUP(L1372,Categories!$B$2:$D$41,2,FALSE),IF(F1372&lt;&gt;"","No Cat",""))</f>
        <v>Rate Base</v>
      </c>
      <c r="O1372" s="25" t="str">
        <f>IF($L1372&lt;&gt;"",VLOOKUP($L1372,Categories!$B$2:$D$41,3,FALSE),IF($F1372&lt;&gt;"","No Cat",""))</f>
        <v>Deferred Income Taxes</v>
      </c>
      <c r="P1372" s="736" t="s">
        <v>2483</v>
      </c>
      <c r="Q1372" s="25" t="str">
        <f>VLOOKUP($P1372,Allocators!$B$7:$F$19,5,FALSE)</f>
        <v>Gas</v>
      </c>
      <c r="R1372" s="737">
        <f>VLOOKUP($P1372,Allocators!$B$7:$F$19,2,FALSE)</f>
        <v>0</v>
      </c>
      <c r="S1372" s="737">
        <f>VLOOKUP($P1372,Allocators!$B$7:$F$19,3,FALSE)</f>
        <v>1</v>
      </c>
      <c r="T1372" s="737" t="str">
        <f t="shared" si="670"/>
        <v>0.0%</v>
      </c>
      <c r="U1372" s="2" t="str">
        <f t="shared" si="664"/>
        <v/>
      </c>
      <c r="V1372" s="2" t="str">
        <f t="shared" si="665"/>
        <v/>
      </c>
      <c r="W1372" s="2" t="str">
        <f t="shared" si="666"/>
        <v/>
      </c>
      <c r="X1372" s="2">
        <f t="shared" si="649"/>
        <v>0</v>
      </c>
      <c r="Y1372" s="2" t="str">
        <f t="shared" si="667"/>
        <v/>
      </c>
      <c r="Z1372" s="2" t="str">
        <f t="shared" si="668"/>
        <v/>
      </c>
      <c r="AA1372" s="2" t="str">
        <f t="shared" si="669"/>
        <v/>
      </c>
      <c r="AB1372" s="2">
        <f t="shared" si="650"/>
        <v>0</v>
      </c>
      <c r="AC1372" s="625">
        <v>0</v>
      </c>
      <c r="AD1372" s="625">
        <v>0</v>
      </c>
      <c r="AE1372" s="625">
        <v>0</v>
      </c>
      <c r="AF1372" s="625">
        <v>0</v>
      </c>
      <c r="AG1372" s="625">
        <v>0</v>
      </c>
      <c r="AH1372" s="625">
        <v>0</v>
      </c>
      <c r="AI1372" s="625">
        <v>0</v>
      </c>
      <c r="AJ1372" s="625">
        <v>0</v>
      </c>
      <c r="AK1372" s="625">
        <v>0</v>
      </c>
      <c r="AL1372" s="625">
        <v>0</v>
      </c>
      <c r="AM1372" s="625">
        <v>0</v>
      </c>
      <c r="AN1372" s="625">
        <v>0</v>
      </c>
      <c r="AO1372" s="625">
        <v>0</v>
      </c>
      <c r="AP1372" s="41" t="str">
        <f t="shared" si="646"/>
        <v>Def TaxR</v>
      </c>
      <c r="AQ1372" s="41" t="str">
        <f t="shared" si="647"/>
        <v>Def TaxRR11CIAC</v>
      </c>
      <c r="AR1372" s="41" t="str">
        <f t="shared" si="648"/>
        <v>R11CIAC</v>
      </c>
    </row>
    <row r="1373" spans="1:44" s="41" customFormat="1" ht="12.75" customHeight="1">
      <c r="A1373" s="25" t="s">
        <v>1590</v>
      </c>
      <c r="B1373" s="25" t="str">
        <f t="shared" si="651"/>
        <v>Def Tax190002190-017-SBT010043</v>
      </c>
      <c r="C1373" s="736">
        <v>190002</v>
      </c>
      <c r="D1373" s="735" t="s">
        <v>1732</v>
      </c>
      <c r="E1373" s="41" t="s">
        <v>1631</v>
      </c>
      <c r="F1373" s="41" t="str">
        <f t="shared" si="644"/>
        <v>ACCUM DEFERRED INC TAXES - FEDERAL - GAS</v>
      </c>
      <c r="G1373" s="41" t="s">
        <v>1632</v>
      </c>
      <c r="H1373" s="736" t="s">
        <v>1632</v>
      </c>
      <c r="I1373" s="25"/>
      <c r="J1373" s="25" t="str">
        <f t="shared" si="645"/>
        <v/>
      </c>
      <c r="K1373" s="442" t="str">
        <f t="shared" si="652"/>
        <v/>
      </c>
      <c r="L1373" s="736" t="s">
        <v>2443</v>
      </c>
      <c r="M1373" s="25" t="str">
        <f t="shared" si="634"/>
        <v>R</v>
      </c>
      <c r="N1373" s="25" t="str">
        <f>IF(L1373&lt;&gt;"",VLOOKUP(L1373,Categories!$B$2:$D$41,2,FALSE),IF(F1373&lt;&gt;"","No Cat",""))</f>
        <v>Rate Base</v>
      </c>
      <c r="O1373" s="25" t="str">
        <f>IF($L1373&lt;&gt;"",VLOOKUP($L1373,Categories!$B$2:$D$41,3,FALSE),IF($F1373&lt;&gt;"","No Cat",""))</f>
        <v>Deferred Income Taxes</v>
      </c>
      <c r="P1373" s="736" t="s">
        <v>2483</v>
      </c>
      <c r="Q1373" s="25" t="str">
        <f>VLOOKUP($P1373,Allocators!$B$7:$F$19,5,FALSE)</f>
        <v>Gas</v>
      </c>
      <c r="R1373" s="737">
        <f>VLOOKUP($P1373,Allocators!$B$7:$F$19,2,FALSE)</f>
        <v>0</v>
      </c>
      <c r="S1373" s="737">
        <f>VLOOKUP($P1373,Allocators!$B$7:$F$19,3,FALSE)</f>
        <v>1</v>
      </c>
      <c r="T1373" s="737" t="str">
        <f t="shared" si="670"/>
        <v>0.0%</v>
      </c>
      <c r="U1373" s="2" t="str">
        <f t="shared" si="664"/>
        <v/>
      </c>
      <c r="V1373" s="2" t="str">
        <f t="shared" si="665"/>
        <v/>
      </c>
      <c r="W1373" s="2" t="str">
        <f t="shared" si="666"/>
        <v/>
      </c>
      <c r="X1373" s="2">
        <f t="shared" si="649"/>
        <v>0</v>
      </c>
      <c r="Y1373" s="2" t="str">
        <f t="shared" si="667"/>
        <v/>
      </c>
      <c r="Z1373" s="2" t="str">
        <f t="shared" si="668"/>
        <v/>
      </c>
      <c r="AA1373" s="2" t="str">
        <f t="shared" si="669"/>
        <v/>
      </c>
      <c r="AB1373" s="2">
        <f t="shared" si="650"/>
        <v>0</v>
      </c>
      <c r="AC1373" s="625">
        <v>0</v>
      </c>
      <c r="AD1373" s="625">
        <v>0</v>
      </c>
      <c r="AE1373" s="625">
        <v>0</v>
      </c>
      <c r="AF1373" s="625">
        <v>0</v>
      </c>
      <c r="AG1373" s="625">
        <v>0</v>
      </c>
      <c r="AH1373" s="625">
        <v>0</v>
      </c>
      <c r="AI1373" s="625">
        <v>0</v>
      </c>
      <c r="AJ1373" s="625">
        <v>0</v>
      </c>
      <c r="AK1373" s="625">
        <v>0</v>
      </c>
      <c r="AL1373" s="625">
        <v>0</v>
      </c>
      <c r="AM1373" s="625">
        <v>0</v>
      </c>
      <c r="AN1373" s="625">
        <v>0</v>
      </c>
      <c r="AO1373" s="625">
        <v>0</v>
      </c>
      <c r="AP1373" s="41" t="str">
        <f t="shared" si="646"/>
        <v>Def TaxR</v>
      </c>
      <c r="AQ1373" s="41" t="str">
        <f t="shared" si="647"/>
        <v>Def TaxRR11CIAC</v>
      </c>
      <c r="AR1373" s="41" t="str">
        <f t="shared" si="648"/>
        <v>R11CIAC</v>
      </c>
    </row>
    <row r="1374" spans="1:44" s="41" customFormat="1" ht="12.75" customHeight="1">
      <c r="A1374" s="25" t="s">
        <v>1590</v>
      </c>
      <c r="B1374" s="25" t="str">
        <f t="shared" si="651"/>
        <v>Def Tax190002190-019BT010208</v>
      </c>
      <c r="C1374" s="736">
        <v>190002</v>
      </c>
      <c r="D1374" s="735" t="s">
        <v>1695</v>
      </c>
      <c r="E1374" s="41" t="s">
        <v>1696</v>
      </c>
      <c r="F1374" s="41" t="str">
        <f t="shared" si="644"/>
        <v>ACCUM DEFERRED INC TAXES - FEDERAL - GAS</v>
      </c>
      <c r="G1374" s="41" t="s">
        <v>1697</v>
      </c>
      <c r="H1374" s="736" t="s">
        <v>1698</v>
      </c>
      <c r="I1374" s="25"/>
      <c r="J1374" s="25" t="str">
        <f t="shared" si="645"/>
        <v/>
      </c>
      <c r="K1374" s="442" t="str">
        <f t="shared" si="652"/>
        <v/>
      </c>
      <c r="L1374" s="736" t="s">
        <v>2443</v>
      </c>
      <c r="M1374" s="25" t="str">
        <f t="shared" si="634"/>
        <v>R</v>
      </c>
      <c r="N1374" s="25" t="str">
        <f>IF(L1374&lt;&gt;"",VLOOKUP(L1374,Categories!$B$2:$D$41,2,FALSE),IF(F1374&lt;&gt;"","No Cat",""))</f>
        <v>Rate Base</v>
      </c>
      <c r="O1374" s="25" t="str">
        <f>IF($L1374&lt;&gt;"",VLOOKUP($L1374,Categories!$B$2:$D$41,3,FALSE),IF($F1374&lt;&gt;"","No Cat",""))</f>
        <v>Deferred Income Taxes</v>
      </c>
      <c r="P1374" s="736" t="s">
        <v>2483</v>
      </c>
      <c r="Q1374" s="25" t="str">
        <f>VLOOKUP($P1374,Allocators!$B$7:$F$19,5,FALSE)</f>
        <v>Gas</v>
      </c>
      <c r="R1374" s="737">
        <f>VLOOKUP($P1374,Allocators!$B$7:$F$19,2,FALSE)</f>
        <v>0</v>
      </c>
      <c r="S1374" s="737">
        <f>VLOOKUP($P1374,Allocators!$B$7:$F$19,3,FALSE)</f>
        <v>1</v>
      </c>
      <c r="T1374" s="737" t="str">
        <f t="shared" si="670"/>
        <v>0.0%</v>
      </c>
      <c r="U1374" s="2" t="str">
        <f t="shared" si="664"/>
        <v/>
      </c>
      <c r="V1374" s="2" t="str">
        <f t="shared" si="665"/>
        <v/>
      </c>
      <c r="W1374" s="2" t="str">
        <f t="shared" si="666"/>
        <v/>
      </c>
      <c r="X1374" s="2">
        <f t="shared" si="649"/>
        <v>0</v>
      </c>
      <c r="Y1374" s="2" t="str">
        <f t="shared" si="667"/>
        <v/>
      </c>
      <c r="Z1374" s="2" t="str">
        <f t="shared" si="668"/>
        <v/>
      </c>
      <c r="AA1374" s="2" t="str">
        <f t="shared" si="669"/>
        <v/>
      </c>
      <c r="AB1374" s="2">
        <f t="shared" si="650"/>
        <v>0</v>
      </c>
      <c r="AC1374" s="625">
        <v>0</v>
      </c>
      <c r="AD1374" s="625">
        <v>0</v>
      </c>
      <c r="AE1374" s="625">
        <v>0</v>
      </c>
      <c r="AF1374" s="625">
        <v>0</v>
      </c>
      <c r="AG1374" s="625">
        <v>0</v>
      </c>
      <c r="AH1374" s="625">
        <v>0</v>
      </c>
      <c r="AI1374" s="625">
        <v>0</v>
      </c>
      <c r="AJ1374" s="625">
        <v>0</v>
      </c>
      <c r="AK1374" s="625">
        <v>0</v>
      </c>
      <c r="AL1374" s="625">
        <v>0</v>
      </c>
      <c r="AM1374" s="625">
        <v>0</v>
      </c>
      <c r="AN1374" s="625">
        <v>0</v>
      </c>
      <c r="AO1374" s="625">
        <v>0</v>
      </c>
      <c r="AP1374" s="41" t="str">
        <f t="shared" si="646"/>
        <v>Def TaxR</v>
      </c>
      <c r="AQ1374" s="41" t="str">
        <f t="shared" si="647"/>
        <v>Def TaxRR11Separation Accrual</v>
      </c>
      <c r="AR1374" s="41" t="str">
        <f t="shared" si="648"/>
        <v>R11Separation Accrual</v>
      </c>
    </row>
    <row r="1375" spans="1:44" s="41" customFormat="1" ht="12.75" customHeight="1">
      <c r="A1375" s="25" t="s">
        <v>1590</v>
      </c>
      <c r="B1375" s="25" t="str">
        <f t="shared" si="651"/>
        <v>Def Tax190002190-023BT010099</v>
      </c>
      <c r="C1375" s="736">
        <v>190002</v>
      </c>
      <c r="D1375" s="735" t="s">
        <v>1733</v>
      </c>
      <c r="E1375" s="41" t="s">
        <v>1734</v>
      </c>
      <c r="F1375" s="41" t="str">
        <f t="shared" si="644"/>
        <v>ACCUM DEFERRED INC TAXES - FEDERAL - GAS</v>
      </c>
      <c r="G1375" s="41" t="s">
        <v>1735</v>
      </c>
      <c r="H1375" s="736" t="s">
        <v>1736</v>
      </c>
      <c r="I1375" s="25"/>
      <c r="J1375" s="25" t="str">
        <f t="shared" si="645"/>
        <v/>
      </c>
      <c r="K1375" s="442" t="str">
        <f t="shared" si="652"/>
        <v/>
      </c>
      <c r="L1375" s="736" t="s">
        <v>2443</v>
      </c>
      <c r="M1375" s="25" t="str">
        <f t="shared" si="634"/>
        <v>R</v>
      </c>
      <c r="N1375" s="25" t="str">
        <f>IF(L1375&lt;&gt;"",VLOOKUP(L1375,Categories!$B$2:$D$41,2,FALSE),IF(F1375&lt;&gt;"","No Cat",""))</f>
        <v>Rate Base</v>
      </c>
      <c r="O1375" s="25" t="str">
        <f>IF($L1375&lt;&gt;"",VLOOKUP($L1375,Categories!$B$2:$D$41,3,FALSE),IF($F1375&lt;&gt;"","No Cat",""))</f>
        <v>Deferred Income Taxes</v>
      </c>
      <c r="P1375" s="736" t="s">
        <v>2483</v>
      </c>
      <c r="Q1375" s="25" t="str">
        <f>VLOOKUP($P1375,Allocators!$B$7:$F$19,5,FALSE)</f>
        <v>Gas</v>
      </c>
      <c r="R1375" s="737">
        <f>VLOOKUP($P1375,Allocators!$B$7:$F$19,2,FALSE)</f>
        <v>0</v>
      </c>
      <c r="S1375" s="737">
        <f>VLOOKUP($P1375,Allocators!$B$7:$F$19,3,FALSE)</f>
        <v>1</v>
      </c>
      <c r="T1375" s="737" t="str">
        <f t="shared" si="670"/>
        <v>0.0%</v>
      </c>
      <c r="U1375" s="2">
        <f t="shared" si="664"/>
        <v>0</v>
      </c>
      <c r="V1375" s="2">
        <f t="shared" si="665"/>
        <v>1713.1236987499999</v>
      </c>
      <c r="W1375" s="2">
        <f t="shared" si="666"/>
        <v>0</v>
      </c>
      <c r="X1375" s="2">
        <f t="shared" si="649"/>
        <v>1713.1236987499999</v>
      </c>
      <c r="Y1375" s="2">
        <f t="shared" si="667"/>
        <v>0</v>
      </c>
      <c r="Z1375" s="2">
        <f t="shared" si="668"/>
        <v>1426.0826300000001</v>
      </c>
      <c r="AA1375" s="2">
        <f t="shared" si="669"/>
        <v>0</v>
      </c>
      <c r="AB1375" s="2">
        <f t="shared" si="650"/>
        <v>1426.0826299999999</v>
      </c>
      <c r="AC1375" s="625">
        <v>1831.31708</v>
      </c>
      <c r="AD1375" s="625">
        <v>1831.31708</v>
      </c>
      <c r="AE1375" s="625">
        <v>1831.31708</v>
      </c>
      <c r="AF1375" s="625">
        <v>1831.31708</v>
      </c>
      <c r="AG1375" s="625">
        <v>1831.31708</v>
      </c>
      <c r="AH1375" s="625">
        <v>1831.31708</v>
      </c>
      <c r="AI1375" s="625">
        <v>1831.31708</v>
      </c>
      <c r="AJ1375" s="625">
        <v>1831.31708</v>
      </c>
      <c r="AK1375" s="625">
        <v>1831.31708</v>
      </c>
      <c r="AL1375" s="625">
        <v>1426.0826299999999</v>
      </c>
      <c r="AM1375" s="625">
        <v>1426.0826299999999</v>
      </c>
      <c r="AN1375" s="625">
        <v>1426.0826299999999</v>
      </c>
      <c r="AO1375" s="625">
        <v>1426.0826299999999</v>
      </c>
      <c r="AP1375" s="41" t="str">
        <f t="shared" si="646"/>
        <v>Def TaxR</v>
      </c>
      <c r="AQ1375" s="41" t="str">
        <f t="shared" si="647"/>
        <v>Def TaxRR11Gas Demand Charges</v>
      </c>
      <c r="AR1375" s="41" t="str">
        <f t="shared" si="648"/>
        <v>R11Gas Demand Charges</v>
      </c>
    </row>
    <row r="1376" spans="1:44" s="41" customFormat="1" ht="12.75" customHeight="1">
      <c r="A1376" s="25" t="s">
        <v>1590</v>
      </c>
      <c r="B1376" s="25" t="str">
        <f t="shared" si="651"/>
        <v>Def Tax190002190-024BT010205</v>
      </c>
      <c r="C1376" s="736">
        <v>190002</v>
      </c>
      <c r="D1376" s="735" t="s">
        <v>1737</v>
      </c>
      <c r="E1376" s="41" t="s">
        <v>1738</v>
      </c>
      <c r="F1376" s="41" t="str">
        <f t="shared" si="644"/>
        <v>ACCUM DEFERRED INC TAXES - FEDERAL - GAS</v>
      </c>
      <c r="G1376" s="41" t="s">
        <v>1739</v>
      </c>
      <c r="H1376" s="736" t="s">
        <v>1740</v>
      </c>
      <c r="I1376" s="25"/>
      <c r="J1376" s="25" t="str">
        <f t="shared" si="645"/>
        <v/>
      </c>
      <c r="K1376" s="442" t="str">
        <f t="shared" si="652"/>
        <v/>
      </c>
      <c r="L1376" s="736" t="s">
        <v>2443</v>
      </c>
      <c r="M1376" s="25" t="str">
        <f t="shared" si="634"/>
        <v>R</v>
      </c>
      <c r="N1376" s="25" t="str">
        <f>IF(L1376&lt;&gt;"",VLOOKUP(L1376,Categories!$B$2:$D$41,2,FALSE),IF(F1376&lt;&gt;"","No Cat",""))</f>
        <v>Rate Base</v>
      </c>
      <c r="O1376" s="25" t="str">
        <f>IF($L1376&lt;&gt;"",VLOOKUP($L1376,Categories!$B$2:$D$41,3,FALSE),IF($F1376&lt;&gt;"","No Cat",""))</f>
        <v>Deferred Income Taxes</v>
      </c>
      <c r="P1376" s="736" t="s">
        <v>2483</v>
      </c>
      <c r="Q1376" s="25" t="str">
        <f>VLOOKUP($P1376,Allocators!$B$7:$F$19,5,FALSE)</f>
        <v>Gas</v>
      </c>
      <c r="R1376" s="737">
        <f>VLOOKUP($P1376,Allocators!$B$7:$F$19,2,FALSE)</f>
        <v>0</v>
      </c>
      <c r="S1376" s="737">
        <f>VLOOKUP($P1376,Allocators!$B$7:$F$19,3,FALSE)</f>
        <v>1</v>
      </c>
      <c r="T1376" s="737" t="str">
        <f t="shared" si="670"/>
        <v>0.0%</v>
      </c>
      <c r="U1376" s="2">
        <f t="shared" si="664"/>
        <v>0</v>
      </c>
      <c r="V1376" s="2">
        <f t="shared" si="665"/>
        <v>41.775870416666699</v>
      </c>
      <c r="W1376" s="2">
        <f t="shared" si="666"/>
        <v>0</v>
      </c>
      <c r="X1376" s="2">
        <f t="shared" si="649"/>
        <v>41.775870416666699</v>
      </c>
      <c r="Y1376" s="2">
        <f t="shared" si="667"/>
        <v>0</v>
      </c>
      <c r="Z1376" s="2">
        <f t="shared" si="668"/>
        <v>39.324860000000001</v>
      </c>
      <c r="AA1376" s="2">
        <f t="shared" si="669"/>
        <v>0</v>
      </c>
      <c r="AB1376" s="2">
        <f t="shared" si="650"/>
        <v>39.324860000000001</v>
      </c>
      <c r="AC1376" s="625">
        <v>42.785110000000003</v>
      </c>
      <c r="AD1376" s="625">
        <v>42.785110000000003</v>
      </c>
      <c r="AE1376" s="625">
        <v>42.785110000000003</v>
      </c>
      <c r="AF1376" s="625">
        <v>42.785110000000003</v>
      </c>
      <c r="AG1376" s="625">
        <v>42.785110000000003</v>
      </c>
      <c r="AH1376" s="625">
        <v>42.785110000000003</v>
      </c>
      <c r="AI1376" s="625">
        <v>42.785110000000003</v>
      </c>
      <c r="AJ1376" s="625">
        <v>42.785110000000003</v>
      </c>
      <c r="AK1376" s="625">
        <v>42.785110000000003</v>
      </c>
      <c r="AL1376" s="625">
        <v>39.324860000000001</v>
      </c>
      <c r="AM1376" s="625">
        <v>39.324860000000001</v>
      </c>
      <c r="AN1376" s="625">
        <v>39.324860000000001</v>
      </c>
      <c r="AO1376" s="625">
        <v>39.324860000000001</v>
      </c>
      <c r="AP1376" s="41" t="str">
        <f t="shared" si="646"/>
        <v>Def TaxR</v>
      </c>
      <c r="AQ1376" s="41" t="str">
        <f t="shared" si="647"/>
        <v>Def TaxRR11Gas Inventory - 263A</v>
      </c>
      <c r="AR1376" s="41" t="str">
        <f t="shared" si="648"/>
        <v>R11Gas Inventory - 263A</v>
      </c>
    </row>
    <row r="1377" spans="1:44" s="41" customFormat="1" ht="12.75" customHeight="1">
      <c r="A1377" s="25" t="s">
        <v>1590</v>
      </c>
      <c r="B1377" s="25" t="str">
        <f t="shared" si="651"/>
        <v>Def Tax190002190-031BT010167</v>
      </c>
      <c r="C1377" s="736">
        <v>190002</v>
      </c>
      <c r="D1377" s="735" t="s">
        <v>1670</v>
      </c>
      <c r="E1377" s="41" t="s">
        <v>1671</v>
      </c>
      <c r="F1377" s="41" t="str">
        <f t="shared" si="644"/>
        <v>ACCUM DEFERRED INC TAXES - FEDERAL - GAS</v>
      </c>
      <c r="G1377" s="41" t="s">
        <v>1672</v>
      </c>
      <c r="H1377" s="736" t="s">
        <v>1673</v>
      </c>
      <c r="I1377" s="25"/>
      <c r="J1377" s="25" t="str">
        <f t="shared" si="645"/>
        <v/>
      </c>
      <c r="K1377" s="442" t="str">
        <f t="shared" si="652"/>
        <v/>
      </c>
      <c r="L1377" s="736" t="s">
        <v>2443</v>
      </c>
      <c r="M1377" s="25" t="str">
        <f t="shared" si="634"/>
        <v>R</v>
      </c>
      <c r="N1377" s="25" t="str">
        <f>IF(L1377&lt;&gt;"",VLOOKUP(L1377,Categories!$B$2:$D$41,2,FALSE),IF(F1377&lt;&gt;"","No Cat",""))</f>
        <v>Rate Base</v>
      </c>
      <c r="O1377" s="25" t="str">
        <f>IF($L1377&lt;&gt;"",VLOOKUP($L1377,Categories!$B$2:$D$41,3,FALSE),IF($F1377&lt;&gt;"","No Cat",""))</f>
        <v>Deferred Income Taxes</v>
      </c>
      <c r="P1377" s="736" t="s">
        <v>2483</v>
      </c>
      <c r="Q1377" s="25" t="str">
        <f>VLOOKUP($P1377,Allocators!$B$7:$F$19,5,FALSE)</f>
        <v>Gas</v>
      </c>
      <c r="R1377" s="737">
        <f>VLOOKUP($P1377,Allocators!$B$7:$F$19,2,FALSE)</f>
        <v>0</v>
      </c>
      <c r="S1377" s="737">
        <f>VLOOKUP($P1377,Allocators!$B$7:$F$19,3,FALSE)</f>
        <v>1</v>
      </c>
      <c r="T1377" s="737" t="str">
        <f t="shared" si="670"/>
        <v>0.0%</v>
      </c>
      <c r="U1377" s="2" t="str">
        <f t="shared" si="664"/>
        <v/>
      </c>
      <c r="V1377" s="2" t="str">
        <f t="shared" si="665"/>
        <v/>
      </c>
      <c r="W1377" s="2" t="str">
        <f t="shared" si="666"/>
        <v/>
      </c>
      <c r="X1377" s="2">
        <f t="shared" si="649"/>
        <v>0</v>
      </c>
      <c r="Y1377" s="2" t="str">
        <f t="shared" si="667"/>
        <v/>
      </c>
      <c r="Z1377" s="2" t="str">
        <f t="shared" si="668"/>
        <v/>
      </c>
      <c r="AA1377" s="2" t="str">
        <f t="shared" si="669"/>
        <v/>
      </c>
      <c r="AB1377" s="2">
        <f t="shared" si="650"/>
        <v>0</v>
      </c>
      <c r="AC1377" s="625">
        <v>0</v>
      </c>
      <c r="AD1377" s="625">
        <v>0</v>
      </c>
      <c r="AE1377" s="625">
        <v>0</v>
      </c>
      <c r="AF1377" s="625">
        <v>0</v>
      </c>
      <c r="AG1377" s="625">
        <v>0</v>
      </c>
      <c r="AH1377" s="625">
        <v>0</v>
      </c>
      <c r="AI1377" s="625">
        <v>0</v>
      </c>
      <c r="AJ1377" s="625">
        <v>0</v>
      </c>
      <c r="AK1377" s="625">
        <v>0</v>
      </c>
      <c r="AL1377" s="625">
        <v>0</v>
      </c>
      <c r="AM1377" s="625">
        <v>0</v>
      </c>
      <c r="AN1377" s="625">
        <v>0</v>
      </c>
      <c r="AO1377" s="625">
        <v>0</v>
      </c>
      <c r="AP1377" s="41" t="str">
        <f t="shared" si="646"/>
        <v>Def TaxR</v>
      </c>
      <c r="AQ1377" s="41" t="str">
        <f t="shared" si="647"/>
        <v>Def TaxRR11Pension</v>
      </c>
      <c r="AR1377" s="41" t="str">
        <f t="shared" si="648"/>
        <v>R11Pension</v>
      </c>
    </row>
    <row r="1378" spans="1:44" s="41" customFormat="1" ht="12.75" customHeight="1">
      <c r="A1378" s="25" t="s">
        <v>1590</v>
      </c>
      <c r="B1378" s="25" t="str">
        <f t="shared" si="651"/>
        <v>Def Tax190002190-031-SBT010167</v>
      </c>
      <c r="C1378" s="736">
        <v>190002</v>
      </c>
      <c r="D1378" s="735" t="s">
        <v>1741</v>
      </c>
      <c r="E1378" s="41" t="s">
        <v>1671</v>
      </c>
      <c r="F1378" s="41" t="str">
        <f t="shared" si="644"/>
        <v>ACCUM DEFERRED INC TAXES - FEDERAL - GAS</v>
      </c>
      <c r="G1378" s="41" t="s">
        <v>1672</v>
      </c>
      <c r="H1378" s="736" t="s">
        <v>1673</v>
      </c>
      <c r="I1378" s="25"/>
      <c r="J1378" s="25" t="str">
        <f t="shared" si="645"/>
        <v/>
      </c>
      <c r="K1378" s="442" t="str">
        <f t="shared" si="652"/>
        <v/>
      </c>
      <c r="L1378" s="736" t="s">
        <v>2443</v>
      </c>
      <c r="M1378" s="25" t="str">
        <f t="shared" si="634"/>
        <v>R</v>
      </c>
      <c r="N1378" s="25" t="str">
        <f>IF(L1378&lt;&gt;"",VLOOKUP(L1378,Categories!$B$2:$D$41,2,FALSE),IF(F1378&lt;&gt;"","No Cat",""))</f>
        <v>Rate Base</v>
      </c>
      <c r="O1378" s="25" t="str">
        <f>IF($L1378&lt;&gt;"",VLOOKUP($L1378,Categories!$B$2:$D$41,3,FALSE),IF($F1378&lt;&gt;"","No Cat",""))</f>
        <v>Deferred Income Taxes</v>
      </c>
      <c r="P1378" s="736" t="s">
        <v>2483</v>
      </c>
      <c r="Q1378" s="25" t="str">
        <f>VLOOKUP($P1378,Allocators!$B$7:$F$19,5,FALSE)</f>
        <v>Gas</v>
      </c>
      <c r="R1378" s="737">
        <f>VLOOKUP($P1378,Allocators!$B$7:$F$19,2,FALSE)</f>
        <v>0</v>
      </c>
      <c r="S1378" s="737">
        <f>VLOOKUP($P1378,Allocators!$B$7:$F$19,3,FALSE)</f>
        <v>1</v>
      </c>
      <c r="T1378" s="737" t="str">
        <f t="shared" si="670"/>
        <v>0.0%</v>
      </c>
      <c r="U1378" s="2" t="str">
        <f t="shared" si="664"/>
        <v/>
      </c>
      <c r="V1378" s="2" t="str">
        <f t="shared" si="665"/>
        <v/>
      </c>
      <c r="W1378" s="2" t="str">
        <f t="shared" si="666"/>
        <v/>
      </c>
      <c r="X1378" s="2">
        <f t="shared" si="649"/>
        <v>0</v>
      </c>
      <c r="Y1378" s="2" t="str">
        <f t="shared" si="667"/>
        <v/>
      </c>
      <c r="Z1378" s="2" t="str">
        <f t="shared" si="668"/>
        <v/>
      </c>
      <c r="AA1378" s="2" t="str">
        <f t="shared" si="669"/>
        <v/>
      </c>
      <c r="AB1378" s="2">
        <f t="shared" si="650"/>
        <v>0</v>
      </c>
      <c r="AC1378" s="625">
        <v>0</v>
      </c>
      <c r="AD1378" s="625">
        <v>0</v>
      </c>
      <c r="AE1378" s="625">
        <v>0</v>
      </c>
      <c r="AF1378" s="625">
        <v>0</v>
      </c>
      <c r="AG1378" s="625">
        <v>0</v>
      </c>
      <c r="AH1378" s="625">
        <v>0</v>
      </c>
      <c r="AI1378" s="625">
        <v>0</v>
      </c>
      <c r="AJ1378" s="625">
        <v>0</v>
      </c>
      <c r="AK1378" s="625">
        <v>0</v>
      </c>
      <c r="AL1378" s="625">
        <v>0</v>
      </c>
      <c r="AM1378" s="625">
        <v>0</v>
      </c>
      <c r="AN1378" s="625">
        <v>0</v>
      </c>
      <c r="AO1378" s="625">
        <v>0</v>
      </c>
      <c r="AP1378" s="41" t="str">
        <f t="shared" si="646"/>
        <v>Def TaxR</v>
      </c>
      <c r="AQ1378" s="41" t="str">
        <f t="shared" si="647"/>
        <v>Def TaxRR11Pension</v>
      </c>
      <c r="AR1378" s="41" t="str">
        <f t="shared" si="648"/>
        <v>R11Pension</v>
      </c>
    </row>
    <row r="1379" spans="1:44" s="41" customFormat="1" ht="12.75" customHeight="1">
      <c r="A1379" s="25" t="s">
        <v>1590</v>
      </c>
      <c r="B1379" s="25" t="str">
        <f t="shared" si="651"/>
        <v>Def Tax190002190-031-JP</v>
      </c>
      <c r="C1379" s="736">
        <v>190002</v>
      </c>
      <c r="D1379" s="735" t="s">
        <v>1742</v>
      </c>
      <c r="F1379" s="41" t="str">
        <f t="shared" si="644"/>
        <v>ACCUM DEFERRED INC TAXES - FEDERAL - GAS</v>
      </c>
      <c r="G1379" s="41" t="s">
        <v>1743</v>
      </c>
      <c r="H1379" s="736" t="s">
        <v>1673</v>
      </c>
      <c r="I1379" s="25"/>
      <c r="J1379" s="25" t="str">
        <f t="shared" si="645"/>
        <v/>
      </c>
      <c r="K1379" s="442" t="str">
        <f t="shared" si="652"/>
        <v/>
      </c>
      <c r="L1379" s="736" t="s">
        <v>2443</v>
      </c>
      <c r="M1379" s="25" t="str">
        <f t="shared" si="634"/>
        <v>R</v>
      </c>
      <c r="N1379" s="25" t="str">
        <f>IF(L1379&lt;&gt;"",VLOOKUP(L1379,Categories!$B$2:$D$41,2,FALSE),IF(F1379&lt;&gt;"","No Cat",""))</f>
        <v>Rate Base</v>
      </c>
      <c r="O1379" s="25" t="str">
        <f>IF($L1379&lt;&gt;"",VLOOKUP($L1379,Categories!$B$2:$D$41,3,FALSE),IF($F1379&lt;&gt;"","No Cat",""))</f>
        <v>Deferred Income Taxes</v>
      </c>
      <c r="P1379" s="736" t="s">
        <v>2483</v>
      </c>
      <c r="Q1379" s="25" t="str">
        <f>VLOOKUP($P1379,Allocators!$B$7:$F$19,5,FALSE)</f>
        <v>Gas</v>
      </c>
      <c r="R1379" s="737">
        <f>VLOOKUP($P1379,Allocators!$B$7:$F$19,2,FALSE)</f>
        <v>0</v>
      </c>
      <c r="S1379" s="737">
        <f>VLOOKUP($P1379,Allocators!$B$7:$F$19,3,FALSE)</f>
        <v>1</v>
      </c>
      <c r="T1379" s="737" t="str">
        <f t="shared" si="670"/>
        <v>0.0%</v>
      </c>
      <c r="U1379" s="2" t="str">
        <f t="shared" si="664"/>
        <v/>
      </c>
      <c r="V1379" s="2" t="str">
        <f t="shared" si="665"/>
        <v/>
      </c>
      <c r="W1379" s="2" t="str">
        <f t="shared" si="666"/>
        <v/>
      </c>
      <c r="X1379" s="2">
        <f t="shared" si="649"/>
        <v>0</v>
      </c>
      <c r="Y1379" s="2" t="str">
        <f t="shared" si="667"/>
        <v/>
      </c>
      <c r="Z1379" s="2" t="str">
        <f t="shared" si="668"/>
        <v/>
      </c>
      <c r="AA1379" s="2" t="str">
        <f t="shared" si="669"/>
        <v/>
      </c>
      <c r="AB1379" s="2">
        <f t="shared" si="650"/>
        <v>0</v>
      </c>
      <c r="AC1379" s="625">
        <v>0</v>
      </c>
      <c r="AD1379" s="625">
        <v>0</v>
      </c>
      <c r="AE1379" s="625">
        <v>0</v>
      </c>
      <c r="AF1379" s="625">
        <v>0</v>
      </c>
      <c r="AG1379" s="625">
        <v>0</v>
      </c>
      <c r="AH1379" s="625">
        <v>0</v>
      </c>
      <c r="AI1379" s="625">
        <v>0</v>
      </c>
      <c r="AJ1379" s="625">
        <v>0</v>
      </c>
      <c r="AK1379" s="625">
        <v>0</v>
      </c>
      <c r="AL1379" s="625">
        <v>0</v>
      </c>
      <c r="AM1379" s="625">
        <v>0</v>
      </c>
      <c r="AN1379" s="625">
        <v>0</v>
      </c>
      <c r="AO1379" s="625">
        <v>0</v>
      </c>
      <c r="AP1379" s="41" t="str">
        <f t="shared" si="646"/>
        <v>Def TaxR</v>
      </c>
      <c r="AQ1379" s="41" t="str">
        <f t="shared" si="647"/>
        <v>Def TaxRR11Pension</v>
      </c>
      <c r="AR1379" s="41" t="str">
        <f t="shared" si="648"/>
        <v>R11Pension</v>
      </c>
    </row>
    <row r="1380" spans="1:44" s="41" customFormat="1" ht="12.75" customHeight="1">
      <c r="A1380" s="25" t="s">
        <v>1590</v>
      </c>
      <c r="B1380" s="25" t="str">
        <f t="shared" si="651"/>
        <v>Def Tax190002190-041BT010244</v>
      </c>
      <c r="C1380" s="736">
        <v>190002</v>
      </c>
      <c r="D1380" s="735" t="s">
        <v>1721</v>
      </c>
      <c r="E1380" s="41" t="s">
        <v>1722</v>
      </c>
      <c r="F1380" s="41" t="str">
        <f t="shared" si="644"/>
        <v>ACCUM DEFERRED INC TAXES - FEDERAL - GAS</v>
      </c>
      <c r="G1380" s="41" t="s">
        <v>1723</v>
      </c>
      <c r="H1380" s="736" t="s">
        <v>1724</v>
      </c>
      <c r="I1380" s="25"/>
      <c r="J1380" s="25" t="str">
        <f t="shared" si="645"/>
        <v/>
      </c>
      <c r="K1380" s="442" t="str">
        <f t="shared" si="652"/>
        <v/>
      </c>
      <c r="L1380" s="736" t="s">
        <v>2443</v>
      </c>
      <c r="M1380" s="25" t="str">
        <f t="shared" si="634"/>
        <v>R</v>
      </c>
      <c r="N1380" s="25" t="str">
        <f>IF(L1380&lt;&gt;"",VLOOKUP(L1380,Categories!$B$2:$D$41,2,FALSE),IF(F1380&lt;&gt;"","No Cat",""))</f>
        <v>Rate Base</v>
      </c>
      <c r="O1380" s="25" t="str">
        <f>IF($L1380&lt;&gt;"",VLOOKUP($L1380,Categories!$B$2:$D$41,3,FALSE),IF($F1380&lt;&gt;"","No Cat",""))</f>
        <v>Deferred Income Taxes</v>
      </c>
      <c r="P1380" s="736" t="s">
        <v>2483</v>
      </c>
      <c r="Q1380" s="25" t="str">
        <f>VLOOKUP($P1380,Allocators!$B$7:$F$19,5,FALSE)</f>
        <v>Gas</v>
      </c>
      <c r="R1380" s="737">
        <f>VLOOKUP($P1380,Allocators!$B$7:$F$19,2,FALSE)</f>
        <v>0</v>
      </c>
      <c r="S1380" s="737">
        <f>VLOOKUP($P1380,Allocators!$B$7:$F$19,3,FALSE)</f>
        <v>1</v>
      </c>
      <c r="T1380" s="737" t="str">
        <f t="shared" si="670"/>
        <v>0.0%</v>
      </c>
      <c r="U1380" s="2" t="str">
        <f t="shared" si="664"/>
        <v/>
      </c>
      <c r="V1380" s="2" t="str">
        <f t="shared" si="665"/>
        <v/>
      </c>
      <c r="W1380" s="2" t="str">
        <f t="shared" si="666"/>
        <v/>
      </c>
      <c r="X1380" s="2">
        <f t="shared" si="649"/>
        <v>0</v>
      </c>
      <c r="Y1380" s="2" t="str">
        <f t="shared" si="667"/>
        <v/>
      </c>
      <c r="Z1380" s="2" t="str">
        <f t="shared" si="668"/>
        <v/>
      </c>
      <c r="AA1380" s="2" t="str">
        <f t="shared" si="669"/>
        <v/>
      </c>
      <c r="AB1380" s="2">
        <f t="shared" si="650"/>
        <v>0</v>
      </c>
      <c r="AC1380" s="625">
        <v>0</v>
      </c>
      <c r="AD1380" s="625">
        <v>0</v>
      </c>
      <c r="AE1380" s="625">
        <v>0</v>
      </c>
      <c r="AF1380" s="625">
        <v>0</v>
      </c>
      <c r="AG1380" s="625">
        <v>0</v>
      </c>
      <c r="AH1380" s="625">
        <v>0</v>
      </c>
      <c r="AI1380" s="625">
        <v>0</v>
      </c>
      <c r="AJ1380" s="625">
        <v>0</v>
      </c>
      <c r="AK1380" s="625">
        <v>0</v>
      </c>
      <c r="AL1380" s="625">
        <v>0</v>
      </c>
      <c r="AM1380" s="625">
        <v>0</v>
      </c>
      <c r="AN1380" s="625">
        <v>0</v>
      </c>
      <c r="AO1380" s="625">
        <v>0</v>
      </c>
      <c r="AP1380" s="41" t="str">
        <f t="shared" si="646"/>
        <v>Def TaxR</v>
      </c>
      <c r="AQ1380" s="41" t="str">
        <f t="shared" si="647"/>
        <v>Def TaxRR11Workers Comp Reserve</v>
      </c>
      <c r="AR1380" s="41" t="str">
        <f t="shared" si="648"/>
        <v>R11Workers Comp Reserve</v>
      </c>
    </row>
    <row r="1381" spans="1:44" s="41" customFormat="1" ht="12.75" customHeight="1">
      <c r="A1381" s="25" t="s">
        <v>1590</v>
      </c>
      <c r="B1381" s="25" t="str">
        <f t="shared" si="651"/>
        <v>Def Tax190002190-046BTHUNGDT</v>
      </c>
      <c r="C1381" s="736">
        <v>190002</v>
      </c>
      <c r="D1381" s="735" t="s">
        <v>1744</v>
      </c>
      <c r="E1381" s="41" t="s">
        <v>1624</v>
      </c>
      <c r="F1381" s="41" t="str">
        <f t="shared" si="644"/>
        <v>ACCUM DEFERRED INC TAXES - FEDERAL - GAS</v>
      </c>
      <c r="G1381" s="41" t="s">
        <v>1663</v>
      </c>
      <c r="H1381" s="736" t="s">
        <v>1664</v>
      </c>
      <c r="I1381" s="25"/>
      <c r="J1381" s="25" t="str">
        <f t="shared" si="645"/>
        <v/>
      </c>
      <c r="K1381" s="442" t="str">
        <f t="shared" si="652"/>
        <v/>
      </c>
      <c r="L1381" s="736" t="s">
        <v>2443</v>
      </c>
      <c r="M1381" s="25" t="str">
        <f t="shared" si="634"/>
        <v>R</v>
      </c>
      <c r="N1381" s="25" t="str">
        <f>IF(L1381&lt;&gt;"",VLOOKUP(L1381,Categories!$B$2:$D$41,2,FALSE),IF(F1381&lt;&gt;"","No Cat",""))</f>
        <v>Rate Base</v>
      </c>
      <c r="O1381" s="25" t="str">
        <f>IF($L1381&lt;&gt;"",VLOOKUP($L1381,Categories!$B$2:$D$41,3,FALSE),IF($F1381&lt;&gt;"","No Cat",""))</f>
        <v>Deferred Income Taxes</v>
      </c>
      <c r="P1381" s="736" t="s">
        <v>2483</v>
      </c>
      <c r="Q1381" s="25" t="str">
        <f>VLOOKUP($P1381,Allocators!$B$7:$F$19,5,FALSE)</f>
        <v>Gas</v>
      </c>
      <c r="R1381" s="737">
        <f>VLOOKUP($P1381,Allocators!$B$7:$F$19,2,FALSE)</f>
        <v>0</v>
      </c>
      <c r="S1381" s="737">
        <f>VLOOKUP($P1381,Allocators!$B$7:$F$19,3,FALSE)</f>
        <v>1</v>
      </c>
      <c r="T1381" s="737" t="str">
        <f t="shared" si="670"/>
        <v>0.0%</v>
      </c>
      <c r="U1381" s="2" t="str">
        <f t="shared" si="664"/>
        <v/>
      </c>
      <c r="V1381" s="2" t="str">
        <f t="shared" si="665"/>
        <v/>
      </c>
      <c r="W1381" s="2" t="str">
        <f t="shared" si="666"/>
        <v/>
      </c>
      <c r="X1381" s="2">
        <f t="shared" si="649"/>
        <v>0</v>
      </c>
      <c r="Y1381" s="2" t="str">
        <f t="shared" si="667"/>
        <v/>
      </c>
      <c r="Z1381" s="2" t="str">
        <f t="shared" si="668"/>
        <v/>
      </c>
      <c r="AA1381" s="2" t="str">
        <f t="shared" si="669"/>
        <v/>
      </c>
      <c r="AB1381" s="2">
        <f t="shared" si="650"/>
        <v>0</v>
      </c>
      <c r="AC1381" s="625">
        <v>0</v>
      </c>
      <c r="AD1381" s="625">
        <v>0</v>
      </c>
      <c r="AE1381" s="625">
        <v>0</v>
      </c>
      <c r="AF1381" s="625">
        <v>0</v>
      </c>
      <c r="AG1381" s="625">
        <v>0</v>
      </c>
      <c r="AH1381" s="625">
        <v>0</v>
      </c>
      <c r="AI1381" s="625">
        <v>0</v>
      </c>
      <c r="AJ1381" s="625">
        <v>0</v>
      </c>
      <c r="AK1381" s="625">
        <v>0</v>
      </c>
      <c r="AL1381" s="625">
        <v>0</v>
      </c>
      <c r="AM1381" s="625">
        <v>0</v>
      </c>
      <c r="AN1381" s="625">
        <v>0</v>
      </c>
      <c r="AO1381" s="625">
        <v>0</v>
      </c>
      <c r="AP1381" s="41" t="str">
        <f t="shared" si="646"/>
        <v>Def TaxR</v>
      </c>
      <c r="AQ1381" s="41" t="str">
        <f t="shared" si="647"/>
        <v>Def TaxRR11M&amp;S Obsolescence</v>
      </c>
      <c r="AR1381" s="41" t="str">
        <f t="shared" si="648"/>
        <v>R11M&amp;S Obsolescence</v>
      </c>
    </row>
    <row r="1382" spans="1:44" s="41" customFormat="1" ht="12.75" customHeight="1">
      <c r="A1382" s="25" t="s">
        <v>1590</v>
      </c>
      <c r="B1382" s="25" t="str">
        <f t="shared" si="651"/>
        <v>Def Tax190002190-044BTHUNGDT</v>
      </c>
      <c r="C1382" s="736">
        <v>190002</v>
      </c>
      <c r="D1382" s="735" t="s">
        <v>1645</v>
      </c>
      <c r="E1382" s="41" t="s">
        <v>1624</v>
      </c>
      <c r="F1382" s="41" t="str">
        <f t="shared" si="644"/>
        <v>ACCUM DEFERRED INC TAXES - FEDERAL - GAS</v>
      </c>
      <c r="G1382" s="41" t="s">
        <v>1646</v>
      </c>
      <c r="H1382" s="736" t="s">
        <v>1647</v>
      </c>
      <c r="I1382" s="25"/>
      <c r="J1382" s="25" t="str">
        <f t="shared" si="645"/>
        <v/>
      </c>
      <c r="K1382" s="442" t="str">
        <f t="shared" si="652"/>
        <v/>
      </c>
      <c r="L1382" s="736" t="s">
        <v>2443</v>
      </c>
      <c r="M1382" s="25" t="str">
        <f t="shared" si="634"/>
        <v>R</v>
      </c>
      <c r="N1382" s="25" t="str">
        <f>IF(L1382&lt;&gt;"",VLOOKUP(L1382,Categories!$B$2:$D$41,2,FALSE),IF(F1382&lt;&gt;"","No Cat",""))</f>
        <v>Rate Base</v>
      </c>
      <c r="O1382" s="25" t="str">
        <f>IF($L1382&lt;&gt;"",VLOOKUP($L1382,Categories!$B$2:$D$41,3,FALSE),IF($F1382&lt;&gt;"","No Cat",""))</f>
        <v>Deferred Income Taxes</v>
      </c>
      <c r="P1382" s="736" t="s">
        <v>2483</v>
      </c>
      <c r="Q1382" s="25" t="str">
        <f>VLOOKUP($P1382,Allocators!$B$7:$F$19,5,FALSE)</f>
        <v>Gas</v>
      </c>
      <c r="R1382" s="737">
        <f>VLOOKUP($P1382,Allocators!$B$7:$F$19,2,FALSE)</f>
        <v>0</v>
      </c>
      <c r="S1382" s="737">
        <f>VLOOKUP($P1382,Allocators!$B$7:$F$19,3,FALSE)</f>
        <v>1</v>
      </c>
      <c r="T1382" s="737" t="str">
        <f t="shared" si="670"/>
        <v>0.0%</v>
      </c>
      <c r="U1382" s="2" t="str">
        <f t="shared" si="664"/>
        <v/>
      </c>
      <c r="V1382" s="2" t="str">
        <f t="shared" si="665"/>
        <v/>
      </c>
      <c r="W1382" s="2" t="str">
        <f t="shared" si="666"/>
        <v/>
      </c>
      <c r="X1382" s="2">
        <f t="shared" si="649"/>
        <v>0</v>
      </c>
      <c r="Y1382" s="2" t="str">
        <f t="shared" si="667"/>
        <v/>
      </c>
      <c r="Z1382" s="2" t="str">
        <f t="shared" si="668"/>
        <v/>
      </c>
      <c r="AA1382" s="2" t="str">
        <f t="shared" si="669"/>
        <v/>
      </c>
      <c r="AB1382" s="2">
        <f t="shared" si="650"/>
        <v>0</v>
      </c>
      <c r="AC1382" s="625">
        <v>0</v>
      </c>
      <c r="AD1382" s="625">
        <v>0</v>
      </c>
      <c r="AE1382" s="625">
        <v>0</v>
      </c>
      <c r="AF1382" s="625">
        <v>0</v>
      </c>
      <c r="AG1382" s="625">
        <v>0</v>
      </c>
      <c r="AH1382" s="625">
        <v>0</v>
      </c>
      <c r="AI1382" s="625">
        <v>0</v>
      </c>
      <c r="AJ1382" s="625">
        <v>0</v>
      </c>
      <c r="AK1382" s="625">
        <v>0</v>
      </c>
      <c r="AL1382" s="625">
        <v>0</v>
      </c>
      <c r="AM1382" s="625">
        <v>0</v>
      </c>
      <c r="AN1382" s="625">
        <v>0</v>
      </c>
      <c r="AO1382" s="625">
        <v>0</v>
      </c>
      <c r="AP1382" s="41" t="str">
        <f t="shared" si="646"/>
        <v>Def TaxR</v>
      </c>
      <c r="AQ1382" s="41" t="str">
        <f t="shared" si="647"/>
        <v>Def TaxRR11Deferred Comp</v>
      </c>
      <c r="AR1382" s="41" t="str">
        <f t="shared" si="648"/>
        <v>R11Deferred Comp</v>
      </c>
    </row>
    <row r="1383" spans="1:44" s="41" customFormat="1" ht="12.75" customHeight="1">
      <c r="A1383" s="25" t="s">
        <v>1590</v>
      </c>
      <c r="B1383" s="25" t="str">
        <f t="shared" si="651"/>
        <v>Def Tax190002190-045BTHUNGDT</v>
      </c>
      <c r="C1383" s="736">
        <v>190002</v>
      </c>
      <c r="D1383" s="735" t="s">
        <v>1745</v>
      </c>
      <c r="E1383" s="41" t="s">
        <v>1624</v>
      </c>
      <c r="F1383" s="41" t="str">
        <f t="shared" si="644"/>
        <v>ACCUM DEFERRED INC TAXES - FEDERAL - GAS</v>
      </c>
      <c r="G1383" s="41" t="s">
        <v>1746</v>
      </c>
      <c r="H1383" s="736">
        <v>0</v>
      </c>
      <c r="I1383" s="25"/>
      <c r="J1383" s="25" t="str">
        <f t="shared" si="645"/>
        <v/>
      </c>
      <c r="K1383" s="442" t="str">
        <f t="shared" si="652"/>
        <v/>
      </c>
      <c r="L1383" s="736" t="s">
        <v>2443</v>
      </c>
      <c r="M1383" s="25" t="str">
        <f t="shared" si="634"/>
        <v>R</v>
      </c>
      <c r="N1383" s="25" t="str">
        <f>IF(L1383&lt;&gt;"",VLOOKUP(L1383,Categories!$B$2:$D$41,2,FALSE),IF(F1383&lt;&gt;"","No Cat",""))</f>
        <v>Rate Base</v>
      </c>
      <c r="O1383" s="25" t="str">
        <f>IF($L1383&lt;&gt;"",VLOOKUP($L1383,Categories!$B$2:$D$41,3,FALSE),IF($F1383&lt;&gt;"","No Cat",""))</f>
        <v>Deferred Income Taxes</v>
      </c>
      <c r="P1383" s="736" t="s">
        <v>2483</v>
      </c>
      <c r="Q1383" s="25" t="str">
        <f>VLOOKUP($P1383,Allocators!$B$7:$F$19,5,FALSE)</f>
        <v>Gas</v>
      </c>
      <c r="R1383" s="737">
        <f>VLOOKUP($P1383,Allocators!$B$7:$F$19,2,FALSE)</f>
        <v>0</v>
      </c>
      <c r="S1383" s="737">
        <f>VLOOKUP($P1383,Allocators!$B$7:$F$19,3,FALSE)</f>
        <v>1</v>
      </c>
      <c r="T1383" s="737" t="str">
        <f t="shared" si="670"/>
        <v>0.0%</v>
      </c>
      <c r="U1383" s="2" t="str">
        <f t="shared" si="664"/>
        <v/>
      </c>
      <c r="V1383" s="2" t="str">
        <f t="shared" si="665"/>
        <v/>
      </c>
      <c r="W1383" s="2" t="str">
        <f t="shared" si="666"/>
        <v/>
      </c>
      <c r="X1383" s="2">
        <f t="shared" si="649"/>
        <v>0</v>
      </c>
      <c r="Y1383" s="2" t="str">
        <f t="shared" si="667"/>
        <v/>
      </c>
      <c r="Z1383" s="2" t="str">
        <f t="shared" si="668"/>
        <v/>
      </c>
      <c r="AA1383" s="2" t="str">
        <f t="shared" si="669"/>
        <v/>
      </c>
      <c r="AB1383" s="2">
        <f t="shared" si="650"/>
        <v>0</v>
      </c>
      <c r="AC1383" s="625">
        <v>0</v>
      </c>
      <c r="AD1383" s="625">
        <v>0</v>
      </c>
      <c r="AE1383" s="625">
        <v>0</v>
      </c>
      <c r="AF1383" s="625">
        <v>0</v>
      </c>
      <c r="AG1383" s="625">
        <v>0</v>
      </c>
      <c r="AH1383" s="625">
        <v>0</v>
      </c>
      <c r="AI1383" s="625">
        <v>0</v>
      </c>
      <c r="AJ1383" s="625">
        <v>0</v>
      </c>
      <c r="AK1383" s="625">
        <v>0</v>
      </c>
      <c r="AL1383" s="625">
        <v>0</v>
      </c>
      <c r="AM1383" s="625">
        <v>0</v>
      </c>
      <c r="AN1383" s="625">
        <v>0</v>
      </c>
      <c r="AO1383" s="625">
        <v>0</v>
      </c>
      <c r="AP1383" s="41" t="str">
        <f t="shared" si="646"/>
        <v>Def TaxR</v>
      </c>
      <c r="AQ1383" s="41" t="str">
        <f t="shared" si="647"/>
        <v>Def TaxRR110</v>
      </c>
      <c r="AR1383" s="41" t="str">
        <f t="shared" si="648"/>
        <v>R110</v>
      </c>
    </row>
    <row r="1384" spans="1:44" s="41" customFormat="1" ht="12.75" customHeight="1">
      <c r="A1384" s="25" t="s">
        <v>1590</v>
      </c>
      <c r="B1384" s="25" t="str">
        <f t="shared" ref="B1384" si="675">CONCATENATE(A1384,C1384,D1384,E1384)</f>
        <v>Def Tax190002BT010271</v>
      </c>
      <c r="C1384" s="736">
        <v>190002</v>
      </c>
      <c r="D1384" s="735"/>
      <c r="E1384" s="41" t="s">
        <v>4109</v>
      </c>
      <c r="F1384" s="41" t="str">
        <f t="shared" si="644"/>
        <v>ACCUM DEFERRED INC TAXES - FEDERAL - GAS</v>
      </c>
      <c r="G1384" s="41" t="s">
        <v>4108</v>
      </c>
      <c r="H1384" s="736" t="s">
        <v>4108</v>
      </c>
      <c r="I1384" s="25"/>
      <c r="J1384" s="25" t="str">
        <f t="shared" ref="J1384" si="676">IF(L1384="N10","Y",IF(L1384="N8","Y",""))</f>
        <v/>
      </c>
      <c r="K1384" s="442" t="str">
        <f t="shared" si="652"/>
        <v/>
      </c>
      <c r="L1384" s="736" t="s">
        <v>2443</v>
      </c>
      <c r="M1384" s="25" t="str">
        <f t="shared" ref="M1384" si="677">LEFT(L1384,1)</f>
        <v>R</v>
      </c>
      <c r="N1384" s="25" t="str">
        <f>IF(L1384&lt;&gt;"",VLOOKUP(L1384,Categories!$B$2:$D$41,2,FALSE),IF(F1384&lt;&gt;"","No Cat",""))</f>
        <v>Rate Base</v>
      </c>
      <c r="O1384" s="25" t="str">
        <f>IF($L1384&lt;&gt;"",VLOOKUP($L1384,Categories!$B$2:$D$41,3,FALSE),IF($F1384&lt;&gt;"","No Cat",""))</f>
        <v>Deferred Income Taxes</v>
      </c>
      <c r="P1384" s="736" t="s">
        <v>2483</v>
      </c>
      <c r="Q1384" s="25" t="str">
        <f>VLOOKUP($P1384,Allocators!$B$7:$F$19,5,FALSE)</f>
        <v>Gas</v>
      </c>
      <c r="R1384" s="737">
        <f>VLOOKUP($P1384,Allocators!$B$7:$F$19,2,FALSE)</f>
        <v>0</v>
      </c>
      <c r="S1384" s="737">
        <f>VLOOKUP($P1384,Allocators!$B$7:$F$19,3,FALSE)</f>
        <v>1</v>
      </c>
      <c r="T1384" s="737" t="str">
        <f t="shared" ref="T1384" si="678">IF(P1384="N",1,"0.0%")</f>
        <v>0.0%</v>
      </c>
      <c r="U1384" s="2">
        <f t="shared" si="664"/>
        <v>0</v>
      </c>
      <c r="V1384" s="2">
        <f t="shared" si="665"/>
        <v>9.0052708333333307</v>
      </c>
      <c r="W1384" s="2">
        <f t="shared" si="666"/>
        <v>0</v>
      </c>
      <c r="X1384" s="2">
        <f t="shared" si="649"/>
        <v>9.0052708333333307</v>
      </c>
      <c r="Y1384" s="2">
        <f t="shared" si="667"/>
        <v>0</v>
      </c>
      <c r="Z1384" s="2">
        <f t="shared" si="668"/>
        <v>29.701699999999999</v>
      </c>
      <c r="AA1384" s="2">
        <f t="shared" si="669"/>
        <v>0</v>
      </c>
      <c r="AB1384" s="2">
        <f t="shared" si="650"/>
        <v>29.701700000000002</v>
      </c>
      <c r="AC1384" s="625">
        <v>25.99296</v>
      </c>
      <c r="AD1384" s="625">
        <v>26.461179999999999</v>
      </c>
      <c r="AE1384" s="625">
        <v>26.877369999999999</v>
      </c>
      <c r="AF1384" s="625">
        <v>26.877369999999999</v>
      </c>
      <c r="AG1384" s="625">
        <v>0</v>
      </c>
      <c r="AH1384" s="625">
        <v>0</v>
      </c>
      <c r="AI1384" s="625">
        <v>0</v>
      </c>
      <c r="AJ1384" s="625">
        <v>0</v>
      </c>
      <c r="AK1384" s="625">
        <v>0</v>
      </c>
      <c r="AL1384" s="625">
        <v>0</v>
      </c>
      <c r="AM1384" s="625">
        <v>0</v>
      </c>
      <c r="AN1384" s="625">
        <v>0</v>
      </c>
      <c r="AO1384" s="625">
        <v>29.701700000000002</v>
      </c>
      <c r="AP1384" s="41" t="str">
        <f t="shared" si="646"/>
        <v>Def TaxR</v>
      </c>
      <c r="AQ1384" s="41" t="str">
        <f t="shared" si="647"/>
        <v>Def TaxRR11GRT Audit Reserve</v>
      </c>
      <c r="AR1384" s="41" t="str">
        <f t="shared" si="648"/>
        <v>R11GRT Audit Reserve</v>
      </c>
    </row>
    <row r="1385" spans="1:44" s="41" customFormat="1" ht="12.75" customHeight="1">
      <c r="A1385" s="25" t="s">
        <v>1590</v>
      </c>
      <c r="B1385" s="25" t="str">
        <f t="shared" si="651"/>
        <v>Def Tax190002190-049BT010105</v>
      </c>
      <c r="C1385" s="736">
        <v>190002</v>
      </c>
      <c r="D1385" s="735" t="s">
        <v>1633</v>
      </c>
      <c r="E1385" s="41" t="s">
        <v>1634</v>
      </c>
      <c r="F1385" s="41" t="str">
        <f t="shared" si="644"/>
        <v>ACCUM DEFERRED INC TAXES - FEDERAL - GAS</v>
      </c>
      <c r="G1385" s="41" t="s">
        <v>1635</v>
      </c>
      <c r="H1385" s="736" t="s">
        <v>1636</v>
      </c>
      <c r="I1385" s="25"/>
      <c r="J1385" s="25" t="str">
        <f t="shared" si="645"/>
        <v/>
      </c>
      <c r="K1385" s="442" t="str">
        <f t="shared" si="652"/>
        <v/>
      </c>
      <c r="L1385" s="736" t="s">
        <v>2443</v>
      </c>
      <c r="M1385" s="25" t="str">
        <f t="shared" si="634"/>
        <v>R</v>
      </c>
      <c r="N1385" s="25" t="str">
        <f>IF(L1385&lt;&gt;"",VLOOKUP(L1385,Categories!$B$2:$D$41,2,FALSE),IF(F1385&lt;&gt;"","No Cat",""))</f>
        <v>Rate Base</v>
      </c>
      <c r="O1385" s="25" t="str">
        <f>IF($L1385&lt;&gt;"",VLOOKUP($L1385,Categories!$B$2:$D$41,3,FALSE),IF($F1385&lt;&gt;"","No Cat",""))</f>
        <v>Deferred Income Taxes</v>
      </c>
      <c r="P1385" s="736" t="s">
        <v>2483</v>
      </c>
      <c r="Q1385" s="25" t="str">
        <f>VLOOKUP($P1385,Allocators!$B$7:$F$19,5,FALSE)</f>
        <v>Gas</v>
      </c>
      <c r="R1385" s="737">
        <f>VLOOKUP($P1385,Allocators!$B$7:$F$19,2,FALSE)</f>
        <v>0</v>
      </c>
      <c r="S1385" s="737">
        <f>VLOOKUP($P1385,Allocators!$B$7:$F$19,3,FALSE)</f>
        <v>1</v>
      </c>
      <c r="T1385" s="737" t="str">
        <f t="shared" si="670"/>
        <v>0.0%</v>
      </c>
      <c r="U1385" s="2">
        <f t="shared" si="664"/>
        <v>0</v>
      </c>
      <c r="V1385" s="2">
        <f t="shared" si="665"/>
        <v>319.94383375000001</v>
      </c>
      <c r="W1385" s="2">
        <f t="shared" si="666"/>
        <v>0</v>
      </c>
      <c r="X1385" s="2">
        <f t="shared" si="649"/>
        <v>319.94383375000001</v>
      </c>
      <c r="Y1385" s="2">
        <f t="shared" si="667"/>
        <v>0</v>
      </c>
      <c r="Z1385" s="2">
        <f t="shared" si="668"/>
        <v>352.41818999999998</v>
      </c>
      <c r="AA1385" s="2">
        <f t="shared" si="669"/>
        <v>0</v>
      </c>
      <c r="AB1385" s="2">
        <f t="shared" si="650"/>
        <v>352.41818999999998</v>
      </c>
      <c r="AC1385" s="625">
        <v>295.51693999999998</v>
      </c>
      <c r="AD1385" s="625">
        <v>284.13668999999999</v>
      </c>
      <c r="AE1385" s="625">
        <v>287.06304</v>
      </c>
      <c r="AF1385" s="625">
        <v>272.75644</v>
      </c>
      <c r="AG1385" s="625">
        <v>284.13668999999999</v>
      </c>
      <c r="AH1385" s="625">
        <v>284.13668999999999</v>
      </c>
      <c r="AI1385" s="625">
        <v>375.17869000000002</v>
      </c>
      <c r="AJ1385" s="625">
        <v>352.41818999999998</v>
      </c>
      <c r="AK1385" s="625">
        <v>341.03793999999999</v>
      </c>
      <c r="AL1385" s="625">
        <v>352.41818999999998</v>
      </c>
      <c r="AM1385" s="625">
        <v>341.03793999999999</v>
      </c>
      <c r="AN1385" s="625">
        <v>341.03793999999999</v>
      </c>
      <c r="AO1385" s="625">
        <v>352.41818999999998</v>
      </c>
      <c r="AP1385" s="41" t="str">
        <f t="shared" si="646"/>
        <v>Def TaxR</v>
      </c>
      <c r="AQ1385" s="41" t="str">
        <f t="shared" si="647"/>
        <v>Def TaxRR11Claims Reserve</v>
      </c>
      <c r="AR1385" s="41" t="str">
        <f t="shared" si="648"/>
        <v>R11Claims Reserve</v>
      </c>
    </row>
    <row r="1386" spans="1:44" s="41" customFormat="1" ht="12.75" customHeight="1">
      <c r="A1386" s="25" t="s">
        <v>1590</v>
      </c>
      <c r="B1386" s="25" t="str">
        <f t="shared" si="651"/>
        <v>Def Tax190002190-064BTHUNGDT</v>
      </c>
      <c r="C1386" s="736">
        <v>190002</v>
      </c>
      <c r="D1386" s="735" t="s">
        <v>1623</v>
      </c>
      <c r="E1386" s="41" t="s">
        <v>1624</v>
      </c>
      <c r="F1386" s="41" t="str">
        <f t="shared" si="644"/>
        <v>ACCUM DEFERRED INC TAXES - FEDERAL - GAS</v>
      </c>
      <c r="G1386" s="41" t="s">
        <v>1625</v>
      </c>
      <c r="H1386" s="736">
        <v>0</v>
      </c>
      <c r="I1386" s="25"/>
      <c r="J1386" s="25" t="str">
        <f t="shared" si="645"/>
        <v/>
      </c>
      <c r="K1386" s="442" t="str">
        <f t="shared" si="652"/>
        <v/>
      </c>
      <c r="L1386" s="736" t="s">
        <v>2443</v>
      </c>
      <c r="M1386" s="25" t="str">
        <f t="shared" si="634"/>
        <v>R</v>
      </c>
      <c r="N1386" s="25" t="str">
        <f>IF(L1386&lt;&gt;"",VLOOKUP(L1386,Categories!$B$2:$D$41,2,FALSE),IF(F1386&lt;&gt;"","No Cat",""))</f>
        <v>Rate Base</v>
      </c>
      <c r="O1386" s="25" t="str">
        <f>IF($L1386&lt;&gt;"",VLOOKUP($L1386,Categories!$B$2:$D$41,3,FALSE),IF($F1386&lt;&gt;"","No Cat",""))</f>
        <v>Deferred Income Taxes</v>
      </c>
      <c r="P1386" s="736" t="s">
        <v>2483</v>
      </c>
      <c r="Q1386" s="25" t="str">
        <f>VLOOKUP($P1386,Allocators!$B$7:$F$19,5,FALSE)</f>
        <v>Gas</v>
      </c>
      <c r="R1386" s="737">
        <f>VLOOKUP($P1386,Allocators!$B$7:$F$19,2,FALSE)</f>
        <v>0</v>
      </c>
      <c r="S1386" s="737">
        <f>VLOOKUP($P1386,Allocators!$B$7:$F$19,3,FALSE)</f>
        <v>1</v>
      </c>
      <c r="T1386" s="737" t="str">
        <f t="shared" si="670"/>
        <v>0.0%</v>
      </c>
      <c r="U1386" s="2" t="str">
        <f t="shared" si="664"/>
        <v/>
      </c>
      <c r="V1386" s="2" t="str">
        <f t="shared" si="665"/>
        <v/>
      </c>
      <c r="W1386" s="2" t="str">
        <f t="shared" si="666"/>
        <v/>
      </c>
      <c r="X1386" s="2">
        <f t="shared" si="649"/>
        <v>0</v>
      </c>
      <c r="Y1386" s="2" t="str">
        <f t="shared" si="667"/>
        <v/>
      </c>
      <c r="Z1386" s="2" t="str">
        <f t="shared" si="668"/>
        <v/>
      </c>
      <c r="AA1386" s="2" t="str">
        <f t="shared" si="669"/>
        <v/>
      </c>
      <c r="AB1386" s="2">
        <f t="shared" si="650"/>
        <v>0</v>
      </c>
      <c r="AC1386" s="625">
        <v>0</v>
      </c>
      <c r="AD1386" s="625">
        <v>0</v>
      </c>
      <c r="AE1386" s="625">
        <v>0</v>
      </c>
      <c r="AF1386" s="625">
        <v>0</v>
      </c>
      <c r="AG1386" s="625">
        <v>0</v>
      </c>
      <c r="AH1386" s="625">
        <v>0</v>
      </c>
      <c r="AI1386" s="625">
        <v>0</v>
      </c>
      <c r="AJ1386" s="625">
        <v>0</v>
      </c>
      <c r="AK1386" s="625">
        <v>0</v>
      </c>
      <c r="AL1386" s="625">
        <v>0</v>
      </c>
      <c r="AM1386" s="625">
        <v>0</v>
      </c>
      <c r="AN1386" s="625">
        <v>0</v>
      </c>
      <c r="AO1386" s="625">
        <v>0</v>
      </c>
      <c r="AP1386" s="41" t="str">
        <f t="shared" si="646"/>
        <v>Def TaxR</v>
      </c>
      <c r="AQ1386" s="41" t="str">
        <f t="shared" si="647"/>
        <v>Def TaxRR110</v>
      </c>
      <c r="AR1386" s="41" t="str">
        <f t="shared" si="648"/>
        <v>R110</v>
      </c>
    </row>
    <row r="1387" spans="1:44" s="41" customFormat="1" ht="12.75" customHeight="1">
      <c r="A1387" s="25" t="s">
        <v>1590</v>
      </c>
      <c r="B1387" s="25" t="str">
        <f t="shared" si="651"/>
        <v>Def Tax190002190-074BTHUNGDT</v>
      </c>
      <c r="C1387" s="736">
        <v>190002</v>
      </c>
      <c r="D1387" s="735" t="s">
        <v>1725</v>
      </c>
      <c r="E1387" s="41" t="s">
        <v>1624</v>
      </c>
      <c r="F1387" s="41" t="str">
        <f t="shared" si="644"/>
        <v>ACCUM DEFERRED INC TAXES - FEDERAL - GAS</v>
      </c>
      <c r="G1387" s="41" t="s">
        <v>1726</v>
      </c>
      <c r="H1387" s="736">
        <v>0</v>
      </c>
      <c r="I1387" s="25"/>
      <c r="J1387" s="25" t="str">
        <f t="shared" si="645"/>
        <v/>
      </c>
      <c r="K1387" s="442" t="str">
        <f t="shared" si="652"/>
        <v/>
      </c>
      <c r="L1387" s="736" t="s">
        <v>2443</v>
      </c>
      <c r="M1387" s="25" t="str">
        <f t="shared" si="634"/>
        <v>R</v>
      </c>
      <c r="N1387" s="25" t="str">
        <f>IF(L1387&lt;&gt;"",VLOOKUP(L1387,Categories!$B$2:$D$41,2,FALSE),IF(F1387&lt;&gt;"","No Cat",""))</f>
        <v>Rate Base</v>
      </c>
      <c r="O1387" s="25" t="str">
        <f>IF($L1387&lt;&gt;"",VLOOKUP($L1387,Categories!$B$2:$D$41,3,FALSE),IF($F1387&lt;&gt;"","No Cat",""))</f>
        <v>Deferred Income Taxes</v>
      </c>
      <c r="P1387" s="736" t="s">
        <v>2483</v>
      </c>
      <c r="Q1387" s="25" t="str">
        <f>VLOOKUP($P1387,Allocators!$B$7:$F$19,5,FALSE)</f>
        <v>Gas</v>
      </c>
      <c r="R1387" s="737">
        <f>VLOOKUP($P1387,Allocators!$B$7:$F$19,2,FALSE)</f>
        <v>0</v>
      </c>
      <c r="S1387" s="737">
        <f>VLOOKUP($P1387,Allocators!$B$7:$F$19,3,FALSE)</f>
        <v>1</v>
      </c>
      <c r="T1387" s="737" t="str">
        <f t="shared" si="670"/>
        <v>0.0%</v>
      </c>
      <c r="U1387" s="2" t="str">
        <f t="shared" si="664"/>
        <v/>
      </c>
      <c r="V1387" s="2" t="str">
        <f t="shared" si="665"/>
        <v/>
      </c>
      <c r="W1387" s="2" t="str">
        <f t="shared" si="666"/>
        <v/>
      </c>
      <c r="X1387" s="2">
        <f t="shared" si="649"/>
        <v>0</v>
      </c>
      <c r="Y1387" s="2" t="str">
        <f t="shared" si="667"/>
        <v/>
      </c>
      <c r="Z1387" s="2" t="str">
        <f t="shared" si="668"/>
        <v/>
      </c>
      <c r="AA1387" s="2" t="str">
        <f t="shared" si="669"/>
        <v/>
      </c>
      <c r="AB1387" s="2">
        <f t="shared" si="650"/>
        <v>0</v>
      </c>
      <c r="AC1387" s="625">
        <v>0</v>
      </c>
      <c r="AD1387" s="625">
        <v>0</v>
      </c>
      <c r="AE1387" s="625">
        <v>0</v>
      </c>
      <c r="AF1387" s="625">
        <v>0</v>
      </c>
      <c r="AG1387" s="625">
        <v>0</v>
      </c>
      <c r="AH1387" s="625">
        <v>0</v>
      </c>
      <c r="AI1387" s="625">
        <v>0</v>
      </c>
      <c r="AJ1387" s="625">
        <v>0</v>
      </c>
      <c r="AK1387" s="625">
        <v>0</v>
      </c>
      <c r="AL1387" s="625">
        <v>0</v>
      </c>
      <c r="AM1387" s="625">
        <v>0</v>
      </c>
      <c r="AN1387" s="625">
        <v>0</v>
      </c>
      <c r="AO1387" s="625">
        <v>0</v>
      </c>
      <c r="AP1387" s="41" t="str">
        <f t="shared" si="646"/>
        <v>Def TaxR</v>
      </c>
      <c r="AQ1387" s="41" t="str">
        <f t="shared" si="647"/>
        <v>Def TaxRR110</v>
      </c>
      <c r="AR1387" s="41" t="str">
        <f t="shared" si="648"/>
        <v>R110</v>
      </c>
    </row>
    <row r="1388" spans="1:44" s="41" customFormat="1" ht="12.75" customHeight="1">
      <c r="A1388" s="25" t="s">
        <v>1590</v>
      </c>
      <c r="B1388" s="25" t="str">
        <f t="shared" si="651"/>
        <v>Def Tax190002190-075BT010042</v>
      </c>
      <c r="C1388" s="736">
        <v>190002</v>
      </c>
      <c r="D1388" s="735" t="s">
        <v>1637</v>
      </c>
      <c r="E1388" s="41" t="s">
        <v>1638</v>
      </c>
      <c r="F1388" s="41" t="str">
        <f t="shared" si="644"/>
        <v>ACCUM DEFERRED INC TAXES - FEDERAL - GAS</v>
      </c>
      <c r="G1388" s="41" t="s">
        <v>1639</v>
      </c>
      <c r="H1388" s="736" t="s">
        <v>1640</v>
      </c>
      <c r="I1388" s="25"/>
      <c r="J1388" s="25" t="str">
        <f t="shared" si="645"/>
        <v/>
      </c>
      <c r="K1388" s="442" t="str">
        <f t="shared" si="652"/>
        <v/>
      </c>
      <c r="L1388" s="736" t="s">
        <v>2443</v>
      </c>
      <c r="M1388" s="25" t="str">
        <f t="shared" si="634"/>
        <v>R</v>
      </c>
      <c r="N1388" s="25" t="str">
        <f>IF(L1388&lt;&gt;"",VLOOKUP(L1388,Categories!$B$2:$D$41,2,FALSE),IF(F1388&lt;&gt;"","No Cat",""))</f>
        <v>Rate Base</v>
      </c>
      <c r="O1388" s="25" t="str">
        <f>IF($L1388&lt;&gt;"",VLOOKUP($L1388,Categories!$B$2:$D$41,3,FALSE),IF($F1388&lt;&gt;"","No Cat",""))</f>
        <v>Deferred Income Taxes</v>
      </c>
      <c r="P1388" s="736" t="s">
        <v>2483</v>
      </c>
      <c r="Q1388" s="25" t="str">
        <f>VLOOKUP($P1388,Allocators!$B$7:$F$19,5,FALSE)</f>
        <v>Gas</v>
      </c>
      <c r="R1388" s="737">
        <f>VLOOKUP($P1388,Allocators!$B$7:$F$19,2,FALSE)</f>
        <v>0</v>
      </c>
      <c r="S1388" s="737">
        <f>VLOOKUP($P1388,Allocators!$B$7:$F$19,3,FALSE)</f>
        <v>1</v>
      </c>
      <c r="T1388" s="737" t="str">
        <f t="shared" si="670"/>
        <v>0.0%</v>
      </c>
      <c r="U1388" s="2" t="str">
        <f t="shared" si="664"/>
        <v/>
      </c>
      <c r="V1388" s="2" t="str">
        <f t="shared" si="665"/>
        <v/>
      </c>
      <c r="W1388" s="2" t="str">
        <f t="shared" si="666"/>
        <v/>
      </c>
      <c r="X1388" s="2">
        <f t="shared" si="649"/>
        <v>0</v>
      </c>
      <c r="Y1388" s="2" t="str">
        <f t="shared" si="667"/>
        <v/>
      </c>
      <c r="Z1388" s="2" t="str">
        <f t="shared" si="668"/>
        <v/>
      </c>
      <c r="AA1388" s="2" t="str">
        <f t="shared" si="669"/>
        <v/>
      </c>
      <c r="AB1388" s="2">
        <f t="shared" si="650"/>
        <v>0</v>
      </c>
      <c r="AC1388" s="625">
        <v>0</v>
      </c>
      <c r="AD1388" s="625">
        <v>0</v>
      </c>
      <c r="AE1388" s="625">
        <v>0</v>
      </c>
      <c r="AF1388" s="625">
        <v>0</v>
      </c>
      <c r="AG1388" s="625">
        <v>0</v>
      </c>
      <c r="AH1388" s="625">
        <v>0</v>
      </c>
      <c r="AI1388" s="625">
        <v>0</v>
      </c>
      <c r="AJ1388" s="625">
        <v>0</v>
      </c>
      <c r="AK1388" s="625">
        <v>0</v>
      </c>
      <c r="AL1388" s="625">
        <v>0</v>
      </c>
      <c r="AM1388" s="625">
        <v>0</v>
      </c>
      <c r="AN1388" s="625">
        <v>0</v>
      </c>
      <c r="AO1388" s="625">
        <v>0</v>
      </c>
      <c r="AP1388" s="41" t="str">
        <f t="shared" si="646"/>
        <v>Def TaxR</v>
      </c>
      <c r="AQ1388" s="41" t="str">
        <f t="shared" si="647"/>
        <v xml:space="preserve">Def TaxRR11Contractor Settlement </v>
      </c>
      <c r="AR1388" s="41" t="str">
        <f t="shared" si="648"/>
        <v xml:space="preserve">R11Contractor Settlement </v>
      </c>
    </row>
    <row r="1389" spans="1:44" s="41" customFormat="1" ht="12.75" customHeight="1">
      <c r="A1389" s="25" t="s">
        <v>1590</v>
      </c>
      <c r="B1389" s="25" t="str">
        <f t="shared" si="651"/>
        <v>Def Tax190002190-075-SBT010042</v>
      </c>
      <c r="C1389" s="736">
        <v>190002</v>
      </c>
      <c r="D1389" s="735" t="s">
        <v>1747</v>
      </c>
      <c r="E1389" s="41" t="s">
        <v>1638</v>
      </c>
      <c r="F1389" s="41" t="str">
        <f t="shared" si="644"/>
        <v>ACCUM DEFERRED INC TAXES - FEDERAL - GAS</v>
      </c>
      <c r="G1389" s="41" t="s">
        <v>1639</v>
      </c>
      <c r="H1389" s="736" t="s">
        <v>1640</v>
      </c>
      <c r="I1389" s="25"/>
      <c r="J1389" s="25" t="str">
        <f t="shared" si="645"/>
        <v/>
      </c>
      <c r="K1389" s="442" t="str">
        <f t="shared" si="652"/>
        <v/>
      </c>
      <c r="L1389" s="736" t="s">
        <v>2443</v>
      </c>
      <c r="M1389" s="25" t="str">
        <f t="shared" si="634"/>
        <v>R</v>
      </c>
      <c r="N1389" s="25" t="str">
        <f>IF(L1389&lt;&gt;"",VLOOKUP(L1389,Categories!$B$2:$D$41,2,FALSE),IF(F1389&lt;&gt;"","No Cat",""))</f>
        <v>Rate Base</v>
      </c>
      <c r="O1389" s="25" t="str">
        <f>IF($L1389&lt;&gt;"",VLOOKUP($L1389,Categories!$B$2:$D$41,3,FALSE),IF($F1389&lt;&gt;"","No Cat",""))</f>
        <v>Deferred Income Taxes</v>
      </c>
      <c r="P1389" s="736" t="s">
        <v>2483</v>
      </c>
      <c r="Q1389" s="25" t="str">
        <f>VLOOKUP($P1389,Allocators!$B$7:$F$19,5,FALSE)</f>
        <v>Gas</v>
      </c>
      <c r="R1389" s="737">
        <f>VLOOKUP($P1389,Allocators!$B$7:$F$19,2,FALSE)</f>
        <v>0</v>
      </c>
      <c r="S1389" s="737">
        <f>VLOOKUP($P1389,Allocators!$B$7:$F$19,3,FALSE)</f>
        <v>1</v>
      </c>
      <c r="T1389" s="737" t="str">
        <f t="shared" si="670"/>
        <v>0.0%</v>
      </c>
      <c r="U1389" s="2" t="str">
        <f t="shared" si="664"/>
        <v/>
      </c>
      <c r="V1389" s="2" t="str">
        <f t="shared" si="665"/>
        <v/>
      </c>
      <c r="W1389" s="2" t="str">
        <f t="shared" si="666"/>
        <v/>
      </c>
      <c r="X1389" s="2">
        <f t="shared" si="649"/>
        <v>0</v>
      </c>
      <c r="Y1389" s="2" t="str">
        <f t="shared" si="667"/>
        <v/>
      </c>
      <c r="Z1389" s="2" t="str">
        <f t="shared" si="668"/>
        <v/>
      </c>
      <c r="AA1389" s="2" t="str">
        <f t="shared" si="669"/>
        <v/>
      </c>
      <c r="AB1389" s="2">
        <f t="shared" si="650"/>
        <v>0</v>
      </c>
      <c r="AC1389" s="625">
        <v>0</v>
      </c>
      <c r="AD1389" s="625">
        <v>0</v>
      </c>
      <c r="AE1389" s="625">
        <v>0</v>
      </c>
      <c r="AF1389" s="625">
        <v>0</v>
      </c>
      <c r="AG1389" s="625">
        <v>0</v>
      </c>
      <c r="AH1389" s="625">
        <v>0</v>
      </c>
      <c r="AI1389" s="625">
        <v>0</v>
      </c>
      <c r="AJ1389" s="625">
        <v>0</v>
      </c>
      <c r="AK1389" s="625">
        <v>0</v>
      </c>
      <c r="AL1389" s="625">
        <v>0</v>
      </c>
      <c r="AM1389" s="625">
        <v>0</v>
      </c>
      <c r="AN1389" s="625">
        <v>0</v>
      </c>
      <c r="AO1389" s="625">
        <v>0</v>
      </c>
      <c r="AP1389" s="41" t="str">
        <f t="shared" si="646"/>
        <v>Def TaxR</v>
      </c>
      <c r="AQ1389" s="41" t="str">
        <f t="shared" si="647"/>
        <v xml:space="preserve">Def TaxRR11Contractor Settlement </v>
      </c>
      <c r="AR1389" s="41" t="str">
        <f t="shared" si="648"/>
        <v xml:space="preserve">R11Contractor Settlement </v>
      </c>
    </row>
    <row r="1390" spans="1:44" s="41" customFormat="1" ht="12.75" customHeight="1">
      <c r="A1390" s="25" t="s">
        <v>1590</v>
      </c>
      <c r="B1390" s="25" t="str">
        <f t="shared" si="651"/>
        <v>Def Tax190002190-082</v>
      </c>
      <c r="C1390" s="736">
        <v>190002</v>
      </c>
      <c r="D1390" s="735" t="s">
        <v>1748</v>
      </c>
      <c r="F1390" s="41" t="str">
        <f t="shared" si="644"/>
        <v>ACCUM DEFERRED INC TAXES - FEDERAL - GAS</v>
      </c>
      <c r="G1390" s="41" t="s">
        <v>1749</v>
      </c>
      <c r="H1390" s="736">
        <v>0</v>
      </c>
      <c r="I1390" s="25"/>
      <c r="J1390" s="25" t="str">
        <f t="shared" si="645"/>
        <v/>
      </c>
      <c r="K1390" s="442" t="str">
        <f t="shared" si="652"/>
        <v/>
      </c>
      <c r="L1390" s="736" t="s">
        <v>2443</v>
      </c>
      <c r="M1390" s="25" t="str">
        <f t="shared" si="634"/>
        <v>R</v>
      </c>
      <c r="N1390" s="25" t="str">
        <f>IF(L1390&lt;&gt;"",VLOOKUP(L1390,Categories!$B$2:$D$41,2,FALSE),IF(F1390&lt;&gt;"","No Cat",""))</f>
        <v>Rate Base</v>
      </c>
      <c r="O1390" s="25" t="str">
        <f>IF($L1390&lt;&gt;"",VLOOKUP($L1390,Categories!$B$2:$D$41,3,FALSE),IF($F1390&lt;&gt;"","No Cat",""))</f>
        <v>Deferred Income Taxes</v>
      </c>
      <c r="P1390" s="736" t="s">
        <v>2483</v>
      </c>
      <c r="Q1390" s="25" t="str">
        <f>VLOOKUP($P1390,Allocators!$B$7:$F$19,5,FALSE)</f>
        <v>Gas</v>
      </c>
      <c r="R1390" s="737">
        <f>VLOOKUP($P1390,Allocators!$B$7:$F$19,2,FALSE)</f>
        <v>0</v>
      </c>
      <c r="S1390" s="737">
        <f>VLOOKUP($P1390,Allocators!$B$7:$F$19,3,FALSE)</f>
        <v>1</v>
      </c>
      <c r="T1390" s="737" t="str">
        <f t="shared" si="670"/>
        <v>0.0%</v>
      </c>
      <c r="U1390" s="2" t="str">
        <f t="shared" si="664"/>
        <v/>
      </c>
      <c r="V1390" s="2" t="str">
        <f t="shared" si="665"/>
        <v/>
      </c>
      <c r="W1390" s="2" t="str">
        <f t="shared" si="666"/>
        <v/>
      </c>
      <c r="X1390" s="2">
        <f t="shared" si="649"/>
        <v>0</v>
      </c>
      <c r="Y1390" s="2" t="str">
        <f t="shared" si="667"/>
        <v/>
      </c>
      <c r="Z1390" s="2" t="str">
        <f t="shared" si="668"/>
        <v/>
      </c>
      <c r="AA1390" s="2" t="str">
        <f t="shared" si="669"/>
        <v/>
      </c>
      <c r="AB1390" s="2">
        <f t="shared" si="650"/>
        <v>0</v>
      </c>
      <c r="AC1390" s="625">
        <v>0</v>
      </c>
      <c r="AD1390" s="625">
        <v>0</v>
      </c>
      <c r="AE1390" s="625">
        <v>0</v>
      </c>
      <c r="AF1390" s="625">
        <v>0</v>
      </c>
      <c r="AG1390" s="625">
        <v>0</v>
      </c>
      <c r="AH1390" s="625">
        <v>0</v>
      </c>
      <c r="AI1390" s="625">
        <v>0</v>
      </c>
      <c r="AJ1390" s="625">
        <v>0</v>
      </c>
      <c r="AK1390" s="625">
        <v>0</v>
      </c>
      <c r="AL1390" s="625">
        <v>0</v>
      </c>
      <c r="AM1390" s="625">
        <v>0</v>
      </c>
      <c r="AN1390" s="625">
        <v>0</v>
      </c>
      <c r="AO1390" s="625">
        <v>0</v>
      </c>
      <c r="AP1390" s="41" t="str">
        <f t="shared" si="646"/>
        <v>Def TaxR</v>
      </c>
      <c r="AQ1390" s="41" t="str">
        <f t="shared" si="647"/>
        <v>Def TaxRR110</v>
      </c>
      <c r="AR1390" s="41" t="str">
        <f t="shared" si="648"/>
        <v>R110</v>
      </c>
    </row>
    <row r="1391" spans="1:44" s="41" customFormat="1" ht="12.75" customHeight="1">
      <c r="A1391" s="25" t="s">
        <v>1590</v>
      </c>
      <c r="B1391" s="25" t="str">
        <f t="shared" si="651"/>
        <v>Def Tax190002190-088BT010070</v>
      </c>
      <c r="C1391" s="736">
        <v>190002</v>
      </c>
      <c r="D1391" s="735" t="s">
        <v>1674</v>
      </c>
      <c r="E1391" s="41" t="s">
        <v>1675</v>
      </c>
      <c r="F1391" s="41" t="str">
        <f t="shared" si="644"/>
        <v>ACCUM DEFERRED INC TAXES - FEDERAL - GAS</v>
      </c>
      <c r="G1391" s="41" t="s">
        <v>1676</v>
      </c>
      <c r="H1391" s="736" t="s">
        <v>1677</v>
      </c>
      <c r="I1391" s="25"/>
      <c r="J1391" s="25" t="str">
        <f t="shared" si="645"/>
        <v/>
      </c>
      <c r="K1391" s="442" t="str">
        <f t="shared" si="652"/>
        <v/>
      </c>
      <c r="L1391" s="736" t="s">
        <v>2443</v>
      </c>
      <c r="M1391" s="25" t="str">
        <f t="shared" si="634"/>
        <v>R</v>
      </c>
      <c r="N1391" s="25" t="str">
        <f>IF(L1391&lt;&gt;"",VLOOKUP(L1391,Categories!$B$2:$D$41,2,FALSE),IF(F1391&lt;&gt;"","No Cat",""))</f>
        <v>Rate Base</v>
      </c>
      <c r="O1391" s="25" t="str">
        <f>IF($L1391&lt;&gt;"",VLOOKUP($L1391,Categories!$B$2:$D$41,3,FALSE),IF($F1391&lt;&gt;"","No Cat",""))</f>
        <v>Deferred Income Taxes</v>
      </c>
      <c r="P1391" s="736" t="s">
        <v>2483</v>
      </c>
      <c r="Q1391" s="25" t="str">
        <f>VLOOKUP($P1391,Allocators!$B$7:$F$19,5,FALSE)</f>
        <v>Gas</v>
      </c>
      <c r="R1391" s="737">
        <f>VLOOKUP($P1391,Allocators!$B$7:$F$19,2,FALSE)</f>
        <v>0</v>
      </c>
      <c r="S1391" s="737">
        <f>VLOOKUP($P1391,Allocators!$B$7:$F$19,3,FALSE)</f>
        <v>1</v>
      </c>
      <c r="T1391" s="737" t="str">
        <f t="shared" si="670"/>
        <v>0.0%</v>
      </c>
      <c r="U1391" s="2" t="str">
        <f t="shared" si="664"/>
        <v/>
      </c>
      <c r="V1391" s="2" t="str">
        <f t="shared" si="665"/>
        <v/>
      </c>
      <c r="W1391" s="2" t="str">
        <f t="shared" si="666"/>
        <v/>
      </c>
      <c r="X1391" s="2">
        <f t="shared" si="649"/>
        <v>0</v>
      </c>
      <c r="Y1391" s="2" t="str">
        <f t="shared" si="667"/>
        <v/>
      </c>
      <c r="Z1391" s="2" t="str">
        <f t="shared" si="668"/>
        <v/>
      </c>
      <c r="AA1391" s="2" t="str">
        <f t="shared" si="669"/>
        <v/>
      </c>
      <c r="AB1391" s="2">
        <f t="shared" si="650"/>
        <v>0</v>
      </c>
      <c r="AC1391" s="625">
        <v>0</v>
      </c>
      <c r="AD1391" s="625">
        <v>0</v>
      </c>
      <c r="AE1391" s="625">
        <v>0</v>
      </c>
      <c r="AF1391" s="625">
        <v>0</v>
      </c>
      <c r="AG1391" s="625">
        <v>0</v>
      </c>
      <c r="AH1391" s="625">
        <v>0</v>
      </c>
      <c r="AI1391" s="625">
        <v>0</v>
      </c>
      <c r="AJ1391" s="625">
        <v>0</v>
      </c>
      <c r="AK1391" s="625">
        <v>0</v>
      </c>
      <c r="AL1391" s="625">
        <v>0</v>
      </c>
      <c r="AM1391" s="625">
        <v>0</v>
      </c>
      <c r="AN1391" s="625">
        <v>0</v>
      </c>
      <c r="AO1391" s="625">
        <v>0</v>
      </c>
      <c r="AP1391" s="41" t="str">
        <f t="shared" si="646"/>
        <v>Def TaxR</v>
      </c>
      <c r="AQ1391" s="41" t="str">
        <f t="shared" si="647"/>
        <v>Def TaxRR11Personal Time</v>
      </c>
      <c r="AR1391" s="41" t="str">
        <f t="shared" si="648"/>
        <v>R11Personal Time</v>
      </c>
    </row>
    <row r="1392" spans="1:44" s="41" customFormat="1" ht="12.75" customHeight="1">
      <c r="A1392" s="25" t="s">
        <v>1590</v>
      </c>
      <c r="B1392" s="25" t="str">
        <f t="shared" si="651"/>
        <v>Def Tax190002190-089BTHUNGDT</v>
      </c>
      <c r="C1392" s="736">
        <v>190002</v>
      </c>
      <c r="D1392" s="735" t="s">
        <v>1648</v>
      </c>
      <c r="E1392" s="41" t="s">
        <v>1624</v>
      </c>
      <c r="F1392" s="41" t="str">
        <f t="shared" si="644"/>
        <v>ACCUM DEFERRED INC TAXES - FEDERAL - GAS</v>
      </c>
      <c r="G1392" s="41" t="s">
        <v>1649</v>
      </c>
      <c r="H1392" s="736" t="s">
        <v>1629</v>
      </c>
      <c r="I1392" s="25"/>
      <c r="J1392" s="25" t="str">
        <f t="shared" si="645"/>
        <v/>
      </c>
      <c r="K1392" s="442" t="str">
        <f t="shared" si="652"/>
        <v/>
      </c>
      <c r="L1392" s="736" t="s">
        <v>2443</v>
      </c>
      <c r="M1392" s="25" t="str">
        <f t="shared" ref="M1392:M1457" si="679">LEFT(L1392,1)</f>
        <v>R</v>
      </c>
      <c r="N1392" s="25" t="str">
        <f>IF(L1392&lt;&gt;"",VLOOKUP(L1392,Categories!$B$2:$D$41,2,FALSE),IF(F1392&lt;&gt;"","No Cat",""))</f>
        <v>Rate Base</v>
      </c>
      <c r="O1392" s="25" t="str">
        <f>IF($L1392&lt;&gt;"",VLOOKUP($L1392,Categories!$B$2:$D$41,3,FALSE),IF($F1392&lt;&gt;"","No Cat",""))</f>
        <v>Deferred Income Taxes</v>
      </c>
      <c r="P1392" s="736" t="s">
        <v>2483</v>
      </c>
      <c r="Q1392" s="25" t="str">
        <f>VLOOKUP($P1392,Allocators!$B$7:$F$19,5,FALSE)</f>
        <v>Gas</v>
      </c>
      <c r="R1392" s="737">
        <f>VLOOKUP($P1392,Allocators!$B$7:$F$19,2,FALSE)</f>
        <v>0</v>
      </c>
      <c r="S1392" s="737">
        <f>VLOOKUP($P1392,Allocators!$B$7:$F$19,3,FALSE)</f>
        <v>1</v>
      </c>
      <c r="T1392" s="737" t="str">
        <f t="shared" si="670"/>
        <v>0.0%</v>
      </c>
      <c r="U1392" s="2" t="str">
        <f t="shared" si="664"/>
        <v/>
      </c>
      <c r="V1392" s="2" t="str">
        <f t="shared" si="665"/>
        <v/>
      </c>
      <c r="W1392" s="2" t="str">
        <f t="shared" si="666"/>
        <v/>
      </c>
      <c r="X1392" s="2">
        <f t="shared" si="649"/>
        <v>0</v>
      </c>
      <c r="Y1392" s="2" t="str">
        <f t="shared" si="667"/>
        <v/>
      </c>
      <c r="Z1392" s="2" t="str">
        <f t="shared" si="668"/>
        <v/>
      </c>
      <c r="AA1392" s="2" t="str">
        <f t="shared" si="669"/>
        <v/>
      </c>
      <c r="AB1392" s="2">
        <f t="shared" si="650"/>
        <v>0</v>
      </c>
      <c r="AC1392" s="625">
        <v>0</v>
      </c>
      <c r="AD1392" s="625">
        <v>0</v>
      </c>
      <c r="AE1392" s="625">
        <v>0</v>
      </c>
      <c r="AF1392" s="625">
        <v>0</v>
      </c>
      <c r="AG1392" s="625">
        <v>0</v>
      </c>
      <c r="AH1392" s="625">
        <v>0</v>
      </c>
      <c r="AI1392" s="625">
        <v>0</v>
      </c>
      <c r="AJ1392" s="625">
        <v>0</v>
      </c>
      <c r="AK1392" s="625">
        <v>0</v>
      </c>
      <c r="AL1392" s="625">
        <v>0</v>
      </c>
      <c r="AM1392" s="625">
        <v>0</v>
      </c>
      <c r="AN1392" s="625">
        <v>0</v>
      </c>
      <c r="AO1392" s="625">
        <v>0</v>
      </c>
      <c r="AP1392" s="41" t="str">
        <f t="shared" si="646"/>
        <v>Def TaxR</v>
      </c>
      <c r="AQ1392" s="41" t="str">
        <f t="shared" si="647"/>
        <v>Def TaxRR11Merger Related</v>
      </c>
      <c r="AR1392" s="41" t="str">
        <f t="shared" si="648"/>
        <v>R11Merger Related</v>
      </c>
    </row>
    <row r="1393" spans="1:44" s="41" customFormat="1" ht="12.75" customHeight="1">
      <c r="A1393" s="25" t="s">
        <v>1590</v>
      </c>
      <c r="B1393" s="25" t="str">
        <f t="shared" si="651"/>
        <v>Def Tax190002190-090BT010220</v>
      </c>
      <c r="C1393" s="736">
        <v>190002</v>
      </c>
      <c r="D1393" s="735" t="s">
        <v>1709</v>
      </c>
      <c r="E1393" s="41" t="s">
        <v>1710</v>
      </c>
      <c r="F1393" s="41" t="str">
        <f t="shared" si="644"/>
        <v>ACCUM DEFERRED INC TAXES - FEDERAL - GAS</v>
      </c>
      <c r="G1393" s="41" t="s">
        <v>1711</v>
      </c>
      <c r="H1393" s="736" t="s">
        <v>1712</v>
      </c>
      <c r="I1393" s="25"/>
      <c r="J1393" s="25" t="str">
        <f t="shared" si="645"/>
        <v/>
      </c>
      <c r="K1393" s="442" t="str">
        <f t="shared" si="652"/>
        <v/>
      </c>
      <c r="L1393" s="736" t="s">
        <v>2443</v>
      </c>
      <c r="M1393" s="25" t="str">
        <f t="shared" si="679"/>
        <v>R</v>
      </c>
      <c r="N1393" s="25" t="str">
        <f>IF(L1393&lt;&gt;"",VLOOKUP(L1393,Categories!$B$2:$D$41,2,FALSE),IF(F1393&lt;&gt;"","No Cat",""))</f>
        <v>Rate Base</v>
      </c>
      <c r="O1393" s="25" t="str">
        <f>IF($L1393&lt;&gt;"",VLOOKUP($L1393,Categories!$B$2:$D$41,3,FALSE),IF($F1393&lt;&gt;"","No Cat",""))</f>
        <v>Deferred Income Taxes</v>
      </c>
      <c r="P1393" s="736" t="s">
        <v>2483</v>
      </c>
      <c r="Q1393" s="25" t="str">
        <f>VLOOKUP($P1393,Allocators!$B$7:$F$19,5,FALSE)</f>
        <v>Gas</v>
      </c>
      <c r="R1393" s="737">
        <f>VLOOKUP($P1393,Allocators!$B$7:$F$19,2,FALSE)</f>
        <v>0</v>
      </c>
      <c r="S1393" s="737">
        <f>VLOOKUP($P1393,Allocators!$B$7:$F$19,3,FALSE)</f>
        <v>1</v>
      </c>
      <c r="T1393" s="737" t="str">
        <f t="shared" si="670"/>
        <v>0.0%</v>
      </c>
      <c r="U1393" s="2" t="str">
        <f t="shared" si="664"/>
        <v/>
      </c>
      <c r="V1393" s="2" t="str">
        <f t="shared" si="665"/>
        <v/>
      </c>
      <c r="W1393" s="2" t="str">
        <f t="shared" si="666"/>
        <v/>
      </c>
      <c r="X1393" s="2">
        <f t="shared" si="649"/>
        <v>0</v>
      </c>
      <c r="Y1393" s="2" t="str">
        <f t="shared" si="667"/>
        <v/>
      </c>
      <c r="Z1393" s="2" t="str">
        <f t="shared" si="668"/>
        <v/>
      </c>
      <c r="AA1393" s="2" t="str">
        <f t="shared" si="669"/>
        <v/>
      </c>
      <c r="AB1393" s="2">
        <f t="shared" si="650"/>
        <v>0</v>
      </c>
      <c r="AC1393" s="625">
        <v>0</v>
      </c>
      <c r="AD1393" s="625">
        <v>0</v>
      </c>
      <c r="AE1393" s="625">
        <v>0</v>
      </c>
      <c r="AF1393" s="625">
        <v>0</v>
      </c>
      <c r="AG1393" s="625">
        <v>0</v>
      </c>
      <c r="AH1393" s="625">
        <v>0</v>
      </c>
      <c r="AI1393" s="625">
        <v>0</v>
      </c>
      <c r="AJ1393" s="625">
        <v>0</v>
      </c>
      <c r="AK1393" s="625">
        <v>0</v>
      </c>
      <c r="AL1393" s="625">
        <v>0</v>
      </c>
      <c r="AM1393" s="625">
        <v>0</v>
      </c>
      <c r="AN1393" s="625">
        <v>0</v>
      </c>
      <c r="AO1393" s="625">
        <v>0</v>
      </c>
      <c r="AP1393" s="41" t="str">
        <f t="shared" si="646"/>
        <v>Def TaxR</v>
      </c>
      <c r="AQ1393" s="41" t="str">
        <f t="shared" si="647"/>
        <v>Def TaxRR11Stock Options</v>
      </c>
      <c r="AR1393" s="41" t="str">
        <f t="shared" si="648"/>
        <v>R11Stock Options</v>
      </c>
    </row>
    <row r="1394" spans="1:44" s="41" customFormat="1" ht="12.75" customHeight="1">
      <c r="A1394" s="25" t="s">
        <v>1590</v>
      </c>
      <c r="B1394" s="25" t="str">
        <f t="shared" si="651"/>
        <v>Def Tax190002190-091BC030225/
BT010225</v>
      </c>
      <c r="C1394" s="736">
        <v>190002</v>
      </c>
      <c r="D1394" s="735" t="s">
        <v>1750</v>
      </c>
      <c r="E1394" s="41" t="s">
        <v>1751</v>
      </c>
      <c r="F1394" s="41" t="str">
        <f t="shared" si="644"/>
        <v>ACCUM DEFERRED INC TAXES - FEDERAL - GAS</v>
      </c>
      <c r="G1394" s="41" t="s">
        <v>1752</v>
      </c>
      <c r="H1394" s="736" t="s">
        <v>1629</v>
      </c>
      <c r="I1394" s="25"/>
      <c r="J1394" s="25" t="str">
        <f t="shared" si="645"/>
        <v/>
      </c>
      <c r="K1394" s="442" t="str">
        <f t="shared" si="652"/>
        <v/>
      </c>
      <c r="L1394" s="736" t="s">
        <v>2443</v>
      </c>
      <c r="M1394" s="25" t="str">
        <f t="shared" si="679"/>
        <v>R</v>
      </c>
      <c r="N1394" s="25" t="str">
        <f>IF(L1394&lt;&gt;"",VLOOKUP(L1394,Categories!$B$2:$D$41,2,FALSE),IF(F1394&lt;&gt;"","No Cat",""))</f>
        <v>Rate Base</v>
      </c>
      <c r="O1394" s="25" t="str">
        <f>IF($L1394&lt;&gt;"",VLOOKUP($L1394,Categories!$B$2:$D$41,3,FALSE),IF($F1394&lt;&gt;"","No Cat",""))</f>
        <v>Deferred Income Taxes</v>
      </c>
      <c r="P1394" s="736" t="s">
        <v>2483</v>
      </c>
      <c r="Q1394" s="25" t="str">
        <f>VLOOKUP($P1394,Allocators!$B$7:$F$19,5,FALSE)</f>
        <v>Gas</v>
      </c>
      <c r="R1394" s="737">
        <f>VLOOKUP($P1394,Allocators!$B$7:$F$19,2,FALSE)</f>
        <v>0</v>
      </c>
      <c r="S1394" s="737">
        <f>VLOOKUP($P1394,Allocators!$B$7:$F$19,3,FALSE)</f>
        <v>1</v>
      </c>
      <c r="T1394" s="737" t="str">
        <f t="shared" si="670"/>
        <v>0.0%</v>
      </c>
      <c r="U1394" s="2" t="str">
        <f t="shared" si="664"/>
        <v/>
      </c>
      <c r="V1394" s="2" t="str">
        <f t="shared" si="665"/>
        <v/>
      </c>
      <c r="W1394" s="2" t="str">
        <f t="shared" si="666"/>
        <v/>
      </c>
      <c r="X1394" s="2">
        <f t="shared" si="649"/>
        <v>0</v>
      </c>
      <c r="Y1394" s="2" t="str">
        <f t="shared" si="667"/>
        <v/>
      </c>
      <c r="Z1394" s="2" t="str">
        <f t="shared" si="668"/>
        <v/>
      </c>
      <c r="AA1394" s="2" t="str">
        <f t="shared" si="669"/>
        <v/>
      </c>
      <c r="AB1394" s="2">
        <f t="shared" si="650"/>
        <v>0</v>
      </c>
      <c r="AC1394" s="625">
        <v>0</v>
      </c>
      <c r="AD1394" s="625">
        <v>0</v>
      </c>
      <c r="AE1394" s="625">
        <v>0</v>
      </c>
      <c r="AF1394" s="625">
        <v>0</v>
      </c>
      <c r="AG1394" s="625">
        <v>0</v>
      </c>
      <c r="AH1394" s="625">
        <v>0</v>
      </c>
      <c r="AI1394" s="625">
        <v>0</v>
      </c>
      <c r="AJ1394" s="625">
        <v>0</v>
      </c>
      <c r="AK1394" s="625">
        <v>0</v>
      </c>
      <c r="AL1394" s="625">
        <v>0</v>
      </c>
      <c r="AM1394" s="625">
        <v>0</v>
      </c>
      <c r="AN1394" s="625">
        <v>0</v>
      </c>
      <c r="AO1394" s="625">
        <v>0</v>
      </c>
      <c r="AP1394" s="41" t="str">
        <f t="shared" si="646"/>
        <v>Def TaxR</v>
      </c>
      <c r="AQ1394" s="41" t="str">
        <f t="shared" si="647"/>
        <v>Def TaxRR11Merger Related</v>
      </c>
      <c r="AR1394" s="41" t="str">
        <f t="shared" si="648"/>
        <v>R11Merger Related</v>
      </c>
    </row>
    <row r="1395" spans="1:44" s="41" customFormat="1" ht="12.75" customHeight="1">
      <c r="A1395" s="25" t="s">
        <v>1590</v>
      </c>
      <c r="B1395" s="25" t="str">
        <f t="shared" si="651"/>
        <v>Def Tax190002190-092BT010036</v>
      </c>
      <c r="C1395" s="736">
        <v>190002</v>
      </c>
      <c r="D1395" s="735" t="s">
        <v>1626</v>
      </c>
      <c r="E1395" s="41" t="s">
        <v>1627</v>
      </c>
      <c r="F1395" s="41" t="str">
        <f t="shared" si="644"/>
        <v>ACCUM DEFERRED INC TAXES - FEDERAL - GAS</v>
      </c>
      <c r="G1395" s="41" t="s">
        <v>1628</v>
      </c>
      <c r="H1395" s="736" t="s">
        <v>1629</v>
      </c>
      <c r="I1395" s="25"/>
      <c r="J1395" s="25" t="str">
        <f t="shared" si="645"/>
        <v/>
      </c>
      <c r="K1395" s="442" t="str">
        <f t="shared" si="652"/>
        <v/>
      </c>
      <c r="L1395" s="736" t="s">
        <v>2443</v>
      </c>
      <c r="M1395" s="25" t="str">
        <f t="shared" si="679"/>
        <v>R</v>
      </c>
      <c r="N1395" s="25" t="str">
        <f>IF(L1395&lt;&gt;"",VLOOKUP(L1395,Categories!$B$2:$D$41,2,FALSE),IF(F1395&lt;&gt;"","No Cat",""))</f>
        <v>Rate Base</v>
      </c>
      <c r="O1395" s="25" t="str">
        <f>IF($L1395&lt;&gt;"",VLOOKUP($L1395,Categories!$B$2:$D$41,3,FALSE),IF($F1395&lt;&gt;"","No Cat",""))</f>
        <v>Deferred Income Taxes</v>
      </c>
      <c r="P1395" s="736" t="s">
        <v>2483</v>
      </c>
      <c r="Q1395" s="25" t="str">
        <f>VLOOKUP($P1395,Allocators!$B$7:$F$19,5,FALSE)</f>
        <v>Gas</v>
      </c>
      <c r="R1395" s="737">
        <f>VLOOKUP($P1395,Allocators!$B$7:$F$19,2,FALSE)</f>
        <v>0</v>
      </c>
      <c r="S1395" s="737">
        <f>VLOOKUP($P1395,Allocators!$B$7:$F$19,3,FALSE)</f>
        <v>1</v>
      </c>
      <c r="T1395" s="737" t="str">
        <f t="shared" si="670"/>
        <v>0.0%</v>
      </c>
      <c r="U1395" s="2" t="str">
        <f t="shared" si="664"/>
        <v/>
      </c>
      <c r="V1395" s="2" t="str">
        <f t="shared" si="665"/>
        <v/>
      </c>
      <c r="W1395" s="2" t="str">
        <f t="shared" si="666"/>
        <v/>
      </c>
      <c r="X1395" s="2">
        <f t="shared" si="649"/>
        <v>0</v>
      </c>
      <c r="Y1395" s="2" t="str">
        <f t="shared" si="667"/>
        <v/>
      </c>
      <c r="Z1395" s="2" t="str">
        <f t="shared" si="668"/>
        <v/>
      </c>
      <c r="AA1395" s="2" t="str">
        <f t="shared" si="669"/>
        <v/>
      </c>
      <c r="AB1395" s="2">
        <f t="shared" si="650"/>
        <v>0</v>
      </c>
      <c r="AC1395" s="625">
        <v>0</v>
      </c>
      <c r="AD1395" s="625">
        <v>0</v>
      </c>
      <c r="AE1395" s="625">
        <v>0</v>
      </c>
      <c r="AF1395" s="625">
        <v>0</v>
      </c>
      <c r="AG1395" s="625">
        <v>0</v>
      </c>
      <c r="AH1395" s="625">
        <v>0</v>
      </c>
      <c r="AI1395" s="625">
        <v>0</v>
      </c>
      <c r="AJ1395" s="625">
        <v>0</v>
      </c>
      <c r="AK1395" s="625">
        <v>0</v>
      </c>
      <c r="AL1395" s="625">
        <v>0</v>
      </c>
      <c r="AM1395" s="625">
        <v>0</v>
      </c>
      <c r="AN1395" s="625">
        <v>0</v>
      </c>
      <c r="AO1395" s="625">
        <v>0</v>
      </c>
      <c r="AP1395" s="41" t="str">
        <f t="shared" si="646"/>
        <v>Def TaxR</v>
      </c>
      <c r="AQ1395" s="41" t="str">
        <f t="shared" si="647"/>
        <v>Def TaxRR11Merger Related</v>
      </c>
      <c r="AR1395" s="41" t="str">
        <f t="shared" si="648"/>
        <v>R11Merger Related</v>
      </c>
    </row>
    <row r="1396" spans="1:44" s="41" customFormat="1" ht="12.75" customHeight="1">
      <c r="A1396" s="25" t="s">
        <v>1590</v>
      </c>
      <c r="B1396" s="25" t="str">
        <f t="shared" si="651"/>
        <v>Def Tax190002190-094-JP</v>
      </c>
      <c r="C1396" s="736">
        <v>190002</v>
      </c>
      <c r="D1396" s="735" t="s">
        <v>1753</v>
      </c>
      <c r="F1396" s="41" t="str">
        <f t="shared" si="644"/>
        <v>ACCUM DEFERRED INC TAXES - FEDERAL - GAS</v>
      </c>
      <c r="G1396" s="41" t="s">
        <v>1754</v>
      </c>
      <c r="H1396" s="736" t="s">
        <v>1755</v>
      </c>
      <c r="I1396" s="25"/>
      <c r="J1396" s="25" t="str">
        <f t="shared" si="645"/>
        <v/>
      </c>
      <c r="K1396" s="442" t="str">
        <f t="shared" si="652"/>
        <v/>
      </c>
      <c r="L1396" s="736" t="s">
        <v>2443</v>
      </c>
      <c r="M1396" s="25" t="str">
        <f t="shared" si="679"/>
        <v>R</v>
      </c>
      <c r="N1396" s="25" t="str">
        <f>IF(L1396&lt;&gt;"",VLOOKUP(L1396,Categories!$B$2:$D$41,2,FALSE),IF(F1396&lt;&gt;"","No Cat",""))</f>
        <v>Rate Base</v>
      </c>
      <c r="O1396" s="25" t="str">
        <f>IF($L1396&lt;&gt;"",VLOOKUP($L1396,Categories!$B$2:$D$41,3,FALSE),IF($F1396&lt;&gt;"","No Cat",""))</f>
        <v>Deferred Income Taxes</v>
      </c>
      <c r="P1396" s="736" t="s">
        <v>2483</v>
      </c>
      <c r="Q1396" s="25" t="str">
        <f>VLOOKUP($P1396,Allocators!$B$7:$F$19,5,FALSE)</f>
        <v>Gas</v>
      </c>
      <c r="R1396" s="737">
        <f>VLOOKUP($P1396,Allocators!$B$7:$F$19,2,FALSE)</f>
        <v>0</v>
      </c>
      <c r="S1396" s="737">
        <f>VLOOKUP($P1396,Allocators!$B$7:$F$19,3,FALSE)</f>
        <v>1</v>
      </c>
      <c r="T1396" s="737" t="str">
        <f t="shared" si="670"/>
        <v>0.0%</v>
      </c>
      <c r="U1396" s="2" t="str">
        <f t="shared" si="664"/>
        <v/>
      </c>
      <c r="V1396" s="2" t="str">
        <f t="shared" si="665"/>
        <v/>
      </c>
      <c r="W1396" s="2" t="str">
        <f t="shared" si="666"/>
        <v/>
      </c>
      <c r="X1396" s="2">
        <f t="shared" si="649"/>
        <v>0</v>
      </c>
      <c r="Y1396" s="2" t="str">
        <f t="shared" si="667"/>
        <v/>
      </c>
      <c r="Z1396" s="2" t="str">
        <f t="shared" si="668"/>
        <v/>
      </c>
      <c r="AA1396" s="2" t="str">
        <f t="shared" si="669"/>
        <v/>
      </c>
      <c r="AB1396" s="2">
        <f t="shared" si="650"/>
        <v>0</v>
      </c>
      <c r="AC1396" s="625">
        <v>0</v>
      </c>
      <c r="AD1396" s="625">
        <v>0</v>
      </c>
      <c r="AE1396" s="625">
        <v>0</v>
      </c>
      <c r="AF1396" s="625">
        <v>0</v>
      </c>
      <c r="AG1396" s="625">
        <v>0</v>
      </c>
      <c r="AH1396" s="625">
        <v>0</v>
      </c>
      <c r="AI1396" s="625">
        <v>0</v>
      </c>
      <c r="AJ1396" s="625">
        <v>0</v>
      </c>
      <c r="AK1396" s="625">
        <v>0</v>
      </c>
      <c r="AL1396" s="625">
        <v>0</v>
      </c>
      <c r="AM1396" s="625">
        <v>0</v>
      </c>
      <c r="AN1396" s="625">
        <v>0</v>
      </c>
      <c r="AO1396" s="625">
        <v>0</v>
      </c>
      <c r="AP1396" s="41" t="str">
        <f t="shared" si="646"/>
        <v>Def TaxR</v>
      </c>
      <c r="AQ1396" s="41" t="str">
        <f t="shared" si="647"/>
        <v>Def TaxRR11Prepaid Property Tax</v>
      </c>
      <c r="AR1396" s="41" t="str">
        <f t="shared" si="648"/>
        <v>R11Prepaid Property Tax</v>
      </c>
    </row>
    <row r="1397" spans="1:44" s="41" customFormat="1" ht="12.75" customHeight="1">
      <c r="A1397" s="25" t="s">
        <v>1590</v>
      </c>
      <c r="B1397" s="25" t="str">
        <f t="shared" si="651"/>
        <v>Def Tax190002190-095-JP</v>
      </c>
      <c r="C1397" s="736">
        <v>190002</v>
      </c>
      <c r="D1397" s="735" t="s">
        <v>1756</v>
      </c>
      <c r="F1397" s="41" t="str">
        <f t="shared" si="644"/>
        <v>ACCUM DEFERRED INC TAXES - FEDERAL - GAS</v>
      </c>
      <c r="G1397" s="41" t="s">
        <v>1757</v>
      </c>
      <c r="H1397" s="736" t="s">
        <v>815</v>
      </c>
      <c r="I1397" s="25"/>
      <c r="J1397" s="25" t="str">
        <f t="shared" si="645"/>
        <v/>
      </c>
      <c r="K1397" s="442" t="str">
        <f t="shared" si="652"/>
        <v/>
      </c>
      <c r="L1397" s="736" t="s">
        <v>2443</v>
      </c>
      <c r="M1397" s="25" t="str">
        <f t="shared" si="679"/>
        <v>R</v>
      </c>
      <c r="N1397" s="25" t="str">
        <f>IF(L1397&lt;&gt;"",VLOOKUP(L1397,Categories!$B$2:$D$41,2,FALSE),IF(F1397&lt;&gt;"","No Cat",""))</f>
        <v>Rate Base</v>
      </c>
      <c r="O1397" s="25" t="str">
        <f>IF($L1397&lt;&gt;"",VLOOKUP($L1397,Categories!$B$2:$D$41,3,FALSE),IF($F1397&lt;&gt;"","No Cat",""))</f>
        <v>Deferred Income Taxes</v>
      </c>
      <c r="P1397" s="736" t="s">
        <v>2483</v>
      </c>
      <c r="Q1397" s="25" t="str">
        <f>VLOOKUP($P1397,Allocators!$B$7:$F$19,5,FALSE)</f>
        <v>Gas</v>
      </c>
      <c r="R1397" s="737">
        <f>VLOOKUP($P1397,Allocators!$B$7:$F$19,2,FALSE)</f>
        <v>0</v>
      </c>
      <c r="S1397" s="737">
        <f>VLOOKUP($P1397,Allocators!$B$7:$F$19,3,FALSE)</f>
        <v>1</v>
      </c>
      <c r="T1397" s="737" t="str">
        <f t="shared" si="670"/>
        <v>0.0%</v>
      </c>
      <c r="U1397" s="2" t="str">
        <f t="shared" si="664"/>
        <v/>
      </c>
      <c r="V1397" s="2" t="str">
        <f t="shared" si="665"/>
        <v/>
      </c>
      <c r="W1397" s="2" t="str">
        <f t="shared" si="666"/>
        <v/>
      </c>
      <c r="X1397" s="2">
        <f t="shared" si="649"/>
        <v>0</v>
      </c>
      <c r="Y1397" s="2" t="str">
        <f t="shared" si="667"/>
        <v/>
      </c>
      <c r="Z1397" s="2" t="str">
        <f t="shared" si="668"/>
        <v/>
      </c>
      <c r="AA1397" s="2" t="str">
        <f t="shared" si="669"/>
        <v/>
      </c>
      <c r="AB1397" s="2">
        <f t="shared" si="650"/>
        <v>0</v>
      </c>
      <c r="AC1397" s="625">
        <v>0</v>
      </c>
      <c r="AD1397" s="625">
        <v>0</v>
      </c>
      <c r="AE1397" s="625">
        <v>0</v>
      </c>
      <c r="AF1397" s="625">
        <v>0</v>
      </c>
      <c r="AG1397" s="625">
        <v>0</v>
      </c>
      <c r="AH1397" s="625">
        <v>0</v>
      </c>
      <c r="AI1397" s="625">
        <v>0</v>
      </c>
      <c r="AJ1397" s="625">
        <v>0</v>
      </c>
      <c r="AK1397" s="625">
        <v>0</v>
      </c>
      <c r="AL1397" s="625">
        <v>0</v>
      </c>
      <c r="AM1397" s="625">
        <v>0</v>
      </c>
      <c r="AN1397" s="625">
        <v>0</v>
      </c>
      <c r="AO1397" s="625">
        <v>0</v>
      </c>
      <c r="AP1397" s="41" t="str">
        <f t="shared" si="646"/>
        <v>Def TaxR</v>
      </c>
      <c r="AQ1397" s="41" t="str">
        <f t="shared" si="647"/>
        <v>Def TaxRR11Outreach &amp; Education</v>
      </c>
      <c r="AR1397" s="41" t="str">
        <f t="shared" si="648"/>
        <v>R11Outreach &amp; Education</v>
      </c>
    </row>
    <row r="1398" spans="1:44" s="41" customFormat="1" ht="12.75" customHeight="1">
      <c r="A1398" s="442" t="s">
        <v>1590</v>
      </c>
      <c r="B1398" s="442" t="str">
        <f t="shared" si="651"/>
        <v>Def Tax190002190-098-JP</v>
      </c>
      <c r="C1398" s="736">
        <v>190002</v>
      </c>
      <c r="D1398" s="735" t="s">
        <v>1758</v>
      </c>
      <c r="E1398" s="626"/>
      <c r="F1398" s="626" t="str">
        <f t="shared" si="644"/>
        <v>ACCUM DEFERRED INC TAXES - FEDERAL - GAS</v>
      </c>
      <c r="G1398" s="626" t="s">
        <v>1759</v>
      </c>
      <c r="H1398" s="736" t="s">
        <v>1760</v>
      </c>
      <c r="I1398" s="442"/>
      <c r="J1398" s="442" t="str">
        <f t="shared" si="645"/>
        <v/>
      </c>
      <c r="K1398" s="442" t="str">
        <f t="shared" si="652"/>
        <v/>
      </c>
      <c r="L1398" s="736" t="s">
        <v>2421</v>
      </c>
      <c r="M1398" s="442" t="str">
        <f t="shared" si="679"/>
        <v>N</v>
      </c>
      <c r="N1398" s="442" t="str">
        <f>IF(L1398&lt;&gt;"",VLOOKUP(L1398,Categories!$B$2:$D$41,2,FALSE),IF(F1398&lt;&gt;"","No Cat",""))</f>
        <v>NRBASE</v>
      </c>
      <c r="O1398" s="442" t="str">
        <f>IF($L1398&lt;&gt;"",VLOOKUP($L1398,Categories!$B$2:$D$41,3,FALSE),IF($F1398&lt;&gt;"","No Cat",""))</f>
        <v>Direct Assign Items Not in RB</v>
      </c>
      <c r="P1398" s="736" t="s">
        <v>2468</v>
      </c>
      <c r="Q1398" s="442" t="str">
        <f>VLOOKUP($P1398,Allocators!$B$7:$F$19,5,FALSE)</f>
        <v>Not in Rate Base</v>
      </c>
      <c r="R1398" s="737">
        <f>VLOOKUP($P1398,Allocators!$B$7:$F$19,2,FALSE)</f>
        <v>0</v>
      </c>
      <c r="S1398" s="737">
        <f>VLOOKUP($P1398,Allocators!$B$7:$F$19,3,FALSE)</f>
        <v>0</v>
      </c>
      <c r="T1398" s="737">
        <f t="shared" si="670"/>
        <v>1</v>
      </c>
      <c r="U1398" s="2" t="str">
        <f t="shared" si="664"/>
        <v/>
      </c>
      <c r="V1398" s="2" t="str">
        <f t="shared" si="665"/>
        <v/>
      </c>
      <c r="W1398" s="2" t="str">
        <f t="shared" si="666"/>
        <v/>
      </c>
      <c r="X1398" s="2">
        <f t="shared" si="649"/>
        <v>0</v>
      </c>
      <c r="Y1398" s="2" t="str">
        <f t="shared" si="667"/>
        <v/>
      </c>
      <c r="Z1398" s="2" t="str">
        <f t="shared" si="668"/>
        <v/>
      </c>
      <c r="AA1398" s="2" t="str">
        <f t="shared" si="669"/>
        <v/>
      </c>
      <c r="AB1398" s="2">
        <f t="shared" si="650"/>
        <v>0</v>
      </c>
      <c r="AC1398" s="625">
        <v>0</v>
      </c>
      <c r="AD1398" s="625">
        <v>0</v>
      </c>
      <c r="AE1398" s="625">
        <v>0</v>
      </c>
      <c r="AF1398" s="625">
        <v>0</v>
      </c>
      <c r="AG1398" s="625">
        <v>0</v>
      </c>
      <c r="AH1398" s="625">
        <v>0</v>
      </c>
      <c r="AI1398" s="625">
        <v>0</v>
      </c>
      <c r="AJ1398" s="625">
        <v>0</v>
      </c>
      <c r="AK1398" s="625">
        <v>0</v>
      </c>
      <c r="AL1398" s="625">
        <v>0</v>
      </c>
      <c r="AM1398" s="625">
        <v>0</v>
      </c>
      <c r="AN1398" s="625">
        <v>0</v>
      </c>
      <c r="AO1398" s="625">
        <v>0</v>
      </c>
      <c r="AP1398" s="41" t="str">
        <f t="shared" si="646"/>
        <v>Def TaxN</v>
      </c>
      <c r="AQ1398" s="41" t="str">
        <f t="shared" si="647"/>
        <v>Def TaxNN2Exogenous Costs</v>
      </c>
      <c r="AR1398" s="41" t="str">
        <f t="shared" si="648"/>
        <v>N2Exogenous Costs</v>
      </c>
    </row>
    <row r="1399" spans="1:44" s="41" customFormat="1" ht="12.75" customHeight="1">
      <c r="A1399" s="25" t="s">
        <v>1590</v>
      </c>
      <c r="B1399" s="25" t="str">
        <f t="shared" si="651"/>
        <v>Def Tax190002190-101BT010194</v>
      </c>
      <c r="C1399" s="736">
        <v>190002</v>
      </c>
      <c r="D1399" s="735" t="s">
        <v>1692</v>
      </c>
      <c r="E1399" s="41" t="s">
        <v>1693</v>
      </c>
      <c r="F1399" s="41" t="str">
        <f t="shared" si="644"/>
        <v>ACCUM DEFERRED INC TAXES - FEDERAL - GAS</v>
      </c>
      <c r="G1399" s="41" t="s">
        <v>1694</v>
      </c>
      <c r="H1399" s="736" t="s">
        <v>1537</v>
      </c>
      <c r="I1399" s="25"/>
      <c r="J1399" s="25" t="str">
        <f t="shared" si="645"/>
        <v/>
      </c>
      <c r="K1399" s="442" t="str">
        <f t="shared" si="652"/>
        <v/>
      </c>
      <c r="L1399" s="736" t="s">
        <v>2443</v>
      </c>
      <c r="M1399" s="25" t="str">
        <f t="shared" si="679"/>
        <v>R</v>
      </c>
      <c r="N1399" s="25" t="str">
        <f>IF(L1399&lt;&gt;"",VLOOKUP(L1399,Categories!$B$2:$D$41,2,FALSE),IF(F1399&lt;&gt;"","No Cat",""))</f>
        <v>Rate Base</v>
      </c>
      <c r="O1399" s="25" t="str">
        <f>IF($L1399&lt;&gt;"",VLOOKUP($L1399,Categories!$B$2:$D$41,3,FALSE),IF($F1399&lt;&gt;"","No Cat",""))</f>
        <v>Deferred Income Taxes</v>
      </c>
      <c r="P1399" s="736" t="s">
        <v>2483</v>
      </c>
      <c r="Q1399" s="25" t="str">
        <f>VLOOKUP($P1399,Allocators!$B$7:$F$19,5,FALSE)</f>
        <v>Gas</v>
      </c>
      <c r="R1399" s="737">
        <f>VLOOKUP($P1399,Allocators!$B$7:$F$19,2,FALSE)</f>
        <v>0</v>
      </c>
      <c r="S1399" s="737">
        <f>VLOOKUP($P1399,Allocators!$B$7:$F$19,3,FALSE)</f>
        <v>1</v>
      </c>
      <c r="T1399" s="737" t="str">
        <f t="shared" si="670"/>
        <v>0.0%</v>
      </c>
      <c r="U1399" s="2">
        <f t="shared" si="664"/>
        <v>0</v>
      </c>
      <c r="V1399" s="2">
        <f t="shared" si="665"/>
        <v>8.4141499999999994</v>
      </c>
      <c r="W1399" s="2">
        <f t="shared" si="666"/>
        <v>0</v>
      </c>
      <c r="X1399" s="2">
        <f t="shared" si="649"/>
        <v>8.4141499999999994</v>
      </c>
      <c r="Y1399" s="2">
        <f t="shared" si="667"/>
        <v>0</v>
      </c>
      <c r="Z1399" s="2">
        <f t="shared" si="668"/>
        <v>8.4141499999999994</v>
      </c>
      <c r="AA1399" s="2">
        <f t="shared" si="669"/>
        <v>0</v>
      </c>
      <c r="AB1399" s="2">
        <f t="shared" si="650"/>
        <v>8.4141499999999994</v>
      </c>
      <c r="AC1399" s="625">
        <v>8.4141499999999994</v>
      </c>
      <c r="AD1399" s="625">
        <v>8.4141499999999994</v>
      </c>
      <c r="AE1399" s="625">
        <v>8.4141499999999994</v>
      </c>
      <c r="AF1399" s="625">
        <v>8.4141499999999994</v>
      </c>
      <c r="AG1399" s="625">
        <v>8.4141499999999994</v>
      </c>
      <c r="AH1399" s="625">
        <v>8.4141499999999994</v>
      </c>
      <c r="AI1399" s="625">
        <v>8.4141499999999994</v>
      </c>
      <c r="AJ1399" s="625">
        <v>8.4141499999999994</v>
      </c>
      <c r="AK1399" s="625">
        <v>8.4141499999999994</v>
      </c>
      <c r="AL1399" s="625">
        <v>8.4141499999999994</v>
      </c>
      <c r="AM1399" s="625">
        <v>8.4141499999999994</v>
      </c>
      <c r="AN1399" s="625">
        <v>8.4141499999999994</v>
      </c>
      <c r="AO1399" s="625">
        <v>8.4141499999999994</v>
      </c>
      <c r="AP1399" s="41" t="str">
        <f t="shared" si="646"/>
        <v>Def TaxR</v>
      </c>
      <c r="AQ1399" s="41" t="str">
        <f t="shared" si="647"/>
        <v>Def TaxRR11Revolver Facility</v>
      </c>
      <c r="AR1399" s="41" t="str">
        <f t="shared" si="648"/>
        <v>R11Revolver Facility</v>
      </c>
    </row>
    <row r="1400" spans="1:44" s="41" customFormat="1" ht="12.75" customHeight="1">
      <c r="A1400" s="25" t="s">
        <v>1590</v>
      </c>
      <c r="B1400" s="25" t="str">
        <f t="shared" si="651"/>
        <v>Def Tax190002190-102</v>
      </c>
      <c r="C1400" s="736">
        <v>190002</v>
      </c>
      <c r="D1400" s="735" t="s">
        <v>1761</v>
      </c>
      <c r="F1400" s="41" t="str">
        <f t="shared" si="644"/>
        <v>ACCUM DEFERRED INC TAXES - FEDERAL - GAS</v>
      </c>
      <c r="G1400" s="41" t="s">
        <v>1762</v>
      </c>
      <c r="H1400" s="736" t="s">
        <v>1114</v>
      </c>
      <c r="I1400" s="25"/>
      <c r="J1400" s="25" t="str">
        <f t="shared" si="645"/>
        <v/>
      </c>
      <c r="K1400" s="442" t="str">
        <f t="shared" si="652"/>
        <v/>
      </c>
      <c r="L1400" s="736" t="s">
        <v>2443</v>
      </c>
      <c r="M1400" s="25" t="str">
        <f t="shared" si="679"/>
        <v>R</v>
      </c>
      <c r="N1400" s="25" t="str">
        <f>IF(L1400&lt;&gt;"",VLOOKUP(L1400,Categories!$B$2:$D$41,2,FALSE),IF(F1400&lt;&gt;"","No Cat",""))</f>
        <v>Rate Base</v>
      </c>
      <c r="O1400" s="25" t="str">
        <f>IF($L1400&lt;&gt;"",VLOOKUP($L1400,Categories!$B$2:$D$41,3,FALSE),IF($F1400&lt;&gt;"","No Cat",""))</f>
        <v>Deferred Income Taxes</v>
      </c>
      <c r="P1400" s="736" t="s">
        <v>2483</v>
      </c>
      <c r="Q1400" s="25" t="str">
        <f>VLOOKUP($P1400,Allocators!$B$7:$F$19,5,FALSE)</f>
        <v>Gas</v>
      </c>
      <c r="R1400" s="737">
        <f>VLOOKUP($P1400,Allocators!$B$7:$F$19,2,FALSE)</f>
        <v>0</v>
      </c>
      <c r="S1400" s="737">
        <f>VLOOKUP($P1400,Allocators!$B$7:$F$19,3,FALSE)</f>
        <v>1</v>
      </c>
      <c r="T1400" s="737" t="str">
        <f t="shared" si="670"/>
        <v>0.0%</v>
      </c>
      <c r="U1400" s="2" t="str">
        <f t="shared" si="664"/>
        <v/>
      </c>
      <c r="V1400" s="2" t="str">
        <f t="shared" si="665"/>
        <v/>
      </c>
      <c r="W1400" s="2" t="str">
        <f t="shared" si="666"/>
        <v/>
      </c>
      <c r="X1400" s="2">
        <f t="shared" si="649"/>
        <v>0</v>
      </c>
      <c r="Y1400" s="2" t="str">
        <f t="shared" si="667"/>
        <v/>
      </c>
      <c r="Z1400" s="2" t="str">
        <f t="shared" si="668"/>
        <v/>
      </c>
      <c r="AA1400" s="2" t="str">
        <f t="shared" si="669"/>
        <v/>
      </c>
      <c r="AB1400" s="2">
        <f t="shared" si="650"/>
        <v>0</v>
      </c>
      <c r="AC1400" s="625">
        <v>0</v>
      </c>
      <c r="AD1400" s="625">
        <v>0</v>
      </c>
      <c r="AE1400" s="625">
        <v>0</v>
      </c>
      <c r="AF1400" s="625">
        <v>0</v>
      </c>
      <c r="AG1400" s="625">
        <v>0</v>
      </c>
      <c r="AH1400" s="625">
        <v>0</v>
      </c>
      <c r="AI1400" s="625">
        <v>0</v>
      </c>
      <c r="AJ1400" s="625">
        <v>0</v>
      </c>
      <c r="AK1400" s="625">
        <v>0</v>
      </c>
      <c r="AL1400" s="625">
        <v>0</v>
      </c>
      <c r="AM1400" s="625">
        <v>0</v>
      </c>
      <c r="AN1400" s="625">
        <v>0</v>
      </c>
      <c r="AO1400" s="625">
        <v>0</v>
      </c>
      <c r="AP1400" s="41" t="str">
        <f t="shared" si="646"/>
        <v>Def TaxR</v>
      </c>
      <c r="AQ1400" s="41" t="str">
        <f t="shared" si="647"/>
        <v>Def TaxRR11Sarbanes-Oxley</v>
      </c>
      <c r="AR1400" s="41" t="str">
        <f t="shared" si="648"/>
        <v>R11Sarbanes-Oxley</v>
      </c>
    </row>
    <row r="1401" spans="1:44" s="41" customFormat="1" ht="12.75" customHeight="1">
      <c r="A1401" s="25" t="s">
        <v>1590</v>
      </c>
      <c r="B1401" s="25" t="str">
        <f t="shared" si="651"/>
        <v>Def Tax190002190-103BT010239</v>
      </c>
      <c r="C1401" s="736">
        <v>190002</v>
      </c>
      <c r="D1401" s="735" t="s">
        <v>1713</v>
      </c>
      <c r="E1401" s="41" t="s">
        <v>1714</v>
      </c>
      <c r="F1401" s="41" t="str">
        <f t="shared" si="644"/>
        <v>ACCUM DEFERRED INC TAXES - FEDERAL - GAS</v>
      </c>
      <c r="G1401" s="41" t="s">
        <v>1715</v>
      </c>
      <c r="H1401" s="736" t="s">
        <v>1716</v>
      </c>
      <c r="I1401" s="25"/>
      <c r="J1401" s="25" t="str">
        <f t="shared" si="645"/>
        <v/>
      </c>
      <c r="K1401" s="442" t="str">
        <f t="shared" si="652"/>
        <v/>
      </c>
      <c r="L1401" s="736" t="s">
        <v>2443</v>
      </c>
      <c r="M1401" s="25" t="str">
        <f t="shared" si="679"/>
        <v>R</v>
      </c>
      <c r="N1401" s="25" t="str">
        <f>IF(L1401&lt;&gt;"",VLOOKUP(L1401,Categories!$B$2:$D$41,2,FALSE),IF(F1401&lt;&gt;"","No Cat",""))</f>
        <v>Rate Base</v>
      </c>
      <c r="O1401" s="25" t="str">
        <f>IF($L1401&lt;&gt;"",VLOOKUP($L1401,Categories!$B$2:$D$41,3,FALSE),IF($F1401&lt;&gt;"","No Cat",""))</f>
        <v>Deferred Income Taxes</v>
      </c>
      <c r="P1401" s="736" t="s">
        <v>2483</v>
      </c>
      <c r="Q1401" s="25" t="str">
        <f>VLOOKUP($P1401,Allocators!$B$7:$F$19,5,FALSE)</f>
        <v>Gas</v>
      </c>
      <c r="R1401" s="737">
        <f>VLOOKUP($P1401,Allocators!$B$7:$F$19,2,FALSE)</f>
        <v>0</v>
      </c>
      <c r="S1401" s="737">
        <f>VLOOKUP($P1401,Allocators!$B$7:$F$19,3,FALSE)</f>
        <v>1</v>
      </c>
      <c r="T1401" s="737" t="str">
        <f t="shared" si="670"/>
        <v>0.0%</v>
      </c>
      <c r="U1401" s="2">
        <f t="shared" si="664"/>
        <v>0</v>
      </c>
      <c r="V1401" s="2">
        <f t="shared" si="665"/>
        <v>1.9000000000000001E-4</v>
      </c>
      <c r="W1401" s="2">
        <f t="shared" si="666"/>
        <v>0</v>
      </c>
      <c r="X1401" s="2">
        <f t="shared" si="649"/>
        <v>1.9000000000000001E-4</v>
      </c>
      <c r="Y1401" s="2">
        <f t="shared" si="667"/>
        <v>0</v>
      </c>
      <c r="Z1401" s="2">
        <f t="shared" si="668"/>
        <v>1.9000000000000001E-4</v>
      </c>
      <c r="AA1401" s="2">
        <f t="shared" si="669"/>
        <v>0</v>
      </c>
      <c r="AB1401" s="2">
        <f t="shared" si="650"/>
        <v>1.9000000000000001E-4</v>
      </c>
      <c r="AC1401" s="625">
        <v>1.9000000000000001E-4</v>
      </c>
      <c r="AD1401" s="625">
        <v>1.9000000000000001E-4</v>
      </c>
      <c r="AE1401" s="625">
        <v>1.9000000000000001E-4</v>
      </c>
      <c r="AF1401" s="625">
        <v>1.9000000000000001E-4</v>
      </c>
      <c r="AG1401" s="625">
        <v>1.9000000000000001E-4</v>
      </c>
      <c r="AH1401" s="625">
        <v>1.9000000000000001E-4</v>
      </c>
      <c r="AI1401" s="625">
        <v>1.9000000000000001E-4</v>
      </c>
      <c r="AJ1401" s="625">
        <v>1.9000000000000001E-4</v>
      </c>
      <c r="AK1401" s="625">
        <v>1.9000000000000001E-4</v>
      </c>
      <c r="AL1401" s="625">
        <v>1.9000000000000001E-4</v>
      </c>
      <c r="AM1401" s="625">
        <v>1.9000000000000001E-4</v>
      </c>
      <c r="AN1401" s="625">
        <v>1.9000000000000001E-4</v>
      </c>
      <c r="AO1401" s="625">
        <v>1.9000000000000001E-4</v>
      </c>
      <c r="AP1401" s="41" t="str">
        <f t="shared" si="646"/>
        <v>Def TaxR</v>
      </c>
      <c r="AQ1401" s="41" t="str">
        <f t="shared" si="647"/>
        <v>Def TaxRR11Use Tax Audit</v>
      </c>
      <c r="AR1401" s="41" t="str">
        <f t="shared" si="648"/>
        <v>R11Use Tax Audit</v>
      </c>
    </row>
    <row r="1402" spans="1:44" s="41" customFormat="1" ht="12.75" customHeight="1">
      <c r="A1402" s="442" t="s">
        <v>1590</v>
      </c>
      <c r="B1402" s="442" t="str">
        <f t="shared" si="651"/>
        <v>Def Tax190002190-104</v>
      </c>
      <c r="C1402" s="736">
        <v>190002</v>
      </c>
      <c r="D1402" s="735" t="s">
        <v>1763</v>
      </c>
      <c r="E1402" s="626"/>
      <c r="F1402" s="626" t="str">
        <f t="shared" si="644"/>
        <v>ACCUM DEFERRED INC TAXES - FEDERAL - GAS</v>
      </c>
      <c r="G1402" s="626" t="s">
        <v>1764</v>
      </c>
      <c r="H1402" s="736" t="s">
        <v>1765</v>
      </c>
      <c r="I1402" s="442"/>
      <c r="J1402" s="442" t="str">
        <f t="shared" si="645"/>
        <v/>
      </c>
      <c r="K1402" s="442" t="str">
        <f t="shared" si="652"/>
        <v/>
      </c>
      <c r="L1402" s="736" t="s">
        <v>2421</v>
      </c>
      <c r="M1402" s="442" t="str">
        <f t="shared" si="679"/>
        <v>N</v>
      </c>
      <c r="N1402" s="442" t="str">
        <f>IF(L1402&lt;&gt;"",VLOOKUP(L1402,Categories!$B$2:$D$41,2,FALSE),IF(F1402&lt;&gt;"","No Cat",""))</f>
        <v>NRBASE</v>
      </c>
      <c r="O1402" s="442" t="str">
        <f>IF($L1402&lt;&gt;"",VLOOKUP($L1402,Categories!$B$2:$D$41,3,FALSE),IF($F1402&lt;&gt;"","No Cat",""))</f>
        <v>Direct Assign Items Not in RB</v>
      </c>
      <c r="P1402" s="736" t="s">
        <v>2468</v>
      </c>
      <c r="Q1402" s="442" t="str">
        <f>VLOOKUP($P1402,Allocators!$B$7:$F$19,5,FALSE)</f>
        <v>Not in Rate Base</v>
      </c>
      <c r="R1402" s="737">
        <f>VLOOKUP($P1402,Allocators!$B$7:$F$19,2,FALSE)</f>
        <v>0</v>
      </c>
      <c r="S1402" s="737">
        <f>VLOOKUP($P1402,Allocators!$B$7:$F$19,3,FALSE)</f>
        <v>0</v>
      </c>
      <c r="T1402" s="737">
        <f t="shared" si="670"/>
        <v>1</v>
      </c>
      <c r="U1402" s="2" t="str">
        <f t="shared" si="664"/>
        <v/>
      </c>
      <c r="V1402" s="2" t="str">
        <f t="shared" si="665"/>
        <v/>
      </c>
      <c r="W1402" s="2" t="str">
        <f t="shared" si="666"/>
        <v/>
      </c>
      <c r="X1402" s="2">
        <f t="shared" si="649"/>
        <v>0</v>
      </c>
      <c r="Y1402" s="2" t="str">
        <f t="shared" si="667"/>
        <v/>
      </c>
      <c r="Z1402" s="2" t="str">
        <f t="shared" si="668"/>
        <v/>
      </c>
      <c r="AA1402" s="2" t="str">
        <f t="shared" si="669"/>
        <v/>
      </c>
      <c r="AB1402" s="2">
        <f t="shared" si="650"/>
        <v>0</v>
      </c>
      <c r="AC1402" s="625">
        <v>0</v>
      </c>
      <c r="AD1402" s="625">
        <v>0</v>
      </c>
      <c r="AE1402" s="625">
        <v>0</v>
      </c>
      <c r="AF1402" s="625">
        <v>0</v>
      </c>
      <c r="AG1402" s="625">
        <v>0</v>
      </c>
      <c r="AH1402" s="625">
        <v>0</v>
      </c>
      <c r="AI1402" s="625">
        <v>0</v>
      </c>
      <c r="AJ1402" s="625">
        <v>0</v>
      </c>
      <c r="AK1402" s="625">
        <v>0</v>
      </c>
      <c r="AL1402" s="625">
        <v>0</v>
      </c>
      <c r="AM1402" s="625">
        <v>0</v>
      </c>
      <c r="AN1402" s="625">
        <v>0</v>
      </c>
      <c r="AO1402" s="625">
        <v>0</v>
      </c>
      <c r="AP1402" s="41" t="str">
        <f t="shared" si="646"/>
        <v>Def TaxN</v>
      </c>
      <c r="AQ1402" s="41" t="str">
        <f t="shared" si="647"/>
        <v>Def TaxNN2Earnings Sharing</v>
      </c>
      <c r="AR1402" s="41" t="str">
        <f t="shared" si="648"/>
        <v>N2Earnings Sharing</v>
      </c>
    </row>
    <row r="1403" spans="1:44" s="41" customFormat="1" ht="12.75" customHeight="1">
      <c r="A1403" s="442" t="s">
        <v>1590</v>
      </c>
      <c r="B1403" s="442" t="str">
        <f t="shared" si="651"/>
        <v>Def Tax190002190-105BT010195</v>
      </c>
      <c r="C1403" s="736">
        <v>190002</v>
      </c>
      <c r="D1403" s="735" t="s">
        <v>1699</v>
      </c>
      <c r="E1403" s="626" t="s">
        <v>1700</v>
      </c>
      <c r="F1403" s="626" t="str">
        <f t="shared" si="644"/>
        <v>ACCUM DEFERRED INC TAXES - FEDERAL - GAS</v>
      </c>
      <c r="G1403" s="626" t="s">
        <v>1701</v>
      </c>
      <c r="H1403" s="736" t="s">
        <v>810</v>
      </c>
      <c r="I1403" s="442"/>
      <c r="J1403" s="442" t="str">
        <f t="shared" si="645"/>
        <v/>
      </c>
      <c r="K1403" s="442" t="str">
        <f t="shared" si="652"/>
        <v/>
      </c>
      <c r="L1403" s="736" t="s">
        <v>2421</v>
      </c>
      <c r="M1403" s="442" t="str">
        <f t="shared" si="679"/>
        <v>N</v>
      </c>
      <c r="N1403" s="442" t="str">
        <f>IF(L1403&lt;&gt;"",VLOOKUP(L1403,Categories!$B$2:$D$41,2,FALSE),IF(F1403&lt;&gt;"","No Cat",""))</f>
        <v>NRBASE</v>
      </c>
      <c r="O1403" s="442" t="str">
        <f>IF($L1403&lt;&gt;"",VLOOKUP($L1403,Categories!$B$2:$D$41,3,FALSE),IF($F1403&lt;&gt;"","No Cat",""))</f>
        <v>Direct Assign Items Not in RB</v>
      </c>
      <c r="P1403" s="736" t="s">
        <v>2468</v>
      </c>
      <c r="Q1403" s="442" t="str">
        <f>VLOOKUP($P1403,Allocators!$B$7:$F$19,5,FALSE)</f>
        <v>Not in Rate Base</v>
      </c>
      <c r="R1403" s="737">
        <f>VLOOKUP($P1403,Allocators!$B$7:$F$19,2,FALSE)</f>
        <v>0</v>
      </c>
      <c r="S1403" s="737">
        <f>VLOOKUP($P1403,Allocators!$B$7:$F$19,3,FALSE)</f>
        <v>0</v>
      </c>
      <c r="T1403" s="737">
        <f t="shared" si="670"/>
        <v>1</v>
      </c>
      <c r="U1403" s="2" t="str">
        <f t="shared" si="664"/>
        <v/>
      </c>
      <c r="V1403" s="2" t="str">
        <f t="shared" si="665"/>
        <v/>
      </c>
      <c r="W1403" s="2" t="str">
        <f t="shared" si="666"/>
        <v/>
      </c>
      <c r="X1403" s="2">
        <f t="shared" si="649"/>
        <v>0</v>
      </c>
      <c r="Y1403" s="2" t="str">
        <f t="shared" si="667"/>
        <v/>
      </c>
      <c r="Z1403" s="2" t="str">
        <f t="shared" si="668"/>
        <v/>
      </c>
      <c r="AA1403" s="2" t="str">
        <f t="shared" si="669"/>
        <v/>
      </c>
      <c r="AB1403" s="2">
        <f t="shared" si="650"/>
        <v>0</v>
      </c>
      <c r="AC1403" s="625">
        <v>0</v>
      </c>
      <c r="AD1403" s="625">
        <v>0</v>
      </c>
      <c r="AE1403" s="625">
        <v>0</v>
      </c>
      <c r="AF1403" s="625">
        <v>0</v>
      </c>
      <c r="AG1403" s="625">
        <v>0</v>
      </c>
      <c r="AH1403" s="625">
        <v>0</v>
      </c>
      <c r="AI1403" s="625">
        <v>0</v>
      </c>
      <c r="AJ1403" s="625">
        <v>0</v>
      </c>
      <c r="AK1403" s="625">
        <v>0</v>
      </c>
      <c r="AL1403" s="625">
        <v>0</v>
      </c>
      <c r="AM1403" s="625">
        <v>0</v>
      </c>
      <c r="AN1403" s="625">
        <v>0</v>
      </c>
      <c r="AO1403" s="625">
        <v>0</v>
      </c>
      <c r="AP1403" s="41" t="str">
        <f t="shared" si="646"/>
        <v>Def TaxN</v>
      </c>
      <c r="AQ1403" s="41" t="str">
        <f t="shared" si="647"/>
        <v>Def TaxNN2SERP</v>
      </c>
      <c r="AR1403" s="41" t="str">
        <f t="shared" si="648"/>
        <v>N2SERP</v>
      </c>
    </row>
    <row r="1404" spans="1:44" s="41" customFormat="1" ht="12.75" customHeight="1">
      <c r="A1404" s="25" t="s">
        <v>1590</v>
      </c>
      <c r="B1404" s="25" t="str">
        <f t="shared" si="651"/>
        <v>Def Tax190002190-90A</v>
      </c>
      <c r="C1404" s="736">
        <v>190002</v>
      </c>
      <c r="D1404" s="735" t="s">
        <v>1766</v>
      </c>
      <c r="F1404" s="41" t="str">
        <f t="shared" si="644"/>
        <v>ACCUM DEFERRED INC TAXES - FEDERAL - GAS</v>
      </c>
      <c r="G1404" s="41" t="s">
        <v>1767</v>
      </c>
      <c r="H1404" s="736" t="s">
        <v>1712</v>
      </c>
      <c r="I1404" s="25"/>
      <c r="J1404" s="25" t="str">
        <f t="shared" si="645"/>
        <v/>
      </c>
      <c r="K1404" s="442" t="str">
        <f t="shared" si="652"/>
        <v/>
      </c>
      <c r="L1404" s="736" t="s">
        <v>2443</v>
      </c>
      <c r="M1404" s="25" t="str">
        <f t="shared" si="679"/>
        <v>R</v>
      </c>
      <c r="N1404" s="25" t="str">
        <f>IF(L1404&lt;&gt;"",VLOOKUP(L1404,Categories!$B$2:$D$41,2,FALSE),IF(F1404&lt;&gt;"","No Cat",""))</f>
        <v>Rate Base</v>
      </c>
      <c r="O1404" s="25" t="str">
        <f>IF($L1404&lt;&gt;"",VLOOKUP($L1404,Categories!$B$2:$D$41,3,FALSE),IF($F1404&lt;&gt;"","No Cat",""))</f>
        <v>Deferred Income Taxes</v>
      </c>
      <c r="P1404" s="736" t="s">
        <v>2483</v>
      </c>
      <c r="Q1404" s="25" t="str">
        <f>VLOOKUP($P1404,Allocators!$B$7:$F$19,5,FALSE)</f>
        <v>Gas</v>
      </c>
      <c r="R1404" s="737">
        <f>VLOOKUP($P1404,Allocators!$B$7:$F$19,2,FALSE)</f>
        <v>0</v>
      </c>
      <c r="S1404" s="737">
        <f>VLOOKUP($P1404,Allocators!$B$7:$F$19,3,FALSE)</f>
        <v>1</v>
      </c>
      <c r="T1404" s="737" t="str">
        <f t="shared" si="670"/>
        <v>0.0%</v>
      </c>
      <c r="U1404" s="2" t="str">
        <f t="shared" si="664"/>
        <v/>
      </c>
      <c r="V1404" s="2" t="str">
        <f t="shared" si="665"/>
        <v/>
      </c>
      <c r="W1404" s="2" t="str">
        <f t="shared" si="666"/>
        <v/>
      </c>
      <c r="X1404" s="2">
        <f t="shared" si="649"/>
        <v>0</v>
      </c>
      <c r="Y1404" s="2" t="str">
        <f t="shared" si="667"/>
        <v/>
      </c>
      <c r="Z1404" s="2" t="str">
        <f t="shared" si="668"/>
        <v/>
      </c>
      <c r="AA1404" s="2" t="str">
        <f t="shared" si="669"/>
        <v/>
      </c>
      <c r="AB1404" s="2">
        <f t="shared" si="650"/>
        <v>0</v>
      </c>
      <c r="AC1404" s="625">
        <v>0</v>
      </c>
      <c r="AD1404" s="625">
        <v>0</v>
      </c>
      <c r="AE1404" s="625">
        <v>0</v>
      </c>
      <c r="AF1404" s="625">
        <v>0</v>
      </c>
      <c r="AG1404" s="625">
        <v>0</v>
      </c>
      <c r="AH1404" s="625">
        <v>0</v>
      </c>
      <c r="AI1404" s="625">
        <v>0</v>
      </c>
      <c r="AJ1404" s="625">
        <v>0</v>
      </c>
      <c r="AK1404" s="625">
        <v>0</v>
      </c>
      <c r="AL1404" s="625">
        <v>0</v>
      </c>
      <c r="AM1404" s="625">
        <v>0</v>
      </c>
      <c r="AN1404" s="625">
        <v>0</v>
      </c>
      <c r="AO1404" s="625">
        <v>0</v>
      </c>
      <c r="AP1404" s="41" t="str">
        <f t="shared" si="646"/>
        <v>Def TaxR</v>
      </c>
      <c r="AQ1404" s="41" t="str">
        <f t="shared" si="647"/>
        <v>Def TaxRR11Stock Options</v>
      </c>
      <c r="AR1404" s="41" t="str">
        <f t="shared" si="648"/>
        <v>R11Stock Options</v>
      </c>
    </row>
    <row r="1405" spans="1:44" s="41" customFormat="1" ht="12.75" customHeight="1">
      <c r="A1405" s="442" t="s">
        <v>1590</v>
      </c>
      <c r="B1405" s="442" t="str">
        <f t="shared" si="651"/>
        <v>Def Tax190002190-106BT010112</v>
      </c>
      <c r="C1405" s="736">
        <v>190002</v>
      </c>
      <c r="D1405" s="735" t="s">
        <v>1655</v>
      </c>
      <c r="E1405" s="626" t="s">
        <v>1656</v>
      </c>
      <c r="F1405" s="626" t="str">
        <f t="shared" si="644"/>
        <v>ACCUM DEFERRED INC TAXES - FEDERAL - GAS</v>
      </c>
      <c r="G1405" s="626" t="s">
        <v>1657</v>
      </c>
      <c r="H1405" s="736" t="s">
        <v>1658</v>
      </c>
      <c r="I1405" s="442"/>
      <c r="J1405" s="442" t="str">
        <f t="shared" si="645"/>
        <v/>
      </c>
      <c r="K1405" s="442" t="str">
        <f t="shared" si="652"/>
        <v/>
      </c>
      <c r="L1405" s="736" t="s">
        <v>2421</v>
      </c>
      <c r="M1405" s="442" t="str">
        <f t="shared" si="679"/>
        <v>N</v>
      </c>
      <c r="N1405" s="442" t="str">
        <f>IF(L1405&lt;&gt;"",VLOOKUP(L1405,Categories!$B$2:$D$41,2,FALSE),IF(F1405&lt;&gt;"","No Cat",""))</f>
        <v>NRBASE</v>
      </c>
      <c r="O1405" s="442" t="str">
        <f>IF($L1405&lt;&gt;"",VLOOKUP($L1405,Categories!$B$2:$D$41,3,FALSE),IF($F1405&lt;&gt;"","No Cat",""))</f>
        <v>Direct Assign Items Not in RB</v>
      </c>
      <c r="P1405" s="736" t="s">
        <v>2468</v>
      </c>
      <c r="Q1405" s="442" t="str">
        <f>VLOOKUP($P1405,Allocators!$B$7:$F$19,5,FALSE)</f>
        <v>Not in Rate Base</v>
      </c>
      <c r="R1405" s="737">
        <f>VLOOKUP($P1405,Allocators!$B$7:$F$19,2,FALSE)</f>
        <v>0</v>
      </c>
      <c r="S1405" s="737">
        <f>VLOOKUP($P1405,Allocators!$B$7:$F$19,3,FALSE)</f>
        <v>0</v>
      </c>
      <c r="T1405" s="737">
        <f t="shared" si="670"/>
        <v>1</v>
      </c>
      <c r="U1405" s="2">
        <f t="shared" si="664"/>
        <v>0</v>
      </c>
      <c r="V1405" s="2">
        <f t="shared" si="665"/>
        <v>0</v>
      </c>
      <c r="W1405" s="2">
        <f t="shared" si="666"/>
        <v>-4.0000000000000002E-4</v>
      </c>
      <c r="X1405" s="2">
        <f t="shared" si="649"/>
        <v>-4.0000000000000002E-4</v>
      </c>
      <c r="Y1405" s="2">
        <f t="shared" si="667"/>
        <v>0</v>
      </c>
      <c r="Z1405" s="2">
        <f t="shared" si="668"/>
        <v>0</v>
      </c>
      <c r="AA1405" s="2">
        <f t="shared" si="669"/>
        <v>-4.0000000000000002E-4</v>
      </c>
      <c r="AB1405" s="2">
        <f t="shared" si="650"/>
        <v>-4.0000000000000002E-4</v>
      </c>
      <c r="AC1405" s="625">
        <v>-4.0000000000000002E-4</v>
      </c>
      <c r="AD1405" s="625">
        <v>-4.0000000000000002E-4</v>
      </c>
      <c r="AE1405" s="625">
        <v>-4.0000000000000002E-4</v>
      </c>
      <c r="AF1405" s="625">
        <v>-4.0000000000000002E-4</v>
      </c>
      <c r="AG1405" s="625">
        <v>-4.0000000000000002E-4</v>
      </c>
      <c r="AH1405" s="625">
        <v>-4.0000000000000002E-4</v>
      </c>
      <c r="AI1405" s="625">
        <v>-4.0000000000000002E-4</v>
      </c>
      <c r="AJ1405" s="625">
        <v>-4.0000000000000002E-4</v>
      </c>
      <c r="AK1405" s="625">
        <v>-4.0000000000000002E-4</v>
      </c>
      <c r="AL1405" s="625">
        <v>-4.0000000000000002E-4</v>
      </c>
      <c r="AM1405" s="625">
        <v>-4.0000000000000002E-4</v>
      </c>
      <c r="AN1405" s="625">
        <v>-4.0000000000000002E-4</v>
      </c>
      <c r="AO1405" s="625">
        <v>-4.0000000000000002E-4</v>
      </c>
      <c r="AP1405" s="41" t="str">
        <f t="shared" si="646"/>
        <v>Def TaxN</v>
      </c>
      <c r="AQ1405" s="41" t="str">
        <f t="shared" si="647"/>
        <v>Def TaxNN2Litigation</v>
      </c>
      <c r="AR1405" s="41" t="str">
        <f t="shared" si="648"/>
        <v>N2Litigation</v>
      </c>
    </row>
    <row r="1406" spans="1:44" s="41" customFormat="1" ht="12.75" customHeight="1">
      <c r="A1406" s="442" t="s">
        <v>1590</v>
      </c>
      <c r="B1406" s="442" t="str">
        <f t="shared" ref="B1406" si="680">CONCATENATE(A1406,C1406,D1406,E1406)</f>
        <v>Def Tax190002BT010119</v>
      </c>
      <c r="C1406" s="736">
        <v>190002</v>
      </c>
      <c r="D1406" s="735"/>
      <c r="E1406" s="626" t="s">
        <v>4292</v>
      </c>
      <c r="F1406" s="626" t="str">
        <f t="shared" si="644"/>
        <v>ACCUM DEFERRED INC TAXES - FEDERAL - GAS</v>
      </c>
      <c r="G1406" s="626" t="s">
        <v>4291</v>
      </c>
      <c r="H1406" s="736" t="s">
        <v>2559</v>
      </c>
      <c r="I1406" s="25"/>
      <c r="J1406" s="25"/>
      <c r="K1406" s="442" t="str">
        <f t="shared" si="652"/>
        <v/>
      </c>
      <c r="L1406" s="736" t="s">
        <v>2393</v>
      </c>
      <c r="M1406" s="25" t="str">
        <f t="shared" si="679"/>
        <v>A</v>
      </c>
      <c r="N1406" s="25" t="str">
        <f>IF(L1406&lt;&gt;"",VLOOKUP(L1406,Categories!$B$2:$D$41,2,FALSE),IF(F1406&lt;&gt;"","No Cat",""))</f>
        <v>All Other</v>
      </c>
      <c r="O1406" s="25" t="str">
        <f>IF($L1406&lt;&gt;"",VLOOKUP($L1406,Categories!$B$2:$D$41,3,FALSE),IF($F1406&lt;&gt;"","No Cat",""))</f>
        <v>EB-Cap</v>
      </c>
      <c r="P1406" s="736" t="s">
        <v>2490</v>
      </c>
      <c r="Q1406" s="25" t="str">
        <f>VLOOKUP($P1406,Allocators!$B$7:$F$19,5,FALSE)</f>
        <v>Rate Base</v>
      </c>
      <c r="R1406" s="737">
        <f>VLOOKUP($P1406,Allocators!$B$7:$F$19,2,FALSE)</f>
        <v>0.70940000000000003</v>
      </c>
      <c r="S1406" s="737">
        <f>VLOOKUP($P1406,Allocators!$B$7:$F$19,3,FALSE)</f>
        <v>0.29060000000000002</v>
      </c>
      <c r="T1406" s="737" t="str">
        <f t="shared" si="670"/>
        <v>0.0%</v>
      </c>
      <c r="U1406" s="2">
        <f t="shared" si="664"/>
        <v>21.989721086666599</v>
      </c>
      <c r="V1406" s="2">
        <f t="shared" si="665"/>
        <v>9.0079122466666597</v>
      </c>
      <c r="W1406" s="2">
        <f t="shared" si="666"/>
        <v>0</v>
      </c>
      <c r="X1406" s="2">
        <f t="shared" si="649"/>
        <v>30.997633333333301</v>
      </c>
      <c r="Y1406" s="2">
        <f t="shared" si="667"/>
        <v>19.836881259999998</v>
      </c>
      <c r="Z1406" s="2">
        <f t="shared" si="668"/>
        <v>8.1260187399999992</v>
      </c>
      <c r="AA1406" s="2">
        <f t="shared" si="669"/>
        <v>0</v>
      </c>
      <c r="AB1406" s="2">
        <f t="shared" si="650"/>
        <v>27.962900000000001</v>
      </c>
      <c r="AC1406" s="625">
        <v>27.3126</v>
      </c>
      <c r="AD1406" s="625">
        <v>27.3126</v>
      </c>
      <c r="AE1406" s="625">
        <v>27.3126</v>
      </c>
      <c r="AF1406" s="625">
        <v>31.539549999999998</v>
      </c>
      <c r="AG1406" s="625">
        <v>31.539549999999998</v>
      </c>
      <c r="AH1406" s="625">
        <v>35.116199999999999</v>
      </c>
      <c r="AI1406" s="625">
        <v>36.416800000000002</v>
      </c>
      <c r="AJ1406" s="625">
        <v>36.416800000000002</v>
      </c>
      <c r="AK1406" s="625">
        <v>39.668300000000002</v>
      </c>
      <c r="AL1406" s="625">
        <v>24.38625</v>
      </c>
      <c r="AM1406" s="625">
        <v>26.337150000000001</v>
      </c>
      <c r="AN1406" s="625">
        <v>28.288049999999998</v>
      </c>
      <c r="AO1406" s="625">
        <v>27.962900000000001</v>
      </c>
      <c r="AP1406" s="41" t="str">
        <f t="shared" si="646"/>
        <v>Def TaxA</v>
      </c>
      <c r="AQ1406" s="41" t="str">
        <f t="shared" si="647"/>
        <v>Def TaxAA2Fin 48 Reclass</v>
      </c>
      <c r="AR1406" s="41" t="str">
        <f t="shared" si="648"/>
        <v>A2Fin 48 Reclass</v>
      </c>
    </row>
    <row r="1407" spans="1:44" s="41" customFormat="1" ht="12.75" customHeight="1">
      <c r="A1407" s="25" t="s">
        <v>1590</v>
      </c>
      <c r="B1407" s="25" t="str">
        <f t="shared" si="651"/>
        <v>Def Tax190002190-107</v>
      </c>
      <c r="C1407" s="736">
        <v>190002</v>
      </c>
      <c r="D1407" s="735" t="s">
        <v>1768</v>
      </c>
      <c r="F1407" s="41" t="str">
        <f t="shared" si="644"/>
        <v>ACCUM DEFERRED INC TAXES - FEDERAL - GAS</v>
      </c>
      <c r="G1407" s="41" t="s">
        <v>1769</v>
      </c>
      <c r="H1407" s="736" t="s">
        <v>1118</v>
      </c>
      <c r="I1407" s="25"/>
      <c r="J1407" s="25" t="str">
        <f t="shared" si="645"/>
        <v/>
      </c>
      <c r="K1407" s="442" t="str">
        <f t="shared" si="652"/>
        <v/>
      </c>
      <c r="L1407" s="736" t="s">
        <v>2443</v>
      </c>
      <c r="M1407" s="25" t="str">
        <f t="shared" si="679"/>
        <v>R</v>
      </c>
      <c r="N1407" s="25" t="str">
        <f>IF(L1407&lt;&gt;"",VLOOKUP(L1407,Categories!$B$2:$D$41,2,FALSE),IF(F1407&lt;&gt;"","No Cat",""))</f>
        <v>Rate Base</v>
      </c>
      <c r="O1407" s="25" t="str">
        <f>IF($L1407&lt;&gt;"",VLOOKUP($L1407,Categories!$B$2:$D$41,3,FALSE),IF($F1407&lt;&gt;"","No Cat",""))</f>
        <v>Deferred Income Taxes</v>
      </c>
      <c r="P1407" s="736" t="s">
        <v>2483</v>
      </c>
      <c r="Q1407" s="25" t="str">
        <f>VLOOKUP($P1407,Allocators!$B$7:$F$19,5,FALSE)</f>
        <v>Gas</v>
      </c>
      <c r="R1407" s="737">
        <f>VLOOKUP($P1407,Allocators!$B$7:$F$19,2,FALSE)</f>
        <v>0</v>
      </c>
      <c r="S1407" s="737">
        <f>VLOOKUP($P1407,Allocators!$B$7:$F$19,3,FALSE)</f>
        <v>1</v>
      </c>
      <c r="T1407" s="737" t="str">
        <f t="shared" si="670"/>
        <v>0.0%</v>
      </c>
      <c r="U1407" s="2" t="str">
        <f t="shared" si="664"/>
        <v/>
      </c>
      <c r="V1407" s="2" t="str">
        <f t="shared" si="665"/>
        <v/>
      </c>
      <c r="W1407" s="2" t="str">
        <f t="shared" si="666"/>
        <v/>
      </c>
      <c r="X1407" s="2">
        <f t="shared" si="649"/>
        <v>0</v>
      </c>
      <c r="Y1407" s="2" t="str">
        <f t="shared" si="667"/>
        <v/>
      </c>
      <c r="Z1407" s="2" t="str">
        <f t="shared" si="668"/>
        <v/>
      </c>
      <c r="AA1407" s="2" t="str">
        <f t="shared" si="669"/>
        <v/>
      </c>
      <c r="AB1407" s="2">
        <f t="shared" si="650"/>
        <v>0</v>
      </c>
      <c r="AC1407" s="625">
        <v>0</v>
      </c>
      <c r="AD1407" s="625">
        <v>0</v>
      </c>
      <c r="AE1407" s="625">
        <v>0</v>
      </c>
      <c r="AF1407" s="625">
        <v>0</v>
      </c>
      <c r="AG1407" s="625">
        <v>0</v>
      </c>
      <c r="AH1407" s="625">
        <v>0</v>
      </c>
      <c r="AI1407" s="625">
        <v>0</v>
      </c>
      <c r="AJ1407" s="625">
        <v>0</v>
      </c>
      <c r="AK1407" s="625">
        <v>0</v>
      </c>
      <c r="AL1407" s="625">
        <v>0</v>
      </c>
      <c r="AM1407" s="625">
        <v>0</v>
      </c>
      <c r="AN1407" s="625">
        <v>0</v>
      </c>
      <c r="AO1407" s="625">
        <v>0</v>
      </c>
      <c r="AP1407" s="41" t="str">
        <f t="shared" si="646"/>
        <v>Def TaxR</v>
      </c>
      <c r="AQ1407" s="41" t="str">
        <f t="shared" si="647"/>
        <v>Def TaxRR11Medicare Part D</v>
      </c>
      <c r="AR1407" s="41" t="str">
        <f t="shared" si="648"/>
        <v>R11Medicare Part D</v>
      </c>
    </row>
    <row r="1408" spans="1:44" s="41" customFormat="1" ht="12.75" customHeight="1">
      <c r="A1408" s="25" t="s">
        <v>1590</v>
      </c>
      <c r="B1408" s="25" t="str">
        <f t="shared" si="651"/>
        <v>Def Tax190002190-108</v>
      </c>
      <c r="C1408" s="736">
        <v>190002</v>
      </c>
      <c r="D1408" s="735" t="s">
        <v>1770</v>
      </c>
      <c r="F1408" s="41" t="str">
        <f t="shared" si="644"/>
        <v>ACCUM DEFERRED INC TAXES - FEDERAL - GAS</v>
      </c>
      <c r="G1408" s="41" t="s">
        <v>1771</v>
      </c>
      <c r="H1408" s="736" t="s">
        <v>1124</v>
      </c>
      <c r="I1408" s="25"/>
      <c r="J1408" s="25" t="str">
        <f t="shared" si="645"/>
        <v/>
      </c>
      <c r="K1408" s="442" t="str">
        <f t="shared" si="652"/>
        <v/>
      </c>
      <c r="L1408" s="736" t="s">
        <v>2443</v>
      </c>
      <c r="M1408" s="25" t="str">
        <f t="shared" si="679"/>
        <v>R</v>
      </c>
      <c r="N1408" s="25" t="str">
        <f>IF(L1408&lt;&gt;"",VLOOKUP(L1408,Categories!$B$2:$D$41,2,FALSE),IF(F1408&lt;&gt;"","No Cat",""))</f>
        <v>Rate Base</v>
      </c>
      <c r="O1408" s="25" t="str">
        <f>IF($L1408&lt;&gt;"",VLOOKUP($L1408,Categories!$B$2:$D$41,3,FALSE),IF($F1408&lt;&gt;"","No Cat",""))</f>
        <v>Deferred Income Taxes</v>
      </c>
      <c r="P1408" s="736" t="s">
        <v>2483</v>
      </c>
      <c r="Q1408" s="25" t="str">
        <f>VLOOKUP($P1408,Allocators!$B$7:$F$19,5,FALSE)</f>
        <v>Gas</v>
      </c>
      <c r="R1408" s="737">
        <f>VLOOKUP($P1408,Allocators!$B$7:$F$19,2,FALSE)</f>
        <v>0</v>
      </c>
      <c r="S1408" s="737">
        <f>VLOOKUP($P1408,Allocators!$B$7:$F$19,3,FALSE)</f>
        <v>1</v>
      </c>
      <c r="T1408" s="737" t="str">
        <f t="shared" si="670"/>
        <v>0.0%</v>
      </c>
      <c r="U1408" s="2" t="str">
        <f t="shared" si="664"/>
        <v/>
      </c>
      <c r="V1408" s="2" t="str">
        <f t="shared" si="665"/>
        <v/>
      </c>
      <c r="W1408" s="2" t="str">
        <f t="shared" si="666"/>
        <v/>
      </c>
      <c r="X1408" s="2">
        <f t="shared" si="649"/>
        <v>0</v>
      </c>
      <c r="Y1408" s="2" t="str">
        <f t="shared" si="667"/>
        <v/>
      </c>
      <c r="Z1408" s="2" t="str">
        <f t="shared" si="668"/>
        <v/>
      </c>
      <c r="AA1408" s="2" t="str">
        <f t="shared" si="669"/>
        <v/>
      </c>
      <c r="AB1408" s="2">
        <f t="shared" si="650"/>
        <v>0</v>
      </c>
      <c r="AC1408" s="625">
        <v>0</v>
      </c>
      <c r="AD1408" s="625">
        <v>0</v>
      </c>
      <c r="AE1408" s="625">
        <v>0</v>
      </c>
      <c r="AF1408" s="625">
        <v>0</v>
      </c>
      <c r="AG1408" s="625">
        <v>0</v>
      </c>
      <c r="AH1408" s="625">
        <v>0</v>
      </c>
      <c r="AI1408" s="625">
        <v>0</v>
      </c>
      <c r="AJ1408" s="625">
        <v>0</v>
      </c>
      <c r="AK1408" s="625">
        <v>0</v>
      </c>
      <c r="AL1408" s="625">
        <v>0</v>
      </c>
      <c r="AM1408" s="625">
        <v>0</v>
      </c>
      <c r="AN1408" s="625">
        <v>0</v>
      </c>
      <c r="AO1408" s="625">
        <v>0</v>
      </c>
      <c r="AP1408" s="41" t="str">
        <f t="shared" si="646"/>
        <v>Def TaxR</v>
      </c>
      <c r="AQ1408" s="41" t="str">
        <f t="shared" si="647"/>
        <v>Def TaxRR11R&amp;D Tax Credit Deferral</v>
      </c>
      <c r="AR1408" s="41" t="str">
        <f t="shared" si="648"/>
        <v>R11R&amp;D Tax Credit Deferral</v>
      </c>
    </row>
    <row r="1409" spans="1:44" s="41" customFormat="1" ht="12.75" customHeight="1">
      <c r="A1409" s="25" t="s">
        <v>1590</v>
      </c>
      <c r="B1409" s="25" t="str">
        <f t="shared" si="651"/>
        <v>Def Tax190002190-026BT010071</v>
      </c>
      <c r="C1409" s="736">
        <v>190002</v>
      </c>
      <c r="D1409" s="735" t="s">
        <v>1772</v>
      </c>
      <c r="E1409" s="41" t="s">
        <v>1707</v>
      </c>
      <c r="F1409" s="41" t="str">
        <f t="shared" si="644"/>
        <v>ACCUM DEFERRED INC TAXES - FEDERAL - GAS</v>
      </c>
      <c r="G1409" s="41" t="s">
        <v>1708</v>
      </c>
      <c r="H1409" s="736" t="s">
        <v>1134</v>
      </c>
      <c r="I1409" s="25"/>
      <c r="J1409" s="25" t="str">
        <f t="shared" si="645"/>
        <v/>
      </c>
      <c r="K1409" s="442" t="str">
        <f t="shared" si="652"/>
        <v/>
      </c>
      <c r="L1409" s="736" t="s">
        <v>2421</v>
      </c>
      <c r="M1409" s="25" t="str">
        <f t="shared" si="679"/>
        <v>N</v>
      </c>
      <c r="N1409" s="25" t="str">
        <f>IF(L1409&lt;&gt;"",VLOOKUP(L1409,Categories!$B$2:$D$41,2,FALSE),IF(F1409&lt;&gt;"","No Cat",""))</f>
        <v>NRBASE</v>
      </c>
      <c r="O1409" s="25" t="str">
        <f>IF($L1409&lt;&gt;"",VLOOKUP($L1409,Categories!$B$2:$D$41,3,FALSE),IF($F1409&lt;&gt;"","No Cat",""))</f>
        <v>Direct Assign Items Not in RB</v>
      </c>
      <c r="P1409" s="736" t="s">
        <v>2468</v>
      </c>
      <c r="Q1409" s="25" t="str">
        <f>VLOOKUP($P1409,Allocators!$B$7:$F$19,5,FALSE)</f>
        <v>Not in Rate Base</v>
      </c>
      <c r="R1409" s="737">
        <f>VLOOKUP($P1409,Allocators!$B$7:$F$19,2,FALSE)</f>
        <v>0</v>
      </c>
      <c r="S1409" s="737">
        <f>VLOOKUP($P1409,Allocators!$B$7:$F$19,3,FALSE)</f>
        <v>0</v>
      </c>
      <c r="T1409" s="737">
        <f t="shared" si="670"/>
        <v>1</v>
      </c>
      <c r="U1409" s="2">
        <f t="shared" si="664"/>
        <v>0</v>
      </c>
      <c r="V1409" s="2">
        <f t="shared" si="665"/>
        <v>0</v>
      </c>
      <c r="W1409" s="2">
        <f t="shared" si="666"/>
        <v>10101.689992916699</v>
      </c>
      <c r="X1409" s="2">
        <f t="shared" si="649"/>
        <v>10101.689992916699</v>
      </c>
      <c r="Y1409" s="2">
        <f t="shared" si="667"/>
        <v>0</v>
      </c>
      <c r="Z1409" s="2">
        <f t="shared" si="668"/>
        <v>0</v>
      </c>
      <c r="AA1409" s="2">
        <f t="shared" si="669"/>
        <v>14064.546490000001</v>
      </c>
      <c r="AB1409" s="2">
        <f t="shared" si="650"/>
        <v>14064.546490000001</v>
      </c>
      <c r="AC1409" s="625">
        <v>9485.5890600000002</v>
      </c>
      <c r="AD1409" s="625">
        <v>9485.5890600000002</v>
      </c>
      <c r="AE1409" s="625">
        <v>9485.5890600000002</v>
      </c>
      <c r="AF1409" s="625">
        <v>9485.5890600000002</v>
      </c>
      <c r="AG1409" s="625">
        <v>9436.1307899999993</v>
      </c>
      <c r="AH1409" s="625">
        <v>9372.5961099999986</v>
      </c>
      <c r="AI1409" s="625">
        <v>9372.5961099999986</v>
      </c>
      <c r="AJ1409" s="625">
        <v>9372.5961099999986</v>
      </c>
      <c r="AK1409" s="625">
        <v>9372.5961099999986</v>
      </c>
      <c r="AL1409" s="625">
        <v>9998.6916199999996</v>
      </c>
      <c r="AM1409" s="625">
        <v>9998.6916199999996</v>
      </c>
      <c r="AN1409" s="625">
        <v>14064.546490000001</v>
      </c>
      <c r="AO1409" s="625">
        <v>14064.546490000001</v>
      </c>
      <c r="AP1409" s="41" t="str">
        <f t="shared" si="646"/>
        <v>Def TaxN</v>
      </c>
      <c r="AQ1409" s="41" t="str">
        <f t="shared" si="647"/>
        <v>Def TaxNN2Environmental</v>
      </c>
      <c r="AR1409" s="41" t="str">
        <f t="shared" si="648"/>
        <v>N2Environmental</v>
      </c>
    </row>
    <row r="1410" spans="1:44" s="41" customFormat="1" ht="12.75" customHeight="1">
      <c r="A1410" s="25" t="s">
        <v>1590</v>
      </c>
      <c r="B1410" s="25" t="str">
        <f t="shared" si="651"/>
        <v>Def Tax190002RestrStkBT010183</v>
      </c>
      <c r="C1410" s="736">
        <v>190002</v>
      </c>
      <c r="D1410" s="735" t="s">
        <v>1688</v>
      </c>
      <c r="E1410" s="41" t="s">
        <v>1689</v>
      </c>
      <c r="F1410" s="41" t="str">
        <f t="shared" si="644"/>
        <v>ACCUM DEFERRED INC TAXES - FEDERAL - GAS</v>
      </c>
      <c r="G1410" s="41" t="s">
        <v>1690</v>
      </c>
      <c r="H1410" s="736" t="s">
        <v>1691</v>
      </c>
      <c r="I1410" s="25"/>
      <c r="J1410" s="25" t="str">
        <f t="shared" si="645"/>
        <v/>
      </c>
      <c r="K1410" s="442" t="str">
        <f t="shared" si="652"/>
        <v/>
      </c>
      <c r="L1410" s="736" t="s">
        <v>2443</v>
      </c>
      <c r="M1410" s="25" t="str">
        <f t="shared" si="679"/>
        <v>R</v>
      </c>
      <c r="N1410" s="25" t="str">
        <f>IF(L1410&lt;&gt;"",VLOOKUP(L1410,Categories!$B$2:$D$41,2,FALSE),IF(F1410&lt;&gt;"","No Cat",""))</f>
        <v>Rate Base</v>
      </c>
      <c r="O1410" s="25" t="str">
        <f>IF($L1410&lt;&gt;"",VLOOKUP($L1410,Categories!$B$2:$D$41,3,FALSE),IF($F1410&lt;&gt;"","No Cat",""))</f>
        <v>Deferred Income Taxes</v>
      </c>
      <c r="P1410" s="736" t="s">
        <v>2483</v>
      </c>
      <c r="Q1410" s="25" t="str">
        <f>VLOOKUP($P1410,Allocators!$B$7:$F$19,5,FALSE)</f>
        <v>Gas</v>
      </c>
      <c r="R1410" s="737">
        <f>VLOOKUP($P1410,Allocators!$B$7:$F$19,2,FALSE)</f>
        <v>0</v>
      </c>
      <c r="S1410" s="737">
        <f>VLOOKUP($P1410,Allocators!$B$7:$F$19,3,FALSE)</f>
        <v>1</v>
      </c>
      <c r="T1410" s="737" t="str">
        <f t="shared" si="670"/>
        <v>0.0%</v>
      </c>
      <c r="U1410" s="2" t="str">
        <f t="shared" si="664"/>
        <v/>
      </c>
      <c r="V1410" s="2" t="str">
        <f t="shared" si="665"/>
        <v/>
      </c>
      <c r="W1410" s="2" t="str">
        <f t="shared" si="666"/>
        <v/>
      </c>
      <c r="X1410" s="2">
        <f t="shared" si="649"/>
        <v>0</v>
      </c>
      <c r="Y1410" s="2" t="str">
        <f t="shared" si="667"/>
        <v/>
      </c>
      <c r="Z1410" s="2" t="str">
        <f t="shared" si="668"/>
        <v/>
      </c>
      <c r="AA1410" s="2" t="str">
        <f t="shared" si="669"/>
        <v/>
      </c>
      <c r="AB1410" s="2">
        <f t="shared" si="650"/>
        <v>0</v>
      </c>
      <c r="AC1410" s="625">
        <v>0</v>
      </c>
      <c r="AD1410" s="625">
        <v>0</v>
      </c>
      <c r="AE1410" s="625">
        <v>0</v>
      </c>
      <c r="AF1410" s="625">
        <v>0</v>
      </c>
      <c r="AG1410" s="625">
        <v>0</v>
      </c>
      <c r="AH1410" s="625">
        <v>0</v>
      </c>
      <c r="AI1410" s="625">
        <v>0</v>
      </c>
      <c r="AJ1410" s="625">
        <v>0</v>
      </c>
      <c r="AK1410" s="625">
        <v>0</v>
      </c>
      <c r="AL1410" s="625">
        <v>0</v>
      </c>
      <c r="AM1410" s="625">
        <v>0</v>
      </c>
      <c r="AN1410" s="625">
        <v>0</v>
      </c>
      <c r="AO1410" s="625">
        <v>0</v>
      </c>
      <c r="AP1410" s="41" t="str">
        <f t="shared" si="646"/>
        <v>Def TaxR</v>
      </c>
      <c r="AQ1410" s="41" t="str">
        <f t="shared" si="647"/>
        <v>Def TaxRR11Restricted Stock</v>
      </c>
      <c r="AR1410" s="41" t="str">
        <f t="shared" si="648"/>
        <v>R11Restricted Stock</v>
      </c>
    </row>
    <row r="1411" spans="1:44" s="41" customFormat="1" ht="12.75" customHeight="1">
      <c r="A1411" s="25" t="s">
        <v>1590</v>
      </c>
      <c r="B1411" s="25" t="str">
        <f t="shared" si="651"/>
        <v>Def Tax190002Debt AdjBDEFAULT</v>
      </c>
      <c r="C1411" s="736">
        <v>190002</v>
      </c>
      <c r="D1411" s="735" t="s">
        <v>1773</v>
      </c>
      <c r="E1411" s="41" t="s">
        <v>1620</v>
      </c>
      <c r="F1411" s="41" t="str">
        <f t="shared" si="644"/>
        <v>ACCUM DEFERRED INC TAXES - FEDERAL - GAS</v>
      </c>
      <c r="G1411" s="41" t="s">
        <v>1774</v>
      </c>
      <c r="H1411" s="736" t="s">
        <v>1775</v>
      </c>
      <c r="I1411" s="25"/>
      <c r="J1411" s="25" t="str">
        <f t="shared" si="645"/>
        <v/>
      </c>
      <c r="K1411" s="442" t="str">
        <f t="shared" si="652"/>
        <v/>
      </c>
      <c r="L1411" s="736" t="s">
        <v>2443</v>
      </c>
      <c r="M1411" s="25" t="str">
        <f t="shared" si="679"/>
        <v>R</v>
      </c>
      <c r="N1411" s="25" t="str">
        <f>IF(L1411&lt;&gt;"",VLOOKUP(L1411,Categories!$B$2:$D$41,2,FALSE),IF(F1411&lt;&gt;"","No Cat",""))</f>
        <v>Rate Base</v>
      </c>
      <c r="O1411" s="25" t="str">
        <f>IF($L1411&lt;&gt;"",VLOOKUP($L1411,Categories!$B$2:$D$41,3,FALSE),IF($F1411&lt;&gt;"","No Cat",""))</f>
        <v>Deferred Income Taxes</v>
      </c>
      <c r="P1411" s="736" t="s">
        <v>2483</v>
      </c>
      <c r="Q1411" s="25" t="str">
        <f>VLOOKUP($P1411,Allocators!$B$7:$F$19,5,FALSE)</f>
        <v>Gas</v>
      </c>
      <c r="R1411" s="737">
        <f>VLOOKUP($P1411,Allocators!$B$7:$F$19,2,FALSE)</f>
        <v>0</v>
      </c>
      <c r="S1411" s="737">
        <f>VLOOKUP($P1411,Allocators!$B$7:$F$19,3,FALSE)</f>
        <v>1</v>
      </c>
      <c r="T1411" s="737" t="str">
        <f t="shared" si="670"/>
        <v>0.0%</v>
      </c>
      <c r="U1411" s="2" t="str">
        <f t="shared" si="664"/>
        <v/>
      </c>
      <c r="V1411" s="2" t="str">
        <f t="shared" si="665"/>
        <v/>
      </c>
      <c r="W1411" s="2" t="str">
        <f t="shared" si="666"/>
        <v/>
      </c>
      <c r="X1411" s="2">
        <f t="shared" si="649"/>
        <v>0</v>
      </c>
      <c r="Y1411" s="2" t="str">
        <f t="shared" si="667"/>
        <v/>
      </c>
      <c r="Z1411" s="2" t="str">
        <f t="shared" si="668"/>
        <v/>
      </c>
      <c r="AA1411" s="2" t="str">
        <f t="shared" si="669"/>
        <v/>
      </c>
      <c r="AB1411" s="2">
        <f t="shared" si="650"/>
        <v>0</v>
      </c>
      <c r="AC1411" s="625">
        <v>0</v>
      </c>
      <c r="AD1411" s="625">
        <v>0</v>
      </c>
      <c r="AE1411" s="625">
        <v>0</v>
      </c>
      <c r="AF1411" s="625">
        <v>0</v>
      </c>
      <c r="AG1411" s="625">
        <v>0</v>
      </c>
      <c r="AH1411" s="625">
        <v>0</v>
      </c>
      <c r="AI1411" s="625">
        <v>0</v>
      </c>
      <c r="AJ1411" s="625">
        <v>0</v>
      </c>
      <c r="AK1411" s="625">
        <v>0</v>
      </c>
      <c r="AL1411" s="625">
        <v>0</v>
      </c>
      <c r="AM1411" s="625">
        <v>0</v>
      </c>
      <c r="AN1411" s="625">
        <v>0</v>
      </c>
      <c r="AO1411" s="625">
        <v>0</v>
      </c>
      <c r="AP1411" s="41" t="str">
        <f t="shared" si="646"/>
        <v>Def TaxR</v>
      </c>
      <c r="AQ1411" s="41" t="str">
        <f t="shared" si="647"/>
        <v>Def TaxRR11Gain/Loss on Reacquired Debt</v>
      </c>
      <c r="AR1411" s="41" t="str">
        <f t="shared" si="648"/>
        <v>R11Gain/Loss on Reacquired Debt</v>
      </c>
    </row>
    <row r="1412" spans="1:44" s="41" customFormat="1" ht="12.75" customHeight="1">
      <c r="A1412" s="25" t="s">
        <v>1590</v>
      </c>
      <c r="B1412" s="25" t="str">
        <f t="shared" si="651"/>
        <v>Def Tax190002283-032BT010088</v>
      </c>
      <c r="C1412" s="736">
        <v>190002</v>
      </c>
      <c r="D1412" s="735" t="s">
        <v>1650</v>
      </c>
      <c r="E1412" s="41" t="s">
        <v>1651</v>
      </c>
      <c r="F1412" s="41" t="str">
        <f t="shared" si="644"/>
        <v>ACCUM DEFERRED INC TAXES - FEDERAL - GAS</v>
      </c>
      <c r="G1412" s="41" t="s">
        <v>1652</v>
      </c>
      <c r="H1412" s="736" t="s">
        <v>1586</v>
      </c>
      <c r="I1412" s="25"/>
      <c r="J1412" s="25" t="str">
        <f t="shared" si="645"/>
        <v/>
      </c>
      <c r="K1412" s="442" t="str">
        <f t="shared" si="652"/>
        <v/>
      </c>
      <c r="L1412" s="736" t="s">
        <v>2443</v>
      </c>
      <c r="M1412" s="25" t="str">
        <f t="shared" si="679"/>
        <v>R</v>
      </c>
      <c r="N1412" s="25" t="str">
        <f>IF(L1412&lt;&gt;"",VLOOKUP(L1412,Categories!$B$2:$D$41,2,FALSE),IF(F1412&lt;&gt;"","No Cat",""))</f>
        <v>Rate Base</v>
      </c>
      <c r="O1412" s="25" t="str">
        <f>IF($L1412&lt;&gt;"",VLOOKUP($L1412,Categories!$B$2:$D$41,3,FALSE),IF($F1412&lt;&gt;"","No Cat",""))</f>
        <v>Deferred Income Taxes</v>
      </c>
      <c r="P1412" s="736" t="s">
        <v>2483</v>
      </c>
      <c r="Q1412" s="25" t="str">
        <f>VLOOKUP($P1412,Allocators!$B$7:$F$19,5,FALSE)</f>
        <v>Gas</v>
      </c>
      <c r="R1412" s="737">
        <f>VLOOKUP($P1412,Allocators!$B$7:$F$19,2,FALSE)</f>
        <v>0</v>
      </c>
      <c r="S1412" s="737">
        <f>VLOOKUP($P1412,Allocators!$B$7:$F$19,3,FALSE)</f>
        <v>1</v>
      </c>
      <c r="T1412" s="737" t="str">
        <f t="shared" si="670"/>
        <v>0.0%</v>
      </c>
      <c r="U1412" s="2" t="str">
        <f t="shared" si="664"/>
        <v/>
      </c>
      <c r="V1412" s="2" t="str">
        <f t="shared" si="665"/>
        <v/>
      </c>
      <c r="W1412" s="2" t="str">
        <f t="shared" si="666"/>
        <v/>
      </c>
      <c r="X1412" s="2">
        <f t="shared" si="649"/>
        <v>0</v>
      </c>
      <c r="Y1412" s="2" t="str">
        <f t="shared" si="667"/>
        <v/>
      </c>
      <c r="Z1412" s="2" t="str">
        <f t="shared" si="668"/>
        <v/>
      </c>
      <c r="AA1412" s="2" t="str">
        <f t="shared" si="669"/>
        <v/>
      </c>
      <c r="AB1412" s="2">
        <f t="shared" si="650"/>
        <v>0</v>
      </c>
      <c r="AC1412" s="625">
        <v>0</v>
      </c>
      <c r="AD1412" s="625">
        <v>0</v>
      </c>
      <c r="AE1412" s="625">
        <v>0</v>
      </c>
      <c r="AF1412" s="625">
        <v>0</v>
      </c>
      <c r="AG1412" s="625">
        <v>0</v>
      </c>
      <c r="AH1412" s="625">
        <v>0</v>
      </c>
      <c r="AI1412" s="625">
        <v>0</v>
      </c>
      <c r="AJ1412" s="625">
        <v>0</v>
      </c>
      <c r="AK1412" s="625">
        <v>0</v>
      </c>
      <c r="AL1412" s="625">
        <v>0</v>
      </c>
      <c r="AM1412" s="625">
        <v>0</v>
      </c>
      <c r="AN1412" s="625">
        <v>0</v>
      </c>
      <c r="AO1412" s="625">
        <v>0</v>
      </c>
      <c r="AP1412" s="41" t="str">
        <f t="shared" si="646"/>
        <v>Def TaxR</v>
      </c>
      <c r="AQ1412" s="41" t="str">
        <f t="shared" si="647"/>
        <v>Def TaxRR11FAS 112</v>
      </c>
      <c r="AR1412" s="41" t="str">
        <f t="shared" si="648"/>
        <v>R11FAS 112</v>
      </c>
    </row>
    <row r="1413" spans="1:44" s="41" customFormat="1" ht="12.75" customHeight="1">
      <c r="A1413" s="442" t="s">
        <v>1590</v>
      </c>
      <c r="B1413" s="442" t="str">
        <f t="shared" si="651"/>
        <v>Def Tax190002Severance-StateBT010211</v>
      </c>
      <c r="C1413" s="736">
        <v>190002</v>
      </c>
      <c r="D1413" s="735" t="s">
        <v>1702</v>
      </c>
      <c r="E1413" s="626" t="s">
        <v>1703</v>
      </c>
      <c r="F1413" s="626" t="str">
        <f t="shared" si="644"/>
        <v>ACCUM DEFERRED INC TAXES - FEDERAL - GAS</v>
      </c>
      <c r="G1413" s="626" t="s">
        <v>1704</v>
      </c>
      <c r="H1413" s="736" t="s">
        <v>1705</v>
      </c>
      <c r="I1413" s="442"/>
      <c r="J1413" s="442" t="str">
        <f t="shared" si="645"/>
        <v/>
      </c>
      <c r="K1413" s="442" t="str">
        <f t="shared" si="652"/>
        <v/>
      </c>
      <c r="L1413" s="736" t="s">
        <v>2421</v>
      </c>
      <c r="M1413" s="442" t="str">
        <f t="shared" si="679"/>
        <v>N</v>
      </c>
      <c r="N1413" s="442" t="str">
        <f>IF(L1413&lt;&gt;"",VLOOKUP(L1413,Categories!$B$2:$D$41,2,FALSE),IF(F1413&lt;&gt;"","No Cat",""))</f>
        <v>NRBASE</v>
      </c>
      <c r="O1413" s="442" t="str">
        <f>IF($L1413&lt;&gt;"",VLOOKUP($L1413,Categories!$B$2:$D$41,3,FALSE),IF($F1413&lt;&gt;"","No Cat",""))</f>
        <v>Direct Assign Items Not in RB</v>
      </c>
      <c r="P1413" s="736" t="s">
        <v>2468</v>
      </c>
      <c r="Q1413" s="442" t="str">
        <f>VLOOKUP($P1413,Allocators!$B$7:$F$19,5,FALSE)</f>
        <v>Not in Rate Base</v>
      </c>
      <c r="R1413" s="737">
        <f>VLOOKUP($P1413,Allocators!$B$7:$F$19,2,FALSE)</f>
        <v>0</v>
      </c>
      <c r="S1413" s="737">
        <f>VLOOKUP($P1413,Allocators!$B$7:$F$19,3,FALSE)</f>
        <v>0</v>
      </c>
      <c r="T1413" s="737">
        <f t="shared" si="670"/>
        <v>1</v>
      </c>
      <c r="U1413" s="2" t="str">
        <f t="shared" si="664"/>
        <v/>
      </c>
      <c r="V1413" s="2" t="str">
        <f t="shared" si="665"/>
        <v/>
      </c>
      <c r="W1413" s="2" t="str">
        <f t="shared" si="666"/>
        <v/>
      </c>
      <c r="X1413" s="2">
        <f t="shared" si="649"/>
        <v>0</v>
      </c>
      <c r="Y1413" s="2" t="str">
        <f t="shared" si="667"/>
        <v/>
      </c>
      <c r="Z1413" s="2" t="str">
        <f t="shared" si="668"/>
        <v/>
      </c>
      <c r="AA1413" s="2" t="str">
        <f t="shared" si="669"/>
        <v/>
      </c>
      <c r="AB1413" s="2">
        <f t="shared" si="650"/>
        <v>0</v>
      </c>
      <c r="AC1413" s="625">
        <v>0</v>
      </c>
      <c r="AD1413" s="625">
        <v>0</v>
      </c>
      <c r="AE1413" s="625">
        <v>0</v>
      </c>
      <c r="AF1413" s="625">
        <v>0</v>
      </c>
      <c r="AG1413" s="625">
        <v>0</v>
      </c>
      <c r="AH1413" s="625">
        <v>0</v>
      </c>
      <c r="AI1413" s="625">
        <v>0</v>
      </c>
      <c r="AJ1413" s="625">
        <v>0</v>
      </c>
      <c r="AK1413" s="625">
        <v>0</v>
      </c>
      <c r="AL1413" s="625">
        <v>0</v>
      </c>
      <c r="AM1413" s="625">
        <v>0</v>
      </c>
      <c r="AN1413" s="625">
        <v>0</v>
      </c>
      <c r="AO1413" s="625">
        <v>0</v>
      </c>
      <c r="AP1413" s="41" t="str">
        <f t="shared" si="646"/>
        <v>Def TaxN</v>
      </c>
      <c r="AQ1413" s="41" t="str">
        <f t="shared" si="647"/>
        <v>Def TaxNN2Iberdrola Merger Severance</v>
      </c>
      <c r="AR1413" s="41" t="str">
        <f t="shared" si="648"/>
        <v>N2Iberdrola Merger Severance</v>
      </c>
    </row>
    <row r="1414" spans="1:44" s="41" customFormat="1" ht="12.75" customHeight="1">
      <c r="A1414" s="442" t="s">
        <v>1590</v>
      </c>
      <c r="B1414" s="442" t="str">
        <f t="shared" si="651"/>
        <v>Def Tax190002AROBT010303</v>
      </c>
      <c r="C1414" s="736">
        <v>190002</v>
      </c>
      <c r="D1414" s="735" t="s">
        <v>1613</v>
      </c>
      <c r="E1414" s="626" t="s">
        <v>1614</v>
      </c>
      <c r="F1414" s="626" t="str">
        <f t="shared" si="644"/>
        <v>ACCUM DEFERRED INC TAXES - FEDERAL - GAS</v>
      </c>
      <c r="G1414" s="626" t="s">
        <v>1615</v>
      </c>
      <c r="H1414" s="736" t="s">
        <v>1138</v>
      </c>
      <c r="I1414" s="442"/>
      <c r="J1414" s="442" t="str">
        <f t="shared" si="645"/>
        <v/>
      </c>
      <c r="K1414" s="442" t="str">
        <f t="shared" si="652"/>
        <v/>
      </c>
      <c r="L1414" s="736" t="s">
        <v>2421</v>
      </c>
      <c r="M1414" s="442" t="str">
        <f t="shared" si="679"/>
        <v>N</v>
      </c>
      <c r="N1414" s="442" t="str">
        <f>IF(L1414&lt;&gt;"",VLOOKUP(L1414,Categories!$B$2:$D$41,2,FALSE),IF(F1414&lt;&gt;"","No Cat",""))</f>
        <v>NRBASE</v>
      </c>
      <c r="O1414" s="442" t="str">
        <f>IF($L1414&lt;&gt;"",VLOOKUP($L1414,Categories!$B$2:$D$41,3,FALSE),IF($F1414&lt;&gt;"","No Cat",""))</f>
        <v>Direct Assign Items Not in RB</v>
      </c>
      <c r="P1414" s="736" t="s">
        <v>2468</v>
      </c>
      <c r="Q1414" s="442" t="str">
        <f>VLOOKUP($P1414,Allocators!$B$7:$F$19,5,FALSE)</f>
        <v>Not in Rate Base</v>
      </c>
      <c r="R1414" s="737">
        <f>VLOOKUP($P1414,Allocators!$B$7:$F$19,2,FALSE)</f>
        <v>0</v>
      </c>
      <c r="S1414" s="737">
        <f>VLOOKUP($P1414,Allocators!$B$7:$F$19,3,FALSE)</f>
        <v>0</v>
      </c>
      <c r="T1414" s="737">
        <f t="shared" si="670"/>
        <v>1</v>
      </c>
      <c r="U1414" s="2">
        <f t="shared" si="664"/>
        <v>0</v>
      </c>
      <c r="V1414" s="2">
        <f t="shared" si="665"/>
        <v>0</v>
      </c>
      <c r="W1414" s="2">
        <f t="shared" si="666"/>
        <v>-521.99727208333297</v>
      </c>
      <c r="X1414" s="2">
        <f t="shared" si="649"/>
        <v>-521.99727208333297</v>
      </c>
      <c r="Y1414" s="2">
        <f t="shared" si="667"/>
        <v>0</v>
      </c>
      <c r="Z1414" s="2">
        <f t="shared" si="668"/>
        <v>0</v>
      </c>
      <c r="AA1414" s="2">
        <f t="shared" si="669"/>
        <v>-523.08325000000002</v>
      </c>
      <c r="AB1414" s="2">
        <f t="shared" si="650"/>
        <v>-523.08325000000002</v>
      </c>
      <c r="AC1414" s="625">
        <v>-535.84097999999994</v>
      </c>
      <c r="AD1414" s="625">
        <v>-533.15393999999992</v>
      </c>
      <c r="AE1414" s="625">
        <v>-530.45530000000008</v>
      </c>
      <c r="AF1414" s="625">
        <v>-527.74500999999998</v>
      </c>
      <c r="AG1414" s="625">
        <v>-525.02298999999994</v>
      </c>
      <c r="AH1414" s="625">
        <v>-522.28922</v>
      </c>
      <c r="AI1414" s="625">
        <v>-519.54360999999994</v>
      </c>
      <c r="AJ1414" s="625">
        <v>-516.78616</v>
      </c>
      <c r="AK1414" s="625">
        <v>-514.01675999999998</v>
      </c>
      <c r="AL1414" s="625">
        <v>-511.23541</v>
      </c>
      <c r="AM1414" s="625">
        <v>-508.44202000000001</v>
      </c>
      <c r="AN1414" s="625">
        <v>-525.81472999999994</v>
      </c>
      <c r="AO1414" s="625">
        <v>-523.08325000000002</v>
      </c>
      <c r="AP1414" s="41" t="str">
        <f t="shared" si="646"/>
        <v>Def TaxN</v>
      </c>
      <c r="AQ1414" s="41" t="str">
        <f t="shared" si="647"/>
        <v>Def TaxNN2Asset Retirement Obligation</v>
      </c>
      <c r="AR1414" s="41" t="str">
        <f t="shared" si="648"/>
        <v>N2Asset Retirement Obligation</v>
      </c>
    </row>
    <row r="1415" spans="1:44" s="41" customFormat="1" ht="12.75" customHeight="1">
      <c r="A1415" s="442" t="s">
        <v>1590</v>
      </c>
      <c r="B1415" s="442" t="str">
        <f t="shared" si="651"/>
        <v>Def Tax190002FAS 133 RelatedBT010328</v>
      </c>
      <c r="C1415" s="736">
        <v>190002</v>
      </c>
      <c r="D1415" s="735" t="s">
        <v>1594</v>
      </c>
      <c r="E1415" s="626" t="s">
        <v>1776</v>
      </c>
      <c r="F1415" s="626" t="str">
        <f t="shared" si="644"/>
        <v>ACCUM DEFERRED INC TAXES - FEDERAL - GAS</v>
      </c>
      <c r="G1415" s="626" t="s">
        <v>1777</v>
      </c>
      <c r="H1415" s="736" t="s">
        <v>1594</v>
      </c>
      <c r="I1415" s="442"/>
      <c r="J1415" s="442" t="str">
        <f t="shared" si="645"/>
        <v/>
      </c>
      <c r="K1415" s="442" t="str">
        <f t="shared" si="652"/>
        <v/>
      </c>
      <c r="L1415" s="736" t="s">
        <v>2427</v>
      </c>
      <c r="M1415" s="442" t="str">
        <f t="shared" si="679"/>
        <v>N</v>
      </c>
      <c r="N1415" s="442" t="str">
        <f>IF(L1415&lt;&gt;"",VLOOKUP(L1415,Categories!$B$2:$D$41,2,FALSE),IF(F1415&lt;&gt;"","No Cat",""))</f>
        <v>NRBASE</v>
      </c>
      <c r="O1415" s="442" t="str">
        <f>IF($L1415&lt;&gt;"",VLOOKUP($L1415,Categories!$B$2:$D$41,3,FALSE),IF($F1415&lt;&gt;"","No Cat",""))</f>
        <v>Hedges &amp; OCI</v>
      </c>
      <c r="P1415" s="736" t="s">
        <v>2468</v>
      </c>
      <c r="Q1415" s="442" t="str">
        <f>VLOOKUP($P1415,Allocators!$B$7:$F$19,5,FALSE)</f>
        <v>Not in Rate Base</v>
      </c>
      <c r="R1415" s="737">
        <f>VLOOKUP($P1415,Allocators!$B$7:$F$19,2,FALSE)</f>
        <v>0</v>
      </c>
      <c r="S1415" s="737">
        <f>VLOOKUP($P1415,Allocators!$B$7:$F$19,3,FALSE)</f>
        <v>0</v>
      </c>
      <c r="T1415" s="737">
        <f t="shared" si="670"/>
        <v>1</v>
      </c>
      <c r="U1415" s="2">
        <f t="shared" si="664"/>
        <v>0</v>
      </c>
      <c r="V1415" s="2">
        <f t="shared" si="665"/>
        <v>0</v>
      </c>
      <c r="W1415" s="2">
        <f t="shared" si="666"/>
        <v>2255.5771320833301</v>
      </c>
      <c r="X1415" s="2">
        <f t="shared" si="649"/>
        <v>2255.5771320833301</v>
      </c>
      <c r="Y1415" s="2">
        <f t="shared" si="667"/>
        <v>0</v>
      </c>
      <c r="Z1415" s="2">
        <f t="shared" si="668"/>
        <v>0</v>
      </c>
      <c r="AA1415" s="2">
        <f t="shared" si="669"/>
        <v>2942.47426</v>
      </c>
      <c r="AB1415" s="2">
        <f t="shared" si="650"/>
        <v>2942.47426</v>
      </c>
      <c r="AC1415" s="625">
        <v>2157.5719100000001</v>
      </c>
      <c r="AD1415" s="625">
        <v>2157.5719100000001</v>
      </c>
      <c r="AE1415" s="625">
        <v>2157.5719100000001</v>
      </c>
      <c r="AF1415" s="625">
        <v>2157.5719100000001</v>
      </c>
      <c r="AG1415" s="625">
        <v>2157.5719100000001</v>
      </c>
      <c r="AH1415" s="625">
        <v>2157.5719100000001</v>
      </c>
      <c r="AI1415" s="625">
        <v>2157.5719100000001</v>
      </c>
      <c r="AJ1415" s="625">
        <v>2352.1481699999999</v>
      </c>
      <c r="AK1415" s="625">
        <v>2210.4217899999999</v>
      </c>
      <c r="AL1415" s="625">
        <v>2216.1086600000003</v>
      </c>
      <c r="AM1415" s="625">
        <v>2465.8076099999998</v>
      </c>
      <c r="AN1415" s="625">
        <v>2326.9848099999999</v>
      </c>
      <c r="AO1415" s="625">
        <v>2942.47426</v>
      </c>
      <c r="AP1415" s="41" t="str">
        <f t="shared" si="646"/>
        <v>Def TaxN</v>
      </c>
      <c r="AQ1415" s="41" t="str">
        <f t="shared" si="647"/>
        <v>Def TaxNN5FAS 133 Related</v>
      </c>
      <c r="AR1415" s="41" t="str">
        <f t="shared" si="648"/>
        <v>N5FAS 133 Related</v>
      </c>
    </row>
    <row r="1416" spans="1:44" s="41" customFormat="1" ht="12.75" customHeight="1">
      <c r="A1416" s="442" t="s">
        <v>1590</v>
      </c>
      <c r="B1416" s="442" t="str">
        <f t="shared" si="651"/>
        <v>Def Tax190002Cap ExBDEFAULT</v>
      </c>
      <c r="C1416" s="736">
        <v>190002</v>
      </c>
      <c r="D1416" s="735" t="s">
        <v>1619</v>
      </c>
      <c r="E1416" s="626" t="s">
        <v>1620</v>
      </c>
      <c r="F1416" s="626" t="str">
        <f t="shared" si="644"/>
        <v>ACCUM DEFERRED INC TAXES - FEDERAL - GAS</v>
      </c>
      <c r="G1416" s="626" t="s">
        <v>1621</v>
      </c>
      <c r="H1416" s="736" t="s">
        <v>1622</v>
      </c>
      <c r="I1416" s="442"/>
      <c r="J1416" s="442" t="str">
        <f t="shared" si="645"/>
        <v/>
      </c>
      <c r="K1416" s="442" t="str">
        <f t="shared" si="652"/>
        <v/>
      </c>
      <c r="L1416" s="736" t="s">
        <v>2421</v>
      </c>
      <c r="M1416" s="442" t="str">
        <f t="shared" si="679"/>
        <v>N</v>
      </c>
      <c r="N1416" s="442" t="str">
        <f>IF(L1416&lt;&gt;"",VLOOKUP(L1416,Categories!$B$2:$D$41,2,FALSE),IF(F1416&lt;&gt;"","No Cat",""))</f>
        <v>NRBASE</v>
      </c>
      <c r="O1416" s="442" t="str">
        <f>IF($L1416&lt;&gt;"",VLOOKUP($L1416,Categories!$B$2:$D$41,3,FALSE),IF($F1416&lt;&gt;"","No Cat",""))</f>
        <v>Direct Assign Items Not in RB</v>
      </c>
      <c r="P1416" s="736" t="s">
        <v>2468</v>
      </c>
      <c r="Q1416" s="442" t="str">
        <f>VLOOKUP($P1416,Allocators!$B$7:$F$19,5,FALSE)</f>
        <v>Not in Rate Base</v>
      </c>
      <c r="R1416" s="737">
        <f>VLOOKUP($P1416,Allocators!$B$7:$F$19,2,FALSE)</f>
        <v>0</v>
      </c>
      <c r="S1416" s="737">
        <f>VLOOKUP($P1416,Allocators!$B$7:$F$19,3,FALSE)</f>
        <v>0</v>
      </c>
      <c r="T1416" s="737">
        <f t="shared" si="670"/>
        <v>1</v>
      </c>
      <c r="U1416" s="2" t="str">
        <f t="shared" si="664"/>
        <v/>
      </c>
      <c r="V1416" s="2" t="str">
        <f t="shared" si="665"/>
        <v/>
      </c>
      <c r="W1416" s="2" t="str">
        <f t="shared" si="666"/>
        <v/>
      </c>
      <c r="X1416" s="2">
        <f t="shared" si="649"/>
        <v>0</v>
      </c>
      <c r="Y1416" s="2" t="str">
        <f t="shared" si="667"/>
        <v/>
      </c>
      <c r="Z1416" s="2" t="str">
        <f t="shared" si="668"/>
        <v/>
      </c>
      <c r="AA1416" s="2" t="str">
        <f t="shared" si="669"/>
        <v/>
      </c>
      <c r="AB1416" s="2">
        <f t="shared" si="650"/>
        <v>0</v>
      </c>
      <c r="AC1416" s="625">
        <v>0</v>
      </c>
      <c r="AD1416" s="625">
        <v>0</v>
      </c>
      <c r="AE1416" s="625">
        <v>0</v>
      </c>
      <c r="AF1416" s="625">
        <v>0</v>
      </c>
      <c r="AG1416" s="625">
        <v>0</v>
      </c>
      <c r="AH1416" s="625">
        <v>0</v>
      </c>
      <c r="AI1416" s="625">
        <v>0</v>
      </c>
      <c r="AJ1416" s="625">
        <v>0</v>
      </c>
      <c r="AK1416" s="625">
        <v>0</v>
      </c>
      <c r="AL1416" s="625">
        <v>0</v>
      </c>
      <c r="AM1416" s="625">
        <v>0</v>
      </c>
      <c r="AN1416" s="625">
        <v>0</v>
      </c>
      <c r="AO1416" s="625">
        <v>0</v>
      </c>
      <c r="AP1416" s="41" t="str">
        <f t="shared" ref="AP1416:AP1479" si="681">CONCATENATE(A1416,M1416)</f>
        <v>Def TaxN</v>
      </c>
      <c r="AQ1416" s="41" t="str">
        <f t="shared" ref="AQ1416:AQ1479" si="682">CONCATENATE(AP1416,L1416,H1416)</f>
        <v>Def TaxNN2Cap Ex Reserve</v>
      </c>
      <c r="AR1416" s="41" t="str">
        <f t="shared" ref="AR1416:AR1479" si="683">CONCATENATE(L1416,H1416,J1416)</f>
        <v>N2Cap Ex Reserve</v>
      </c>
    </row>
    <row r="1417" spans="1:44" s="41" customFormat="1" ht="12.75" customHeight="1">
      <c r="A1417" s="442" t="s">
        <v>1590</v>
      </c>
      <c r="B1417" s="442" t="str">
        <f t="shared" si="651"/>
        <v>Def Tax190002LTIBT010356</v>
      </c>
      <c r="C1417" s="736">
        <v>190002</v>
      </c>
      <c r="D1417" s="735" t="s">
        <v>1659</v>
      </c>
      <c r="E1417" s="626" t="s">
        <v>1660</v>
      </c>
      <c r="F1417" s="626" t="str">
        <f t="shared" si="644"/>
        <v>ACCUM DEFERRED INC TAXES - FEDERAL - GAS</v>
      </c>
      <c r="G1417" s="626" t="s">
        <v>1661</v>
      </c>
      <c r="H1417" s="736" t="s">
        <v>1661</v>
      </c>
      <c r="I1417" s="442"/>
      <c r="J1417" s="442" t="str">
        <f t="shared" si="645"/>
        <v/>
      </c>
      <c r="K1417" s="442" t="str">
        <f t="shared" si="652"/>
        <v/>
      </c>
      <c r="L1417" s="736" t="s">
        <v>2421</v>
      </c>
      <c r="M1417" s="442" t="str">
        <f t="shared" si="679"/>
        <v>N</v>
      </c>
      <c r="N1417" s="442" t="str">
        <f>IF(L1417&lt;&gt;"",VLOOKUP(L1417,Categories!$B$2:$D$41,2,FALSE),IF(F1417&lt;&gt;"","No Cat",""))</f>
        <v>NRBASE</v>
      </c>
      <c r="O1417" s="442" t="str">
        <f>IF($L1417&lt;&gt;"",VLOOKUP($L1417,Categories!$B$2:$D$41,3,FALSE),IF($F1417&lt;&gt;"","No Cat",""))</f>
        <v>Direct Assign Items Not in RB</v>
      </c>
      <c r="P1417" s="736" t="s">
        <v>2468</v>
      </c>
      <c r="Q1417" s="442" t="str">
        <f>VLOOKUP($P1417,Allocators!$B$7:$F$19,5,FALSE)</f>
        <v>Not in Rate Base</v>
      </c>
      <c r="R1417" s="737">
        <f>VLOOKUP($P1417,Allocators!$B$7:$F$19,2,FALSE)</f>
        <v>0</v>
      </c>
      <c r="S1417" s="737">
        <f>VLOOKUP($P1417,Allocators!$B$7:$F$19,3,FALSE)</f>
        <v>0</v>
      </c>
      <c r="T1417" s="737">
        <f t="shared" si="670"/>
        <v>1</v>
      </c>
      <c r="U1417" s="2" t="str">
        <f t="shared" si="664"/>
        <v/>
      </c>
      <c r="V1417" s="2" t="str">
        <f t="shared" si="665"/>
        <v/>
      </c>
      <c r="W1417" s="2" t="str">
        <f t="shared" si="666"/>
        <v/>
      </c>
      <c r="X1417" s="2">
        <f t="shared" si="649"/>
        <v>0</v>
      </c>
      <c r="Y1417" s="2" t="str">
        <f t="shared" si="667"/>
        <v/>
      </c>
      <c r="Z1417" s="2" t="str">
        <f t="shared" si="668"/>
        <v/>
      </c>
      <c r="AA1417" s="2" t="str">
        <f t="shared" si="669"/>
        <v/>
      </c>
      <c r="AB1417" s="2">
        <f t="shared" si="650"/>
        <v>0</v>
      </c>
      <c r="AC1417" s="625">
        <v>0</v>
      </c>
      <c r="AD1417" s="625">
        <v>0</v>
      </c>
      <c r="AE1417" s="625">
        <v>0</v>
      </c>
      <c r="AF1417" s="625">
        <v>0</v>
      </c>
      <c r="AG1417" s="625">
        <v>0</v>
      </c>
      <c r="AH1417" s="625">
        <v>0</v>
      </c>
      <c r="AI1417" s="625">
        <v>0</v>
      </c>
      <c r="AJ1417" s="625">
        <v>0</v>
      </c>
      <c r="AK1417" s="625">
        <v>0</v>
      </c>
      <c r="AL1417" s="625">
        <v>0</v>
      </c>
      <c r="AM1417" s="625">
        <v>0</v>
      </c>
      <c r="AN1417" s="625">
        <v>0</v>
      </c>
      <c r="AO1417" s="625">
        <v>0</v>
      </c>
      <c r="AP1417" s="41" t="str">
        <f t="shared" si="681"/>
        <v>Def TaxN</v>
      </c>
      <c r="AQ1417" s="41" t="str">
        <f t="shared" si="682"/>
        <v>Def TaxNN2Long Term Executive Incentive Plan</v>
      </c>
      <c r="AR1417" s="41" t="str">
        <f t="shared" si="683"/>
        <v>N2Long Term Executive Incentive Plan</v>
      </c>
    </row>
    <row r="1418" spans="1:44" s="41" customFormat="1" ht="12.75" customHeight="1">
      <c r="A1418" s="442" t="s">
        <v>1590</v>
      </c>
      <c r="B1418" s="442" t="str">
        <f t="shared" ref="B1418" si="684">CONCATENATE(A1418,C1418,D1418,E1418)</f>
        <v>Def Tax190002Reg ReserveBT010371</v>
      </c>
      <c r="C1418" s="736">
        <v>190002</v>
      </c>
      <c r="D1418" s="735" t="s">
        <v>1852</v>
      </c>
      <c r="E1418" s="626" t="s">
        <v>4116</v>
      </c>
      <c r="F1418" s="626" t="str">
        <f t="shared" si="644"/>
        <v>ACCUM DEFERRED INC TAXES - FEDERAL - GAS</v>
      </c>
      <c r="G1418" s="626" t="s">
        <v>1853</v>
      </c>
      <c r="H1418" s="736" t="s">
        <v>1583</v>
      </c>
      <c r="I1418" s="442"/>
      <c r="J1418" s="442" t="str">
        <f t="shared" ref="J1418" si="685">IF(L1418="N10","Y",IF(L1418="N8","Y",""))</f>
        <v/>
      </c>
      <c r="K1418" s="442" t="str">
        <f t="shared" si="652"/>
        <v/>
      </c>
      <c r="L1418" s="736" t="s">
        <v>2421</v>
      </c>
      <c r="M1418" s="442" t="str">
        <f t="shared" ref="M1418" si="686">LEFT(L1418,1)</f>
        <v>N</v>
      </c>
      <c r="N1418" s="442" t="str">
        <f>IF(L1418&lt;&gt;"",VLOOKUP(L1418,Categories!$B$2:$D$41,2,FALSE),IF(F1418&lt;&gt;"","No Cat",""))</f>
        <v>NRBASE</v>
      </c>
      <c r="O1418" s="442" t="str">
        <f>IF($L1418&lt;&gt;"",VLOOKUP($L1418,Categories!$B$2:$D$41,3,FALSE),IF($F1418&lt;&gt;"","No Cat",""))</f>
        <v>Direct Assign Items Not in RB</v>
      </c>
      <c r="P1418" s="736" t="s">
        <v>2468</v>
      </c>
      <c r="Q1418" s="442" t="str">
        <f>VLOOKUP($P1418,Allocators!$B$7:$F$19,5,FALSE)</f>
        <v>Not in Rate Base</v>
      </c>
      <c r="R1418" s="737">
        <f>VLOOKUP($P1418,Allocators!$B$7:$F$19,2,FALSE)</f>
        <v>0</v>
      </c>
      <c r="S1418" s="737">
        <f>VLOOKUP($P1418,Allocators!$B$7:$F$19,3,FALSE)</f>
        <v>0</v>
      </c>
      <c r="T1418" s="737">
        <f t="shared" ref="T1418" si="687">IF(P1418="N",1,"0.0%")</f>
        <v>1</v>
      </c>
      <c r="U1418" s="2">
        <f t="shared" si="664"/>
        <v>0</v>
      </c>
      <c r="V1418" s="2">
        <f t="shared" si="665"/>
        <v>0</v>
      </c>
      <c r="W1418" s="2">
        <f t="shared" si="666"/>
        <v>74.513541666666598</v>
      </c>
      <c r="X1418" s="2">
        <f t="shared" si="649"/>
        <v>74.513541666666598</v>
      </c>
      <c r="Y1418" s="2">
        <f t="shared" si="667"/>
        <v>0</v>
      </c>
      <c r="Z1418" s="2">
        <f t="shared" si="668"/>
        <v>0</v>
      </c>
      <c r="AA1418" s="2">
        <f t="shared" si="669"/>
        <v>97.545000000000002</v>
      </c>
      <c r="AB1418" s="2">
        <f t="shared" si="650"/>
        <v>97.545000000000002</v>
      </c>
      <c r="AC1418" s="625">
        <v>65.03</v>
      </c>
      <c r="AD1418" s="625">
        <v>65.03</v>
      </c>
      <c r="AE1418" s="625">
        <v>65.03</v>
      </c>
      <c r="AF1418" s="625">
        <v>65.03</v>
      </c>
      <c r="AG1418" s="625">
        <v>65.03</v>
      </c>
      <c r="AH1418" s="625">
        <v>65.03</v>
      </c>
      <c r="AI1418" s="625">
        <v>65.03</v>
      </c>
      <c r="AJ1418" s="625">
        <v>65.03</v>
      </c>
      <c r="AK1418" s="625">
        <v>65.03</v>
      </c>
      <c r="AL1418" s="625">
        <v>97.545000000000002</v>
      </c>
      <c r="AM1418" s="625">
        <v>97.545000000000002</v>
      </c>
      <c r="AN1418" s="625">
        <v>97.545000000000002</v>
      </c>
      <c r="AO1418" s="625">
        <v>97.545000000000002</v>
      </c>
      <c r="AP1418" s="41" t="str">
        <f t="shared" si="681"/>
        <v>Def TaxN</v>
      </c>
      <c r="AQ1418" s="41" t="str">
        <f t="shared" si="682"/>
        <v>Def TaxNN2Regulatory Reserve</v>
      </c>
      <c r="AR1418" s="41" t="str">
        <f t="shared" si="683"/>
        <v>N2Regulatory Reserve</v>
      </c>
    </row>
    <row r="1419" spans="1:44" s="41" customFormat="1" ht="12.75" customHeight="1">
      <c r="A1419" s="25" t="s">
        <v>1590</v>
      </c>
      <c r="B1419" s="25" t="str">
        <f t="shared" si="651"/>
        <v>Def Tax190002BT010381</v>
      </c>
      <c r="C1419" s="736">
        <v>190002</v>
      </c>
      <c r="D1419" s="735"/>
      <c r="E1419" s="41" t="s">
        <v>1665</v>
      </c>
      <c r="F1419" s="41" t="str">
        <f t="shared" si="644"/>
        <v>ACCUM DEFERRED INC TAXES - FEDERAL - GAS</v>
      </c>
      <c r="G1419" s="41" t="s">
        <v>1666</v>
      </c>
      <c r="H1419" s="736" t="s">
        <v>1118</v>
      </c>
      <c r="I1419" s="25"/>
      <c r="J1419" s="25" t="str">
        <f t="shared" si="645"/>
        <v/>
      </c>
      <c r="K1419" s="442" t="str">
        <f t="shared" si="652"/>
        <v/>
      </c>
      <c r="L1419" s="736" t="s">
        <v>2443</v>
      </c>
      <c r="M1419" s="25" t="str">
        <f t="shared" si="679"/>
        <v>R</v>
      </c>
      <c r="N1419" s="25" t="str">
        <f>IF(L1419&lt;&gt;"",VLOOKUP(L1419,Categories!$B$2:$D$41,2,FALSE),IF(F1419&lt;&gt;"","No Cat",""))</f>
        <v>Rate Base</v>
      </c>
      <c r="O1419" s="25" t="str">
        <f>IF($L1419&lt;&gt;"",VLOOKUP($L1419,Categories!$B$2:$D$41,3,FALSE),IF($F1419&lt;&gt;"","No Cat",""))</f>
        <v>Deferred Income Taxes</v>
      </c>
      <c r="P1419" s="736" t="s">
        <v>2483</v>
      </c>
      <c r="Q1419" s="25" t="str">
        <f>VLOOKUP($P1419,Allocators!$B$7:$F$19,5,FALSE)</f>
        <v>Gas</v>
      </c>
      <c r="R1419" s="737">
        <f>VLOOKUP($P1419,Allocators!$B$7:$F$19,2,FALSE)</f>
        <v>0</v>
      </c>
      <c r="S1419" s="737">
        <f>VLOOKUP($P1419,Allocators!$B$7:$F$19,3,FALSE)</f>
        <v>1</v>
      </c>
      <c r="T1419" s="737" t="str">
        <f t="shared" si="670"/>
        <v>0.0%</v>
      </c>
      <c r="U1419" s="2" t="str">
        <f t="shared" si="664"/>
        <v/>
      </c>
      <c r="V1419" s="2" t="str">
        <f t="shared" si="665"/>
        <v/>
      </c>
      <c r="W1419" s="2" t="str">
        <f t="shared" si="666"/>
        <v/>
      </c>
      <c r="X1419" s="2">
        <f t="shared" si="649"/>
        <v>0</v>
      </c>
      <c r="Y1419" s="2" t="str">
        <f t="shared" si="667"/>
        <v/>
      </c>
      <c r="Z1419" s="2" t="str">
        <f t="shared" si="668"/>
        <v/>
      </c>
      <c r="AA1419" s="2" t="str">
        <f t="shared" si="669"/>
        <v/>
      </c>
      <c r="AB1419" s="2">
        <f t="shared" si="650"/>
        <v>0</v>
      </c>
      <c r="AC1419" s="625">
        <v>0</v>
      </c>
      <c r="AD1419" s="625">
        <v>0</v>
      </c>
      <c r="AE1419" s="625">
        <v>0</v>
      </c>
      <c r="AF1419" s="625">
        <v>0</v>
      </c>
      <c r="AG1419" s="625">
        <v>0</v>
      </c>
      <c r="AH1419" s="625">
        <v>0</v>
      </c>
      <c r="AI1419" s="625">
        <v>0</v>
      </c>
      <c r="AJ1419" s="625">
        <v>0</v>
      </c>
      <c r="AK1419" s="625">
        <v>0</v>
      </c>
      <c r="AL1419" s="625">
        <v>0</v>
      </c>
      <c r="AM1419" s="625">
        <v>0</v>
      </c>
      <c r="AN1419" s="625">
        <v>0</v>
      </c>
      <c r="AO1419" s="625">
        <v>0</v>
      </c>
      <c r="AP1419" s="41" t="str">
        <f t="shared" si="681"/>
        <v>Def TaxR</v>
      </c>
      <c r="AQ1419" s="41" t="str">
        <f t="shared" si="682"/>
        <v>Def TaxRR11Medicare Part D</v>
      </c>
      <c r="AR1419" s="41" t="str">
        <f t="shared" si="683"/>
        <v>R11Medicare Part D</v>
      </c>
    </row>
    <row r="1420" spans="1:44" s="41" customFormat="1" ht="12.75" customHeight="1">
      <c r="A1420" s="25" t="s">
        <v>1590</v>
      </c>
      <c r="B1420" s="25" t="str">
        <f t="shared" si="651"/>
        <v>Def Tax190002R&amp;D DeferralBT010177</v>
      </c>
      <c r="C1420" s="736">
        <v>190002</v>
      </c>
      <c r="D1420" s="735" t="s">
        <v>1683</v>
      </c>
      <c r="E1420" s="41" t="s">
        <v>1684</v>
      </c>
      <c r="F1420" s="41" t="str">
        <f t="shared" ref="F1420:F1483" si="688">VLOOKUP(C1420,$C$7:$F$787,4,FALSE)</f>
        <v>ACCUM DEFERRED INC TAXES - FEDERAL - GAS</v>
      </c>
      <c r="G1420" s="41" t="s">
        <v>1685</v>
      </c>
      <c r="H1420" s="736" t="s">
        <v>1124</v>
      </c>
      <c r="I1420" s="25"/>
      <c r="J1420" s="25" t="str">
        <f t="shared" si="645"/>
        <v/>
      </c>
      <c r="K1420" s="442" t="str">
        <f t="shared" si="652"/>
        <v/>
      </c>
      <c r="L1420" s="736" t="s">
        <v>2443</v>
      </c>
      <c r="M1420" s="25" t="str">
        <f t="shared" si="679"/>
        <v>R</v>
      </c>
      <c r="N1420" s="25" t="str">
        <f>IF(L1420&lt;&gt;"",VLOOKUP(L1420,Categories!$B$2:$D$41,2,FALSE),IF(F1420&lt;&gt;"","No Cat",""))</f>
        <v>Rate Base</v>
      </c>
      <c r="O1420" s="25" t="str">
        <f>IF($L1420&lt;&gt;"",VLOOKUP($L1420,Categories!$B$2:$D$41,3,FALSE),IF($F1420&lt;&gt;"","No Cat",""))</f>
        <v>Deferred Income Taxes</v>
      </c>
      <c r="P1420" s="736" t="s">
        <v>2483</v>
      </c>
      <c r="Q1420" s="25" t="str">
        <f>VLOOKUP($P1420,Allocators!$B$7:$F$19,5,FALSE)</f>
        <v>Gas</v>
      </c>
      <c r="R1420" s="737">
        <f>VLOOKUP($P1420,Allocators!$B$7:$F$19,2,FALSE)</f>
        <v>0</v>
      </c>
      <c r="S1420" s="737">
        <f>VLOOKUP($P1420,Allocators!$B$7:$F$19,3,FALSE)</f>
        <v>1</v>
      </c>
      <c r="T1420" s="737" t="str">
        <f t="shared" si="670"/>
        <v>0.0%</v>
      </c>
      <c r="U1420" s="2">
        <f t="shared" si="664"/>
        <v>0</v>
      </c>
      <c r="V1420" s="2">
        <f t="shared" si="665"/>
        <v>315.10399999999998</v>
      </c>
      <c r="W1420" s="2">
        <f t="shared" si="666"/>
        <v>0</v>
      </c>
      <c r="X1420" s="2">
        <f t="shared" si="649"/>
        <v>315.10399999999998</v>
      </c>
      <c r="Y1420" s="2">
        <f t="shared" si="667"/>
        <v>0</v>
      </c>
      <c r="Z1420" s="2">
        <f t="shared" si="668"/>
        <v>315.10399999999998</v>
      </c>
      <c r="AA1420" s="2">
        <f t="shared" si="669"/>
        <v>0</v>
      </c>
      <c r="AB1420" s="2">
        <f t="shared" si="650"/>
        <v>315.10399999999998</v>
      </c>
      <c r="AC1420" s="625">
        <v>315.10399999999998</v>
      </c>
      <c r="AD1420" s="625">
        <v>315.10399999999998</v>
      </c>
      <c r="AE1420" s="625">
        <v>315.10399999999998</v>
      </c>
      <c r="AF1420" s="625">
        <v>315.10399999999998</v>
      </c>
      <c r="AG1420" s="625">
        <v>315.10399999999998</v>
      </c>
      <c r="AH1420" s="625">
        <v>315.10399999999998</v>
      </c>
      <c r="AI1420" s="625">
        <v>315.10399999999998</v>
      </c>
      <c r="AJ1420" s="625">
        <v>315.10399999999998</v>
      </c>
      <c r="AK1420" s="625">
        <v>315.10399999999998</v>
      </c>
      <c r="AL1420" s="625">
        <v>315.10399999999998</v>
      </c>
      <c r="AM1420" s="625">
        <v>315.10399999999998</v>
      </c>
      <c r="AN1420" s="625">
        <v>315.10399999999998</v>
      </c>
      <c r="AO1420" s="625">
        <v>315.10399999999998</v>
      </c>
      <c r="AP1420" s="41" t="str">
        <f t="shared" si="681"/>
        <v>Def TaxR</v>
      </c>
      <c r="AQ1420" s="41" t="str">
        <f t="shared" si="682"/>
        <v>Def TaxRR11R&amp;D Tax Credit Deferral</v>
      </c>
      <c r="AR1420" s="41" t="str">
        <f t="shared" si="683"/>
        <v>R11R&amp;D Tax Credit Deferral</v>
      </c>
    </row>
    <row r="1421" spans="1:44" s="41" customFormat="1" ht="12.75" customHeight="1">
      <c r="A1421" s="25" t="s">
        <v>1590</v>
      </c>
      <c r="B1421" s="25" t="str">
        <f t="shared" si="651"/>
        <v>Def Tax190002MedicareBT010125</v>
      </c>
      <c r="C1421" s="736">
        <v>190002</v>
      </c>
      <c r="D1421" s="735" t="s">
        <v>1667</v>
      </c>
      <c r="E1421" s="41" t="s">
        <v>1668</v>
      </c>
      <c r="F1421" s="41" t="str">
        <f t="shared" si="688"/>
        <v>ACCUM DEFERRED INC TAXES - FEDERAL - GAS</v>
      </c>
      <c r="G1421" s="41" t="s">
        <v>1669</v>
      </c>
      <c r="H1421" s="736" t="s">
        <v>1118</v>
      </c>
      <c r="I1421" s="25"/>
      <c r="J1421" s="25" t="str">
        <f t="shared" ref="J1421:J1484" si="689">IF(L1421="N10","Y",IF(L1421="N8","Y",""))</f>
        <v/>
      </c>
      <c r="K1421" s="442" t="str">
        <f t="shared" si="652"/>
        <v/>
      </c>
      <c r="L1421" s="736" t="s">
        <v>2443</v>
      </c>
      <c r="M1421" s="25" t="str">
        <f t="shared" si="679"/>
        <v>R</v>
      </c>
      <c r="N1421" s="25" t="str">
        <f>IF(L1421&lt;&gt;"",VLOOKUP(L1421,Categories!$B$2:$D$41,2,FALSE),IF(F1421&lt;&gt;"","No Cat",""))</f>
        <v>Rate Base</v>
      </c>
      <c r="O1421" s="25" t="str">
        <f>IF($L1421&lt;&gt;"",VLOOKUP($L1421,Categories!$B$2:$D$41,3,FALSE),IF($F1421&lt;&gt;"","No Cat",""))</f>
        <v>Deferred Income Taxes</v>
      </c>
      <c r="P1421" s="736" t="s">
        <v>2483</v>
      </c>
      <c r="Q1421" s="25" t="str">
        <f>VLOOKUP($P1421,Allocators!$B$7:$F$19,5,FALSE)</f>
        <v>Gas</v>
      </c>
      <c r="R1421" s="737">
        <f>VLOOKUP($P1421,Allocators!$B$7:$F$19,2,FALSE)</f>
        <v>0</v>
      </c>
      <c r="S1421" s="737">
        <f>VLOOKUP($P1421,Allocators!$B$7:$F$19,3,FALSE)</f>
        <v>1</v>
      </c>
      <c r="T1421" s="737" t="str">
        <f t="shared" si="670"/>
        <v>0.0%</v>
      </c>
      <c r="U1421" s="2" t="str">
        <f t="shared" si="664"/>
        <v/>
      </c>
      <c r="V1421" s="2" t="str">
        <f t="shared" si="665"/>
        <v/>
      </c>
      <c r="W1421" s="2" t="str">
        <f t="shared" si="666"/>
        <v/>
      </c>
      <c r="X1421" s="2">
        <f t="shared" si="649"/>
        <v>0</v>
      </c>
      <c r="Y1421" s="2" t="str">
        <f t="shared" si="667"/>
        <v/>
      </c>
      <c r="Z1421" s="2" t="str">
        <f t="shared" si="668"/>
        <v/>
      </c>
      <c r="AA1421" s="2" t="str">
        <f t="shared" si="669"/>
        <v/>
      </c>
      <c r="AB1421" s="2">
        <f t="shared" si="650"/>
        <v>0</v>
      </c>
      <c r="AC1421" s="625">
        <v>0</v>
      </c>
      <c r="AD1421" s="625">
        <v>0</v>
      </c>
      <c r="AE1421" s="625">
        <v>0</v>
      </c>
      <c r="AF1421" s="625">
        <v>0</v>
      </c>
      <c r="AG1421" s="625">
        <v>0</v>
      </c>
      <c r="AH1421" s="625">
        <v>0</v>
      </c>
      <c r="AI1421" s="625">
        <v>0</v>
      </c>
      <c r="AJ1421" s="625">
        <v>0</v>
      </c>
      <c r="AK1421" s="625">
        <v>0</v>
      </c>
      <c r="AL1421" s="625">
        <v>0</v>
      </c>
      <c r="AM1421" s="625">
        <v>0</v>
      </c>
      <c r="AN1421" s="625">
        <v>0</v>
      </c>
      <c r="AO1421" s="625">
        <v>0</v>
      </c>
      <c r="AP1421" s="41" t="str">
        <f t="shared" si="681"/>
        <v>Def TaxR</v>
      </c>
      <c r="AQ1421" s="41" t="str">
        <f t="shared" si="682"/>
        <v>Def TaxRR11Medicare Part D</v>
      </c>
      <c r="AR1421" s="41" t="str">
        <f t="shared" si="683"/>
        <v>R11Medicare Part D</v>
      </c>
    </row>
    <row r="1422" spans="1:44" s="41" customFormat="1" ht="12.75" customHeight="1">
      <c r="A1422" s="442" t="s">
        <v>1590</v>
      </c>
      <c r="B1422" s="442" t="str">
        <f t="shared" si="651"/>
        <v>Def Tax190003190-011BT010218</v>
      </c>
      <c r="C1422" s="736">
        <v>190003</v>
      </c>
      <c r="D1422" s="735" t="s">
        <v>1778</v>
      </c>
      <c r="E1422" s="626" t="s">
        <v>1779</v>
      </c>
      <c r="F1422" s="626" t="str">
        <f t="shared" si="688"/>
        <v>ACCUM DEFERRED INC TAXES-FEDERAL-ELECTRIC-NONOP</v>
      </c>
      <c r="G1422" s="626" t="s">
        <v>1780</v>
      </c>
      <c r="H1422" s="736" t="s">
        <v>1555</v>
      </c>
      <c r="I1422" s="442"/>
      <c r="J1422" s="442" t="str">
        <f t="shared" si="689"/>
        <v/>
      </c>
      <c r="K1422" s="442" t="str">
        <f t="shared" si="652"/>
        <v/>
      </c>
      <c r="L1422" s="736" t="s">
        <v>2421</v>
      </c>
      <c r="M1422" s="442" t="str">
        <f t="shared" si="679"/>
        <v>N</v>
      </c>
      <c r="N1422" s="442" t="str">
        <f>IF(L1422&lt;&gt;"",VLOOKUP(L1422,Categories!$B$2:$D$41,2,FALSE),IF(F1422&lt;&gt;"","No Cat",""))</f>
        <v>NRBASE</v>
      </c>
      <c r="O1422" s="442" t="str">
        <f>IF($L1422&lt;&gt;"",VLOOKUP($L1422,Categories!$B$2:$D$41,3,FALSE),IF($F1422&lt;&gt;"","No Cat",""))</f>
        <v>Direct Assign Items Not in RB</v>
      </c>
      <c r="P1422" s="736" t="s">
        <v>2468</v>
      </c>
      <c r="Q1422" s="442" t="str">
        <f>VLOOKUP($P1422,Allocators!$B$7:$F$19,5,FALSE)</f>
        <v>Not in Rate Base</v>
      </c>
      <c r="R1422" s="737">
        <f>VLOOKUP($P1422,Allocators!$B$7:$F$19,2,FALSE)</f>
        <v>0</v>
      </c>
      <c r="S1422" s="737">
        <f>VLOOKUP($P1422,Allocators!$B$7:$F$19,3,FALSE)</f>
        <v>0</v>
      </c>
      <c r="T1422" s="737">
        <f t="shared" si="670"/>
        <v>1</v>
      </c>
      <c r="U1422" s="2" t="str">
        <f t="shared" si="664"/>
        <v/>
      </c>
      <c r="V1422" s="2" t="str">
        <f t="shared" si="665"/>
        <v/>
      </c>
      <c r="W1422" s="2" t="str">
        <f t="shared" si="666"/>
        <v/>
      </c>
      <c r="X1422" s="2">
        <f t="shared" si="649"/>
        <v>0</v>
      </c>
      <c r="Y1422" s="2" t="str">
        <f t="shared" si="667"/>
        <v/>
      </c>
      <c r="Z1422" s="2" t="str">
        <f t="shared" si="668"/>
        <v/>
      </c>
      <c r="AA1422" s="2" t="str">
        <f t="shared" si="669"/>
        <v/>
      </c>
      <c r="AB1422" s="2">
        <f t="shared" si="650"/>
        <v>0</v>
      </c>
      <c r="AC1422" s="625">
        <v>0</v>
      </c>
      <c r="AD1422" s="625">
        <v>0</v>
      </c>
      <c r="AE1422" s="625">
        <v>0</v>
      </c>
      <c r="AF1422" s="625">
        <v>0</v>
      </c>
      <c r="AG1422" s="625">
        <v>0</v>
      </c>
      <c r="AH1422" s="625">
        <v>0</v>
      </c>
      <c r="AI1422" s="625">
        <v>0</v>
      </c>
      <c r="AJ1422" s="625">
        <v>0</v>
      </c>
      <c r="AK1422" s="625">
        <v>0</v>
      </c>
      <c r="AL1422" s="625">
        <v>0</v>
      </c>
      <c r="AM1422" s="625">
        <v>0</v>
      </c>
      <c r="AN1422" s="625">
        <v>0</v>
      </c>
      <c r="AO1422" s="625">
        <v>0</v>
      </c>
      <c r="AP1422" s="41" t="str">
        <f t="shared" si="681"/>
        <v>Def TaxN</v>
      </c>
      <c r="AQ1422" s="41" t="str">
        <f t="shared" si="682"/>
        <v>Def TaxNN2Steam Abandonment</v>
      </c>
      <c r="AR1422" s="41" t="str">
        <f t="shared" si="683"/>
        <v>N2Steam Abandonment</v>
      </c>
    </row>
    <row r="1423" spans="1:44" s="41" customFormat="1" ht="12.75" customHeight="1">
      <c r="A1423" s="25" t="s">
        <v>1590</v>
      </c>
      <c r="B1423" s="25" t="str">
        <f t="shared" si="651"/>
        <v>Def Tax190003190-016BT010037</v>
      </c>
      <c r="C1423" s="736">
        <v>190003</v>
      </c>
      <c r="D1423" s="735" t="s">
        <v>1781</v>
      </c>
      <c r="E1423" s="41" t="s">
        <v>1782</v>
      </c>
      <c r="F1423" s="41" t="str">
        <f t="shared" si="688"/>
        <v>ACCUM DEFERRED INC TAXES-FEDERAL-ELECTRIC-NONOP</v>
      </c>
      <c r="G1423" s="41" t="s">
        <v>1783</v>
      </c>
      <c r="H1423" s="736" t="s">
        <v>1784</v>
      </c>
      <c r="I1423" s="25"/>
      <c r="J1423" s="25" t="str">
        <f t="shared" si="689"/>
        <v/>
      </c>
      <c r="K1423" s="442" t="str">
        <f t="shared" si="652"/>
        <v/>
      </c>
      <c r="L1423" s="736" t="s">
        <v>2443</v>
      </c>
      <c r="M1423" s="25" t="str">
        <f t="shared" si="679"/>
        <v>R</v>
      </c>
      <c r="N1423" s="25" t="str">
        <f>IF(L1423&lt;&gt;"",VLOOKUP(L1423,Categories!$B$2:$D$41,2,FALSE),IF(F1423&lt;&gt;"","No Cat",""))</f>
        <v>Rate Base</v>
      </c>
      <c r="O1423" s="25" t="str">
        <f>IF($L1423&lt;&gt;"",VLOOKUP($L1423,Categories!$B$2:$D$41,3,FALSE),IF($F1423&lt;&gt;"","No Cat",""))</f>
        <v>Deferred Income Taxes</v>
      </c>
      <c r="P1423" s="736" t="s">
        <v>2482</v>
      </c>
      <c r="Q1423" s="25" t="str">
        <f>VLOOKUP($P1423,Allocators!$B$7:$F$19,5,FALSE)</f>
        <v>Electric</v>
      </c>
      <c r="R1423" s="737">
        <f>VLOOKUP($P1423,Allocators!$B$7:$F$19,2,FALSE)</f>
        <v>1</v>
      </c>
      <c r="S1423" s="737">
        <f>VLOOKUP($P1423,Allocators!$B$7:$F$19,3,FALSE)</f>
        <v>0</v>
      </c>
      <c r="T1423" s="737" t="str">
        <f t="shared" si="670"/>
        <v>0.0%</v>
      </c>
      <c r="U1423" s="2" t="str">
        <f t="shared" si="664"/>
        <v/>
      </c>
      <c r="V1423" s="2" t="str">
        <f t="shared" si="665"/>
        <v/>
      </c>
      <c r="W1423" s="2" t="str">
        <f t="shared" si="666"/>
        <v/>
      </c>
      <c r="X1423" s="2">
        <f t="shared" si="649"/>
        <v>0</v>
      </c>
      <c r="Y1423" s="2" t="str">
        <f t="shared" si="667"/>
        <v/>
      </c>
      <c r="Z1423" s="2" t="str">
        <f t="shared" si="668"/>
        <v/>
      </c>
      <c r="AA1423" s="2" t="str">
        <f t="shared" si="669"/>
        <v/>
      </c>
      <c r="AB1423" s="2">
        <f t="shared" si="650"/>
        <v>0</v>
      </c>
      <c r="AC1423" s="625">
        <v>0</v>
      </c>
      <c r="AD1423" s="625">
        <v>0</v>
      </c>
      <c r="AE1423" s="625">
        <v>0</v>
      </c>
      <c r="AF1423" s="625">
        <v>0</v>
      </c>
      <c r="AG1423" s="625">
        <v>0</v>
      </c>
      <c r="AH1423" s="625">
        <v>0</v>
      </c>
      <c r="AI1423" s="625">
        <v>0</v>
      </c>
      <c r="AJ1423" s="625">
        <v>0</v>
      </c>
      <c r="AK1423" s="625">
        <v>0</v>
      </c>
      <c r="AL1423" s="625">
        <v>0</v>
      </c>
      <c r="AM1423" s="625">
        <v>0</v>
      </c>
      <c r="AN1423" s="625">
        <v>0</v>
      </c>
      <c r="AO1423" s="625">
        <v>0</v>
      </c>
      <c r="AP1423" s="41" t="str">
        <f t="shared" si="681"/>
        <v>Def TaxR</v>
      </c>
      <c r="AQ1423" s="41" t="str">
        <f t="shared" si="682"/>
        <v>Def TaxRR11Clean Air Act Allowance</v>
      </c>
      <c r="AR1423" s="41" t="str">
        <f t="shared" si="683"/>
        <v>R11Clean Air Act Allowance</v>
      </c>
    </row>
    <row r="1424" spans="1:44" s="41" customFormat="1" ht="12.75" customHeight="1">
      <c r="A1424" s="25" t="s">
        <v>1590</v>
      </c>
      <c r="B1424" s="25" t="str">
        <f t="shared" si="651"/>
        <v>Def Tax190003190-033BT010202</v>
      </c>
      <c r="C1424" s="736">
        <v>190003</v>
      </c>
      <c r="D1424" s="735" t="s">
        <v>1785</v>
      </c>
      <c r="E1424" s="41" t="s">
        <v>1786</v>
      </c>
      <c r="F1424" s="41" t="str">
        <f t="shared" si="688"/>
        <v>ACCUM DEFERRED INC TAXES-FEDERAL-ELECTRIC-NONOP</v>
      </c>
      <c r="G1424" s="41" t="s">
        <v>1787</v>
      </c>
      <c r="H1424" s="736" t="s">
        <v>1788</v>
      </c>
      <c r="I1424" s="25"/>
      <c r="J1424" s="25" t="str">
        <f t="shared" si="689"/>
        <v/>
      </c>
      <c r="K1424" s="442" t="str">
        <f t="shared" si="652"/>
        <v/>
      </c>
      <c r="L1424" s="736" t="s">
        <v>2443</v>
      </c>
      <c r="M1424" s="25" t="str">
        <f t="shared" si="679"/>
        <v>R</v>
      </c>
      <c r="N1424" s="25" t="str">
        <f>IF(L1424&lt;&gt;"",VLOOKUP(L1424,Categories!$B$2:$D$41,2,FALSE),IF(F1424&lt;&gt;"","No Cat",""))</f>
        <v>Rate Base</v>
      </c>
      <c r="O1424" s="25" t="str">
        <f>IF($L1424&lt;&gt;"",VLOOKUP($L1424,Categories!$B$2:$D$41,3,FALSE),IF($F1424&lt;&gt;"","No Cat",""))</f>
        <v>Deferred Income Taxes</v>
      </c>
      <c r="P1424" s="736" t="s">
        <v>2482</v>
      </c>
      <c r="Q1424" s="25" t="str">
        <f>VLOOKUP($P1424,Allocators!$B$7:$F$19,5,FALSE)</f>
        <v>Electric</v>
      </c>
      <c r="R1424" s="737">
        <f>VLOOKUP($P1424,Allocators!$B$7:$F$19,2,FALSE)</f>
        <v>1</v>
      </c>
      <c r="S1424" s="737">
        <f>VLOOKUP($P1424,Allocators!$B$7:$F$19,3,FALSE)</f>
        <v>0</v>
      </c>
      <c r="T1424" s="737" t="str">
        <f t="shared" si="670"/>
        <v>0.0%</v>
      </c>
      <c r="U1424" s="2">
        <f t="shared" si="664"/>
        <v>-21.768999999999998</v>
      </c>
      <c r="V1424" s="2">
        <f t="shared" si="665"/>
        <v>0</v>
      </c>
      <c r="W1424" s="2">
        <f t="shared" si="666"/>
        <v>0</v>
      </c>
      <c r="X1424" s="2">
        <f t="shared" ref="X1424:X1487" si="690">IF(ISERROR(ROUND((SUM(AC1424:AO1424)-((AC1424+AO1424))/2)/12,15)),"",ROUND((SUM(AC1424:AO1424)-((AC1424+AO1424))/2)/12,15))</f>
        <v>-21.768999999999998</v>
      </c>
      <c r="Y1424" s="2">
        <f t="shared" si="667"/>
        <v>-21.768999999999998</v>
      </c>
      <c r="Z1424" s="2">
        <f t="shared" si="668"/>
        <v>0</v>
      </c>
      <c r="AA1424" s="2">
        <f t="shared" si="669"/>
        <v>0</v>
      </c>
      <c r="AB1424" s="2">
        <f t="shared" ref="AB1424:AB1487" si="691">IF(AO1424="",0,+AO1424)</f>
        <v>-21.768999999999998</v>
      </c>
      <c r="AC1424" s="625">
        <v>-21.768999999999998</v>
      </c>
      <c r="AD1424" s="625">
        <v>-21.768999999999998</v>
      </c>
      <c r="AE1424" s="625">
        <v>-21.768999999999998</v>
      </c>
      <c r="AF1424" s="625">
        <v>-21.768999999999998</v>
      </c>
      <c r="AG1424" s="625">
        <v>-21.768999999999998</v>
      </c>
      <c r="AH1424" s="625">
        <v>-21.768999999999998</v>
      </c>
      <c r="AI1424" s="625">
        <v>-21.768999999999998</v>
      </c>
      <c r="AJ1424" s="625">
        <v>-21.768999999999998</v>
      </c>
      <c r="AK1424" s="625">
        <v>-21.768999999999998</v>
      </c>
      <c r="AL1424" s="625">
        <v>-21.768999999999998</v>
      </c>
      <c r="AM1424" s="625">
        <v>-21.768999999999998</v>
      </c>
      <c r="AN1424" s="625">
        <v>-21.768999999999998</v>
      </c>
      <c r="AO1424" s="625">
        <v>-21.768999999999998</v>
      </c>
      <c r="AP1424" s="41" t="str">
        <f t="shared" si="681"/>
        <v>Def TaxR</v>
      </c>
      <c r="AQ1424" s="41" t="str">
        <f t="shared" si="682"/>
        <v>Def TaxRR11NEIL</v>
      </c>
      <c r="AR1424" s="41" t="str">
        <f t="shared" si="683"/>
        <v>R11NEIL</v>
      </c>
    </row>
    <row r="1425" spans="1:44" s="41" customFormat="1" ht="12.75" customHeight="1">
      <c r="A1425" s="442" t="s">
        <v>1590</v>
      </c>
      <c r="B1425" s="442" t="str">
        <f t="shared" si="651"/>
        <v>Def Tax190003190-035</v>
      </c>
      <c r="C1425" s="736">
        <v>190003</v>
      </c>
      <c r="D1425" s="735" t="s">
        <v>1789</v>
      </c>
      <c r="E1425" s="626"/>
      <c r="F1425" s="626" t="str">
        <f t="shared" si="688"/>
        <v>ACCUM DEFERRED INC TAXES-FEDERAL-ELECTRIC-NONOP</v>
      </c>
      <c r="G1425" s="626" t="s">
        <v>1790</v>
      </c>
      <c r="H1425" s="736">
        <v>0</v>
      </c>
      <c r="I1425" s="442"/>
      <c r="J1425" s="442" t="str">
        <f t="shared" si="689"/>
        <v/>
      </c>
      <c r="K1425" s="442" t="str">
        <f t="shared" si="652"/>
        <v/>
      </c>
      <c r="L1425" s="736" t="s">
        <v>2421</v>
      </c>
      <c r="M1425" s="442" t="str">
        <f t="shared" si="679"/>
        <v>N</v>
      </c>
      <c r="N1425" s="442" t="str">
        <f>IF(L1425&lt;&gt;"",VLOOKUP(L1425,Categories!$B$2:$D$41,2,FALSE),IF(F1425&lt;&gt;"","No Cat",""))</f>
        <v>NRBASE</v>
      </c>
      <c r="O1425" s="442" t="str">
        <f>IF($L1425&lt;&gt;"",VLOOKUP($L1425,Categories!$B$2:$D$41,3,FALSE),IF($F1425&lt;&gt;"","No Cat",""))</f>
        <v>Direct Assign Items Not in RB</v>
      </c>
      <c r="P1425" s="736" t="s">
        <v>2468</v>
      </c>
      <c r="Q1425" s="442" t="str">
        <f>VLOOKUP($P1425,Allocators!$B$7:$F$19,5,FALSE)</f>
        <v>Not in Rate Base</v>
      </c>
      <c r="R1425" s="737">
        <f>VLOOKUP($P1425,Allocators!$B$7:$F$19,2,FALSE)</f>
        <v>0</v>
      </c>
      <c r="S1425" s="737">
        <f>VLOOKUP($P1425,Allocators!$B$7:$F$19,3,FALSE)</f>
        <v>0</v>
      </c>
      <c r="T1425" s="737">
        <f t="shared" si="670"/>
        <v>1</v>
      </c>
      <c r="U1425" s="2" t="str">
        <f t="shared" si="664"/>
        <v/>
      </c>
      <c r="V1425" s="2" t="str">
        <f t="shared" si="665"/>
        <v/>
      </c>
      <c r="W1425" s="2" t="str">
        <f t="shared" si="666"/>
        <v/>
      </c>
      <c r="X1425" s="2">
        <f t="shared" si="690"/>
        <v>0</v>
      </c>
      <c r="Y1425" s="2" t="str">
        <f t="shared" si="667"/>
        <v/>
      </c>
      <c r="Z1425" s="2" t="str">
        <f t="shared" si="668"/>
        <v/>
      </c>
      <c r="AA1425" s="2" t="str">
        <f t="shared" si="669"/>
        <v/>
      </c>
      <c r="AB1425" s="2">
        <f t="shared" si="691"/>
        <v>0</v>
      </c>
      <c r="AC1425" s="625">
        <v>0</v>
      </c>
      <c r="AD1425" s="625">
        <v>0</v>
      </c>
      <c r="AE1425" s="625">
        <v>0</v>
      </c>
      <c r="AF1425" s="625">
        <v>0</v>
      </c>
      <c r="AG1425" s="625">
        <v>0</v>
      </c>
      <c r="AH1425" s="625">
        <v>0</v>
      </c>
      <c r="AI1425" s="625">
        <v>0</v>
      </c>
      <c r="AJ1425" s="625">
        <v>0</v>
      </c>
      <c r="AK1425" s="625">
        <v>0</v>
      </c>
      <c r="AL1425" s="625">
        <v>0</v>
      </c>
      <c r="AM1425" s="625">
        <v>0</v>
      </c>
      <c r="AN1425" s="625">
        <v>0</v>
      </c>
      <c r="AO1425" s="625">
        <v>0</v>
      </c>
      <c r="AP1425" s="41" t="str">
        <f t="shared" si="681"/>
        <v>Def TaxN</v>
      </c>
      <c r="AQ1425" s="41" t="str">
        <f t="shared" si="682"/>
        <v>Def TaxNN20</v>
      </c>
      <c r="AR1425" s="41" t="str">
        <f t="shared" si="683"/>
        <v>N20</v>
      </c>
    </row>
    <row r="1426" spans="1:44" s="41" customFormat="1" ht="12.75" customHeight="1">
      <c r="A1426" s="25" t="s">
        <v>1590</v>
      </c>
      <c r="B1426" s="25" t="str">
        <f t="shared" si="651"/>
        <v>Def Tax190003190-043BTHUNGDT</v>
      </c>
      <c r="C1426" s="736">
        <v>190003</v>
      </c>
      <c r="D1426" s="735" t="s">
        <v>1662</v>
      </c>
      <c r="E1426" s="41" t="s">
        <v>1624</v>
      </c>
      <c r="F1426" s="41" t="str">
        <f t="shared" si="688"/>
        <v>ACCUM DEFERRED INC TAXES-FEDERAL-ELECTRIC-NONOP</v>
      </c>
      <c r="G1426" s="41" t="s">
        <v>1663</v>
      </c>
      <c r="H1426" s="736" t="s">
        <v>1664</v>
      </c>
      <c r="I1426" s="25"/>
      <c r="J1426" s="25" t="str">
        <f t="shared" si="689"/>
        <v/>
      </c>
      <c r="K1426" s="442" t="str">
        <f t="shared" si="652"/>
        <v/>
      </c>
      <c r="L1426" s="736" t="s">
        <v>2443</v>
      </c>
      <c r="M1426" s="25" t="str">
        <f t="shared" si="679"/>
        <v>R</v>
      </c>
      <c r="N1426" s="25" t="str">
        <f>IF(L1426&lt;&gt;"",VLOOKUP(L1426,Categories!$B$2:$D$41,2,FALSE),IF(F1426&lt;&gt;"","No Cat",""))</f>
        <v>Rate Base</v>
      </c>
      <c r="O1426" s="25" t="str">
        <f>IF($L1426&lt;&gt;"",VLOOKUP($L1426,Categories!$B$2:$D$41,3,FALSE),IF($F1426&lt;&gt;"","No Cat",""))</f>
        <v>Deferred Income Taxes</v>
      </c>
      <c r="P1426" s="736" t="s">
        <v>2482</v>
      </c>
      <c r="Q1426" s="25" t="str">
        <f>VLOOKUP($P1426,Allocators!$B$7:$F$19,5,FALSE)</f>
        <v>Electric</v>
      </c>
      <c r="R1426" s="737">
        <f>VLOOKUP($P1426,Allocators!$B$7:$F$19,2,FALSE)</f>
        <v>1</v>
      </c>
      <c r="S1426" s="737">
        <f>VLOOKUP($P1426,Allocators!$B$7:$F$19,3,FALSE)</f>
        <v>0</v>
      </c>
      <c r="T1426" s="737" t="str">
        <f t="shared" si="670"/>
        <v>0.0%</v>
      </c>
      <c r="U1426" s="2" t="str">
        <f t="shared" si="664"/>
        <v/>
      </c>
      <c r="V1426" s="2" t="str">
        <f t="shared" si="665"/>
        <v/>
      </c>
      <c r="W1426" s="2" t="str">
        <f t="shared" si="666"/>
        <v/>
      </c>
      <c r="X1426" s="2">
        <f t="shared" si="690"/>
        <v>0</v>
      </c>
      <c r="Y1426" s="2" t="str">
        <f t="shared" si="667"/>
        <v/>
      </c>
      <c r="Z1426" s="2" t="str">
        <f t="shared" si="668"/>
        <v/>
      </c>
      <c r="AA1426" s="2" t="str">
        <f t="shared" si="669"/>
        <v/>
      </c>
      <c r="AB1426" s="2">
        <f t="shared" si="691"/>
        <v>0</v>
      </c>
      <c r="AC1426" s="625">
        <v>0</v>
      </c>
      <c r="AD1426" s="625">
        <v>0</v>
      </c>
      <c r="AE1426" s="625">
        <v>0</v>
      </c>
      <c r="AF1426" s="625">
        <v>0</v>
      </c>
      <c r="AG1426" s="625">
        <v>0</v>
      </c>
      <c r="AH1426" s="625">
        <v>0</v>
      </c>
      <c r="AI1426" s="625">
        <v>0</v>
      </c>
      <c r="AJ1426" s="625">
        <v>0</v>
      </c>
      <c r="AK1426" s="625">
        <v>0</v>
      </c>
      <c r="AL1426" s="625">
        <v>0</v>
      </c>
      <c r="AM1426" s="625">
        <v>0</v>
      </c>
      <c r="AN1426" s="625">
        <v>0</v>
      </c>
      <c r="AO1426" s="625">
        <v>0</v>
      </c>
      <c r="AP1426" s="41" t="str">
        <f t="shared" si="681"/>
        <v>Def TaxR</v>
      </c>
      <c r="AQ1426" s="41" t="str">
        <f t="shared" si="682"/>
        <v>Def TaxRR11M&amp;S Obsolescence</v>
      </c>
      <c r="AR1426" s="41" t="str">
        <f t="shared" si="683"/>
        <v>R11M&amp;S Obsolescence</v>
      </c>
    </row>
    <row r="1427" spans="1:44" s="41" customFormat="1" ht="12.75" customHeight="1">
      <c r="A1427" s="25" t="s">
        <v>1590</v>
      </c>
      <c r="B1427" s="25" t="str">
        <f t="shared" si="651"/>
        <v>Def Tax190003190-044BTHUNGDT</v>
      </c>
      <c r="C1427" s="736">
        <v>190003</v>
      </c>
      <c r="D1427" s="735" t="s">
        <v>1645</v>
      </c>
      <c r="E1427" s="41" t="s">
        <v>1624</v>
      </c>
      <c r="F1427" s="41" t="str">
        <f t="shared" si="688"/>
        <v>ACCUM DEFERRED INC TAXES-FEDERAL-ELECTRIC-NONOP</v>
      </c>
      <c r="G1427" s="41" t="s">
        <v>1646</v>
      </c>
      <c r="H1427" s="736" t="s">
        <v>1647</v>
      </c>
      <c r="I1427" s="25"/>
      <c r="J1427" s="25" t="str">
        <f t="shared" si="689"/>
        <v/>
      </c>
      <c r="K1427" s="442" t="str">
        <f t="shared" si="652"/>
        <v/>
      </c>
      <c r="L1427" s="736" t="s">
        <v>2443</v>
      </c>
      <c r="M1427" s="25" t="str">
        <f t="shared" si="679"/>
        <v>R</v>
      </c>
      <c r="N1427" s="25" t="str">
        <f>IF(L1427&lt;&gt;"",VLOOKUP(L1427,Categories!$B$2:$D$41,2,FALSE),IF(F1427&lt;&gt;"","No Cat",""))</f>
        <v>Rate Base</v>
      </c>
      <c r="O1427" s="25" t="str">
        <f>IF($L1427&lt;&gt;"",VLOOKUP($L1427,Categories!$B$2:$D$41,3,FALSE),IF($F1427&lt;&gt;"","No Cat",""))</f>
        <v>Deferred Income Taxes</v>
      </c>
      <c r="P1427" s="736" t="s">
        <v>2482</v>
      </c>
      <c r="Q1427" s="25" t="str">
        <f>VLOOKUP($P1427,Allocators!$B$7:$F$19,5,FALSE)</f>
        <v>Electric</v>
      </c>
      <c r="R1427" s="737">
        <f>VLOOKUP($P1427,Allocators!$B$7:$F$19,2,FALSE)</f>
        <v>1</v>
      </c>
      <c r="S1427" s="737">
        <f>VLOOKUP($P1427,Allocators!$B$7:$F$19,3,FALSE)</f>
        <v>0</v>
      </c>
      <c r="T1427" s="737" t="str">
        <f t="shared" si="670"/>
        <v>0.0%</v>
      </c>
      <c r="U1427" s="2" t="str">
        <f t="shared" si="664"/>
        <v/>
      </c>
      <c r="V1427" s="2" t="str">
        <f t="shared" si="665"/>
        <v/>
      </c>
      <c r="W1427" s="2" t="str">
        <f t="shared" si="666"/>
        <v/>
      </c>
      <c r="X1427" s="2">
        <f t="shared" si="690"/>
        <v>0</v>
      </c>
      <c r="Y1427" s="2" t="str">
        <f t="shared" si="667"/>
        <v/>
      </c>
      <c r="Z1427" s="2" t="str">
        <f t="shared" si="668"/>
        <v/>
      </c>
      <c r="AA1427" s="2" t="str">
        <f t="shared" si="669"/>
        <v/>
      </c>
      <c r="AB1427" s="2">
        <f t="shared" si="691"/>
        <v>0</v>
      </c>
      <c r="AC1427" s="625">
        <v>0</v>
      </c>
      <c r="AD1427" s="625">
        <v>0</v>
      </c>
      <c r="AE1427" s="625">
        <v>0</v>
      </c>
      <c r="AF1427" s="625">
        <v>0</v>
      </c>
      <c r="AG1427" s="625">
        <v>0</v>
      </c>
      <c r="AH1427" s="625">
        <v>0</v>
      </c>
      <c r="AI1427" s="625">
        <v>0</v>
      </c>
      <c r="AJ1427" s="625">
        <v>0</v>
      </c>
      <c r="AK1427" s="625">
        <v>0</v>
      </c>
      <c r="AL1427" s="625">
        <v>0</v>
      </c>
      <c r="AM1427" s="625">
        <v>0</v>
      </c>
      <c r="AN1427" s="625">
        <v>0</v>
      </c>
      <c r="AO1427" s="625">
        <v>0</v>
      </c>
      <c r="AP1427" s="41" t="str">
        <f t="shared" si="681"/>
        <v>Def TaxR</v>
      </c>
      <c r="AQ1427" s="41" t="str">
        <f t="shared" si="682"/>
        <v>Def TaxRR11Deferred Comp</v>
      </c>
      <c r="AR1427" s="41" t="str">
        <f t="shared" si="683"/>
        <v>R11Deferred Comp</v>
      </c>
    </row>
    <row r="1428" spans="1:44" s="41" customFormat="1" ht="12.75" customHeight="1">
      <c r="A1428" s="442" t="s">
        <v>1590</v>
      </c>
      <c r="B1428" s="442" t="str">
        <f t="shared" si="651"/>
        <v>Def Tax190003190-054</v>
      </c>
      <c r="C1428" s="736">
        <v>190003</v>
      </c>
      <c r="D1428" s="735" t="s">
        <v>1791</v>
      </c>
      <c r="E1428" s="626"/>
      <c r="F1428" s="626" t="str">
        <f t="shared" si="688"/>
        <v>ACCUM DEFERRED INC TAXES-FEDERAL-ELECTRIC-NONOP</v>
      </c>
      <c r="G1428" s="626" t="s">
        <v>1792</v>
      </c>
      <c r="H1428" s="736">
        <v>0</v>
      </c>
      <c r="I1428" s="442"/>
      <c r="J1428" s="442" t="str">
        <f t="shared" si="689"/>
        <v/>
      </c>
      <c r="K1428" s="442" t="str">
        <f t="shared" si="652"/>
        <v/>
      </c>
      <c r="L1428" s="736" t="s">
        <v>2421</v>
      </c>
      <c r="M1428" s="442" t="str">
        <f t="shared" si="679"/>
        <v>N</v>
      </c>
      <c r="N1428" s="442" t="str">
        <f>IF(L1428&lt;&gt;"",VLOOKUP(L1428,Categories!$B$2:$D$41,2,FALSE),IF(F1428&lt;&gt;"","No Cat",""))</f>
        <v>NRBASE</v>
      </c>
      <c r="O1428" s="442" t="str">
        <f>IF($L1428&lt;&gt;"",VLOOKUP($L1428,Categories!$B$2:$D$41,3,FALSE),IF($F1428&lt;&gt;"","No Cat",""))</f>
        <v>Direct Assign Items Not in RB</v>
      </c>
      <c r="P1428" s="736" t="s">
        <v>2468</v>
      </c>
      <c r="Q1428" s="442" t="str">
        <f>VLOOKUP($P1428,Allocators!$B$7:$F$19,5,FALSE)</f>
        <v>Not in Rate Base</v>
      </c>
      <c r="R1428" s="737">
        <f>VLOOKUP($P1428,Allocators!$B$7:$F$19,2,FALSE)</f>
        <v>0</v>
      </c>
      <c r="S1428" s="737">
        <f>VLOOKUP($P1428,Allocators!$B$7:$F$19,3,FALSE)</f>
        <v>0</v>
      </c>
      <c r="T1428" s="737">
        <f t="shared" si="670"/>
        <v>1</v>
      </c>
      <c r="U1428" s="2" t="str">
        <f t="shared" si="664"/>
        <v/>
      </c>
      <c r="V1428" s="2" t="str">
        <f t="shared" si="665"/>
        <v/>
      </c>
      <c r="W1428" s="2" t="str">
        <f t="shared" si="666"/>
        <v/>
      </c>
      <c r="X1428" s="2">
        <f t="shared" si="690"/>
        <v>0</v>
      </c>
      <c r="Y1428" s="2" t="str">
        <f t="shared" si="667"/>
        <v/>
      </c>
      <c r="Z1428" s="2" t="str">
        <f t="shared" si="668"/>
        <v/>
      </c>
      <c r="AA1428" s="2" t="str">
        <f t="shared" si="669"/>
        <v/>
      </c>
      <c r="AB1428" s="2">
        <f t="shared" si="691"/>
        <v>0</v>
      </c>
      <c r="AC1428" s="625">
        <v>0</v>
      </c>
      <c r="AD1428" s="625">
        <v>0</v>
      </c>
      <c r="AE1428" s="625">
        <v>0</v>
      </c>
      <c r="AF1428" s="625">
        <v>0</v>
      </c>
      <c r="AG1428" s="625">
        <v>0</v>
      </c>
      <c r="AH1428" s="625">
        <v>0</v>
      </c>
      <c r="AI1428" s="625">
        <v>0</v>
      </c>
      <c r="AJ1428" s="625">
        <v>0</v>
      </c>
      <c r="AK1428" s="625">
        <v>0</v>
      </c>
      <c r="AL1428" s="625">
        <v>0</v>
      </c>
      <c r="AM1428" s="625">
        <v>0</v>
      </c>
      <c r="AN1428" s="625">
        <v>0</v>
      </c>
      <c r="AO1428" s="625">
        <v>0</v>
      </c>
      <c r="AP1428" s="41" t="str">
        <f t="shared" si="681"/>
        <v>Def TaxN</v>
      </c>
      <c r="AQ1428" s="41" t="str">
        <f t="shared" si="682"/>
        <v>Def TaxNN20</v>
      </c>
      <c r="AR1428" s="41" t="str">
        <f t="shared" si="683"/>
        <v>N20</v>
      </c>
    </row>
    <row r="1429" spans="1:44" s="41" customFormat="1" ht="12.75" customHeight="1">
      <c r="A1429" s="442" t="s">
        <v>1590</v>
      </c>
      <c r="B1429" s="442" t="str">
        <f t="shared" si="651"/>
        <v>Def Tax190003190-057BT010083</v>
      </c>
      <c r="C1429" s="736">
        <v>190003</v>
      </c>
      <c r="D1429" s="735" t="s">
        <v>1793</v>
      </c>
      <c r="E1429" s="626" t="s">
        <v>1794</v>
      </c>
      <c r="F1429" s="626" t="str">
        <f t="shared" si="688"/>
        <v>ACCUM DEFERRED INC TAXES-FEDERAL-ELECTRIC-NONOP</v>
      </c>
      <c r="G1429" s="626" t="s">
        <v>1795</v>
      </c>
      <c r="H1429" s="736" t="s">
        <v>1796</v>
      </c>
      <c r="I1429" s="442"/>
      <c r="J1429" s="442" t="str">
        <f t="shared" si="689"/>
        <v/>
      </c>
      <c r="K1429" s="442" t="str">
        <f t="shared" si="652"/>
        <v/>
      </c>
      <c r="L1429" s="736" t="s">
        <v>2421</v>
      </c>
      <c r="M1429" s="442" t="str">
        <f t="shared" si="679"/>
        <v>N</v>
      </c>
      <c r="N1429" s="442" t="str">
        <f>IF(L1429&lt;&gt;"",VLOOKUP(L1429,Categories!$B$2:$D$41,2,FALSE),IF(F1429&lt;&gt;"","No Cat",""))</f>
        <v>NRBASE</v>
      </c>
      <c r="O1429" s="442" t="str">
        <f>IF($L1429&lt;&gt;"",VLOOKUP($L1429,Categories!$B$2:$D$41,3,FALSE),IF($F1429&lt;&gt;"","No Cat",""))</f>
        <v>Direct Assign Items Not in RB</v>
      </c>
      <c r="P1429" s="736" t="s">
        <v>2468</v>
      </c>
      <c r="Q1429" s="442" t="str">
        <f>VLOOKUP($P1429,Allocators!$B$7:$F$19,5,FALSE)</f>
        <v>Not in Rate Base</v>
      </c>
      <c r="R1429" s="737">
        <f>VLOOKUP($P1429,Allocators!$B$7:$F$19,2,FALSE)</f>
        <v>0</v>
      </c>
      <c r="S1429" s="737">
        <f>VLOOKUP($P1429,Allocators!$B$7:$F$19,3,FALSE)</f>
        <v>0</v>
      </c>
      <c r="T1429" s="737">
        <f t="shared" si="670"/>
        <v>1</v>
      </c>
      <c r="U1429" s="2" t="str">
        <f t="shared" si="664"/>
        <v/>
      </c>
      <c r="V1429" s="2" t="str">
        <f t="shared" si="665"/>
        <v/>
      </c>
      <c r="W1429" s="2" t="str">
        <f t="shared" si="666"/>
        <v/>
      </c>
      <c r="X1429" s="2">
        <f t="shared" si="690"/>
        <v>0</v>
      </c>
      <c r="Y1429" s="2" t="str">
        <f t="shared" si="667"/>
        <v/>
      </c>
      <c r="Z1429" s="2" t="str">
        <f t="shared" si="668"/>
        <v/>
      </c>
      <c r="AA1429" s="2" t="str">
        <f t="shared" si="669"/>
        <v/>
      </c>
      <c r="AB1429" s="2">
        <f t="shared" si="691"/>
        <v>0</v>
      </c>
      <c r="AC1429" s="625">
        <v>0</v>
      </c>
      <c r="AD1429" s="625">
        <v>0</v>
      </c>
      <c r="AE1429" s="625">
        <v>0</v>
      </c>
      <c r="AF1429" s="625">
        <v>0</v>
      </c>
      <c r="AG1429" s="625">
        <v>0</v>
      </c>
      <c r="AH1429" s="625">
        <v>0</v>
      </c>
      <c r="AI1429" s="625">
        <v>0</v>
      </c>
      <c r="AJ1429" s="625">
        <v>0</v>
      </c>
      <c r="AK1429" s="625">
        <v>0</v>
      </c>
      <c r="AL1429" s="625">
        <v>0</v>
      </c>
      <c r="AM1429" s="625">
        <v>0</v>
      </c>
      <c r="AN1429" s="625">
        <v>0</v>
      </c>
      <c r="AO1429" s="625">
        <v>0</v>
      </c>
      <c r="AP1429" s="41" t="str">
        <f t="shared" si="681"/>
        <v>Def TaxN</v>
      </c>
      <c r="AQ1429" s="41" t="str">
        <f t="shared" si="682"/>
        <v>Def TaxNN2Executive Incentive Plan</v>
      </c>
      <c r="AR1429" s="41" t="str">
        <f t="shared" si="683"/>
        <v>N2Executive Incentive Plan</v>
      </c>
    </row>
    <row r="1430" spans="1:44" s="41" customFormat="1" ht="12.75" customHeight="1">
      <c r="A1430" s="442" t="s">
        <v>1590</v>
      </c>
      <c r="B1430" s="442" t="str">
        <f t="shared" ref="B1430:B1493" si="692">CONCATENATE(A1430,C1430,D1430,E1430)</f>
        <v>Def Tax190003190-066BTHUNGDT</v>
      </c>
      <c r="C1430" s="736">
        <v>190003</v>
      </c>
      <c r="D1430" s="735" t="s">
        <v>1797</v>
      </c>
      <c r="E1430" s="626" t="s">
        <v>1624</v>
      </c>
      <c r="F1430" s="626" t="str">
        <f t="shared" si="688"/>
        <v>ACCUM DEFERRED INC TAXES-FEDERAL-ELECTRIC-NONOP</v>
      </c>
      <c r="G1430" s="626" t="s">
        <v>1798</v>
      </c>
      <c r="H1430" s="736" t="s">
        <v>2880</v>
      </c>
      <c r="I1430" s="442"/>
      <c r="J1430" s="442" t="str">
        <f t="shared" si="689"/>
        <v/>
      </c>
      <c r="K1430" s="442" t="str">
        <f t="shared" ref="K1430:K1493" si="693">IF(L1430="N3","Y","")</f>
        <v/>
      </c>
      <c r="L1430" s="736" t="s">
        <v>2421</v>
      </c>
      <c r="M1430" s="442" t="str">
        <f t="shared" si="679"/>
        <v>N</v>
      </c>
      <c r="N1430" s="442" t="str">
        <f>IF(L1430&lt;&gt;"",VLOOKUP(L1430,Categories!$B$2:$D$41,2,FALSE),IF(F1430&lt;&gt;"","No Cat",""))</f>
        <v>NRBASE</v>
      </c>
      <c r="O1430" s="442" t="str">
        <f>IF($L1430&lt;&gt;"",VLOOKUP($L1430,Categories!$B$2:$D$41,3,FALSE),IF($F1430&lt;&gt;"","No Cat",""))</f>
        <v>Direct Assign Items Not in RB</v>
      </c>
      <c r="P1430" s="736" t="s">
        <v>2468</v>
      </c>
      <c r="Q1430" s="442" t="str">
        <f>VLOOKUP($P1430,Allocators!$B$7:$F$19,5,FALSE)</f>
        <v>Not in Rate Base</v>
      </c>
      <c r="R1430" s="737">
        <f>VLOOKUP($P1430,Allocators!$B$7:$F$19,2,FALSE)</f>
        <v>0</v>
      </c>
      <c r="S1430" s="737">
        <f>VLOOKUP($P1430,Allocators!$B$7:$F$19,3,FALSE)</f>
        <v>0</v>
      </c>
      <c r="T1430" s="737">
        <f t="shared" si="670"/>
        <v>1</v>
      </c>
      <c r="U1430" s="2" t="str">
        <f t="shared" si="664"/>
        <v/>
      </c>
      <c r="V1430" s="2" t="str">
        <f t="shared" si="665"/>
        <v/>
      </c>
      <c r="W1430" s="2" t="str">
        <f t="shared" si="666"/>
        <v/>
      </c>
      <c r="X1430" s="2">
        <f t="shared" si="690"/>
        <v>0</v>
      </c>
      <c r="Y1430" s="2" t="str">
        <f t="shared" si="667"/>
        <v/>
      </c>
      <c r="Z1430" s="2" t="str">
        <f t="shared" si="668"/>
        <v/>
      </c>
      <c r="AA1430" s="2" t="str">
        <f t="shared" si="669"/>
        <v/>
      </c>
      <c r="AB1430" s="2">
        <f t="shared" si="691"/>
        <v>0</v>
      </c>
      <c r="AC1430" s="625">
        <v>0</v>
      </c>
      <c r="AD1430" s="625">
        <v>0</v>
      </c>
      <c r="AE1430" s="625">
        <v>0</v>
      </c>
      <c r="AF1430" s="625">
        <v>0</v>
      </c>
      <c r="AG1430" s="625">
        <v>0</v>
      </c>
      <c r="AH1430" s="625">
        <v>0</v>
      </c>
      <c r="AI1430" s="625">
        <v>0</v>
      </c>
      <c r="AJ1430" s="625">
        <v>0</v>
      </c>
      <c r="AK1430" s="625">
        <v>0</v>
      </c>
      <c r="AL1430" s="625">
        <v>0</v>
      </c>
      <c r="AM1430" s="625">
        <v>0</v>
      </c>
      <c r="AN1430" s="625">
        <v>0</v>
      </c>
      <c r="AO1430" s="625">
        <v>0</v>
      </c>
      <c r="AP1430" s="41" t="str">
        <f t="shared" si="681"/>
        <v>Def TaxN</v>
      </c>
      <c r="AQ1430" s="41" t="str">
        <f t="shared" si="682"/>
        <v>Def TaxNN2Hung Deferred Taxes</v>
      </c>
      <c r="AR1430" s="41" t="str">
        <f t="shared" si="683"/>
        <v>N2Hung Deferred Taxes</v>
      </c>
    </row>
    <row r="1431" spans="1:44" s="41" customFormat="1" ht="12.75" customHeight="1">
      <c r="A1431" s="442" t="s">
        <v>1590</v>
      </c>
      <c r="B1431" s="442" t="str">
        <f t="shared" si="692"/>
        <v>Def Tax190003190-068BTHUNGDT</v>
      </c>
      <c r="C1431" s="736">
        <v>190003</v>
      </c>
      <c r="D1431" s="735" t="s">
        <v>1799</v>
      </c>
      <c r="E1431" s="626" t="s">
        <v>1624</v>
      </c>
      <c r="F1431" s="626" t="str">
        <f t="shared" si="688"/>
        <v>ACCUM DEFERRED INC TAXES-FEDERAL-ELECTRIC-NONOP</v>
      </c>
      <c r="G1431" s="626" t="s">
        <v>1800</v>
      </c>
      <c r="H1431" s="736" t="s">
        <v>2880</v>
      </c>
      <c r="I1431" s="442"/>
      <c r="J1431" s="442" t="str">
        <f t="shared" si="689"/>
        <v/>
      </c>
      <c r="K1431" s="442" t="str">
        <f t="shared" si="693"/>
        <v/>
      </c>
      <c r="L1431" s="736" t="s">
        <v>2421</v>
      </c>
      <c r="M1431" s="442" t="str">
        <f t="shared" si="679"/>
        <v>N</v>
      </c>
      <c r="N1431" s="442" t="str">
        <f>IF(L1431&lt;&gt;"",VLOOKUP(L1431,Categories!$B$2:$D$41,2,FALSE),IF(F1431&lt;&gt;"","No Cat",""))</f>
        <v>NRBASE</v>
      </c>
      <c r="O1431" s="442" t="str">
        <f>IF($L1431&lt;&gt;"",VLOOKUP($L1431,Categories!$B$2:$D$41,3,FALSE),IF($F1431&lt;&gt;"","No Cat",""))</f>
        <v>Direct Assign Items Not in RB</v>
      </c>
      <c r="P1431" s="736" t="s">
        <v>2468</v>
      </c>
      <c r="Q1431" s="442" t="str">
        <f>VLOOKUP($P1431,Allocators!$B$7:$F$19,5,FALSE)</f>
        <v>Not in Rate Base</v>
      </c>
      <c r="R1431" s="737">
        <f>VLOOKUP($P1431,Allocators!$B$7:$F$19,2,FALSE)</f>
        <v>0</v>
      </c>
      <c r="S1431" s="737">
        <f>VLOOKUP($P1431,Allocators!$B$7:$F$19,3,FALSE)</f>
        <v>0</v>
      </c>
      <c r="T1431" s="737">
        <f t="shared" si="670"/>
        <v>1</v>
      </c>
      <c r="U1431" s="2" t="str">
        <f t="shared" ref="U1431:U1494" si="694">IF(ABS(X1431)=0,"",IF($R1431="NO ALLOC","NO ALLOC",ROUND($R1431*X1431,15)))</f>
        <v/>
      </c>
      <c r="V1431" s="2" t="str">
        <f t="shared" ref="V1431:V1494" si="695">IF(ABS(X1431)=0,"",IF($S1431="NO ALLOC","NO ALLOC",ROUND($S1431*X1431,15)))</f>
        <v/>
      </c>
      <c r="W1431" s="2" t="str">
        <f t="shared" ref="W1431:W1494" si="696">IF(ABS(X1431)=0,"",IF($T1431="NO ALLOC","NO ALLOC",ROUND($T1431*X1431,15)))</f>
        <v/>
      </c>
      <c r="X1431" s="2">
        <f t="shared" si="690"/>
        <v>0</v>
      </c>
      <c r="Y1431" s="2" t="str">
        <f t="shared" ref="Y1431:Y1494" si="697">IF(ABS(AB1431)=0,"",IF($R1431="NO ALLOC","NO ALLOC",ROUND($R1431*AB1431,15)))</f>
        <v/>
      </c>
      <c r="Z1431" s="2" t="str">
        <f t="shared" ref="Z1431:Z1494" si="698">IF(ABS(AB1431)=0,"",IF($S1431="NO ALLOC","NO ALLOC",ROUND($S1431*AB1431,15)))</f>
        <v/>
      </c>
      <c r="AA1431" s="2" t="str">
        <f t="shared" ref="AA1431:AA1494" si="699">IF(ABS(AB1431)=0,"",IF($T1431="NO ALLOC","NO ALLOC",ROUND($T1431*AB1431,15)))</f>
        <v/>
      </c>
      <c r="AB1431" s="2">
        <f t="shared" si="691"/>
        <v>0</v>
      </c>
      <c r="AC1431" s="625">
        <v>0</v>
      </c>
      <c r="AD1431" s="625">
        <v>0</v>
      </c>
      <c r="AE1431" s="625">
        <v>0</v>
      </c>
      <c r="AF1431" s="625">
        <v>0</v>
      </c>
      <c r="AG1431" s="625">
        <v>0</v>
      </c>
      <c r="AH1431" s="625">
        <v>0</v>
      </c>
      <c r="AI1431" s="625">
        <v>0</v>
      </c>
      <c r="AJ1431" s="625">
        <v>0</v>
      </c>
      <c r="AK1431" s="625">
        <v>0</v>
      </c>
      <c r="AL1431" s="625">
        <v>0</v>
      </c>
      <c r="AM1431" s="625">
        <v>0</v>
      </c>
      <c r="AN1431" s="625">
        <v>0</v>
      </c>
      <c r="AO1431" s="625">
        <v>0</v>
      </c>
      <c r="AP1431" s="41" t="str">
        <f t="shared" si="681"/>
        <v>Def TaxN</v>
      </c>
      <c r="AQ1431" s="41" t="str">
        <f t="shared" si="682"/>
        <v>Def TaxNN2Hung Deferred Taxes</v>
      </c>
      <c r="AR1431" s="41" t="str">
        <f t="shared" si="683"/>
        <v>N2Hung Deferred Taxes</v>
      </c>
    </row>
    <row r="1432" spans="1:44" s="41" customFormat="1" ht="12.75" customHeight="1">
      <c r="A1432" s="442" t="s">
        <v>1590</v>
      </c>
      <c r="B1432" s="442" t="str">
        <f t="shared" si="692"/>
        <v>Def Tax190003190-074BTHUNGDT</v>
      </c>
      <c r="C1432" s="736">
        <v>190003</v>
      </c>
      <c r="D1432" s="735" t="s">
        <v>1725</v>
      </c>
      <c r="E1432" s="626" t="s">
        <v>1624</v>
      </c>
      <c r="F1432" s="626" t="str">
        <f t="shared" si="688"/>
        <v>ACCUM DEFERRED INC TAXES-FEDERAL-ELECTRIC-NONOP</v>
      </c>
      <c r="G1432" s="626" t="s">
        <v>1801</v>
      </c>
      <c r="H1432" s="736" t="s">
        <v>2880</v>
      </c>
      <c r="I1432" s="442"/>
      <c r="J1432" s="442" t="str">
        <f t="shared" si="689"/>
        <v/>
      </c>
      <c r="K1432" s="442" t="str">
        <f t="shared" si="693"/>
        <v/>
      </c>
      <c r="L1432" s="736" t="s">
        <v>2421</v>
      </c>
      <c r="M1432" s="442" t="str">
        <f t="shared" si="679"/>
        <v>N</v>
      </c>
      <c r="N1432" s="442" t="str">
        <f>IF(L1432&lt;&gt;"",VLOOKUP(L1432,Categories!$B$2:$D$41,2,FALSE),IF(F1432&lt;&gt;"","No Cat",""))</f>
        <v>NRBASE</v>
      </c>
      <c r="O1432" s="442" t="str">
        <f>IF($L1432&lt;&gt;"",VLOOKUP($L1432,Categories!$B$2:$D$41,3,FALSE),IF($F1432&lt;&gt;"","No Cat",""))</f>
        <v>Direct Assign Items Not in RB</v>
      </c>
      <c r="P1432" s="736" t="s">
        <v>2468</v>
      </c>
      <c r="Q1432" s="442" t="str">
        <f>VLOOKUP($P1432,Allocators!$B$7:$F$19,5,FALSE)</f>
        <v>Not in Rate Base</v>
      </c>
      <c r="R1432" s="737">
        <f>VLOOKUP($P1432,Allocators!$B$7:$F$19,2,FALSE)</f>
        <v>0</v>
      </c>
      <c r="S1432" s="737">
        <f>VLOOKUP($P1432,Allocators!$B$7:$F$19,3,FALSE)</f>
        <v>0</v>
      </c>
      <c r="T1432" s="737">
        <f t="shared" si="670"/>
        <v>1</v>
      </c>
      <c r="U1432" s="2" t="str">
        <f t="shared" si="694"/>
        <v/>
      </c>
      <c r="V1432" s="2" t="str">
        <f t="shared" si="695"/>
        <v/>
      </c>
      <c r="W1432" s="2" t="str">
        <f t="shared" si="696"/>
        <v/>
      </c>
      <c r="X1432" s="2">
        <f t="shared" si="690"/>
        <v>0</v>
      </c>
      <c r="Y1432" s="2" t="str">
        <f t="shared" si="697"/>
        <v/>
      </c>
      <c r="Z1432" s="2" t="str">
        <f t="shared" si="698"/>
        <v/>
      </c>
      <c r="AA1432" s="2" t="str">
        <f t="shared" si="699"/>
        <v/>
      </c>
      <c r="AB1432" s="2">
        <f t="shared" si="691"/>
        <v>0</v>
      </c>
      <c r="AC1432" s="625">
        <v>0</v>
      </c>
      <c r="AD1432" s="625">
        <v>0</v>
      </c>
      <c r="AE1432" s="625">
        <v>0</v>
      </c>
      <c r="AF1432" s="625">
        <v>0</v>
      </c>
      <c r="AG1432" s="625">
        <v>0</v>
      </c>
      <c r="AH1432" s="625">
        <v>0</v>
      </c>
      <c r="AI1432" s="625">
        <v>0</v>
      </c>
      <c r="AJ1432" s="625">
        <v>0</v>
      </c>
      <c r="AK1432" s="625">
        <v>0</v>
      </c>
      <c r="AL1432" s="625">
        <v>0</v>
      </c>
      <c r="AM1432" s="625">
        <v>0</v>
      </c>
      <c r="AN1432" s="625">
        <v>0</v>
      </c>
      <c r="AO1432" s="625">
        <v>0</v>
      </c>
      <c r="AP1432" s="41" t="str">
        <f t="shared" si="681"/>
        <v>Def TaxN</v>
      </c>
      <c r="AQ1432" s="41" t="str">
        <f t="shared" si="682"/>
        <v>Def TaxNN2Hung Deferred Taxes</v>
      </c>
      <c r="AR1432" s="41" t="str">
        <f t="shared" si="683"/>
        <v>N2Hung Deferred Taxes</v>
      </c>
    </row>
    <row r="1433" spans="1:44" s="41" customFormat="1" ht="12.75" customHeight="1">
      <c r="A1433" s="442" t="s">
        <v>1590</v>
      </c>
      <c r="B1433" s="442" t="str">
        <f t="shared" si="692"/>
        <v>Def Tax190003190-076BTHUNGDT</v>
      </c>
      <c r="C1433" s="736">
        <v>190003</v>
      </c>
      <c r="D1433" s="735" t="s">
        <v>1802</v>
      </c>
      <c r="E1433" s="626" t="s">
        <v>1624</v>
      </c>
      <c r="F1433" s="626" t="str">
        <f t="shared" si="688"/>
        <v>ACCUM DEFERRED INC TAXES-FEDERAL-ELECTRIC-NONOP</v>
      </c>
      <c r="G1433" s="626" t="s">
        <v>1803</v>
      </c>
      <c r="H1433" s="736" t="s">
        <v>2880</v>
      </c>
      <c r="I1433" s="442"/>
      <c r="J1433" s="442" t="str">
        <f t="shared" si="689"/>
        <v/>
      </c>
      <c r="K1433" s="442" t="str">
        <f t="shared" si="693"/>
        <v/>
      </c>
      <c r="L1433" s="736" t="s">
        <v>2421</v>
      </c>
      <c r="M1433" s="442" t="str">
        <f t="shared" si="679"/>
        <v>N</v>
      </c>
      <c r="N1433" s="442" t="str">
        <f>IF(L1433&lt;&gt;"",VLOOKUP(L1433,Categories!$B$2:$D$41,2,FALSE),IF(F1433&lt;&gt;"","No Cat",""))</f>
        <v>NRBASE</v>
      </c>
      <c r="O1433" s="442" t="str">
        <f>IF($L1433&lt;&gt;"",VLOOKUP($L1433,Categories!$B$2:$D$41,3,FALSE),IF($F1433&lt;&gt;"","No Cat",""))</f>
        <v>Direct Assign Items Not in RB</v>
      </c>
      <c r="P1433" s="736" t="s">
        <v>2468</v>
      </c>
      <c r="Q1433" s="442" t="str">
        <f>VLOOKUP($P1433,Allocators!$B$7:$F$19,5,FALSE)</f>
        <v>Not in Rate Base</v>
      </c>
      <c r="R1433" s="737">
        <f>VLOOKUP($P1433,Allocators!$B$7:$F$19,2,FALSE)</f>
        <v>0</v>
      </c>
      <c r="S1433" s="737">
        <f>VLOOKUP($P1433,Allocators!$B$7:$F$19,3,FALSE)</f>
        <v>0</v>
      </c>
      <c r="T1433" s="737">
        <f t="shared" si="670"/>
        <v>1</v>
      </c>
      <c r="U1433" s="2" t="str">
        <f t="shared" si="694"/>
        <v/>
      </c>
      <c r="V1433" s="2" t="str">
        <f t="shared" si="695"/>
        <v/>
      </c>
      <c r="W1433" s="2" t="str">
        <f t="shared" si="696"/>
        <v/>
      </c>
      <c r="X1433" s="2">
        <f t="shared" si="690"/>
        <v>0</v>
      </c>
      <c r="Y1433" s="2" t="str">
        <f t="shared" si="697"/>
        <v/>
      </c>
      <c r="Z1433" s="2" t="str">
        <f t="shared" si="698"/>
        <v/>
      </c>
      <c r="AA1433" s="2" t="str">
        <f t="shared" si="699"/>
        <v/>
      </c>
      <c r="AB1433" s="2">
        <f t="shared" si="691"/>
        <v>0</v>
      </c>
      <c r="AC1433" s="625">
        <v>0</v>
      </c>
      <c r="AD1433" s="625">
        <v>0</v>
      </c>
      <c r="AE1433" s="625">
        <v>0</v>
      </c>
      <c r="AF1433" s="625">
        <v>0</v>
      </c>
      <c r="AG1433" s="625">
        <v>0</v>
      </c>
      <c r="AH1433" s="625">
        <v>0</v>
      </c>
      <c r="AI1433" s="625">
        <v>0</v>
      </c>
      <c r="AJ1433" s="625">
        <v>0</v>
      </c>
      <c r="AK1433" s="625">
        <v>0</v>
      </c>
      <c r="AL1433" s="625">
        <v>0</v>
      </c>
      <c r="AM1433" s="625">
        <v>0</v>
      </c>
      <c r="AN1433" s="625">
        <v>0</v>
      </c>
      <c r="AO1433" s="625">
        <v>0</v>
      </c>
      <c r="AP1433" s="41" t="str">
        <f t="shared" si="681"/>
        <v>Def TaxN</v>
      </c>
      <c r="AQ1433" s="41" t="str">
        <f t="shared" si="682"/>
        <v>Def TaxNN2Hung Deferred Taxes</v>
      </c>
      <c r="AR1433" s="41" t="str">
        <f t="shared" si="683"/>
        <v>N2Hung Deferred Taxes</v>
      </c>
    </row>
    <row r="1434" spans="1:44" s="41" customFormat="1" ht="12.75" customHeight="1">
      <c r="A1434" s="442" t="s">
        <v>1590</v>
      </c>
      <c r="B1434" s="442" t="str">
        <f t="shared" si="692"/>
        <v>Def Tax190003190-077BTHUNGDT</v>
      </c>
      <c r="C1434" s="736">
        <v>190003</v>
      </c>
      <c r="D1434" s="735" t="s">
        <v>1804</v>
      </c>
      <c r="E1434" s="626" t="s">
        <v>1624</v>
      </c>
      <c r="F1434" s="626" t="str">
        <f t="shared" si="688"/>
        <v>ACCUM DEFERRED INC TAXES-FEDERAL-ELECTRIC-NONOP</v>
      </c>
      <c r="G1434" s="626" t="s">
        <v>1805</v>
      </c>
      <c r="H1434" s="736" t="s">
        <v>2880</v>
      </c>
      <c r="I1434" s="442"/>
      <c r="J1434" s="442" t="str">
        <f t="shared" si="689"/>
        <v/>
      </c>
      <c r="K1434" s="442" t="str">
        <f t="shared" si="693"/>
        <v/>
      </c>
      <c r="L1434" s="736" t="s">
        <v>2421</v>
      </c>
      <c r="M1434" s="442" t="str">
        <f t="shared" si="679"/>
        <v>N</v>
      </c>
      <c r="N1434" s="442" t="str">
        <f>IF(L1434&lt;&gt;"",VLOOKUP(L1434,Categories!$B$2:$D$41,2,FALSE),IF(F1434&lt;&gt;"","No Cat",""))</f>
        <v>NRBASE</v>
      </c>
      <c r="O1434" s="442" t="str">
        <f>IF($L1434&lt;&gt;"",VLOOKUP($L1434,Categories!$B$2:$D$41,3,FALSE),IF($F1434&lt;&gt;"","No Cat",""))</f>
        <v>Direct Assign Items Not in RB</v>
      </c>
      <c r="P1434" s="736" t="s">
        <v>2468</v>
      </c>
      <c r="Q1434" s="442" t="str">
        <f>VLOOKUP($P1434,Allocators!$B$7:$F$19,5,FALSE)</f>
        <v>Not in Rate Base</v>
      </c>
      <c r="R1434" s="737">
        <f>VLOOKUP($P1434,Allocators!$B$7:$F$19,2,FALSE)</f>
        <v>0</v>
      </c>
      <c r="S1434" s="737">
        <f>VLOOKUP($P1434,Allocators!$B$7:$F$19,3,FALSE)</f>
        <v>0</v>
      </c>
      <c r="T1434" s="737">
        <f t="shared" si="670"/>
        <v>1</v>
      </c>
      <c r="U1434" s="2" t="str">
        <f t="shared" si="694"/>
        <v/>
      </c>
      <c r="V1434" s="2" t="str">
        <f t="shared" si="695"/>
        <v/>
      </c>
      <c r="W1434" s="2" t="str">
        <f t="shared" si="696"/>
        <v/>
      </c>
      <c r="X1434" s="2">
        <f t="shared" si="690"/>
        <v>0</v>
      </c>
      <c r="Y1434" s="2" t="str">
        <f t="shared" si="697"/>
        <v/>
      </c>
      <c r="Z1434" s="2" t="str">
        <f t="shared" si="698"/>
        <v/>
      </c>
      <c r="AA1434" s="2" t="str">
        <f t="shared" si="699"/>
        <v/>
      </c>
      <c r="AB1434" s="2">
        <f t="shared" si="691"/>
        <v>0</v>
      </c>
      <c r="AC1434" s="625">
        <v>0</v>
      </c>
      <c r="AD1434" s="625">
        <v>0</v>
      </c>
      <c r="AE1434" s="625">
        <v>0</v>
      </c>
      <c r="AF1434" s="625">
        <v>0</v>
      </c>
      <c r="AG1434" s="625">
        <v>0</v>
      </c>
      <c r="AH1434" s="625">
        <v>0</v>
      </c>
      <c r="AI1434" s="625">
        <v>0</v>
      </c>
      <c r="AJ1434" s="625">
        <v>0</v>
      </c>
      <c r="AK1434" s="625">
        <v>0</v>
      </c>
      <c r="AL1434" s="625">
        <v>0</v>
      </c>
      <c r="AM1434" s="625">
        <v>0</v>
      </c>
      <c r="AN1434" s="625">
        <v>0</v>
      </c>
      <c r="AO1434" s="625">
        <v>0</v>
      </c>
      <c r="AP1434" s="41" t="str">
        <f t="shared" si="681"/>
        <v>Def TaxN</v>
      </c>
      <c r="AQ1434" s="41" t="str">
        <f t="shared" si="682"/>
        <v>Def TaxNN2Hung Deferred Taxes</v>
      </c>
      <c r="AR1434" s="41" t="str">
        <f t="shared" si="683"/>
        <v>N2Hung Deferred Taxes</v>
      </c>
    </row>
    <row r="1435" spans="1:44" s="41" customFormat="1" ht="12.75" customHeight="1">
      <c r="A1435" s="25" t="s">
        <v>1590</v>
      </c>
      <c r="B1435" s="25" t="str">
        <f t="shared" si="692"/>
        <v>Def Tax190003190-084BT010126</v>
      </c>
      <c r="C1435" s="736">
        <v>190003</v>
      </c>
      <c r="D1435" s="735" t="s">
        <v>1806</v>
      </c>
      <c r="E1435" s="41" t="s">
        <v>1807</v>
      </c>
      <c r="F1435" s="41" t="str">
        <f t="shared" si="688"/>
        <v>ACCUM DEFERRED INC TAXES-FEDERAL-ELECTRIC-NONOP</v>
      </c>
      <c r="G1435" s="41" t="s">
        <v>1808</v>
      </c>
      <c r="H1435" s="736" t="s">
        <v>1629</v>
      </c>
      <c r="I1435" s="25"/>
      <c r="J1435" s="25" t="str">
        <f t="shared" si="689"/>
        <v/>
      </c>
      <c r="K1435" s="442" t="str">
        <f t="shared" si="693"/>
        <v/>
      </c>
      <c r="L1435" s="736" t="s">
        <v>2443</v>
      </c>
      <c r="M1435" s="25" t="str">
        <f t="shared" si="679"/>
        <v>R</v>
      </c>
      <c r="N1435" s="25" t="str">
        <f>IF(L1435&lt;&gt;"",VLOOKUP(L1435,Categories!$B$2:$D$41,2,FALSE),IF(F1435&lt;&gt;"","No Cat",""))</f>
        <v>Rate Base</v>
      </c>
      <c r="O1435" s="25" t="str">
        <f>IF($L1435&lt;&gt;"",VLOOKUP($L1435,Categories!$B$2:$D$41,3,FALSE),IF($F1435&lt;&gt;"","No Cat",""))</f>
        <v>Deferred Income Taxes</v>
      </c>
      <c r="P1435" s="736" t="s">
        <v>2482</v>
      </c>
      <c r="Q1435" s="25" t="str">
        <f>VLOOKUP($P1435,Allocators!$B$7:$F$19,5,FALSE)</f>
        <v>Electric</v>
      </c>
      <c r="R1435" s="737">
        <f>VLOOKUP($P1435,Allocators!$B$7:$F$19,2,FALSE)</f>
        <v>1</v>
      </c>
      <c r="S1435" s="737">
        <f>VLOOKUP($P1435,Allocators!$B$7:$F$19,3,FALSE)</f>
        <v>0</v>
      </c>
      <c r="T1435" s="737" t="str">
        <f t="shared" si="670"/>
        <v>0.0%</v>
      </c>
      <c r="U1435" s="2" t="str">
        <f t="shared" si="694"/>
        <v/>
      </c>
      <c r="V1435" s="2" t="str">
        <f t="shared" si="695"/>
        <v/>
      </c>
      <c r="W1435" s="2" t="str">
        <f t="shared" si="696"/>
        <v/>
      </c>
      <c r="X1435" s="2">
        <f t="shared" si="690"/>
        <v>0</v>
      </c>
      <c r="Y1435" s="2" t="str">
        <f t="shared" si="697"/>
        <v/>
      </c>
      <c r="Z1435" s="2" t="str">
        <f t="shared" si="698"/>
        <v/>
      </c>
      <c r="AA1435" s="2" t="str">
        <f t="shared" si="699"/>
        <v/>
      </c>
      <c r="AB1435" s="2">
        <f t="shared" si="691"/>
        <v>0</v>
      </c>
      <c r="AC1435" s="625">
        <v>0</v>
      </c>
      <c r="AD1435" s="625">
        <v>0</v>
      </c>
      <c r="AE1435" s="625">
        <v>0</v>
      </c>
      <c r="AF1435" s="625">
        <v>0</v>
      </c>
      <c r="AG1435" s="625">
        <v>0</v>
      </c>
      <c r="AH1435" s="625">
        <v>0</v>
      </c>
      <c r="AI1435" s="625">
        <v>0</v>
      </c>
      <c r="AJ1435" s="625">
        <v>0</v>
      </c>
      <c r="AK1435" s="625">
        <v>0</v>
      </c>
      <c r="AL1435" s="625">
        <v>0</v>
      </c>
      <c r="AM1435" s="625">
        <v>0</v>
      </c>
      <c r="AN1435" s="625">
        <v>0</v>
      </c>
      <c r="AO1435" s="625">
        <v>0</v>
      </c>
      <c r="AP1435" s="41" t="str">
        <f t="shared" si="681"/>
        <v>Def TaxR</v>
      </c>
      <c r="AQ1435" s="41" t="str">
        <f t="shared" si="682"/>
        <v>Def TaxRR11Merger Related</v>
      </c>
      <c r="AR1435" s="41" t="str">
        <f t="shared" si="683"/>
        <v>R11Merger Related</v>
      </c>
    </row>
    <row r="1436" spans="1:44" s="41" customFormat="1" ht="12.75" customHeight="1">
      <c r="A1436" s="25" t="s">
        <v>1590</v>
      </c>
      <c r="B1436" s="25" t="str">
        <f t="shared" si="692"/>
        <v>Def Tax190003190-087BT010196</v>
      </c>
      <c r="C1436" s="736">
        <v>190003</v>
      </c>
      <c r="D1436" s="735" t="s">
        <v>1809</v>
      </c>
      <c r="E1436" s="41" t="s">
        <v>1810</v>
      </c>
      <c r="F1436" s="41" t="str">
        <f t="shared" si="688"/>
        <v>ACCUM DEFERRED INC TAXES-FEDERAL-ELECTRIC-NONOP</v>
      </c>
      <c r="G1436" s="41" t="s">
        <v>1811</v>
      </c>
      <c r="H1436" s="736" t="s">
        <v>1629</v>
      </c>
      <c r="I1436" s="25"/>
      <c r="J1436" s="25" t="str">
        <f t="shared" si="689"/>
        <v/>
      </c>
      <c r="K1436" s="442" t="str">
        <f t="shared" si="693"/>
        <v/>
      </c>
      <c r="L1436" s="736" t="s">
        <v>2443</v>
      </c>
      <c r="M1436" s="25" t="str">
        <f t="shared" si="679"/>
        <v>R</v>
      </c>
      <c r="N1436" s="25" t="str">
        <f>IF(L1436&lt;&gt;"",VLOOKUP(L1436,Categories!$B$2:$D$41,2,FALSE),IF(F1436&lt;&gt;"","No Cat",""))</f>
        <v>Rate Base</v>
      </c>
      <c r="O1436" s="25" t="str">
        <f>IF($L1436&lt;&gt;"",VLOOKUP($L1436,Categories!$B$2:$D$41,3,FALSE),IF($F1436&lt;&gt;"","No Cat",""))</f>
        <v>Deferred Income Taxes</v>
      </c>
      <c r="P1436" s="736" t="s">
        <v>2482</v>
      </c>
      <c r="Q1436" s="25" t="str">
        <f>VLOOKUP($P1436,Allocators!$B$7:$F$19,5,FALSE)</f>
        <v>Electric</v>
      </c>
      <c r="R1436" s="737">
        <f>VLOOKUP($P1436,Allocators!$B$7:$F$19,2,FALSE)</f>
        <v>1</v>
      </c>
      <c r="S1436" s="737">
        <f>VLOOKUP($P1436,Allocators!$B$7:$F$19,3,FALSE)</f>
        <v>0</v>
      </c>
      <c r="T1436" s="737" t="str">
        <f t="shared" si="670"/>
        <v>0.0%</v>
      </c>
      <c r="U1436" s="2" t="str">
        <f t="shared" si="694"/>
        <v/>
      </c>
      <c r="V1436" s="2" t="str">
        <f t="shared" si="695"/>
        <v/>
      </c>
      <c r="W1436" s="2" t="str">
        <f t="shared" si="696"/>
        <v/>
      </c>
      <c r="X1436" s="2">
        <f t="shared" si="690"/>
        <v>0</v>
      </c>
      <c r="Y1436" s="2" t="str">
        <f t="shared" si="697"/>
        <v/>
      </c>
      <c r="Z1436" s="2" t="str">
        <f t="shared" si="698"/>
        <v/>
      </c>
      <c r="AA1436" s="2" t="str">
        <f t="shared" si="699"/>
        <v/>
      </c>
      <c r="AB1436" s="2">
        <f t="shared" si="691"/>
        <v>0</v>
      </c>
      <c r="AC1436" s="625">
        <v>0</v>
      </c>
      <c r="AD1436" s="625">
        <v>0</v>
      </c>
      <c r="AE1436" s="625">
        <v>0</v>
      </c>
      <c r="AF1436" s="625">
        <v>0</v>
      </c>
      <c r="AG1436" s="625">
        <v>0</v>
      </c>
      <c r="AH1436" s="625">
        <v>0</v>
      </c>
      <c r="AI1436" s="625">
        <v>0</v>
      </c>
      <c r="AJ1436" s="625">
        <v>0</v>
      </c>
      <c r="AK1436" s="625">
        <v>0</v>
      </c>
      <c r="AL1436" s="625">
        <v>0</v>
      </c>
      <c r="AM1436" s="625">
        <v>0</v>
      </c>
      <c r="AN1436" s="625">
        <v>0</v>
      </c>
      <c r="AO1436" s="625">
        <v>0</v>
      </c>
      <c r="AP1436" s="41" t="str">
        <f t="shared" si="681"/>
        <v>Def TaxR</v>
      </c>
      <c r="AQ1436" s="41" t="str">
        <f t="shared" si="682"/>
        <v>Def TaxRR11Merger Related</v>
      </c>
      <c r="AR1436" s="41" t="str">
        <f t="shared" si="683"/>
        <v>R11Merger Related</v>
      </c>
    </row>
    <row r="1437" spans="1:44" s="41" customFormat="1" ht="12.75" customHeight="1">
      <c r="A1437" s="442" t="s">
        <v>1590</v>
      </c>
      <c r="B1437" s="442" t="str">
        <f t="shared" si="692"/>
        <v>Def Tax190004190-011BT010218</v>
      </c>
      <c r="C1437" s="736">
        <v>190004</v>
      </c>
      <c r="D1437" s="735" t="s">
        <v>1778</v>
      </c>
      <c r="E1437" s="626" t="s">
        <v>1779</v>
      </c>
      <c r="F1437" s="626" t="str">
        <f t="shared" si="688"/>
        <v>ACCUM DEFERRED INC TAXES-FEDERAL-GAS-NONOP</v>
      </c>
      <c r="G1437" s="626" t="s">
        <v>1780</v>
      </c>
      <c r="H1437" s="736" t="s">
        <v>1555</v>
      </c>
      <c r="I1437" s="442"/>
      <c r="J1437" s="442" t="str">
        <f t="shared" si="689"/>
        <v/>
      </c>
      <c r="K1437" s="442" t="str">
        <f t="shared" si="693"/>
        <v/>
      </c>
      <c r="L1437" s="736" t="s">
        <v>2421</v>
      </c>
      <c r="M1437" s="442" t="str">
        <f t="shared" si="679"/>
        <v>N</v>
      </c>
      <c r="N1437" s="442" t="str">
        <f>IF(L1437&lt;&gt;"",VLOOKUP(L1437,Categories!$B$2:$D$41,2,FALSE),IF(F1437&lt;&gt;"","No Cat",""))</f>
        <v>NRBASE</v>
      </c>
      <c r="O1437" s="442" t="str">
        <f>IF($L1437&lt;&gt;"",VLOOKUP($L1437,Categories!$B$2:$D$41,3,FALSE),IF($F1437&lt;&gt;"","No Cat",""))</f>
        <v>Direct Assign Items Not in RB</v>
      </c>
      <c r="P1437" s="736" t="s">
        <v>2468</v>
      </c>
      <c r="Q1437" s="442" t="str">
        <f>VLOOKUP($P1437,Allocators!$B$7:$F$19,5,FALSE)</f>
        <v>Not in Rate Base</v>
      </c>
      <c r="R1437" s="737">
        <f>VLOOKUP($P1437,Allocators!$B$7:$F$19,2,FALSE)</f>
        <v>0</v>
      </c>
      <c r="S1437" s="737">
        <f>VLOOKUP($P1437,Allocators!$B$7:$F$19,3,FALSE)</f>
        <v>0</v>
      </c>
      <c r="T1437" s="737">
        <f t="shared" si="670"/>
        <v>1</v>
      </c>
      <c r="U1437" s="2" t="str">
        <f t="shared" si="694"/>
        <v/>
      </c>
      <c r="V1437" s="2" t="str">
        <f t="shared" si="695"/>
        <v/>
      </c>
      <c r="W1437" s="2" t="str">
        <f t="shared" si="696"/>
        <v/>
      </c>
      <c r="X1437" s="2">
        <f t="shared" si="690"/>
        <v>0</v>
      </c>
      <c r="Y1437" s="2" t="str">
        <f t="shared" si="697"/>
        <v/>
      </c>
      <c r="Z1437" s="2" t="str">
        <f t="shared" si="698"/>
        <v/>
      </c>
      <c r="AA1437" s="2" t="str">
        <f t="shared" si="699"/>
        <v/>
      </c>
      <c r="AB1437" s="2">
        <f t="shared" si="691"/>
        <v>0</v>
      </c>
      <c r="AC1437" s="625">
        <v>0</v>
      </c>
      <c r="AD1437" s="625">
        <v>0</v>
      </c>
      <c r="AE1437" s="625">
        <v>0</v>
      </c>
      <c r="AF1437" s="625">
        <v>0</v>
      </c>
      <c r="AG1437" s="625">
        <v>0</v>
      </c>
      <c r="AH1437" s="625">
        <v>0</v>
      </c>
      <c r="AI1437" s="625">
        <v>0</v>
      </c>
      <c r="AJ1437" s="625">
        <v>0</v>
      </c>
      <c r="AK1437" s="625">
        <v>0</v>
      </c>
      <c r="AL1437" s="625">
        <v>0</v>
      </c>
      <c r="AM1437" s="625">
        <v>0</v>
      </c>
      <c r="AN1437" s="625">
        <v>0</v>
      </c>
      <c r="AO1437" s="625">
        <v>0</v>
      </c>
      <c r="AP1437" s="41" t="str">
        <f t="shared" si="681"/>
        <v>Def TaxN</v>
      </c>
      <c r="AQ1437" s="41" t="str">
        <f t="shared" si="682"/>
        <v>Def TaxNN2Steam Abandonment</v>
      </c>
      <c r="AR1437" s="41" t="str">
        <f t="shared" si="683"/>
        <v>N2Steam Abandonment</v>
      </c>
    </row>
    <row r="1438" spans="1:44" s="41" customFormat="1" ht="12.75" customHeight="1">
      <c r="A1438" s="25" t="s">
        <v>1590</v>
      </c>
      <c r="B1438" s="25" t="str">
        <f t="shared" si="692"/>
        <v>Def Tax190004190-033BT010202</v>
      </c>
      <c r="C1438" s="736">
        <v>190004</v>
      </c>
      <c r="D1438" s="735" t="s">
        <v>1785</v>
      </c>
      <c r="E1438" s="41" t="s">
        <v>1786</v>
      </c>
      <c r="F1438" s="41" t="str">
        <f t="shared" si="688"/>
        <v>ACCUM DEFERRED INC TAXES-FEDERAL-GAS-NONOP</v>
      </c>
      <c r="G1438" s="41" t="s">
        <v>1787</v>
      </c>
      <c r="H1438" s="736" t="s">
        <v>1788</v>
      </c>
      <c r="I1438" s="25"/>
      <c r="J1438" s="25" t="str">
        <f t="shared" si="689"/>
        <v/>
      </c>
      <c r="K1438" s="442" t="str">
        <f t="shared" si="693"/>
        <v/>
      </c>
      <c r="L1438" s="736" t="s">
        <v>2443</v>
      </c>
      <c r="M1438" s="25" t="str">
        <f t="shared" si="679"/>
        <v>R</v>
      </c>
      <c r="N1438" s="25" t="str">
        <f>IF(L1438&lt;&gt;"",VLOOKUP(L1438,Categories!$B$2:$D$41,2,FALSE),IF(F1438&lt;&gt;"","No Cat",""))</f>
        <v>Rate Base</v>
      </c>
      <c r="O1438" s="25" t="str">
        <f>IF($L1438&lt;&gt;"",VLOOKUP($L1438,Categories!$B$2:$D$41,3,FALSE),IF($F1438&lt;&gt;"","No Cat",""))</f>
        <v>Deferred Income Taxes</v>
      </c>
      <c r="P1438" s="736" t="s">
        <v>2482</v>
      </c>
      <c r="Q1438" s="25" t="str">
        <f>VLOOKUP($P1438,Allocators!$B$7:$F$19,5,FALSE)</f>
        <v>Electric</v>
      </c>
      <c r="R1438" s="737">
        <f>VLOOKUP($P1438,Allocators!$B$7:$F$19,2,FALSE)</f>
        <v>1</v>
      </c>
      <c r="S1438" s="737">
        <f>VLOOKUP($P1438,Allocators!$B$7:$F$19,3,FALSE)</f>
        <v>0</v>
      </c>
      <c r="T1438" s="737" t="str">
        <f t="shared" ref="T1438:T1504" si="700">IF(P1438="N",1,"0.0%")</f>
        <v>0.0%</v>
      </c>
      <c r="U1438" s="2">
        <f t="shared" si="694"/>
        <v>-11.722</v>
      </c>
      <c r="V1438" s="2">
        <f t="shared" si="695"/>
        <v>0</v>
      </c>
      <c r="W1438" s="2">
        <f t="shared" si="696"/>
        <v>0</v>
      </c>
      <c r="X1438" s="2">
        <f t="shared" si="690"/>
        <v>-11.722</v>
      </c>
      <c r="Y1438" s="2">
        <f t="shared" si="697"/>
        <v>-11.722</v>
      </c>
      <c r="Z1438" s="2">
        <f t="shared" si="698"/>
        <v>0</v>
      </c>
      <c r="AA1438" s="2">
        <f t="shared" si="699"/>
        <v>0</v>
      </c>
      <c r="AB1438" s="2">
        <f t="shared" si="691"/>
        <v>-11.722</v>
      </c>
      <c r="AC1438" s="625">
        <v>-11.722</v>
      </c>
      <c r="AD1438" s="625">
        <v>-11.722</v>
      </c>
      <c r="AE1438" s="625">
        <v>-11.722</v>
      </c>
      <c r="AF1438" s="625">
        <v>-11.722</v>
      </c>
      <c r="AG1438" s="625">
        <v>-11.722</v>
      </c>
      <c r="AH1438" s="625">
        <v>-11.722</v>
      </c>
      <c r="AI1438" s="625">
        <v>-11.722</v>
      </c>
      <c r="AJ1438" s="625">
        <v>-11.722</v>
      </c>
      <c r="AK1438" s="625">
        <v>-11.722</v>
      </c>
      <c r="AL1438" s="625">
        <v>-11.722</v>
      </c>
      <c r="AM1438" s="625">
        <v>-11.722</v>
      </c>
      <c r="AN1438" s="625">
        <v>-11.722</v>
      </c>
      <c r="AO1438" s="625">
        <v>-11.722</v>
      </c>
      <c r="AP1438" s="41" t="str">
        <f t="shared" si="681"/>
        <v>Def TaxR</v>
      </c>
      <c r="AQ1438" s="41" t="str">
        <f t="shared" si="682"/>
        <v>Def TaxRR11NEIL</v>
      </c>
      <c r="AR1438" s="41" t="str">
        <f t="shared" si="683"/>
        <v>R11NEIL</v>
      </c>
    </row>
    <row r="1439" spans="1:44" s="41" customFormat="1" ht="12.75" customHeight="1">
      <c r="A1439" s="442" t="s">
        <v>1590</v>
      </c>
      <c r="B1439" s="442" t="str">
        <f t="shared" si="692"/>
        <v>Def Tax190004190-035</v>
      </c>
      <c r="C1439" s="736">
        <v>190004</v>
      </c>
      <c r="D1439" s="735" t="s">
        <v>1789</v>
      </c>
      <c r="E1439" s="626"/>
      <c r="F1439" s="626" t="str">
        <f t="shared" si="688"/>
        <v>ACCUM DEFERRED INC TAXES-FEDERAL-GAS-NONOP</v>
      </c>
      <c r="G1439" s="626" t="s">
        <v>1790</v>
      </c>
      <c r="H1439" s="736">
        <v>0</v>
      </c>
      <c r="I1439" s="442"/>
      <c r="J1439" s="442" t="str">
        <f t="shared" si="689"/>
        <v/>
      </c>
      <c r="K1439" s="442" t="str">
        <f t="shared" si="693"/>
        <v/>
      </c>
      <c r="L1439" s="736" t="s">
        <v>2421</v>
      </c>
      <c r="M1439" s="442" t="str">
        <f t="shared" si="679"/>
        <v>N</v>
      </c>
      <c r="N1439" s="442" t="str">
        <f>IF(L1439&lt;&gt;"",VLOOKUP(L1439,Categories!$B$2:$D$41,2,FALSE),IF(F1439&lt;&gt;"","No Cat",""))</f>
        <v>NRBASE</v>
      </c>
      <c r="O1439" s="442" t="str">
        <f>IF($L1439&lt;&gt;"",VLOOKUP($L1439,Categories!$B$2:$D$41,3,FALSE),IF($F1439&lt;&gt;"","No Cat",""))</f>
        <v>Direct Assign Items Not in RB</v>
      </c>
      <c r="P1439" s="736" t="s">
        <v>2468</v>
      </c>
      <c r="Q1439" s="442" t="str">
        <f>VLOOKUP($P1439,Allocators!$B$7:$F$19,5,FALSE)</f>
        <v>Not in Rate Base</v>
      </c>
      <c r="R1439" s="737">
        <f>VLOOKUP($P1439,Allocators!$B$7:$F$19,2,FALSE)</f>
        <v>0</v>
      </c>
      <c r="S1439" s="737">
        <f>VLOOKUP($P1439,Allocators!$B$7:$F$19,3,FALSE)</f>
        <v>0</v>
      </c>
      <c r="T1439" s="737">
        <f t="shared" si="700"/>
        <v>1</v>
      </c>
      <c r="U1439" s="2" t="str">
        <f t="shared" si="694"/>
        <v/>
      </c>
      <c r="V1439" s="2" t="str">
        <f t="shared" si="695"/>
        <v/>
      </c>
      <c r="W1439" s="2" t="str">
        <f t="shared" si="696"/>
        <v/>
      </c>
      <c r="X1439" s="2">
        <f t="shared" si="690"/>
        <v>0</v>
      </c>
      <c r="Y1439" s="2" t="str">
        <f t="shared" si="697"/>
        <v/>
      </c>
      <c r="Z1439" s="2" t="str">
        <f t="shared" si="698"/>
        <v/>
      </c>
      <c r="AA1439" s="2" t="str">
        <f t="shared" si="699"/>
        <v/>
      </c>
      <c r="AB1439" s="2">
        <f t="shared" si="691"/>
        <v>0</v>
      </c>
      <c r="AC1439" s="625">
        <v>0</v>
      </c>
      <c r="AD1439" s="625">
        <v>0</v>
      </c>
      <c r="AE1439" s="625">
        <v>0</v>
      </c>
      <c r="AF1439" s="625">
        <v>0</v>
      </c>
      <c r="AG1439" s="625">
        <v>0</v>
      </c>
      <c r="AH1439" s="625">
        <v>0</v>
      </c>
      <c r="AI1439" s="625">
        <v>0</v>
      </c>
      <c r="AJ1439" s="625">
        <v>0</v>
      </c>
      <c r="AK1439" s="625">
        <v>0</v>
      </c>
      <c r="AL1439" s="625">
        <v>0</v>
      </c>
      <c r="AM1439" s="625">
        <v>0</v>
      </c>
      <c r="AN1439" s="625">
        <v>0</v>
      </c>
      <c r="AO1439" s="625">
        <v>0</v>
      </c>
      <c r="AP1439" s="41" t="str">
        <f t="shared" si="681"/>
        <v>Def TaxN</v>
      </c>
      <c r="AQ1439" s="41" t="str">
        <f t="shared" si="682"/>
        <v>Def TaxNN20</v>
      </c>
      <c r="AR1439" s="41" t="str">
        <f t="shared" si="683"/>
        <v>N20</v>
      </c>
    </row>
    <row r="1440" spans="1:44" s="41" customFormat="1" ht="12.75" customHeight="1">
      <c r="A1440" s="25" t="s">
        <v>1590</v>
      </c>
      <c r="B1440" s="25" t="str">
        <f t="shared" si="692"/>
        <v>Def Tax190004190-044BTHUNGDT</v>
      </c>
      <c r="C1440" s="736">
        <v>190004</v>
      </c>
      <c r="D1440" s="735" t="s">
        <v>1645</v>
      </c>
      <c r="E1440" s="41" t="s">
        <v>1624</v>
      </c>
      <c r="F1440" s="41" t="str">
        <f t="shared" si="688"/>
        <v>ACCUM DEFERRED INC TAXES-FEDERAL-GAS-NONOP</v>
      </c>
      <c r="G1440" s="41" t="s">
        <v>1646</v>
      </c>
      <c r="H1440" s="736" t="s">
        <v>1647</v>
      </c>
      <c r="I1440" s="25"/>
      <c r="J1440" s="25" t="str">
        <f t="shared" si="689"/>
        <v/>
      </c>
      <c r="K1440" s="442" t="str">
        <f t="shared" si="693"/>
        <v/>
      </c>
      <c r="L1440" s="736" t="s">
        <v>2443</v>
      </c>
      <c r="M1440" s="25" t="str">
        <f t="shared" si="679"/>
        <v>R</v>
      </c>
      <c r="N1440" s="25" t="str">
        <f>IF(L1440&lt;&gt;"",VLOOKUP(L1440,Categories!$B$2:$D$41,2,FALSE),IF(F1440&lt;&gt;"","No Cat",""))</f>
        <v>Rate Base</v>
      </c>
      <c r="O1440" s="25" t="str">
        <f>IF($L1440&lt;&gt;"",VLOOKUP($L1440,Categories!$B$2:$D$41,3,FALSE),IF($F1440&lt;&gt;"","No Cat",""))</f>
        <v>Deferred Income Taxes</v>
      </c>
      <c r="P1440" s="736" t="s">
        <v>2483</v>
      </c>
      <c r="Q1440" s="25" t="str">
        <f>VLOOKUP($P1440,Allocators!$B$7:$F$19,5,FALSE)</f>
        <v>Gas</v>
      </c>
      <c r="R1440" s="737">
        <f>VLOOKUP($P1440,Allocators!$B$7:$F$19,2,FALSE)</f>
        <v>0</v>
      </c>
      <c r="S1440" s="737">
        <f>VLOOKUP($P1440,Allocators!$B$7:$F$19,3,FALSE)</f>
        <v>1</v>
      </c>
      <c r="T1440" s="737" t="str">
        <f t="shared" si="700"/>
        <v>0.0%</v>
      </c>
      <c r="U1440" s="2" t="str">
        <f t="shared" si="694"/>
        <v/>
      </c>
      <c r="V1440" s="2" t="str">
        <f t="shared" si="695"/>
        <v/>
      </c>
      <c r="W1440" s="2" t="str">
        <f t="shared" si="696"/>
        <v/>
      </c>
      <c r="X1440" s="2">
        <f t="shared" si="690"/>
        <v>0</v>
      </c>
      <c r="Y1440" s="2" t="str">
        <f t="shared" si="697"/>
        <v/>
      </c>
      <c r="Z1440" s="2" t="str">
        <f t="shared" si="698"/>
        <v/>
      </c>
      <c r="AA1440" s="2" t="str">
        <f t="shared" si="699"/>
        <v/>
      </c>
      <c r="AB1440" s="2">
        <f t="shared" si="691"/>
        <v>0</v>
      </c>
      <c r="AC1440" s="625">
        <v>0</v>
      </c>
      <c r="AD1440" s="625">
        <v>0</v>
      </c>
      <c r="AE1440" s="625">
        <v>0</v>
      </c>
      <c r="AF1440" s="625">
        <v>0</v>
      </c>
      <c r="AG1440" s="625">
        <v>0</v>
      </c>
      <c r="AH1440" s="625">
        <v>0</v>
      </c>
      <c r="AI1440" s="625">
        <v>0</v>
      </c>
      <c r="AJ1440" s="625">
        <v>0</v>
      </c>
      <c r="AK1440" s="625">
        <v>0</v>
      </c>
      <c r="AL1440" s="625">
        <v>0</v>
      </c>
      <c r="AM1440" s="625">
        <v>0</v>
      </c>
      <c r="AN1440" s="625">
        <v>0</v>
      </c>
      <c r="AO1440" s="625">
        <v>0</v>
      </c>
      <c r="AP1440" s="41" t="str">
        <f t="shared" si="681"/>
        <v>Def TaxR</v>
      </c>
      <c r="AQ1440" s="41" t="str">
        <f t="shared" si="682"/>
        <v>Def TaxRR11Deferred Comp</v>
      </c>
      <c r="AR1440" s="41" t="str">
        <f t="shared" si="683"/>
        <v>R11Deferred Comp</v>
      </c>
    </row>
    <row r="1441" spans="1:44" s="41" customFormat="1" ht="12.75" customHeight="1">
      <c r="A1441" s="442" t="s">
        <v>1590</v>
      </c>
      <c r="B1441" s="442" t="str">
        <f t="shared" si="692"/>
        <v>Def Tax190004190-054</v>
      </c>
      <c r="C1441" s="736">
        <v>190004</v>
      </c>
      <c r="D1441" s="735" t="s">
        <v>1791</v>
      </c>
      <c r="E1441" s="626"/>
      <c r="F1441" s="626" t="str">
        <f t="shared" si="688"/>
        <v>ACCUM DEFERRED INC TAXES-FEDERAL-GAS-NONOP</v>
      </c>
      <c r="G1441" s="626" t="s">
        <v>1792</v>
      </c>
      <c r="H1441" s="736">
        <v>0</v>
      </c>
      <c r="I1441" s="442"/>
      <c r="J1441" s="442" t="str">
        <f t="shared" si="689"/>
        <v/>
      </c>
      <c r="K1441" s="442" t="str">
        <f t="shared" si="693"/>
        <v/>
      </c>
      <c r="L1441" s="736" t="s">
        <v>2421</v>
      </c>
      <c r="M1441" s="442" t="str">
        <f t="shared" si="679"/>
        <v>N</v>
      </c>
      <c r="N1441" s="442" t="str">
        <f>IF(L1441&lt;&gt;"",VLOOKUP(L1441,Categories!$B$2:$D$41,2,FALSE),IF(F1441&lt;&gt;"","No Cat",""))</f>
        <v>NRBASE</v>
      </c>
      <c r="O1441" s="442" t="str">
        <f>IF($L1441&lt;&gt;"",VLOOKUP($L1441,Categories!$B$2:$D$41,3,FALSE),IF($F1441&lt;&gt;"","No Cat",""))</f>
        <v>Direct Assign Items Not in RB</v>
      </c>
      <c r="P1441" s="736" t="s">
        <v>2468</v>
      </c>
      <c r="Q1441" s="442" t="str">
        <f>VLOOKUP($P1441,Allocators!$B$7:$F$19,5,FALSE)</f>
        <v>Not in Rate Base</v>
      </c>
      <c r="R1441" s="737">
        <f>VLOOKUP($P1441,Allocators!$B$7:$F$19,2,FALSE)</f>
        <v>0</v>
      </c>
      <c r="S1441" s="737">
        <f>VLOOKUP($P1441,Allocators!$B$7:$F$19,3,FALSE)</f>
        <v>0</v>
      </c>
      <c r="T1441" s="737">
        <f t="shared" si="700"/>
        <v>1</v>
      </c>
      <c r="U1441" s="2" t="str">
        <f t="shared" si="694"/>
        <v/>
      </c>
      <c r="V1441" s="2" t="str">
        <f t="shared" si="695"/>
        <v/>
      </c>
      <c r="W1441" s="2" t="str">
        <f t="shared" si="696"/>
        <v/>
      </c>
      <c r="X1441" s="2">
        <f t="shared" si="690"/>
        <v>0</v>
      </c>
      <c r="Y1441" s="2" t="str">
        <f t="shared" si="697"/>
        <v/>
      </c>
      <c r="Z1441" s="2" t="str">
        <f t="shared" si="698"/>
        <v/>
      </c>
      <c r="AA1441" s="2" t="str">
        <f t="shared" si="699"/>
        <v/>
      </c>
      <c r="AB1441" s="2">
        <f t="shared" si="691"/>
        <v>0</v>
      </c>
      <c r="AC1441" s="625">
        <v>0</v>
      </c>
      <c r="AD1441" s="625">
        <v>0</v>
      </c>
      <c r="AE1441" s="625">
        <v>0</v>
      </c>
      <c r="AF1441" s="625">
        <v>0</v>
      </c>
      <c r="AG1441" s="625">
        <v>0</v>
      </c>
      <c r="AH1441" s="625">
        <v>0</v>
      </c>
      <c r="AI1441" s="625">
        <v>0</v>
      </c>
      <c r="AJ1441" s="625">
        <v>0</v>
      </c>
      <c r="AK1441" s="625">
        <v>0</v>
      </c>
      <c r="AL1441" s="625">
        <v>0</v>
      </c>
      <c r="AM1441" s="625">
        <v>0</v>
      </c>
      <c r="AN1441" s="625">
        <v>0</v>
      </c>
      <c r="AO1441" s="625">
        <v>0</v>
      </c>
      <c r="AP1441" s="41" t="str">
        <f t="shared" si="681"/>
        <v>Def TaxN</v>
      </c>
      <c r="AQ1441" s="41" t="str">
        <f t="shared" si="682"/>
        <v>Def TaxNN20</v>
      </c>
      <c r="AR1441" s="41" t="str">
        <f t="shared" si="683"/>
        <v>N20</v>
      </c>
    </row>
    <row r="1442" spans="1:44" s="41" customFormat="1" ht="12.75" customHeight="1">
      <c r="A1442" s="442" t="s">
        <v>1590</v>
      </c>
      <c r="B1442" s="442" t="str">
        <f t="shared" si="692"/>
        <v>Def Tax190004190-057BT010083</v>
      </c>
      <c r="C1442" s="736">
        <v>190004</v>
      </c>
      <c r="D1442" s="735" t="s">
        <v>1793</v>
      </c>
      <c r="E1442" s="626" t="s">
        <v>1794</v>
      </c>
      <c r="F1442" s="626" t="str">
        <f t="shared" si="688"/>
        <v>ACCUM DEFERRED INC TAXES-FEDERAL-GAS-NONOP</v>
      </c>
      <c r="G1442" s="626" t="s">
        <v>1795</v>
      </c>
      <c r="H1442" s="736" t="s">
        <v>1796</v>
      </c>
      <c r="I1442" s="442"/>
      <c r="J1442" s="442" t="str">
        <f t="shared" si="689"/>
        <v/>
      </c>
      <c r="K1442" s="442" t="str">
        <f t="shared" si="693"/>
        <v/>
      </c>
      <c r="L1442" s="736" t="s">
        <v>2421</v>
      </c>
      <c r="M1442" s="442" t="str">
        <f t="shared" si="679"/>
        <v>N</v>
      </c>
      <c r="N1442" s="442" t="str">
        <f>IF(L1442&lt;&gt;"",VLOOKUP(L1442,Categories!$B$2:$D$41,2,FALSE),IF(F1442&lt;&gt;"","No Cat",""))</f>
        <v>NRBASE</v>
      </c>
      <c r="O1442" s="442" t="str">
        <f>IF($L1442&lt;&gt;"",VLOOKUP($L1442,Categories!$B$2:$D$41,3,FALSE),IF($F1442&lt;&gt;"","No Cat",""))</f>
        <v>Direct Assign Items Not in RB</v>
      </c>
      <c r="P1442" s="736" t="s">
        <v>2468</v>
      </c>
      <c r="Q1442" s="442" t="str">
        <f>VLOOKUP($P1442,Allocators!$B$7:$F$19,5,FALSE)</f>
        <v>Not in Rate Base</v>
      </c>
      <c r="R1442" s="737">
        <f>VLOOKUP($P1442,Allocators!$B$7:$F$19,2,FALSE)</f>
        <v>0</v>
      </c>
      <c r="S1442" s="737">
        <f>VLOOKUP($P1442,Allocators!$B$7:$F$19,3,FALSE)</f>
        <v>0</v>
      </c>
      <c r="T1442" s="737">
        <f t="shared" si="700"/>
        <v>1</v>
      </c>
      <c r="U1442" s="2" t="str">
        <f t="shared" si="694"/>
        <v/>
      </c>
      <c r="V1442" s="2" t="str">
        <f t="shared" si="695"/>
        <v/>
      </c>
      <c r="W1442" s="2" t="str">
        <f t="shared" si="696"/>
        <v/>
      </c>
      <c r="X1442" s="2">
        <f t="shared" si="690"/>
        <v>0</v>
      </c>
      <c r="Y1442" s="2" t="str">
        <f t="shared" si="697"/>
        <v/>
      </c>
      <c r="Z1442" s="2" t="str">
        <f t="shared" si="698"/>
        <v/>
      </c>
      <c r="AA1442" s="2" t="str">
        <f t="shared" si="699"/>
        <v/>
      </c>
      <c r="AB1442" s="2">
        <f t="shared" si="691"/>
        <v>0</v>
      </c>
      <c r="AC1442" s="625">
        <v>0</v>
      </c>
      <c r="AD1442" s="625">
        <v>0</v>
      </c>
      <c r="AE1442" s="625">
        <v>0</v>
      </c>
      <c r="AF1442" s="625">
        <v>0</v>
      </c>
      <c r="AG1442" s="625">
        <v>0</v>
      </c>
      <c r="AH1442" s="625">
        <v>0</v>
      </c>
      <c r="AI1442" s="625">
        <v>0</v>
      </c>
      <c r="AJ1442" s="625">
        <v>0</v>
      </c>
      <c r="AK1442" s="625">
        <v>0</v>
      </c>
      <c r="AL1442" s="625">
        <v>0</v>
      </c>
      <c r="AM1442" s="625">
        <v>0</v>
      </c>
      <c r="AN1442" s="625">
        <v>0</v>
      </c>
      <c r="AO1442" s="625">
        <v>0</v>
      </c>
      <c r="AP1442" s="41" t="str">
        <f t="shared" si="681"/>
        <v>Def TaxN</v>
      </c>
      <c r="AQ1442" s="41" t="str">
        <f t="shared" si="682"/>
        <v>Def TaxNN2Executive Incentive Plan</v>
      </c>
      <c r="AR1442" s="41" t="str">
        <f t="shared" si="683"/>
        <v>N2Executive Incentive Plan</v>
      </c>
    </row>
    <row r="1443" spans="1:44" s="41" customFormat="1" ht="12.75" customHeight="1">
      <c r="A1443" s="442" t="s">
        <v>1590</v>
      </c>
      <c r="B1443" s="442" t="str">
        <f t="shared" si="692"/>
        <v>Def Tax190004190-066BTHUNGDT</v>
      </c>
      <c r="C1443" s="736">
        <v>190004</v>
      </c>
      <c r="D1443" s="735" t="s">
        <v>1797</v>
      </c>
      <c r="E1443" s="626" t="s">
        <v>1624</v>
      </c>
      <c r="F1443" s="626" t="str">
        <f t="shared" si="688"/>
        <v>ACCUM DEFERRED INC TAXES-FEDERAL-GAS-NONOP</v>
      </c>
      <c r="G1443" s="626" t="s">
        <v>1798</v>
      </c>
      <c r="H1443" s="736" t="s">
        <v>2880</v>
      </c>
      <c r="I1443" s="442"/>
      <c r="J1443" s="442" t="str">
        <f t="shared" si="689"/>
        <v/>
      </c>
      <c r="K1443" s="442" t="str">
        <f t="shared" si="693"/>
        <v/>
      </c>
      <c r="L1443" s="736" t="s">
        <v>2421</v>
      </c>
      <c r="M1443" s="442" t="str">
        <f t="shared" si="679"/>
        <v>N</v>
      </c>
      <c r="N1443" s="442" t="str">
        <f>IF(L1443&lt;&gt;"",VLOOKUP(L1443,Categories!$B$2:$D$41,2,FALSE),IF(F1443&lt;&gt;"","No Cat",""))</f>
        <v>NRBASE</v>
      </c>
      <c r="O1443" s="442" t="str">
        <f>IF($L1443&lt;&gt;"",VLOOKUP($L1443,Categories!$B$2:$D$41,3,FALSE),IF($F1443&lt;&gt;"","No Cat",""))</f>
        <v>Direct Assign Items Not in RB</v>
      </c>
      <c r="P1443" s="736" t="s">
        <v>2468</v>
      </c>
      <c r="Q1443" s="442" t="str">
        <f>VLOOKUP($P1443,Allocators!$B$7:$F$19,5,FALSE)</f>
        <v>Not in Rate Base</v>
      </c>
      <c r="R1443" s="737">
        <f>VLOOKUP($P1443,Allocators!$B$7:$F$19,2,FALSE)</f>
        <v>0</v>
      </c>
      <c r="S1443" s="737">
        <f>VLOOKUP($P1443,Allocators!$B$7:$F$19,3,FALSE)</f>
        <v>0</v>
      </c>
      <c r="T1443" s="737">
        <f t="shared" si="700"/>
        <v>1</v>
      </c>
      <c r="U1443" s="2" t="str">
        <f t="shared" si="694"/>
        <v/>
      </c>
      <c r="V1443" s="2" t="str">
        <f t="shared" si="695"/>
        <v/>
      </c>
      <c r="W1443" s="2" t="str">
        <f t="shared" si="696"/>
        <v/>
      </c>
      <c r="X1443" s="2">
        <f t="shared" si="690"/>
        <v>0</v>
      </c>
      <c r="Y1443" s="2" t="str">
        <f t="shared" si="697"/>
        <v/>
      </c>
      <c r="Z1443" s="2" t="str">
        <f t="shared" si="698"/>
        <v/>
      </c>
      <c r="AA1443" s="2" t="str">
        <f t="shared" si="699"/>
        <v/>
      </c>
      <c r="AB1443" s="2">
        <f t="shared" si="691"/>
        <v>0</v>
      </c>
      <c r="AC1443" s="625">
        <v>0</v>
      </c>
      <c r="AD1443" s="625">
        <v>0</v>
      </c>
      <c r="AE1443" s="625">
        <v>0</v>
      </c>
      <c r="AF1443" s="625">
        <v>0</v>
      </c>
      <c r="AG1443" s="625">
        <v>0</v>
      </c>
      <c r="AH1443" s="625">
        <v>0</v>
      </c>
      <c r="AI1443" s="625">
        <v>0</v>
      </c>
      <c r="AJ1443" s="625">
        <v>0</v>
      </c>
      <c r="AK1443" s="625">
        <v>0</v>
      </c>
      <c r="AL1443" s="625">
        <v>0</v>
      </c>
      <c r="AM1443" s="625">
        <v>0</v>
      </c>
      <c r="AN1443" s="625">
        <v>0</v>
      </c>
      <c r="AO1443" s="625">
        <v>0</v>
      </c>
      <c r="AP1443" s="41" t="str">
        <f t="shared" si="681"/>
        <v>Def TaxN</v>
      </c>
      <c r="AQ1443" s="41" t="str">
        <f t="shared" si="682"/>
        <v>Def TaxNN2Hung Deferred Taxes</v>
      </c>
      <c r="AR1443" s="41" t="str">
        <f t="shared" si="683"/>
        <v>N2Hung Deferred Taxes</v>
      </c>
    </row>
    <row r="1444" spans="1:44" s="41" customFormat="1" ht="12.75" customHeight="1">
      <c r="A1444" s="442" t="s">
        <v>1590</v>
      </c>
      <c r="B1444" s="442" t="str">
        <f t="shared" si="692"/>
        <v>Def Tax190004190-068BTHUNGDT</v>
      </c>
      <c r="C1444" s="736">
        <v>190004</v>
      </c>
      <c r="D1444" s="735" t="s">
        <v>1799</v>
      </c>
      <c r="E1444" s="626" t="s">
        <v>1624</v>
      </c>
      <c r="F1444" s="626" t="str">
        <f t="shared" si="688"/>
        <v>ACCUM DEFERRED INC TAXES-FEDERAL-GAS-NONOP</v>
      </c>
      <c r="G1444" s="626" t="s">
        <v>1800</v>
      </c>
      <c r="H1444" s="736" t="s">
        <v>2880</v>
      </c>
      <c r="I1444" s="442"/>
      <c r="J1444" s="442" t="str">
        <f t="shared" si="689"/>
        <v/>
      </c>
      <c r="K1444" s="442" t="str">
        <f t="shared" si="693"/>
        <v/>
      </c>
      <c r="L1444" s="736" t="s">
        <v>2421</v>
      </c>
      <c r="M1444" s="442" t="str">
        <f t="shared" si="679"/>
        <v>N</v>
      </c>
      <c r="N1444" s="442" t="str">
        <f>IF(L1444&lt;&gt;"",VLOOKUP(L1444,Categories!$B$2:$D$41,2,FALSE),IF(F1444&lt;&gt;"","No Cat",""))</f>
        <v>NRBASE</v>
      </c>
      <c r="O1444" s="442" t="str">
        <f>IF($L1444&lt;&gt;"",VLOOKUP($L1444,Categories!$B$2:$D$41,3,FALSE),IF($F1444&lt;&gt;"","No Cat",""))</f>
        <v>Direct Assign Items Not in RB</v>
      </c>
      <c r="P1444" s="736" t="s">
        <v>2468</v>
      </c>
      <c r="Q1444" s="442" t="str">
        <f>VLOOKUP($P1444,Allocators!$B$7:$F$19,5,FALSE)</f>
        <v>Not in Rate Base</v>
      </c>
      <c r="R1444" s="737">
        <f>VLOOKUP($P1444,Allocators!$B$7:$F$19,2,FALSE)</f>
        <v>0</v>
      </c>
      <c r="S1444" s="737">
        <f>VLOOKUP($P1444,Allocators!$B$7:$F$19,3,FALSE)</f>
        <v>0</v>
      </c>
      <c r="T1444" s="737">
        <f t="shared" si="700"/>
        <v>1</v>
      </c>
      <c r="U1444" s="2" t="str">
        <f t="shared" si="694"/>
        <v/>
      </c>
      <c r="V1444" s="2" t="str">
        <f t="shared" si="695"/>
        <v/>
      </c>
      <c r="W1444" s="2" t="str">
        <f t="shared" si="696"/>
        <v/>
      </c>
      <c r="X1444" s="2">
        <f t="shared" si="690"/>
        <v>0</v>
      </c>
      <c r="Y1444" s="2" t="str">
        <f t="shared" si="697"/>
        <v/>
      </c>
      <c r="Z1444" s="2" t="str">
        <f t="shared" si="698"/>
        <v/>
      </c>
      <c r="AA1444" s="2" t="str">
        <f t="shared" si="699"/>
        <v/>
      </c>
      <c r="AB1444" s="2">
        <f t="shared" si="691"/>
        <v>0</v>
      </c>
      <c r="AC1444" s="625">
        <v>0</v>
      </c>
      <c r="AD1444" s="625">
        <v>0</v>
      </c>
      <c r="AE1444" s="625">
        <v>0</v>
      </c>
      <c r="AF1444" s="625">
        <v>0</v>
      </c>
      <c r="AG1444" s="625">
        <v>0</v>
      </c>
      <c r="AH1444" s="625">
        <v>0</v>
      </c>
      <c r="AI1444" s="625">
        <v>0</v>
      </c>
      <c r="AJ1444" s="625">
        <v>0</v>
      </c>
      <c r="AK1444" s="625">
        <v>0</v>
      </c>
      <c r="AL1444" s="625">
        <v>0</v>
      </c>
      <c r="AM1444" s="625">
        <v>0</v>
      </c>
      <c r="AN1444" s="625">
        <v>0</v>
      </c>
      <c r="AO1444" s="625">
        <v>0</v>
      </c>
      <c r="AP1444" s="41" t="str">
        <f t="shared" si="681"/>
        <v>Def TaxN</v>
      </c>
      <c r="AQ1444" s="41" t="str">
        <f t="shared" si="682"/>
        <v>Def TaxNN2Hung Deferred Taxes</v>
      </c>
      <c r="AR1444" s="41" t="str">
        <f t="shared" si="683"/>
        <v>N2Hung Deferred Taxes</v>
      </c>
    </row>
    <row r="1445" spans="1:44" s="41" customFormat="1" ht="12.75" customHeight="1">
      <c r="A1445" s="442" t="s">
        <v>1590</v>
      </c>
      <c r="B1445" s="442" t="str">
        <f t="shared" si="692"/>
        <v>Def Tax190004190-074BTHUNGDT</v>
      </c>
      <c r="C1445" s="736">
        <v>190004</v>
      </c>
      <c r="D1445" s="735" t="s">
        <v>1725</v>
      </c>
      <c r="E1445" s="626" t="s">
        <v>1624</v>
      </c>
      <c r="F1445" s="626" t="str">
        <f t="shared" si="688"/>
        <v>ACCUM DEFERRED INC TAXES-FEDERAL-GAS-NONOP</v>
      </c>
      <c r="G1445" s="626" t="s">
        <v>1801</v>
      </c>
      <c r="H1445" s="736" t="s">
        <v>2880</v>
      </c>
      <c r="I1445" s="442"/>
      <c r="J1445" s="442" t="str">
        <f t="shared" si="689"/>
        <v/>
      </c>
      <c r="K1445" s="442" t="str">
        <f t="shared" si="693"/>
        <v/>
      </c>
      <c r="L1445" s="736" t="s">
        <v>2421</v>
      </c>
      <c r="M1445" s="442" t="str">
        <f t="shared" si="679"/>
        <v>N</v>
      </c>
      <c r="N1445" s="442" t="str">
        <f>IF(L1445&lt;&gt;"",VLOOKUP(L1445,Categories!$B$2:$D$41,2,FALSE),IF(F1445&lt;&gt;"","No Cat",""))</f>
        <v>NRBASE</v>
      </c>
      <c r="O1445" s="442" t="str">
        <f>IF($L1445&lt;&gt;"",VLOOKUP($L1445,Categories!$B$2:$D$41,3,FALSE),IF($F1445&lt;&gt;"","No Cat",""))</f>
        <v>Direct Assign Items Not in RB</v>
      </c>
      <c r="P1445" s="736" t="s">
        <v>2468</v>
      </c>
      <c r="Q1445" s="442" t="str">
        <f>VLOOKUP($P1445,Allocators!$B$7:$F$19,5,FALSE)</f>
        <v>Not in Rate Base</v>
      </c>
      <c r="R1445" s="737">
        <f>VLOOKUP($P1445,Allocators!$B$7:$F$19,2,FALSE)</f>
        <v>0</v>
      </c>
      <c r="S1445" s="737">
        <f>VLOOKUP($P1445,Allocators!$B$7:$F$19,3,FALSE)</f>
        <v>0</v>
      </c>
      <c r="T1445" s="737">
        <f t="shared" si="700"/>
        <v>1</v>
      </c>
      <c r="U1445" s="2" t="str">
        <f t="shared" si="694"/>
        <v/>
      </c>
      <c r="V1445" s="2" t="str">
        <f t="shared" si="695"/>
        <v/>
      </c>
      <c r="W1445" s="2" t="str">
        <f t="shared" si="696"/>
        <v/>
      </c>
      <c r="X1445" s="2">
        <f t="shared" si="690"/>
        <v>0</v>
      </c>
      <c r="Y1445" s="2" t="str">
        <f t="shared" si="697"/>
        <v/>
      </c>
      <c r="Z1445" s="2" t="str">
        <f t="shared" si="698"/>
        <v/>
      </c>
      <c r="AA1445" s="2" t="str">
        <f t="shared" si="699"/>
        <v/>
      </c>
      <c r="AB1445" s="2">
        <f t="shared" si="691"/>
        <v>0</v>
      </c>
      <c r="AC1445" s="625">
        <v>0</v>
      </c>
      <c r="AD1445" s="625">
        <v>0</v>
      </c>
      <c r="AE1445" s="625">
        <v>0</v>
      </c>
      <c r="AF1445" s="625">
        <v>0</v>
      </c>
      <c r="AG1445" s="625">
        <v>0</v>
      </c>
      <c r="AH1445" s="625">
        <v>0</v>
      </c>
      <c r="AI1445" s="625">
        <v>0</v>
      </c>
      <c r="AJ1445" s="625">
        <v>0</v>
      </c>
      <c r="AK1445" s="625">
        <v>0</v>
      </c>
      <c r="AL1445" s="625">
        <v>0</v>
      </c>
      <c r="AM1445" s="625">
        <v>0</v>
      </c>
      <c r="AN1445" s="625">
        <v>0</v>
      </c>
      <c r="AO1445" s="625">
        <v>0</v>
      </c>
      <c r="AP1445" s="41" t="str">
        <f t="shared" si="681"/>
        <v>Def TaxN</v>
      </c>
      <c r="AQ1445" s="41" t="str">
        <f t="shared" si="682"/>
        <v>Def TaxNN2Hung Deferred Taxes</v>
      </c>
      <c r="AR1445" s="41" t="str">
        <f t="shared" si="683"/>
        <v>N2Hung Deferred Taxes</v>
      </c>
    </row>
    <row r="1446" spans="1:44" s="41" customFormat="1" ht="12.75" customHeight="1">
      <c r="A1446" s="442" t="s">
        <v>1590</v>
      </c>
      <c r="B1446" s="442" t="str">
        <f t="shared" si="692"/>
        <v>Def Tax190004190-076BTHUNGDT</v>
      </c>
      <c r="C1446" s="736">
        <v>190004</v>
      </c>
      <c r="D1446" s="735" t="s">
        <v>1802</v>
      </c>
      <c r="E1446" s="626" t="s">
        <v>1624</v>
      </c>
      <c r="F1446" s="626" t="str">
        <f t="shared" si="688"/>
        <v>ACCUM DEFERRED INC TAXES-FEDERAL-GAS-NONOP</v>
      </c>
      <c r="G1446" s="626" t="s">
        <v>1803</v>
      </c>
      <c r="H1446" s="736" t="s">
        <v>2880</v>
      </c>
      <c r="I1446" s="442"/>
      <c r="J1446" s="442" t="str">
        <f t="shared" si="689"/>
        <v/>
      </c>
      <c r="K1446" s="442" t="str">
        <f t="shared" si="693"/>
        <v/>
      </c>
      <c r="L1446" s="736" t="s">
        <v>2421</v>
      </c>
      <c r="M1446" s="442" t="str">
        <f t="shared" si="679"/>
        <v>N</v>
      </c>
      <c r="N1446" s="442" t="str">
        <f>IF(L1446&lt;&gt;"",VLOOKUP(L1446,Categories!$B$2:$D$41,2,FALSE),IF(F1446&lt;&gt;"","No Cat",""))</f>
        <v>NRBASE</v>
      </c>
      <c r="O1446" s="442" t="str">
        <f>IF($L1446&lt;&gt;"",VLOOKUP($L1446,Categories!$B$2:$D$41,3,FALSE),IF($F1446&lt;&gt;"","No Cat",""))</f>
        <v>Direct Assign Items Not in RB</v>
      </c>
      <c r="P1446" s="736" t="s">
        <v>2468</v>
      </c>
      <c r="Q1446" s="442" t="str">
        <f>VLOOKUP($P1446,Allocators!$B$7:$F$19,5,FALSE)</f>
        <v>Not in Rate Base</v>
      </c>
      <c r="R1446" s="737">
        <f>VLOOKUP($P1446,Allocators!$B$7:$F$19,2,FALSE)</f>
        <v>0</v>
      </c>
      <c r="S1446" s="737">
        <f>VLOOKUP($P1446,Allocators!$B$7:$F$19,3,FALSE)</f>
        <v>0</v>
      </c>
      <c r="T1446" s="737">
        <f t="shared" si="700"/>
        <v>1</v>
      </c>
      <c r="U1446" s="2" t="str">
        <f t="shared" si="694"/>
        <v/>
      </c>
      <c r="V1446" s="2" t="str">
        <f t="shared" si="695"/>
        <v/>
      </c>
      <c r="W1446" s="2" t="str">
        <f t="shared" si="696"/>
        <v/>
      </c>
      <c r="X1446" s="2">
        <f t="shared" si="690"/>
        <v>0</v>
      </c>
      <c r="Y1446" s="2" t="str">
        <f t="shared" si="697"/>
        <v/>
      </c>
      <c r="Z1446" s="2" t="str">
        <f t="shared" si="698"/>
        <v/>
      </c>
      <c r="AA1446" s="2" t="str">
        <f t="shared" si="699"/>
        <v/>
      </c>
      <c r="AB1446" s="2">
        <f t="shared" si="691"/>
        <v>0</v>
      </c>
      <c r="AC1446" s="625">
        <v>0</v>
      </c>
      <c r="AD1446" s="625">
        <v>0</v>
      </c>
      <c r="AE1446" s="625">
        <v>0</v>
      </c>
      <c r="AF1446" s="625">
        <v>0</v>
      </c>
      <c r="AG1446" s="625">
        <v>0</v>
      </c>
      <c r="AH1446" s="625">
        <v>0</v>
      </c>
      <c r="AI1446" s="625">
        <v>0</v>
      </c>
      <c r="AJ1446" s="625">
        <v>0</v>
      </c>
      <c r="AK1446" s="625">
        <v>0</v>
      </c>
      <c r="AL1446" s="625">
        <v>0</v>
      </c>
      <c r="AM1446" s="625">
        <v>0</v>
      </c>
      <c r="AN1446" s="625">
        <v>0</v>
      </c>
      <c r="AO1446" s="625">
        <v>0</v>
      </c>
      <c r="AP1446" s="41" t="str">
        <f t="shared" si="681"/>
        <v>Def TaxN</v>
      </c>
      <c r="AQ1446" s="41" t="str">
        <f t="shared" si="682"/>
        <v>Def TaxNN2Hung Deferred Taxes</v>
      </c>
      <c r="AR1446" s="41" t="str">
        <f t="shared" si="683"/>
        <v>N2Hung Deferred Taxes</v>
      </c>
    </row>
    <row r="1447" spans="1:44" s="41" customFormat="1" ht="12.75" customHeight="1">
      <c r="A1447" s="442" t="s">
        <v>1590</v>
      </c>
      <c r="B1447" s="442" t="str">
        <f t="shared" si="692"/>
        <v>Def Tax190004190-077BTHUNGDT</v>
      </c>
      <c r="C1447" s="736">
        <v>190004</v>
      </c>
      <c r="D1447" s="735" t="s">
        <v>1804</v>
      </c>
      <c r="E1447" s="626" t="s">
        <v>1624</v>
      </c>
      <c r="F1447" s="626" t="str">
        <f t="shared" si="688"/>
        <v>ACCUM DEFERRED INC TAXES-FEDERAL-GAS-NONOP</v>
      </c>
      <c r="G1447" s="626" t="s">
        <v>1805</v>
      </c>
      <c r="H1447" s="736" t="s">
        <v>2880</v>
      </c>
      <c r="I1447" s="442"/>
      <c r="J1447" s="442" t="str">
        <f t="shared" si="689"/>
        <v/>
      </c>
      <c r="K1447" s="442" t="str">
        <f t="shared" si="693"/>
        <v/>
      </c>
      <c r="L1447" s="736" t="s">
        <v>2421</v>
      </c>
      <c r="M1447" s="442" t="str">
        <f t="shared" si="679"/>
        <v>N</v>
      </c>
      <c r="N1447" s="442" t="str">
        <f>IF(L1447&lt;&gt;"",VLOOKUP(L1447,Categories!$B$2:$D$41,2,FALSE),IF(F1447&lt;&gt;"","No Cat",""))</f>
        <v>NRBASE</v>
      </c>
      <c r="O1447" s="442" t="str">
        <f>IF($L1447&lt;&gt;"",VLOOKUP($L1447,Categories!$B$2:$D$41,3,FALSE),IF($F1447&lt;&gt;"","No Cat",""))</f>
        <v>Direct Assign Items Not in RB</v>
      </c>
      <c r="P1447" s="736" t="s">
        <v>2468</v>
      </c>
      <c r="Q1447" s="442" t="str">
        <f>VLOOKUP($P1447,Allocators!$B$7:$F$19,5,FALSE)</f>
        <v>Not in Rate Base</v>
      </c>
      <c r="R1447" s="737">
        <f>VLOOKUP($P1447,Allocators!$B$7:$F$19,2,FALSE)</f>
        <v>0</v>
      </c>
      <c r="S1447" s="737">
        <f>VLOOKUP($P1447,Allocators!$B$7:$F$19,3,FALSE)</f>
        <v>0</v>
      </c>
      <c r="T1447" s="737">
        <f t="shared" si="700"/>
        <v>1</v>
      </c>
      <c r="U1447" s="2" t="str">
        <f t="shared" si="694"/>
        <v/>
      </c>
      <c r="V1447" s="2" t="str">
        <f t="shared" si="695"/>
        <v/>
      </c>
      <c r="W1447" s="2" t="str">
        <f t="shared" si="696"/>
        <v/>
      </c>
      <c r="X1447" s="2">
        <f t="shared" si="690"/>
        <v>0</v>
      </c>
      <c r="Y1447" s="2" t="str">
        <f t="shared" si="697"/>
        <v/>
      </c>
      <c r="Z1447" s="2" t="str">
        <f t="shared" si="698"/>
        <v/>
      </c>
      <c r="AA1447" s="2" t="str">
        <f t="shared" si="699"/>
        <v/>
      </c>
      <c r="AB1447" s="2">
        <f t="shared" si="691"/>
        <v>0</v>
      </c>
      <c r="AC1447" s="625">
        <v>0</v>
      </c>
      <c r="AD1447" s="625">
        <v>0</v>
      </c>
      <c r="AE1447" s="625">
        <v>0</v>
      </c>
      <c r="AF1447" s="625">
        <v>0</v>
      </c>
      <c r="AG1447" s="625">
        <v>0</v>
      </c>
      <c r="AH1447" s="625">
        <v>0</v>
      </c>
      <c r="AI1447" s="625">
        <v>0</v>
      </c>
      <c r="AJ1447" s="625">
        <v>0</v>
      </c>
      <c r="AK1447" s="625">
        <v>0</v>
      </c>
      <c r="AL1447" s="625">
        <v>0</v>
      </c>
      <c r="AM1447" s="625">
        <v>0</v>
      </c>
      <c r="AN1447" s="625">
        <v>0</v>
      </c>
      <c r="AO1447" s="625">
        <v>0</v>
      </c>
      <c r="AP1447" s="41" t="str">
        <f t="shared" si="681"/>
        <v>Def TaxN</v>
      </c>
      <c r="AQ1447" s="41" t="str">
        <f t="shared" si="682"/>
        <v>Def TaxNN2Hung Deferred Taxes</v>
      </c>
      <c r="AR1447" s="41" t="str">
        <f t="shared" si="683"/>
        <v>N2Hung Deferred Taxes</v>
      </c>
    </row>
    <row r="1448" spans="1:44" s="41" customFormat="1" ht="12.75" customHeight="1">
      <c r="A1448" s="25" t="s">
        <v>1590</v>
      </c>
      <c r="B1448" s="25" t="str">
        <f t="shared" si="692"/>
        <v>Def Tax190004190-084BT010126</v>
      </c>
      <c r="C1448" s="736">
        <v>190004</v>
      </c>
      <c r="D1448" s="735" t="s">
        <v>1806</v>
      </c>
      <c r="E1448" s="41" t="s">
        <v>1807</v>
      </c>
      <c r="F1448" s="41" t="str">
        <f t="shared" si="688"/>
        <v>ACCUM DEFERRED INC TAXES-FEDERAL-GAS-NONOP</v>
      </c>
      <c r="G1448" s="41" t="s">
        <v>1808</v>
      </c>
      <c r="H1448" s="736" t="s">
        <v>1629</v>
      </c>
      <c r="I1448" s="25"/>
      <c r="J1448" s="25" t="str">
        <f t="shared" si="689"/>
        <v/>
      </c>
      <c r="K1448" s="442" t="str">
        <f t="shared" si="693"/>
        <v/>
      </c>
      <c r="L1448" s="736" t="s">
        <v>2443</v>
      </c>
      <c r="M1448" s="25" t="str">
        <f t="shared" si="679"/>
        <v>R</v>
      </c>
      <c r="N1448" s="25" t="str">
        <f>IF(L1448&lt;&gt;"",VLOOKUP(L1448,Categories!$B$2:$D$41,2,FALSE),IF(F1448&lt;&gt;"","No Cat",""))</f>
        <v>Rate Base</v>
      </c>
      <c r="O1448" s="25" t="str">
        <f>IF($L1448&lt;&gt;"",VLOOKUP($L1448,Categories!$B$2:$D$41,3,FALSE),IF($F1448&lt;&gt;"","No Cat",""))</f>
        <v>Deferred Income Taxes</v>
      </c>
      <c r="P1448" s="736" t="s">
        <v>2483</v>
      </c>
      <c r="Q1448" s="25" t="str">
        <f>VLOOKUP($P1448,Allocators!$B$7:$F$19,5,FALSE)</f>
        <v>Gas</v>
      </c>
      <c r="R1448" s="737">
        <f>VLOOKUP($P1448,Allocators!$B$7:$F$19,2,FALSE)</f>
        <v>0</v>
      </c>
      <c r="S1448" s="737">
        <f>VLOOKUP($P1448,Allocators!$B$7:$F$19,3,FALSE)</f>
        <v>1</v>
      </c>
      <c r="T1448" s="737" t="str">
        <f t="shared" si="700"/>
        <v>0.0%</v>
      </c>
      <c r="U1448" s="2" t="str">
        <f t="shared" si="694"/>
        <v/>
      </c>
      <c r="V1448" s="2" t="str">
        <f t="shared" si="695"/>
        <v/>
      </c>
      <c r="W1448" s="2" t="str">
        <f t="shared" si="696"/>
        <v/>
      </c>
      <c r="X1448" s="2">
        <f t="shared" si="690"/>
        <v>0</v>
      </c>
      <c r="Y1448" s="2" t="str">
        <f t="shared" si="697"/>
        <v/>
      </c>
      <c r="Z1448" s="2" t="str">
        <f t="shared" si="698"/>
        <v/>
      </c>
      <c r="AA1448" s="2" t="str">
        <f t="shared" si="699"/>
        <v/>
      </c>
      <c r="AB1448" s="2">
        <f t="shared" si="691"/>
        <v>0</v>
      </c>
      <c r="AC1448" s="625">
        <v>0</v>
      </c>
      <c r="AD1448" s="625">
        <v>0</v>
      </c>
      <c r="AE1448" s="625">
        <v>0</v>
      </c>
      <c r="AF1448" s="625">
        <v>0</v>
      </c>
      <c r="AG1448" s="625">
        <v>0</v>
      </c>
      <c r="AH1448" s="625">
        <v>0</v>
      </c>
      <c r="AI1448" s="625">
        <v>0</v>
      </c>
      <c r="AJ1448" s="625">
        <v>0</v>
      </c>
      <c r="AK1448" s="625">
        <v>0</v>
      </c>
      <c r="AL1448" s="625">
        <v>0</v>
      </c>
      <c r="AM1448" s="625">
        <v>0</v>
      </c>
      <c r="AN1448" s="625">
        <v>0</v>
      </c>
      <c r="AO1448" s="625">
        <v>0</v>
      </c>
      <c r="AP1448" s="41" t="str">
        <f t="shared" si="681"/>
        <v>Def TaxR</v>
      </c>
      <c r="AQ1448" s="41" t="str">
        <f t="shared" si="682"/>
        <v>Def TaxRR11Merger Related</v>
      </c>
      <c r="AR1448" s="41" t="str">
        <f t="shared" si="683"/>
        <v>R11Merger Related</v>
      </c>
    </row>
    <row r="1449" spans="1:44" s="41" customFormat="1" ht="12.75" customHeight="1">
      <c r="A1449" s="25" t="s">
        <v>1590</v>
      </c>
      <c r="B1449" s="25" t="str">
        <f t="shared" si="692"/>
        <v>Def Tax190004190-087BT010196</v>
      </c>
      <c r="C1449" s="736">
        <v>190004</v>
      </c>
      <c r="D1449" s="735" t="s">
        <v>1809</v>
      </c>
      <c r="E1449" s="41" t="s">
        <v>1810</v>
      </c>
      <c r="F1449" s="41" t="str">
        <f t="shared" si="688"/>
        <v>ACCUM DEFERRED INC TAXES-FEDERAL-GAS-NONOP</v>
      </c>
      <c r="G1449" s="41" t="s">
        <v>1811</v>
      </c>
      <c r="H1449" s="736" t="s">
        <v>1629</v>
      </c>
      <c r="I1449" s="25"/>
      <c r="J1449" s="25" t="str">
        <f t="shared" si="689"/>
        <v/>
      </c>
      <c r="K1449" s="442" t="str">
        <f t="shared" si="693"/>
        <v/>
      </c>
      <c r="L1449" s="736" t="s">
        <v>2443</v>
      </c>
      <c r="M1449" s="25" t="str">
        <f t="shared" si="679"/>
        <v>R</v>
      </c>
      <c r="N1449" s="25" t="str">
        <f>IF(L1449&lt;&gt;"",VLOOKUP(L1449,Categories!$B$2:$D$41,2,FALSE),IF(F1449&lt;&gt;"","No Cat",""))</f>
        <v>Rate Base</v>
      </c>
      <c r="O1449" s="25" t="str">
        <f>IF($L1449&lt;&gt;"",VLOOKUP($L1449,Categories!$B$2:$D$41,3,FALSE),IF($F1449&lt;&gt;"","No Cat",""))</f>
        <v>Deferred Income Taxes</v>
      </c>
      <c r="P1449" s="736" t="s">
        <v>2483</v>
      </c>
      <c r="Q1449" s="25" t="str">
        <f>VLOOKUP($P1449,Allocators!$B$7:$F$19,5,FALSE)</f>
        <v>Gas</v>
      </c>
      <c r="R1449" s="737">
        <f>VLOOKUP($P1449,Allocators!$B$7:$F$19,2,FALSE)</f>
        <v>0</v>
      </c>
      <c r="S1449" s="737">
        <f>VLOOKUP($P1449,Allocators!$B$7:$F$19,3,FALSE)</f>
        <v>1</v>
      </c>
      <c r="T1449" s="737" t="str">
        <f t="shared" si="700"/>
        <v>0.0%</v>
      </c>
      <c r="U1449" s="2" t="str">
        <f t="shared" si="694"/>
        <v/>
      </c>
      <c r="V1449" s="2" t="str">
        <f t="shared" si="695"/>
        <v/>
      </c>
      <c r="W1449" s="2" t="str">
        <f t="shared" si="696"/>
        <v/>
      </c>
      <c r="X1449" s="2">
        <f t="shared" si="690"/>
        <v>0</v>
      </c>
      <c r="Y1449" s="2" t="str">
        <f t="shared" si="697"/>
        <v/>
      </c>
      <c r="Z1449" s="2" t="str">
        <f t="shared" si="698"/>
        <v/>
      </c>
      <c r="AA1449" s="2" t="str">
        <f t="shared" si="699"/>
        <v/>
      </c>
      <c r="AB1449" s="2">
        <f t="shared" si="691"/>
        <v>0</v>
      </c>
      <c r="AC1449" s="625">
        <v>0</v>
      </c>
      <c r="AD1449" s="625">
        <v>0</v>
      </c>
      <c r="AE1449" s="625">
        <v>0</v>
      </c>
      <c r="AF1449" s="625">
        <v>0</v>
      </c>
      <c r="AG1449" s="625">
        <v>0</v>
      </c>
      <c r="AH1449" s="625">
        <v>0</v>
      </c>
      <c r="AI1449" s="625">
        <v>0</v>
      </c>
      <c r="AJ1449" s="625">
        <v>0</v>
      </c>
      <c r="AK1449" s="625">
        <v>0</v>
      </c>
      <c r="AL1449" s="625">
        <v>0</v>
      </c>
      <c r="AM1449" s="625">
        <v>0</v>
      </c>
      <c r="AN1449" s="625">
        <v>0</v>
      </c>
      <c r="AO1449" s="625">
        <v>0</v>
      </c>
      <c r="AP1449" s="41" t="str">
        <f t="shared" si="681"/>
        <v>Def TaxR</v>
      </c>
      <c r="AQ1449" s="41" t="str">
        <f t="shared" si="682"/>
        <v>Def TaxRR11Merger Related</v>
      </c>
      <c r="AR1449" s="41" t="str">
        <f t="shared" si="683"/>
        <v>R11Merger Related</v>
      </c>
    </row>
    <row r="1450" spans="1:44" s="41" customFormat="1" ht="12.75" customHeight="1">
      <c r="A1450" s="25" t="s">
        <v>1590</v>
      </c>
      <c r="B1450" s="25" t="str">
        <f t="shared" si="692"/>
        <v>Def Tax190006190-008BT010241</v>
      </c>
      <c r="C1450" s="736">
        <v>190006</v>
      </c>
      <c r="D1450" s="735" t="s">
        <v>1812</v>
      </c>
      <c r="E1450" s="41" t="s">
        <v>1813</v>
      </c>
      <c r="F1450" s="41" t="str">
        <f t="shared" si="688"/>
        <v>ACCUM DEFERRED INC TAXES-FEDERAL-CURRENT-ELECTRIC</v>
      </c>
      <c r="G1450" s="41" t="s">
        <v>1814</v>
      </c>
      <c r="H1450" s="736" t="s">
        <v>1815</v>
      </c>
      <c r="I1450" s="25"/>
      <c r="J1450" s="25" t="str">
        <f t="shared" si="689"/>
        <v/>
      </c>
      <c r="K1450" s="442" t="str">
        <f t="shared" si="693"/>
        <v/>
      </c>
      <c r="L1450" s="736" t="s">
        <v>2443</v>
      </c>
      <c r="M1450" s="25" t="str">
        <f t="shared" si="679"/>
        <v>R</v>
      </c>
      <c r="N1450" s="25" t="str">
        <f>IF(L1450&lt;&gt;"",VLOOKUP(L1450,Categories!$B$2:$D$41,2,FALSE),IF(F1450&lt;&gt;"","No Cat",""))</f>
        <v>Rate Base</v>
      </c>
      <c r="O1450" s="25" t="str">
        <f>IF($L1450&lt;&gt;"",VLOOKUP($L1450,Categories!$B$2:$D$41,3,FALSE),IF($F1450&lt;&gt;"","No Cat",""))</f>
        <v>Deferred Income Taxes</v>
      </c>
      <c r="P1450" s="736" t="s">
        <v>2482</v>
      </c>
      <c r="Q1450" s="25" t="str">
        <f>VLOOKUP($P1450,Allocators!$B$7:$F$19,5,FALSE)</f>
        <v>Electric</v>
      </c>
      <c r="R1450" s="737">
        <f>VLOOKUP($P1450,Allocators!$B$7:$F$19,2,FALSE)</f>
        <v>1</v>
      </c>
      <c r="S1450" s="737">
        <f>VLOOKUP($P1450,Allocators!$B$7:$F$19,3,FALSE)</f>
        <v>0</v>
      </c>
      <c r="T1450" s="737" t="str">
        <f t="shared" si="700"/>
        <v>0.0%</v>
      </c>
      <c r="U1450" s="2" t="str">
        <f t="shared" si="694"/>
        <v/>
      </c>
      <c r="V1450" s="2" t="str">
        <f t="shared" si="695"/>
        <v/>
      </c>
      <c r="W1450" s="2" t="str">
        <f t="shared" si="696"/>
        <v/>
      </c>
      <c r="X1450" s="2">
        <f t="shared" si="690"/>
        <v>0</v>
      </c>
      <c r="Y1450" s="2" t="str">
        <f t="shared" si="697"/>
        <v/>
      </c>
      <c r="Z1450" s="2" t="str">
        <f t="shared" si="698"/>
        <v/>
      </c>
      <c r="AA1450" s="2" t="str">
        <f t="shared" si="699"/>
        <v/>
      </c>
      <c r="AB1450" s="2">
        <f t="shared" si="691"/>
        <v>0</v>
      </c>
      <c r="AC1450" s="625">
        <v>0</v>
      </c>
      <c r="AD1450" s="625">
        <v>0</v>
      </c>
      <c r="AE1450" s="625">
        <v>0</v>
      </c>
      <c r="AF1450" s="625">
        <v>0</v>
      </c>
      <c r="AG1450" s="625">
        <v>0</v>
      </c>
      <c r="AH1450" s="625">
        <v>0</v>
      </c>
      <c r="AI1450" s="625">
        <v>0</v>
      </c>
      <c r="AJ1450" s="625">
        <v>0</v>
      </c>
      <c r="AK1450" s="625">
        <v>0</v>
      </c>
      <c r="AL1450" s="625">
        <v>0</v>
      </c>
      <c r="AM1450" s="625">
        <v>0</v>
      </c>
      <c r="AN1450" s="625">
        <v>0</v>
      </c>
      <c r="AO1450" s="625">
        <v>0</v>
      </c>
      <c r="AP1450" s="41" t="str">
        <f t="shared" si="681"/>
        <v>Def TaxR</v>
      </c>
      <c r="AQ1450" s="41" t="str">
        <f t="shared" si="682"/>
        <v>Def TaxRR11Vacation pay</v>
      </c>
      <c r="AR1450" s="41" t="str">
        <f t="shared" si="683"/>
        <v>R11Vacation pay</v>
      </c>
    </row>
    <row r="1451" spans="1:44" s="41" customFormat="1" ht="12.75" customHeight="1">
      <c r="A1451" s="25" t="s">
        <v>1590</v>
      </c>
      <c r="B1451" s="25" t="str">
        <f t="shared" si="692"/>
        <v>Def Tax190006190-047BT010104</v>
      </c>
      <c r="C1451" s="736">
        <v>190006</v>
      </c>
      <c r="D1451" s="735" t="s">
        <v>1816</v>
      </c>
      <c r="E1451" s="41" t="s">
        <v>1817</v>
      </c>
      <c r="F1451" s="41" t="str">
        <f t="shared" si="688"/>
        <v>ACCUM DEFERRED INC TAXES-FEDERAL-CURRENT-ELECTRIC</v>
      </c>
      <c r="G1451" s="41" t="s">
        <v>1818</v>
      </c>
      <c r="H1451" s="736" t="s">
        <v>1819</v>
      </c>
      <c r="I1451" s="25"/>
      <c r="J1451" s="25" t="str">
        <f t="shared" si="689"/>
        <v/>
      </c>
      <c r="K1451" s="442" t="str">
        <f t="shared" si="693"/>
        <v/>
      </c>
      <c r="L1451" s="736" t="s">
        <v>2443</v>
      </c>
      <c r="M1451" s="25" t="str">
        <f t="shared" si="679"/>
        <v>R</v>
      </c>
      <c r="N1451" s="25" t="str">
        <f>IF(L1451&lt;&gt;"",VLOOKUP(L1451,Categories!$B$2:$D$41,2,FALSE),IF(F1451&lt;&gt;"","No Cat",""))</f>
        <v>Rate Base</v>
      </c>
      <c r="O1451" s="25" t="str">
        <f>IF($L1451&lt;&gt;"",VLOOKUP($L1451,Categories!$B$2:$D$41,3,FALSE),IF($F1451&lt;&gt;"","No Cat",""))</f>
        <v>Deferred Income Taxes</v>
      </c>
      <c r="P1451" s="736" t="s">
        <v>2482</v>
      </c>
      <c r="Q1451" s="25" t="str">
        <f>VLOOKUP($P1451,Allocators!$B$7:$F$19,5,FALSE)</f>
        <v>Electric</v>
      </c>
      <c r="R1451" s="737">
        <f>VLOOKUP($P1451,Allocators!$B$7:$F$19,2,FALSE)</f>
        <v>1</v>
      </c>
      <c r="S1451" s="737">
        <f>VLOOKUP($P1451,Allocators!$B$7:$F$19,3,FALSE)</f>
        <v>0</v>
      </c>
      <c r="T1451" s="737" t="str">
        <f t="shared" si="700"/>
        <v>0.0%</v>
      </c>
      <c r="U1451" s="2" t="str">
        <f t="shared" si="694"/>
        <v/>
      </c>
      <c r="V1451" s="2" t="str">
        <f t="shared" si="695"/>
        <v/>
      </c>
      <c r="W1451" s="2" t="str">
        <f t="shared" si="696"/>
        <v/>
      </c>
      <c r="X1451" s="2">
        <f t="shared" si="690"/>
        <v>0</v>
      </c>
      <c r="Y1451" s="2" t="str">
        <f t="shared" si="697"/>
        <v/>
      </c>
      <c r="Z1451" s="2" t="str">
        <f t="shared" si="698"/>
        <v/>
      </c>
      <c r="AA1451" s="2" t="str">
        <f t="shared" si="699"/>
        <v/>
      </c>
      <c r="AB1451" s="2">
        <f t="shared" si="691"/>
        <v>0</v>
      </c>
      <c r="AC1451" s="625">
        <v>0</v>
      </c>
      <c r="AD1451" s="625">
        <v>0</v>
      </c>
      <c r="AE1451" s="625">
        <v>0</v>
      </c>
      <c r="AF1451" s="625">
        <v>0</v>
      </c>
      <c r="AG1451" s="625">
        <v>0</v>
      </c>
      <c r="AH1451" s="625">
        <v>0</v>
      </c>
      <c r="AI1451" s="625">
        <v>0</v>
      </c>
      <c r="AJ1451" s="625">
        <v>0</v>
      </c>
      <c r="AK1451" s="625">
        <v>0</v>
      </c>
      <c r="AL1451" s="625">
        <v>0</v>
      </c>
      <c r="AM1451" s="625">
        <v>0</v>
      </c>
      <c r="AN1451" s="625">
        <v>0</v>
      </c>
      <c r="AO1451" s="625">
        <v>0</v>
      </c>
      <c r="AP1451" s="41" t="str">
        <f t="shared" si="681"/>
        <v>Def TaxR</v>
      </c>
      <c r="AQ1451" s="41" t="str">
        <f t="shared" si="682"/>
        <v>Def TaxRR11Performance Plus Plan</v>
      </c>
      <c r="AR1451" s="41" t="str">
        <f t="shared" si="683"/>
        <v>R11Performance Plus Plan</v>
      </c>
    </row>
    <row r="1452" spans="1:44" s="41" customFormat="1" ht="12.75" customHeight="1">
      <c r="A1452" s="25" t="s">
        <v>1590</v>
      </c>
      <c r="B1452" s="25" t="str">
        <f t="shared" si="692"/>
        <v>Def Tax190006190-047-SBT010104</v>
      </c>
      <c r="C1452" s="736">
        <v>190006</v>
      </c>
      <c r="D1452" s="735" t="s">
        <v>1820</v>
      </c>
      <c r="E1452" s="41" t="s">
        <v>1817</v>
      </c>
      <c r="F1452" s="41" t="str">
        <f t="shared" si="688"/>
        <v>ACCUM DEFERRED INC TAXES-FEDERAL-CURRENT-ELECTRIC</v>
      </c>
      <c r="G1452" s="41" t="s">
        <v>1818</v>
      </c>
      <c r="H1452" s="736" t="s">
        <v>1819</v>
      </c>
      <c r="I1452" s="25"/>
      <c r="J1452" s="25" t="str">
        <f t="shared" si="689"/>
        <v/>
      </c>
      <c r="K1452" s="442" t="str">
        <f t="shared" si="693"/>
        <v/>
      </c>
      <c r="L1452" s="736" t="s">
        <v>2443</v>
      </c>
      <c r="M1452" s="25" t="str">
        <f t="shared" si="679"/>
        <v>R</v>
      </c>
      <c r="N1452" s="25" t="str">
        <f>IF(L1452&lt;&gt;"",VLOOKUP(L1452,Categories!$B$2:$D$41,2,FALSE),IF(F1452&lt;&gt;"","No Cat",""))</f>
        <v>Rate Base</v>
      </c>
      <c r="O1452" s="25" t="str">
        <f>IF($L1452&lt;&gt;"",VLOOKUP($L1452,Categories!$B$2:$D$41,3,FALSE),IF($F1452&lt;&gt;"","No Cat",""))</f>
        <v>Deferred Income Taxes</v>
      </c>
      <c r="P1452" s="736" t="s">
        <v>2482</v>
      </c>
      <c r="Q1452" s="25" t="str">
        <f>VLOOKUP($P1452,Allocators!$B$7:$F$19,5,FALSE)</f>
        <v>Electric</v>
      </c>
      <c r="R1452" s="737">
        <f>VLOOKUP($P1452,Allocators!$B$7:$F$19,2,FALSE)</f>
        <v>1</v>
      </c>
      <c r="S1452" s="737">
        <f>VLOOKUP($P1452,Allocators!$B$7:$F$19,3,FALSE)</f>
        <v>0</v>
      </c>
      <c r="T1452" s="737" t="str">
        <f t="shared" si="700"/>
        <v>0.0%</v>
      </c>
      <c r="U1452" s="2" t="str">
        <f t="shared" si="694"/>
        <v/>
      </c>
      <c r="V1452" s="2" t="str">
        <f t="shared" si="695"/>
        <v/>
      </c>
      <c r="W1452" s="2" t="str">
        <f t="shared" si="696"/>
        <v/>
      </c>
      <c r="X1452" s="2">
        <f t="shared" si="690"/>
        <v>0</v>
      </c>
      <c r="Y1452" s="2" t="str">
        <f t="shared" si="697"/>
        <v/>
      </c>
      <c r="Z1452" s="2" t="str">
        <f t="shared" si="698"/>
        <v/>
      </c>
      <c r="AA1452" s="2" t="str">
        <f t="shared" si="699"/>
        <v/>
      </c>
      <c r="AB1452" s="2">
        <f t="shared" si="691"/>
        <v>0</v>
      </c>
      <c r="AC1452" s="625">
        <v>0</v>
      </c>
      <c r="AD1452" s="625">
        <v>0</v>
      </c>
      <c r="AE1452" s="625">
        <v>0</v>
      </c>
      <c r="AF1452" s="625">
        <v>0</v>
      </c>
      <c r="AG1452" s="625">
        <v>0</v>
      </c>
      <c r="AH1452" s="625">
        <v>0</v>
      </c>
      <c r="AI1452" s="625">
        <v>0</v>
      </c>
      <c r="AJ1452" s="625">
        <v>0</v>
      </c>
      <c r="AK1452" s="625">
        <v>0</v>
      </c>
      <c r="AL1452" s="625">
        <v>0</v>
      </c>
      <c r="AM1452" s="625">
        <v>0</v>
      </c>
      <c r="AN1452" s="625">
        <v>0</v>
      </c>
      <c r="AO1452" s="625">
        <v>0</v>
      </c>
      <c r="AP1452" s="41" t="str">
        <f t="shared" si="681"/>
        <v>Def TaxR</v>
      </c>
      <c r="AQ1452" s="41" t="str">
        <f t="shared" si="682"/>
        <v>Def TaxRR11Performance Plus Plan</v>
      </c>
      <c r="AR1452" s="41" t="str">
        <f t="shared" si="683"/>
        <v>R11Performance Plus Plan</v>
      </c>
    </row>
    <row r="1453" spans="1:44" s="41" customFormat="1" ht="12.75" customHeight="1">
      <c r="A1453" s="25" t="s">
        <v>1590</v>
      </c>
      <c r="B1453" s="25" t="str">
        <f t="shared" si="692"/>
        <v>Def Tax190006190-054BTHUNGDT</v>
      </c>
      <c r="C1453" s="736">
        <v>190006</v>
      </c>
      <c r="D1453" s="735" t="s">
        <v>1791</v>
      </c>
      <c r="E1453" s="41" t="s">
        <v>1624</v>
      </c>
      <c r="F1453" s="41" t="str">
        <f t="shared" si="688"/>
        <v>ACCUM DEFERRED INC TAXES-FEDERAL-CURRENT-ELECTRIC</v>
      </c>
      <c r="G1453" s="41" t="s">
        <v>1792</v>
      </c>
      <c r="H1453" s="736">
        <v>0</v>
      </c>
      <c r="I1453" s="25"/>
      <c r="J1453" s="25" t="str">
        <f t="shared" si="689"/>
        <v/>
      </c>
      <c r="K1453" s="442" t="str">
        <f t="shared" si="693"/>
        <v/>
      </c>
      <c r="L1453" s="736" t="s">
        <v>2443</v>
      </c>
      <c r="M1453" s="25" t="str">
        <f t="shared" si="679"/>
        <v>R</v>
      </c>
      <c r="N1453" s="25" t="str">
        <f>IF(L1453&lt;&gt;"",VLOOKUP(L1453,Categories!$B$2:$D$41,2,FALSE),IF(F1453&lt;&gt;"","No Cat",""))</f>
        <v>Rate Base</v>
      </c>
      <c r="O1453" s="25" t="str">
        <f>IF($L1453&lt;&gt;"",VLOOKUP($L1453,Categories!$B$2:$D$41,3,FALSE),IF($F1453&lt;&gt;"","No Cat",""))</f>
        <v>Deferred Income Taxes</v>
      </c>
      <c r="P1453" s="736" t="s">
        <v>2482</v>
      </c>
      <c r="Q1453" s="25" t="str">
        <f>VLOOKUP($P1453,Allocators!$B$7:$F$19,5,FALSE)</f>
        <v>Electric</v>
      </c>
      <c r="R1453" s="737">
        <f>VLOOKUP($P1453,Allocators!$B$7:$F$19,2,FALSE)</f>
        <v>1</v>
      </c>
      <c r="S1453" s="737">
        <f>VLOOKUP($P1453,Allocators!$B$7:$F$19,3,FALSE)</f>
        <v>0</v>
      </c>
      <c r="T1453" s="737" t="str">
        <f t="shared" si="700"/>
        <v>0.0%</v>
      </c>
      <c r="U1453" s="2" t="str">
        <f t="shared" si="694"/>
        <v/>
      </c>
      <c r="V1453" s="2" t="str">
        <f t="shared" si="695"/>
        <v/>
      </c>
      <c r="W1453" s="2" t="str">
        <f t="shared" si="696"/>
        <v/>
      </c>
      <c r="X1453" s="2">
        <f t="shared" si="690"/>
        <v>0</v>
      </c>
      <c r="Y1453" s="2" t="str">
        <f t="shared" si="697"/>
        <v/>
      </c>
      <c r="Z1453" s="2" t="str">
        <f t="shared" si="698"/>
        <v/>
      </c>
      <c r="AA1453" s="2" t="str">
        <f t="shared" si="699"/>
        <v/>
      </c>
      <c r="AB1453" s="2">
        <f t="shared" si="691"/>
        <v>0</v>
      </c>
      <c r="AC1453" s="625">
        <v>0</v>
      </c>
      <c r="AD1453" s="625">
        <v>0</v>
      </c>
      <c r="AE1453" s="625">
        <v>0</v>
      </c>
      <c r="AF1453" s="625">
        <v>0</v>
      </c>
      <c r="AG1453" s="625">
        <v>0</v>
      </c>
      <c r="AH1453" s="625">
        <v>0</v>
      </c>
      <c r="AI1453" s="625">
        <v>0</v>
      </c>
      <c r="AJ1453" s="625">
        <v>0</v>
      </c>
      <c r="AK1453" s="625">
        <v>0</v>
      </c>
      <c r="AL1453" s="625">
        <v>0</v>
      </c>
      <c r="AM1453" s="625">
        <v>0</v>
      </c>
      <c r="AN1453" s="625">
        <v>0</v>
      </c>
      <c r="AO1453" s="625">
        <v>0</v>
      </c>
      <c r="AP1453" s="41" t="str">
        <f t="shared" si="681"/>
        <v>Def TaxR</v>
      </c>
      <c r="AQ1453" s="41" t="str">
        <f t="shared" si="682"/>
        <v>Def TaxRR110</v>
      </c>
      <c r="AR1453" s="41" t="str">
        <f t="shared" si="683"/>
        <v>R110</v>
      </c>
    </row>
    <row r="1454" spans="1:44" s="41" customFormat="1" ht="12.75" customHeight="1">
      <c r="A1454" s="442" t="s">
        <v>1590</v>
      </c>
      <c r="B1454" s="442" t="str">
        <f t="shared" si="692"/>
        <v>Def Tax190006190-109BT010011</v>
      </c>
      <c r="C1454" s="736">
        <v>190006</v>
      </c>
      <c r="D1454" s="735" t="s">
        <v>1821</v>
      </c>
      <c r="E1454" s="626" t="s">
        <v>1822</v>
      </c>
      <c r="F1454" s="626" t="str">
        <f t="shared" si="688"/>
        <v>ACCUM DEFERRED INC TAXES-FEDERAL-CURRENT-ELECTRIC</v>
      </c>
      <c r="G1454" s="626" t="s">
        <v>1823</v>
      </c>
      <c r="H1454" s="736" t="s">
        <v>1824</v>
      </c>
      <c r="I1454" s="442"/>
      <c r="J1454" s="442" t="str">
        <f t="shared" si="689"/>
        <v/>
      </c>
      <c r="K1454" s="442" t="str">
        <f t="shared" si="693"/>
        <v/>
      </c>
      <c r="L1454" s="736" t="s">
        <v>2443</v>
      </c>
      <c r="M1454" s="442" t="str">
        <f t="shared" si="679"/>
        <v>R</v>
      </c>
      <c r="N1454" s="442" t="str">
        <f>IF(L1454&lt;&gt;"",VLOOKUP(L1454,Categories!$B$2:$D$41,2,FALSE),IF(F1454&lt;&gt;"","No Cat",""))</f>
        <v>Rate Base</v>
      </c>
      <c r="O1454" s="442" t="str">
        <f>IF($L1454&lt;&gt;"",VLOOKUP($L1454,Categories!$B$2:$D$41,3,FALSE),IF($F1454&lt;&gt;"","No Cat",""))</f>
        <v>Deferred Income Taxes</v>
      </c>
      <c r="P1454" s="736" t="s">
        <v>2486</v>
      </c>
      <c r="Q1454" s="442" t="str">
        <f>VLOOKUP($P1454,Allocators!$B$7:$F$19,5,FALSE)</f>
        <v>Net Plant</v>
      </c>
      <c r="R1454" s="737">
        <f>VLOOKUP($P1454,Allocators!$B$7:$F$19,2,FALSE)</f>
        <v>0.74150000000000005</v>
      </c>
      <c r="S1454" s="737">
        <f>VLOOKUP($P1454,Allocators!$B$7:$F$19,3,FALSE)</f>
        <v>0.25850000000000001</v>
      </c>
      <c r="T1454" s="737" t="str">
        <f t="shared" si="700"/>
        <v>0.0%</v>
      </c>
      <c r="U1454" s="2">
        <f t="shared" si="694"/>
        <v>134.926246062084</v>
      </c>
      <c r="V1454" s="2">
        <f t="shared" si="695"/>
        <v>47.037673104583398</v>
      </c>
      <c r="W1454" s="2">
        <f t="shared" si="696"/>
        <v>0</v>
      </c>
      <c r="X1454" s="2">
        <f t="shared" si="690"/>
        <v>181.96391916666701</v>
      </c>
      <c r="Y1454" s="2">
        <f t="shared" si="697"/>
        <v>56.887412855000001</v>
      </c>
      <c r="Z1454" s="2">
        <f t="shared" si="698"/>
        <v>19.831957145000001</v>
      </c>
      <c r="AA1454" s="2">
        <f t="shared" si="699"/>
        <v>0</v>
      </c>
      <c r="AB1454" s="2">
        <f t="shared" si="691"/>
        <v>76.719369999999998</v>
      </c>
      <c r="AC1454" s="625">
        <v>225.29991000000001</v>
      </c>
      <c r="AD1454" s="625">
        <v>225.29991000000001</v>
      </c>
      <c r="AE1454" s="625">
        <v>225.29991000000001</v>
      </c>
      <c r="AF1454" s="625">
        <v>225.29991000000001</v>
      </c>
      <c r="AG1454" s="625">
        <v>225.29991000000001</v>
      </c>
      <c r="AH1454" s="625">
        <v>225.29991000000001</v>
      </c>
      <c r="AI1454" s="625">
        <v>225.29991000000001</v>
      </c>
      <c r="AJ1454" s="625">
        <v>225.29991000000001</v>
      </c>
      <c r="AK1454" s="625">
        <v>225.29991000000001</v>
      </c>
      <c r="AL1454" s="625">
        <v>76.719369999999998</v>
      </c>
      <c r="AM1454" s="625">
        <v>76.719369999999998</v>
      </c>
      <c r="AN1454" s="625">
        <v>76.719369999999998</v>
      </c>
      <c r="AO1454" s="625">
        <v>76.719369999999998</v>
      </c>
      <c r="AP1454" s="41" t="str">
        <f t="shared" si="681"/>
        <v>Def TaxR</v>
      </c>
      <c r="AQ1454" s="41" t="str">
        <f t="shared" si="682"/>
        <v>Def TaxRR11Accident &amp; Sickness Reserve</v>
      </c>
      <c r="AR1454" s="41" t="str">
        <f t="shared" si="683"/>
        <v>R11Accident &amp; Sickness Reserve</v>
      </c>
    </row>
    <row r="1455" spans="1:44" s="41" customFormat="1" ht="12.75" customHeight="1">
      <c r="A1455" s="25" t="s">
        <v>1590</v>
      </c>
      <c r="B1455" s="25" t="str">
        <f t="shared" si="692"/>
        <v>Def Tax190006283-026BT010071</v>
      </c>
      <c r="C1455" s="736">
        <v>190006</v>
      </c>
      <c r="D1455" s="735" t="s">
        <v>1706</v>
      </c>
      <c r="E1455" s="41" t="s">
        <v>1707</v>
      </c>
      <c r="F1455" s="41" t="str">
        <f t="shared" si="688"/>
        <v>ACCUM DEFERRED INC TAXES-FEDERAL-CURRENT-ELECTRIC</v>
      </c>
      <c r="G1455" s="41" t="s">
        <v>1825</v>
      </c>
      <c r="H1455" s="736" t="s">
        <v>1134</v>
      </c>
      <c r="I1455" s="25"/>
      <c r="J1455" s="25" t="str">
        <f t="shared" si="689"/>
        <v/>
      </c>
      <c r="K1455" s="442" t="str">
        <f t="shared" si="693"/>
        <v/>
      </c>
      <c r="L1455" s="736" t="s">
        <v>2421</v>
      </c>
      <c r="M1455" s="25" t="str">
        <f t="shared" si="679"/>
        <v>N</v>
      </c>
      <c r="N1455" s="25" t="str">
        <f>IF(L1455&lt;&gt;"",VLOOKUP(L1455,Categories!$B$2:$D$41,2,FALSE),IF(F1455&lt;&gt;"","No Cat",""))</f>
        <v>NRBASE</v>
      </c>
      <c r="O1455" s="25" t="str">
        <f>IF($L1455&lt;&gt;"",VLOOKUP($L1455,Categories!$B$2:$D$41,3,FALSE),IF($F1455&lt;&gt;"","No Cat",""))</f>
        <v>Direct Assign Items Not in RB</v>
      </c>
      <c r="P1455" s="736" t="s">
        <v>2468</v>
      </c>
      <c r="Q1455" s="25" t="str">
        <f>VLOOKUP($P1455,Allocators!$B$7:$F$19,5,FALSE)</f>
        <v>Not in Rate Base</v>
      </c>
      <c r="R1455" s="737">
        <f>VLOOKUP($P1455,Allocators!$B$7:$F$19,2,FALSE)</f>
        <v>0</v>
      </c>
      <c r="S1455" s="737">
        <f>VLOOKUP($P1455,Allocators!$B$7:$F$19,3,FALSE)</f>
        <v>0</v>
      </c>
      <c r="T1455" s="737">
        <f t="shared" si="700"/>
        <v>1</v>
      </c>
      <c r="U1455" s="2">
        <f t="shared" si="694"/>
        <v>0</v>
      </c>
      <c r="V1455" s="2">
        <f t="shared" si="695"/>
        <v>0</v>
      </c>
      <c r="W1455" s="2">
        <f t="shared" si="696"/>
        <v>2477.5945716666702</v>
      </c>
      <c r="X1455" s="2">
        <f t="shared" si="690"/>
        <v>2477.5945716666702</v>
      </c>
      <c r="Y1455" s="2">
        <f t="shared" si="697"/>
        <v>0</v>
      </c>
      <c r="Z1455" s="2">
        <f t="shared" si="698"/>
        <v>0</v>
      </c>
      <c r="AA1455" s="2">
        <f t="shared" si="699"/>
        <v>974.26570000000004</v>
      </c>
      <c r="AB1455" s="2">
        <f t="shared" si="691"/>
        <v>974.26569999999992</v>
      </c>
      <c r="AC1455" s="625">
        <v>3023.8662000000004</v>
      </c>
      <c r="AD1455" s="625">
        <v>3023.8662000000004</v>
      </c>
      <c r="AE1455" s="625">
        <v>3023.8662000000004</v>
      </c>
      <c r="AF1455" s="625">
        <v>3023.8662000000004</v>
      </c>
      <c r="AG1455" s="625">
        <v>3119.8734300000001</v>
      </c>
      <c r="AH1455" s="625">
        <v>3237.9630400000001</v>
      </c>
      <c r="AI1455" s="625">
        <v>3237.9630400000001</v>
      </c>
      <c r="AJ1455" s="625">
        <v>3237.9630400000001</v>
      </c>
      <c r="AK1455" s="625">
        <v>3237.9630400000001</v>
      </c>
      <c r="AL1455" s="625">
        <v>807.23951</v>
      </c>
      <c r="AM1455" s="625">
        <v>807.23951</v>
      </c>
      <c r="AN1455" s="625">
        <v>974.26569999999992</v>
      </c>
      <c r="AO1455" s="625">
        <v>974.26569999999992</v>
      </c>
      <c r="AP1455" s="41" t="str">
        <f t="shared" si="681"/>
        <v>Def TaxN</v>
      </c>
      <c r="AQ1455" s="41" t="str">
        <f t="shared" si="682"/>
        <v>Def TaxNN2Environmental</v>
      </c>
      <c r="AR1455" s="41" t="str">
        <f t="shared" si="683"/>
        <v>N2Environmental</v>
      </c>
    </row>
    <row r="1456" spans="1:44" s="41" customFormat="1" ht="12.75" customHeight="1">
      <c r="A1456" s="25" t="s">
        <v>1590</v>
      </c>
      <c r="B1456" s="25" t="str">
        <f t="shared" si="692"/>
        <v>Def Tax190006283-020BT010016</v>
      </c>
      <c r="C1456" s="736">
        <v>190006</v>
      </c>
      <c r="D1456" s="735" t="s">
        <v>1826</v>
      </c>
      <c r="E1456" s="41" t="s">
        <v>1827</v>
      </c>
      <c r="F1456" s="41" t="str">
        <f t="shared" si="688"/>
        <v>ACCUM DEFERRED INC TAXES-FEDERAL-CURRENT-ELECTRIC</v>
      </c>
      <c r="G1456" s="41" t="s">
        <v>1828</v>
      </c>
      <c r="H1456" s="736" t="s">
        <v>1829</v>
      </c>
      <c r="I1456" s="25"/>
      <c r="J1456" s="25" t="str">
        <f t="shared" si="689"/>
        <v/>
      </c>
      <c r="K1456" s="442" t="str">
        <f t="shared" si="693"/>
        <v/>
      </c>
      <c r="L1456" s="736" t="s">
        <v>2443</v>
      </c>
      <c r="M1456" s="25" t="str">
        <f t="shared" si="679"/>
        <v>R</v>
      </c>
      <c r="N1456" s="25" t="str">
        <f>IF(L1456&lt;&gt;"",VLOOKUP(L1456,Categories!$B$2:$D$41,2,FALSE),IF(F1456&lt;&gt;"","No Cat",""))</f>
        <v>Rate Base</v>
      </c>
      <c r="O1456" s="25" t="str">
        <f>IF($L1456&lt;&gt;"",VLOOKUP($L1456,Categories!$B$2:$D$41,3,FALSE),IF($F1456&lt;&gt;"","No Cat",""))</f>
        <v>Deferred Income Taxes</v>
      </c>
      <c r="P1456" s="736" t="s">
        <v>2482</v>
      </c>
      <c r="Q1456" s="25" t="str">
        <f>VLOOKUP($P1456,Allocators!$B$7:$F$19,5,FALSE)</f>
        <v>Electric</v>
      </c>
      <c r="R1456" s="737">
        <f>VLOOKUP($P1456,Allocators!$B$7:$F$19,2,FALSE)</f>
        <v>1</v>
      </c>
      <c r="S1456" s="737">
        <f>VLOOKUP($P1456,Allocators!$B$7:$F$19,3,FALSE)</f>
        <v>0</v>
      </c>
      <c r="T1456" s="737" t="str">
        <f t="shared" si="700"/>
        <v>0.0%</v>
      </c>
      <c r="U1456" s="2">
        <f t="shared" si="694"/>
        <v>6117.4658774999998</v>
      </c>
      <c r="V1456" s="2">
        <f t="shared" si="695"/>
        <v>0</v>
      </c>
      <c r="W1456" s="2">
        <f t="shared" si="696"/>
        <v>0</v>
      </c>
      <c r="X1456" s="2">
        <f t="shared" si="690"/>
        <v>6117.4658774999998</v>
      </c>
      <c r="Y1456" s="2">
        <f t="shared" si="697"/>
        <v>4964.1458300000004</v>
      </c>
      <c r="Z1456" s="2">
        <f t="shared" si="698"/>
        <v>0</v>
      </c>
      <c r="AA1456" s="2">
        <f t="shared" si="699"/>
        <v>0</v>
      </c>
      <c r="AB1456" s="2">
        <f t="shared" si="691"/>
        <v>4964.1458300000004</v>
      </c>
      <c r="AC1456" s="625">
        <v>5257.97739</v>
      </c>
      <c r="AD1456" s="625">
        <v>5547.8551100000004</v>
      </c>
      <c r="AE1456" s="625">
        <v>5885.1787199999999</v>
      </c>
      <c r="AF1456" s="625">
        <v>6076.2108600000001</v>
      </c>
      <c r="AG1456" s="625">
        <v>6480.9575700000005</v>
      </c>
      <c r="AH1456" s="625">
        <v>6504.4724100000003</v>
      </c>
      <c r="AI1456" s="625">
        <v>6464.3098799999998</v>
      </c>
      <c r="AJ1456" s="625">
        <v>6360.4699800000008</v>
      </c>
      <c r="AK1456" s="625">
        <v>6246.2252699999999</v>
      </c>
      <c r="AL1456" s="625">
        <v>6246.2252699999999</v>
      </c>
      <c r="AM1456" s="625">
        <v>6236.4447599999994</v>
      </c>
      <c r="AN1456" s="625">
        <v>6250.1790899999996</v>
      </c>
      <c r="AO1456" s="625">
        <v>4964.1458300000004</v>
      </c>
      <c r="AP1456" s="41" t="str">
        <f t="shared" si="681"/>
        <v>Def TaxR</v>
      </c>
      <c r="AQ1456" s="41" t="str">
        <f t="shared" si="682"/>
        <v>Def TaxRR11Bad Debts</v>
      </c>
      <c r="AR1456" s="41" t="str">
        <f t="shared" si="683"/>
        <v>R11Bad Debts</v>
      </c>
    </row>
    <row r="1457" spans="1:44" s="41" customFormat="1" ht="12.75" customHeight="1">
      <c r="A1457" s="442" t="s">
        <v>1590</v>
      </c>
      <c r="B1457" s="442" t="str">
        <f t="shared" si="692"/>
        <v>Def Tax190006Ginna SaleBT010005</v>
      </c>
      <c r="C1457" s="736">
        <v>190006</v>
      </c>
      <c r="D1457" s="735" t="s">
        <v>1830</v>
      </c>
      <c r="E1457" s="626" t="s">
        <v>1831</v>
      </c>
      <c r="F1457" s="626" t="str">
        <f t="shared" si="688"/>
        <v>ACCUM DEFERRED INC TAXES-FEDERAL-CURRENT-ELECTRIC</v>
      </c>
      <c r="G1457" s="626" t="s">
        <v>1832</v>
      </c>
      <c r="H1457" s="736" t="s">
        <v>1330</v>
      </c>
      <c r="I1457" s="442"/>
      <c r="J1457" s="442" t="str">
        <f t="shared" si="689"/>
        <v/>
      </c>
      <c r="K1457" s="442" t="str">
        <f t="shared" si="693"/>
        <v/>
      </c>
      <c r="L1457" s="736" t="s">
        <v>2421</v>
      </c>
      <c r="M1457" s="442" t="str">
        <f t="shared" si="679"/>
        <v>N</v>
      </c>
      <c r="N1457" s="442" t="str">
        <f>IF(L1457&lt;&gt;"",VLOOKUP(L1457,Categories!$B$2:$D$41,2,FALSE),IF(F1457&lt;&gt;"","No Cat",""))</f>
        <v>NRBASE</v>
      </c>
      <c r="O1457" s="442" t="str">
        <f>IF($L1457&lt;&gt;"",VLOOKUP($L1457,Categories!$B$2:$D$41,3,FALSE),IF($F1457&lt;&gt;"","No Cat",""))</f>
        <v>Direct Assign Items Not in RB</v>
      </c>
      <c r="P1457" s="736" t="s">
        <v>2468</v>
      </c>
      <c r="Q1457" s="442" t="str">
        <f>VLOOKUP($P1457,Allocators!$B$7:$F$19,5,FALSE)</f>
        <v>Not in Rate Base</v>
      </c>
      <c r="R1457" s="737">
        <f>VLOOKUP($P1457,Allocators!$B$7:$F$19,2,FALSE)</f>
        <v>0</v>
      </c>
      <c r="S1457" s="737">
        <f>VLOOKUP($P1457,Allocators!$B$7:$F$19,3,FALSE)</f>
        <v>0</v>
      </c>
      <c r="T1457" s="737">
        <f t="shared" si="700"/>
        <v>1</v>
      </c>
      <c r="U1457" s="2" t="str">
        <f t="shared" si="694"/>
        <v/>
      </c>
      <c r="V1457" s="2" t="str">
        <f t="shared" si="695"/>
        <v/>
      </c>
      <c r="W1457" s="2" t="str">
        <f t="shared" si="696"/>
        <v/>
      </c>
      <c r="X1457" s="2">
        <f t="shared" si="690"/>
        <v>0</v>
      </c>
      <c r="Y1457" s="2" t="str">
        <f t="shared" si="697"/>
        <v/>
      </c>
      <c r="Z1457" s="2" t="str">
        <f t="shared" si="698"/>
        <v/>
      </c>
      <c r="AA1457" s="2" t="str">
        <f t="shared" si="699"/>
        <v/>
      </c>
      <c r="AB1457" s="2">
        <f t="shared" si="691"/>
        <v>0</v>
      </c>
      <c r="AC1457" s="625">
        <v>0</v>
      </c>
      <c r="AD1457" s="625">
        <v>0</v>
      </c>
      <c r="AE1457" s="625">
        <v>0</v>
      </c>
      <c r="AF1457" s="625">
        <v>0</v>
      </c>
      <c r="AG1457" s="625">
        <v>0</v>
      </c>
      <c r="AH1457" s="625">
        <v>0</v>
      </c>
      <c r="AI1457" s="625">
        <v>0</v>
      </c>
      <c r="AJ1457" s="625">
        <v>0</v>
      </c>
      <c r="AK1457" s="625">
        <v>0</v>
      </c>
      <c r="AL1457" s="625">
        <v>0</v>
      </c>
      <c r="AM1457" s="625">
        <v>0</v>
      </c>
      <c r="AN1457" s="625">
        <v>0</v>
      </c>
      <c r="AO1457" s="625">
        <v>0</v>
      </c>
      <c r="AP1457" s="41" t="str">
        <f t="shared" si="681"/>
        <v>Def TaxN</v>
      </c>
      <c r="AQ1457" s="41" t="str">
        <f t="shared" si="682"/>
        <v>Def TaxNN2ASGA</v>
      </c>
      <c r="AR1457" s="41" t="str">
        <f t="shared" si="683"/>
        <v>N2ASGA</v>
      </c>
    </row>
    <row r="1458" spans="1:44" s="41" customFormat="1" ht="12.75" customHeight="1">
      <c r="A1458" s="442" t="s">
        <v>1590</v>
      </c>
      <c r="B1458" s="442" t="str">
        <f t="shared" si="692"/>
        <v>Def Tax190006DerivativeBT010057</v>
      </c>
      <c r="C1458" s="736">
        <v>190006</v>
      </c>
      <c r="D1458" s="735" t="s">
        <v>1833</v>
      </c>
      <c r="E1458" s="626" t="s">
        <v>1834</v>
      </c>
      <c r="F1458" s="626" t="str">
        <f t="shared" si="688"/>
        <v>ACCUM DEFERRED INC TAXES-FEDERAL-CURRENT-ELECTRIC</v>
      </c>
      <c r="G1458" s="626" t="s">
        <v>1835</v>
      </c>
      <c r="H1458" s="736" t="s">
        <v>1594</v>
      </c>
      <c r="I1458" s="442"/>
      <c r="J1458" s="442" t="str">
        <f t="shared" si="689"/>
        <v/>
      </c>
      <c r="K1458" s="442" t="str">
        <f t="shared" si="693"/>
        <v/>
      </c>
      <c r="L1458" s="736" t="s">
        <v>2427</v>
      </c>
      <c r="M1458" s="442" t="str">
        <f t="shared" ref="M1458:M1524" si="701">LEFT(L1458,1)</f>
        <v>N</v>
      </c>
      <c r="N1458" s="442" t="str">
        <f>IF(L1458&lt;&gt;"",VLOOKUP(L1458,Categories!$B$2:$D$41,2,FALSE),IF(F1458&lt;&gt;"","No Cat",""))</f>
        <v>NRBASE</v>
      </c>
      <c r="O1458" s="442" t="str">
        <f>IF($L1458&lt;&gt;"",VLOOKUP($L1458,Categories!$B$2:$D$41,3,FALSE),IF($F1458&lt;&gt;"","No Cat",""))</f>
        <v>Hedges &amp; OCI</v>
      </c>
      <c r="P1458" s="736" t="s">
        <v>2468</v>
      </c>
      <c r="Q1458" s="442" t="str">
        <f>VLOOKUP($P1458,Allocators!$B$7:$F$19,5,FALSE)</f>
        <v>Not in Rate Base</v>
      </c>
      <c r="R1458" s="737">
        <f>VLOOKUP($P1458,Allocators!$B$7:$F$19,2,FALSE)</f>
        <v>0</v>
      </c>
      <c r="S1458" s="737">
        <f>VLOOKUP($P1458,Allocators!$B$7:$F$19,3,FALSE)</f>
        <v>0</v>
      </c>
      <c r="T1458" s="737">
        <f t="shared" si="700"/>
        <v>1</v>
      </c>
      <c r="U1458" s="2">
        <f t="shared" si="694"/>
        <v>0</v>
      </c>
      <c r="V1458" s="2">
        <f t="shared" si="695"/>
        <v>0</v>
      </c>
      <c r="W1458" s="2">
        <f t="shared" si="696"/>
        <v>-869.185655</v>
      </c>
      <c r="X1458" s="2">
        <f t="shared" si="690"/>
        <v>-869.185655</v>
      </c>
      <c r="Y1458" s="2">
        <f t="shared" si="697"/>
        <v>0</v>
      </c>
      <c r="Z1458" s="2">
        <f t="shared" si="698"/>
        <v>0</v>
      </c>
      <c r="AA1458" s="2">
        <f t="shared" si="699"/>
        <v>1543.38222</v>
      </c>
      <c r="AB1458" s="2">
        <f t="shared" si="691"/>
        <v>1543.38222</v>
      </c>
      <c r="AC1458" s="625">
        <v>-96.184780000000003</v>
      </c>
      <c r="AD1458" s="625">
        <v>-566.32478000000003</v>
      </c>
      <c r="AE1458" s="625">
        <v>-1163.3757800000001</v>
      </c>
      <c r="AF1458" s="625">
        <v>-1039.27178</v>
      </c>
      <c r="AG1458" s="625">
        <v>-1911.7417800000001</v>
      </c>
      <c r="AH1458" s="625">
        <v>-1731.5007800000001</v>
      </c>
      <c r="AI1458" s="625">
        <v>-1077.4127800000001</v>
      </c>
      <c r="AJ1458" s="625">
        <v>538.43621999999993</v>
      </c>
      <c r="AK1458" s="625">
        <v>-329.53678000000002</v>
      </c>
      <c r="AL1458" s="625">
        <v>-1198.7467799999999</v>
      </c>
      <c r="AM1458" s="625">
        <v>-1203.7307800000001</v>
      </c>
      <c r="AN1458" s="625">
        <v>-1470.62078</v>
      </c>
      <c r="AO1458" s="625">
        <v>1543.38222</v>
      </c>
      <c r="AP1458" s="41" t="str">
        <f t="shared" si="681"/>
        <v>Def TaxN</v>
      </c>
      <c r="AQ1458" s="41" t="str">
        <f t="shared" si="682"/>
        <v>Def TaxNN5FAS 133 Related</v>
      </c>
      <c r="AR1458" s="41" t="str">
        <f t="shared" si="683"/>
        <v>N5FAS 133 Related</v>
      </c>
    </row>
    <row r="1459" spans="1:44" s="41" customFormat="1" ht="12.75" customHeight="1">
      <c r="A1459" s="25" t="s">
        <v>1590</v>
      </c>
      <c r="B1459" s="25" t="str">
        <f t="shared" si="692"/>
        <v>Def Tax190006FAS158OPEBBT010090</v>
      </c>
      <c r="C1459" s="736">
        <v>190006</v>
      </c>
      <c r="D1459" s="735" t="s">
        <v>1836</v>
      </c>
      <c r="E1459" s="41" t="s">
        <v>1728</v>
      </c>
      <c r="F1459" s="41" t="str">
        <f t="shared" si="688"/>
        <v>ACCUM DEFERRED INC TAXES-FEDERAL-CURRENT-ELECTRIC</v>
      </c>
      <c r="G1459" s="41" t="s">
        <v>1837</v>
      </c>
      <c r="H1459" s="736" t="s">
        <v>927</v>
      </c>
      <c r="I1459" s="25"/>
      <c r="J1459" s="25" t="str">
        <f t="shared" si="689"/>
        <v/>
      </c>
      <c r="K1459" s="442" t="str">
        <f t="shared" si="693"/>
        <v/>
      </c>
      <c r="L1459" s="736" t="s">
        <v>2443</v>
      </c>
      <c r="M1459" s="25" t="str">
        <f t="shared" si="701"/>
        <v>R</v>
      </c>
      <c r="N1459" s="25" t="str">
        <f>IF(L1459&lt;&gt;"",VLOOKUP(L1459,Categories!$B$2:$D$41,2,FALSE),IF(F1459&lt;&gt;"","No Cat",""))</f>
        <v>Rate Base</v>
      </c>
      <c r="O1459" s="25" t="str">
        <f>IF($L1459&lt;&gt;"",VLOOKUP($L1459,Categories!$B$2:$D$41,3,FALSE),IF($F1459&lt;&gt;"","No Cat",""))</f>
        <v>Deferred Income Taxes</v>
      </c>
      <c r="P1459" s="736" t="s">
        <v>2482</v>
      </c>
      <c r="Q1459" s="25" t="str">
        <f>VLOOKUP($P1459,Allocators!$B$7:$F$19,5,FALSE)</f>
        <v>Electric</v>
      </c>
      <c r="R1459" s="737">
        <f>VLOOKUP($P1459,Allocators!$B$7:$F$19,2,FALSE)</f>
        <v>1</v>
      </c>
      <c r="S1459" s="737">
        <f>VLOOKUP($P1459,Allocators!$B$7:$F$19,3,FALSE)</f>
        <v>0</v>
      </c>
      <c r="T1459" s="737" t="str">
        <f t="shared" si="700"/>
        <v>0.0%</v>
      </c>
      <c r="U1459" s="2" t="str">
        <f t="shared" si="694"/>
        <v/>
      </c>
      <c r="V1459" s="2" t="str">
        <f t="shared" si="695"/>
        <v/>
      </c>
      <c r="W1459" s="2" t="str">
        <f t="shared" si="696"/>
        <v/>
      </c>
      <c r="X1459" s="2">
        <f t="shared" si="690"/>
        <v>0</v>
      </c>
      <c r="Y1459" s="2" t="str">
        <f t="shared" si="697"/>
        <v/>
      </c>
      <c r="Z1459" s="2" t="str">
        <f t="shared" si="698"/>
        <v/>
      </c>
      <c r="AA1459" s="2" t="str">
        <f t="shared" si="699"/>
        <v/>
      </c>
      <c r="AB1459" s="2">
        <f t="shared" si="691"/>
        <v>0</v>
      </c>
      <c r="AC1459" s="625">
        <v>0</v>
      </c>
      <c r="AD1459" s="625">
        <v>0</v>
      </c>
      <c r="AE1459" s="625">
        <v>0</v>
      </c>
      <c r="AF1459" s="625">
        <v>0</v>
      </c>
      <c r="AG1459" s="625">
        <v>0</v>
      </c>
      <c r="AH1459" s="625">
        <v>0</v>
      </c>
      <c r="AI1459" s="625">
        <v>0</v>
      </c>
      <c r="AJ1459" s="625">
        <v>0</v>
      </c>
      <c r="AK1459" s="625">
        <v>0</v>
      </c>
      <c r="AL1459" s="625">
        <v>0</v>
      </c>
      <c r="AM1459" s="625">
        <v>0</v>
      </c>
      <c r="AN1459" s="625">
        <v>0</v>
      </c>
      <c r="AO1459" s="625">
        <v>0</v>
      </c>
      <c r="AP1459" s="41" t="str">
        <f t="shared" si="681"/>
        <v>Def TaxR</v>
      </c>
      <c r="AQ1459" s="41" t="str">
        <f t="shared" si="682"/>
        <v>Def TaxRR11OPEB</v>
      </c>
      <c r="AR1459" s="41" t="str">
        <f t="shared" si="683"/>
        <v>R11OPEB</v>
      </c>
    </row>
    <row r="1460" spans="1:44" s="41" customFormat="1" ht="12.75" customHeight="1">
      <c r="A1460" s="25" t="s">
        <v>1590</v>
      </c>
      <c r="B1460" s="25" t="str">
        <f t="shared" si="692"/>
        <v>Def Tax190006FAS158FAS106FBT030562</v>
      </c>
      <c r="C1460" s="736">
        <v>190006</v>
      </c>
      <c r="D1460" s="735" t="s">
        <v>1838</v>
      </c>
      <c r="E1460" s="41" t="s">
        <v>1839</v>
      </c>
      <c r="F1460" s="41" t="str">
        <f t="shared" si="688"/>
        <v>ACCUM DEFERRED INC TAXES-FEDERAL-CURRENT-ELECTRIC</v>
      </c>
      <c r="G1460" s="41" t="s">
        <v>1840</v>
      </c>
      <c r="H1460" s="736" t="s">
        <v>927</v>
      </c>
      <c r="I1460" s="25"/>
      <c r="J1460" s="25" t="str">
        <f t="shared" si="689"/>
        <v/>
      </c>
      <c r="K1460" s="442" t="str">
        <f t="shared" si="693"/>
        <v/>
      </c>
      <c r="L1460" s="736" t="s">
        <v>2443</v>
      </c>
      <c r="M1460" s="25" t="str">
        <f t="shared" si="701"/>
        <v>R</v>
      </c>
      <c r="N1460" s="25" t="str">
        <f>IF(L1460&lt;&gt;"",VLOOKUP(L1460,Categories!$B$2:$D$41,2,FALSE),IF(F1460&lt;&gt;"","No Cat",""))</f>
        <v>Rate Base</v>
      </c>
      <c r="O1460" s="25" t="str">
        <f>IF($L1460&lt;&gt;"",VLOOKUP($L1460,Categories!$B$2:$D$41,3,FALSE),IF($F1460&lt;&gt;"","No Cat",""))</f>
        <v>Deferred Income Taxes</v>
      </c>
      <c r="P1460" s="736" t="s">
        <v>2482</v>
      </c>
      <c r="Q1460" s="25" t="str">
        <f>VLOOKUP($P1460,Allocators!$B$7:$F$19,5,FALSE)</f>
        <v>Electric</v>
      </c>
      <c r="R1460" s="737">
        <f>VLOOKUP($P1460,Allocators!$B$7:$F$19,2,FALSE)</f>
        <v>1</v>
      </c>
      <c r="S1460" s="737">
        <f>VLOOKUP($P1460,Allocators!$B$7:$F$19,3,FALSE)</f>
        <v>0</v>
      </c>
      <c r="T1460" s="737" t="str">
        <f t="shared" si="700"/>
        <v>0.0%</v>
      </c>
      <c r="U1460" s="2" t="str">
        <f t="shared" si="694"/>
        <v/>
      </c>
      <c r="V1460" s="2" t="str">
        <f t="shared" si="695"/>
        <v/>
      </c>
      <c r="W1460" s="2" t="str">
        <f t="shared" si="696"/>
        <v/>
      </c>
      <c r="X1460" s="2">
        <f t="shared" si="690"/>
        <v>0</v>
      </c>
      <c r="Y1460" s="2" t="str">
        <f t="shared" si="697"/>
        <v/>
      </c>
      <c r="Z1460" s="2" t="str">
        <f t="shared" si="698"/>
        <v/>
      </c>
      <c r="AA1460" s="2" t="str">
        <f t="shared" si="699"/>
        <v/>
      </c>
      <c r="AB1460" s="2">
        <f t="shared" si="691"/>
        <v>0</v>
      </c>
      <c r="AC1460" s="625">
        <v>0</v>
      </c>
      <c r="AD1460" s="625">
        <v>0</v>
      </c>
      <c r="AE1460" s="625">
        <v>0</v>
      </c>
      <c r="AF1460" s="625">
        <v>0</v>
      </c>
      <c r="AG1460" s="625">
        <v>0</v>
      </c>
      <c r="AH1460" s="625">
        <v>0</v>
      </c>
      <c r="AI1460" s="625">
        <v>0</v>
      </c>
      <c r="AJ1460" s="625">
        <v>0</v>
      </c>
      <c r="AK1460" s="625">
        <v>0</v>
      </c>
      <c r="AL1460" s="625">
        <v>0</v>
      </c>
      <c r="AM1460" s="625">
        <v>0</v>
      </c>
      <c r="AN1460" s="625">
        <v>0</v>
      </c>
      <c r="AO1460" s="625">
        <v>0</v>
      </c>
      <c r="AP1460" s="41" t="str">
        <f t="shared" si="681"/>
        <v>Def TaxR</v>
      </c>
      <c r="AQ1460" s="41" t="str">
        <f t="shared" si="682"/>
        <v>Def TaxRR11OPEB</v>
      </c>
      <c r="AR1460" s="41" t="str">
        <f t="shared" si="683"/>
        <v>R11OPEB</v>
      </c>
    </row>
    <row r="1461" spans="1:44" s="41" customFormat="1" ht="12.75" customHeight="1">
      <c r="A1461" s="442" t="s">
        <v>1590</v>
      </c>
      <c r="B1461" s="442" t="str">
        <f t="shared" si="692"/>
        <v>Def Tax190006OCI</v>
      </c>
      <c r="C1461" s="736">
        <v>190006</v>
      </c>
      <c r="D1461" s="735" t="s">
        <v>1841</v>
      </c>
      <c r="E1461" s="626"/>
      <c r="F1461" s="626" t="str">
        <f t="shared" si="688"/>
        <v>ACCUM DEFERRED INC TAXES-FEDERAL-CURRENT-ELECTRIC</v>
      </c>
      <c r="G1461" s="626" t="s">
        <v>1842</v>
      </c>
      <c r="H1461" s="736" t="s">
        <v>1594</v>
      </c>
      <c r="I1461" s="442"/>
      <c r="J1461" s="442" t="str">
        <f t="shared" si="689"/>
        <v/>
      </c>
      <c r="K1461" s="442" t="str">
        <f t="shared" si="693"/>
        <v/>
      </c>
      <c r="L1461" s="736" t="s">
        <v>2427</v>
      </c>
      <c r="M1461" s="442" t="str">
        <f t="shared" si="701"/>
        <v>N</v>
      </c>
      <c r="N1461" s="442" t="str">
        <f>IF(L1461&lt;&gt;"",VLOOKUP(L1461,Categories!$B$2:$D$41,2,FALSE),IF(F1461&lt;&gt;"","No Cat",""))</f>
        <v>NRBASE</v>
      </c>
      <c r="O1461" s="442" t="str">
        <f>IF($L1461&lt;&gt;"",VLOOKUP($L1461,Categories!$B$2:$D$41,3,FALSE),IF($F1461&lt;&gt;"","No Cat",""))</f>
        <v>Hedges &amp; OCI</v>
      </c>
      <c r="P1461" s="736" t="s">
        <v>2468</v>
      </c>
      <c r="Q1461" s="442" t="str">
        <f>VLOOKUP($P1461,Allocators!$B$7:$F$19,5,FALSE)</f>
        <v>Not in Rate Base</v>
      </c>
      <c r="R1461" s="737">
        <f>VLOOKUP($P1461,Allocators!$B$7:$F$19,2,FALSE)</f>
        <v>0</v>
      </c>
      <c r="S1461" s="737">
        <f>VLOOKUP($P1461,Allocators!$B$7:$F$19,3,FALSE)</f>
        <v>0</v>
      </c>
      <c r="T1461" s="737">
        <f t="shared" si="700"/>
        <v>1</v>
      </c>
      <c r="U1461" s="2" t="str">
        <f t="shared" si="694"/>
        <v/>
      </c>
      <c r="V1461" s="2" t="str">
        <f t="shared" si="695"/>
        <v/>
      </c>
      <c r="W1461" s="2" t="str">
        <f t="shared" si="696"/>
        <v/>
      </c>
      <c r="X1461" s="2">
        <f t="shared" si="690"/>
        <v>0</v>
      </c>
      <c r="Y1461" s="2" t="str">
        <f t="shared" si="697"/>
        <v/>
      </c>
      <c r="Z1461" s="2" t="str">
        <f t="shared" si="698"/>
        <v/>
      </c>
      <c r="AA1461" s="2" t="str">
        <f t="shared" si="699"/>
        <v/>
      </c>
      <c r="AB1461" s="2">
        <f t="shared" si="691"/>
        <v>0</v>
      </c>
      <c r="AC1461" s="625">
        <v>0</v>
      </c>
      <c r="AD1461" s="625">
        <v>0</v>
      </c>
      <c r="AE1461" s="625">
        <v>0</v>
      </c>
      <c r="AF1461" s="625">
        <v>0</v>
      </c>
      <c r="AG1461" s="625">
        <v>0</v>
      </c>
      <c r="AH1461" s="625">
        <v>0</v>
      </c>
      <c r="AI1461" s="625">
        <v>0</v>
      </c>
      <c r="AJ1461" s="625">
        <v>0</v>
      </c>
      <c r="AK1461" s="625">
        <v>0</v>
      </c>
      <c r="AL1461" s="625">
        <v>0</v>
      </c>
      <c r="AM1461" s="625">
        <v>0</v>
      </c>
      <c r="AN1461" s="625">
        <v>0</v>
      </c>
      <c r="AO1461" s="625">
        <v>0</v>
      </c>
      <c r="AP1461" s="41" t="str">
        <f t="shared" si="681"/>
        <v>Def TaxN</v>
      </c>
      <c r="AQ1461" s="41" t="str">
        <f t="shared" si="682"/>
        <v>Def TaxNN5FAS 133 Related</v>
      </c>
      <c r="AR1461" s="41" t="str">
        <f t="shared" si="683"/>
        <v>N5FAS 133 Related</v>
      </c>
    </row>
    <row r="1462" spans="1:44" s="41" customFormat="1" ht="12.75" customHeight="1">
      <c r="A1462" s="442" t="s">
        <v>1590</v>
      </c>
      <c r="B1462" s="442" t="str">
        <f t="shared" si="692"/>
        <v>Def Tax190006Other CurrBC999998/
BDEFAULT</v>
      </c>
      <c r="C1462" s="736">
        <v>190006</v>
      </c>
      <c r="D1462" s="735" t="s">
        <v>1843</v>
      </c>
      <c r="E1462" s="626" t="s">
        <v>1844</v>
      </c>
      <c r="F1462" s="626" t="str">
        <f t="shared" si="688"/>
        <v>ACCUM DEFERRED INC TAXES-FEDERAL-CURRENT-ELECTRIC</v>
      </c>
      <c r="G1462" s="626" t="s">
        <v>1845</v>
      </c>
      <c r="H1462" s="736" t="s">
        <v>1594</v>
      </c>
      <c r="I1462" s="442"/>
      <c r="J1462" s="442" t="str">
        <f t="shared" si="689"/>
        <v/>
      </c>
      <c r="K1462" s="442" t="str">
        <f t="shared" si="693"/>
        <v/>
      </c>
      <c r="L1462" s="736" t="s">
        <v>2427</v>
      </c>
      <c r="M1462" s="442" t="str">
        <f t="shared" si="701"/>
        <v>N</v>
      </c>
      <c r="N1462" s="442" t="str">
        <f>IF(L1462&lt;&gt;"",VLOOKUP(L1462,Categories!$B$2:$D$41,2,FALSE),IF(F1462&lt;&gt;"","No Cat",""))</f>
        <v>NRBASE</v>
      </c>
      <c r="O1462" s="442" t="str">
        <f>IF($L1462&lt;&gt;"",VLOOKUP($L1462,Categories!$B$2:$D$41,3,FALSE),IF($F1462&lt;&gt;"","No Cat",""))</f>
        <v>Hedges &amp; OCI</v>
      </c>
      <c r="P1462" s="736" t="s">
        <v>2468</v>
      </c>
      <c r="Q1462" s="442" t="str">
        <f>VLOOKUP($P1462,Allocators!$B$7:$F$19,5,FALSE)</f>
        <v>Not in Rate Base</v>
      </c>
      <c r="R1462" s="737">
        <f>VLOOKUP($P1462,Allocators!$B$7:$F$19,2,FALSE)</f>
        <v>0</v>
      </c>
      <c r="S1462" s="737">
        <f>VLOOKUP($P1462,Allocators!$B$7:$F$19,3,FALSE)</f>
        <v>0</v>
      </c>
      <c r="T1462" s="737">
        <f t="shared" si="700"/>
        <v>1</v>
      </c>
      <c r="U1462" s="2" t="str">
        <f t="shared" si="694"/>
        <v/>
      </c>
      <c r="V1462" s="2" t="str">
        <f t="shared" si="695"/>
        <v/>
      </c>
      <c r="W1462" s="2" t="str">
        <f t="shared" si="696"/>
        <v/>
      </c>
      <c r="X1462" s="2">
        <f t="shared" si="690"/>
        <v>0</v>
      </c>
      <c r="Y1462" s="2" t="str">
        <f t="shared" si="697"/>
        <v/>
      </c>
      <c r="Z1462" s="2" t="str">
        <f t="shared" si="698"/>
        <v/>
      </c>
      <c r="AA1462" s="2" t="str">
        <f t="shared" si="699"/>
        <v/>
      </c>
      <c r="AB1462" s="2">
        <f t="shared" si="691"/>
        <v>0</v>
      </c>
      <c r="AC1462" s="625">
        <v>0</v>
      </c>
      <c r="AD1462" s="625">
        <v>0</v>
      </c>
      <c r="AE1462" s="625">
        <v>0</v>
      </c>
      <c r="AF1462" s="625">
        <v>0</v>
      </c>
      <c r="AG1462" s="625">
        <v>0</v>
      </c>
      <c r="AH1462" s="625">
        <v>0</v>
      </c>
      <c r="AI1462" s="625">
        <v>0</v>
      </c>
      <c r="AJ1462" s="625">
        <v>0</v>
      </c>
      <c r="AK1462" s="625">
        <v>0</v>
      </c>
      <c r="AL1462" s="625">
        <v>0</v>
      </c>
      <c r="AM1462" s="625">
        <v>0</v>
      </c>
      <c r="AN1462" s="625">
        <v>0</v>
      </c>
      <c r="AO1462" s="625">
        <v>0</v>
      </c>
      <c r="AP1462" s="41" t="str">
        <f t="shared" si="681"/>
        <v>Def TaxN</v>
      </c>
      <c r="AQ1462" s="41" t="str">
        <f t="shared" si="682"/>
        <v>Def TaxNN5FAS 133 Related</v>
      </c>
      <c r="AR1462" s="41" t="str">
        <f t="shared" si="683"/>
        <v>N5FAS 133 Related</v>
      </c>
    </row>
    <row r="1463" spans="1:44" s="41" customFormat="1" ht="12.75" customHeight="1">
      <c r="A1463" s="25" t="s">
        <v>1590</v>
      </c>
      <c r="B1463" s="25" t="str">
        <f t="shared" si="692"/>
        <v>Def Tax190007190-008BT010241</v>
      </c>
      <c r="C1463" s="736">
        <v>190007</v>
      </c>
      <c r="D1463" s="735" t="s">
        <v>1812</v>
      </c>
      <c r="E1463" s="41" t="s">
        <v>1813</v>
      </c>
      <c r="F1463" s="41" t="str">
        <f t="shared" si="688"/>
        <v>ACCUM DEFERRED INC TAXES-FEDERAL-CURRENT-GAS</v>
      </c>
      <c r="G1463" s="41" t="s">
        <v>1814</v>
      </c>
      <c r="H1463" s="736" t="s">
        <v>1815</v>
      </c>
      <c r="I1463" s="25"/>
      <c r="J1463" s="25" t="str">
        <f t="shared" si="689"/>
        <v/>
      </c>
      <c r="K1463" s="442" t="str">
        <f t="shared" si="693"/>
        <v/>
      </c>
      <c r="L1463" s="736" t="s">
        <v>2443</v>
      </c>
      <c r="M1463" s="25" t="str">
        <f t="shared" si="701"/>
        <v>R</v>
      </c>
      <c r="N1463" s="25" t="str">
        <f>IF(L1463&lt;&gt;"",VLOOKUP(L1463,Categories!$B$2:$D$41,2,FALSE),IF(F1463&lt;&gt;"","No Cat",""))</f>
        <v>Rate Base</v>
      </c>
      <c r="O1463" s="25" t="str">
        <f>IF($L1463&lt;&gt;"",VLOOKUP($L1463,Categories!$B$2:$D$41,3,FALSE),IF($F1463&lt;&gt;"","No Cat",""))</f>
        <v>Deferred Income Taxes</v>
      </c>
      <c r="P1463" s="736" t="s">
        <v>2483</v>
      </c>
      <c r="Q1463" s="25" t="str">
        <f>VLOOKUP($P1463,Allocators!$B$7:$F$19,5,FALSE)</f>
        <v>Gas</v>
      </c>
      <c r="R1463" s="737">
        <f>VLOOKUP($P1463,Allocators!$B$7:$F$19,2,FALSE)</f>
        <v>0</v>
      </c>
      <c r="S1463" s="737">
        <f>VLOOKUP($P1463,Allocators!$B$7:$F$19,3,FALSE)</f>
        <v>1</v>
      </c>
      <c r="T1463" s="737" t="str">
        <f t="shared" si="700"/>
        <v>0.0%</v>
      </c>
      <c r="U1463" s="2" t="str">
        <f t="shared" si="694"/>
        <v/>
      </c>
      <c r="V1463" s="2" t="str">
        <f t="shared" si="695"/>
        <v/>
      </c>
      <c r="W1463" s="2" t="str">
        <f t="shared" si="696"/>
        <v/>
      </c>
      <c r="X1463" s="2">
        <f t="shared" si="690"/>
        <v>0</v>
      </c>
      <c r="Y1463" s="2" t="str">
        <f t="shared" si="697"/>
        <v/>
      </c>
      <c r="Z1463" s="2" t="str">
        <f t="shared" si="698"/>
        <v/>
      </c>
      <c r="AA1463" s="2" t="str">
        <f t="shared" si="699"/>
        <v/>
      </c>
      <c r="AB1463" s="2">
        <f t="shared" si="691"/>
        <v>0</v>
      </c>
      <c r="AC1463" s="625">
        <v>0</v>
      </c>
      <c r="AD1463" s="625">
        <v>0</v>
      </c>
      <c r="AE1463" s="625">
        <v>0</v>
      </c>
      <c r="AF1463" s="625">
        <v>0</v>
      </c>
      <c r="AG1463" s="625">
        <v>0</v>
      </c>
      <c r="AH1463" s="625">
        <v>0</v>
      </c>
      <c r="AI1463" s="625">
        <v>0</v>
      </c>
      <c r="AJ1463" s="625">
        <v>0</v>
      </c>
      <c r="AK1463" s="625">
        <v>0</v>
      </c>
      <c r="AL1463" s="625">
        <v>0</v>
      </c>
      <c r="AM1463" s="625">
        <v>0</v>
      </c>
      <c r="AN1463" s="625">
        <v>0</v>
      </c>
      <c r="AO1463" s="625">
        <v>0</v>
      </c>
      <c r="AP1463" s="41" t="str">
        <f t="shared" si="681"/>
        <v>Def TaxR</v>
      </c>
      <c r="AQ1463" s="41" t="str">
        <f t="shared" si="682"/>
        <v>Def TaxRR11Vacation pay</v>
      </c>
      <c r="AR1463" s="41" t="str">
        <f t="shared" si="683"/>
        <v>R11Vacation pay</v>
      </c>
    </row>
    <row r="1464" spans="1:44" s="41" customFormat="1" ht="12.75" customHeight="1">
      <c r="A1464" s="25" t="s">
        <v>1590</v>
      </c>
      <c r="B1464" s="25" t="str">
        <f t="shared" si="692"/>
        <v>Def Tax190007190-047BT010104</v>
      </c>
      <c r="C1464" s="736">
        <v>190007</v>
      </c>
      <c r="D1464" s="735" t="s">
        <v>1816</v>
      </c>
      <c r="E1464" s="41" t="s">
        <v>1817</v>
      </c>
      <c r="F1464" s="41" t="str">
        <f t="shared" si="688"/>
        <v>ACCUM DEFERRED INC TAXES-FEDERAL-CURRENT-GAS</v>
      </c>
      <c r="G1464" s="41" t="s">
        <v>1818</v>
      </c>
      <c r="H1464" s="736" t="s">
        <v>1819</v>
      </c>
      <c r="I1464" s="25"/>
      <c r="J1464" s="25" t="str">
        <f t="shared" si="689"/>
        <v/>
      </c>
      <c r="K1464" s="442" t="str">
        <f t="shared" si="693"/>
        <v/>
      </c>
      <c r="L1464" s="736" t="s">
        <v>2443</v>
      </c>
      <c r="M1464" s="25" t="str">
        <f t="shared" si="701"/>
        <v>R</v>
      </c>
      <c r="N1464" s="25" t="str">
        <f>IF(L1464&lt;&gt;"",VLOOKUP(L1464,Categories!$B$2:$D$41,2,FALSE),IF(F1464&lt;&gt;"","No Cat",""))</f>
        <v>Rate Base</v>
      </c>
      <c r="O1464" s="25" t="str">
        <f>IF($L1464&lt;&gt;"",VLOOKUP($L1464,Categories!$B$2:$D$41,3,FALSE),IF($F1464&lt;&gt;"","No Cat",""))</f>
        <v>Deferred Income Taxes</v>
      </c>
      <c r="P1464" s="736" t="s">
        <v>2483</v>
      </c>
      <c r="Q1464" s="25" t="str">
        <f>VLOOKUP($P1464,Allocators!$B$7:$F$19,5,FALSE)</f>
        <v>Gas</v>
      </c>
      <c r="R1464" s="737">
        <f>VLOOKUP($P1464,Allocators!$B$7:$F$19,2,FALSE)</f>
        <v>0</v>
      </c>
      <c r="S1464" s="737">
        <f>VLOOKUP($P1464,Allocators!$B$7:$F$19,3,FALSE)</f>
        <v>1</v>
      </c>
      <c r="T1464" s="737" t="str">
        <f t="shared" si="700"/>
        <v>0.0%</v>
      </c>
      <c r="U1464" s="2" t="str">
        <f t="shared" si="694"/>
        <v/>
      </c>
      <c r="V1464" s="2" t="str">
        <f t="shared" si="695"/>
        <v/>
      </c>
      <c r="W1464" s="2" t="str">
        <f t="shared" si="696"/>
        <v/>
      </c>
      <c r="X1464" s="2">
        <f t="shared" si="690"/>
        <v>0</v>
      </c>
      <c r="Y1464" s="2" t="str">
        <f t="shared" si="697"/>
        <v/>
      </c>
      <c r="Z1464" s="2" t="str">
        <f t="shared" si="698"/>
        <v/>
      </c>
      <c r="AA1464" s="2" t="str">
        <f t="shared" si="699"/>
        <v/>
      </c>
      <c r="AB1464" s="2">
        <f t="shared" si="691"/>
        <v>0</v>
      </c>
      <c r="AC1464" s="625">
        <v>0</v>
      </c>
      <c r="AD1464" s="625">
        <v>0</v>
      </c>
      <c r="AE1464" s="625">
        <v>0</v>
      </c>
      <c r="AF1464" s="625">
        <v>0</v>
      </c>
      <c r="AG1464" s="625">
        <v>0</v>
      </c>
      <c r="AH1464" s="625">
        <v>0</v>
      </c>
      <c r="AI1464" s="625">
        <v>0</v>
      </c>
      <c r="AJ1464" s="625">
        <v>0</v>
      </c>
      <c r="AK1464" s="625">
        <v>0</v>
      </c>
      <c r="AL1464" s="625">
        <v>0</v>
      </c>
      <c r="AM1464" s="625">
        <v>0</v>
      </c>
      <c r="AN1464" s="625">
        <v>0</v>
      </c>
      <c r="AO1464" s="625">
        <v>0</v>
      </c>
      <c r="AP1464" s="41" t="str">
        <f t="shared" si="681"/>
        <v>Def TaxR</v>
      </c>
      <c r="AQ1464" s="41" t="str">
        <f t="shared" si="682"/>
        <v>Def TaxRR11Performance Plus Plan</v>
      </c>
      <c r="AR1464" s="41" t="str">
        <f t="shared" si="683"/>
        <v>R11Performance Plus Plan</v>
      </c>
    </row>
    <row r="1465" spans="1:44" s="41" customFormat="1" ht="12.75" customHeight="1">
      <c r="A1465" s="25" t="s">
        <v>1590</v>
      </c>
      <c r="B1465" s="25" t="str">
        <f t="shared" si="692"/>
        <v>Def Tax190007190-047-SBT010104</v>
      </c>
      <c r="C1465" s="736">
        <v>190007</v>
      </c>
      <c r="D1465" s="735" t="s">
        <v>1820</v>
      </c>
      <c r="E1465" s="41" t="s">
        <v>1817</v>
      </c>
      <c r="F1465" s="41" t="str">
        <f t="shared" si="688"/>
        <v>ACCUM DEFERRED INC TAXES-FEDERAL-CURRENT-GAS</v>
      </c>
      <c r="G1465" s="41" t="s">
        <v>1818</v>
      </c>
      <c r="H1465" s="736" t="s">
        <v>1819</v>
      </c>
      <c r="I1465" s="25"/>
      <c r="J1465" s="25" t="str">
        <f t="shared" si="689"/>
        <v/>
      </c>
      <c r="K1465" s="442" t="str">
        <f t="shared" si="693"/>
        <v/>
      </c>
      <c r="L1465" s="736" t="s">
        <v>2443</v>
      </c>
      <c r="M1465" s="25" t="str">
        <f t="shared" si="701"/>
        <v>R</v>
      </c>
      <c r="N1465" s="25" t="str">
        <f>IF(L1465&lt;&gt;"",VLOOKUP(L1465,Categories!$B$2:$D$41,2,FALSE),IF(F1465&lt;&gt;"","No Cat",""))</f>
        <v>Rate Base</v>
      </c>
      <c r="O1465" s="25" t="str">
        <f>IF($L1465&lt;&gt;"",VLOOKUP($L1465,Categories!$B$2:$D$41,3,FALSE),IF($F1465&lt;&gt;"","No Cat",""))</f>
        <v>Deferred Income Taxes</v>
      </c>
      <c r="P1465" s="736" t="s">
        <v>2483</v>
      </c>
      <c r="Q1465" s="25" t="str">
        <f>VLOOKUP($P1465,Allocators!$B$7:$F$19,5,FALSE)</f>
        <v>Gas</v>
      </c>
      <c r="R1465" s="737">
        <f>VLOOKUP($P1465,Allocators!$B$7:$F$19,2,FALSE)</f>
        <v>0</v>
      </c>
      <c r="S1465" s="737">
        <f>VLOOKUP($P1465,Allocators!$B$7:$F$19,3,FALSE)</f>
        <v>1</v>
      </c>
      <c r="T1465" s="737" t="str">
        <f t="shared" si="700"/>
        <v>0.0%</v>
      </c>
      <c r="U1465" s="2" t="str">
        <f t="shared" si="694"/>
        <v/>
      </c>
      <c r="V1465" s="2" t="str">
        <f t="shared" si="695"/>
        <v/>
      </c>
      <c r="W1465" s="2" t="str">
        <f t="shared" si="696"/>
        <v/>
      </c>
      <c r="X1465" s="2">
        <f t="shared" si="690"/>
        <v>0</v>
      </c>
      <c r="Y1465" s="2" t="str">
        <f t="shared" si="697"/>
        <v/>
      </c>
      <c r="Z1465" s="2" t="str">
        <f t="shared" si="698"/>
        <v/>
      </c>
      <c r="AA1465" s="2" t="str">
        <f t="shared" si="699"/>
        <v/>
      </c>
      <c r="AB1465" s="2">
        <f t="shared" si="691"/>
        <v>0</v>
      </c>
      <c r="AC1465" s="625">
        <v>0</v>
      </c>
      <c r="AD1465" s="625">
        <v>0</v>
      </c>
      <c r="AE1465" s="625">
        <v>0</v>
      </c>
      <c r="AF1465" s="625">
        <v>0</v>
      </c>
      <c r="AG1465" s="625">
        <v>0</v>
      </c>
      <c r="AH1465" s="625">
        <v>0</v>
      </c>
      <c r="AI1465" s="625">
        <v>0</v>
      </c>
      <c r="AJ1465" s="625">
        <v>0</v>
      </c>
      <c r="AK1465" s="625">
        <v>0</v>
      </c>
      <c r="AL1465" s="625">
        <v>0</v>
      </c>
      <c r="AM1465" s="625">
        <v>0</v>
      </c>
      <c r="AN1465" s="625">
        <v>0</v>
      </c>
      <c r="AO1465" s="625">
        <v>0</v>
      </c>
      <c r="AP1465" s="41" t="str">
        <f t="shared" si="681"/>
        <v>Def TaxR</v>
      </c>
      <c r="AQ1465" s="41" t="str">
        <f t="shared" si="682"/>
        <v>Def TaxRR11Performance Plus Plan</v>
      </c>
      <c r="AR1465" s="41" t="str">
        <f t="shared" si="683"/>
        <v>R11Performance Plus Plan</v>
      </c>
    </row>
    <row r="1466" spans="1:44" s="41" customFormat="1" ht="12.75" customHeight="1">
      <c r="A1466" s="25" t="s">
        <v>1590</v>
      </c>
      <c r="B1466" s="25" t="str">
        <f t="shared" si="692"/>
        <v>Def Tax190007190-054BTHUNGDT</v>
      </c>
      <c r="C1466" s="736">
        <v>190007</v>
      </c>
      <c r="D1466" s="735" t="s">
        <v>1791</v>
      </c>
      <c r="E1466" s="41" t="s">
        <v>1624</v>
      </c>
      <c r="F1466" s="41" t="str">
        <f t="shared" si="688"/>
        <v>ACCUM DEFERRED INC TAXES-FEDERAL-CURRENT-GAS</v>
      </c>
      <c r="G1466" s="41" t="s">
        <v>1792</v>
      </c>
      <c r="H1466" s="736">
        <v>0</v>
      </c>
      <c r="I1466" s="25"/>
      <c r="J1466" s="25" t="str">
        <f t="shared" si="689"/>
        <v/>
      </c>
      <c r="K1466" s="442" t="str">
        <f t="shared" si="693"/>
        <v/>
      </c>
      <c r="L1466" s="736" t="s">
        <v>2443</v>
      </c>
      <c r="M1466" s="25" t="str">
        <f t="shared" si="701"/>
        <v>R</v>
      </c>
      <c r="N1466" s="25" t="str">
        <f>IF(L1466&lt;&gt;"",VLOOKUP(L1466,Categories!$B$2:$D$41,2,FALSE),IF(F1466&lt;&gt;"","No Cat",""))</f>
        <v>Rate Base</v>
      </c>
      <c r="O1466" s="25" t="str">
        <f>IF($L1466&lt;&gt;"",VLOOKUP($L1466,Categories!$B$2:$D$41,3,FALSE),IF($F1466&lt;&gt;"","No Cat",""))</f>
        <v>Deferred Income Taxes</v>
      </c>
      <c r="P1466" s="736" t="s">
        <v>2483</v>
      </c>
      <c r="Q1466" s="25" t="str">
        <f>VLOOKUP($P1466,Allocators!$B$7:$F$19,5,FALSE)</f>
        <v>Gas</v>
      </c>
      <c r="R1466" s="737">
        <f>VLOOKUP($P1466,Allocators!$B$7:$F$19,2,FALSE)</f>
        <v>0</v>
      </c>
      <c r="S1466" s="737">
        <f>VLOOKUP($P1466,Allocators!$B$7:$F$19,3,FALSE)</f>
        <v>1</v>
      </c>
      <c r="T1466" s="737" t="str">
        <f t="shared" si="700"/>
        <v>0.0%</v>
      </c>
      <c r="U1466" s="2" t="str">
        <f t="shared" si="694"/>
        <v/>
      </c>
      <c r="V1466" s="2" t="str">
        <f t="shared" si="695"/>
        <v/>
      </c>
      <c r="W1466" s="2" t="str">
        <f t="shared" si="696"/>
        <v/>
      </c>
      <c r="X1466" s="2">
        <f t="shared" si="690"/>
        <v>0</v>
      </c>
      <c r="Y1466" s="2" t="str">
        <f t="shared" si="697"/>
        <v/>
      </c>
      <c r="Z1466" s="2" t="str">
        <f t="shared" si="698"/>
        <v/>
      </c>
      <c r="AA1466" s="2" t="str">
        <f t="shared" si="699"/>
        <v/>
      </c>
      <c r="AB1466" s="2">
        <f t="shared" si="691"/>
        <v>0</v>
      </c>
      <c r="AC1466" s="625">
        <v>0</v>
      </c>
      <c r="AD1466" s="625">
        <v>0</v>
      </c>
      <c r="AE1466" s="625">
        <v>0</v>
      </c>
      <c r="AF1466" s="625">
        <v>0</v>
      </c>
      <c r="AG1466" s="625">
        <v>0</v>
      </c>
      <c r="AH1466" s="625">
        <v>0</v>
      </c>
      <c r="AI1466" s="625">
        <v>0</v>
      </c>
      <c r="AJ1466" s="625">
        <v>0</v>
      </c>
      <c r="AK1466" s="625">
        <v>0</v>
      </c>
      <c r="AL1466" s="625">
        <v>0</v>
      </c>
      <c r="AM1466" s="625">
        <v>0</v>
      </c>
      <c r="AN1466" s="625">
        <v>0</v>
      </c>
      <c r="AO1466" s="625">
        <v>0</v>
      </c>
      <c r="AP1466" s="41" t="str">
        <f t="shared" si="681"/>
        <v>Def TaxR</v>
      </c>
      <c r="AQ1466" s="41" t="str">
        <f t="shared" si="682"/>
        <v>Def TaxRR110</v>
      </c>
      <c r="AR1466" s="41" t="str">
        <f t="shared" si="683"/>
        <v>R110</v>
      </c>
    </row>
    <row r="1467" spans="1:44" s="41" customFormat="1" ht="12.75" customHeight="1">
      <c r="A1467" s="442" t="s">
        <v>1590</v>
      </c>
      <c r="B1467" s="442" t="str">
        <f t="shared" si="692"/>
        <v>Def Tax190007190-109BT010011</v>
      </c>
      <c r="C1467" s="736">
        <v>190007</v>
      </c>
      <c r="D1467" s="735" t="s">
        <v>1821</v>
      </c>
      <c r="E1467" s="626" t="s">
        <v>1822</v>
      </c>
      <c r="F1467" s="626" t="str">
        <f t="shared" si="688"/>
        <v>ACCUM DEFERRED INC TAXES-FEDERAL-CURRENT-GAS</v>
      </c>
      <c r="G1467" s="626" t="s">
        <v>1823</v>
      </c>
      <c r="H1467" s="736" t="s">
        <v>1824</v>
      </c>
      <c r="I1467" s="442"/>
      <c r="J1467" s="442" t="str">
        <f t="shared" si="689"/>
        <v/>
      </c>
      <c r="K1467" s="442" t="str">
        <f t="shared" si="693"/>
        <v/>
      </c>
      <c r="L1467" s="736" t="s">
        <v>2443</v>
      </c>
      <c r="M1467" s="442" t="str">
        <f t="shared" si="701"/>
        <v>R</v>
      </c>
      <c r="N1467" s="442" t="str">
        <f>IF(L1467&lt;&gt;"",VLOOKUP(L1467,Categories!$B$2:$D$41,2,FALSE),IF(F1467&lt;&gt;"","No Cat",""))</f>
        <v>Rate Base</v>
      </c>
      <c r="O1467" s="442" t="str">
        <f>IF($L1467&lt;&gt;"",VLOOKUP($L1467,Categories!$B$2:$D$41,3,FALSE),IF($F1467&lt;&gt;"","No Cat",""))</f>
        <v>Deferred Income Taxes</v>
      </c>
      <c r="P1467" s="736" t="s">
        <v>2486</v>
      </c>
      <c r="Q1467" s="442" t="str">
        <f>VLOOKUP($P1467,Allocators!$B$7:$F$19,5,FALSE)</f>
        <v>Net Plant</v>
      </c>
      <c r="R1467" s="737">
        <f>VLOOKUP($P1467,Allocators!$B$7:$F$19,2,FALSE)</f>
        <v>0.74150000000000005</v>
      </c>
      <c r="S1467" s="737">
        <f>VLOOKUP($P1467,Allocators!$B$7:$F$19,3,FALSE)</f>
        <v>0.25850000000000001</v>
      </c>
      <c r="T1467" s="737" t="str">
        <f t="shared" si="700"/>
        <v>0.0%</v>
      </c>
      <c r="U1467" s="2">
        <f t="shared" si="694"/>
        <v>84.536590910000001</v>
      </c>
      <c r="V1467" s="2">
        <f t="shared" si="695"/>
        <v>29.470949090000001</v>
      </c>
      <c r="W1467" s="2">
        <f t="shared" si="696"/>
        <v>0</v>
      </c>
      <c r="X1467" s="2">
        <f t="shared" si="690"/>
        <v>114.00754000000001</v>
      </c>
      <c r="Y1467" s="2">
        <f t="shared" si="697"/>
        <v>84.536590910000001</v>
      </c>
      <c r="Z1467" s="2">
        <f t="shared" si="698"/>
        <v>29.470949090000001</v>
      </c>
      <c r="AA1467" s="2">
        <f t="shared" si="699"/>
        <v>0</v>
      </c>
      <c r="AB1467" s="2">
        <f t="shared" si="691"/>
        <v>114.00753999999999</v>
      </c>
      <c r="AC1467" s="625">
        <v>114.00753999999999</v>
      </c>
      <c r="AD1467" s="625">
        <v>114.00753999999999</v>
      </c>
      <c r="AE1467" s="625">
        <v>114.00753999999999</v>
      </c>
      <c r="AF1467" s="625">
        <v>114.00753999999999</v>
      </c>
      <c r="AG1467" s="625">
        <v>114.00753999999999</v>
      </c>
      <c r="AH1467" s="625">
        <v>114.00753999999999</v>
      </c>
      <c r="AI1467" s="625">
        <v>114.00753999999999</v>
      </c>
      <c r="AJ1467" s="625">
        <v>114.00753999999999</v>
      </c>
      <c r="AK1467" s="625">
        <v>114.00753999999999</v>
      </c>
      <c r="AL1467" s="625">
        <v>114.00753999999999</v>
      </c>
      <c r="AM1467" s="625">
        <v>114.00753999999999</v>
      </c>
      <c r="AN1467" s="625">
        <v>114.00753999999999</v>
      </c>
      <c r="AO1467" s="625">
        <v>114.00753999999999</v>
      </c>
      <c r="AP1467" s="41" t="str">
        <f t="shared" si="681"/>
        <v>Def TaxR</v>
      </c>
      <c r="AQ1467" s="41" t="str">
        <f t="shared" si="682"/>
        <v>Def TaxRR11Accident &amp; Sickness Reserve</v>
      </c>
      <c r="AR1467" s="41" t="str">
        <f t="shared" si="683"/>
        <v>R11Accident &amp; Sickness Reserve</v>
      </c>
    </row>
    <row r="1468" spans="1:44" s="41" customFormat="1" ht="12.75" customHeight="1">
      <c r="A1468" s="25" t="s">
        <v>1590</v>
      </c>
      <c r="B1468" s="25" t="str">
        <f t="shared" si="692"/>
        <v>Def Tax190007283-026BT010071</v>
      </c>
      <c r="C1468" s="736">
        <v>190007</v>
      </c>
      <c r="D1468" s="735" t="s">
        <v>1706</v>
      </c>
      <c r="E1468" s="41" t="s">
        <v>1707</v>
      </c>
      <c r="F1468" s="41" t="str">
        <f t="shared" si="688"/>
        <v>ACCUM DEFERRED INC TAXES-FEDERAL-CURRENT-GAS</v>
      </c>
      <c r="G1468" s="41" t="s">
        <v>1825</v>
      </c>
      <c r="H1468" s="736" t="s">
        <v>1134</v>
      </c>
      <c r="I1468" s="25"/>
      <c r="J1468" s="25" t="str">
        <f t="shared" si="689"/>
        <v/>
      </c>
      <c r="K1468" s="442" t="str">
        <f t="shared" si="693"/>
        <v/>
      </c>
      <c r="L1468" s="736" t="s">
        <v>2421</v>
      </c>
      <c r="M1468" s="25" t="str">
        <f t="shared" si="701"/>
        <v>N</v>
      </c>
      <c r="N1468" s="25" t="str">
        <f>IF(L1468&lt;&gt;"",VLOOKUP(L1468,Categories!$B$2:$D$41,2,FALSE),IF(F1468&lt;&gt;"","No Cat",""))</f>
        <v>NRBASE</v>
      </c>
      <c r="O1468" s="25" t="str">
        <f>IF($L1468&lt;&gt;"",VLOOKUP($L1468,Categories!$B$2:$D$41,3,FALSE),IF($F1468&lt;&gt;"","No Cat",""))</f>
        <v>Direct Assign Items Not in RB</v>
      </c>
      <c r="P1468" s="736" t="s">
        <v>2468</v>
      </c>
      <c r="Q1468" s="25" t="str">
        <f>VLOOKUP($P1468,Allocators!$B$7:$F$19,5,FALSE)</f>
        <v>Not in Rate Base</v>
      </c>
      <c r="R1468" s="737">
        <f>VLOOKUP($P1468,Allocators!$B$7:$F$19,2,FALSE)</f>
        <v>0</v>
      </c>
      <c r="S1468" s="737">
        <f>VLOOKUP($P1468,Allocators!$B$7:$F$19,3,FALSE)</f>
        <v>0</v>
      </c>
      <c r="T1468" s="737">
        <f t="shared" si="700"/>
        <v>1</v>
      </c>
      <c r="U1468" s="2">
        <f t="shared" si="694"/>
        <v>0</v>
      </c>
      <c r="V1468" s="2">
        <f t="shared" si="695"/>
        <v>0</v>
      </c>
      <c r="W1468" s="2">
        <f t="shared" si="696"/>
        <v>1834.23708291667</v>
      </c>
      <c r="X1468" s="2">
        <f t="shared" si="690"/>
        <v>1834.23708291667</v>
      </c>
      <c r="Y1468" s="2">
        <f t="shared" si="697"/>
        <v>0</v>
      </c>
      <c r="Z1468" s="2">
        <f t="shared" si="698"/>
        <v>0</v>
      </c>
      <c r="AA1468" s="2">
        <f t="shared" si="699"/>
        <v>1056.75126</v>
      </c>
      <c r="AB1468" s="2">
        <f t="shared" si="691"/>
        <v>1056.75126</v>
      </c>
      <c r="AC1468" s="625">
        <v>2116.0845099999997</v>
      </c>
      <c r="AD1468" s="625">
        <v>2116.0845099999997</v>
      </c>
      <c r="AE1468" s="625">
        <v>2116.0845099999997</v>
      </c>
      <c r="AF1468" s="625">
        <v>2116.0845099999997</v>
      </c>
      <c r="AG1468" s="625">
        <v>2165.5427799999998</v>
      </c>
      <c r="AH1468" s="625">
        <v>2226.37682</v>
      </c>
      <c r="AI1468" s="625">
        <v>2226.37682</v>
      </c>
      <c r="AJ1468" s="625">
        <v>2226.37682</v>
      </c>
      <c r="AK1468" s="625">
        <v>2226.37682</v>
      </c>
      <c r="AL1468" s="625">
        <v>974.18613000000005</v>
      </c>
      <c r="AM1468" s="625">
        <v>974.18613000000005</v>
      </c>
      <c r="AN1468" s="625">
        <v>1056.75126</v>
      </c>
      <c r="AO1468" s="625">
        <v>1056.75126</v>
      </c>
      <c r="AP1468" s="41" t="str">
        <f t="shared" si="681"/>
        <v>Def TaxN</v>
      </c>
      <c r="AQ1468" s="41" t="str">
        <f t="shared" si="682"/>
        <v>Def TaxNN2Environmental</v>
      </c>
      <c r="AR1468" s="41" t="str">
        <f t="shared" si="683"/>
        <v>N2Environmental</v>
      </c>
    </row>
    <row r="1469" spans="1:44" s="41" customFormat="1" ht="12.75" customHeight="1">
      <c r="A1469" s="25" t="s">
        <v>1590</v>
      </c>
      <c r="B1469" s="25" t="str">
        <f t="shared" si="692"/>
        <v>Def Tax190007283-020BT010016</v>
      </c>
      <c r="C1469" s="736">
        <v>190007</v>
      </c>
      <c r="D1469" s="735" t="s">
        <v>1826</v>
      </c>
      <c r="E1469" s="41" t="s">
        <v>1827</v>
      </c>
      <c r="F1469" s="41" t="str">
        <f t="shared" si="688"/>
        <v>ACCUM DEFERRED INC TAXES-FEDERAL-CURRENT-GAS</v>
      </c>
      <c r="G1469" s="41" t="s">
        <v>1828</v>
      </c>
      <c r="H1469" s="736" t="s">
        <v>1829</v>
      </c>
      <c r="I1469" s="25"/>
      <c r="J1469" s="25" t="str">
        <f t="shared" si="689"/>
        <v/>
      </c>
      <c r="K1469" s="442" t="str">
        <f t="shared" si="693"/>
        <v/>
      </c>
      <c r="L1469" s="736" t="s">
        <v>2443</v>
      </c>
      <c r="M1469" s="25" t="str">
        <f t="shared" si="701"/>
        <v>R</v>
      </c>
      <c r="N1469" s="25" t="str">
        <f>IF(L1469&lt;&gt;"",VLOOKUP(L1469,Categories!$B$2:$D$41,2,FALSE),IF(F1469&lt;&gt;"","No Cat",""))</f>
        <v>Rate Base</v>
      </c>
      <c r="O1469" s="25" t="str">
        <f>IF($L1469&lt;&gt;"",VLOOKUP($L1469,Categories!$B$2:$D$41,3,FALSE),IF($F1469&lt;&gt;"","No Cat",""))</f>
        <v>Deferred Income Taxes</v>
      </c>
      <c r="P1469" s="736" t="s">
        <v>2483</v>
      </c>
      <c r="Q1469" s="25" t="str">
        <f>VLOOKUP($P1469,Allocators!$B$7:$F$19,5,FALSE)</f>
        <v>Gas</v>
      </c>
      <c r="R1469" s="737">
        <f>VLOOKUP($P1469,Allocators!$B$7:$F$19,2,FALSE)</f>
        <v>0</v>
      </c>
      <c r="S1469" s="737">
        <f>VLOOKUP($P1469,Allocators!$B$7:$F$19,3,FALSE)</f>
        <v>1</v>
      </c>
      <c r="T1469" s="737" t="str">
        <f t="shared" si="700"/>
        <v>0.0%</v>
      </c>
      <c r="U1469" s="2">
        <f t="shared" si="694"/>
        <v>0</v>
      </c>
      <c r="V1469" s="2">
        <f t="shared" si="695"/>
        <v>3734.6195233333301</v>
      </c>
      <c r="W1469" s="2">
        <f t="shared" si="696"/>
        <v>0</v>
      </c>
      <c r="X1469" s="2">
        <f t="shared" si="690"/>
        <v>3734.6195233333301</v>
      </c>
      <c r="Y1469" s="2">
        <f t="shared" si="697"/>
        <v>0</v>
      </c>
      <c r="Z1469" s="2">
        <f t="shared" si="698"/>
        <v>3026.6769199999999</v>
      </c>
      <c r="AA1469" s="2">
        <f t="shared" si="699"/>
        <v>0</v>
      </c>
      <c r="AB1469" s="2">
        <f t="shared" si="691"/>
        <v>3026.6769199999999</v>
      </c>
      <c r="AC1469" s="625">
        <v>3275.5337200000004</v>
      </c>
      <c r="AD1469" s="625">
        <v>3438.58995</v>
      </c>
      <c r="AE1469" s="625">
        <v>3628.3344900000002</v>
      </c>
      <c r="AF1469" s="625">
        <v>3735.7900499999996</v>
      </c>
      <c r="AG1469" s="625">
        <v>3963.46009</v>
      </c>
      <c r="AH1469" s="625">
        <v>3976.6872000000003</v>
      </c>
      <c r="AI1469" s="625">
        <v>3954.0957799999996</v>
      </c>
      <c r="AJ1469" s="625">
        <v>3895.6858299999999</v>
      </c>
      <c r="AK1469" s="625">
        <v>3831.42319</v>
      </c>
      <c r="AL1469" s="625">
        <v>3747.84663</v>
      </c>
      <c r="AM1469" s="625">
        <v>3742.3450899999998</v>
      </c>
      <c r="AN1469" s="625">
        <v>3750.0706600000003</v>
      </c>
      <c r="AO1469" s="625">
        <v>3026.6769199999999</v>
      </c>
      <c r="AP1469" s="41" t="str">
        <f t="shared" si="681"/>
        <v>Def TaxR</v>
      </c>
      <c r="AQ1469" s="41" t="str">
        <f t="shared" si="682"/>
        <v>Def TaxRR11Bad Debts</v>
      </c>
      <c r="AR1469" s="41" t="str">
        <f t="shared" si="683"/>
        <v>R11Bad Debts</v>
      </c>
    </row>
    <row r="1470" spans="1:44" s="41" customFormat="1" ht="12.75" customHeight="1">
      <c r="A1470" s="442" t="s">
        <v>1590</v>
      </c>
      <c r="B1470" s="442" t="str">
        <f t="shared" si="692"/>
        <v>Def Tax190007DerivativeBT010057</v>
      </c>
      <c r="C1470" s="736">
        <v>190007</v>
      </c>
      <c r="D1470" s="735" t="s">
        <v>1833</v>
      </c>
      <c r="E1470" s="626" t="s">
        <v>1834</v>
      </c>
      <c r="F1470" s="626" t="str">
        <f t="shared" si="688"/>
        <v>ACCUM DEFERRED INC TAXES-FEDERAL-CURRENT-GAS</v>
      </c>
      <c r="G1470" s="626" t="s">
        <v>1845</v>
      </c>
      <c r="H1470" s="736" t="s">
        <v>1594</v>
      </c>
      <c r="I1470" s="442"/>
      <c r="J1470" s="442" t="str">
        <f t="shared" si="689"/>
        <v/>
      </c>
      <c r="K1470" s="442" t="str">
        <f t="shared" si="693"/>
        <v/>
      </c>
      <c r="L1470" s="736" t="s">
        <v>2427</v>
      </c>
      <c r="M1470" s="442" t="str">
        <f t="shared" si="701"/>
        <v>N</v>
      </c>
      <c r="N1470" s="442" t="str">
        <f>IF(L1470&lt;&gt;"",VLOOKUP(L1470,Categories!$B$2:$D$41,2,FALSE),IF(F1470&lt;&gt;"","No Cat",""))</f>
        <v>NRBASE</v>
      </c>
      <c r="O1470" s="442" t="str">
        <f>IF($L1470&lt;&gt;"",VLOOKUP($L1470,Categories!$B$2:$D$41,3,FALSE),IF($F1470&lt;&gt;"","No Cat",""))</f>
        <v>Hedges &amp; OCI</v>
      </c>
      <c r="P1470" s="736" t="s">
        <v>2468</v>
      </c>
      <c r="Q1470" s="442" t="str">
        <f>VLOOKUP($P1470,Allocators!$B$7:$F$19,5,FALSE)</f>
        <v>Not in Rate Base</v>
      </c>
      <c r="R1470" s="737">
        <f>VLOOKUP($P1470,Allocators!$B$7:$F$19,2,FALSE)</f>
        <v>0</v>
      </c>
      <c r="S1470" s="737">
        <f>VLOOKUP($P1470,Allocators!$B$7:$F$19,3,FALSE)</f>
        <v>0</v>
      </c>
      <c r="T1470" s="737">
        <f t="shared" si="700"/>
        <v>1</v>
      </c>
      <c r="U1470" s="2">
        <f t="shared" si="694"/>
        <v>0</v>
      </c>
      <c r="V1470" s="2">
        <f t="shared" si="695"/>
        <v>0</v>
      </c>
      <c r="W1470" s="2">
        <f t="shared" si="696"/>
        <v>-92.765358333333296</v>
      </c>
      <c r="X1470" s="2">
        <f t="shared" si="690"/>
        <v>-92.765358333333296</v>
      </c>
      <c r="Y1470" s="2">
        <f t="shared" si="697"/>
        <v>0</v>
      </c>
      <c r="Z1470" s="2">
        <f t="shared" si="698"/>
        <v>0</v>
      </c>
      <c r="AA1470" s="2">
        <f t="shared" si="699"/>
        <v>672.41084999999998</v>
      </c>
      <c r="AB1470" s="2">
        <f t="shared" si="691"/>
        <v>672.41084999999998</v>
      </c>
      <c r="AC1470" s="625">
        <v>-142.10014999999999</v>
      </c>
      <c r="AD1470" s="625">
        <v>-660.94015000000002</v>
      </c>
      <c r="AE1470" s="625">
        <v>-413.00515000000001</v>
      </c>
      <c r="AF1470" s="625">
        <v>-224.57714999999999</v>
      </c>
      <c r="AG1470" s="625">
        <v>-483.34315000000004</v>
      </c>
      <c r="AH1470" s="625">
        <v>-232.62314999999998</v>
      </c>
      <c r="AI1470" s="625">
        <v>-182.05615</v>
      </c>
      <c r="AJ1470" s="625">
        <v>199.77285000000001</v>
      </c>
      <c r="AK1470" s="625">
        <v>62.516849999999998</v>
      </c>
      <c r="AL1470" s="625">
        <v>73.452850000000012</v>
      </c>
      <c r="AM1470" s="625">
        <v>313.60084999999998</v>
      </c>
      <c r="AN1470" s="625">
        <v>168.86185</v>
      </c>
      <c r="AO1470" s="625">
        <v>672.41084999999998</v>
      </c>
      <c r="AP1470" s="41" t="str">
        <f t="shared" si="681"/>
        <v>Def TaxN</v>
      </c>
      <c r="AQ1470" s="41" t="str">
        <f t="shared" si="682"/>
        <v>Def TaxNN5FAS 133 Related</v>
      </c>
      <c r="AR1470" s="41" t="str">
        <f t="shared" si="683"/>
        <v>N5FAS 133 Related</v>
      </c>
    </row>
    <row r="1471" spans="1:44" s="41" customFormat="1" ht="12.75" customHeight="1">
      <c r="A1471" s="25" t="s">
        <v>1590</v>
      </c>
      <c r="B1471" s="25" t="str">
        <f t="shared" si="692"/>
        <v>Def Tax190007FAS158OPEBBT010090</v>
      </c>
      <c r="C1471" s="736">
        <v>190007</v>
      </c>
      <c r="D1471" s="735" t="s">
        <v>1836</v>
      </c>
      <c r="E1471" s="41" t="s">
        <v>1728</v>
      </c>
      <c r="F1471" s="41" t="str">
        <f t="shared" si="688"/>
        <v>ACCUM DEFERRED INC TAXES-FEDERAL-CURRENT-GAS</v>
      </c>
      <c r="G1471" s="41" t="s">
        <v>1837</v>
      </c>
      <c r="H1471" s="736" t="s">
        <v>927</v>
      </c>
      <c r="I1471" s="25"/>
      <c r="J1471" s="25" t="str">
        <f t="shared" si="689"/>
        <v/>
      </c>
      <c r="K1471" s="442" t="str">
        <f t="shared" si="693"/>
        <v/>
      </c>
      <c r="L1471" s="736" t="s">
        <v>2443</v>
      </c>
      <c r="M1471" s="25" t="str">
        <f t="shared" si="701"/>
        <v>R</v>
      </c>
      <c r="N1471" s="25" t="str">
        <f>IF(L1471&lt;&gt;"",VLOOKUP(L1471,Categories!$B$2:$D$41,2,FALSE),IF(F1471&lt;&gt;"","No Cat",""))</f>
        <v>Rate Base</v>
      </c>
      <c r="O1471" s="25" t="str">
        <f>IF($L1471&lt;&gt;"",VLOOKUP($L1471,Categories!$B$2:$D$41,3,FALSE),IF($F1471&lt;&gt;"","No Cat",""))</f>
        <v>Deferred Income Taxes</v>
      </c>
      <c r="P1471" s="736" t="s">
        <v>2483</v>
      </c>
      <c r="Q1471" s="25" t="str">
        <f>VLOOKUP($P1471,Allocators!$B$7:$F$19,5,FALSE)</f>
        <v>Gas</v>
      </c>
      <c r="R1471" s="737">
        <f>VLOOKUP($P1471,Allocators!$B$7:$F$19,2,FALSE)</f>
        <v>0</v>
      </c>
      <c r="S1471" s="737">
        <f>VLOOKUP($P1471,Allocators!$B$7:$F$19,3,FALSE)</f>
        <v>1</v>
      </c>
      <c r="T1471" s="737" t="str">
        <f t="shared" si="700"/>
        <v>0.0%</v>
      </c>
      <c r="U1471" s="2" t="str">
        <f t="shared" si="694"/>
        <v/>
      </c>
      <c r="V1471" s="2" t="str">
        <f t="shared" si="695"/>
        <v/>
      </c>
      <c r="W1471" s="2" t="str">
        <f t="shared" si="696"/>
        <v/>
      </c>
      <c r="X1471" s="2">
        <f t="shared" si="690"/>
        <v>0</v>
      </c>
      <c r="Y1471" s="2" t="str">
        <f t="shared" si="697"/>
        <v/>
      </c>
      <c r="Z1471" s="2" t="str">
        <f t="shared" si="698"/>
        <v/>
      </c>
      <c r="AA1471" s="2" t="str">
        <f t="shared" si="699"/>
        <v/>
      </c>
      <c r="AB1471" s="2">
        <f t="shared" si="691"/>
        <v>0</v>
      </c>
      <c r="AC1471" s="625">
        <v>0</v>
      </c>
      <c r="AD1471" s="625">
        <v>0</v>
      </c>
      <c r="AE1471" s="625">
        <v>0</v>
      </c>
      <c r="AF1471" s="625">
        <v>0</v>
      </c>
      <c r="AG1471" s="625">
        <v>0</v>
      </c>
      <c r="AH1471" s="625">
        <v>0</v>
      </c>
      <c r="AI1471" s="625">
        <v>0</v>
      </c>
      <c r="AJ1471" s="625">
        <v>0</v>
      </c>
      <c r="AK1471" s="625">
        <v>0</v>
      </c>
      <c r="AL1471" s="625">
        <v>0</v>
      </c>
      <c r="AM1471" s="625">
        <v>0</v>
      </c>
      <c r="AN1471" s="625">
        <v>0</v>
      </c>
      <c r="AO1471" s="625">
        <v>0</v>
      </c>
      <c r="AP1471" s="41" t="str">
        <f t="shared" si="681"/>
        <v>Def TaxR</v>
      </c>
      <c r="AQ1471" s="41" t="str">
        <f t="shared" si="682"/>
        <v>Def TaxRR11OPEB</v>
      </c>
      <c r="AR1471" s="41" t="str">
        <f t="shared" si="683"/>
        <v>R11OPEB</v>
      </c>
    </row>
    <row r="1472" spans="1:44" s="41" customFormat="1" ht="12.75" customHeight="1">
      <c r="A1472" s="25" t="s">
        <v>1590</v>
      </c>
      <c r="B1472" s="25" t="str">
        <f t="shared" si="692"/>
        <v>Def Tax190007FAS158FAS106FBT030562</v>
      </c>
      <c r="C1472" s="736">
        <v>190007</v>
      </c>
      <c r="D1472" s="735" t="s">
        <v>1838</v>
      </c>
      <c r="E1472" s="41" t="s">
        <v>1839</v>
      </c>
      <c r="F1472" s="41" t="str">
        <f t="shared" si="688"/>
        <v>ACCUM DEFERRED INC TAXES-FEDERAL-CURRENT-GAS</v>
      </c>
      <c r="G1472" s="41" t="s">
        <v>1840</v>
      </c>
      <c r="H1472" s="736" t="s">
        <v>927</v>
      </c>
      <c r="I1472" s="25"/>
      <c r="J1472" s="25" t="str">
        <f t="shared" si="689"/>
        <v/>
      </c>
      <c r="K1472" s="442" t="str">
        <f t="shared" si="693"/>
        <v/>
      </c>
      <c r="L1472" s="736" t="s">
        <v>2443</v>
      </c>
      <c r="M1472" s="25" t="str">
        <f t="shared" si="701"/>
        <v>R</v>
      </c>
      <c r="N1472" s="25" t="str">
        <f>IF(L1472&lt;&gt;"",VLOOKUP(L1472,Categories!$B$2:$D$41,2,FALSE),IF(F1472&lt;&gt;"","No Cat",""))</f>
        <v>Rate Base</v>
      </c>
      <c r="O1472" s="25" t="str">
        <f>IF($L1472&lt;&gt;"",VLOOKUP($L1472,Categories!$B$2:$D$41,3,FALSE),IF($F1472&lt;&gt;"","No Cat",""))</f>
        <v>Deferred Income Taxes</v>
      </c>
      <c r="P1472" s="736" t="s">
        <v>2483</v>
      </c>
      <c r="Q1472" s="25" t="str">
        <f>VLOOKUP($P1472,Allocators!$B$7:$F$19,5,FALSE)</f>
        <v>Gas</v>
      </c>
      <c r="R1472" s="737">
        <f>VLOOKUP($P1472,Allocators!$B$7:$F$19,2,FALSE)</f>
        <v>0</v>
      </c>
      <c r="S1472" s="737">
        <f>VLOOKUP($P1472,Allocators!$B$7:$F$19,3,FALSE)</f>
        <v>1</v>
      </c>
      <c r="T1472" s="737" t="str">
        <f t="shared" si="700"/>
        <v>0.0%</v>
      </c>
      <c r="U1472" s="2" t="str">
        <f t="shared" si="694"/>
        <v/>
      </c>
      <c r="V1472" s="2" t="str">
        <f t="shared" si="695"/>
        <v/>
      </c>
      <c r="W1472" s="2" t="str">
        <f t="shared" si="696"/>
        <v/>
      </c>
      <c r="X1472" s="2">
        <f t="shared" si="690"/>
        <v>0</v>
      </c>
      <c r="Y1472" s="2" t="str">
        <f t="shared" si="697"/>
        <v/>
      </c>
      <c r="Z1472" s="2" t="str">
        <f t="shared" si="698"/>
        <v/>
      </c>
      <c r="AA1472" s="2" t="str">
        <f t="shared" si="699"/>
        <v/>
      </c>
      <c r="AB1472" s="2">
        <f t="shared" si="691"/>
        <v>0</v>
      </c>
      <c r="AC1472" s="625">
        <v>0</v>
      </c>
      <c r="AD1472" s="625">
        <v>0</v>
      </c>
      <c r="AE1472" s="625">
        <v>0</v>
      </c>
      <c r="AF1472" s="625">
        <v>0</v>
      </c>
      <c r="AG1472" s="625">
        <v>0</v>
      </c>
      <c r="AH1472" s="625">
        <v>0</v>
      </c>
      <c r="AI1472" s="625">
        <v>0</v>
      </c>
      <c r="AJ1472" s="625">
        <v>0</v>
      </c>
      <c r="AK1472" s="625">
        <v>0</v>
      </c>
      <c r="AL1472" s="625">
        <v>0</v>
      </c>
      <c r="AM1472" s="625">
        <v>0</v>
      </c>
      <c r="AN1472" s="625">
        <v>0</v>
      </c>
      <c r="AO1472" s="625">
        <v>0</v>
      </c>
      <c r="AP1472" s="41" t="str">
        <f t="shared" si="681"/>
        <v>Def TaxR</v>
      </c>
      <c r="AQ1472" s="41" t="str">
        <f t="shared" si="682"/>
        <v>Def TaxRR11OPEB</v>
      </c>
      <c r="AR1472" s="41" t="str">
        <f t="shared" si="683"/>
        <v>R11OPEB</v>
      </c>
    </row>
    <row r="1473" spans="1:44" s="41" customFormat="1" ht="12.75" customHeight="1">
      <c r="A1473" s="442" t="s">
        <v>1590</v>
      </c>
      <c r="B1473" s="442" t="str">
        <f t="shared" si="692"/>
        <v>Def Tax190007OCI</v>
      </c>
      <c r="C1473" s="736">
        <v>190007</v>
      </c>
      <c r="D1473" s="735" t="s">
        <v>1841</v>
      </c>
      <c r="E1473" s="626"/>
      <c r="F1473" s="626" t="str">
        <f t="shared" si="688"/>
        <v>ACCUM DEFERRED INC TAXES-FEDERAL-CURRENT-GAS</v>
      </c>
      <c r="G1473" s="626" t="s">
        <v>1842</v>
      </c>
      <c r="H1473" s="736" t="s">
        <v>1594</v>
      </c>
      <c r="I1473" s="442"/>
      <c r="J1473" s="442" t="str">
        <f t="shared" si="689"/>
        <v/>
      </c>
      <c r="K1473" s="442" t="str">
        <f t="shared" si="693"/>
        <v/>
      </c>
      <c r="L1473" s="736" t="s">
        <v>2427</v>
      </c>
      <c r="M1473" s="442" t="str">
        <f t="shared" si="701"/>
        <v>N</v>
      </c>
      <c r="N1473" s="442" t="str">
        <f>IF(L1473&lt;&gt;"",VLOOKUP(L1473,Categories!$B$2:$D$41,2,FALSE),IF(F1473&lt;&gt;"","No Cat",""))</f>
        <v>NRBASE</v>
      </c>
      <c r="O1473" s="442" t="str">
        <f>IF($L1473&lt;&gt;"",VLOOKUP($L1473,Categories!$B$2:$D$41,3,FALSE),IF($F1473&lt;&gt;"","No Cat",""))</f>
        <v>Hedges &amp; OCI</v>
      </c>
      <c r="P1473" s="736" t="s">
        <v>2468</v>
      </c>
      <c r="Q1473" s="442" t="str">
        <f>VLOOKUP($P1473,Allocators!$B$7:$F$19,5,FALSE)</f>
        <v>Not in Rate Base</v>
      </c>
      <c r="R1473" s="737">
        <f>VLOOKUP($P1473,Allocators!$B$7:$F$19,2,FALSE)</f>
        <v>0</v>
      </c>
      <c r="S1473" s="737">
        <f>VLOOKUP($P1473,Allocators!$B$7:$F$19,3,FALSE)</f>
        <v>0</v>
      </c>
      <c r="T1473" s="737">
        <f t="shared" si="700"/>
        <v>1</v>
      </c>
      <c r="U1473" s="2" t="str">
        <f t="shared" si="694"/>
        <v/>
      </c>
      <c r="V1473" s="2" t="str">
        <f t="shared" si="695"/>
        <v/>
      </c>
      <c r="W1473" s="2" t="str">
        <f t="shared" si="696"/>
        <v/>
      </c>
      <c r="X1473" s="2">
        <f t="shared" si="690"/>
        <v>0</v>
      </c>
      <c r="Y1473" s="2" t="str">
        <f t="shared" si="697"/>
        <v/>
      </c>
      <c r="Z1473" s="2" t="str">
        <f t="shared" si="698"/>
        <v/>
      </c>
      <c r="AA1473" s="2" t="str">
        <f t="shared" si="699"/>
        <v/>
      </c>
      <c r="AB1473" s="2">
        <f t="shared" si="691"/>
        <v>0</v>
      </c>
      <c r="AC1473" s="625">
        <v>0</v>
      </c>
      <c r="AD1473" s="625">
        <v>0</v>
      </c>
      <c r="AE1473" s="625">
        <v>0</v>
      </c>
      <c r="AF1473" s="625">
        <v>0</v>
      </c>
      <c r="AG1473" s="625">
        <v>0</v>
      </c>
      <c r="AH1473" s="625">
        <v>0</v>
      </c>
      <c r="AI1473" s="625">
        <v>0</v>
      </c>
      <c r="AJ1473" s="625">
        <v>0</v>
      </c>
      <c r="AK1473" s="625">
        <v>0</v>
      </c>
      <c r="AL1473" s="625">
        <v>0</v>
      </c>
      <c r="AM1473" s="625">
        <v>0</v>
      </c>
      <c r="AN1473" s="625">
        <v>0</v>
      </c>
      <c r="AO1473" s="625">
        <v>0</v>
      </c>
      <c r="AP1473" s="41" t="str">
        <f t="shared" si="681"/>
        <v>Def TaxN</v>
      </c>
      <c r="AQ1473" s="41" t="str">
        <f t="shared" si="682"/>
        <v>Def TaxNN5FAS 133 Related</v>
      </c>
      <c r="AR1473" s="41" t="str">
        <f t="shared" si="683"/>
        <v>N5FAS 133 Related</v>
      </c>
    </row>
    <row r="1474" spans="1:44" s="41" customFormat="1" ht="12.75" customHeight="1">
      <c r="A1474" s="442" t="s">
        <v>1590</v>
      </c>
      <c r="B1474" s="442" t="str">
        <f t="shared" si="692"/>
        <v>Def Tax190007Other CurrBDEFAULT</v>
      </c>
      <c r="C1474" s="736">
        <v>190007</v>
      </c>
      <c r="D1474" s="735" t="s">
        <v>1843</v>
      </c>
      <c r="E1474" s="626" t="s">
        <v>1620</v>
      </c>
      <c r="F1474" s="626" t="str">
        <f t="shared" si="688"/>
        <v>ACCUM DEFERRED INC TAXES-FEDERAL-CURRENT-GAS</v>
      </c>
      <c r="G1474" s="626" t="s">
        <v>1846</v>
      </c>
      <c r="H1474" s="736" t="s">
        <v>1847</v>
      </c>
      <c r="I1474" s="442"/>
      <c r="J1474" s="442" t="str">
        <f t="shared" si="689"/>
        <v/>
      </c>
      <c r="K1474" s="442" t="str">
        <f t="shared" si="693"/>
        <v/>
      </c>
      <c r="L1474" s="736" t="s">
        <v>2421</v>
      </c>
      <c r="M1474" s="442" t="str">
        <f t="shared" si="701"/>
        <v>N</v>
      </c>
      <c r="N1474" s="442" t="str">
        <f>IF(L1474&lt;&gt;"",VLOOKUP(L1474,Categories!$B$2:$D$41,2,FALSE),IF(F1474&lt;&gt;"","No Cat",""))</f>
        <v>NRBASE</v>
      </c>
      <c r="O1474" s="442" t="str">
        <f>IF($L1474&lt;&gt;"",VLOOKUP($L1474,Categories!$B$2:$D$41,3,FALSE),IF($F1474&lt;&gt;"","No Cat",""))</f>
        <v>Direct Assign Items Not in RB</v>
      </c>
      <c r="P1474" s="736" t="s">
        <v>2468</v>
      </c>
      <c r="Q1474" s="442" t="str">
        <f>VLOOKUP($P1474,Allocators!$B$7:$F$19,5,FALSE)</f>
        <v>Not in Rate Base</v>
      </c>
      <c r="R1474" s="737">
        <f>VLOOKUP($P1474,Allocators!$B$7:$F$19,2,FALSE)</f>
        <v>0</v>
      </c>
      <c r="S1474" s="737">
        <f>VLOOKUP($P1474,Allocators!$B$7:$F$19,3,FALSE)</f>
        <v>0</v>
      </c>
      <c r="T1474" s="737">
        <f t="shared" si="700"/>
        <v>1</v>
      </c>
      <c r="U1474" s="2" t="str">
        <f t="shared" si="694"/>
        <v/>
      </c>
      <c r="V1474" s="2" t="str">
        <f t="shared" si="695"/>
        <v/>
      </c>
      <c r="W1474" s="2" t="str">
        <f t="shared" si="696"/>
        <v/>
      </c>
      <c r="X1474" s="2">
        <f t="shared" si="690"/>
        <v>0</v>
      </c>
      <c r="Y1474" s="2" t="str">
        <f t="shared" si="697"/>
        <v/>
      </c>
      <c r="Z1474" s="2" t="str">
        <f t="shared" si="698"/>
        <v/>
      </c>
      <c r="AA1474" s="2" t="str">
        <f t="shared" si="699"/>
        <v/>
      </c>
      <c r="AB1474" s="2">
        <f t="shared" si="691"/>
        <v>0</v>
      </c>
      <c r="AC1474" s="625">
        <v>0</v>
      </c>
      <c r="AD1474" s="625">
        <v>0</v>
      </c>
      <c r="AE1474" s="625">
        <v>0</v>
      </c>
      <c r="AF1474" s="625">
        <v>0</v>
      </c>
      <c r="AG1474" s="625">
        <v>0</v>
      </c>
      <c r="AH1474" s="625">
        <v>0</v>
      </c>
      <c r="AI1474" s="625">
        <v>0</v>
      </c>
      <c r="AJ1474" s="625">
        <v>0</v>
      </c>
      <c r="AK1474" s="625">
        <v>0</v>
      </c>
      <c r="AL1474" s="625">
        <v>0</v>
      </c>
      <c r="AM1474" s="625">
        <v>0</v>
      </c>
      <c r="AN1474" s="625">
        <v>0</v>
      </c>
      <c r="AO1474" s="625">
        <v>0</v>
      </c>
      <c r="AP1474" s="41" t="str">
        <f t="shared" si="681"/>
        <v>Def TaxN</v>
      </c>
      <c r="AQ1474" s="41" t="str">
        <f t="shared" si="682"/>
        <v>Def TaxNN2Reclass</v>
      </c>
      <c r="AR1474" s="41" t="str">
        <f t="shared" si="683"/>
        <v>N2Reclass</v>
      </c>
    </row>
    <row r="1475" spans="1:44" s="41" customFormat="1" ht="12.75" customHeight="1">
      <c r="A1475" s="442" t="s">
        <v>1590</v>
      </c>
      <c r="B1475" s="442" t="str">
        <f t="shared" si="692"/>
        <v>Def Tax190008DerivativeBT010057</v>
      </c>
      <c r="C1475" s="736">
        <v>190008</v>
      </c>
      <c r="D1475" s="735" t="s">
        <v>1833</v>
      </c>
      <c r="E1475" s="626" t="s">
        <v>1834</v>
      </c>
      <c r="F1475" s="626" t="str">
        <f t="shared" si="688"/>
        <v>RECLASS-INCOME TAXES-FEDERAL-CURRENT-ELECTRIC</v>
      </c>
      <c r="G1475" s="626" t="s">
        <v>1848</v>
      </c>
      <c r="H1475" s="736" t="s">
        <v>1594</v>
      </c>
      <c r="I1475" s="442"/>
      <c r="J1475" s="442" t="str">
        <f t="shared" si="689"/>
        <v/>
      </c>
      <c r="K1475" s="442" t="str">
        <f t="shared" si="693"/>
        <v/>
      </c>
      <c r="L1475" s="736" t="s">
        <v>2427</v>
      </c>
      <c r="M1475" s="442" t="str">
        <f t="shared" si="701"/>
        <v>N</v>
      </c>
      <c r="N1475" s="442" t="str">
        <f>IF(L1475&lt;&gt;"",VLOOKUP(L1475,Categories!$B$2:$D$41,2,FALSE),IF(F1475&lt;&gt;"","No Cat",""))</f>
        <v>NRBASE</v>
      </c>
      <c r="O1475" s="442" t="str">
        <f>IF($L1475&lt;&gt;"",VLOOKUP($L1475,Categories!$B$2:$D$41,3,FALSE),IF($F1475&lt;&gt;"","No Cat",""))</f>
        <v>Hedges &amp; OCI</v>
      </c>
      <c r="P1475" s="736" t="s">
        <v>2468</v>
      </c>
      <c r="Q1475" s="442" t="str">
        <f>VLOOKUP($P1475,Allocators!$B$7:$F$19,5,FALSE)</f>
        <v>Not in Rate Base</v>
      </c>
      <c r="R1475" s="737">
        <f>VLOOKUP($P1475,Allocators!$B$7:$F$19,2,FALSE)</f>
        <v>0</v>
      </c>
      <c r="S1475" s="737">
        <f>VLOOKUP($P1475,Allocators!$B$7:$F$19,3,FALSE)</f>
        <v>0</v>
      </c>
      <c r="T1475" s="737">
        <f t="shared" si="700"/>
        <v>1</v>
      </c>
      <c r="U1475" s="2" t="str">
        <f t="shared" si="694"/>
        <v/>
      </c>
      <c r="V1475" s="2" t="str">
        <f t="shared" si="695"/>
        <v/>
      </c>
      <c r="W1475" s="2" t="str">
        <f t="shared" si="696"/>
        <v/>
      </c>
      <c r="X1475" s="2">
        <f t="shared" si="690"/>
        <v>0</v>
      </c>
      <c r="Y1475" s="2" t="str">
        <f t="shared" si="697"/>
        <v/>
      </c>
      <c r="Z1475" s="2" t="str">
        <f t="shared" si="698"/>
        <v/>
      </c>
      <c r="AA1475" s="2" t="str">
        <f t="shared" si="699"/>
        <v/>
      </c>
      <c r="AB1475" s="2">
        <f t="shared" si="691"/>
        <v>0</v>
      </c>
      <c r="AC1475" s="625">
        <v>0</v>
      </c>
      <c r="AD1475" s="625">
        <v>0</v>
      </c>
      <c r="AE1475" s="625">
        <v>0</v>
      </c>
      <c r="AF1475" s="625">
        <v>0</v>
      </c>
      <c r="AG1475" s="625">
        <v>0</v>
      </c>
      <c r="AH1475" s="625">
        <v>0</v>
      </c>
      <c r="AI1475" s="625">
        <v>0</v>
      </c>
      <c r="AJ1475" s="625">
        <v>0</v>
      </c>
      <c r="AK1475" s="625">
        <v>0</v>
      </c>
      <c r="AL1475" s="625">
        <v>0</v>
      </c>
      <c r="AM1475" s="625">
        <v>0</v>
      </c>
      <c r="AN1475" s="625">
        <v>0</v>
      </c>
      <c r="AO1475" s="625">
        <v>0</v>
      </c>
      <c r="AP1475" s="41" t="str">
        <f t="shared" si="681"/>
        <v>Def TaxN</v>
      </c>
      <c r="AQ1475" s="41" t="str">
        <f t="shared" si="682"/>
        <v>Def TaxNN5FAS 133 Related</v>
      </c>
      <c r="AR1475" s="41" t="str">
        <f t="shared" si="683"/>
        <v>N5FAS 133 Related</v>
      </c>
    </row>
    <row r="1476" spans="1:44" s="41" customFormat="1" ht="12.75" customHeight="1">
      <c r="A1476" s="442" t="s">
        <v>1590</v>
      </c>
      <c r="B1476" s="442" t="str">
        <f t="shared" si="692"/>
        <v>Def Tax190008Other CurrBC999998/
BDEFAULT</v>
      </c>
      <c r="C1476" s="736">
        <v>190008</v>
      </c>
      <c r="D1476" s="735" t="s">
        <v>1843</v>
      </c>
      <c r="E1476" s="626" t="s">
        <v>1844</v>
      </c>
      <c r="F1476" s="626" t="str">
        <f t="shared" si="688"/>
        <v>RECLASS-INCOME TAXES-FEDERAL-CURRENT-ELECTRIC</v>
      </c>
      <c r="G1476" s="626" t="s">
        <v>1849</v>
      </c>
      <c r="H1476" s="736" t="s">
        <v>1594</v>
      </c>
      <c r="I1476" s="442"/>
      <c r="J1476" s="442" t="str">
        <f t="shared" si="689"/>
        <v/>
      </c>
      <c r="K1476" s="442" t="str">
        <f t="shared" si="693"/>
        <v/>
      </c>
      <c r="L1476" s="736" t="s">
        <v>2427</v>
      </c>
      <c r="M1476" s="442" t="str">
        <f t="shared" si="701"/>
        <v>N</v>
      </c>
      <c r="N1476" s="442" t="str">
        <f>IF(L1476&lt;&gt;"",VLOOKUP(L1476,Categories!$B$2:$D$41,2,FALSE),IF(F1476&lt;&gt;"","No Cat",""))</f>
        <v>NRBASE</v>
      </c>
      <c r="O1476" s="442" t="str">
        <f>IF($L1476&lt;&gt;"",VLOOKUP($L1476,Categories!$B$2:$D$41,3,FALSE),IF($F1476&lt;&gt;"","No Cat",""))</f>
        <v>Hedges &amp; OCI</v>
      </c>
      <c r="P1476" s="736" t="s">
        <v>2468</v>
      </c>
      <c r="Q1476" s="442" t="str">
        <f>VLOOKUP($P1476,Allocators!$B$7:$F$19,5,FALSE)</f>
        <v>Not in Rate Base</v>
      </c>
      <c r="R1476" s="737">
        <f>VLOOKUP($P1476,Allocators!$B$7:$F$19,2,FALSE)</f>
        <v>0</v>
      </c>
      <c r="S1476" s="737">
        <f>VLOOKUP($P1476,Allocators!$B$7:$F$19,3,FALSE)</f>
        <v>0</v>
      </c>
      <c r="T1476" s="737">
        <f t="shared" si="700"/>
        <v>1</v>
      </c>
      <c r="U1476" s="2" t="str">
        <f t="shared" si="694"/>
        <v/>
      </c>
      <c r="V1476" s="2" t="str">
        <f t="shared" si="695"/>
        <v/>
      </c>
      <c r="W1476" s="2" t="str">
        <f t="shared" si="696"/>
        <v/>
      </c>
      <c r="X1476" s="2">
        <f t="shared" si="690"/>
        <v>0</v>
      </c>
      <c r="Y1476" s="2" t="str">
        <f t="shared" si="697"/>
        <v/>
      </c>
      <c r="Z1476" s="2" t="str">
        <f t="shared" si="698"/>
        <v/>
      </c>
      <c r="AA1476" s="2" t="str">
        <f t="shared" si="699"/>
        <v/>
      </c>
      <c r="AB1476" s="2">
        <f t="shared" si="691"/>
        <v>0</v>
      </c>
      <c r="AC1476" s="625">
        <v>0</v>
      </c>
      <c r="AD1476" s="625">
        <v>0</v>
      </c>
      <c r="AE1476" s="625">
        <v>0</v>
      </c>
      <c r="AF1476" s="625">
        <v>0</v>
      </c>
      <c r="AG1476" s="625">
        <v>0</v>
      </c>
      <c r="AH1476" s="625">
        <v>0</v>
      </c>
      <c r="AI1476" s="625">
        <v>0</v>
      </c>
      <c r="AJ1476" s="625">
        <v>0</v>
      </c>
      <c r="AK1476" s="625">
        <v>0</v>
      </c>
      <c r="AL1476" s="625">
        <v>0</v>
      </c>
      <c r="AM1476" s="625">
        <v>0</v>
      </c>
      <c r="AN1476" s="625">
        <v>0</v>
      </c>
      <c r="AO1476" s="625">
        <v>0</v>
      </c>
      <c r="AP1476" s="41" t="str">
        <f t="shared" si="681"/>
        <v>Def TaxN</v>
      </c>
      <c r="AQ1476" s="41" t="str">
        <f t="shared" si="682"/>
        <v>Def TaxNN5FAS 133 Related</v>
      </c>
      <c r="AR1476" s="41" t="str">
        <f t="shared" si="683"/>
        <v>N5FAS 133 Related</v>
      </c>
    </row>
    <row r="1477" spans="1:44" s="41" customFormat="1" ht="12.75" customHeight="1">
      <c r="A1477" s="442" t="s">
        <v>1590</v>
      </c>
      <c r="B1477" s="442" t="str">
        <f t="shared" si="692"/>
        <v>Def Tax190008RECLASS</v>
      </c>
      <c r="C1477" s="736">
        <v>190008</v>
      </c>
      <c r="D1477" s="735" t="s">
        <v>1850</v>
      </c>
      <c r="E1477" s="626"/>
      <c r="F1477" s="626" t="str">
        <f t="shared" si="688"/>
        <v>RECLASS-INCOME TAXES-FEDERAL-CURRENT-ELECTRIC</v>
      </c>
      <c r="G1477" s="626" t="s">
        <v>1851</v>
      </c>
      <c r="H1477" s="736" t="s">
        <v>1847</v>
      </c>
      <c r="I1477" s="442"/>
      <c r="J1477" s="442" t="str">
        <f t="shared" si="689"/>
        <v/>
      </c>
      <c r="K1477" s="442" t="str">
        <f t="shared" si="693"/>
        <v/>
      </c>
      <c r="L1477" s="736" t="s">
        <v>2421</v>
      </c>
      <c r="M1477" s="442" t="str">
        <f t="shared" si="701"/>
        <v>N</v>
      </c>
      <c r="N1477" s="442" t="str">
        <f>IF(L1477&lt;&gt;"",VLOOKUP(L1477,Categories!$B$2:$D$41,2,FALSE),IF(F1477&lt;&gt;"","No Cat",""))</f>
        <v>NRBASE</v>
      </c>
      <c r="O1477" s="442" t="str">
        <f>IF($L1477&lt;&gt;"",VLOOKUP($L1477,Categories!$B$2:$D$41,3,FALSE),IF($F1477&lt;&gt;"","No Cat",""))</f>
        <v>Direct Assign Items Not in RB</v>
      </c>
      <c r="P1477" s="736" t="s">
        <v>2468</v>
      </c>
      <c r="Q1477" s="442" t="str">
        <f>VLOOKUP($P1477,Allocators!$B$7:$F$19,5,FALSE)</f>
        <v>Not in Rate Base</v>
      </c>
      <c r="R1477" s="737">
        <f>VLOOKUP($P1477,Allocators!$B$7:$F$19,2,FALSE)</f>
        <v>0</v>
      </c>
      <c r="S1477" s="737">
        <f>VLOOKUP($P1477,Allocators!$B$7:$F$19,3,FALSE)</f>
        <v>0</v>
      </c>
      <c r="T1477" s="737">
        <f t="shared" si="700"/>
        <v>1</v>
      </c>
      <c r="U1477" s="2" t="str">
        <f t="shared" si="694"/>
        <v/>
      </c>
      <c r="V1477" s="2" t="str">
        <f t="shared" si="695"/>
        <v/>
      </c>
      <c r="W1477" s="2" t="str">
        <f t="shared" si="696"/>
        <v/>
      </c>
      <c r="X1477" s="2">
        <f t="shared" si="690"/>
        <v>0</v>
      </c>
      <c r="Y1477" s="2" t="str">
        <f t="shared" si="697"/>
        <v/>
      </c>
      <c r="Z1477" s="2" t="str">
        <f t="shared" si="698"/>
        <v/>
      </c>
      <c r="AA1477" s="2" t="str">
        <f t="shared" si="699"/>
        <v/>
      </c>
      <c r="AB1477" s="2">
        <f t="shared" si="691"/>
        <v>0</v>
      </c>
      <c r="AC1477" s="625">
        <v>0</v>
      </c>
      <c r="AD1477" s="625">
        <v>0</v>
      </c>
      <c r="AE1477" s="625">
        <v>0</v>
      </c>
      <c r="AF1477" s="625">
        <v>0</v>
      </c>
      <c r="AG1477" s="625">
        <v>0</v>
      </c>
      <c r="AH1477" s="625">
        <v>0</v>
      </c>
      <c r="AI1477" s="625">
        <v>0</v>
      </c>
      <c r="AJ1477" s="625">
        <v>0</v>
      </c>
      <c r="AK1477" s="625">
        <v>0</v>
      </c>
      <c r="AL1477" s="625">
        <v>0</v>
      </c>
      <c r="AM1477" s="625">
        <v>0</v>
      </c>
      <c r="AN1477" s="625">
        <v>0</v>
      </c>
      <c r="AO1477" s="625">
        <v>0</v>
      </c>
      <c r="AP1477" s="41" t="str">
        <f t="shared" si="681"/>
        <v>Def TaxN</v>
      </c>
      <c r="AQ1477" s="41" t="str">
        <f t="shared" si="682"/>
        <v>Def TaxNN2Reclass</v>
      </c>
      <c r="AR1477" s="41" t="str">
        <f t="shared" si="683"/>
        <v>N2Reclass</v>
      </c>
    </row>
    <row r="1478" spans="1:44" s="41" customFormat="1" ht="12.75" customHeight="1">
      <c r="A1478" s="442" t="s">
        <v>1590</v>
      </c>
      <c r="B1478" s="442" t="str">
        <f t="shared" si="692"/>
        <v>Def Tax190010OCI 219500BT010141</v>
      </c>
      <c r="C1478" s="736">
        <v>190010</v>
      </c>
      <c r="D1478" s="735" t="s">
        <v>1591</v>
      </c>
      <c r="E1478" s="626" t="s">
        <v>1592</v>
      </c>
      <c r="F1478" s="626" t="str">
        <f t="shared" si="688"/>
        <v>ACCUM DEFERRED INC TAXES - STATE</v>
      </c>
      <c r="G1478" s="626" t="s">
        <v>1593</v>
      </c>
      <c r="H1478" s="736" t="s">
        <v>1594</v>
      </c>
      <c r="I1478" s="442"/>
      <c r="J1478" s="442" t="str">
        <f t="shared" si="689"/>
        <v/>
      </c>
      <c r="K1478" s="442" t="str">
        <f t="shared" si="693"/>
        <v/>
      </c>
      <c r="L1478" s="736" t="s">
        <v>2427</v>
      </c>
      <c r="M1478" s="442" t="str">
        <f t="shared" si="701"/>
        <v>N</v>
      </c>
      <c r="N1478" s="442" t="str">
        <f>IF(L1478&lt;&gt;"",VLOOKUP(L1478,Categories!$B$2:$D$41,2,FALSE),IF(F1478&lt;&gt;"","No Cat",""))</f>
        <v>NRBASE</v>
      </c>
      <c r="O1478" s="442" t="str">
        <f>IF($L1478&lt;&gt;"",VLOOKUP($L1478,Categories!$B$2:$D$41,3,FALSE),IF($F1478&lt;&gt;"","No Cat",""))</f>
        <v>Hedges &amp; OCI</v>
      </c>
      <c r="P1478" s="736" t="s">
        <v>2468</v>
      </c>
      <c r="Q1478" s="442" t="str">
        <f>VLOOKUP($P1478,Allocators!$B$7:$F$19,5,FALSE)</f>
        <v>Not in Rate Base</v>
      </c>
      <c r="R1478" s="737">
        <f>VLOOKUP($P1478,Allocators!$B$7:$F$19,2,FALSE)</f>
        <v>0</v>
      </c>
      <c r="S1478" s="737">
        <f>VLOOKUP($P1478,Allocators!$B$7:$F$19,3,FALSE)</f>
        <v>0</v>
      </c>
      <c r="T1478" s="737">
        <f t="shared" si="700"/>
        <v>1</v>
      </c>
      <c r="U1478" s="2" t="str">
        <f t="shared" si="694"/>
        <v/>
      </c>
      <c r="V1478" s="2" t="str">
        <f t="shared" si="695"/>
        <v/>
      </c>
      <c r="W1478" s="2" t="str">
        <f t="shared" si="696"/>
        <v/>
      </c>
      <c r="X1478" s="2">
        <f t="shared" si="690"/>
        <v>0</v>
      </c>
      <c r="Y1478" s="2" t="str">
        <f t="shared" si="697"/>
        <v/>
      </c>
      <c r="Z1478" s="2" t="str">
        <f t="shared" si="698"/>
        <v/>
      </c>
      <c r="AA1478" s="2" t="str">
        <f t="shared" si="699"/>
        <v/>
      </c>
      <c r="AB1478" s="2">
        <f t="shared" si="691"/>
        <v>0</v>
      </c>
      <c r="AC1478" s="625">
        <v>0</v>
      </c>
      <c r="AD1478" s="625">
        <v>0</v>
      </c>
      <c r="AE1478" s="625">
        <v>0</v>
      </c>
      <c r="AF1478" s="625">
        <v>0</v>
      </c>
      <c r="AG1478" s="625">
        <v>0</v>
      </c>
      <c r="AH1478" s="625">
        <v>0</v>
      </c>
      <c r="AI1478" s="625">
        <v>0</v>
      </c>
      <c r="AJ1478" s="625">
        <v>0</v>
      </c>
      <c r="AK1478" s="625">
        <v>0</v>
      </c>
      <c r="AL1478" s="625">
        <v>0</v>
      </c>
      <c r="AM1478" s="625">
        <v>0</v>
      </c>
      <c r="AN1478" s="625">
        <v>0</v>
      </c>
      <c r="AO1478" s="625">
        <v>0</v>
      </c>
      <c r="AP1478" s="41" t="str">
        <f t="shared" si="681"/>
        <v>Def TaxN</v>
      </c>
      <c r="AQ1478" s="41" t="str">
        <f t="shared" si="682"/>
        <v>Def TaxNN5FAS 133 Related</v>
      </c>
      <c r="AR1478" s="41" t="str">
        <f t="shared" si="683"/>
        <v>N5FAS 133 Related</v>
      </c>
    </row>
    <row r="1479" spans="1:44" s="41" customFormat="1" ht="12.75" customHeight="1">
      <c r="A1479" s="442" t="s">
        <v>1590</v>
      </c>
      <c r="B1479" s="442" t="str">
        <f t="shared" si="692"/>
        <v>Def Tax190010OCI 219530BT010136/
BT010151</v>
      </c>
      <c r="C1479" s="736">
        <v>190010</v>
      </c>
      <c r="D1479" s="735" t="s">
        <v>1595</v>
      </c>
      <c r="E1479" s="626" t="s">
        <v>1596</v>
      </c>
      <c r="F1479" s="626" t="str">
        <f t="shared" si="688"/>
        <v>ACCUM DEFERRED INC TAXES - STATE</v>
      </c>
      <c r="G1479" s="626" t="s">
        <v>1597</v>
      </c>
      <c r="H1479" s="736" t="s">
        <v>1594</v>
      </c>
      <c r="I1479" s="442"/>
      <c r="J1479" s="442" t="str">
        <f t="shared" si="689"/>
        <v/>
      </c>
      <c r="K1479" s="442" t="str">
        <f t="shared" si="693"/>
        <v/>
      </c>
      <c r="L1479" s="736" t="s">
        <v>2427</v>
      </c>
      <c r="M1479" s="442" t="str">
        <f t="shared" si="701"/>
        <v>N</v>
      </c>
      <c r="N1479" s="442" t="str">
        <f>IF(L1479&lt;&gt;"",VLOOKUP(L1479,Categories!$B$2:$D$41,2,FALSE),IF(F1479&lt;&gt;"","No Cat",""))</f>
        <v>NRBASE</v>
      </c>
      <c r="O1479" s="442" t="str">
        <f>IF($L1479&lt;&gt;"",VLOOKUP($L1479,Categories!$B$2:$D$41,3,FALSE),IF($F1479&lt;&gt;"","No Cat",""))</f>
        <v>Hedges &amp; OCI</v>
      </c>
      <c r="P1479" s="736" t="s">
        <v>2468</v>
      </c>
      <c r="Q1479" s="442" t="str">
        <f>VLOOKUP($P1479,Allocators!$B$7:$F$19,5,FALSE)</f>
        <v>Not in Rate Base</v>
      </c>
      <c r="R1479" s="737">
        <f>VLOOKUP($P1479,Allocators!$B$7:$F$19,2,FALSE)</f>
        <v>0</v>
      </c>
      <c r="S1479" s="737">
        <f>VLOOKUP($P1479,Allocators!$B$7:$F$19,3,FALSE)</f>
        <v>0</v>
      </c>
      <c r="T1479" s="737">
        <f t="shared" si="700"/>
        <v>1</v>
      </c>
      <c r="U1479" s="2">
        <f t="shared" si="694"/>
        <v>0</v>
      </c>
      <c r="V1479" s="2">
        <f t="shared" si="695"/>
        <v>0</v>
      </c>
      <c r="W1479" s="2">
        <f t="shared" si="696"/>
        <v>17.157102083333299</v>
      </c>
      <c r="X1479" s="2">
        <f t="shared" si="690"/>
        <v>17.157102083333299</v>
      </c>
      <c r="Y1479" s="2">
        <f t="shared" si="697"/>
        <v>0</v>
      </c>
      <c r="Z1479" s="2">
        <f t="shared" si="698"/>
        <v>0</v>
      </c>
      <c r="AA1479" s="2">
        <f t="shared" si="699"/>
        <v>49.680570000000003</v>
      </c>
      <c r="AB1479" s="2">
        <f t="shared" si="691"/>
        <v>49.680570000000003</v>
      </c>
      <c r="AC1479" s="625">
        <v>13.078440000000001</v>
      </c>
      <c r="AD1479" s="625">
        <v>11.511559999999999</v>
      </c>
      <c r="AE1479" s="625">
        <v>8.4016200000000012</v>
      </c>
      <c r="AF1479" s="625">
        <v>10.133760000000001</v>
      </c>
      <c r="AG1479" s="625">
        <v>10.17712</v>
      </c>
      <c r="AH1479" s="625">
        <v>10.30322</v>
      </c>
      <c r="AI1479" s="625">
        <v>7.58704</v>
      </c>
      <c r="AJ1479" s="625">
        <v>12.48231</v>
      </c>
      <c r="AK1479" s="625">
        <v>14.774799999999999</v>
      </c>
      <c r="AL1479" s="625">
        <v>21.049400000000002</v>
      </c>
      <c r="AM1479" s="625">
        <v>28.235659999999999</v>
      </c>
      <c r="AN1479" s="625">
        <v>39.849230000000006</v>
      </c>
      <c r="AO1479" s="625">
        <v>49.680570000000003</v>
      </c>
      <c r="AP1479" s="41" t="str">
        <f t="shared" si="681"/>
        <v>Def TaxN</v>
      </c>
      <c r="AQ1479" s="41" t="str">
        <f t="shared" si="682"/>
        <v>Def TaxNN5FAS 133 Related</v>
      </c>
      <c r="AR1479" s="41" t="str">
        <f t="shared" si="683"/>
        <v>N5FAS 133 Related</v>
      </c>
    </row>
    <row r="1480" spans="1:44" s="41" customFormat="1" ht="12.75" customHeight="1">
      <c r="A1480" s="442" t="s">
        <v>1590</v>
      </c>
      <c r="B1480" s="442" t="str">
        <f t="shared" si="692"/>
        <v>Def Tax190010OCI 219532BT010139</v>
      </c>
      <c r="C1480" s="736">
        <v>190010</v>
      </c>
      <c r="D1480" s="735" t="s">
        <v>1598</v>
      </c>
      <c r="E1480" s="626" t="s">
        <v>1599</v>
      </c>
      <c r="F1480" s="626" t="str">
        <f t="shared" si="688"/>
        <v>ACCUM DEFERRED INC TAXES - STATE</v>
      </c>
      <c r="G1480" s="626" t="s">
        <v>1600</v>
      </c>
      <c r="H1480" s="736" t="s">
        <v>1594</v>
      </c>
      <c r="I1480" s="442"/>
      <c r="J1480" s="442" t="str">
        <f t="shared" si="689"/>
        <v/>
      </c>
      <c r="K1480" s="442" t="str">
        <f t="shared" si="693"/>
        <v/>
      </c>
      <c r="L1480" s="736" t="s">
        <v>2427</v>
      </c>
      <c r="M1480" s="442" t="str">
        <f t="shared" si="701"/>
        <v>N</v>
      </c>
      <c r="N1480" s="442" t="str">
        <f>IF(L1480&lt;&gt;"",VLOOKUP(L1480,Categories!$B$2:$D$41,2,FALSE),IF(F1480&lt;&gt;"","No Cat",""))</f>
        <v>NRBASE</v>
      </c>
      <c r="O1480" s="442" t="str">
        <f>IF($L1480&lt;&gt;"",VLOOKUP($L1480,Categories!$B$2:$D$41,3,FALSE),IF($F1480&lt;&gt;"","No Cat",""))</f>
        <v>Hedges &amp; OCI</v>
      </c>
      <c r="P1480" s="736" t="s">
        <v>2468</v>
      </c>
      <c r="Q1480" s="442" t="str">
        <f>VLOOKUP($P1480,Allocators!$B$7:$F$19,5,FALSE)</f>
        <v>Not in Rate Base</v>
      </c>
      <c r="R1480" s="737">
        <f>VLOOKUP($P1480,Allocators!$B$7:$F$19,2,FALSE)</f>
        <v>0</v>
      </c>
      <c r="S1480" s="737">
        <f>VLOOKUP($P1480,Allocators!$B$7:$F$19,3,FALSE)</f>
        <v>0</v>
      </c>
      <c r="T1480" s="737">
        <f t="shared" si="700"/>
        <v>1</v>
      </c>
      <c r="U1480" s="2">
        <f t="shared" si="694"/>
        <v>0</v>
      </c>
      <c r="V1480" s="2">
        <f t="shared" si="695"/>
        <v>0</v>
      </c>
      <c r="W1480" s="2">
        <f t="shared" si="696"/>
        <v>-2.3750000000000001E-5</v>
      </c>
      <c r="X1480" s="2">
        <f t="shared" si="690"/>
        <v>-2.3750000000000001E-5</v>
      </c>
      <c r="Y1480" s="2" t="str">
        <f t="shared" si="697"/>
        <v/>
      </c>
      <c r="Z1480" s="2" t="str">
        <f t="shared" si="698"/>
        <v/>
      </c>
      <c r="AA1480" s="2" t="str">
        <f t="shared" si="699"/>
        <v/>
      </c>
      <c r="AB1480" s="2">
        <f t="shared" si="691"/>
        <v>0</v>
      </c>
      <c r="AC1480" s="625">
        <v>-2.9999999999999997E-5</v>
      </c>
      <c r="AD1480" s="625">
        <v>-2.9999999999999997E-5</v>
      </c>
      <c r="AE1480" s="625">
        <v>-5.9999999999999995E-5</v>
      </c>
      <c r="AF1480" s="625">
        <v>-1.7999999999999998E-4</v>
      </c>
      <c r="AG1480" s="625">
        <v>0</v>
      </c>
      <c r="AH1480" s="625">
        <v>0</v>
      </c>
      <c r="AI1480" s="625">
        <v>0</v>
      </c>
      <c r="AJ1480" s="625">
        <v>0</v>
      </c>
      <c r="AK1480" s="625">
        <v>0</v>
      </c>
      <c r="AL1480" s="625">
        <v>0</v>
      </c>
      <c r="AM1480" s="625">
        <v>0</v>
      </c>
      <c r="AN1480" s="625">
        <v>0</v>
      </c>
      <c r="AO1480" s="625">
        <v>0</v>
      </c>
      <c r="AP1480" s="41" t="str">
        <f t="shared" ref="AP1480:AP1543" si="702">CONCATENATE(A1480,M1480)</f>
        <v>Def TaxN</v>
      </c>
      <c r="AQ1480" s="41" t="str">
        <f t="shared" ref="AQ1480:AQ1543" si="703">CONCATENATE(AP1480,L1480,H1480)</f>
        <v>Def TaxNN5FAS 133 Related</v>
      </c>
      <c r="AR1480" s="41" t="str">
        <f t="shared" ref="AR1480:AR1543" si="704">CONCATENATE(L1480,H1480,J1480)</f>
        <v>N5FAS 133 Related</v>
      </c>
    </row>
    <row r="1481" spans="1:44" s="41" customFormat="1" ht="12.75" customHeight="1">
      <c r="A1481" s="442" t="s">
        <v>1590</v>
      </c>
      <c r="B1481" s="442" t="str">
        <f t="shared" si="692"/>
        <v>Def Tax190010OCI 219533BT010138</v>
      </c>
      <c r="C1481" s="736">
        <v>190010</v>
      </c>
      <c r="D1481" s="735" t="s">
        <v>1601</v>
      </c>
      <c r="E1481" s="626" t="s">
        <v>1602</v>
      </c>
      <c r="F1481" s="626" t="str">
        <f t="shared" si="688"/>
        <v>ACCUM DEFERRED INC TAXES - STATE</v>
      </c>
      <c r="G1481" s="626" t="s">
        <v>1603</v>
      </c>
      <c r="H1481" s="736" t="s">
        <v>1594</v>
      </c>
      <c r="I1481" s="442"/>
      <c r="J1481" s="442" t="str">
        <f t="shared" si="689"/>
        <v/>
      </c>
      <c r="K1481" s="442" t="str">
        <f t="shared" si="693"/>
        <v/>
      </c>
      <c r="L1481" s="736" t="s">
        <v>2427</v>
      </c>
      <c r="M1481" s="442" t="str">
        <f t="shared" si="701"/>
        <v>N</v>
      </c>
      <c r="N1481" s="442" t="str">
        <f>IF(L1481&lt;&gt;"",VLOOKUP(L1481,Categories!$B$2:$D$41,2,FALSE),IF(F1481&lt;&gt;"","No Cat",""))</f>
        <v>NRBASE</v>
      </c>
      <c r="O1481" s="442" t="str">
        <f>IF($L1481&lt;&gt;"",VLOOKUP($L1481,Categories!$B$2:$D$41,3,FALSE),IF($F1481&lt;&gt;"","No Cat",""))</f>
        <v>Hedges &amp; OCI</v>
      </c>
      <c r="P1481" s="736" t="s">
        <v>2468</v>
      </c>
      <c r="Q1481" s="442" t="str">
        <f>VLOOKUP($P1481,Allocators!$B$7:$F$19,5,FALSE)</f>
        <v>Not in Rate Base</v>
      </c>
      <c r="R1481" s="737">
        <f>VLOOKUP($P1481,Allocators!$B$7:$F$19,2,FALSE)</f>
        <v>0</v>
      </c>
      <c r="S1481" s="737">
        <f>VLOOKUP($P1481,Allocators!$B$7:$F$19,3,FALSE)</f>
        <v>0</v>
      </c>
      <c r="T1481" s="737">
        <f t="shared" si="700"/>
        <v>1</v>
      </c>
      <c r="U1481" s="2">
        <f t="shared" si="694"/>
        <v>0</v>
      </c>
      <c r="V1481" s="2">
        <f t="shared" si="695"/>
        <v>0</v>
      </c>
      <c r="W1481" s="2">
        <f t="shared" si="696"/>
        <v>6060.0775729166699</v>
      </c>
      <c r="X1481" s="2">
        <f t="shared" si="690"/>
        <v>6060.0775729166699</v>
      </c>
      <c r="Y1481" s="2">
        <f t="shared" si="697"/>
        <v>0</v>
      </c>
      <c r="Z1481" s="2">
        <f t="shared" si="698"/>
        <v>0</v>
      </c>
      <c r="AA1481" s="2">
        <f t="shared" si="699"/>
        <v>6038.7493199999999</v>
      </c>
      <c r="AB1481" s="2">
        <f t="shared" si="691"/>
        <v>6038.7493199999999</v>
      </c>
      <c r="AC1481" s="625">
        <v>6482.3769699999993</v>
      </c>
      <c r="AD1481" s="625">
        <v>6072.87453</v>
      </c>
      <c r="AE1481" s="625">
        <v>6038.7493199999999</v>
      </c>
      <c r="AF1481" s="625">
        <v>6038.7493199999999</v>
      </c>
      <c r="AG1481" s="625">
        <v>6038.7493199999999</v>
      </c>
      <c r="AH1481" s="625">
        <v>6038.7493199999999</v>
      </c>
      <c r="AI1481" s="625">
        <v>6038.7493199999999</v>
      </c>
      <c r="AJ1481" s="625">
        <v>6038.7493199999999</v>
      </c>
      <c r="AK1481" s="625">
        <v>6038.7493199999999</v>
      </c>
      <c r="AL1481" s="625">
        <v>6038.7493199999999</v>
      </c>
      <c r="AM1481" s="625">
        <v>6038.7493199999999</v>
      </c>
      <c r="AN1481" s="625">
        <v>6038.7493199999999</v>
      </c>
      <c r="AO1481" s="625">
        <v>6038.7493199999999</v>
      </c>
      <c r="AP1481" s="41" t="str">
        <f t="shared" si="702"/>
        <v>Def TaxN</v>
      </c>
      <c r="AQ1481" s="41" t="str">
        <f t="shared" si="703"/>
        <v>Def TaxNN5FAS 133 Related</v>
      </c>
      <c r="AR1481" s="41" t="str">
        <f t="shared" si="704"/>
        <v>N5FAS 133 Related</v>
      </c>
    </row>
    <row r="1482" spans="1:44" s="41" customFormat="1" ht="12.75" customHeight="1">
      <c r="A1482" s="442" t="s">
        <v>1590</v>
      </c>
      <c r="B1482" s="442" t="str">
        <f t="shared" si="692"/>
        <v>Def Tax190010OCI 219535BT010137</v>
      </c>
      <c r="C1482" s="736">
        <v>190010</v>
      </c>
      <c r="D1482" s="735" t="s">
        <v>1604</v>
      </c>
      <c r="E1482" s="626" t="s">
        <v>1605</v>
      </c>
      <c r="F1482" s="626" t="str">
        <f t="shared" si="688"/>
        <v>ACCUM DEFERRED INC TAXES - STATE</v>
      </c>
      <c r="G1482" s="626" t="s">
        <v>1606</v>
      </c>
      <c r="H1482" s="736" t="s">
        <v>1594</v>
      </c>
      <c r="I1482" s="442"/>
      <c r="J1482" s="442" t="str">
        <f t="shared" si="689"/>
        <v/>
      </c>
      <c r="K1482" s="442" t="str">
        <f t="shared" si="693"/>
        <v/>
      </c>
      <c r="L1482" s="736" t="s">
        <v>2427</v>
      </c>
      <c r="M1482" s="442" t="str">
        <f t="shared" si="701"/>
        <v>N</v>
      </c>
      <c r="N1482" s="442" t="str">
        <f>IF(L1482&lt;&gt;"",VLOOKUP(L1482,Categories!$B$2:$D$41,2,FALSE),IF(F1482&lt;&gt;"","No Cat",""))</f>
        <v>NRBASE</v>
      </c>
      <c r="O1482" s="442" t="str">
        <f>IF($L1482&lt;&gt;"",VLOOKUP($L1482,Categories!$B$2:$D$41,3,FALSE),IF($F1482&lt;&gt;"","No Cat",""))</f>
        <v>Hedges &amp; OCI</v>
      </c>
      <c r="P1482" s="736" t="s">
        <v>2468</v>
      </c>
      <c r="Q1482" s="442" t="str">
        <f>VLOOKUP($P1482,Allocators!$B$7:$F$19,5,FALSE)</f>
        <v>Not in Rate Base</v>
      </c>
      <c r="R1482" s="737">
        <f>VLOOKUP($P1482,Allocators!$B$7:$F$19,2,FALSE)</f>
        <v>0</v>
      </c>
      <c r="S1482" s="737">
        <f>VLOOKUP($P1482,Allocators!$B$7:$F$19,3,FALSE)</f>
        <v>0</v>
      </c>
      <c r="T1482" s="737">
        <f t="shared" si="700"/>
        <v>1</v>
      </c>
      <c r="U1482" s="2">
        <f t="shared" si="694"/>
        <v>0</v>
      </c>
      <c r="V1482" s="2">
        <f t="shared" si="695"/>
        <v>0</v>
      </c>
      <c r="W1482" s="2">
        <f t="shared" si="696"/>
        <v>-3.7215808333333298</v>
      </c>
      <c r="X1482" s="2">
        <f t="shared" si="690"/>
        <v>-3.7215808333333298</v>
      </c>
      <c r="Y1482" s="2">
        <f t="shared" si="697"/>
        <v>0</v>
      </c>
      <c r="Z1482" s="2">
        <f t="shared" si="698"/>
        <v>0</v>
      </c>
      <c r="AA1482" s="2">
        <f t="shared" si="699"/>
        <v>-9.7423400000000004</v>
      </c>
      <c r="AB1482" s="2">
        <f t="shared" si="691"/>
        <v>-9.7423400000000004</v>
      </c>
      <c r="AC1482" s="625">
        <v>-6.5415799999999997</v>
      </c>
      <c r="AD1482" s="625">
        <v>-0.75497000000000003</v>
      </c>
      <c r="AE1482" s="625">
        <v>-1.3569200000000001</v>
      </c>
      <c r="AF1482" s="625">
        <v>-1.8961300000000001</v>
      </c>
      <c r="AG1482" s="625">
        <v>-2.1612800000000001</v>
      </c>
      <c r="AH1482" s="625">
        <v>-2.40116</v>
      </c>
      <c r="AI1482" s="625">
        <v>-2.5817399999999999</v>
      </c>
      <c r="AJ1482" s="625">
        <v>-3.1090100000000001</v>
      </c>
      <c r="AK1482" s="625">
        <v>-4.2197500000000003</v>
      </c>
      <c r="AL1482" s="625">
        <v>-4.7630699999999999</v>
      </c>
      <c r="AM1482" s="625">
        <v>-5.8378699999999997</v>
      </c>
      <c r="AN1482" s="625">
        <v>-7.4351099999999999</v>
      </c>
      <c r="AO1482" s="625">
        <v>-9.7423400000000004</v>
      </c>
      <c r="AP1482" s="41" t="str">
        <f t="shared" si="702"/>
        <v>Def TaxN</v>
      </c>
      <c r="AQ1482" s="41" t="str">
        <f t="shared" si="703"/>
        <v>Def TaxNN5FAS 133 Related</v>
      </c>
      <c r="AR1482" s="41" t="str">
        <f t="shared" si="704"/>
        <v>N5FAS 133 Related</v>
      </c>
    </row>
    <row r="1483" spans="1:44" s="41" customFormat="1" ht="12.75" customHeight="1">
      <c r="A1483" s="442" t="s">
        <v>1590</v>
      </c>
      <c r="B1483" s="442" t="str">
        <f t="shared" si="692"/>
        <v>Def Tax190010OCI 219537BT010140</v>
      </c>
      <c r="C1483" s="736">
        <v>190010</v>
      </c>
      <c r="D1483" s="735" t="s">
        <v>1607</v>
      </c>
      <c r="E1483" s="626" t="s">
        <v>1608</v>
      </c>
      <c r="F1483" s="626" t="str">
        <f t="shared" si="688"/>
        <v>ACCUM DEFERRED INC TAXES - STATE</v>
      </c>
      <c r="G1483" s="626" t="s">
        <v>1609</v>
      </c>
      <c r="H1483" s="736" t="s">
        <v>1594</v>
      </c>
      <c r="I1483" s="442"/>
      <c r="J1483" s="442" t="str">
        <f t="shared" si="689"/>
        <v/>
      </c>
      <c r="K1483" s="442" t="str">
        <f t="shared" si="693"/>
        <v/>
      </c>
      <c r="L1483" s="736" t="s">
        <v>2427</v>
      </c>
      <c r="M1483" s="442" t="str">
        <f t="shared" si="701"/>
        <v>N</v>
      </c>
      <c r="N1483" s="442" t="str">
        <f>IF(L1483&lt;&gt;"",VLOOKUP(L1483,Categories!$B$2:$D$41,2,FALSE),IF(F1483&lt;&gt;"","No Cat",""))</f>
        <v>NRBASE</v>
      </c>
      <c r="O1483" s="442" t="str">
        <f>IF($L1483&lt;&gt;"",VLOOKUP($L1483,Categories!$B$2:$D$41,3,FALSE),IF($F1483&lt;&gt;"","No Cat",""))</f>
        <v>Hedges &amp; OCI</v>
      </c>
      <c r="P1483" s="736" t="s">
        <v>2468</v>
      </c>
      <c r="Q1483" s="442" t="str">
        <f>VLOOKUP($P1483,Allocators!$B$7:$F$19,5,FALSE)</f>
        <v>Not in Rate Base</v>
      </c>
      <c r="R1483" s="737">
        <f>VLOOKUP($P1483,Allocators!$B$7:$F$19,2,FALSE)</f>
        <v>0</v>
      </c>
      <c r="S1483" s="737">
        <f>VLOOKUP($P1483,Allocators!$B$7:$F$19,3,FALSE)</f>
        <v>0</v>
      </c>
      <c r="T1483" s="737">
        <f t="shared" si="700"/>
        <v>1</v>
      </c>
      <c r="U1483" s="2">
        <f t="shared" si="694"/>
        <v>0</v>
      </c>
      <c r="V1483" s="2">
        <f t="shared" si="695"/>
        <v>0</v>
      </c>
      <c r="W1483" s="2">
        <f t="shared" si="696"/>
        <v>-191.954259583333</v>
      </c>
      <c r="X1483" s="2">
        <f t="shared" si="690"/>
        <v>-191.954259583333</v>
      </c>
      <c r="Y1483" s="2">
        <f t="shared" si="697"/>
        <v>0</v>
      </c>
      <c r="Z1483" s="2">
        <f t="shared" si="698"/>
        <v>0</v>
      </c>
      <c r="AA1483" s="2">
        <f t="shared" si="699"/>
        <v>-375.37722000000002</v>
      </c>
      <c r="AB1483" s="2">
        <f t="shared" si="691"/>
        <v>-375.37721999999997</v>
      </c>
      <c r="AC1483" s="625">
        <v>-409.50243</v>
      </c>
      <c r="AD1483" s="625">
        <v>-34.1252</v>
      </c>
      <c r="AE1483" s="625">
        <v>-34.1252</v>
      </c>
      <c r="AF1483" s="625">
        <v>-68.250399999999999</v>
      </c>
      <c r="AG1483" s="625">
        <v>-102.37560000000001</v>
      </c>
      <c r="AH1483" s="625">
        <v>-136.5008</v>
      </c>
      <c r="AI1483" s="625">
        <v>-170.62601000000001</v>
      </c>
      <c r="AJ1483" s="625">
        <v>-204.75120999999999</v>
      </c>
      <c r="AK1483" s="625">
        <v>-238.87640999999999</v>
      </c>
      <c r="AL1483" s="625">
        <v>-273.00162</v>
      </c>
      <c r="AM1483" s="625">
        <v>-307.12682000000001</v>
      </c>
      <c r="AN1483" s="625">
        <v>-341.25202000000002</v>
      </c>
      <c r="AO1483" s="625">
        <v>-375.37721999999997</v>
      </c>
      <c r="AP1483" s="41" t="str">
        <f t="shared" si="702"/>
        <v>Def TaxN</v>
      </c>
      <c r="AQ1483" s="41" t="str">
        <f t="shared" si="703"/>
        <v>Def TaxNN5FAS 133 Related</v>
      </c>
      <c r="AR1483" s="41" t="str">
        <f t="shared" si="704"/>
        <v>N5FAS 133 Related</v>
      </c>
    </row>
    <row r="1484" spans="1:44" s="41" customFormat="1" ht="12.75" customHeight="1">
      <c r="A1484" s="442" t="s">
        <v>1590</v>
      </c>
      <c r="B1484" s="442" t="str">
        <f t="shared" si="692"/>
        <v>Def Tax190010OCI 219575BT010143</v>
      </c>
      <c r="C1484" s="736">
        <v>190010</v>
      </c>
      <c r="D1484" s="735" t="s">
        <v>1610</v>
      </c>
      <c r="E1484" s="626" t="s">
        <v>1611</v>
      </c>
      <c r="F1484" s="626" t="str">
        <f t="shared" ref="F1484:F1555" si="705">VLOOKUP(C1484,$C$7:$F$787,4,FALSE)</f>
        <v>ACCUM DEFERRED INC TAXES - STATE</v>
      </c>
      <c r="G1484" s="626" t="s">
        <v>1612</v>
      </c>
      <c r="H1484" s="736" t="s">
        <v>1594</v>
      </c>
      <c r="I1484" s="442"/>
      <c r="J1484" s="442" t="str">
        <f t="shared" si="689"/>
        <v/>
      </c>
      <c r="K1484" s="442" t="str">
        <f t="shared" si="693"/>
        <v/>
      </c>
      <c r="L1484" s="736" t="s">
        <v>2427</v>
      </c>
      <c r="M1484" s="442" t="str">
        <f t="shared" si="701"/>
        <v>N</v>
      </c>
      <c r="N1484" s="442" t="str">
        <f>IF(L1484&lt;&gt;"",VLOOKUP(L1484,Categories!$B$2:$D$41,2,FALSE),IF(F1484&lt;&gt;"","No Cat",""))</f>
        <v>NRBASE</v>
      </c>
      <c r="O1484" s="442" t="str">
        <f>IF($L1484&lt;&gt;"",VLOOKUP($L1484,Categories!$B$2:$D$41,3,FALSE),IF($F1484&lt;&gt;"","No Cat",""))</f>
        <v>Hedges &amp; OCI</v>
      </c>
      <c r="P1484" s="736" t="s">
        <v>2468</v>
      </c>
      <c r="Q1484" s="442" t="str">
        <f>VLOOKUP($P1484,Allocators!$B$7:$F$19,5,FALSE)</f>
        <v>Not in Rate Base</v>
      </c>
      <c r="R1484" s="737">
        <f>VLOOKUP($P1484,Allocators!$B$7:$F$19,2,FALSE)</f>
        <v>0</v>
      </c>
      <c r="S1484" s="737">
        <f>VLOOKUP($P1484,Allocators!$B$7:$F$19,3,FALSE)</f>
        <v>0</v>
      </c>
      <c r="T1484" s="737">
        <f t="shared" si="700"/>
        <v>1</v>
      </c>
      <c r="U1484" s="2">
        <f t="shared" si="694"/>
        <v>0</v>
      </c>
      <c r="V1484" s="2">
        <f t="shared" si="695"/>
        <v>0</v>
      </c>
      <c r="W1484" s="2">
        <f t="shared" si="696"/>
        <v>-1.4548270833333301</v>
      </c>
      <c r="X1484" s="2">
        <f t="shared" si="690"/>
        <v>-1.4548270833333301</v>
      </c>
      <c r="Y1484" s="2">
        <f t="shared" si="697"/>
        <v>0</v>
      </c>
      <c r="Z1484" s="2">
        <f t="shared" si="698"/>
        <v>0</v>
      </c>
      <c r="AA1484" s="2">
        <f t="shared" si="699"/>
        <v>-1.9066700000000001</v>
      </c>
      <c r="AB1484" s="2">
        <f t="shared" si="691"/>
        <v>-1.9066700000000001</v>
      </c>
      <c r="AC1484" s="625">
        <v>4.1880000000000001E-2</v>
      </c>
      <c r="AD1484" s="625">
        <v>4.1880000000000001E-2</v>
      </c>
      <c r="AE1484" s="625">
        <v>4.1880000000000001E-2</v>
      </c>
      <c r="AF1484" s="625">
        <v>-1.7865</v>
      </c>
      <c r="AG1484" s="625">
        <v>-1.7865</v>
      </c>
      <c r="AH1484" s="625">
        <v>-1.7865</v>
      </c>
      <c r="AI1484" s="625">
        <v>-2.1982600000000003</v>
      </c>
      <c r="AJ1484" s="625">
        <v>-2.1982600000000003</v>
      </c>
      <c r="AK1484" s="625">
        <v>-2.1982600000000003</v>
      </c>
      <c r="AL1484" s="625">
        <v>-1.5516700000000001</v>
      </c>
      <c r="AM1484" s="625">
        <v>-1.5516700000000001</v>
      </c>
      <c r="AN1484" s="625">
        <v>-1.5516700000000001</v>
      </c>
      <c r="AO1484" s="625">
        <v>-1.9066700000000001</v>
      </c>
      <c r="AP1484" s="41" t="str">
        <f t="shared" si="702"/>
        <v>Def TaxN</v>
      </c>
      <c r="AQ1484" s="41" t="str">
        <f t="shared" si="703"/>
        <v>Def TaxNN5FAS 133 Related</v>
      </c>
      <c r="AR1484" s="41" t="str">
        <f t="shared" si="704"/>
        <v>N5FAS 133 Related</v>
      </c>
    </row>
    <row r="1485" spans="1:44" s="41" customFormat="1" ht="12.75" customHeight="1">
      <c r="A1485" s="442" t="s">
        <v>1590</v>
      </c>
      <c r="B1485" s="442" t="str">
        <f t="shared" si="692"/>
        <v>Def Tax190011AROBT010303</v>
      </c>
      <c r="C1485" s="736">
        <v>190011</v>
      </c>
      <c r="D1485" s="735" t="s">
        <v>1613</v>
      </c>
      <c r="E1485" s="626" t="s">
        <v>1614</v>
      </c>
      <c r="F1485" s="626" t="str">
        <f t="shared" si="705"/>
        <v>ACCUM DEFERRED INC TAXES - STATE - ELECTRIC</v>
      </c>
      <c r="G1485" s="626" t="s">
        <v>1615</v>
      </c>
      <c r="H1485" s="736" t="s">
        <v>1138</v>
      </c>
      <c r="I1485" s="442"/>
      <c r="J1485" s="442" t="str">
        <f t="shared" ref="J1485:J1556" si="706">IF(L1485="N10","Y",IF(L1485="N8","Y",""))</f>
        <v/>
      </c>
      <c r="K1485" s="442" t="str">
        <f t="shared" si="693"/>
        <v/>
      </c>
      <c r="L1485" s="736" t="s">
        <v>2421</v>
      </c>
      <c r="M1485" s="442" t="str">
        <f t="shared" si="701"/>
        <v>N</v>
      </c>
      <c r="N1485" s="442" t="str">
        <f>IF(L1485&lt;&gt;"",VLOOKUP(L1485,Categories!$B$2:$D$41,2,FALSE),IF(F1485&lt;&gt;"","No Cat",""))</f>
        <v>NRBASE</v>
      </c>
      <c r="O1485" s="442" t="str">
        <f>IF($L1485&lt;&gt;"",VLOOKUP($L1485,Categories!$B$2:$D$41,3,FALSE),IF($F1485&lt;&gt;"","No Cat",""))</f>
        <v>Direct Assign Items Not in RB</v>
      </c>
      <c r="P1485" s="736" t="s">
        <v>2468</v>
      </c>
      <c r="Q1485" s="442" t="str">
        <f>VLOOKUP($P1485,Allocators!$B$7:$F$19,5,FALSE)</f>
        <v>Not in Rate Base</v>
      </c>
      <c r="R1485" s="737">
        <f>VLOOKUP($P1485,Allocators!$B$7:$F$19,2,FALSE)</f>
        <v>0</v>
      </c>
      <c r="S1485" s="737">
        <f>VLOOKUP($P1485,Allocators!$B$7:$F$19,3,FALSE)</f>
        <v>0</v>
      </c>
      <c r="T1485" s="737">
        <f t="shared" si="700"/>
        <v>1</v>
      </c>
      <c r="U1485" s="2">
        <f t="shared" si="694"/>
        <v>0</v>
      </c>
      <c r="V1485" s="2">
        <f t="shared" si="695"/>
        <v>0</v>
      </c>
      <c r="W1485" s="2">
        <f t="shared" si="696"/>
        <v>1252.16085875</v>
      </c>
      <c r="X1485" s="2">
        <f t="shared" si="690"/>
        <v>1252.16085875</v>
      </c>
      <c r="Y1485" s="2">
        <f t="shared" si="697"/>
        <v>0</v>
      </c>
      <c r="Z1485" s="2">
        <f t="shared" si="698"/>
        <v>0</v>
      </c>
      <c r="AA1485" s="2">
        <f t="shared" si="699"/>
        <v>1474.9165399999999</v>
      </c>
      <c r="AB1485" s="2">
        <f t="shared" si="691"/>
        <v>1474.9165399999999</v>
      </c>
      <c r="AC1485" s="625">
        <v>988.41029000000003</v>
      </c>
      <c r="AD1485" s="625">
        <v>995.25231000000008</v>
      </c>
      <c r="AE1485" s="625">
        <v>1002.1301500000001</v>
      </c>
      <c r="AF1485" s="625">
        <v>1009.06231</v>
      </c>
      <c r="AG1485" s="625">
        <v>1016.04902</v>
      </c>
      <c r="AH1485" s="625">
        <v>1023.09075</v>
      </c>
      <c r="AI1485" s="625">
        <v>1444.5167900000001</v>
      </c>
      <c r="AJ1485" s="625">
        <v>1450.1752200000001</v>
      </c>
      <c r="AK1485" s="625">
        <v>1455.8816499999998</v>
      </c>
      <c r="AL1485" s="625">
        <v>1461.63652</v>
      </c>
      <c r="AM1485" s="625">
        <v>1467.4402600000001</v>
      </c>
      <c r="AN1485" s="625">
        <v>1469.0319099999999</v>
      </c>
      <c r="AO1485" s="625">
        <v>1474.9165399999999</v>
      </c>
      <c r="AP1485" s="41" t="str">
        <f t="shared" si="702"/>
        <v>Def TaxN</v>
      </c>
      <c r="AQ1485" s="41" t="str">
        <f t="shared" si="703"/>
        <v>Def TaxNN2Asset Retirement Obligation</v>
      </c>
      <c r="AR1485" s="41" t="str">
        <f t="shared" si="704"/>
        <v>N2Asset Retirement Obligation</v>
      </c>
    </row>
    <row r="1486" spans="1:44" s="41" customFormat="1" ht="12.75" customHeight="1">
      <c r="A1486" s="442" t="s">
        <v>1590</v>
      </c>
      <c r="B1486" s="442" t="str">
        <f t="shared" si="692"/>
        <v>Def Tax190011ASGA - LOCBT010006/
BT010009</v>
      </c>
      <c r="C1486" s="736">
        <v>190011</v>
      </c>
      <c r="D1486" s="735" t="s">
        <v>1616</v>
      </c>
      <c r="E1486" s="626" t="s">
        <v>1617</v>
      </c>
      <c r="F1486" s="626" t="str">
        <f t="shared" si="705"/>
        <v>ACCUM DEFERRED INC TAXES - STATE - ELECTRIC</v>
      </c>
      <c r="G1486" s="626" t="s">
        <v>1618</v>
      </c>
      <c r="H1486" s="736" t="s">
        <v>1330</v>
      </c>
      <c r="I1486" s="442"/>
      <c r="J1486" s="442" t="str">
        <f t="shared" si="706"/>
        <v/>
      </c>
      <c r="K1486" s="442" t="str">
        <f t="shared" si="693"/>
        <v/>
      </c>
      <c r="L1486" s="736" t="s">
        <v>2421</v>
      </c>
      <c r="M1486" s="442" t="str">
        <f t="shared" si="701"/>
        <v>N</v>
      </c>
      <c r="N1486" s="442" t="str">
        <f>IF(L1486&lt;&gt;"",VLOOKUP(L1486,Categories!$B$2:$D$41,2,FALSE),IF(F1486&lt;&gt;"","No Cat",""))</f>
        <v>NRBASE</v>
      </c>
      <c r="O1486" s="442" t="str">
        <f>IF($L1486&lt;&gt;"",VLOOKUP($L1486,Categories!$B$2:$D$41,3,FALSE),IF($F1486&lt;&gt;"","No Cat",""))</f>
        <v>Direct Assign Items Not in RB</v>
      </c>
      <c r="P1486" s="736" t="s">
        <v>2468</v>
      </c>
      <c r="Q1486" s="442" t="str">
        <f>VLOOKUP($P1486,Allocators!$B$7:$F$19,5,FALSE)</f>
        <v>Not in Rate Base</v>
      </c>
      <c r="R1486" s="737">
        <f>VLOOKUP($P1486,Allocators!$B$7:$F$19,2,FALSE)</f>
        <v>0</v>
      </c>
      <c r="S1486" s="737">
        <f>VLOOKUP($P1486,Allocators!$B$7:$F$19,3,FALSE)</f>
        <v>0</v>
      </c>
      <c r="T1486" s="737">
        <f t="shared" si="700"/>
        <v>1</v>
      </c>
      <c r="U1486" s="2">
        <f t="shared" si="694"/>
        <v>0</v>
      </c>
      <c r="V1486" s="2">
        <f t="shared" si="695"/>
        <v>0</v>
      </c>
      <c r="W1486" s="2">
        <f t="shared" si="696"/>
        <v>129.20400000000001</v>
      </c>
      <c r="X1486" s="2">
        <f t="shared" si="690"/>
        <v>129.20400000000001</v>
      </c>
      <c r="Y1486" s="2">
        <f t="shared" si="697"/>
        <v>0</v>
      </c>
      <c r="Z1486" s="2">
        <f t="shared" si="698"/>
        <v>0</v>
      </c>
      <c r="AA1486" s="2">
        <f t="shared" si="699"/>
        <v>129.20400000000001</v>
      </c>
      <c r="AB1486" s="2">
        <f t="shared" si="691"/>
        <v>129.20400000000001</v>
      </c>
      <c r="AC1486" s="625">
        <v>129.20400000000001</v>
      </c>
      <c r="AD1486" s="625">
        <v>129.20400000000001</v>
      </c>
      <c r="AE1486" s="625">
        <v>129.20400000000001</v>
      </c>
      <c r="AF1486" s="625">
        <v>129.20400000000001</v>
      </c>
      <c r="AG1486" s="625">
        <v>129.20400000000001</v>
      </c>
      <c r="AH1486" s="625">
        <v>129.20400000000001</v>
      </c>
      <c r="AI1486" s="625">
        <v>129.20400000000001</v>
      </c>
      <c r="AJ1486" s="625">
        <v>129.20400000000001</v>
      </c>
      <c r="AK1486" s="625">
        <v>129.20400000000001</v>
      </c>
      <c r="AL1486" s="625">
        <v>129.20400000000001</v>
      </c>
      <c r="AM1486" s="625">
        <v>129.20400000000001</v>
      </c>
      <c r="AN1486" s="625">
        <v>129.20400000000001</v>
      </c>
      <c r="AO1486" s="625">
        <v>129.20400000000001</v>
      </c>
      <c r="AP1486" s="41" t="str">
        <f t="shared" si="702"/>
        <v>Def TaxN</v>
      </c>
      <c r="AQ1486" s="41" t="str">
        <f t="shared" si="703"/>
        <v>Def TaxNN2ASGA</v>
      </c>
      <c r="AR1486" s="41" t="str">
        <f t="shared" si="704"/>
        <v>N2ASGA</v>
      </c>
    </row>
    <row r="1487" spans="1:44" s="41" customFormat="1" ht="12.75" customHeight="1">
      <c r="A1487" s="442" t="s">
        <v>1590</v>
      </c>
      <c r="B1487" s="442" t="str">
        <f t="shared" si="692"/>
        <v>Def Tax190011Cap ExBDEFAULT</v>
      </c>
      <c r="C1487" s="736">
        <v>190011</v>
      </c>
      <c r="D1487" s="735" t="s">
        <v>1619</v>
      </c>
      <c r="E1487" s="626" t="s">
        <v>1620</v>
      </c>
      <c r="F1487" s="626" t="str">
        <f t="shared" si="705"/>
        <v>ACCUM DEFERRED INC TAXES - STATE - ELECTRIC</v>
      </c>
      <c r="G1487" s="626" t="s">
        <v>1621</v>
      </c>
      <c r="H1487" s="736" t="s">
        <v>1622</v>
      </c>
      <c r="I1487" s="442"/>
      <c r="J1487" s="442" t="str">
        <f t="shared" si="706"/>
        <v/>
      </c>
      <c r="K1487" s="442" t="str">
        <f t="shared" si="693"/>
        <v/>
      </c>
      <c r="L1487" s="736" t="s">
        <v>2421</v>
      </c>
      <c r="M1487" s="442" t="str">
        <f t="shared" si="701"/>
        <v>N</v>
      </c>
      <c r="N1487" s="442" t="str">
        <f>IF(L1487&lt;&gt;"",VLOOKUP(L1487,Categories!$B$2:$D$41,2,FALSE),IF(F1487&lt;&gt;"","No Cat",""))</f>
        <v>NRBASE</v>
      </c>
      <c r="O1487" s="442" t="str">
        <f>IF($L1487&lt;&gt;"",VLOOKUP($L1487,Categories!$B$2:$D$41,3,FALSE),IF($F1487&lt;&gt;"","No Cat",""))</f>
        <v>Direct Assign Items Not in RB</v>
      </c>
      <c r="P1487" s="736" t="s">
        <v>2468</v>
      </c>
      <c r="Q1487" s="442" t="str">
        <f>VLOOKUP($P1487,Allocators!$B$7:$F$19,5,FALSE)</f>
        <v>Not in Rate Base</v>
      </c>
      <c r="R1487" s="737">
        <f>VLOOKUP($P1487,Allocators!$B$7:$F$19,2,FALSE)</f>
        <v>0</v>
      </c>
      <c r="S1487" s="737">
        <f>VLOOKUP($P1487,Allocators!$B$7:$F$19,3,FALSE)</f>
        <v>0</v>
      </c>
      <c r="T1487" s="737">
        <f t="shared" si="700"/>
        <v>1</v>
      </c>
      <c r="U1487" s="2" t="str">
        <f t="shared" si="694"/>
        <v/>
      </c>
      <c r="V1487" s="2" t="str">
        <f t="shared" si="695"/>
        <v/>
      </c>
      <c r="W1487" s="2" t="str">
        <f t="shared" si="696"/>
        <v/>
      </c>
      <c r="X1487" s="2">
        <f t="shared" si="690"/>
        <v>0</v>
      </c>
      <c r="Y1487" s="2" t="str">
        <f t="shared" si="697"/>
        <v/>
      </c>
      <c r="Z1487" s="2" t="str">
        <f t="shared" si="698"/>
        <v/>
      </c>
      <c r="AA1487" s="2" t="str">
        <f t="shared" si="699"/>
        <v/>
      </c>
      <c r="AB1487" s="2">
        <f t="shared" si="691"/>
        <v>0</v>
      </c>
      <c r="AC1487" s="625">
        <v>0</v>
      </c>
      <c r="AD1487" s="625">
        <v>0</v>
      </c>
      <c r="AE1487" s="625">
        <v>0</v>
      </c>
      <c r="AF1487" s="625">
        <v>0</v>
      </c>
      <c r="AG1487" s="625">
        <v>0</v>
      </c>
      <c r="AH1487" s="625">
        <v>0</v>
      </c>
      <c r="AI1487" s="625">
        <v>0</v>
      </c>
      <c r="AJ1487" s="625">
        <v>0</v>
      </c>
      <c r="AK1487" s="625">
        <v>0</v>
      </c>
      <c r="AL1487" s="625">
        <v>0</v>
      </c>
      <c r="AM1487" s="625">
        <v>0</v>
      </c>
      <c r="AN1487" s="625">
        <v>0</v>
      </c>
      <c r="AO1487" s="625">
        <v>0</v>
      </c>
      <c r="AP1487" s="41" t="str">
        <f t="shared" si="702"/>
        <v>Def TaxN</v>
      </c>
      <c r="AQ1487" s="41" t="str">
        <f t="shared" si="703"/>
        <v>Def TaxNN2Cap Ex Reserve</v>
      </c>
      <c r="AR1487" s="41" t="str">
        <f t="shared" si="704"/>
        <v>N2Cap Ex Reserve</v>
      </c>
    </row>
    <row r="1488" spans="1:44" s="41" customFormat="1" ht="12.75" customHeight="1">
      <c r="A1488" s="25" t="s">
        <v>1590</v>
      </c>
      <c r="B1488" s="25" t="str">
        <f t="shared" si="692"/>
        <v>Def Tax190011190-092BT010036</v>
      </c>
      <c r="C1488" s="736">
        <v>190011</v>
      </c>
      <c r="D1488" s="735" t="s">
        <v>1626</v>
      </c>
      <c r="E1488" s="41" t="s">
        <v>1627</v>
      </c>
      <c r="F1488" s="41" t="str">
        <f t="shared" si="705"/>
        <v>ACCUM DEFERRED INC TAXES - STATE - ELECTRIC</v>
      </c>
      <c r="G1488" s="41" t="s">
        <v>1628</v>
      </c>
      <c r="H1488" s="736" t="s">
        <v>1629</v>
      </c>
      <c r="I1488" s="25"/>
      <c r="J1488" s="25" t="str">
        <f t="shared" si="706"/>
        <v/>
      </c>
      <c r="K1488" s="442" t="str">
        <f t="shared" si="693"/>
        <v/>
      </c>
      <c r="L1488" s="736" t="s">
        <v>2443</v>
      </c>
      <c r="M1488" s="25" t="str">
        <f t="shared" si="701"/>
        <v>R</v>
      </c>
      <c r="N1488" s="25" t="str">
        <f>IF(L1488&lt;&gt;"",VLOOKUP(L1488,Categories!$B$2:$D$41,2,FALSE),IF(F1488&lt;&gt;"","No Cat",""))</f>
        <v>Rate Base</v>
      </c>
      <c r="O1488" s="25" t="str">
        <f>IF($L1488&lt;&gt;"",VLOOKUP($L1488,Categories!$B$2:$D$41,3,FALSE),IF($F1488&lt;&gt;"","No Cat",""))</f>
        <v>Deferred Income Taxes</v>
      </c>
      <c r="P1488" s="736" t="s">
        <v>2482</v>
      </c>
      <c r="Q1488" s="25" t="str">
        <f>VLOOKUP($P1488,Allocators!$B$7:$F$19,5,FALSE)</f>
        <v>Electric</v>
      </c>
      <c r="R1488" s="737">
        <f>VLOOKUP($P1488,Allocators!$B$7:$F$19,2,FALSE)</f>
        <v>1</v>
      </c>
      <c r="S1488" s="737">
        <f>VLOOKUP($P1488,Allocators!$B$7:$F$19,3,FALSE)</f>
        <v>0</v>
      </c>
      <c r="T1488" s="737" t="str">
        <f t="shared" si="700"/>
        <v>0.0%</v>
      </c>
      <c r="U1488" s="2" t="str">
        <f t="shared" si="694"/>
        <v/>
      </c>
      <c r="V1488" s="2" t="str">
        <f t="shared" si="695"/>
        <v/>
      </c>
      <c r="W1488" s="2" t="str">
        <f t="shared" si="696"/>
        <v/>
      </c>
      <c r="X1488" s="2">
        <f t="shared" ref="X1488:X1551" si="707">IF(ISERROR(ROUND((SUM(AC1488:AO1488)-((AC1488+AO1488))/2)/12,15)),"",ROUND((SUM(AC1488:AO1488)-((AC1488+AO1488))/2)/12,15))</f>
        <v>0</v>
      </c>
      <c r="Y1488" s="2" t="str">
        <f t="shared" si="697"/>
        <v/>
      </c>
      <c r="Z1488" s="2" t="str">
        <f t="shared" si="698"/>
        <v/>
      </c>
      <c r="AA1488" s="2" t="str">
        <f t="shared" si="699"/>
        <v/>
      </c>
      <c r="AB1488" s="2">
        <f t="shared" ref="AB1488:AB1551" si="708">IF(AO1488="",0,+AO1488)</f>
        <v>0</v>
      </c>
      <c r="AC1488" s="625">
        <v>0</v>
      </c>
      <c r="AD1488" s="625">
        <v>0</v>
      </c>
      <c r="AE1488" s="625">
        <v>0</v>
      </c>
      <c r="AF1488" s="625">
        <v>0</v>
      </c>
      <c r="AG1488" s="625">
        <v>0</v>
      </c>
      <c r="AH1488" s="625">
        <v>0</v>
      </c>
      <c r="AI1488" s="625">
        <v>0</v>
      </c>
      <c r="AJ1488" s="625">
        <v>0</v>
      </c>
      <c r="AK1488" s="625">
        <v>0</v>
      </c>
      <c r="AL1488" s="625">
        <v>0</v>
      </c>
      <c r="AM1488" s="625">
        <v>0</v>
      </c>
      <c r="AN1488" s="625">
        <v>0</v>
      </c>
      <c r="AO1488" s="625">
        <v>0</v>
      </c>
      <c r="AP1488" s="41" t="str">
        <f t="shared" si="702"/>
        <v>Def TaxR</v>
      </c>
      <c r="AQ1488" s="41" t="str">
        <f t="shared" si="703"/>
        <v>Def TaxRR11Merger Related</v>
      </c>
      <c r="AR1488" s="41" t="str">
        <f t="shared" si="704"/>
        <v>R11Merger Related</v>
      </c>
    </row>
    <row r="1489" spans="1:44" s="41" customFormat="1" ht="12.75" customHeight="1">
      <c r="A1489" s="25" t="s">
        <v>1590</v>
      </c>
      <c r="B1489" s="25" t="str">
        <f t="shared" si="692"/>
        <v>Def Tax190011190-017BT010043</v>
      </c>
      <c r="C1489" s="736">
        <v>190011</v>
      </c>
      <c r="D1489" s="735" t="s">
        <v>1630</v>
      </c>
      <c r="E1489" s="41" t="s">
        <v>1631</v>
      </c>
      <c r="F1489" s="41" t="str">
        <f t="shared" si="705"/>
        <v>ACCUM DEFERRED INC TAXES - STATE - ELECTRIC</v>
      </c>
      <c r="G1489" s="41" t="s">
        <v>1632</v>
      </c>
      <c r="H1489" s="736" t="s">
        <v>1632</v>
      </c>
      <c r="I1489" s="25"/>
      <c r="J1489" s="25" t="str">
        <f t="shared" si="706"/>
        <v/>
      </c>
      <c r="K1489" s="442" t="str">
        <f t="shared" si="693"/>
        <v/>
      </c>
      <c r="L1489" s="736" t="s">
        <v>2443</v>
      </c>
      <c r="M1489" s="25" t="str">
        <f t="shared" si="701"/>
        <v>R</v>
      </c>
      <c r="N1489" s="25" t="str">
        <f>IF(L1489&lt;&gt;"",VLOOKUP(L1489,Categories!$B$2:$D$41,2,FALSE),IF(F1489&lt;&gt;"","No Cat",""))</f>
        <v>Rate Base</v>
      </c>
      <c r="O1489" s="25" t="str">
        <f>IF($L1489&lt;&gt;"",VLOOKUP($L1489,Categories!$B$2:$D$41,3,FALSE),IF($F1489&lt;&gt;"","No Cat",""))</f>
        <v>Deferred Income Taxes</v>
      </c>
      <c r="P1489" s="736" t="s">
        <v>2482</v>
      </c>
      <c r="Q1489" s="25" t="str">
        <f>VLOOKUP($P1489,Allocators!$B$7:$F$19,5,FALSE)</f>
        <v>Electric</v>
      </c>
      <c r="R1489" s="737">
        <f>VLOOKUP($P1489,Allocators!$B$7:$F$19,2,FALSE)</f>
        <v>1</v>
      </c>
      <c r="S1489" s="737">
        <f>VLOOKUP($P1489,Allocators!$B$7:$F$19,3,FALSE)</f>
        <v>0</v>
      </c>
      <c r="T1489" s="737" t="str">
        <f t="shared" si="700"/>
        <v>0.0%</v>
      </c>
      <c r="U1489" s="2" t="str">
        <f t="shared" si="694"/>
        <v/>
      </c>
      <c r="V1489" s="2" t="str">
        <f t="shared" si="695"/>
        <v/>
      </c>
      <c r="W1489" s="2" t="str">
        <f t="shared" si="696"/>
        <v/>
      </c>
      <c r="X1489" s="2">
        <f t="shared" si="707"/>
        <v>0</v>
      </c>
      <c r="Y1489" s="2" t="str">
        <f t="shared" si="697"/>
        <v/>
      </c>
      <c r="Z1489" s="2" t="str">
        <f t="shared" si="698"/>
        <v/>
      </c>
      <c r="AA1489" s="2" t="str">
        <f t="shared" si="699"/>
        <v/>
      </c>
      <c r="AB1489" s="2">
        <f t="shared" si="708"/>
        <v>0</v>
      </c>
      <c r="AC1489" s="625">
        <v>0</v>
      </c>
      <c r="AD1489" s="625">
        <v>0</v>
      </c>
      <c r="AE1489" s="625">
        <v>0</v>
      </c>
      <c r="AF1489" s="625">
        <v>0</v>
      </c>
      <c r="AG1489" s="625">
        <v>0</v>
      </c>
      <c r="AH1489" s="625">
        <v>0</v>
      </c>
      <c r="AI1489" s="625">
        <v>0</v>
      </c>
      <c r="AJ1489" s="625">
        <v>0</v>
      </c>
      <c r="AK1489" s="625">
        <v>0</v>
      </c>
      <c r="AL1489" s="625">
        <v>0</v>
      </c>
      <c r="AM1489" s="625">
        <v>0</v>
      </c>
      <c r="AN1489" s="625">
        <v>0</v>
      </c>
      <c r="AO1489" s="625">
        <v>0</v>
      </c>
      <c r="AP1489" s="41" t="str">
        <f t="shared" si="702"/>
        <v>Def TaxR</v>
      </c>
      <c r="AQ1489" s="41" t="str">
        <f t="shared" si="703"/>
        <v>Def TaxRR11CIAC</v>
      </c>
      <c r="AR1489" s="41" t="str">
        <f t="shared" si="704"/>
        <v>R11CIAC</v>
      </c>
    </row>
    <row r="1490" spans="1:44" s="41" customFormat="1" ht="12.75" customHeight="1">
      <c r="A1490" s="25" t="s">
        <v>1590</v>
      </c>
      <c r="B1490" s="25" t="str">
        <f t="shared" si="692"/>
        <v>Def Tax190011190-049BT010105</v>
      </c>
      <c r="C1490" s="736">
        <v>190011</v>
      </c>
      <c r="D1490" s="735" t="s">
        <v>1633</v>
      </c>
      <c r="E1490" s="41" t="s">
        <v>1634</v>
      </c>
      <c r="F1490" s="41" t="str">
        <f t="shared" si="705"/>
        <v>ACCUM DEFERRED INC TAXES - STATE - ELECTRIC</v>
      </c>
      <c r="G1490" s="41" t="s">
        <v>1635</v>
      </c>
      <c r="H1490" s="736" t="s">
        <v>1636</v>
      </c>
      <c r="I1490" s="25"/>
      <c r="J1490" s="25" t="str">
        <f t="shared" si="706"/>
        <v/>
      </c>
      <c r="K1490" s="442" t="str">
        <f t="shared" si="693"/>
        <v/>
      </c>
      <c r="L1490" s="736" t="s">
        <v>2443</v>
      </c>
      <c r="M1490" s="25" t="str">
        <f t="shared" si="701"/>
        <v>R</v>
      </c>
      <c r="N1490" s="25" t="str">
        <f>IF(L1490&lt;&gt;"",VLOOKUP(L1490,Categories!$B$2:$D$41,2,FALSE),IF(F1490&lt;&gt;"","No Cat",""))</f>
        <v>Rate Base</v>
      </c>
      <c r="O1490" s="25" t="str">
        <f>IF($L1490&lt;&gt;"",VLOOKUP($L1490,Categories!$B$2:$D$41,3,FALSE),IF($F1490&lt;&gt;"","No Cat",""))</f>
        <v>Deferred Income Taxes</v>
      </c>
      <c r="P1490" s="736" t="s">
        <v>2482</v>
      </c>
      <c r="Q1490" s="25" t="str">
        <f>VLOOKUP($P1490,Allocators!$B$7:$F$19,5,FALSE)</f>
        <v>Electric</v>
      </c>
      <c r="R1490" s="737">
        <f>VLOOKUP($P1490,Allocators!$B$7:$F$19,2,FALSE)</f>
        <v>1</v>
      </c>
      <c r="S1490" s="737">
        <f>VLOOKUP($P1490,Allocators!$B$7:$F$19,3,FALSE)</f>
        <v>0</v>
      </c>
      <c r="T1490" s="737" t="str">
        <f t="shared" si="700"/>
        <v>0.0%</v>
      </c>
      <c r="U1490" s="2">
        <f t="shared" si="694"/>
        <v>30.001633333333299</v>
      </c>
      <c r="V1490" s="2">
        <f t="shared" si="695"/>
        <v>0</v>
      </c>
      <c r="W1490" s="2">
        <f t="shared" si="696"/>
        <v>0</v>
      </c>
      <c r="X1490" s="2">
        <f t="shared" si="707"/>
        <v>30.001633333333299</v>
      </c>
      <c r="Y1490" s="2">
        <f t="shared" si="697"/>
        <v>38.847050000000003</v>
      </c>
      <c r="Z1490" s="2">
        <f t="shared" si="698"/>
        <v>0</v>
      </c>
      <c r="AA1490" s="2">
        <f t="shared" si="699"/>
        <v>0</v>
      </c>
      <c r="AB1490" s="2">
        <f t="shared" si="708"/>
        <v>38.847050000000003</v>
      </c>
      <c r="AC1490" s="625">
        <v>20.387049999999999</v>
      </c>
      <c r="AD1490" s="625">
        <v>15.77205</v>
      </c>
      <c r="AE1490" s="625">
        <v>15.77205</v>
      </c>
      <c r="AF1490" s="625">
        <v>11.15705</v>
      </c>
      <c r="AG1490" s="625">
        <v>15.77205</v>
      </c>
      <c r="AH1490" s="625">
        <v>15.77205</v>
      </c>
      <c r="AI1490" s="625">
        <v>52.692050000000002</v>
      </c>
      <c r="AJ1490" s="625">
        <v>43.462050000000005</v>
      </c>
      <c r="AK1490" s="625">
        <v>38.847050000000003</v>
      </c>
      <c r="AL1490" s="625">
        <v>43.462050000000005</v>
      </c>
      <c r="AM1490" s="625">
        <v>38.847050000000003</v>
      </c>
      <c r="AN1490" s="625">
        <v>38.847050000000003</v>
      </c>
      <c r="AO1490" s="625">
        <v>38.847050000000003</v>
      </c>
      <c r="AP1490" s="41" t="str">
        <f t="shared" si="702"/>
        <v>Def TaxR</v>
      </c>
      <c r="AQ1490" s="41" t="str">
        <f t="shared" si="703"/>
        <v>Def TaxRR11Claims Reserve</v>
      </c>
      <c r="AR1490" s="41" t="str">
        <f t="shared" si="704"/>
        <v>R11Claims Reserve</v>
      </c>
    </row>
    <row r="1491" spans="1:44" s="41" customFormat="1" ht="12.75" customHeight="1">
      <c r="A1491" s="25" t="s">
        <v>1590</v>
      </c>
      <c r="B1491" s="25" t="str">
        <f t="shared" si="692"/>
        <v>Def Tax190011190-016BT010037</v>
      </c>
      <c r="C1491" s="736">
        <v>190011</v>
      </c>
      <c r="D1491" s="735" t="s">
        <v>1781</v>
      </c>
      <c r="E1491" s="41" t="s">
        <v>1782</v>
      </c>
      <c r="F1491" s="41" t="str">
        <f t="shared" si="705"/>
        <v>ACCUM DEFERRED INC TAXES - STATE - ELECTRIC</v>
      </c>
      <c r="G1491" s="41" t="s">
        <v>1783</v>
      </c>
      <c r="H1491" s="736" t="s">
        <v>1784</v>
      </c>
      <c r="I1491" s="25"/>
      <c r="J1491" s="25" t="str">
        <f t="shared" si="706"/>
        <v/>
      </c>
      <c r="K1491" s="442" t="str">
        <f t="shared" si="693"/>
        <v/>
      </c>
      <c r="L1491" s="736" t="s">
        <v>2443</v>
      </c>
      <c r="M1491" s="25" t="str">
        <f t="shared" si="701"/>
        <v>R</v>
      </c>
      <c r="N1491" s="25" t="str">
        <f>IF(L1491&lt;&gt;"",VLOOKUP(L1491,Categories!$B$2:$D$41,2,FALSE),IF(F1491&lt;&gt;"","No Cat",""))</f>
        <v>Rate Base</v>
      </c>
      <c r="O1491" s="25" t="str">
        <f>IF($L1491&lt;&gt;"",VLOOKUP($L1491,Categories!$B$2:$D$41,3,FALSE),IF($F1491&lt;&gt;"","No Cat",""))</f>
        <v>Deferred Income Taxes</v>
      </c>
      <c r="P1491" s="736" t="s">
        <v>2482</v>
      </c>
      <c r="Q1491" s="25" t="str">
        <f>VLOOKUP($P1491,Allocators!$B$7:$F$19,5,FALSE)</f>
        <v>Electric</v>
      </c>
      <c r="R1491" s="737">
        <f>VLOOKUP($P1491,Allocators!$B$7:$F$19,2,FALSE)</f>
        <v>1</v>
      </c>
      <c r="S1491" s="737">
        <f>VLOOKUP($P1491,Allocators!$B$7:$F$19,3,FALSE)</f>
        <v>0</v>
      </c>
      <c r="T1491" s="737" t="str">
        <f t="shared" si="700"/>
        <v>0.0%</v>
      </c>
      <c r="U1491" s="2" t="str">
        <f t="shared" si="694"/>
        <v/>
      </c>
      <c r="V1491" s="2" t="str">
        <f t="shared" si="695"/>
        <v/>
      </c>
      <c r="W1491" s="2" t="str">
        <f t="shared" si="696"/>
        <v/>
      </c>
      <c r="X1491" s="2">
        <f t="shared" si="707"/>
        <v>0</v>
      </c>
      <c r="Y1491" s="2" t="str">
        <f t="shared" si="697"/>
        <v/>
      </c>
      <c r="Z1491" s="2" t="str">
        <f t="shared" si="698"/>
        <v/>
      </c>
      <c r="AA1491" s="2" t="str">
        <f t="shared" si="699"/>
        <v/>
      </c>
      <c r="AB1491" s="2">
        <f t="shared" si="708"/>
        <v>0</v>
      </c>
      <c r="AC1491" s="625">
        <v>0</v>
      </c>
      <c r="AD1491" s="625">
        <v>0</v>
      </c>
      <c r="AE1491" s="625">
        <v>0</v>
      </c>
      <c r="AF1491" s="625">
        <v>0</v>
      </c>
      <c r="AG1491" s="625">
        <v>0</v>
      </c>
      <c r="AH1491" s="625">
        <v>0</v>
      </c>
      <c r="AI1491" s="625">
        <v>0</v>
      </c>
      <c r="AJ1491" s="625">
        <v>0</v>
      </c>
      <c r="AK1491" s="625">
        <v>0</v>
      </c>
      <c r="AL1491" s="625">
        <v>0</v>
      </c>
      <c r="AM1491" s="625">
        <v>0</v>
      </c>
      <c r="AN1491" s="625">
        <v>0</v>
      </c>
      <c r="AO1491" s="625">
        <v>0</v>
      </c>
      <c r="AP1491" s="41" t="str">
        <f t="shared" si="702"/>
        <v>Def TaxR</v>
      </c>
      <c r="AQ1491" s="41" t="str">
        <f t="shared" si="703"/>
        <v>Def TaxRR11Clean Air Act Allowance</v>
      </c>
      <c r="AR1491" s="41" t="str">
        <f t="shared" si="704"/>
        <v>R11Clean Air Act Allowance</v>
      </c>
    </row>
    <row r="1492" spans="1:44" s="41" customFormat="1" ht="12.75" customHeight="1">
      <c r="A1492" s="442" t="s">
        <v>1590</v>
      </c>
      <c r="B1492" s="442" t="str">
        <f t="shared" si="692"/>
        <v>Def Tax190011Reg ReserveBDEFAULT</v>
      </c>
      <c r="C1492" s="736">
        <v>190011</v>
      </c>
      <c r="D1492" s="735" t="s">
        <v>1852</v>
      </c>
      <c r="E1492" s="626" t="s">
        <v>1620</v>
      </c>
      <c r="F1492" s="626" t="str">
        <f t="shared" si="705"/>
        <v>ACCUM DEFERRED INC TAXES - STATE - ELECTRIC</v>
      </c>
      <c r="G1492" s="626" t="s">
        <v>1853</v>
      </c>
      <c r="H1492" s="736" t="s">
        <v>1583</v>
      </c>
      <c r="I1492" s="442"/>
      <c r="J1492" s="442" t="str">
        <f t="shared" si="706"/>
        <v/>
      </c>
      <c r="K1492" s="442" t="str">
        <f t="shared" si="693"/>
        <v/>
      </c>
      <c r="L1492" s="736" t="s">
        <v>2421</v>
      </c>
      <c r="M1492" s="442" t="str">
        <f t="shared" si="701"/>
        <v>N</v>
      </c>
      <c r="N1492" s="442" t="str">
        <f>IF(L1492&lt;&gt;"",VLOOKUP(L1492,Categories!$B$2:$D$41,2,FALSE),IF(F1492&lt;&gt;"","No Cat",""))</f>
        <v>NRBASE</v>
      </c>
      <c r="O1492" s="442" t="str">
        <f>IF($L1492&lt;&gt;"",VLOOKUP($L1492,Categories!$B$2:$D$41,3,FALSE),IF($F1492&lt;&gt;"","No Cat",""))</f>
        <v>Direct Assign Items Not in RB</v>
      </c>
      <c r="P1492" s="736" t="s">
        <v>2468</v>
      </c>
      <c r="Q1492" s="442" t="str">
        <f>VLOOKUP($P1492,Allocators!$B$7:$F$19,5,FALSE)</f>
        <v>Not in Rate Base</v>
      </c>
      <c r="R1492" s="737">
        <f>VLOOKUP($P1492,Allocators!$B$7:$F$19,2,FALSE)</f>
        <v>0</v>
      </c>
      <c r="S1492" s="737">
        <f>VLOOKUP($P1492,Allocators!$B$7:$F$19,3,FALSE)</f>
        <v>0</v>
      </c>
      <c r="T1492" s="737">
        <f t="shared" si="700"/>
        <v>1</v>
      </c>
      <c r="U1492" s="2">
        <f t="shared" si="694"/>
        <v>0</v>
      </c>
      <c r="V1492" s="2">
        <f t="shared" si="695"/>
        <v>0</v>
      </c>
      <c r="W1492" s="2">
        <f t="shared" si="696"/>
        <v>65.0833333333334</v>
      </c>
      <c r="X1492" s="2">
        <f t="shared" si="707"/>
        <v>65.0833333333334</v>
      </c>
      <c r="Y1492" s="2">
        <f t="shared" si="697"/>
        <v>0</v>
      </c>
      <c r="Z1492" s="2">
        <f t="shared" si="698"/>
        <v>0</v>
      </c>
      <c r="AA1492" s="2">
        <f t="shared" si="699"/>
        <v>85.2</v>
      </c>
      <c r="AB1492" s="2">
        <f t="shared" si="708"/>
        <v>85.2</v>
      </c>
      <c r="AC1492" s="625">
        <v>56.8</v>
      </c>
      <c r="AD1492" s="625">
        <v>56.8</v>
      </c>
      <c r="AE1492" s="625">
        <v>56.8</v>
      </c>
      <c r="AF1492" s="625">
        <v>56.8</v>
      </c>
      <c r="AG1492" s="625">
        <v>56.8</v>
      </c>
      <c r="AH1492" s="625">
        <v>56.8</v>
      </c>
      <c r="AI1492" s="625">
        <v>56.8</v>
      </c>
      <c r="AJ1492" s="625">
        <v>56.8</v>
      </c>
      <c r="AK1492" s="625">
        <v>56.8</v>
      </c>
      <c r="AL1492" s="625">
        <v>85.2</v>
      </c>
      <c r="AM1492" s="625">
        <v>85.2</v>
      </c>
      <c r="AN1492" s="625">
        <v>85.2</v>
      </c>
      <c r="AO1492" s="625">
        <v>85.2</v>
      </c>
      <c r="AP1492" s="41" t="str">
        <f t="shared" si="702"/>
        <v>Def TaxN</v>
      </c>
      <c r="AQ1492" s="41" t="str">
        <f t="shared" si="703"/>
        <v>Def TaxNN2Regulatory Reserve</v>
      </c>
      <c r="AR1492" s="41" t="str">
        <f t="shared" si="704"/>
        <v>N2Regulatory Reserve</v>
      </c>
    </row>
    <row r="1493" spans="1:44" s="41" customFormat="1" ht="12.75" customHeight="1">
      <c r="A1493" s="25" t="s">
        <v>1590</v>
      </c>
      <c r="B1493" s="25" t="str">
        <f t="shared" si="692"/>
        <v>Def Tax190011190-075BT010042</v>
      </c>
      <c r="C1493" s="736">
        <v>190011</v>
      </c>
      <c r="D1493" s="735" t="s">
        <v>1637</v>
      </c>
      <c r="E1493" s="41" t="s">
        <v>1638</v>
      </c>
      <c r="F1493" s="41" t="str">
        <f t="shared" si="705"/>
        <v>ACCUM DEFERRED INC TAXES - STATE - ELECTRIC</v>
      </c>
      <c r="G1493" s="41" t="s">
        <v>1639</v>
      </c>
      <c r="H1493" s="736" t="s">
        <v>1640</v>
      </c>
      <c r="I1493" s="25"/>
      <c r="J1493" s="25" t="str">
        <f t="shared" si="706"/>
        <v/>
      </c>
      <c r="K1493" s="442" t="str">
        <f t="shared" si="693"/>
        <v/>
      </c>
      <c r="L1493" s="736" t="s">
        <v>2443</v>
      </c>
      <c r="M1493" s="25" t="str">
        <f t="shared" si="701"/>
        <v>R</v>
      </c>
      <c r="N1493" s="25" t="str">
        <f>IF(L1493&lt;&gt;"",VLOOKUP(L1493,Categories!$B$2:$D$41,2,FALSE),IF(F1493&lt;&gt;"","No Cat",""))</f>
        <v>Rate Base</v>
      </c>
      <c r="O1493" s="25" t="str">
        <f>IF($L1493&lt;&gt;"",VLOOKUP($L1493,Categories!$B$2:$D$41,3,FALSE),IF($F1493&lt;&gt;"","No Cat",""))</f>
        <v>Deferred Income Taxes</v>
      </c>
      <c r="P1493" s="736" t="s">
        <v>2482</v>
      </c>
      <c r="Q1493" s="25" t="str">
        <f>VLOOKUP($P1493,Allocators!$B$7:$F$19,5,FALSE)</f>
        <v>Electric</v>
      </c>
      <c r="R1493" s="737">
        <f>VLOOKUP($P1493,Allocators!$B$7:$F$19,2,FALSE)</f>
        <v>1</v>
      </c>
      <c r="S1493" s="737">
        <f>VLOOKUP($P1493,Allocators!$B$7:$F$19,3,FALSE)</f>
        <v>0</v>
      </c>
      <c r="T1493" s="737" t="str">
        <f t="shared" si="700"/>
        <v>0.0%</v>
      </c>
      <c r="U1493" s="2" t="str">
        <f t="shared" si="694"/>
        <v/>
      </c>
      <c r="V1493" s="2" t="str">
        <f t="shared" si="695"/>
        <v/>
      </c>
      <c r="W1493" s="2" t="str">
        <f t="shared" si="696"/>
        <v/>
      </c>
      <c r="X1493" s="2">
        <f t="shared" si="707"/>
        <v>0</v>
      </c>
      <c r="Y1493" s="2" t="str">
        <f t="shared" si="697"/>
        <v/>
      </c>
      <c r="Z1493" s="2" t="str">
        <f t="shared" si="698"/>
        <v/>
      </c>
      <c r="AA1493" s="2" t="str">
        <f t="shared" si="699"/>
        <v/>
      </c>
      <c r="AB1493" s="2">
        <f t="shared" si="708"/>
        <v>0</v>
      </c>
      <c r="AC1493" s="625">
        <v>0</v>
      </c>
      <c r="AD1493" s="625">
        <v>0</v>
      </c>
      <c r="AE1493" s="625">
        <v>0</v>
      </c>
      <c r="AF1493" s="625">
        <v>0</v>
      </c>
      <c r="AG1493" s="625">
        <v>0</v>
      </c>
      <c r="AH1493" s="625">
        <v>0</v>
      </c>
      <c r="AI1493" s="625">
        <v>0</v>
      </c>
      <c r="AJ1493" s="625">
        <v>0</v>
      </c>
      <c r="AK1493" s="625">
        <v>0</v>
      </c>
      <c r="AL1493" s="625">
        <v>0</v>
      </c>
      <c r="AM1493" s="625">
        <v>0</v>
      </c>
      <c r="AN1493" s="625">
        <v>0</v>
      </c>
      <c r="AO1493" s="625">
        <v>0</v>
      </c>
      <c r="AP1493" s="41" t="str">
        <f t="shared" si="702"/>
        <v>Def TaxR</v>
      </c>
      <c r="AQ1493" s="41" t="str">
        <f t="shared" si="703"/>
        <v xml:space="preserve">Def TaxRR11Contractor Settlement </v>
      </c>
      <c r="AR1493" s="41" t="str">
        <f t="shared" si="704"/>
        <v xml:space="preserve">R11Contractor Settlement </v>
      </c>
    </row>
    <row r="1494" spans="1:44" s="41" customFormat="1" ht="12.75" customHeight="1">
      <c r="A1494" s="25" t="s">
        <v>1590</v>
      </c>
      <c r="B1494" s="25" t="str">
        <f t="shared" ref="B1494" si="709">CONCATENATE(A1494,C1494,D1494,E1494)</f>
        <v>Def Tax190011BT010041</v>
      </c>
      <c r="C1494" s="736">
        <v>190011</v>
      </c>
      <c r="D1494" s="735"/>
      <c r="E1494" s="41" t="s">
        <v>4107</v>
      </c>
      <c r="F1494" s="41" t="str">
        <f t="shared" si="705"/>
        <v>ACCUM DEFERRED INC TAXES - STATE - ELECTRIC</v>
      </c>
      <c r="G1494" s="41" t="s">
        <v>4106</v>
      </c>
      <c r="H1494" s="736" t="s">
        <v>4106</v>
      </c>
      <c r="I1494" s="25"/>
      <c r="J1494" s="25" t="str">
        <f t="shared" ref="J1494" si="710">IF(L1494="N10","Y",IF(L1494="N8","Y",""))</f>
        <v/>
      </c>
      <c r="K1494" s="442" t="str">
        <f t="shared" ref="K1494:K1560" si="711">IF(L1494="N3","Y","")</f>
        <v/>
      </c>
      <c r="L1494" s="736" t="s">
        <v>2443</v>
      </c>
      <c r="M1494" s="25" t="str">
        <f t="shared" ref="M1494" si="712">LEFT(L1494,1)</f>
        <v>R</v>
      </c>
      <c r="N1494" s="25" t="str">
        <f>IF(L1494&lt;&gt;"",VLOOKUP(L1494,Categories!$B$2:$D$41,2,FALSE),IF(F1494&lt;&gt;"","No Cat",""))</f>
        <v>Rate Base</v>
      </c>
      <c r="O1494" s="25" t="str">
        <f>IF($L1494&lt;&gt;"",VLOOKUP($L1494,Categories!$B$2:$D$41,3,FALSE),IF($F1494&lt;&gt;"","No Cat",""))</f>
        <v>Deferred Income Taxes</v>
      </c>
      <c r="P1494" s="736" t="s">
        <v>2482</v>
      </c>
      <c r="Q1494" s="25" t="str">
        <f>VLOOKUP($P1494,Allocators!$B$7:$F$19,5,FALSE)</f>
        <v>Electric</v>
      </c>
      <c r="R1494" s="737">
        <f>VLOOKUP($P1494,Allocators!$B$7:$F$19,2,FALSE)</f>
        <v>1</v>
      </c>
      <c r="S1494" s="737">
        <f>VLOOKUP($P1494,Allocators!$B$7:$F$19,3,FALSE)</f>
        <v>0</v>
      </c>
      <c r="T1494" s="737" t="str">
        <f t="shared" ref="T1494" si="713">IF(P1494="N",1,"0.0%")</f>
        <v>0.0%</v>
      </c>
      <c r="U1494" s="2">
        <f t="shared" si="694"/>
        <v>84.859200000000001</v>
      </c>
      <c r="V1494" s="2">
        <f t="shared" si="695"/>
        <v>0</v>
      </c>
      <c r="W1494" s="2">
        <f t="shared" si="696"/>
        <v>0</v>
      </c>
      <c r="X1494" s="2">
        <f t="shared" si="707"/>
        <v>84.859200000000001</v>
      </c>
      <c r="Y1494" s="2">
        <f t="shared" si="697"/>
        <v>84.859200000000001</v>
      </c>
      <c r="Z1494" s="2">
        <f t="shared" si="698"/>
        <v>0</v>
      </c>
      <c r="AA1494" s="2">
        <f t="shared" si="699"/>
        <v>0</v>
      </c>
      <c r="AB1494" s="2">
        <f t="shared" si="708"/>
        <v>84.859200000000001</v>
      </c>
      <c r="AC1494" s="625">
        <v>84.859200000000001</v>
      </c>
      <c r="AD1494" s="625">
        <v>84.859200000000001</v>
      </c>
      <c r="AE1494" s="625">
        <v>84.859200000000001</v>
      </c>
      <c r="AF1494" s="625">
        <v>84.859200000000001</v>
      </c>
      <c r="AG1494" s="625">
        <v>84.859200000000001</v>
      </c>
      <c r="AH1494" s="625">
        <v>84.859200000000001</v>
      </c>
      <c r="AI1494" s="625">
        <v>84.859200000000001</v>
      </c>
      <c r="AJ1494" s="625">
        <v>84.859200000000001</v>
      </c>
      <c r="AK1494" s="625">
        <v>84.859200000000001</v>
      </c>
      <c r="AL1494" s="625">
        <v>84.859200000000001</v>
      </c>
      <c r="AM1494" s="625">
        <v>84.859200000000001</v>
      </c>
      <c r="AN1494" s="625">
        <v>84.859200000000001</v>
      </c>
      <c r="AO1494" s="625">
        <v>84.859200000000001</v>
      </c>
      <c r="AP1494" s="41" t="str">
        <f t="shared" si="702"/>
        <v>Def TaxR</v>
      </c>
      <c r="AQ1494" s="41" t="str">
        <f t="shared" si="703"/>
        <v>Def TaxRR11Consulting Contract Reserve</v>
      </c>
      <c r="AR1494" s="41" t="str">
        <f t="shared" si="704"/>
        <v>R11Consulting Contract Reserve</v>
      </c>
    </row>
    <row r="1495" spans="1:44" s="41" customFormat="1" ht="12.75" customHeight="1">
      <c r="A1495" s="25" t="s">
        <v>1590</v>
      </c>
      <c r="B1495" s="25" t="str">
        <f t="shared" ref="B1495:B1565" si="714">CONCATENATE(A1495,C1495,D1495,E1495)</f>
        <v>Def Tax190011190-091BT010225</v>
      </c>
      <c r="C1495" s="736">
        <v>190011</v>
      </c>
      <c r="D1495" s="735" t="s">
        <v>1750</v>
      </c>
      <c r="E1495" s="41" t="s">
        <v>1854</v>
      </c>
      <c r="F1495" s="41" t="str">
        <f t="shared" si="705"/>
        <v>ACCUM DEFERRED INC TAXES - STATE - ELECTRIC</v>
      </c>
      <c r="G1495" s="41" t="s">
        <v>1752</v>
      </c>
      <c r="H1495" s="736" t="s">
        <v>1629</v>
      </c>
      <c r="I1495" s="25"/>
      <c r="J1495" s="25" t="str">
        <f t="shared" si="706"/>
        <v/>
      </c>
      <c r="K1495" s="442" t="str">
        <f t="shared" si="711"/>
        <v/>
      </c>
      <c r="L1495" s="736" t="s">
        <v>2443</v>
      </c>
      <c r="M1495" s="25" t="str">
        <f t="shared" si="701"/>
        <v>R</v>
      </c>
      <c r="N1495" s="25" t="str">
        <f>IF(L1495&lt;&gt;"",VLOOKUP(L1495,Categories!$B$2:$D$41,2,FALSE),IF(F1495&lt;&gt;"","No Cat",""))</f>
        <v>Rate Base</v>
      </c>
      <c r="O1495" s="25" t="str">
        <f>IF($L1495&lt;&gt;"",VLOOKUP($L1495,Categories!$B$2:$D$41,3,FALSE),IF($F1495&lt;&gt;"","No Cat",""))</f>
        <v>Deferred Income Taxes</v>
      </c>
      <c r="P1495" s="736" t="s">
        <v>2482</v>
      </c>
      <c r="Q1495" s="25" t="str">
        <f>VLOOKUP($P1495,Allocators!$B$7:$F$19,5,FALSE)</f>
        <v>Electric</v>
      </c>
      <c r="R1495" s="737">
        <f>VLOOKUP($P1495,Allocators!$B$7:$F$19,2,FALSE)</f>
        <v>1</v>
      </c>
      <c r="S1495" s="737">
        <f>VLOOKUP($P1495,Allocators!$B$7:$F$19,3,FALSE)</f>
        <v>0</v>
      </c>
      <c r="T1495" s="737" t="str">
        <f t="shared" si="700"/>
        <v>0.0%</v>
      </c>
      <c r="U1495" s="2" t="str">
        <f t="shared" ref="U1495:U1558" si="715">IF(ABS(X1495)=0,"",IF($R1495="NO ALLOC","NO ALLOC",ROUND($R1495*X1495,15)))</f>
        <v/>
      </c>
      <c r="V1495" s="2" t="str">
        <f t="shared" ref="V1495:V1558" si="716">IF(ABS(X1495)=0,"",IF($S1495="NO ALLOC","NO ALLOC",ROUND($S1495*X1495,15)))</f>
        <v/>
      </c>
      <c r="W1495" s="2" t="str">
        <f t="shared" ref="W1495:W1558" si="717">IF(ABS(X1495)=0,"",IF($T1495="NO ALLOC","NO ALLOC",ROUND($T1495*X1495,15)))</f>
        <v/>
      </c>
      <c r="X1495" s="2">
        <f t="shared" si="707"/>
        <v>0</v>
      </c>
      <c r="Y1495" s="2" t="str">
        <f t="shared" ref="Y1495:Y1558" si="718">IF(ABS(AB1495)=0,"",IF($R1495="NO ALLOC","NO ALLOC",ROUND($R1495*AB1495,15)))</f>
        <v/>
      </c>
      <c r="Z1495" s="2" t="str">
        <f t="shared" ref="Z1495:Z1558" si="719">IF(ABS(AB1495)=0,"",IF($S1495="NO ALLOC","NO ALLOC",ROUND($S1495*AB1495,15)))</f>
        <v/>
      </c>
      <c r="AA1495" s="2" t="str">
        <f t="shared" ref="AA1495:AA1558" si="720">IF(ABS(AB1495)=0,"",IF($T1495="NO ALLOC","NO ALLOC",ROUND($T1495*AB1495,15)))</f>
        <v/>
      </c>
      <c r="AB1495" s="2">
        <f t="shared" si="708"/>
        <v>0</v>
      </c>
      <c r="AC1495" s="625">
        <v>0</v>
      </c>
      <c r="AD1495" s="625">
        <v>0</v>
      </c>
      <c r="AE1495" s="625">
        <v>0</v>
      </c>
      <c r="AF1495" s="625">
        <v>0</v>
      </c>
      <c r="AG1495" s="625">
        <v>0</v>
      </c>
      <c r="AH1495" s="625">
        <v>0</v>
      </c>
      <c r="AI1495" s="625">
        <v>0</v>
      </c>
      <c r="AJ1495" s="625">
        <v>0</v>
      </c>
      <c r="AK1495" s="625">
        <v>0</v>
      </c>
      <c r="AL1495" s="625">
        <v>0</v>
      </c>
      <c r="AM1495" s="625">
        <v>0</v>
      </c>
      <c r="AN1495" s="625">
        <v>0</v>
      </c>
      <c r="AO1495" s="625">
        <v>0</v>
      </c>
      <c r="AP1495" s="41" t="str">
        <f t="shared" si="702"/>
        <v>Def TaxR</v>
      </c>
      <c r="AQ1495" s="41" t="str">
        <f t="shared" si="703"/>
        <v>Def TaxRR11Merger Related</v>
      </c>
      <c r="AR1495" s="41" t="str">
        <f t="shared" si="704"/>
        <v>R11Merger Related</v>
      </c>
    </row>
    <row r="1496" spans="1:44" s="41" customFormat="1" ht="12.75" customHeight="1">
      <c r="A1496" s="25" t="s">
        <v>1590</v>
      </c>
      <c r="B1496" s="25" t="str">
        <f t="shared" si="714"/>
        <v>Def Tax190011Debt AdjBDEFAULT</v>
      </c>
      <c r="C1496" s="736">
        <v>190011</v>
      </c>
      <c r="D1496" s="735" t="s">
        <v>1773</v>
      </c>
      <c r="E1496" s="41" t="s">
        <v>1620</v>
      </c>
      <c r="F1496" s="41" t="str">
        <f t="shared" si="705"/>
        <v>ACCUM DEFERRED INC TAXES - STATE - ELECTRIC</v>
      </c>
      <c r="G1496" s="41" t="s">
        <v>1774</v>
      </c>
      <c r="H1496" s="736" t="s">
        <v>1775</v>
      </c>
      <c r="I1496" s="25"/>
      <c r="J1496" s="25" t="str">
        <f t="shared" si="706"/>
        <v/>
      </c>
      <c r="K1496" s="442" t="str">
        <f t="shared" si="711"/>
        <v/>
      </c>
      <c r="L1496" s="736" t="s">
        <v>2443</v>
      </c>
      <c r="M1496" s="25" t="str">
        <f t="shared" si="701"/>
        <v>R</v>
      </c>
      <c r="N1496" s="25" t="str">
        <f>IF(L1496&lt;&gt;"",VLOOKUP(L1496,Categories!$B$2:$D$41,2,FALSE),IF(F1496&lt;&gt;"","No Cat",""))</f>
        <v>Rate Base</v>
      </c>
      <c r="O1496" s="25" t="str">
        <f>IF($L1496&lt;&gt;"",VLOOKUP($L1496,Categories!$B$2:$D$41,3,FALSE),IF($F1496&lt;&gt;"","No Cat",""))</f>
        <v>Deferred Income Taxes</v>
      </c>
      <c r="P1496" s="736" t="s">
        <v>2482</v>
      </c>
      <c r="Q1496" s="25" t="str">
        <f>VLOOKUP($P1496,Allocators!$B$7:$F$19,5,FALSE)</f>
        <v>Electric</v>
      </c>
      <c r="R1496" s="737">
        <f>VLOOKUP($P1496,Allocators!$B$7:$F$19,2,FALSE)</f>
        <v>1</v>
      </c>
      <c r="S1496" s="737">
        <f>VLOOKUP($P1496,Allocators!$B$7:$F$19,3,FALSE)</f>
        <v>0</v>
      </c>
      <c r="T1496" s="737" t="str">
        <f t="shared" si="700"/>
        <v>0.0%</v>
      </c>
      <c r="U1496" s="2" t="str">
        <f t="shared" si="715"/>
        <v/>
      </c>
      <c r="V1496" s="2" t="str">
        <f t="shared" si="716"/>
        <v/>
      </c>
      <c r="W1496" s="2" t="str">
        <f t="shared" si="717"/>
        <v/>
      </c>
      <c r="X1496" s="2">
        <f t="shared" si="707"/>
        <v>0</v>
      </c>
      <c r="Y1496" s="2" t="str">
        <f t="shared" si="718"/>
        <v/>
      </c>
      <c r="Z1496" s="2" t="str">
        <f t="shared" si="719"/>
        <v/>
      </c>
      <c r="AA1496" s="2" t="str">
        <f t="shared" si="720"/>
        <v/>
      </c>
      <c r="AB1496" s="2">
        <f t="shared" si="708"/>
        <v>0</v>
      </c>
      <c r="AC1496" s="625">
        <v>0</v>
      </c>
      <c r="AD1496" s="625">
        <v>0</v>
      </c>
      <c r="AE1496" s="625">
        <v>0</v>
      </c>
      <c r="AF1496" s="625">
        <v>0</v>
      </c>
      <c r="AG1496" s="625">
        <v>0</v>
      </c>
      <c r="AH1496" s="625">
        <v>0</v>
      </c>
      <c r="AI1496" s="625">
        <v>0</v>
      </c>
      <c r="AJ1496" s="625">
        <v>0</v>
      </c>
      <c r="AK1496" s="625">
        <v>0</v>
      </c>
      <c r="AL1496" s="625">
        <v>0</v>
      </c>
      <c r="AM1496" s="625">
        <v>0</v>
      </c>
      <c r="AN1496" s="625">
        <v>0</v>
      </c>
      <c r="AO1496" s="625">
        <v>0</v>
      </c>
      <c r="AP1496" s="41" t="str">
        <f t="shared" si="702"/>
        <v>Def TaxR</v>
      </c>
      <c r="AQ1496" s="41" t="str">
        <f t="shared" si="703"/>
        <v>Def TaxRR11Gain/Loss on Reacquired Debt</v>
      </c>
      <c r="AR1496" s="41" t="str">
        <f t="shared" si="704"/>
        <v>R11Gain/Loss on Reacquired Debt</v>
      </c>
    </row>
    <row r="1497" spans="1:44" s="41" customFormat="1" ht="12.75" customHeight="1">
      <c r="A1497" s="25" t="s">
        <v>1590</v>
      </c>
      <c r="B1497" s="25" t="str">
        <f t="shared" si="714"/>
        <v>Def Tax190011190-014BT010050</v>
      </c>
      <c r="C1497" s="736">
        <v>190011</v>
      </c>
      <c r="D1497" s="735" t="s">
        <v>1641</v>
      </c>
      <c r="E1497" s="41" t="s">
        <v>1642</v>
      </c>
      <c r="F1497" s="41" t="str">
        <f t="shared" si="705"/>
        <v>ACCUM DEFERRED INC TAXES - STATE - ELECTRIC</v>
      </c>
      <c r="G1497" s="41" t="s">
        <v>1643</v>
      </c>
      <c r="H1497" s="736" t="s">
        <v>1644</v>
      </c>
      <c r="I1497" s="25"/>
      <c r="J1497" s="25" t="str">
        <f t="shared" si="706"/>
        <v/>
      </c>
      <c r="K1497" s="442" t="str">
        <f t="shared" si="711"/>
        <v/>
      </c>
      <c r="L1497" s="736" t="s">
        <v>2443</v>
      </c>
      <c r="M1497" s="25" t="str">
        <f t="shared" si="701"/>
        <v>R</v>
      </c>
      <c r="N1497" s="25" t="str">
        <f>IF(L1497&lt;&gt;"",VLOOKUP(L1497,Categories!$B$2:$D$41,2,FALSE),IF(F1497&lt;&gt;"","No Cat",""))</f>
        <v>Rate Base</v>
      </c>
      <c r="O1497" s="25" t="str">
        <f>IF($L1497&lt;&gt;"",VLOOKUP($L1497,Categories!$B$2:$D$41,3,FALSE),IF($F1497&lt;&gt;"","No Cat",""))</f>
        <v>Deferred Income Taxes</v>
      </c>
      <c r="P1497" s="736" t="s">
        <v>2482</v>
      </c>
      <c r="Q1497" s="25" t="str">
        <f>VLOOKUP($P1497,Allocators!$B$7:$F$19,5,FALSE)</f>
        <v>Electric</v>
      </c>
      <c r="R1497" s="737">
        <f>VLOOKUP($P1497,Allocators!$B$7:$F$19,2,FALSE)</f>
        <v>1</v>
      </c>
      <c r="S1497" s="737">
        <f>VLOOKUP($P1497,Allocators!$B$7:$F$19,3,FALSE)</f>
        <v>0</v>
      </c>
      <c r="T1497" s="737" t="str">
        <f t="shared" si="700"/>
        <v>0.0%</v>
      </c>
      <c r="U1497" s="2" t="str">
        <f t="shared" si="715"/>
        <v/>
      </c>
      <c r="V1497" s="2" t="str">
        <f t="shared" si="716"/>
        <v/>
      </c>
      <c r="W1497" s="2" t="str">
        <f t="shared" si="717"/>
        <v/>
      </c>
      <c r="X1497" s="2">
        <f t="shared" si="707"/>
        <v>0</v>
      </c>
      <c r="Y1497" s="2" t="str">
        <f t="shared" si="718"/>
        <v/>
      </c>
      <c r="Z1497" s="2" t="str">
        <f t="shared" si="719"/>
        <v/>
      </c>
      <c r="AA1497" s="2" t="str">
        <f t="shared" si="720"/>
        <v/>
      </c>
      <c r="AB1497" s="2">
        <f t="shared" si="708"/>
        <v>0</v>
      </c>
      <c r="AC1497" s="625">
        <v>0</v>
      </c>
      <c r="AD1497" s="625">
        <v>0</v>
      </c>
      <c r="AE1497" s="625">
        <v>0</v>
      </c>
      <c r="AF1497" s="625">
        <v>0</v>
      </c>
      <c r="AG1497" s="625">
        <v>0</v>
      </c>
      <c r="AH1497" s="625">
        <v>0</v>
      </c>
      <c r="AI1497" s="625">
        <v>0</v>
      </c>
      <c r="AJ1497" s="625">
        <v>0</v>
      </c>
      <c r="AK1497" s="625">
        <v>0</v>
      </c>
      <c r="AL1497" s="625">
        <v>0</v>
      </c>
      <c r="AM1497" s="625">
        <v>0</v>
      </c>
      <c r="AN1497" s="625">
        <v>0</v>
      </c>
      <c r="AO1497" s="625">
        <v>0</v>
      </c>
      <c r="AP1497" s="41" t="str">
        <f t="shared" si="702"/>
        <v>Def TaxR</v>
      </c>
      <c r="AQ1497" s="41" t="str">
        <f t="shared" si="703"/>
        <v>Def TaxRR11Decommissioning Income</v>
      </c>
      <c r="AR1497" s="41" t="str">
        <f t="shared" si="704"/>
        <v>R11Decommissioning Income</v>
      </c>
    </row>
    <row r="1498" spans="1:44" s="41" customFormat="1" ht="12.75" customHeight="1">
      <c r="A1498" s="25" t="s">
        <v>1590</v>
      </c>
      <c r="B1498" s="25" t="str">
        <f t="shared" si="714"/>
        <v>Def Tax190011190-044BTHUNGDT</v>
      </c>
      <c r="C1498" s="736">
        <v>190011</v>
      </c>
      <c r="D1498" s="735" t="s">
        <v>1645</v>
      </c>
      <c r="E1498" s="41" t="s">
        <v>1624</v>
      </c>
      <c r="F1498" s="41" t="str">
        <f t="shared" si="705"/>
        <v>ACCUM DEFERRED INC TAXES - STATE - ELECTRIC</v>
      </c>
      <c r="G1498" s="41" t="s">
        <v>1646</v>
      </c>
      <c r="H1498" s="736" t="s">
        <v>1647</v>
      </c>
      <c r="I1498" s="25"/>
      <c r="J1498" s="25" t="str">
        <f t="shared" si="706"/>
        <v/>
      </c>
      <c r="K1498" s="442" t="str">
        <f t="shared" si="711"/>
        <v/>
      </c>
      <c r="L1498" s="736" t="s">
        <v>2443</v>
      </c>
      <c r="M1498" s="25" t="str">
        <f t="shared" si="701"/>
        <v>R</v>
      </c>
      <c r="N1498" s="25" t="str">
        <f>IF(L1498&lt;&gt;"",VLOOKUP(L1498,Categories!$B$2:$D$41,2,FALSE),IF(F1498&lt;&gt;"","No Cat",""))</f>
        <v>Rate Base</v>
      </c>
      <c r="O1498" s="25" t="str">
        <f>IF($L1498&lt;&gt;"",VLOOKUP($L1498,Categories!$B$2:$D$41,3,FALSE),IF($F1498&lt;&gt;"","No Cat",""))</f>
        <v>Deferred Income Taxes</v>
      </c>
      <c r="P1498" s="736" t="s">
        <v>2482</v>
      </c>
      <c r="Q1498" s="25" t="str">
        <f>VLOOKUP($P1498,Allocators!$B$7:$F$19,5,FALSE)</f>
        <v>Electric</v>
      </c>
      <c r="R1498" s="737">
        <f>VLOOKUP($P1498,Allocators!$B$7:$F$19,2,FALSE)</f>
        <v>1</v>
      </c>
      <c r="S1498" s="737">
        <f>VLOOKUP($P1498,Allocators!$B$7:$F$19,3,FALSE)</f>
        <v>0</v>
      </c>
      <c r="T1498" s="737" t="str">
        <f t="shared" si="700"/>
        <v>0.0%</v>
      </c>
      <c r="U1498" s="2" t="str">
        <f t="shared" si="715"/>
        <v/>
      </c>
      <c r="V1498" s="2" t="str">
        <f t="shared" si="716"/>
        <v/>
      </c>
      <c r="W1498" s="2" t="str">
        <f t="shared" si="717"/>
        <v/>
      </c>
      <c r="X1498" s="2">
        <f t="shared" si="707"/>
        <v>0</v>
      </c>
      <c r="Y1498" s="2" t="str">
        <f t="shared" si="718"/>
        <v/>
      </c>
      <c r="Z1498" s="2" t="str">
        <f t="shared" si="719"/>
        <v/>
      </c>
      <c r="AA1498" s="2" t="str">
        <f t="shared" si="720"/>
        <v/>
      </c>
      <c r="AB1498" s="2">
        <f t="shared" si="708"/>
        <v>0</v>
      </c>
      <c r="AC1498" s="625">
        <v>0</v>
      </c>
      <c r="AD1498" s="625">
        <v>0</v>
      </c>
      <c r="AE1498" s="625">
        <v>0</v>
      </c>
      <c r="AF1498" s="625">
        <v>0</v>
      </c>
      <c r="AG1498" s="625">
        <v>0</v>
      </c>
      <c r="AH1498" s="625">
        <v>0</v>
      </c>
      <c r="AI1498" s="625">
        <v>0</v>
      </c>
      <c r="AJ1498" s="625">
        <v>0</v>
      </c>
      <c r="AK1498" s="625">
        <v>0</v>
      </c>
      <c r="AL1498" s="625">
        <v>0</v>
      </c>
      <c r="AM1498" s="625">
        <v>0</v>
      </c>
      <c r="AN1498" s="625">
        <v>0</v>
      </c>
      <c r="AO1498" s="625">
        <v>0</v>
      </c>
      <c r="AP1498" s="41" t="str">
        <f t="shared" si="702"/>
        <v>Def TaxR</v>
      </c>
      <c r="AQ1498" s="41" t="str">
        <f t="shared" si="703"/>
        <v>Def TaxRR11Deferred Comp</v>
      </c>
      <c r="AR1498" s="41" t="str">
        <f t="shared" si="704"/>
        <v>R11Deferred Comp</v>
      </c>
    </row>
    <row r="1499" spans="1:44" s="41" customFormat="1" ht="12.75" customHeight="1">
      <c r="A1499" s="25" t="s">
        <v>1590</v>
      </c>
      <c r="B1499" s="25" t="str">
        <f t="shared" si="714"/>
        <v>Def Tax190011190-089BTHUNGDT</v>
      </c>
      <c r="C1499" s="736">
        <v>190011</v>
      </c>
      <c r="D1499" s="735" t="s">
        <v>1648</v>
      </c>
      <c r="E1499" s="41" t="s">
        <v>1624</v>
      </c>
      <c r="F1499" s="41" t="str">
        <f t="shared" si="705"/>
        <v>ACCUM DEFERRED INC TAXES - STATE - ELECTRIC</v>
      </c>
      <c r="G1499" s="41" t="s">
        <v>1649</v>
      </c>
      <c r="H1499" s="736" t="s">
        <v>1629</v>
      </c>
      <c r="I1499" s="25"/>
      <c r="J1499" s="25" t="str">
        <f t="shared" si="706"/>
        <v/>
      </c>
      <c r="K1499" s="442" t="str">
        <f t="shared" si="711"/>
        <v/>
      </c>
      <c r="L1499" s="736" t="s">
        <v>2443</v>
      </c>
      <c r="M1499" s="25" t="str">
        <f t="shared" si="701"/>
        <v>R</v>
      </c>
      <c r="N1499" s="25" t="str">
        <f>IF(L1499&lt;&gt;"",VLOOKUP(L1499,Categories!$B$2:$D$41,2,FALSE),IF(F1499&lt;&gt;"","No Cat",""))</f>
        <v>Rate Base</v>
      </c>
      <c r="O1499" s="25" t="str">
        <f>IF($L1499&lt;&gt;"",VLOOKUP($L1499,Categories!$B$2:$D$41,3,FALSE),IF($F1499&lt;&gt;"","No Cat",""))</f>
        <v>Deferred Income Taxes</v>
      </c>
      <c r="P1499" s="736" t="s">
        <v>2482</v>
      </c>
      <c r="Q1499" s="25" t="str">
        <f>VLOOKUP($P1499,Allocators!$B$7:$F$19,5,FALSE)</f>
        <v>Electric</v>
      </c>
      <c r="R1499" s="737">
        <f>VLOOKUP($P1499,Allocators!$B$7:$F$19,2,FALSE)</f>
        <v>1</v>
      </c>
      <c r="S1499" s="737">
        <f>VLOOKUP($P1499,Allocators!$B$7:$F$19,3,FALSE)</f>
        <v>0</v>
      </c>
      <c r="T1499" s="737" t="str">
        <f t="shared" si="700"/>
        <v>0.0%</v>
      </c>
      <c r="U1499" s="2" t="str">
        <f t="shared" si="715"/>
        <v/>
      </c>
      <c r="V1499" s="2" t="str">
        <f t="shared" si="716"/>
        <v/>
      </c>
      <c r="W1499" s="2" t="str">
        <f t="shared" si="717"/>
        <v/>
      </c>
      <c r="X1499" s="2">
        <f t="shared" si="707"/>
        <v>0</v>
      </c>
      <c r="Y1499" s="2" t="str">
        <f t="shared" si="718"/>
        <v/>
      </c>
      <c r="Z1499" s="2" t="str">
        <f t="shared" si="719"/>
        <v/>
      </c>
      <c r="AA1499" s="2" t="str">
        <f t="shared" si="720"/>
        <v/>
      </c>
      <c r="AB1499" s="2">
        <f t="shared" si="708"/>
        <v>0</v>
      </c>
      <c r="AC1499" s="625">
        <v>0</v>
      </c>
      <c r="AD1499" s="625">
        <v>0</v>
      </c>
      <c r="AE1499" s="625">
        <v>0</v>
      </c>
      <c r="AF1499" s="625">
        <v>0</v>
      </c>
      <c r="AG1499" s="625">
        <v>0</v>
      </c>
      <c r="AH1499" s="625">
        <v>0</v>
      </c>
      <c r="AI1499" s="625">
        <v>0</v>
      </c>
      <c r="AJ1499" s="625">
        <v>0</v>
      </c>
      <c r="AK1499" s="625">
        <v>0</v>
      </c>
      <c r="AL1499" s="625">
        <v>0</v>
      </c>
      <c r="AM1499" s="625">
        <v>0</v>
      </c>
      <c r="AN1499" s="625">
        <v>0</v>
      </c>
      <c r="AO1499" s="625">
        <v>0</v>
      </c>
      <c r="AP1499" s="41" t="str">
        <f t="shared" si="702"/>
        <v>Def TaxR</v>
      </c>
      <c r="AQ1499" s="41" t="str">
        <f t="shared" si="703"/>
        <v>Def TaxRR11Merger Related</v>
      </c>
      <c r="AR1499" s="41" t="str">
        <f t="shared" si="704"/>
        <v>R11Merger Related</v>
      </c>
    </row>
    <row r="1500" spans="1:44" s="41" customFormat="1" ht="12.75" customHeight="1">
      <c r="A1500" s="442" t="s">
        <v>1590</v>
      </c>
      <c r="B1500" s="442" t="str">
        <f t="shared" si="714"/>
        <v>Def Tax190011190-104</v>
      </c>
      <c r="C1500" s="736">
        <v>190011</v>
      </c>
      <c r="D1500" s="735" t="s">
        <v>1763</v>
      </c>
      <c r="E1500" s="626"/>
      <c r="F1500" s="626" t="str">
        <f t="shared" si="705"/>
        <v>ACCUM DEFERRED INC TAXES - STATE - ELECTRIC</v>
      </c>
      <c r="G1500" s="626" t="s">
        <v>1764</v>
      </c>
      <c r="H1500" s="736" t="s">
        <v>1765</v>
      </c>
      <c r="I1500" s="442"/>
      <c r="J1500" s="442" t="str">
        <f t="shared" si="706"/>
        <v/>
      </c>
      <c r="K1500" s="442" t="str">
        <f t="shared" si="711"/>
        <v/>
      </c>
      <c r="L1500" s="736" t="s">
        <v>2421</v>
      </c>
      <c r="M1500" s="442" t="str">
        <f t="shared" si="701"/>
        <v>N</v>
      </c>
      <c r="N1500" s="442" t="str">
        <f>IF(L1500&lt;&gt;"",VLOOKUP(L1500,Categories!$B$2:$D$41,2,FALSE),IF(F1500&lt;&gt;"","No Cat",""))</f>
        <v>NRBASE</v>
      </c>
      <c r="O1500" s="442" t="str">
        <f>IF($L1500&lt;&gt;"",VLOOKUP($L1500,Categories!$B$2:$D$41,3,FALSE),IF($F1500&lt;&gt;"","No Cat",""))</f>
        <v>Direct Assign Items Not in RB</v>
      </c>
      <c r="P1500" s="736" t="s">
        <v>2468</v>
      </c>
      <c r="Q1500" s="442" t="str">
        <f>VLOOKUP($P1500,Allocators!$B$7:$F$19,5,FALSE)</f>
        <v>Not in Rate Base</v>
      </c>
      <c r="R1500" s="737">
        <f>VLOOKUP($P1500,Allocators!$B$7:$F$19,2,FALSE)</f>
        <v>0</v>
      </c>
      <c r="S1500" s="737">
        <f>VLOOKUP($P1500,Allocators!$B$7:$F$19,3,FALSE)</f>
        <v>0</v>
      </c>
      <c r="T1500" s="737">
        <f t="shared" si="700"/>
        <v>1</v>
      </c>
      <c r="U1500" s="2" t="str">
        <f t="shared" si="715"/>
        <v/>
      </c>
      <c r="V1500" s="2" t="str">
        <f t="shared" si="716"/>
        <v/>
      </c>
      <c r="W1500" s="2" t="str">
        <f t="shared" si="717"/>
        <v/>
      </c>
      <c r="X1500" s="2">
        <f t="shared" si="707"/>
        <v>0</v>
      </c>
      <c r="Y1500" s="2" t="str">
        <f t="shared" si="718"/>
        <v/>
      </c>
      <c r="Z1500" s="2" t="str">
        <f t="shared" si="719"/>
        <v/>
      </c>
      <c r="AA1500" s="2" t="str">
        <f t="shared" si="720"/>
        <v/>
      </c>
      <c r="AB1500" s="2">
        <f t="shared" si="708"/>
        <v>0</v>
      </c>
      <c r="AC1500" s="625">
        <v>0</v>
      </c>
      <c r="AD1500" s="625">
        <v>0</v>
      </c>
      <c r="AE1500" s="625">
        <v>0</v>
      </c>
      <c r="AF1500" s="625">
        <v>0</v>
      </c>
      <c r="AG1500" s="625">
        <v>0</v>
      </c>
      <c r="AH1500" s="625">
        <v>0</v>
      </c>
      <c r="AI1500" s="625">
        <v>0</v>
      </c>
      <c r="AJ1500" s="625">
        <v>0</v>
      </c>
      <c r="AK1500" s="625">
        <v>0</v>
      </c>
      <c r="AL1500" s="625">
        <v>0</v>
      </c>
      <c r="AM1500" s="625">
        <v>0</v>
      </c>
      <c r="AN1500" s="625">
        <v>0</v>
      </c>
      <c r="AO1500" s="625">
        <v>0</v>
      </c>
      <c r="AP1500" s="41" t="str">
        <f t="shared" si="702"/>
        <v>Def TaxN</v>
      </c>
      <c r="AQ1500" s="41" t="str">
        <f t="shared" si="703"/>
        <v>Def TaxNN2Earnings Sharing</v>
      </c>
      <c r="AR1500" s="41" t="str">
        <f t="shared" si="704"/>
        <v>N2Earnings Sharing</v>
      </c>
    </row>
    <row r="1501" spans="1:44" s="41" customFormat="1" ht="12.75" customHeight="1">
      <c r="A1501" s="25" t="s">
        <v>1590</v>
      </c>
      <c r="B1501" s="25" t="str">
        <f t="shared" si="714"/>
        <v>Def Tax190011283-032BT010088</v>
      </c>
      <c r="C1501" s="736">
        <v>190011</v>
      </c>
      <c r="D1501" s="735" t="s">
        <v>1650</v>
      </c>
      <c r="E1501" s="41" t="s">
        <v>1651</v>
      </c>
      <c r="F1501" s="41" t="str">
        <f t="shared" si="705"/>
        <v>ACCUM DEFERRED INC TAXES - STATE - ELECTRIC</v>
      </c>
      <c r="G1501" s="41" t="s">
        <v>1652</v>
      </c>
      <c r="H1501" s="736" t="s">
        <v>1586</v>
      </c>
      <c r="I1501" s="25"/>
      <c r="J1501" s="25" t="str">
        <f t="shared" si="706"/>
        <v/>
      </c>
      <c r="K1501" s="442" t="str">
        <f t="shared" si="711"/>
        <v/>
      </c>
      <c r="L1501" s="736" t="s">
        <v>2443</v>
      </c>
      <c r="M1501" s="25" t="str">
        <f t="shared" si="701"/>
        <v>R</v>
      </c>
      <c r="N1501" s="25" t="str">
        <f>IF(L1501&lt;&gt;"",VLOOKUP(L1501,Categories!$B$2:$D$41,2,FALSE),IF(F1501&lt;&gt;"","No Cat",""))</f>
        <v>Rate Base</v>
      </c>
      <c r="O1501" s="25" t="str">
        <f>IF($L1501&lt;&gt;"",VLOOKUP($L1501,Categories!$B$2:$D$41,3,FALSE),IF($F1501&lt;&gt;"","No Cat",""))</f>
        <v>Deferred Income Taxes</v>
      </c>
      <c r="P1501" s="736" t="s">
        <v>2482</v>
      </c>
      <c r="Q1501" s="25" t="str">
        <f>VLOOKUP($P1501,Allocators!$B$7:$F$19,5,FALSE)</f>
        <v>Electric</v>
      </c>
      <c r="R1501" s="737">
        <f>VLOOKUP($P1501,Allocators!$B$7:$F$19,2,FALSE)</f>
        <v>1</v>
      </c>
      <c r="S1501" s="737">
        <f>VLOOKUP($P1501,Allocators!$B$7:$F$19,3,FALSE)</f>
        <v>0</v>
      </c>
      <c r="T1501" s="737" t="str">
        <f t="shared" si="700"/>
        <v>0.0%</v>
      </c>
      <c r="U1501" s="2" t="str">
        <f t="shared" si="715"/>
        <v/>
      </c>
      <c r="V1501" s="2" t="str">
        <f t="shared" si="716"/>
        <v/>
      </c>
      <c r="W1501" s="2" t="str">
        <f t="shared" si="717"/>
        <v/>
      </c>
      <c r="X1501" s="2">
        <f t="shared" si="707"/>
        <v>0</v>
      </c>
      <c r="Y1501" s="2" t="str">
        <f t="shared" si="718"/>
        <v/>
      </c>
      <c r="Z1501" s="2" t="str">
        <f t="shared" si="719"/>
        <v/>
      </c>
      <c r="AA1501" s="2" t="str">
        <f t="shared" si="720"/>
        <v/>
      </c>
      <c r="AB1501" s="2">
        <f t="shared" si="708"/>
        <v>0</v>
      </c>
      <c r="AC1501" s="625">
        <v>0</v>
      </c>
      <c r="AD1501" s="625">
        <v>0</v>
      </c>
      <c r="AE1501" s="625">
        <v>0</v>
      </c>
      <c r="AF1501" s="625">
        <v>0</v>
      </c>
      <c r="AG1501" s="625">
        <v>0</v>
      </c>
      <c r="AH1501" s="625">
        <v>0</v>
      </c>
      <c r="AI1501" s="625">
        <v>0</v>
      </c>
      <c r="AJ1501" s="625">
        <v>0</v>
      </c>
      <c r="AK1501" s="625">
        <v>0</v>
      </c>
      <c r="AL1501" s="625">
        <v>0</v>
      </c>
      <c r="AM1501" s="625">
        <v>0</v>
      </c>
      <c r="AN1501" s="625">
        <v>0</v>
      </c>
      <c r="AO1501" s="625">
        <v>0</v>
      </c>
      <c r="AP1501" s="41" t="str">
        <f t="shared" si="702"/>
        <v>Def TaxR</v>
      </c>
      <c r="AQ1501" s="41" t="str">
        <f t="shared" si="703"/>
        <v>Def TaxRR11FAS 112</v>
      </c>
      <c r="AR1501" s="41" t="str">
        <f t="shared" si="704"/>
        <v>R11FAS 112</v>
      </c>
    </row>
    <row r="1502" spans="1:44" s="41" customFormat="1" ht="12.75" customHeight="1">
      <c r="A1502" s="25" t="s">
        <v>1590</v>
      </c>
      <c r="B1502" s="25" t="str">
        <f t="shared" ref="B1502" si="721">CONCATENATE(A1502,C1502,D1502,E1502)</f>
        <v>Def Tax190011BT010119</v>
      </c>
      <c r="C1502" s="736">
        <v>190011</v>
      </c>
      <c r="D1502" s="735"/>
      <c r="E1502" s="41" t="s">
        <v>4292</v>
      </c>
      <c r="F1502" s="41" t="str">
        <f t="shared" si="705"/>
        <v>ACCUM DEFERRED INC TAXES - STATE - ELECTRIC</v>
      </c>
      <c r="G1502" s="41" t="s">
        <v>4291</v>
      </c>
      <c r="H1502" s="736" t="s">
        <v>2559</v>
      </c>
      <c r="I1502" s="25"/>
      <c r="J1502" s="25"/>
      <c r="K1502" s="442" t="str">
        <f t="shared" si="711"/>
        <v/>
      </c>
      <c r="L1502" s="736" t="s">
        <v>2393</v>
      </c>
      <c r="M1502" s="25" t="str">
        <f t="shared" si="701"/>
        <v>A</v>
      </c>
      <c r="N1502" s="25" t="str">
        <f>IF(L1502&lt;&gt;"",VLOOKUP(L1502,Categories!$B$2:$D$41,2,FALSE),IF(F1502&lt;&gt;"","No Cat",""))</f>
        <v>All Other</v>
      </c>
      <c r="O1502" s="25" t="str">
        <f>IF($L1502&lt;&gt;"",VLOOKUP($L1502,Categories!$B$2:$D$41,3,FALSE),IF($F1502&lt;&gt;"","No Cat",""))</f>
        <v>EB-Cap</v>
      </c>
      <c r="P1502" s="736" t="s">
        <v>2490</v>
      </c>
      <c r="Q1502" s="25" t="str">
        <f>VLOOKUP($P1502,Allocators!$B$7:$F$19,5,FALSE)</f>
        <v>Rate Base</v>
      </c>
      <c r="R1502" s="737">
        <f>VLOOKUP($P1502,Allocators!$B$7:$F$19,2,FALSE)</f>
        <v>0.70940000000000003</v>
      </c>
      <c r="S1502" s="737">
        <f>VLOOKUP($P1502,Allocators!$B$7:$F$19,3,FALSE)</f>
        <v>0.29060000000000002</v>
      </c>
      <c r="T1502" s="737" t="str">
        <f t="shared" si="700"/>
        <v>0.0%</v>
      </c>
      <c r="U1502" s="2">
        <f t="shared" si="715"/>
        <v>0.314796249999999</v>
      </c>
      <c r="V1502" s="2">
        <f t="shared" si="716"/>
        <v>0.12895375000000001</v>
      </c>
      <c r="W1502" s="2">
        <f t="shared" si="717"/>
        <v>0</v>
      </c>
      <c r="X1502" s="2">
        <f t="shared" si="707"/>
        <v>0.44374999999999898</v>
      </c>
      <c r="Y1502" s="2">
        <f t="shared" si="718"/>
        <v>-8.5624579999999995</v>
      </c>
      <c r="Z1502" s="2">
        <f t="shared" si="719"/>
        <v>-3.5075419999999999</v>
      </c>
      <c r="AA1502" s="2">
        <f t="shared" si="720"/>
        <v>0</v>
      </c>
      <c r="AB1502" s="2">
        <f t="shared" si="708"/>
        <v>-12.07</v>
      </c>
      <c r="AC1502" s="625">
        <v>16.187999999999999</v>
      </c>
      <c r="AD1502" s="625">
        <v>16.187999999999999</v>
      </c>
      <c r="AE1502" s="625">
        <v>17.821000000000002</v>
      </c>
      <c r="AF1502" s="625">
        <v>18.815000000000001</v>
      </c>
      <c r="AG1502" s="625">
        <v>18.815000000000001</v>
      </c>
      <c r="AH1502" s="625">
        <v>20.731999999999999</v>
      </c>
      <c r="AI1502" s="625">
        <v>-17.536999999999999</v>
      </c>
      <c r="AJ1502" s="625">
        <v>-17.536999999999999</v>
      </c>
      <c r="AK1502" s="625">
        <v>-16.898</v>
      </c>
      <c r="AL1502" s="625">
        <v>-12.78</v>
      </c>
      <c r="AM1502" s="625">
        <v>-12.353999999999999</v>
      </c>
      <c r="AN1502" s="625">
        <v>-11.999000000000001</v>
      </c>
      <c r="AO1502" s="625">
        <v>-12.07</v>
      </c>
      <c r="AP1502" s="41" t="str">
        <f t="shared" si="702"/>
        <v>Def TaxA</v>
      </c>
      <c r="AQ1502" s="41" t="str">
        <f t="shared" si="703"/>
        <v>Def TaxAA2Fin 48 Reclass</v>
      </c>
      <c r="AR1502" s="41" t="str">
        <f t="shared" si="704"/>
        <v>A2Fin 48 Reclass</v>
      </c>
    </row>
    <row r="1503" spans="1:44" s="41" customFormat="1" ht="12.75" customHeight="1">
      <c r="A1503" s="25" t="s">
        <v>1590</v>
      </c>
      <c r="B1503" s="25" t="str">
        <f t="shared" si="714"/>
        <v>Def Tax190011BT010271</v>
      </c>
      <c r="C1503" s="736">
        <v>190011</v>
      </c>
      <c r="D1503" s="735"/>
      <c r="E1503" s="41" t="s">
        <v>4109</v>
      </c>
      <c r="F1503" s="41" t="str">
        <f t="shared" si="705"/>
        <v>ACCUM DEFERRED INC TAXES - STATE - ELECTRIC</v>
      </c>
      <c r="G1503" s="41" t="s">
        <v>4108</v>
      </c>
      <c r="H1503" s="736" t="s">
        <v>4108</v>
      </c>
      <c r="I1503" s="25"/>
      <c r="J1503" s="25" t="str">
        <f t="shared" ref="J1503" si="722">IF(L1503="N10","Y",IF(L1503="N8","Y",""))</f>
        <v/>
      </c>
      <c r="K1503" s="442" t="str">
        <f t="shared" si="711"/>
        <v/>
      </c>
      <c r="L1503" s="736" t="s">
        <v>2443</v>
      </c>
      <c r="M1503" s="25" t="str">
        <f t="shared" ref="M1503" si="723">LEFT(L1503,1)</f>
        <v>R</v>
      </c>
      <c r="N1503" s="25" t="str">
        <f>IF(L1503&lt;&gt;"",VLOOKUP(L1503,Categories!$B$2:$D$41,2,FALSE),IF(F1503&lt;&gt;"","No Cat",""))</f>
        <v>Rate Base</v>
      </c>
      <c r="O1503" s="25" t="str">
        <f>IF($L1503&lt;&gt;"",VLOOKUP($L1503,Categories!$B$2:$D$41,3,FALSE),IF($F1503&lt;&gt;"","No Cat",""))</f>
        <v>Deferred Income Taxes</v>
      </c>
      <c r="P1503" s="736" t="s">
        <v>2482</v>
      </c>
      <c r="Q1503" s="25" t="str">
        <f>VLOOKUP($P1503,Allocators!$B$7:$F$19,5,FALSE)</f>
        <v>Electric</v>
      </c>
      <c r="R1503" s="737">
        <f>VLOOKUP($P1503,Allocators!$B$7:$F$19,2,FALSE)</f>
        <v>1</v>
      </c>
      <c r="S1503" s="737">
        <f>VLOOKUP($P1503,Allocators!$B$7:$F$19,3,FALSE)</f>
        <v>0</v>
      </c>
      <c r="T1503" s="737" t="str">
        <f t="shared" ref="T1503" si="724">IF(P1503="N",1,"0.0%")</f>
        <v>0.0%</v>
      </c>
      <c r="U1503" s="2">
        <f t="shared" si="715"/>
        <v>10.323586666666699</v>
      </c>
      <c r="V1503" s="2">
        <f t="shared" si="716"/>
        <v>0</v>
      </c>
      <c r="W1503" s="2">
        <f t="shared" si="717"/>
        <v>0</v>
      </c>
      <c r="X1503" s="2">
        <f t="shared" si="707"/>
        <v>10.323586666666699</v>
      </c>
      <c r="Y1503" s="2">
        <f t="shared" si="718"/>
        <v>34.049849999999999</v>
      </c>
      <c r="Z1503" s="2">
        <f t="shared" si="719"/>
        <v>0</v>
      </c>
      <c r="AA1503" s="2">
        <f t="shared" si="720"/>
        <v>0</v>
      </c>
      <c r="AB1503" s="2">
        <f t="shared" si="708"/>
        <v>34.049849999999999</v>
      </c>
      <c r="AC1503" s="625">
        <v>29.798169999999999</v>
      </c>
      <c r="AD1503" s="625">
        <v>30.33493</v>
      </c>
      <c r="AE1503" s="625">
        <v>30.812049999999999</v>
      </c>
      <c r="AF1503" s="625">
        <v>30.812049999999999</v>
      </c>
      <c r="AG1503" s="625">
        <v>0</v>
      </c>
      <c r="AH1503" s="625">
        <v>0</v>
      </c>
      <c r="AI1503" s="625">
        <v>0</v>
      </c>
      <c r="AJ1503" s="625">
        <v>0</v>
      </c>
      <c r="AK1503" s="625">
        <v>0</v>
      </c>
      <c r="AL1503" s="625">
        <v>0</v>
      </c>
      <c r="AM1503" s="625">
        <v>0</v>
      </c>
      <c r="AN1503" s="625">
        <v>0</v>
      </c>
      <c r="AO1503" s="625">
        <v>34.049849999999999</v>
      </c>
      <c r="AP1503" s="41" t="str">
        <f t="shared" si="702"/>
        <v>Def TaxR</v>
      </c>
      <c r="AQ1503" s="41" t="str">
        <f t="shared" si="703"/>
        <v>Def TaxRR11GRT Audit Reserve</v>
      </c>
      <c r="AR1503" s="41" t="str">
        <f t="shared" si="704"/>
        <v>R11GRT Audit Reserve</v>
      </c>
    </row>
    <row r="1504" spans="1:44" s="41" customFormat="1" ht="12.75" customHeight="1">
      <c r="A1504" s="442" t="s">
        <v>1590</v>
      </c>
      <c r="B1504" s="442" t="str">
        <f t="shared" si="714"/>
        <v>Def Tax190011190-106BT010112</v>
      </c>
      <c r="C1504" s="736">
        <v>190011</v>
      </c>
      <c r="D1504" s="735" t="s">
        <v>1655</v>
      </c>
      <c r="E1504" s="626" t="s">
        <v>1656</v>
      </c>
      <c r="F1504" s="41" t="str">
        <f t="shared" si="705"/>
        <v>ACCUM DEFERRED INC TAXES - STATE - ELECTRIC</v>
      </c>
      <c r="G1504" s="626" t="s">
        <v>1657</v>
      </c>
      <c r="H1504" s="736" t="s">
        <v>1658</v>
      </c>
      <c r="I1504" s="442"/>
      <c r="J1504" s="442" t="str">
        <f t="shared" si="706"/>
        <v/>
      </c>
      <c r="K1504" s="442" t="str">
        <f t="shared" si="711"/>
        <v/>
      </c>
      <c r="L1504" s="736" t="s">
        <v>2421</v>
      </c>
      <c r="M1504" s="442" t="str">
        <f t="shared" si="701"/>
        <v>N</v>
      </c>
      <c r="N1504" s="442" t="str">
        <f>IF(L1504&lt;&gt;"",VLOOKUP(L1504,Categories!$B$2:$D$41,2,FALSE),IF(F1504&lt;&gt;"","No Cat",""))</f>
        <v>NRBASE</v>
      </c>
      <c r="O1504" s="442" t="str">
        <f>IF($L1504&lt;&gt;"",VLOOKUP($L1504,Categories!$B$2:$D$41,3,FALSE),IF($F1504&lt;&gt;"","No Cat",""))</f>
        <v>Direct Assign Items Not in RB</v>
      </c>
      <c r="P1504" s="736" t="s">
        <v>2468</v>
      </c>
      <c r="Q1504" s="442" t="str">
        <f>VLOOKUP($P1504,Allocators!$B$7:$F$19,5,FALSE)</f>
        <v>Not in Rate Base</v>
      </c>
      <c r="R1504" s="737">
        <f>VLOOKUP($P1504,Allocators!$B$7:$F$19,2,FALSE)</f>
        <v>0</v>
      </c>
      <c r="S1504" s="737">
        <f>VLOOKUP($P1504,Allocators!$B$7:$F$19,3,FALSE)</f>
        <v>0</v>
      </c>
      <c r="T1504" s="737">
        <f t="shared" si="700"/>
        <v>1</v>
      </c>
      <c r="U1504" s="2" t="str">
        <f t="shared" si="715"/>
        <v/>
      </c>
      <c r="V1504" s="2" t="str">
        <f t="shared" si="716"/>
        <v/>
      </c>
      <c r="W1504" s="2" t="str">
        <f t="shared" si="717"/>
        <v/>
      </c>
      <c r="X1504" s="2">
        <f t="shared" si="707"/>
        <v>0</v>
      </c>
      <c r="Y1504" s="2" t="str">
        <f t="shared" si="718"/>
        <v/>
      </c>
      <c r="Z1504" s="2" t="str">
        <f t="shared" si="719"/>
        <v/>
      </c>
      <c r="AA1504" s="2" t="str">
        <f t="shared" si="720"/>
        <v/>
      </c>
      <c r="AB1504" s="2">
        <f t="shared" si="708"/>
        <v>0</v>
      </c>
      <c r="AC1504" s="625">
        <v>0</v>
      </c>
      <c r="AD1504" s="625">
        <v>0</v>
      </c>
      <c r="AE1504" s="625">
        <v>0</v>
      </c>
      <c r="AF1504" s="625">
        <v>0</v>
      </c>
      <c r="AG1504" s="625">
        <v>0</v>
      </c>
      <c r="AH1504" s="625">
        <v>0</v>
      </c>
      <c r="AI1504" s="625">
        <v>0</v>
      </c>
      <c r="AJ1504" s="625">
        <v>0</v>
      </c>
      <c r="AK1504" s="625">
        <v>0</v>
      </c>
      <c r="AL1504" s="625">
        <v>0</v>
      </c>
      <c r="AM1504" s="625">
        <v>0</v>
      </c>
      <c r="AN1504" s="625">
        <v>0</v>
      </c>
      <c r="AO1504" s="625">
        <v>0</v>
      </c>
      <c r="AP1504" s="41" t="str">
        <f t="shared" si="702"/>
        <v>Def TaxN</v>
      </c>
      <c r="AQ1504" s="41" t="str">
        <f t="shared" si="703"/>
        <v>Def TaxNN2Litigation</v>
      </c>
      <c r="AR1504" s="41" t="str">
        <f t="shared" si="704"/>
        <v>N2Litigation</v>
      </c>
    </row>
    <row r="1505" spans="1:44" s="41" customFormat="1" ht="12.75" customHeight="1">
      <c r="A1505" s="442" t="s">
        <v>1590</v>
      </c>
      <c r="B1505" s="442" t="str">
        <f t="shared" si="714"/>
        <v>Def Tax190011LTIBT010356</v>
      </c>
      <c r="C1505" s="736">
        <v>190011</v>
      </c>
      <c r="D1505" s="735" t="s">
        <v>1659</v>
      </c>
      <c r="E1505" s="626" t="s">
        <v>1660</v>
      </c>
      <c r="F1505" s="626" t="str">
        <f t="shared" si="705"/>
        <v>ACCUM DEFERRED INC TAXES - STATE - ELECTRIC</v>
      </c>
      <c r="G1505" s="626" t="s">
        <v>1661</v>
      </c>
      <c r="H1505" s="736" t="s">
        <v>1661</v>
      </c>
      <c r="I1505" s="442"/>
      <c r="J1505" s="442" t="str">
        <f t="shared" si="706"/>
        <v/>
      </c>
      <c r="K1505" s="442" t="str">
        <f t="shared" si="711"/>
        <v/>
      </c>
      <c r="L1505" s="736" t="s">
        <v>2421</v>
      </c>
      <c r="M1505" s="442" t="str">
        <f t="shared" si="701"/>
        <v>N</v>
      </c>
      <c r="N1505" s="442" t="str">
        <f>IF(L1505&lt;&gt;"",VLOOKUP(L1505,Categories!$B$2:$D$41,2,FALSE),IF(F1505&lt;&gt;"","No Cat",""))</f>
        <v>NRBASE</v>
      </c>
      <c r="O1505" s="442" t="str">
        <f>IF($L1505&lt;&gt;"",VLOOKUP($L1505,Categories!$B$2:$D$41,3,FALSE),IF($F1505&lt;&gt;"","No Cat",""))</f>
        <v>Direct Assign Items Not in RB</v>
      </c>
      <c r="P1505" s="736" t="s">
        <v>2468</v>
      </c>
      <c r="Q1505" s="442" t="str">
        <f>VLOOKUP($P1505,Allocators!$B$7:$F$19,5,FALSE)</f>
        <v>Not in Rate Base</v>
      </c>
      <c r="R1505" s="737">
        <f>VLOOKUP($P1505,Allocators!$B$7:$F$19,2,FALSE)</f>
        <v>0</v>
      </c>
      <c r="S1505" s="737">
        <f>VLOOKUP($P1505,Allocators!$B$7:$F$19,3,FALSE)</f>
        <v>0</v>
      </c>
      <c r="T1505" s="737">
        <f t="shared" ref="T1505:T1574" si="725">IF(P1505="N",1,"0.0%")</f>
        <v>1</v>
      </c>
      <c r="U1505" s="2" t="str">
        <f t="shared" si="715"/>
        <v/>
      </c>
      <c r="V1505" s="2" t="str">
        <f t="shared" si="716"/>
        <v/>
      </c>
      <c r="W1505" s="2" t="str">
        <f t="shared" si="717"/>
        <v/>
      </c>
      <c r="X1505" s="2">
        <f t="shared" si="707"/>
        <v>0</v>
      </c>
      <c r="Y1505" s="2" t="str">
        <f t="shared" si="718"/>
        <v/>
      </c>
      <c r="Z1505" s="2" t="str">
        <f t="shared" si="719"/>
        <v/>
      </c>
      <c r="AA1505" s="2" t="str">
        <f t="shared" si="720"/>
        <v/>
      </c>
      <c r="AB1505" s="2">
        <f t="shared" si="708"/>
        <v>0</v>
      </c>
      <c r="AC1505" s="625">
        <v>0</v>
      </c>
      <c r="AD1505" s="625">
        <v>0</v>
      </c>
      <c r="AE1505" s="625">
        <v>0</v>
      </c>
      <c r="AF1505" s="625">
        <v>0</v>
      </c>
      <c r="AG1505" s="625">
        <v>0</v>
      </c>
      <c r="AH1505" s="625">
        <v>0</v>
      </c>
      <c r="AI1505" s="625">
        <v>0</v>
      </c>
      <c r="AJ1505" s="625">
        <v>0</v>
      </c>
      <c r="AK1505" s="625">
        <v>0</v>
      </c>
      <c r="AL1505" s="625">
        <v>0</v>
      </c>
      <c r="AM1505" s="625">
        <v>0</v>
      </c>
      <c r="AN1505" s="625">
        <v>0</v>
      </c>
      <c r="AO1505" s="625">
        <v>0</v>
      </c>
      <c r="AP1505" s="41" t="str">
        <f t="shared" si="702"/>
        <v>Def TaxN</v>
      </c>
      <c r="AQ1505" s="41" t="str">
        <f t="shared" si="703"/>
        <v>Def TaxNN2Long Term Executive Incentive Plan</v>
      </c>
      <c r="AR1505" s="41" t="str">
        <f t="shared" si="704"/>
        <v>N2Long Term Executive Incentive Plan</v>
      </c>
    </row>
    <row r="1506" spans="1:44" s="41" customFormat="1" ht="12.75" customHeight="1">
      <c r="A1506" s="25" t="s">
        <v>1590</v>
      </c>
      <c r="B1506" s="25" t="str">
        <f t="shared" si="714"/>
        <v>Def Tax190011190-043BTHUNGDT</v>
      </c>
      <c r="C1506" s="736">
        <v>190011</v>
      </c>
      <c r="D1506" s="735" t="s">
        <v>1662</v>
      </c>
      <c r="E1506" s="41" t="s">
        <v>1624</v>
      </c>
      <c r="F1506" s="41" t="str">
        <f t="shared" si="705"/>
        <v>ACCUM DEFERRED INC TAXES - STATE - ELECTRIC</v>
      </c>
      <c r="G1506" s="41" t="s">
        <v>1663</v>
      </c>
      <c r="H1506" s="736" t="s">
        <v>1664</v>
      </c>
      <c r="I1506" s="25"/>
      <c r="J1506" s="25" t="str">
        <f t="shared" si="706"/>
        <v/>
      </c>
      <c r="K1506" s="442" t="str">
        <f t="shared" si="711"/>
        <v/>
      </c>
      <c r="L1506" s="736" t="s">
        <v>2443</v>
      </c>
      <c r="M1506" s="25" t="str">
        <f t="shared" si="701"/>
        <v>R</v>
      </c>
      <c r="N1506" s="25" t="str">
        <f>IF(L1506&lt;&gt;"",VLOOKUP(L1506,Categories!$B$2:$D$41,2,FALSE),IF(F1506&lt;&gt;"","No Cat",""))</f>
        <v>Rate Base</v>
      </c>
      <c r="O1506" s="25" t="str">
        <f>IF($L1506&lt;&gt;"",VLOOKUP($L1506,Categories!$B$2:$D$41,3,FALSE),IF($F1506&lt;&gt;"","No Cat",""))</f>
        <v>Deferred Income Taxes</v>
      </c>
      <c r="P1506" s="736" t="s">
        <v>2482</v>
      </c>
      <c r="Q1506" s="25" t="str">
        <f>VLOOKUP($P1506,Allocators!$B$7:$F$19,5,FALSE)</f>
        <v>Electric</v>
      </c>
      <c r="R1506" s="737">
        <f>VLOOKUP($P1506,Allocators!$B$7:$F$19,2,FALSE)</f>
        <v>1</v>
      </c>
      <c r="S1506" s="737">
        <f>VLOOKUP($P1506,Allocators!$B$7:$F$19,3,FALSE)</f>
        <v>0</v>
      </c>
      <c r="T1506" s="737" t="str">
        <f t="shared" si="725"/>
        <v>0.0%</v>
      </c>
      <c r="U1506" s="2" t="str">
        <f t="shared" si="715"/>
        <v/>
      </c>
      <c r="V1506" s="2" t="str">
        <f t="shared" si="716"/>
        <v/>
      </c>
      <c r="W1506" s="2" t="str">
        <f t="shared" si="717"/>
        <v/>
      </c>
      <c r="X1506" s="2">
        <f t="shared" si="707"/>
        <v>0</v>
      </c>
      <c r="Y1506" s="2" t="str">
        <f t="shared" si="718"/>
        <v/>
      </c>
      <c r="Z1506" s="2" t="str">
        <f t="shared" si="719"/>
        <v/>
      </c>
      <c r="AA1506" s="2" t="str">
        <f t="shared" si="720"/>
        <v/>
      </c>
      <c r="AB1506" s="2">
        <f t="shared" si="708"/>
        <v>0</v>
      </c>
      <c r="AC1506" s="625">
        <v>0</v>
      </c>
      <c r="AD1506" s="625">
        <v>0</v>
      </c>
      <c r="AE1506" s="625">
        <v>0</v>
      </c>
      <c r="AF1506" s="625">
        <v>0</v>
      </c>
      <c r="AG1506" s="625">
        <v>0</v>
      </c>
      <c r="AH1506" s="625">
        <v>0</v>
      </c>
      <c r="AI1506" s="625">
        <v>0</v>
      </c>
      <c r="AJ1506" s="625">
        <v>0</v>
      </c>
      <c r="AK1506" s="625">
        <v>0</v>
      </c>
      <c r="AL1506" s="625">
        <v>0</v>
      </c>
      <c r="AM1506" s="625">
        <v>0</v>
      </c>
      <c r="AN1506" s="625">
        <v>0</v>
      </c>
      <c r="AO1506" s="625">
        <v>0</v>
      </c>
      <c r="AP1506" s="41" t="str">
        <f t="shared" si="702"/>
        <v>Def TaxR</v>
      </c>
      <c r="AQ1506" s="41" t="str">
        <f t="shared" si="703"/>
        <v>Def TaxRR11M&amp;S Obsolescence</v>
      </c>
      <c r="AR1506" s="41" t="str">
        <f t="shared" si="704"/>
        <v>R11M&amp;S Obsolescence</v>
      </c>
    </row>
    <row r="1507" spans="1:44" s="41" customFormat="1" ht="12.75" customHeight="1">
      <c r="A1507" s="25" t="s">
        <v>1590</v>
      </c>
      <c r="B1507" s="25" t="str">
        <f t="shared" si="714"/>
        <v>Def Tax190011BT010381</v>
      </c>
      <c r="C1507" s="736">
        <v>190011</v>
      </c>
      <c r="D1507" s="735"/>
      <c r="E1507" s="41" t="s">
        <v>1665</v>
      </c>
      <c r="F1507" s="41" t="str">
        <f t="shared" si="705"/>
        <v>ACCUM DEFERRED INC TAXES - STATE - ELECTRIC</v>
      </c>
      <c r="G1507" s="41" t="s">
        <v>1666</v>
      </c>
      <c r="H1507" s="736" t="s">
        <v>1118</v>
      </c>
      <c r="I1507" s="25"/>
      <c r="J1507" s="25" t="str">
        <f t="shared" si="706"/>
        <v/>
      </c>
      <c r="K1507" s="442" t="str">
        <f t="shared" si="711"/>
        <v/>
      </c>
      <c r="L1507" s="736" t="s">
        <v>2443</v>
      </c>
      <c r="M1507" s="25" t="str">
        <f t="shared" si="701"/>
        <v>R</v>
      </c>
      <c r="N1507" s="25" t="str">
        <f>IF(L1507&lt;&gt;"",VLOOKUP(L1507,Categories!$B$2:$D$41,2,FALSE),IF(F1507&lt;&gt;"","No Cat",""))</f>
        <v>Rate Base</v>
      </c>
      <c r="O1507" s="25" t="str">
        <f>IF($L1507&lt;&gt;"",VLOOKUP($L1507,Categories!$B$2:$D$41,3,FALSE),IF($F1507&lt;&gt;"","No Cat",""))</f>
        <v>Deferred Income Taxes</v>
      </c>
      <c r="P1507" s="736" t="s">
        <v>2482</v>
      </c>
      <c r="Q1507" s="25" t="str">
        <f>VLOOKUP($P1507,Allocators!$B$7:$F$19,5,FALSE)</f>
        <v>Electric</v>
      </c>
      <c r="R1507" s="737">
        <f>VLOOKUP($P1507,Allocators!$B$7:$F$19,2,FALSE)</f>
        <v>1</v>
      </c>
      <c r="S1507" s="737">
        <f>VLOOKUP($P1507,Allocators!$B$7:$F$19,3,FALSE)</f>
        <v>0</v>
      </c>
      <c r="T1507" s="737" t="str">
        <f t="shared" si="725"/>
        <v>0.0%</v>
      </c>
      <c r="U1507" s="2" t="str">
        <f t="shared" si="715"/>
        <v/>
      </c>
      <c r="V1507" s="2" t="str">
        <f t="shared" si="716"/>
        <v/>
      </c>
      <c r="W1507" s="2" t="str">
        <f t="shared" si="717"/>
        <v/>
      </c>
      <c r="X1507" s="2">
        <f t="shared" si="707"/>
        <v>0</v>
      </c>
      <c r="Y1507" s="2" t="str">
        <f t="shared" si="718"/>
        <v/>
      </c>
      <c r="Z1507" s="2" t="str">
        <f t="shared" si="719"/>
        <v/>
      </c>
      <c r="AA1507" s="2" t="str">
        <f t="shared" si="720"/>
        <v/>
      </c>
      <c r="AB1507" s="2">
        <f t="shared" si="708"/>
        <v>0</v>
      </c>
      <c r="AC1507" s="625">
        <v>0</v>
      </c>
      <c r="AD1507" s="625">
        <v>0</v>
      </c>
      <c r="AE1507" s="625">
        <v>0</v>
      </c>
      <c r="AF1507" s="625">
        <v>0</v>
      </c>
      <c r="AG1507" s="625">
        <v>0</v>
      </c>
      <c r="AH1507" s="625">
        <v>0</v>
      </c>
      <c r="AI1507" s="625">
        <v>0</v>
      </c>
      <c r="AJ1507" s="625">
        <v>0</v>
      </c>
      <c r="AK1507" s="625">
        <v>0</v>
      </c>
      <c r="AL1507" s="625">
        <v>0</v>
      </c>
      <c r="AM1507" s="625">
        <v>0</v>
      </c>
      <c r="AN1507" s="625">
        <v>0</v>
      </c>
      <c r="AO1507" s="625">
        <v>0</v>
      </c>
      <c r="AP1507" s="41" t="str">
        <f t="shared" si="702"/>
        <v>Def TaxR</v>
      </c>
      <c r="AQ1507" s="41" t="str">
        <f t="shared" si="703"/>
        <v>Def TaxRR11Medicare Part D</v>
      </c>
      <c r="AR1507" s="41" t="str">
        <f t="shared" si="704"/>
        <v>R11Medicare Part D</v>
      </c>
    </row>
    <row r="1508" spans="1:44" s="41" customFormat="1" ht="12.75" customHeight="1">
      <c r="A1508" s="25" t="s">
        <v>1590</v>
      </c>
      <c r="B1508" s="25" t="str">
        <f t="shared" si="714"/>
        <v>Def Tax190011MedicareBT010125</v>
      </c>
      <c r="C1508" s="736">
        <v>190011</v>
      </c>
      <c r="D1508" s="735" t="s">
        <v>1667</v>
      </c>
      <c r="E1508" s="41" t="s">
        <v>1668</v>
      </c>
      <c r="F1508" s="41" t="str">
        <f t="shared" si="705"/>
        <v>ACCUM DEFERRED INC TAXES - STATE - ELECTRIC</v>
      </c>
      <c r="G1508" s="41" t="s">
        <v>1669</v>
      </c>
      <c r="H1508" s="736" t="s">
        <v>1118</v>
      </c>
      <c r="I1508" s="25"/>
      <c r="J1508" s="25" t="str">
        <f t="shared" si="706"/>
        <v/>
      </c>
      <c r="K1508" s="442" t="str">
        <f t="shared" si="711"/>
        <v/>
      </c>
      <c r="L1508" s="736" t="s">
        <v>2443</v>
      </c>
      <c r="M1508" s="25" t="str">
        <f t="shared" si="701"/>
        <v>R</v>
      </c>
      <c r="N1508" s="25" t="str">
        <f>IF(L1508&lt;&gt;"",VLOOKUP(L1508,Categories!$B$2:$D$41,2,FALSE),IF(F1508&lt;&gt;"","No Cat",""))</f>
        <v>Rate Base</v>
      </c>
      <c r="O1508" s="25" t="str">
        <f>IF($L1508&lt;&gt;"",VLOOKUP($L1508,Categories!$B$2:$D$41,3,FALSE),IF($F1508&lt;&gt;"","No Cat",""))</f>
        <v>Deferred Income Taxes</v>
      </c>
      <c r="P1508" s="736" t="s">
        <v>2482</v>
      </c>
      <c r="Q1508" s="25" t="str">
        <f>VLOOKUP($P1508,Allocators!$B$7:$F$19,5,FALSE)</f>
        <v>Electric</v>
      </c>
      <c r="R1508" s="737">
        <f>VLOOKUP($P1508,Allocators!$B$7:$F$19,2,FALSE)</f>
        <v>1</v>
      </c>
      <c r="S1508" s="737">
        <f>VLOOKUP($P1508,Allocators!$B$7:$F$19,3,FALSE)</f>
        <v>0</v>
      </c>
      <c r="T1508" s="737" t="str">
        <f t="shared" si="725"/>
        <v>0.0%</v>
      </c>
      <c r="U1508" s="2" t="str">
        <f t="shared" si="715"/>
        <v/>
      </c>
      <c r="V1508" s="2" t="str">
        <f t="shared" si="716"/>
        <v/>
      </c>
      <c r="W1508" s="2" t="str">
        <f t="shared" si="717"/>
        <v/>
      </c>
      <c r="X1508" s="2">
        <f t="shared" si="707"/>
        <v>0</v>
      </c>
      <c r="Y1508" s="2" t="str">
        <f t="shared" si="718"/>
        <v/>
      </c>
      <c r="Z1508" s="2" t="str">
        <f t="shared" si="719"/>
        <v/>
      </c>
      <c r="AA1508" s="2" t="str">
        <f t="shared" si="720"/>
        <v/>
      </c>
      <c r="AB1508" s="2">
        <f t="shared" si="708"/>
        <v>0</v>
      </c>
      <c r="AC1508" s="625">
        <v>0</v>
      </c>
      <c r="AD1508" s="625">
        <v>0</v>
      </c>
      <c r="AE1508" s="625">
        <v>0</v>
      </c>
      <c r="AF1508" s="625">
        <v>0</v>
      </c>
      <c r="AG1508" s="625">
        <v>0</v>
      </c>
      <c r="AH1508" s="625">
        <v>0</v>
      </c>
      <c r="AI1508" s="625">
        <v>0</v>
      </c>
      <c r="AJ1508" s="625">
        <v>0</v>
      </c>
      <c r="AK1508" s="625">
        <v>0</v>
      </c>
      <c r="AL1508" s="625">
        <v>0</v>
      </c>
      <c r="AM1508" s="625">
        <v>0</v>
      </c>
      <c r="AN1508" s="625">
        <v>0</v>
      </c>
      <c r="AO1508" s="625">
        <v>0</v>
      </c>
      <c r="AP1508" s="41" t="str">
        <f t="shared" si="702"/>
        <v>Def TaxR</v>
      </c>
      <c r="AQ1508" s="41" t="str">
        <f t="shared" si="703"/>
        <v>Def TaxRR11Medicare Part D</v>
      </c>
      <c r="AR1508" s="41" t="str">
        <f t="shared" si="704"/>
        <v>R11Medicare Part D</v>
      </c>
    </row>
    <row r="1509" spans="1:44" s="41" customFormat="1" ht="12.75" customHeight="1">
      <c r="A1509" s="25" t="s">
        <v>1590</v>
      </c>
      <c r="B1509" s="25" t="str">
        <f t="shared" si="714"/>
        <v>Def Tax190011190-001</v>
      </c>
      <c r="C1509" s="736">
        <v>190011</v>
      </c>
      <c r="D1509" s="735" t="s">
        <v>1855</v>
      </c>
      <c r="F1509" s="41" t="str">
        <f t="shared" si="705"/>
        <v>ACCUM DEFERRED INC TAXES - STATE - ELECTRIC</v>
      </c>
      <c r="G1509" s="41" t="s">
        <v>1856</v>
      </c>
      <c r="H1509" s="736" t="s">
        <v>1857</v>
      </c>
      <c r="I1509" s="25"/>
      <c r="J1509" s="25" t="str">
        <f t="shared" si="706"/>
        <v/>
      </c>
      <c r="K1509" s="442" t="str">
        <f t="shared" si="711"/>
        <v/>
      </c>
      <c r="L1509" s="736" t="s">
        <v>2443</v>
      </c>
      <c r="M1509" s="25" t="str">
        <f t="shared" si="701"/>
        <v>R</v>
      </c>
      <c r="N1509" s="25" t="str">
        <f>IF(L1509&lt;&gt;"",VLOOKUP(L1509,Categories!$B$2:$D$41,2,FALSE),IF(F1509&lt;&gt;"","No Cat",""))</f>
        <v>Rate Base</v>
      </c>
      <c r="O1509" s="25" t="str">
        <f>IF($L1509&lt;&gt;"",VLOOKUP($L1509,Categories!$B$2:$D$41,3,FALSE),IF($F1509&lt;&gt;"","No Cat",""))</f>
        <v>Deferred Income Taxes</v>
      </c>
      <c r="P1509" s="736" t="s">
        <v>2482</v>
      </c>
      <c r="Q1509" s="25" t="str">
        <f>VLOOKUP($P1509,Allocators!$B$7:$F$19,5,FALSE)</f>
        <v>Electric</v>
      </c>
      <c r="R1509" s="737">
        <f>VLOOKUP($P1509,Allocators!$B$7:$F$19,2,FALSE)</f>
        <v>1</v>
      </c>
      <c r="S1509" s="737">
        <f>VLOOKUP($P1509,Allocators!$B$7:$F$19,3,FALSE)</f>
        <v>0</v>
      </c>
      <c r="T1509" s="737" t="str">
        <f t="shared" si="725"/>
        <v>0.0%</v>
      </c>
      <c r="U1509" s="2" t="str">
        <f t="shared" si="715"/>
        <v/>
      </c>
      <c r="V1509" s="2" t="str">
        <f t="shared" si="716"/>
        <v/>
      </c>
      <c r="W1509" s="2" t="str">
        <f t="shared" si="717"/>
        <v/>
      </c>
      <c r="X1509" s="2">
        <f t="shared" si="707"/>
        <v>0</v>
      </c>
      <c r="Y1509" s="2" t="str">
        <f t="shared" si="718"/>
        <v/>
      </c>
      <c r="Z1509" s="2" t="str">
        <f t="shared" si="719"/>
        <v/>
      </c>
      <c r="AA1509" s="2" t="str">
        <f t="shared" si="720"/>
        <v/>
      </c>
      <c r="AB1509" s="2">
        <f t="shared" si="708"/>
        <v>0</v>
      </c>
      <c r="AC1509" s="625">
        <v>0</v>
      </c>
      <c r="AD1509" s="625">
        <v>0</v>
      </c>
      <c r="AE1509" s="625">
        <v>0</v>
      </c>
      <c r="AF1509" s="625">
        <v>0</v>
      </c>
      <c r="AG1509" s="625">
        <v>0</v>
      </c>
      <c r="AH1509" s="625">
        <v>0</v>
      </c>
      <c r="AI1509" s="625">
        <v>0</v>
      </c>
      <c r="AJ1509" s="625">
        <v>0</v>
      </c>
      <c r="AK1509" s="625">
        <v>0</v>
      </c>
      <c r="AL1509" s="625">
        <v>0</v>
      </c>
      <c r="AM1509" s="625">
        <v>0</v>
      </c>
      <c r="AN1509" s="625">
        <v>0</v>
      </c>
      <c r="AO1509" s="625">
        <v>0</v>
      </c>
      <c r="AP1509" s="41" t="str">
        <f t="shared" si="702"/>
        <v>Def TaxR</v>
      </c>
      <c r="AQ1509" s="41" t="str">
        <f t="shared" si="703"/>
        <v>Def TaxRR11Nuclear Decommissioning</v>
      </c>
      <c r="AR1509" s="41" t="str">
        <f t="shared" si="704"/>
        <v>R11Nuclear Decommissioning</v>
      </c>
    </row>
    <row r="1510" spans="1:44" s="41" customFormat="1" ht="12.75" customHeight="1">
      <c r="A1510" s="25" t="s">
        <v>1590</v>
      </c>
      <c r="B1510" s="25" t="str">
        <f t="shared" si="714"/>
        <v>Def Tax190011190-031BT010167</v>
      </c>
      <c r="C1510" s="736">
        <v>190011</v>
      </c>
      <c r="D1510" s="735" t="s">
        <v>1670</v>
      </c>
      <c r="E1510" s="41" t="s">
        <v>1671</v>
      </c>
      <c r="F1510" s="41" t="str">
        <f t="shared" si="705"/>
        <v>ACCUM DEFERRED INC TAXES - STATE - ELECTRIC</v>
      </c>
      <c r="G1510" s="41" t="s">
        <v>1672</v>
      </c>
      <c r="H1510" s="736" t="s">
        <v>1673</v>
      </c>
      <c r="I1510" s="25"/>
      <c r="J1510" s="25" t="str">
        <f t="shared" si="706"/>
        <v/>
      </c>
      <c r="K1510" s="442" t="str">
        <f t="shared" si="711"/>
        <v/>
      </c>
      <c r="L1510" s="736" t="s">
        <v>2443</v>
      </c>
      <c r="M1510" s="25" t="str">
        <f t="shared" si="701"/>
        <v>R</v>
      </c>
      <c r="N1510" s="25" t="str">
        <f>IF(L1510&lt;&gt;"",VLOOKUP(L1510,Categories!$B$2:$D$41,2,FALSE),IF(F1510&lt;&gt;"","No Cat",""))</f>
        <v>Rate Base</v>
      </c>
      <c r="O1510" s="25" t="str">
        <f>IF($L1510&lt;&gt;"",VLOOKUP($L1510,Categories!$B$2:$D$41,3,FALSE),IF($F1510&lt;&gt;"","No Cat",""))</f>
        <v>Deferred Income Taxes</v>
      </c>
      <c r="P1510" s="736" t="s">
        <v>2482</v>
      </c>
      <c r="Q1510" s="25" t="str">
        <f>VLOOKUP($P1510,Allocators!$B$7:$F$19,5,FALSE)</f>
        <v>Electric</v>
      </c>
      <c r="R1510" s="737">
        <f>VLOOKUP($P1510,Allocators!$B$7:$F$19,2,FALSE)</f>
        <v>1</v>
      </c>
      <c r="S1510" s="737">
        <f>VLOOKUP($P1510,Allocators!$B$7:$F$19,3,FALSE)</f>
        <v>0</v>
      </c>
      <c r="T1510" s="737" t="str">
        <f t="shared" si="725"/>
        <v>0.0%</v>
      </c>
      <c r="U1510" s="2" t="str">
        <f t="shared" si="715"/>
        <v/>
      </c>
      <c r="V1510" s="2" t="str">
        <f t="shared" si="716"/>
        <v/>
      </c>
      <c r="W1510" s="2" t="str">
        <f t="shared" si="717"/>
        <v/>
      </c>
      <c r="X1510" s="2">
        <f t="shared" si="707"/>
        <v>0</v>
      </c>
      <c r="Y1510" s="2" t="str">
        <f t="shared" si="718"/>
        <v/>
      </c>
      <c r="Z1510" s="2" t="str">
        <f t="shared" si="719"/>
        <v/>
      </c>
      <c r="AA1510" s="2" t="str">
        <f t="shared" si="720"/>
        <v/>
      </c>
      <c r="AB1510" s="2">
        <f t="shared" si="708"/>
        <v>0</v>
      </c>
      <c r="AC1510" s="625">
        <v>0</v>
      </c>
      <c r="AD1510" s="625">
        <v>0</v>
      </c>
      <c r="AE1510" s="625">
        <v>0</v>
      </c>
      <c r="AF1510" s="625">
        <v>0</v>
      </c>
      <c r="AG1510" s="625">
        <v>0</v>
      </c>
      <c r="AH1510" s="625">
        <v>0</v>
      </c>
      <c r="AI1510" s="625">
        <v>0</v>
      </c>
      <c r="AJ1510" s="625">
        <v>0</v>
      </c>
      <c r="AK1510" s="625">
        <v>0</v>
      </c>
      <c r="AL1510" s="625">
        <v>0</v>
      </c>
      <c r="AM1510" s="625">
        <v>0</v>
      </c>
      <c r="AN1510" s="625">
        <v>0</v>
      </c>
      <c r="AO1510" s="625">
        <v>0</v>
      </c>
      <c r="AP1510" s="41" t="str">
        <f t="shared" si="702"/>
        <v>Def TaxR</v>
      </c>
      <c r="AQ1510" s="41" t="str">
        <f t="shared" si="703"/>
        <v>Def TaxRR11Pension</v>
      </c>
      <c r="AR1510" s="41" t="str">
        <f t="shared" si="704"/>
        <v>R11Pension</v>
      </c>
    </row>
    <row r="1511" spans="1:44" s="41" customFormat="1" ht="12.75" customHeight="1">
      <c r="A1511" s="25" t="s">
        <v>1590</v>
      </c>
      <c r="B1511" s="25" t="str">
        <f t="shared" si="714"/>
        <v>Def Tax190011190-088BT010070</v>
      </c>
      <c r="C1511" s="736">
        <v>190011</v>
      </c>
      <c r="D1511" s="735" t="s">
        <v>1674</v>
      </c>
      <c r="E1511" s="41" t="s">
        <v>1675</v>
      </c>
      <c r="F1511" s="41" t="str">
        <f t="shared" si="705"/>
        <v>ACCUM DEFERRED INC TAXES - STATE - ELECTRIC</v>
      </c>
      <c r="G1511" s="41" t="s">
        <v>1676</v>
      </c>
      <c r="H1511" s="736" t="s">
        <v>1677</v>
      </c>
      <c r="I1511" s="25"/>
      <c r="J1511" s="25" t="str">
        <f t="shared" si="706"/>
        <v/>
      </c>
      <c r="K1511" s="442" t="str">
        <f t="shared" si="711"/>
        <v/>
      </c>
      <c r="L1511" s="736" t="s">
        <v>2443</v>
      </c>
      <c r="M1511" s="25" t="str">
        <f t="shared" si="701"/>
        <v>R</v>
      </c>
      <c r="N1511" s="25" t="str">
        <f>IF(L1511&lt;&gt;"",VLOOKUP(L1511,Categories!$B$2:$D$41,2,FALSE),IF(F1511&lt;&gt;"","No Cat",""))</f>
        <v>Rate Base</v>
      </c>
      <c r="O1511" s="25" t="str">
        <f>IF($L1511&lt;&gt;"",VLOOKUP($L1511,Categories!$B$2:$D$41,3,FALSE),IF($F1511&lt;&gt;"","No Cat",""))</f>
        <v>Deferred Income Taxes</v>
      </c>
      <c r="P1511" s="736" t="s">
        <v>2482</v>
      </c>
      <c r="Q1511" s="25" t="str">
        <f>VLOOKUP($P1511,Allocators!$B$7:$F$19,5,FALSE)</f>
        <v>Electric</v>
      </c>
      <c r="R1511" s="737">
        <f>VLOOKUP($P1511,Allocators!$B$7:$F$19,2,FALSE)</f>
        <v>1</v>
      </c>
      <c r="S1511" s="737">
        <f>VLOOKUP($P1511,Allocators!$B$7:$F$19,3,FALSE)</f>
        <v>0</v>
      </c>
      <c r="T1511" s="737" t="str">
        <f t="shared" si="725"/>
        <v>0.0%</v>
      </c>
      <c r="U1511" s="2" t="str">
        <f t="shared" si="715"/>
        <v/>
      </c>
      <c r="V1511" s="2" t="str">
        <f t="shared" si="716"/>
        <v/>
      </c>
      <c r="W1511" s="2" t="str">
        <f t="shared" si="717"/>
        <v/>
      </c>
      <c r="X1511" s="2">
        <f t="shared" si="707"/>
        <v>0</v>
      </c>
      <c r="Y1511" s="2" t="str">
        <f t="shared" si="718"/>
        <v/>
      </c>
      <c r="Z1511" s="2" t="str">
        <f t="shared" si="719"/>
        <v/>
      </c>
      <c r="AA1511" s="2" t="str">
        <f t="shared" si="720"/>
        <v/>
      </c>
      <c r="AB1511" s="2">
        <f t="shared" si="708"/>
        <v>0</v>
      </c>
      <c r="AC1511" s="625">
        <v>0</v>
      </c>
      <c r="AD1511" s="625">
        <v>0</v>
      </c>
      <c r="AE1511" s="625">
        <v>0</v>
      </c>
      <c r="AF1511" s="625">
        <v>0</v>
      </c>
      <c r="AG1511" s="625">
        <v>0</v>
      </c>
      <c r="AH1511" s="625">
        <v>0</v>
      </c>
      <c r="AI1511" s="625">
        <v>0</v>
      </c>
      <c r="AJ1511" s="625">
        <v>0</v>
      </c>
      <c r="AK1511" s="625">
        <v>0</v>
      </c>
      <c r="AL1511" s="625">
        <v>0</v>
      </c>
      <c r="AM1511" s="625">
        <v>0</v>
      </c>
      <c r="AN1511" s="625">
        <v>0</v>
      </c>
      <c r="AO1511" s="625">
        <v>0</v>
      </c>
      <c r="AP1511" s="41" t="str">
        <f t="shared" si="702"/>
        <v>Def TaxR</v>
      </c>
      <c r="AQ1511" s="41" t="str">
        <f t="shared" si="703"/>
        <v>Def TaxRR11Personal Time</v>
      </c>
      <c r="AR1511" s="41" t="str">
        <f t="shared" si="704"/>
        <v>R11Personal Time</v>
      </c>
    </row>
    <row r="1512" spans="1:44" s="41" customFormat="1" ht="12.75" customHeight="1">
      <c r="A1512" s="25" t="s">
        <v>1590</v>
      </c>
      <c r="B1512" s="25" t="str">
        <f t="shared" si="714"/>
        <v>Def Tax190011190-015BT010089</v>
      </c>
      <c r="C1512" s="736">
        <v>190011</v>
      </c>
      <c r="D1512" s="735" t="s">
        <v>1678</v>
      </c>
      <c r="E1512" s="41" t="s">
        <v>1679</v>
      </c>
      <c r="F1512" s="41" t="str">
        <f t="shared" si="705"/>
        <v>ACCUM DEFERRED INC TAXES - STATE - ELECTRIC</v>
      </c>
      <c r="G1512" s="41" t="s">
        <v>1858</v>
      </c>
      <c r="H1512" s="736" t="s">
        <v>927</v>
      </c>
      <c r="I1512" s="25"/>
      <c r="J1512" s="25" t="str">
        <f t="shared" si="706"/>
        <v/>
      </c>
      <c r="K1512" s="442" t="str">
        <f t="shared" si="711"/>
        <v/>
      </c>
      <c r="L1512" s="736" t="s">
        <v>2443</v>
      </c>
      <c r="M1512" s="25" t="str">
        <f t="shared" si="701"/>
        <v>R</v>
      </c>
      <c r="N1512" s="25" t="str">
        <f>IF(L1512&lt;&gt;"",VLOOKUP(L1512,Categories!$B$2:$D$41,2,FALSE),IF(F1512&lt;&gt;"","No Cat",""))</f>
        <v>Rate Base</v>
      </c>
      <c r="O1512" s="25" t="str">
        <f>IF($L1512&lt;&gt;"",VLOOKUP($L1512,Categories!$B$2:$D$41,3,FALSE),IF($F1512&lt;&gt;"","No Cat",""))</f>
        <v>Deferred Income Taxes</v>
      </c>
      <c r="P1512" s="736" t="s">
        <v>2482</v>
      </c>
      <c r="Q1512" s="25" t="str">
        <f>VLOOKUP($P1512,Allocators!$B$7:$F$19,5,FALSE)</f>
        <v>Electric</v>
      </c>
      <c r="R1512" s="737">
        <f>VLOOKUP($P1512,Allocators!$B$7:$F$19,2,FALSE)</f>
        <v>1</v>
      </c>
      <c r="S1512" s="737">
        <f>VLOOKUP($P1512,Allocators!$B$7:$F$19,3,FALSE)</f>
        <v>0</v>
      </c>
      <c r="T1512" s="737" t="str">
        <f t="shared" si="725"/>
        <v>0.0%</v>
      </c>
      <c r="U1512" s="2" t="str">
        <f t="shared" si="715"/>
        <v/>
      </c>
      <c r="V1512" s="2" t="str">
        <f t="shared" si="716"/>
        <v/>
      </c>
      <c r="W1512" s="2" t="str">
        <f t="shared" si="717"/>
        <v/>
      </c>
      <c r="X1512" s="2">
        <f t="shared" si="707"/>
        <v>0</v>
      </c>
      <c r="Y1512" s="2" t="str">
        <f t="shared" si="718"/>
        <v/>
      </c>
      <c r="Z1512" s="2" t="str">
        <f t="shared" si="719"/>
        <v/>
      </c>
      <c r="AA1512" s="2" t="str">
        <f t="shared" si="720"/>
        <v/>
      </c>
      <c r="AB1512" s="2">
        <f t="shared" si="708"/>
        <v>0</v>
      </c>
      <c r="AC1512" s="625">
        <v>0</v>
      </c>
      <c r="AD1512" s="625">
        <v>0</v>
      </c>
      <c r="AE1512" s="625">
        <v>0</v>
      </c>
      <c r="AF1512" s="625">
        <v>0</v>
      </c>
      <c r="AG1512" s="625">
        <v>0</v>
      </c>
      <c r="AH1512" s="625">
        <v>0</v>
      </c>
      <c r="AI1512" s="625">
        <v>0</v>
      </c>
      <c r="AJ1512" s="625">
        <v>0</v>
      </c>
      <c r="AK1512" s="625">
        <v>0</v>
      </c>
      <c r="AL1512" s="625">
        <v>0</v>
      </c>
      <c r="AM1512" s="625">
        <v>0</v>
      </c>
      <c r="AN1512" s="625">
        <v>0</v>
      </c>
      <c r="AO1512" s="625">
        <v>0</v>
      </c>
      <c r="AP1512" s="41" t="str">
        <f t="shared" si="702"/>
        <v>Def TaxR</v>
      </c>
      <c r="AQ1512" s="41" t="str">
        <f t="shared" si="703"/>
        <v>Def TaxRR11OPEB</v>
      </c>
      <c r="AR1512" s="41" t="str">
        <f t="shared" si="704"/>
        <v>R11OPEB</v>
      </c>
    </row>
    <row r="1513" spans="1:44" s="41" customFormat="1" ht="12.75" customHeight="1">
      <c r="A1513" s="25" t="s">
        <v>1590</v>
      </c>
      <c r="B1513" s="25" t="str">
        <f t="shared" si="714"/>
        <v>Def Tax190011190-015-JPBT010091</v>
      </c>
      <c r="C1513" s="736">
        <v>190011</v>
      </c>
      <c r="D1513" s="735" t="s">
        <v>1730</v>
      </c>
      <c r="E1513" s="41" t="s">
        <v>1859</v>
      </c>
      <c r="F1513" s="41" t="str">
        <f t="shared" si="705"/>
        <v>ACCUM DEFERRED INC TAXES - STATE - ELECTRIC</v>
      </c>
      <c r="G1513" s="41" t="s">
        <v>1731</v>
      </c>
      <c r="H1513" s="736" t="s">
        <v>927</v>
      </c>
      <c r="I1513" s="25"/>
      <c r="J1513" s="25" t="str">
        <f t="shared" si="706"/>
        <v/>
      </c>
      <c r="K1513" s="442" t="str">
        <f t="shared" si="711"/>
        <v/>
      </c>
      <c r="L1513" s="736" t="s">
        <v>2443</v>
      </c>
      <c r="M1513" s="25" t="str">
        <f t="shared" si="701"/>
        <v>R</v>
      </c>
      <c r="N1513" s="25" t="str">
        <f>IF(L1513&lt;&gt;"",VLOOKUP(L1513,Categories!$B$2:$D$41,2,FALSE),IF(F1513&lt;&gt;"","No Cat",""))</f>
        <v>Rate Base</v>
      </c>
      <c r="O1513" s="25" t="str">
        <f>IF($L1513&lt;&gt;"",VLOOKUP($L1513,Categories!$B$2:$D$41,3,FALSE),IF($F1513&lt;&gt;"","No Cat",""))</f>
        <v>Deferred Income Taxes</v>
      </c>
      <c r="P1513" s="736" t="s">
        <v>2482</v>
      </c>
      <c r="Q1513" s="25" t="str">
        <f>VLOOKUP($P1513,Allocators!$B$7:$F$19,5,FALSE)</f>
        <v>Electric</v>
      </c>
      <c r="R1513" s="737">
        <f>VLOOKUP($P1513,Allocators!$B$7:$F$19,2,FALSE)</f>
        <v>1</v>
      </c>
      <c r="S1513" s="737">
        <f>VLOOKUP($P1513,Allocators!$B$7:$F$19,3,FALSE)</f>
        <v>0</v>
      </c>
      <c r="T1513" s="737" t="str">
        <f t="shared" si="725"/>
        <v>0.0%</v>
      </c>
      <c r="U1513" s="2" t="str">
        <f t="shared" si="715"/>
        <v/>
      </c>
      <c r="V1513" s="2" t="str">
        <f t="shared" si="716"/>
        <v/>
      </c>
      <c r="W1513" s="2" t="str">
        <f t="shared" si="717"/>
        <v/>
      </c>
      <c r="X1513" s="2">
        <f t="shared" si="707"/>
        <v>0</v>
      </c>
      <c r="Y1513" s="2" t="str">
        <f t="shared" si="718"/>
        <v/>
      </c>
      <c r="Z1513" s="2" t="str">
        <f t="shared" si="719"/>
        <v/>
      </c>
      <c r="AA1513" s="2" t="str">
        <f t="shared" si="720"/>
        <v/>
      </c>
      <c r="AB1513" s="2">
        <f t="shared" si="708"/>
        <v>0</v>
      </c>
      <c r="AC1513" s="625">
        <v>0</v>
      </c>
      <c r="AD1513" s="625">
        <v>0</v>
      </c>
      <c r="AE1513" s="625">
        <v>0</v>
      </c>
      <c r="AF1513" s="625">
        <v>0</v>
      </c>
      <c r="AG1513" s="625">
        <v>0</v>
      </c>
      <c r="AH1513" s="625">
        <v>0</v>
      </c>
      <c r="AI1513" s="625">
        <v>0</v>
      </c>
      <c r="AJ1513" s="625">
        <v>0</v>
      </c>
      <c r="AK1513" s="625">
        <v>0</v>
      </c>
      <c r="AL1513" s="625">
        <v>0</v>
      </c>
      <c r="AM1513" s="625">
        <v>0</v>
      </c>
      <c r="AN1513" s="625">
        <v>0</v>
      </c>
      <c r="AO1513" s="625">
        <v>0</v>
      </c>
      <c r="AP1513" s="41" t="str">
        <f t="shared" si="702"/>
        <v>Def TaxR</v>
      </c>
      <c r="AQ1513" s="41" t="str">
        <f t="shared" si="703"/>
        <v>Def TaxRR11OPEB</v>
      </c>
      <c r="AR1513" s="41" t="str">
        <f t="shared" si="704"/>
        <v>R11OPEB</v>
      </c>
    </row>
    <row r="1514" spans="1:44" s="41" customFormat="1" ht="12.75" customHeight="1">
      <c r="A1514" s="25" t="s">
        <v>1590</v>
      </c>
      <c r="B1514" s="25" t="str">
        <f t="shared" si="714"/>
        <v>Def Tax190011190-015-C/LBT010090</v>
      </c>
      <c r="C1514" s="736">
        <v>190011</v>
      </c>
      <c r="D1514" s="735" t="s">
        <v>1727</v>
      </c>
      <c r="E1514" s="41" t="s">
        <v>1728</v>
      </c>
      <c r="F1514" s="41" t="str">
        <f t="shared" si="705"/>
        <v>ACCUM DEFERRED INC TAXES - STATE - ELECTRIC</v>
      </c>
      <c r="G1514" s="41" t="s">
        <v>1729</v>
      </c>
      <c r="H1514" s="736" t="s">
        <v>927</v>
      </c>
      <c r="I1514" s="25"/>
      <c r="J1514" s="25" t="str">
        <f t="shared" si="706"/>
        <v/>
      </c>
      <c r="K1514" s="442" t="str">
        <f t="shared" si="711"/>
        <v/>
      </c>
      <c r="L1514" s="736" t="s">
        <v>2443</v>
      </c>
      <c r="M1514" s="25" t="str">
        <f t="shared" si="701"/>
        <v>R</v>
      </c>
      <c r="N1514" s="25" t="str">
        <f>IF(L1514&lt;&gt;"",VLOOKUP(L1514,Categories!$B$2:$D$41,2,FALSE),IF(F1514&lt;&gt;"","No Cat",""))</f>
        <v>Rate Base</v>
      </c>
      <c r="O1514" s="25" t="str">
        <f>IF($L1514&lt;&gt;"",VLOOKUP($L1514,Categories!$B$2:$D$41,3,FALSE),IF($F1514&lt;&gt;"","No Cat",""))</f>
        <v>Deferred Income Taxes</v>
      </c>
      <c r="P1514" s="736" t="s">
        <v>2482</v>
      </c>
      <c r="Q1514" s="25" t="str">
        <f>VLOOKUP($P1514,Allocators!$B$7:$F$19,5,FALSE)</f>
        <v>Electric</v>
      </c>
      <c r="R1514" s="737">
        <f>VLOOKUP($P1514,Allocators!$B$7:$F$19,2,FALSE)</f>
        <v>1</v>
      </c>
      <c r="S1514" s="737">
        <f>VLOOKUP($P1514,Allocators!$B$7:$F$19,3,FALSE)</f>
        <v>0</v>
      </c>
      <c r="T1514" s="737" t="str">
        <f t="shared" si="725"/>
        <v>0.0%</v>
      </c>
      <c r="U1514" s="2" t="str">
        <f t="shared" si="715"/>
        <v/>
      </c>
      <c r="V1514" s="2" t="str">
        <f t="shared" si="716"/>
        <v/>
      </c>
      <c r="W1514" s="2" t="str">
        <f t="shared" si="717"/>
        <v/>
      </c>
      <c r="X1514" s="2">
        <f t="shared" si="707"/>
        <v>0</v>
      </c>
      <c r="Y1514" s="2" t="str">
        <f t="shared" si="718"/>
        <v/>
      </c>
      <c r="Z1514" s="2" t="str">
        <f t="shared" si="719"/>
        <v/>
      </c>
      <c r="AA1514" s="2" t="str">
        <f t="shared" si="720"/>
        <v/>
      </c>
      <c r="AB1514" s="2">
        <f t="shared" si="708"/>
        <v>0</v>
      </c>
      <c r="AC1514" s="625">
        <v>0</v>
      </c>
      <c r="AD1514" s="625">
        <v>0</v>
      </c>
      <c r="AE1514" s="625">
        <v>0</v>
      </c>
      <c r="AF1514" s="625">
        <v>0</v>
      </c>
      <c r="AG1514" s="625">
        <v>0</v>
      </c>
      <c r="AH1514" s="625">
        <v>0</v>
      </c>
      <c r="AI1514" s="625">
        <v>0</v>
      </c>
      <c r="AJ1514" s="625">
        <v>0</v>
      </c>
      <c r="AK1514" s="625">
        <v>0</v>
      </c>
      <c r="AL1514" s="625">
        <v>0</v>
      </c>
      <c r="AM1514" s="625">
        <v>0</v>
      </c>
      <c r="AN1514" s="625">
        <v>0</v>
      </c>
      <c r="AO1514" s="625">
        <v>0</v>
      </c>
      <c r="AP1514" s="41" t="str">
        <f t="shared" si="702"/>
        <v>Def TaxR</v>
      </c>
      <c r="AQ1514" s="41" t="str">
        <f t="shared" si="703"/>
        <v>Def TaxRR11OPEB</v>
      </c>
      <c r="AR1514" s="41" t="str">
        <f t="shared" si="704"/>
        <v>R11OPEB</v>
      </c>
    </row>
    <row r="1515" spans="1:44" s="41" customFormat="1" ht="12.75" customHeight="1">
      <c r="A1515" s="25" t="s">
        <v>1590</v>
      </c>
      <c r="B1515" s="25" t="str">
        <f t="shared" si="714"/>
        <v>Def Tax1900110BT010183</v>
      </c>
      <c r="C1515" s="736">
        <v>190011</v>
      </c>
      <c r="D1515" s="735">
        <v>0</v>
      </c>
      <c r="E1515" s="41" t="s">
        <v>1689</v>
      </c>
      <c r="F1515" s="41" t="str">
        <f t="shared" si="705"/>
        <v>ACCUM DEFERRED INC TAXES - STATE - ELECTRIC</v>
      </c>
      <c r="G1515" s="41" t="s">
        <v>1690</v>
      </c>
      <c r="H1515" s="736" t="s">
        <v>1691</v>
      </c>
      <c r="I1515" s="25"/>
      <c r="J1515" s="25" t="str">
        <f t="shared" si="706"/>
        <v/>
      </c>
      <c r="K1515" s="442" t="str">
        <f t="shared" si="711"/>
        <v/>
      </c>
      <c r="L1515" s="736" t="s">
        <v>2443</v>
      </c>
      <c r="M1515" s="25" t="str">
        <f t="shared" si="701"/>
        <v>R</v>
      </c>
      <c r="N1515" s="25" t="str">
        <f>IF(L1515&lt;&gt;"",VLOOKUP(L1515,Categories!$B$2:$D$41,2,FALSE),IF(F1515&lt;&gt;"","No Cat",""))</f>
        <v>Rate Base</v>
      </c>
      <c r="O1515" s="25" t="str">
        <f>IF($L1515&lt;&gt;"",VLOOKUP($L1515,Categories!$B$2:$D$41,3,FALSE),IF($F1515&lt;&gt;"","No Cat",""))</f>
        <v>Deferred Income Taxes</v>
      </c>
      <c r="P1515" s="736" t="s">
        <v>2482</v>
      </c>
      <c r="Q1515" s="25" t="str">
        <f>VLOOKUP($P1515,Allocators!$B$7:$F$19,5,FALSE)</f>
        <v>Electric</v>
      </c>
      <c r="R1515" s="737">
        <f>VLOOKUP($P1515,Allocators!$B$7:$F$19,2,FALSE)</f>
        <v>1</v>
      </c>
      <c r="S1515" s="737">
        <f>VLOOKUP($P1515,Allocators!$B$7:$F$19,3,FALSE)</f>
        <v>0</v>
      </c>
      <c r="T1515" s="737" t="str">
        <f t="shared" si="725"/>
        <v>0.0%</v>
      </c>
      <c r="U1515" s="2" t="str">
        <f t="shared" si="715"/>
        <v/>
      </c>
      <c r="V1515" s="2" t="str">
        <f t="shared" si="716"/>
        <v/>
      </c>
      <c r="W1515" s="2" t="str">
        <f t="shared" si="717"/>
        <v/>
      </c>
      <c r="X1515" s="2">
        <f t="shared" si="707"/>
        <v>0</v>
      </c>
      <c r="Y1515" s="2" t="str">
        <f t="shared" si="718"/>
        <v/>
      </c>
      <c r="Z1515" s="2" t="str">
        <f t="shared" si="719"/>
        <v/>
      </c>
      <c r="AA1515" s="2" t="str">
        <f t="shared" si="720"/>
        <v/>
      </c>
      <c r="AB1515" s="2">
        <f t="shared" si="708"/>
        <v>0</v>
      </c>
      <c r="AC1515" s="625">
        <v>0</v>
      </c>
      <c r="AD1515" s="625">
        <v>0</v>
      </c>
      <c r="AE1515" s="625">
        <v>0</v>
      </c>
      <c r="AF1515" s="625">
        <v>0</v>
      </c>
      <c r="AG1515" s="625">
        <v>0</v>
      </c>
      <c r="AH1515" s="625">
        <v>0</v>
      </c>
      <c r="AI1515" s="625">
        <v>0</v>
      </c>
      <c r="AJ1515" s="625">
        <v>0</v>
      </c>
      <c r="AK1515" s="625">
        <v>0</v>
      </c>
      <c r="AL1515" s="625">
        <v>0</v>
      </c>
      <c r="AM1515" s="625">
        <v>0</v>
      </c>
      <c r="AN1515" s="625">
        <v>0</v>
      </c>
      <c r="AO1515" s="625">
        <v>0</v>
      </c>
      <c r="AP1515" s="41" t="str">
        <f t="shared" si="702"/>
        <v>Def TaxR</v>
      </c>
      <c r="AQ1515" s="41" t="str">
        <f t="shared" si="703"/>
        <v>Def TaxRR11Restricted Stock</v>
      </c>
      <c r="AR1515" s="41" t="str">
        <f t="shared" si="704"/>
        <v>R11Restricted Stock</v>
      </c>
    </row>
    <row r="1516" spans="1:44" s="41" customFormat="1" ht="12.75" customHeight="1">
      <c r="A1516" s="25" t="s">
        <v>1590</v>
      </c>
      <c r="B1516" s="25" t="str">
        <f t="shared" si="714"/>
        <v>Def Tax190011190-101BT010194</v>
      </c>
      <c r="C1516" s="736">
        <v>190011</v>
      </c>
      <c r="D1516" s="735" t="s">
        <v>1692</v>
      </c>
      <c r="E1516" s="41" t="s">
        <v>1693</v>
      </c>
      <c r="F1516" s="41" t="str">
        <f t="shared" si="705"/>
        <v>ACCUM DEFERRED INC TAXES - STATE - ELECTRIC</v>
      </c>
      <c r="G1516" s="41" t="s">
        <v>1694</v>
      </c>
      <c r="H1516" s="736" t="s">
        <v>1537</v>
      </c>
      <c r="I1516" s="25"/>
      <c r="J1516" s="25" t="str">
        <f t="shared" si="706"/>
        <v/>
      </c>
      <c r="K1516" s="442" t="str">
        <f t="shared" si="711"/>
        <v/>
      </c>
      <c r="L1516" s="736" t="s">
        <v>2443</v>
      </c>
      <c r="M1516" s="25" t="str">
        <f t="shared" si="701"/>
        <v>R</v>
      </c>
      <c r="N1516" s="25" t="str">
        <f>IF(L1516&lt;&gt;"",VLOOKUP(L1516,Categories!$B$2:$D$41,2,FALSE),IF(F1516&lt;&gt;"","No Cat",""))</f>
        <v>Rate Base</v>
      </c>
      <c r="O1516" s="25" t="str">
        <f>IF($L1516&lt;&gt;"",VLOOKUP($L1516,Categories!$B$2:$D$41,3,FALSE),IF($F1516&lt;&gt;"","No Cat",""))</f>
        <v>Deferred Income Taxes</v>
      </c>
      <c r="P1516" s="736" t="s">
        <v>2482</v>
      </c>
      <c r="Q1516" s="25" t="str">
        <f>VLOOKUP($P1516,Allocators!$B$7:$F$19,5,FALSE)</f>
        <v>Electric</v>
      </c>
      <c r="R1516" s="737">
        <f>VLOOKUP($P1516,Allocators!$B$7:$F$19,2,FALSE)</f>
        <v>1</v>
      </c>
      <c r="S1516" s="737">
        <f>VLOOKUP($P1516,Allocators!$B$7:$F$19,3,FALSE)</f>
        <v>0</v>
      </c>
      <c r="T1516" s="737" t="str">
        <f t="shared" si="725"/>
        <v>0.0%</v>
      </c>
      <c r="U1516" s="2">
        <f t="shared" si="715"/>
        <v>-6.6529499999999997</v>
      </c>
      <c r="V1516" s="2">
        <f t="shared" si="716"/>
        <v>0</v>
      </c>
      <c r="W1516" s="2">
        <f t="shared" si="717"/>
        <v>0</v>
      </c>
      <c r="X1516" s="2">
        <f t="shared" si="707"/>
        <v>-6.6529499999999997</v>
      </c>
      <c r="Y1516" s="2">
        <f t="shared" si="718"/>
        <v>-6.6529499999999997</v>
      </c>
      <c r="Z1516" s="2">
        <f t="shared" si="719"/>
        <v>0</v>
      </c>
      <c r="AA1516" s="2">
        <f t="shared" si="720"/>
        <v>0</v>
      </c>
      <c r="AB1516" s="2">
        <f t="shared" si="708"/>
        <v>-6.6529499999999997</v>
      </c>
      <c r="AC1516" s="625">
        <v>-6.6529499999999997</v>
      </c>
      <c r="AD1516" s="625">
        <v>-6.6529499999999997</v>
      </c>
      <c r="AE1516" s="625">
        <v>-6.6529499999999997</v>
      </c>
      <c r="AF1516" s="625">
        <v>-6.6529499999999997</v>
      </c>
      <c r="AG1516" s="625">
        <v>-6.6529499999999997</v>
      </c>
      <c r="AH1516" s="625">
        <v>-6.6529499999999997</v>
      </c>
      <c r="AI1516" s="625">
        <v>-6.6529499999999997</v>
      </c>
      <c r="AJ1516" s="625">
        <v>-6.6529499999999997</v>
      </c>
      <c r="AK1516" s="625">
        <v>-6.6529499999999997</v>
      </c>
      <c r="AL1516" s="625">
        <v>-6.6529499999999997</v>
      </c>
      <c r="AM1516" s="625">
        <v>-6.6529499999999997</v>
      </c>
      <c r="AN1516" s="625">
        <v>-6.6529499999999997</v>
      </c>
      <c r="AO1516" s="625">
        <v>-6.6529499999999997</v>
      </c>
      <c r="AP1516" s="41" t="str">
        <f t="shared" si="702"/>
        <v>Def TaxR</v>
      </c>
      <c r="AQ1516" s="41" t="str">
        <f t="shared" si="703"/>
        <v>Def TaxRR11Revolver Facility</v>
      </c>
      <c r="AR1516" s="41" t="str">
        <f t="shared" si="704"/>
        <v>R11Revolver Facility</v>
      </c>
    </row>
    <row r="1517" spans="1:44" s="41" customFormat="1" ht="12.75" customHeight="1">
      <c r="A1517" s="25" t="s">
        <v>1590</v>
      </c>
      <c r="B1517" s="25" t="str">
        <f t="shared" si="714"/>
        <v>Def Tax190011190-019BT010208</v>
      </c>
      <c r="C1517" s="736">
        <v>190011</v>
      </c>
      <c r="D1517" s="735" t="s">
        <v>1695</v>
      </c>
      <c r="E1517" s="41" t="s">
        <v>1696</v>
      </c>
      <c r="F1517" s="41" t="str">
        <f t="shared" si="705"/>
        <v>ACCUM DEFERRED INC TAXES - STATE - ELECTRIC</v>
      </c>
      <c r="G1517" s="41" t="s">
        <v>1697</v>
      </c>
      <c r="H1517" s="736" t="s">
        <v>1698</v>
      </c>
      <c r="I1517" s="25"/>
      <c r="J1517" s="25" t="str">
        <f t="shared" si="706"/>
        <v/>
      </c>
      <c r="K1517" s="442" t="str">
        <f t="shared" si="711"/>
        <v/>
      </c>
      <c r="L1517" s="736" t="s">
        <v>2443</v>
      </c>
      <c r="M1517" s="25" t="str">
        <f t="shared" si="701"/>
        <v>R</v>
      </c>
      <c r="N1517" s="25" t="str">
        <f>IF(L1517&lt;&gt;"",VLOOKUP(L1517,Categories!$B$2:$D$41,2,FALSE),IF(F1517&lt;&gt;"","No Cat",""))</f>
        <v>Rate Base</v>
      </c>
      <c r="O1517" s="25" t="str">
        <f>IF($L1517&lt;&gt;"",VLOOKUP($L1517,Categories!$B$2:$D$41,3,FALSE),IF($F1517&lt;&gt;"","No Cat",""))</f>
        <v>Deferred Income Taxes</v>
      </c>
      <c r="P1517" s="736" t="s">
        <v>2482</v>
      </c>
      <c r="Q1517" s="25" t="str">
        <f>VLOOKUP($P1517,Allocators!$B$7:$F$19,5,FALSE)</f>
        <v>Electric</v>
      </c>
      <c r="R1517" s="737">
        <f>VLOOKUP($P1517,Allocators!$B$7:$F$19,2,FALSE)</f>
        <v>1</v>
      </c>
      <c r="S1517" s="737">
        <f>VLOOKUP($P1517,Allocators!$B$7:$F$19,3,FALSE)</f>
        <v>0</v>
      </c>
      <c r="T1517" s="737" t="str">
        <f t="shared" si="725"/>
        <v>0.0%</v>
      </c>
      <c r="U1517" s="2" t="str">
        <f t="shared" si="715"/>
        <v/>
      </c>
      <c r="V1517" s="2" t="str">
        <f t="shared" si="716"/>
        <v/>
      </c>
      <c r="W1517" s="2" t="str">
        <f t="shared" si="717"/>
        <v/>
      </c>
      <c r="X1517" s="2">
        <f t="shared" si="707"/>
        <v>0</v>
      </c>
      <c r="Y1517" s="2" t="str">
        <f t="shared" si="718"/>
        <v/>
      </c>
      <c r="Z1517" s="2" t="str">
        <f t="shared" si="719"/>
        <v/>
      </c>
      <c r="AA1517" s="2" t="str">
        <f t="shared" si="720"/>
        <v/>
      </c>
      <c r="AB1517" s="2">
        <f t="shared" si="708"/>
        <v>0</v>
      </c>
      <c r="AC1517" s="625">
        <v>0</v>
      </c>
      <c r="AD1517" s="625">
        <v>0</v>
      </c>
      <c r="AE1517" s="625">
        <v>0</v>
      </c>
      <c r="AF1517" s="625">
        <v>0</v>
      </c>
      <c r="AG1517" s="625">
        <v>0</v>
      </c>
      <c r="AH1517" s="625">
        <v>0</v>
      </c>
      <c r="AI1517" s="625">
        <v>0</v>
      </c>
      <c r="AJ1517" s="625">
        <v>0</v>
      </c>
      <c r="AK1517" s="625">
        <v>0</v>
      </c>
      <c r="AL1517" s="625">
        <v>0</v>
      </c>
      <c r="AM1517" s="625">
        <v>0</v>
      </c>
      <c r="AN1517" s="625">
        <v>0</v>
      </c>
      <c r="AO1517" s="625">
        <v>0</v>
      </c>
      <c r="AP1517" s="41" t="str">
        <f t="shared" si="702"/>
        <v>Def TaxR</v>
      </c>
      <c r="AQ1517" s="41" t="str">
        <f t="shared" si="703"/>
        <v>Def TaxRR11Separation Accrual</v>
      </c>
      <c r="AR1517" s="41" t="str">
        <f t="shared" si="704"/>
        <v>R11Separation Accrual</v>
      </c>
    </row>
    <row r="1518" spans="1:44" s="41" customFormat="1" ht="12.75" customHeight="1">
      <c r="A1518" s="442" t="s">
        <v>1590</v>
      </c>
      <c r="B1518" s="442" t="str">
        <f t="shared" si="714"/>
        <v>Def Tax190011190-105BT010195</v>
      </c>
      <c r="C1518" s="736">
        <v>190011</v>
      </c>
      <c r="D1518" s="735" t="s">
        <v>1699</v>
      </c>
      <c r="E1518" s="626" t="s">
        <v>1700</v>
      </c>
      <c r="F1518" s="626" t="str">
        <f t="shared" si="705"/>
        <v>ACCUM DEFERRED INC TAXES - STATE - ELECTRIC</v>
      </c>
      <c r="G1518" s="626" t="s">
        <v>1701</v>
      </c>
      <c r="H1518" s="736" t="s">
        <v>810</v>
      </c>
      <c r="I1518" s="442"/>
      <c r="J1518" s="442" t="str">
        <f t="shared" si="706"/>
        <v/>
      </c>
      <c r="K1518" s="442" t="str">
        <f t="shared" si="711"/>
        <v/>
      </c>
      <c r="L1518" s="736" t="s">
        <v>2421</v>
      </c>
      <c r="M1518" s="442" t="str">
        <f t="shared" si="701"/>
        <v>N</v>
      </c>
      <c r="N1518" s="442" t="str">
        <f>IF(L1518&lt;&gt;"",VLOOKUP(L1518,Categories!$B$2:$D$41,2,FALSE),IF(F1518&lt;&gt;"","No Cat",""))</f>
        <v>NRBASE</v>
      </c>
      <c r="O1518" s="442" t="str">
        <f>IF($L1518&lt;&gt;"",VLOOKUP($L1518,Categories!$B$2:$D$41,3,FALSE),IF($F1518&lt;&gt;"","No Cat",""))</f>
        <v>Direct Assign Items Not in RB</v>
      </c>
      <c r="P1518" s="736" t="s">
        <v>2468</v>
      </c>
      <c r="Q1518" s="442" t="str">
        <f>VLOOKUP($P1518,Allocators!$B$7:$F$19,5,FALSE)</f>
        <v>Not in Rate Base</v>
      </c>
      <c r="R1518" s="737">
        <f>VLOOKUP($P1518,Allocators!$B$7:$F$19,2,FALSE)</f>
        <v>0</v>
      </c>
      <c r="S1518" s="737">
        <f>VLOOKUP($P1518,Allocators!$B$7:$F$19,3,FALSE)</f>
        <v>0</v>
      </c>
      <c r="T1518" s="737">
        <f t="shared" si="725"/>
        <v>1</v>
      </c>
      <c r="U1518" s="2" t="str">
        <f t="shared" si="715"/>
        <v/>
      </c>
      <c r="V1518" s="2" t="str">
        <f t="shared" si="716"/>
        <v/>
      </c>
      <c r="W1518" s="2" t="str">
        <f t="shared" si="717"/>
        <v/>
      </c>
      <c r="X1518" s="2">
        <f t="shared" si="707"/>
        <v>0</v>
      </c>
      <c r="Y1518" s="2" t="str">
        <f t="shared" si="718"/>
        <v/>
      </c>
      <c r="Z1518" s="2" t="str">
        <f t="shared" si="719"/>
        <v/>
      </c>
      <c r="AA1518" s="2" t="str">
        <f t="shared" si="720"/>
        <v/>
      </c>
      <c r="AB1518" s="2">
        <f t="shared" si="708"/>
        <v>0</v>
      </c>
      <c r="AC1518" s="625">
        <v>0</v>
      </c>
      <c r="AD1518" s="625">
        <v>0</v>
      </c>
      <c r="AE1518" s="625">
        <v>0</v>
      </c>
      <c r="AF1518" s="625">
        <v>0</v>
      </c>
      <c r="AG1518" s="625">
        <v>0</v>
      </c>
      <c r="AH1518" s="625">
        <v>0</v>
      </c>
      <c r="AI1518" s="625">
        <v>0</v>
      </c>
      <c r="AJ1518" s="625">
        <v>0</v>
      </c>
      <c r="AK1518" s="625">
        <v>0</v>
      </c>
      <c r="AL1518" s="625">
        <v>0</v>
      </c>
      <c r="AM1518" s="625">
        <v>0</v>
      </c>
      <c r="AN1518" s="625">
        <v>0</v>
      </c>
      <c r="AO1518" s="625">
        <v>0</v>
      </c>
      <c r="AP1518" s="41" t="str">
        <f t="shared" si="702"/>
        <v>Def TaxN</v>
      </c>
      <c r="AQ1518" s="41" t="str">
        <f t="shared" si="703"/>
        <v>Def TaxNN2SERP</v>
      </c>
      <c r="AR1518" s="41" t="str">
        <f t="shared" si="704"/>
        <v>N2SERP</v>
      </c>
    </row>
    <row r="1519" spans="1:44" s="41" customFormat="1" ht="12.75" customHeight="1">
      <c r="A1519" s="442" t="s">
        <v>1590</v>
      </c>
      <c r="B1519" s="442" t="str">
        <f t="shared" si="714"/>
        <v>Def Tax190011Severance-StateBT010211</v>
      </c>
      <c r="C1519" s="736">
        <v>190011</v>
      </c>
      <c r="D1519" s="735" t="s">
        <v>1702</v>
      </c>
      <c r="E1519" s="626" t="s">
        <v>1703</v>
      </c>
      <c r="F1519" s="626" t="str">
        <f t="shared" si="705"/>
        <v>ACCUM DEFERRED INC TAXES - STATE - ELECTRIC</v>
      </c>
      <c r="G1519" s="626" t="s">
        <v>1704</v>
      </c>
      <c r="H1519" s="736" t="s">
        <v>1705</v>
      </c>
      <c r="I1519" s="442"/>
      <c r="J1519" s="442" t="str">
        <f t="shared" si="706"/>
        <v/>
      </c>
      <c r="K1519" s="442" t="str">
        <f t="shared" si="711"/>
        <v/>
      </c>
      <c r="L1519" s="736" t="s">
        <v>2421</v>
      </c>
      <c r="M1519" s="442" t="str">
        <f t="shared" si="701"/>
        <v>N</v>
      </c>
      <c r="N1519" s="442" t="str">
        <f>IF(L1519&lt;&gt;"",VLOOKUP(L1519,Categories!$B$2:$D$41,2,FALSE),IF(F1519&lt;&gt;"","No Cat",""))</f>
        <v>NRBASE</v>
      </c>
      <c r="O1519" s="442" t="str">
        <f>IF($L1519&lt;&gt;"",VLOOKUP($L1519,Categories!$B$2:$D$41,3,FALSE),IF($F1519&lt;&gt;"","No Cat",""))</f>
        <v>Direct Assign Items Not in RB</v>
      </c>
      <c r="P1519" s="736" t="s">
        <v>2468</v>
      </c>
      <c r="Q1519" s="442" t="str">
        <f>VLOOKUP($P1519,Allocators!$B$7:$F$19,5,FALSE)</f>
        <v>Not in Rate Base</v>
      </c>
      <c r="R1519" s="737">
        <f>VLOOKUP($P1519,Allocators!$B$7:$F$19,2,FALSE)</f>
        <v>0</v>
      </c>
      <c r="S1519" s="737">
        <f>VLOOKUP($P1519,Allocators!$B$7:$F$19,3,FALSE)</f>
        <v>0</v>
      </c>
      <c r="T1519" s="737">
        <f t="shared" si="725"/>
        <v>1</v>
      </c>
      <c r="U1519" s="2" t="str">
        <f t="shared" si="715"/>
        <v/>
      </c>
      <c r="V1519" s="2" t="str">
        <f t="shared" si="716"/>
        <v/>
      </c>
      <c r="W1519" s="2" t="str">
        <f t="shared" si="717"/>
        <v/>
      </c>
      <c r="X1519" s="2">
        <f t="shared" si="707"/>
        <v>0</v>
      </c>
      <c r="Y1519" s="2" t="str">
        <f t="shared" si="718"/>
        <v/>
      </c>
      <c r="Z1519" s="2" t="str">
        <f t="shared" si="719"/>
        <v/>
      </c>
      <c r="AA1519" s="2" t="str">
        <f t="shared" si="720"/>
        <v/>
      </c>
      <c r="AB1519" s="2">
        <f t="shared" si="708"/>
        <v>0</v>
      </c>
      <c r="AC1519" s="625">
        <v>0</v>
      </c>
      <c r="AD1519" s="625">
        <v>0</v>
      </c>
      <c r="AE1519" s="625">
        <v>0</v>
      </c>
      <c r="AF1519" s="625">
        <v>0</v>
      </c>
      <c r="AG1519" s="625">
        <v>0</v>
      </c>
      <c r="AH1519" s="625">
        <v>0</v>
      </c>
      <c r="AI1519" s="625">
        <v>0</v>
      </c>
      <c r="AJ1519" s="625">
        <v>0</v>
      </c>
      <c r="AK1519" s="625">
        <v>0</v>
      </c>
      <c r="AL1519" s="625">
        <v>0</v>
      </c>
      <c r="AM1519" s="625">
        <v>0</v>
      </c>
      <c r="AN1519" s="625">
        <v>0</v>
      </c>
      <c r="AO1519" s="625">
        <v>0</v>
      </c>
      <c r="AP1519" s="41" t="str">
        <f t="shared" si="702"/>
        <v>Def TaxN</v>
      </c>
      <c r="AQ1519" s="41" t="str">
        <f t="shared" si="703"/>
        <v>Def TaxNN2Iberdrola Merger Severance</v>
      </c>
      <c r="AR1519" s="41" t="str">
        <f t="shared" si="704"/>
        <v>N2Iberdrola Merger Severance</v>
      </c>
    </row>
    <row r="1520" spans="1:44" s="41" customFormat="1" ht="12.75" customHeight="1">
      <c r="A1520" s="25" t="s">
        <v>1590</v>
      </c>
      <c r="B1520" s="25" t="str">
        <f t="shared" si="714"/>
        <v>Def Tax190011283-026BT010071</v>
      </c>
      <c r="C1520" s="736">
        <v>190011</v>
      </c>
      <c r="D1520" s="735" t="s">
        <v>1706</v>
      </c>
      <c r="E1520" s="41" t="s">
        <v>1707</v>
      </c>
      <c r="F1520" s="41" t="str">
        <f t="shared" si="705"/>
        <v>ACCUM DEFERRED INC TAXES - STATE - ELECTRIC</v>
      </c>
      <c r="G1520" s="41" t="s">
        <v>1708</v>
      </c>
      <c r="H1520" s="736" t="s">
        <v>1134</v>
      </c>
      <c r="I1520" s="25"/>
      <c r="J1520" s="25" t="str">
        <f t="shared" si="706"/>
        <v/>
      </c>
      <c r="K1520" s="442" t="str">
        <f t="shared" si="711"/>
        <v/>
      </c>
      <c r="L1520" s="736" t="s">
        <v>2421</v>
      </c>
      <c r="M1520" s="25" t="str">
        <f t="shared" si="701"/>
        <v>N</v>
      </c>
      <c r="N1520" s="25" t="str">
        <f>IF(L1520&lt;&gt;"",VLOOKUP(L1520,Categories!$B$2:$D$41,2,FALSE),IF(F1520&lt;&gt;"","No Cat",""))</f>
        <v>NRBASE</v>
      </c>
      <c r="O1520" s="25" t="str">
        <f>IF($L1520&lt;&gt;"",VLOOKUP($L1520,Categories!$B$2:$D$41,3,FALSE),IF($F1520&lt;&gt;"","No Cat",""))</f>
        <v>Direct Assign Items Not in RB</v>
      </c>
      <c r="P1520" s="736" t="s">
        <v>2468</v>
      </c>
      <c r="Q1520" s="25" t="str">
        <f>VLOOKUP($P1520,Allocators!$B$7:$F$19,5,FALSE)</f>
        <v>Not in Rate Base</v>
      </c>
      <c r="R1520" s="737">
        <f>VLOOKUP($P1520,Allocators!$B$7:$F$19,2,FALSE)</f>
        <v>0</v>
      </c>
      <c r="S1520" s="737">
        <f>VLOOKUP($P1520,Allocators!$B$7:$F$19,3,FALSE)</f>
        <v>0</v>
      </c>
      <c r="T1520" s="737">
        <f t="shared" si="725"/>
        <v>1</v>
      </c>
      <c r="U1520" s="2">
        <f t="shared" si="715"/>
        <v>0</v>
      </c>
      <c r="V1520" s="2">
        <f t="shared" si="716"/>
        <v>0</v>
      </c>
      <c r="W1520" s="2">
        <f t="shared" si="717"/>
        <v>4378.20386375</v>
      </c>
      <c r="X1520" s="2">
        <f t="shared" si="707"/>
        <v>4378.20386375</v>
      </c>
      <c r="Y1520" s="2">
        <f t="shared" si="718"/>
        <v>0</v>
      </c>
      <c r="Z1520" s="2">
        <f t="shared" si="719"/>
        <v>0</v>
      </c>
      <c r="AA1520" s="2">
        <f t="shared" si="720"/>
        <v>6089.0767400000004</v>
      </c>
      <c r="AB1520" s="2">
        <f t="shared" si="708"/>
        <v>6089.0767400000004</v>
      </c>
      <c r="AC1520" s="625">
        <v>4113.3258100000003</v>
      </c>
      <c r="AD1520" s="625">
        <v>4113.3258100000003</v>
      </c>
      <c r="AE1520" s="625">
        <v>4113.3258100000003</v>
      </c>
      <c r="AF1520" s="625">
        <v>4113.3258100000003</v>
      </c>
      <c r="AG1520" s="625">
        <v>4092.3616000000002</v>
      </c>
      <c r="AH1520" s="625">
        <v>4064.9449599999998</v>
      </c>
      <c r="AI1520" s="625">
        <v>4064.9449599999998</v>
      </c>
      <c r="AJ1520" s="625">
        <v>4064.9449599999998</v>
      </c>
      <c r="AK1520" s="625">
        <v>4064.9449599999998</v>
      </c>
      <c r="AL1520" s="625">
        <v>4330.3322400000006</v>
      </c>
      <c r="AM1520" s="625">
        <v>4330.3322400000006</v>
      </c>
      <c r="AN1520" s="625">
        <v>6084.4617400000006</v>
      </c>
      <c r="AO1520" s="625">
        <v>6089.0767400000004</v>
      </c>
      <c r="AP1520" s="41" t="str">
        <f t="shared" si="702"/>
        <v>Def TaxN</v>
      </c>
      <c r="AQ1520" s="41" t="str">
        <f t="shared" si="703"/>
        <v>Def TaxNN2Environmental</v>
      </c>
      <c r="AR1520" s="41" t="str">
        <f t="shared" si="704"/>
        <v>N2Environmental</v>
      </c>
    </row>
    <row r="1521" spans="1:44" s="41" customFormat="1" ht="12.75" customHeight="1">
      <c r="A1521" s="25" t="s">
        <v>1590</v>
      </c>
      <c r="B1521" s="25" t="str">
        <f t="shared" si="714"/>
        <v>Def Tax190011190-090/
190-090ABT010220</v>
      </c>
      <c r="C1521" s="736">
        <v>190011</v>
      </c>
      <c r="D1521" s="735" t="s">
        <v>1860</v>
      </c>
      <c r="E1521" s="41" t="s">
        <v>1710</v>
      </c>
      <c r="F1521" s="41" t="str">
        <f t="shared" si="705"/>
        <v>ACCUM DEFERRED INC TAXES - STATE - ELECTRIC</v>
      </c>
      <c r="G1521" s="41" t="s">
        <v>1711</v>
      </c>
      <c r="H1521" s="736" t="s">
        <v>1712</v>
      </c>
      <c r="I1521" s="25"/>
      <c r="J1521" s="25" t="str">
        <f t="shared" si="706"/>
        <v/>
      </c>
      <c r="K1521" s="442" t="str">
        <f t="shared" si="711"/>
        <v/>
      </c>
      <c r="L1521" s="736" t="s">
        <v>2443</v>
      </c>
      <c r="M1521" s="25" t="str">
        <f t="shared" si="701"/>
        <v>R</v>
      </c>
      <c r="N1521" s="25" t="str">
        <f>IF(L1521&lt;&gt;"",VLOOKUP(L1521,Categories!$B$2:$D$41,2,FALSE),IF(F1521&lt;&gt;"","No Cat",""))</f>
        <v>Rate Base</v>
      </c>
      <c r="O1521" s="25" t="str">
        <f>IF($L1521&lt;&gt;"",VLOOKUP($L1521,Categories!$B$2:$D$41,3,FALSE),IF($F1521&lt;&gt;"","No Cat",""))</f>
        <v>Deferred Income Taxes</v>
      </c>
      <c r="P1521" s="736" t="s">
        <v>2482</v>
      </c>
      <c r="Q1521" s="25" t="str">
        <f>VLOOKUP($P1521,Allocators!$B$7:$F$19,5,FALSE)</f>
        <v>Electric</v>
      </c>
      <c r="R1521" s="737">
        <f>VLOOKUP($P1521,Allocators!$B$7:$F$19,2,FALSE)</f>
        <v>1</v>
      </c>
      <c r="S1521" s="737">
        <f>VLOOKUP($P1521,Allocators!$B$7:$F$19,3,FALSE)</f>
        <v>0</v>
      </c>
      <c r="T1521" s="737" t="str">
        <f t="shared" si="725"/>
        <v>0.0%</v>
      </c>
      <c r="U1521" s="2" t="str">
        <f t="shared" si="715"/>
        <v/>
      </c>
      <c r="V1521" s="2" t="str">
        <f t="shared" si="716"/>
        <v/>
      </c>
      <c r="W1521" s="2" t="str">
        <f t="shared" si="717"/>
        <v/>
      </c>
      <c r="X1521" s="2">
        <f t="shared" si="707"/>
        <v>0</v>
      </c>
      <c r="Y1521" s="2" t="str">
        <f t="shared" si="718"/>
        <v/>
      </c>
      <c r="Z1521" s="2" t="str">
        <f t="shared" si="719"/>
        <v/>
      </c>
      <c r="AA1521" s="2" t="str">
        <f t="shared" si="720"/>
        <v/>
      </c>
      <c r="AB1521" s="2">
        <f t="shared" si="708"/>
        <v>0</v>
      </c>
      <c r="AC1521" s="625">
        <v>0</v>
      </c>
      <c r="AD1521" s="625">
        <v>0</v>
      </c>
      <c r="AE1521" s="625">
        <v>0</v>
      </c>
      <c r="AF1521" s="625">
        <v>0</v>
      </c>
      <c r="AG1521" s="625">
        <v>0</v>
      </c>
      <c r="AH1521" s="625">
        <v>0</v>
      </c>
      <c r="AI1521" s="625">
        <v>0</v>
      </c>
      <c r="AJ1521" s="625">
        <v>0</v>
      </c>
      <c r="AK1521" s="625">
        <v>0</v>
      </c>
      <c r="AL1521" s="625">
        <v>0</v>
      </c>
      <c r="AM1521" s="625">
        <v>0</v>
      </c>
      <c r="AN1521" s="625">
        <v>0</v>
      </c>
      <c r="AO1521" s="625">
        <v>0</v>
      </c>
      <c r="AP1521" s="41" t="str">
        <f t="shared" si="702"/>
        <v>Def TaxR</v>
      </c>
      <c r="AQ1521" s="41" t="str">
        <f t="shared" si="703"/>
        <v>Def TaxRR11Stock Options</v>
      </c>
      <c r="AR1521" s="41" t="str">
        <f t="shared" si="704"/>
        <v>R11Stock Options</v>
      </c>
    </row>
    <row r="1522" spans="1:44" s="41" customFormat="1" ht="12.75" customHeight="1">
      <c r="A1522" s="25" t="s">
        <v>1590</v>
      </c>
      <c r="B1522" s="25" t="str">
        <f t="shared" si="714"/>
        <v>Def Tax190011190-90A</v>
      </c>
      <c r="C1522" s="736">
        <v>190011</v>
      </c>
      <c r="D1522" s="735" t="s">
        <v>1766</v>
      </c>
      <c r="F1522" s="41" t="str">
        <f t="shared" si="705"/>
        <v>ACCUM DEFERRED INC TAXES - STATE - ELECTRIC</v>
      </c>
      <c r="G1522" s="41" t="s">
        <v>1767</v>
      </c>
      <c r="H1522" s="736" t="s">
        <v>1712</v>
      </c>
      <c r="I1522" s="25"/>
      <c r="J1522" s="25" t="str">
        <f t="shared" si="706"/>
        <v/>
      </c>
      <c r="K1522" s="442" t="str">
        <f t="shared" si="711"/>
        <v/>
      </c>
      <c r="L1522" s="736" t="s">
        <v>2443</v>
      </c>
      <c r="M1522" s="25" t="str">
        <f t="shared" si="701"/>
        <v>R</v>
      </c>
      <c r="N1522" s="25" t="str">
        <f>IF(L1522&lt;&gt;"",VLOOKUP(L1522,Categories!$B$2:$D$41,2,FALSE),IF(F1522&lt;&gt;"","No Cat",""))</f>
        <v>Rate Base</v>
      </c>
      <c r="O1522" s="25" t="str">
        <f>IF($L1522&lt;&gt;"",VLOOKUP($L1522,Categories!$B$2:$D$41,3,FALSE),IF($F1522&lt;&gt;"","No Cat",""))</f>
        <v>Deferred Income Taxes</v>
      </c>
      <c r="P1522" s="736" t="s">
        <v>2482</v>
      </c>
      <c r="Q1522" s="25" t="str">
        <f>VLOOKUP($P1522,Allocators!$B$7:$F$19,5,FALSE)</f>
        <v>Electric</v>
      </c>
      <c r="R1522" s="737">
        <f>VLOOKUP($P1522,Allocators!$B$7:$F$19,2,FALSE)</f>
        <v>1</v>
      </c>
      <c r="S1522" s="737">
        <f>VLOOKUP($P1522,Allocators!$B$7:$F$19,3,FALSE)</f>
        <v>0</v>
      </c>
      <c r="T1522" s="737" t="str">
        <f t="shared" si="725"/>
        <v>0.0%</v>
      </c>
      <c r="U1522" s="2" t="str">
        <f t="shared" si="715"/>
        <v/>
      </c>
      <c r="V1522" s="2" t="str">
        <f t="shared" si="716"/>
        <v/>
      </c>
      <c r="W1522" s="2" t="str">
        <f t="shared" si="717"/>
        <v/>
      </c>
      <c r="X1522" s="2">
        <f t="shared" si="707"/>
        <v>0</v>
      </c>
      <c r="Y1522" s="2" t="str">
        <f t="shared" si="718"/>
        <v/>
      </c>
      <c r="Z1522" s="2" t="str">
        <f t="shared" si="719"/>
        <v/>
      </c>
      <c r="AA1522" s="2" t="str">
        <f t="shared" si="720"/>
        <v/>
      </c>
      <c r="AB1522" s="2">
        <f t="shared" si="708"/>
        <v>0</v>
      </c>
      <c r="AC1522" s="625">
        <v>0</v>
      </c>
      <c r="AD1522" s="625">
        <v>0</v>
      </c>
      <c r="AE1522" s="625">
        <v>0</v>
      </c>
      <c r="AF1522" s="625">
        <v>0</v>
      </c>
      <c r="AG1522" s="625">
        <v>0</v>
      </c>
      <c r="AH1522" s="625">
        <v>0</v>
      </c>
      <c r="AI1522" s="625">
        <v>0</v>
      </c>
      <c r="AJ1522" s="625">
        <v>0</v>
      </c>
      <c r="AK1522" s="625">
        <v>0</v>
      </c>
      <c r="AL1522" s="625">
        <v>0</v>
      </c>
      <c r="AM1522" s="625">
        <v>0</v>
      </c>
      <c r="AN1522" s="625">
        <v>0</v>
      </c>
      <c r="AO1522" s="625">
        <v>0</v>
      </c>
      <c r="AP1522" s="41" t="str">
        <f t="shared" si="702"/>
        <v>Def TaxR</v>
      </c>
      <c r="AQ1522" s="41" t="str">
        <f t="shared" si="703"/>
        <v>Def TaxRR11Stock Options</v>
      </c>
      <c r="AR1522" s="41" t="str">
        <f t="shared" si="704"/>
        <v>R11Stock Options</v>
      </c>
    </row>
    <row r="1523" spans="1:44" s="41" customFormat="1" ht="12.75" customHeight="1">
      <c r="A1523" s="25" t="s">
        <v>1590</v>
      </c>
      <c r="B1523" s="25" t="str">
        <f t="shared" si="714"/>
        <v>Def Tax190011190-103BT010239</v>
      </c>
      <c r="C1523" s="736">
        <v>190011</v>
      </c>
      <c r="D1523" s="735" t="s">
        <v>1713</v>
      </c>
      <c r="E1523" s="41" t="s">
        <v>1714</v>
      </c>
      <c r="F1523" s="41" t="str">
        <f t="shared" si="705"/>
        <v>ACCUM DEFERRED INC TAXES - STATE - ELECTRIC</v>
      </c>
      <c r="G1523" s="41" t="s">
        <v>1715</v>
      </c>
      <c r="H1523" s="736" t="s">
        <v>1716</v>
      </c>
      <c r="I1523" s="25"/>
      <c r="J1523" s="25" t="str">
        <f t="shared" si="706"/>
        <v/>
      </c>
      <c r="K1523" s="442" t="str">
        <f t="shared" si="711"/>
        <v/>
      </c>
      <c r="L1523" s="736" t="s">
        <v>2443</v>
      </c>
      <c r="M1523" s="25" t="str">
        <f t="shared" si="701"/>
        <v>R</v>
      </c>
      <c r="N1523" s="25" t="str">
        <f>IF(L1523&lt;&gt;"",VLOOKUP(L1523,Categories!$B$2:$D$41,2,FALSE),IF(F1523&lt;&gt;"","No Cat",""))</f>
        <v>Rate Base</v>
      </c>
      <c r="O1523" s="25" t="str">
        <f>IF($L1523&lt;&gt;"",VLOOKUP($L1523,Categories!$B$2:$D$41,3,FALSE),IF($F1523&lt;&gt;"","No Cat",""))</f>
        <v>Deferred Income Taxes</v>
      </c>
      <c r="P1523" s="736" t="s">
        <v>2482</v>
      </c>
      <c r="Q1523" s="25" t="str">
        <f>VLOOKUP($P1523,Allocators!$B$7:$F$19,5,FALSE)</f>
        <v>Electric</v>
      </c>
      <c r="R1523" s="737">
        <f>VLOOKUP($P1523,Allocators!$B$7:$F$19,2,FALSE)</f>
        <v>1</v>
      </c>
      <c r="S1523" s="737">
        <f>VLOOKUP($P1523,Allocators!$B$7:$F$19,3,FALSE)</f>
        <v>0</v>
      </c>
      <c r="T1523" s="737" t="str">
        <f t="shared" si="725"/>
        <v>0.0%</v>
      </c>
      <c r="U1523" s="2">
        <f t="shared" si="715"/>
        <v>-2.9999999999999997E-4</v>
      </c>
      <c r="V1523" s="2">
        <f t="shared" si="716"/>
        <v>0</v>
      </c>
      <c r="W1523" s="2">
        <f t="shared" si="717"/>
        <v>0</v>
      </c>
      <c r="X1523" s="2">
        <f t="shared" si="707"/>
        <v>-2.9999999999999997E-4</v>
      </c>
      <c r="Y1523" s="2">
        <f t="shared" si="718"/>
        <v>-2.9999999999999997E-4</v>
      </c>
      <c r="Z1523" s="2">
        <f t="shared" si="719"/>
        <v>0</v>
      </c>
      <c r="AA1523" s="2">
        <f t="shared" si="720"/>
        <v>0</v>
      </c>
      <c r="AB1523" s="2">
        <f t="shared" si="708"/>
        <v>-2.9999999999999997E-4</v>
      </c>
      <c r="AC1523" s="625">
        <v>-2.9999999999999997E-4</v>
      </c>
      <c r="AD1523" s="625">
        <v>-2.9999999999999997E-4</v>
      </c>
      <c r="AE1523" s="625">
        <v>-2.9999999999999997E-4</v>
      </c>
      <c r="AF1523" s="625">
        <v>-2.9999999999999997E-4</v>
      </c>
      <c r="AG1523" s="625">
        <v>-2.9999999999999997E-4</v>
      </c>
      <c r="AH1523" s="625">
        <v>-2.9999999999999997E-4</v>
      </c>
      <c r="AI1523" s="625">
        <v>-2.9999999999999997E-4</v>
      </c>
      <c r="AJ1523" s="625">
        <v>-2.9999999999999997E-4</v>
      </c>
      <c r="AK1523" s="625">
        <v>-2.9999999999999997E-4</v>
      </c>
      <c r="AL1523" s="625">
        <v>-2.9999999999999997E-4</v>
      </c>
      <c r="AM1523" s="625">
        <v>-2.9999999999999997E-4</v>
      </c>
      <c r="AN1523" s="625">
        <v>-2.9999999999999997E-4</v>
      </c>
      <c r="AO1523" s="625">
        <v>-2.9999999999999997E-4</v>
      </c>
      <c r="AP1523" s="41" t="str">
        <f t="shared" si="702"/>
        <v>Def TaxR</v>
      </c>
      <c r="AQ1523" s="41" t="str">
        <f t="shared" si="703"/>
        <v>Def TaxRR11Use Tax Audit</v>
      </c>
      <c r="AR1523" s="41" t="str">
        <f t="shared" si="704"/>
        <v>R11Use Tax Audit</v>
      </c>
    </row>
    <row r="1524" spans="1:44" s="41" customFormat="1" ht="12.75" customHeight="1">
      <c r="A1524" s="25" t="s">
        <v>1590</v>
      </c>
      <c r="B1524" s="25" t="str">
        <f t="shared" si="714"/>
        <v>Def Tax190011190-056BT010242</v>
      </c>
      <c r="C1524" s="736">
        <v>190011</v>
      </c>
      <c r="D1524" s="735" t="s">
        <v>1717</v>
      </c>
      <c r="E1524" s="41" t="s">
        <v>1718</v>
      </c>
      <c r="F1524" s="41" t="str">
        <f t="shared" si="705"/>
        <v>ACCUM DEFERRED INC TAXES - STATE - ELECTRIC</v>
      </c>
      <c r="G1524" s="41" t="s">
        <v>1719</v>
      </c>
      <c r="H1524" s="736" t="s">
        <v>1720</v>
      </c>
      <c r="I1524" s="25"/>
      <c r="J1524" s="25" t="str">
        <f t="shared" si="706"/>
        <v/>
      </c>
      <c r="K1524" s="442" t="str">
        <f t="shared" si="711"/>
        <v/>
      </c>
      <c r="L1524" s="736" t="s">
        <v>2443</v>
      </c>
      <c r="M1524" s="25" t="str">
        <f t="shared" si="701"/>
        <v>R</v>
      </c>
      <c r="N1524" s="25" t="str">
        <f>IF(L1524&lt;&gt;"",VLOOKUP(L1524,Categories!$B$2:$D$41,2,FALSE),IF(F1524&lt;&gt;"","No Cat",""))</f>
        <v>Rate Base</v>
      </c>
      <c r="O1524" s="25" t="str">
        <f>IF($L1524&lt;&gt;"",VLOOKUP($L1524,Categories!$B$2:$D$41,3,FALSE),IF($F1524&lt;&gt;"","No Cat",""))</f>
        <v>Deferred Income Taxes</v>
      </c>
      <c r="P1524" s="736" t="s">
        <v>2482</v>
      </c>
      <c r="Q1524" s="25" t="str">
        <f>VLOOKUP($P1524,Allocators!$B$7:$F$19,5,FALSE)</f>
        <v>Electric</v>
      </c>
      <c r="R1524" s="737">
        <f>VLOOKUP($P1524,Allocators!$B$7:$F$19,2,FALSE)</f>
        <v>1</v>
      </c>
      <c r="S1524" s="737">
        <f>VLOOKUP($P1524,Allocators!$B$7:$F$19,3,FALSE)</f>
        <v>0</v>
      </c>
      <c r="T1524" s="737" t="str">
        <f t="shared" si="725"/>
        <v>0.0%</v>
      </c>
      <c r="U1524" s="2">
        <f t="shared" si="715"/>
        <v>-14.874000000000001</v>
      </c>
      <c r="V1524" s="2">
        <f t="shared" si="716"/>
        <v>0</v>
      </c>
      <c r="W1524" s="2">
        <f t="shared" si="717"/>
        <v>0</v>
      </c>
      <c r="X1524" s="2">
        <f t="shared" si="707"/>
        <v>-14.874000000000001</v>
      </c>
      <c r="Y1524" s="2">
        <f t="shared" si="718"/>
        <v>-14.874000000000001</v>
      </c>
      <c r="Z1524" s="2">
        <f t="shared" si="719"/>
        <v>0</v>
      </c>
      <c r="AA1524" s="2">
        <f t="shared" si="720"/>
        <v>0</v>
      </c>
      <c r="AB1524" s="2">
        <f t="shared" si="708"/>
        <v>-14.874000000000001</v>
      </c>
      <c r="AC1524" s="625">
        <v>-14.874000000000001</v>
      </c>
      <c r="AD1524" s="625">
        <v>-14.874000000000001</v>
      </c>
      <c r="AE1524" s="625">
        <v>-14.874000000000001</v>
      </c>
      <c r="AF1524" s="625">
        <v>-14.874000000000001</v>
      </c>
      <c r="AG1524" s="625">
        <v>-14.874000000000001</v>
      </c>
      <c r="AH1524" s="625">
        <v>-14.874000000000001</v>
      </c>
      <c r="AI1524" s="625">
        <v>-14.874000000000001</v>
      </c>
      <c r="AJ1524" s="625">
        <v>-14.874000000000001</v>
      </c>
      <c r="AK1524" s="625">
        <v>-14.874000000000001</v>
      </c>
      <c r="AL1524" s="625">
        <v>-14.874000000000001</v>
      </c>
      <c r="AM1524" s="625">
        <v>-14.874000000000001</v>
      </c>
      <c r="AN1524" s="625">
        <v>-14.874000000000001</v>
      </c>
      <c r="AO1524" s="625">
        <v>-14.874000000000001</v>
      </c>
      <c r="AP1524" s="41" t="str">
        <f t="shared" si="702"/>
        <v>Def TaxR</v>
      </c>
      <c r="AQ1524" s="41" t="str">
        <f t="shared" si="703"/>
        <v>Def TaxRR11Water Surplus Liability</v>
      </c>
      <c r="AR1524" s="41" t="str">
        <f t="shared" si="704"/>
        <v>R11Water Surplus Liability</v>
      </c>
    </row>
    <row r="1525" spans="1:44" s="41" customFormat="1" ht="12.75" customHeight="1">
      <c r="A1525" s="25" t="s">
        <v>1590</v>
      </c>
      <c r="B1525" s="25" t="str">
        <f t="shared" ref="B1525" si="726">CONCATENATE(A1525,C1525,D1525,E1525)</f>
        <v>Def Tax190011BTMISCDT</v>
      </c>
      <c r="C1525" s="736">
        <v>190011</v>
      </c>
      <c r="D1525" s="735"/>
      <c r="E1525" s="41" t="s">
        <v>1971</v>
      </c>
      <c r="F1525" s="41" t="str">
        <f t="shared" si="705"/>
        <v>ACCUM DEFERRED INC TAXES - STATE - ELECTRIC</v>
      </c>
      <c r="G1525" s="41" t="s">
        <v>4454</v>
      </c>
      <c r="H1525" s="736" t="s">
        <v>4455</v>
      </c>
      <c r="I1525" s="25"/>
      <c r="J1525" s="25"/>
      <c r="K1525" s="442"/>
      <c r="L1525" s="736" t="s">
        <v>2443</v>
      </c>
      <c r="M1525" s="25" t="str">
        <f t="shared" ref="M1525" si="727">LEFT(L1525,1)</f>
        <v>R</v>
      </c>
      <c r="N1525" s="25" t="str">
        <f>IF(L1525&lt;&gt;"",VLOOKUP(L1525,Categories!$B$2:$D$41,2,FALSE),IF(F1525&lt;&gt;"","No Cat",""))</f>
        <v>Rate Base</v>
      </c>
      <c r="O1525" s="25" t="str">
        <f>IF($L1525&lt;&gt;"",VLOOKUP($L1525,Categories!$B$2:$D$41,3,FALSE),IF($F1525&lt;&gt;"","No Cat",""))</f>
        <v>Deferred Income Taxes</v>
      </c>
      <c r="P1525" s="736" t="s">
        <v>2482</v>
      </c>
      <c r="Q1525" s="25" t="str">
        <f>VLOOKUP($P1525,Allocators!$B$7:$F$19,5,FALSE)</f>
        <v>Electric</v>
      </c>
      <c r="R1525" s="737">
        <f>VLOOKUP($P1525,Allocators!$B$7:$F$19,2,FALSE)</f>
        <v>1</v>
      </c>
      <c r="S1525" s="737">
        <f>VLOOKUP($P1525,Allocators!$B$7:$F$19,3,FALSE)</f>
        <v>0</v>
      </c>
      <c r="T1525" s="737" t="str">
        <f t="shared" ref="T1525" si="728">IF(P1525="N",1,"0.0%")</f>
        <v>0.0%</v>
      </c>
      <c r="U1525" s="2">
        <f t="shared" si="715"/>
        <v>180.583333333333</v>
      </c>
      <c r="V1525" s="2">
        <f t="shared" si="716"/>
        <v>0</v>
      </c>
      <c r="W1525" s="2">
        <f t="shared" si="717"/>
        <v>0</v>
      </c>
      <c r="X1525" s="2">
        <f t="shared" si="707"/>
        <v>180.583333333333</v>
      </c>
      <c r="Y1525" s="2" t="str">
        <f t="shared" si="718"/>
        <v/>
      </c>
      <c r="Z1525" s="2" t="str">
        <f t="shared" si="719"/>
        <v/>
      </c>
      <c r="AA1525" s="2" t="str">
        <f t="shared" si="720"/>
        <v/>
      </c>
      <c r="AB1525" s="2">
        <f t="shared" si="708"/>
        <v>0</v>
      </c>
      <c r="AC1525" s="625"/>
      <c r="AD1525" s="625"/>
      <c r="AE1525" s="625"/>
      <c r="AF1525" s="625"/>
      <c r="AG1525" s="625"/>
      <c r="AH1525" s="625"/>
      <c r="AI1525" s="625">
        <v>2167</v>
      </c>
      <c r="AJ1525" s="625">
        <v>0</v>
      </c>
      <c r="AK1525" s="625">
        <v>0</v>
      </c>
      <c r="AL1525" s="625">
        <v>0</v>
      </c>
      <c r="AM1525" s="625">
        <v>0</v>
      </c>
      <c r="AN1525" s="625">
        <v>0</v>
      </c>
      <c r="AO1525" s="625">
        <v>0</v>
      </c>
      <c r="AP1525" s="41" t="str">
        <f t="shared" si="702"/>
        <v>Def TaxR</v>
      </c>
      <c r="AQ1525" s="41" t="str">
        <f t="shared" si="703"/>
        <v>Def TaxRR11Excess DIT - New York State Tax Rate change</v>
      </c>
      <c r="AR1525" s="41" t="str">
        <f t="shared" si="704"/>
        <v>R11Excess DIT - New York State Tax Rate change</v>
      </c>
    </row>
    <row r="1526" spans="1:44" s="41" customFormat="1" ht="12.75" customHeight="1">
      <c r="A1526" s="25" t="s">
        <v>1590</v>
      </c>
      <c r="B1526" s="25" t="str">
        <f t="shared" si="714"/>
        <v>Def Tax190011190-041BT010244</v>
      </c>
      <c r="C1526" s="736">
        <v>190011</v>
      </c>
      <c r="D1526" s="735" t="s">
        <v>1721</v>
      </c>
      <c r="E1526" s="41" t="s">
        <v>1722</v>
      </c>
      <c r="F1526" s="41" t="str">
        <f t="shared" si="705"/>
        <v>ACCUM DEFERRED INC TAXES - STATE - ELECTRIC</v>
      </c>
      <c r="G1526" s="41" t="s">
        <v>1723</v>
      </c>
      <c r="H1526" s="736" t="s">
        <v>1724</v>
      </c>
      <c r="I1526" s="25"/>
      <c r="J1526" s="25" t="str">
        <f t="shared" si="706"/>
        <v/>
      </c>
      <c r="K1526" s="442" t="str">
        <f t="shared" si="711"/>
        <v/>
      </c>
      <c r="L1526" s="736" t="s">
        <v>2443</v>
      </c>
      <c r="M1526" s="25" t="str">
        <f t="shared" ref="M1526:M1594" si="729">LEFT(L1526,1)</f>
        <v>R</v>
      </c>
      <c r="N1526" s="25" t="str">
        <f>IF(L1526&lt;&gt;"",VLOOKUP(L1526,Categories!$B$2:$D$41,2,FALSE),IF(F1526&lt;&gt;"","No Cat",""))</f>
        <v>Rate Base</v>
      </c>
      <c r="O1526" s="25" t="str">
        <f>IF($L1526&lt;&gt;"",VLOOKUP($L1526,Categories!$B$2:$D$41,3,FALSE),IF($F1526&lt;&gt;"","No Cat",""))</f>
        <v>Deferred Income Taxes</v>
      </c>
      <c r="P1526" s="736" t="s">
        <v>2482</v>
      </c>
      <c r="Q1526" s="25" t="str">
        <f>VLOOKUP($P1526,Allocators!$B$7:$F$19,5,FALSE)</f>
        <v>Electric</v>
      </c>
      <c r="R1526" s="737">
        <f>VLOOKUP($P1526,Allocators!$B$7:$F$19,2,FALSE)</f>
        <v>1</v>
      </c>
      <c r="S1526" s="737">
        <f>VLOOKUP($P1526,Allocators!$B$7:$F$19,3,FALSE)</f>
        <v>0</v>
      </c>
      <c r="T1526" s="737" t="str">
        <f t="shared" si="725"/>
        <v>0.0%</v>
      </c>
      <c r="U1526" s="2" t="str">
        <f t="shared" si="715"/>
        <v/>
      </c>
      <c r="V1526" s="2" t="str">
        <f t="shared" si="716"/>
        <v/>
      </c>
      <c r="W1526" s="2" t="str">
        <f t="shared" si="717"/>
        <v/>
      </c>
      <c r="X1526" s="2">
        <f t="shared" si="707"/>
        <v>0</v>
      </c>
      <c r="Y1526" s="2" t="str">
        <f t="shared" si="718"/>
        <v/>
      </c>
      <c r="Z1526" s="2" t="str">
        <f t="shared" si="719"/>
        <v/>
      </c>
      <c r="AA1526" s="2" t="str">
        <f t="shared" si="720"/>
        <v/>
      </c>
      <c r="AB1526" s="2">
        <f t="shared" si="708"/>
        <v>0</v>
      </c>
      <c r="AC1526" s="625">
        <v>0</v>
      </c>
      <c r="AD1526" s="625">
        <v>0</v>
      </c>
      <c r="AE1526" s="625">
        <v>0</v>
      </c>
      <c r="AF1526" s="625">
        <v>0</v>
      </c>
      <c r="AG1526" s="625">
        <v>0</v>
      </c>
      <c r="AH1526" s="625">
        <v>0</v>
      </c>
      <c r="AI1526" s="625">
        <v>0</v>
      </c>
      <c r="AJ1526" s="625">
        <v>0</v>
      </c>
      <c r="AK1526" s="625">
        <v>0</v>
      </c>
      <c r="AL1526" s="625">
        <v>0</v>
      </c>
      <c r="AM1526" s="625">
        <v>0</v>
      </c>
      <c r="AN1526" s="625">
        <v>0</v>
      </c>
      <c r="AO1526" s="625">
        <v>0</v>
      </c>
      <c r="AP1526" s="41" t="str">
        <f t="shared" si="702"/>
        <v>Def TaxR</v>
      </c>
      <c r="AQ1526" s="41" t="str">
        <f t="shared" si="703"/>
        <v>Def TaxRR11Workers Comp Reserve</v>
      </c>
      <c r="AR1526" s="41" t="str">
        <f t="shared" si="704"/>
        <v>R11Workers Comp Reserve</v>
      </c>
    </row>
    <row r="1527" spans="1:44" s="41" customFormat="1" ht="12.75" customHeight="1">
      <c r="A1527" s="442" t="s">
        <v>1590</v>
      </c>
      <c r="B1527" s="442" t="str">
        <f t="shared" si="714"/>
        <v>Def Tax190012AROBT010303</v>
      </c>
      <c r="C1527" s="736">
        <v>190012</v>
      </c>
      <c r="D1527" s="735" t="s">
        <v>1613</v>
      </c>
      <c r="E1527" s="626" t="s">
        <v>1614</v>
      </c>
      <c r="F1527" s="626" t="str">
        <f t="shared" si="705"/>
        <v>ACCUM DEFERRED INC TAXES - STATE - GAS</v>
      </c>
      <c r="G1527" s="626" t="s">
        <v>1615</v>
      </c>
      <c r="H1527" s="736" t="s">
        <v>1138</v>
      </c>
      <c r="I1527" s="442"/>
      <c r="J1527" s="442" t="str">
        <f t="shared" si="706"/>
        <v/>
      </c>
      <c r="K1527" s="442" t="str">
        <f t="shared" si="711"/>
        <v/>
      </c>
      <c r="L1527" s="736" t="s">
        <v>2421</v>
      </c>
      <c r="M1527" s="442" t="str">
        <f t="shared" si="729"/>
        <v>N</v>
      </c>
      <c r="N1527" s="442" t="str">
        <f>IF(L1527&lt;&gt;"",VLOOKUP(L1527,Categories!$B$2:$D$41,2,FALSE),IF(F1527&lt;&gt;"","No Cat",""))</f>
        <v>NRBASE</v>
      </c>
      <c r="O1527" s="442" t="str">
        <f>IF($L1527&lt;&gt;"",VLOOKUP($L1527,Categories!$B$2:$D$41,3,FALSE),IF($F1527&lt;&gt;"","No Cat",""))</f>
        <v>Direct Assign Items Not in RB</v>
      </c>
      <c r="P1527" s="736" t="s">
        <v>2468</v>
      </c>
      <c r="Q1527" s="442" t="str">
        <f>VLOOKUP($P1527,Allocators!$B$7:$F$19,5,FALSE)</f>
        <v>Not in Rate Base</v>
      </c>
      <c r="R1527" s="737">
        <f>VLOOKUP($P1527,Allocators!$B$7:$F$19,2,FALSE)</f>
        <v>0</v>
      </c>
      <c r="S1527" s="737">
        <f>VLOOKUP($P1527,Allocators!$B$7:$F$19,3,FALSE)</f>
        <v>0</v>
      </c>
      <c r="T1527" s="737">
        <f t="shared" si="725"/>
        <v>1</v>
      </c>
      <c r="U1527" s="2">
        <f t="shared" si="715"/>
        <v>0</v>
      </c>
      <c r="V1527" s="2">
        <f t="shared" si="716"/>
        <v>0</v>
      </c>
      <c r="W1527" s="2">
        <f t="shared" si="717"/>
        <v>-113.983717916667</v>
      </c>
      <c r="X1527" s="2">
        <f t="shared" si="707"/>
        <v>-113.983717916667</v>
      </c>
      <c r="Y1527" s="2">
        <f t="shared" si="718"/>
        <v>0</v>
      </c>
      <c r="Z1527" s="2">
        <f t="shared" si="719"/>
        <v>0</v>
      </c>
      <c r="AA1527" s="2">
        <f t="shared" si="720"/>
        <v>-114.22085</v>
      </c>
      <c r="AB1527" s="2">
        <f t="shared" si="708"/>
        <v>-114.22085000000001</v>
      </c>
      <c r="AC1527" s="625">
        <v>-117.00664</v>
      </c>
      <c r="AD1527" s="625">
        <v>-116.4199</v>
      </c>
      <c r="AE1527" s="625">
        <v>-115.83062</v>
      </c>
      <c r="AF1527" s="625">
        <v>-115.2388</v>
      </c>
      <c r="AG1527" s="625">
        <v>-114.64442</v>
      </c>
      <c r="AH1527" s="625">
        <v>-114.04747</v>
      </c>
      <c r="AI1527" s="625">
        <v>-113.44793</v>
      </c>
      <c r="AJ1527" s="625">
        <v>-112.84581</v>
      </c>
      <c r="AK1527" s="625">
        <v>-112.24109</v>
      </c>
      <c r="AL1527" s="625">
        <v>-111.63375000000001</v>
      </c>
      <c r="AM1527" s="625">
        <v>-111.02378</v>
      </c>
      <c r="AN1527" s="625">
        <v>-114.8173</v>
      </c>
      <c r="AO1527" s="625">
        <v>-114.22085000000001</v>
      </c>
      <c r="AP1527" s="41" t="str">
        <f t="shared" si="702"/>
        <v>Def TaxN</v>
      </c>
      <c r="AQ1527" s="41" t="str">
        <f t="shared" si="703"/>
        <v>Def TaxNN2Asset Retirement Obligation</v>
      </c>
      <c r="AR1527" s="41" t="str">
        <f t="shared" si="704"/>
        <v>N2Asset Retirement Obligation</v>
      </c>
    </row>
    <row r="1528" spans="1:44" s="41" customFormat="1" ht="12.75" customHeight="1">
      <c r="A1528" s="442" t="s">
        <v>1590</v>
      </c>
      <c r="B1528" s="442" t="str">
        <f t="shared" si="714"/>
        <v>Def Tax190012Cap ExBDEFAULT</v>
      </c>
      <c r="C1528" s="736">
        <v>190012</v>
      </c>
      <c r="D1528" s="735" t="s">
        <v>1619</v>
      </c>
      <c r="E1528" s="626" t="s">
        <v>1620</v>
      </c>
      <c r="F1528" s="626" t="str">
        <f t="shared" si="705"/>
        <v>ACCUM DEFERRED INC TAXES - STATE - GAS</v>
      </c>
      <c r="G1528" s="626" t="s">
        <v>1621</v>
      </c>
      <c r="H1528" s="736" t="s">
        <v>1622</v>
      </c>
      <c r="I1528" s="442"/>
      <c r="J1528" s="442" t="str">
        <f t="shared" si="706"/>
        <v/>
      </c>
      <c r="K1528" s="442" t="str">
        <f t="shared" si="711"/>
        <v/>
      </c>
      <c r="L1528" s="736" t="s">
        <v>2421</v>
      </c>
      <c r="M1528" s="442" t="str">
        <f t="shared" si="729"/>
        <v>N</v>
      </c>
      <c r="N1528" s="442" t="str">
        <f>IF(L1528&lt;&gt;"",VLOOKUP(L1528,Categories!$B$2:$D$41,2,FALSE),IF(F1528&lt;&gt;"","No Cat",""))</f>
        <v>NRBASE</v>
      </c>
      <c r="O1528" s="442" t="str">
        <f>IF($L1528&lt;&gt;"",VLOOKUP($L1528,Categories!$B$2:$D$41,3,FALSE),IF($F1528&lt;&gt;"","No Cat",""))</f>
        <v>Direct Assign Items Not in RB</v>
      </c>
      <c r="P1528" s="736" t="s">
        <v>2468</v>
      </c>
      <c r="Q1528" s="442" t="str">
        <f>VLOOKUP($P1528,Allocators!$B$7:$F$19,5,FALSE)</f>
        <v>Not in Rate Base</v>
      </c>
      <c r="R1528" s="737">
        <f>VLOOKUP($P1528,Allocators!$B$7:$F$19,2,FALSE)</f>
        <v>0</v>
      </c>
      <c r="S1528" s="737">
        <f>VLOOKUP($P1528,Allocators!$B$7:$F$19,3,FALSE)</f>
        <v>0</v>
      </c>
      <c r="T1528" s="737">
        <f t="shared" si="725"/>
        <v>1</v>
      </c>
      <c r="U1528" s="2" t="str">
        <f t="shared" si="715"/>
        <v/>
      </c>
      <c r="V1528" s="2" t="str">
        <f t="shared" si="716"/>
        <v/>
      </c>
      <c r="W1528" s="2" t="str">
        <f t="shared" si="717"/>
        <v/>
      </c>
      <c r="X1528" s="2">
        <f t="shared" si="707"/>
        <v>0</v>
      </c>
      <c r="Y1528" s="2" t="str">
        <f t="shared" si="718"/>
        <v/>
      </c>
      <c r="Z1528" s="2" t="str">
        <f t="shared" si="719"/>
        <v/>
      </c>
      <c r="AA1528" s="2" t="str">
        <f t="shared" si="720"/>
        <v/>
      </c>
      <c r="AB1528" s="2">
        <f t="shared" si="708"/>
        <v>0</v>
      </c>
      <c r="AC1528" s="625">
        <v>0</v>
      </c>
      <c r="AD1528" s="625">
        <v>0</v>
      </c>
      <c r="AE1528" s="625">
        <v>0</v>
      </c>
      <c r="AF1528" s="625">
        <v>0</v>
      </c>
      <c r="AG1528" s="625">
        <v>0</v>
      </c>
      <c r="AH1528" s="625">
        <v>0</v>
      </c>
      <c r="AI1528" s="625">
        <v>0</v>
      </c>
      <c r="AJ1528" s="625">
        <v>0</v>
      </c>
      <c r="AK1528" s="625">
        <v>0</v>
      </c>
      <c r="AL1528" s="625">
        <v>0</v>
      </c>
      <c r="AM1528" s="625">
        <v>0</v>
      </c>
      <c r="AN1528" s="625">
        <v>0</v>
      </c>
      <c r="AO1528" s="625">
        <v>0</v>
      </c>
      <c r="AP1528" s="41" t="str">
        <f t="shared" si="702"/>
        <v>Def TaxN</v>
      </c>
      <c r="AQ1528" s="41" t="str">
        <f t="shared" si="703"/>
        <v>Def TaxNN2Cap Ex Reserve</v>
      </c>
      <c r="AR1528" s="41" t="str">
        <f t="shared" si="704"/>
        <v>N2Cap Ex Reserve</v>
      </c>
    </row>
    <row r="1529" spans="1:44" s="41" customFormat="1" ht="12.75" customHeight="1">
      <c r="A1529" s="25" t="s">
        <v>1590</v>
      </c>
      <c r="B1529" s="25" t="str">
        <f t="shared" si="714"/>
        <v>Def Tax190012190-092BT010036</v>
      </c>
      <c r="C1529" s="736">
        <v>190012</v>
      </c>
      <c r="D1529" s="735" t="s">
        <v>1626</v>
      </c>
      <c r="E1529" s="41" t="s">
        <v>1627</v>
      </c>
      <c r="F1529" s="41" t="str">
        <f t="shared" si="705"/>
        <v>ACCUM DEFERRED INC TAXES - STATE - GAS</v>
      </c>
      <c r="G1529" s="41" t="s">
        <v>1628</v>
      </c>
      <c r="H1529" s="736" t="s">
        <v>1629</v>
      </c>
      <c r="I1529" s="25"/>
      <c r="J1529" s="25" t="str">
        <f t="shared" si="706"/>
        <v/>
      </c>
      <c r="K1529" s="442" t="str">
        <f t="shared" si="711"/>
        <v/>
      </c>
      <c r="L1529" s="736" t="s">
        <v>2443</v>
      </c>
      <c r="M1529" s="25" t="str">
        <f t="shared" si="729"/>
        <v>R</v>
      </c>
      <c r="N1529" s="25" t="str">
        <f>IF(L1529&lt;&gt;"",VLOOKUP(L1529,Categories!$B$2:$D$41,2,FALSE),IF(F1529&lt;&gt;"","No Cat",""))</f>
        <v>Rate Base</v>
      </c>
      <c r="O1529" s="25" t="str">
        <f>IF($L1529&lt;&gt;"",VLOOKUP($L1529,Categories!$B$2:$D$41,3,FALSE),IF($F1529&lt;&gt;"","No Cat",""))</f>
        <v>Deferred Income Taxes</v>
      </c>
      <c r="P1529" s="736" t="s">
        <v>2483</v>
      </c>
      <c r="Q1529" s="25" t="str">
        <f>VLOOKUP($P1529,Allocators!$B$7:$F$19,5,FALSE)</f>
        <v>Gas</v>
      </c>
      <c r="R1529" s="737">
        <f>VLOOKUP($P1529,Allocators!$B$7:$F$19,2,FALSE)</f>
        <v>0</v>
      </c>
      <c r="S1529" s="737">
        <f>VLOOKUP($P1529,Allocators!$B$7:$F$19,3,FALSE)</f>
        <v>1</v>
      </c>
      <c r="T1529" s="737" t="str">
        <f t="shared" si="725"/>
        <v>0.0%</v>
      </c>
      <c r="U1529" s="2" t="str">
        <f t="shared" si="715"/>
        <v/>
      </c>
      <c r="V1529" s="2" t="str">
        <f t="shared" si="716"/>
        <v/>
      </c>
      <c r="W1529" s="2" t="str">
        <f t="shared" si="717"/>
        <v/>
      </c>
      <c r="X1529" s="2">
        <f t="shared" si="707"/>
        <v>0</v>
      </c>
      <c r="Y1529" s="2" t="str">
        <f t="shared" si="718"/>
        <v/>
      </c>
      <c r="Z1529" s="2" t="str">
        <f t="shared" si="719"/>
        <v/>
      </c>
      <c r="AA1529" s="2" t="str">
        <f t="shared" si="720"/>
        <v/>
      </c>
      <c r="AB1529" s="2">
        <f t="shared" si="708"/>
        <v>0</v>
      </c>
      <c r="AC1529" s="625">
        <v>0</v>
      </c>
      <c r="AD1529" s="625">
        <v>0</v>
      </c>
      <c r="AE1529" s="625">
        <v>0</v>
      </c>
      <c r="AF1529" s="625">
        <v>0</v>
      </c>
      <c r="AG1529" s="625">
        <v>0</v>
      </c>
      <c r="AH1529" s="625">
        <v>0</v>
      </c>
      <c r="AI1529" s="625">
        <v>0</v>
      </c>
      <c r="AJ1529" s="625">
        <v>0</v>
      </c>
      <c r="AK1529" s="625">
        <v>0</v>
      </c>
      <c r="AL1529" s="625">
        <v>0</v>
      </c>
      <c r="AM1529" s="625">
        <v>0</v>
      </c>
      <c r="AN1529" s="625">
        <v>0</v>
      </c>
      <c r="AO1529" s="625">
        <v>0</v>
      </c>
      <c r="AP1529" s="41" t="str">
        <f t="shared" si="702"/>
        <v>Def TaxR</v>
      </c>
      <c r="AQ1529" s="41" t="str">
        <f t="shared" si="703"/>
        <v>Def TaxRR11Merger Related</v>
      </c>
      <c r="AR1529" s="41" t="str">
        <f t="shared" si="704"/>
        <v>R11Merger Related</v>
      </c>
    </row>
    <row r="1530" spans="1:44" s="41" customFormat="1" ht="12.75" customHeight="1">
      <c r="A1530" s="25" t="s">
        <v>1590</v>
      </c>
      <c r="B1530" s="25" t="str">
        <f t="shared" si="714"/>
        <v>Def Tax190012190-017BT010043</v>
      </c>
      <c r="C1530" s="736">
        <v>190012</v>
      </c>
      <c r="D1530" s="735" t="s">
        <v>1630</v>
      </c>
      <c r="E1530" s="41" t="s">
        <v>1631</v>
      </c>
      <c r="F1530" s="41" t="str">
        <f t="shared" si="705"/>
        <v>ACCUM DEFERRED INC TAXES - STATE - GAS</v>
      </c>
      <c r="G1530" s="41" t="s">
        <v>1632</v>
      </c>
      <c r="H1530" s="736" t="s">
        <v>1632</v>
      </c>
      <c r="I1530" s="25"/>
      <c r="J1530" s="25" t="str">
        <f t="shared" si="706"/>
        <v/>
      </c>
      <c r="K1530" s="442" t="str">
        <f t="shared" si="711"/>
        <v/>
      </c>
      <c r="L1530" s="736" t="s">
        <v>2443</v>
      </c>
      <c r="M1530" s="25" t="str">
        <f t="shared" si="729"/>
        <v>R</v>
      </c>
      <c r="N1530" s="25" t="str">
        <f>IF(L1530&lt;&gt;"",VLOOKUP(L1530,Categories!$B$2:$D$41,2,FALSE),IF(F1530&lt;&gt;"","No Cat",""))</f>
        <v>Rate Base</v>
      </c>
      <c r="O1530" s="25" t="str">
        <f>IF($L1530&lt;&gt;"",VLOOKUP($L1530,Categories!$B$2:$D$41,3,FALSE),IF($F1530&lt;&gt;"","No Cat",""))</f>
        <v>Deferred Income Taxes</v>
      </c>
      <c r="P1530" s="736" t="s">
        <v>2483</v>
      </c>
      <c r="Q1530" s="25" t="str">
        <f>VLOOKUP($P1530,Allocators!$B$7:$F$19,5,FALSE)</f>
        <v>Gas</v>
      </c>
      <c r="R1530" s="737">
        <f>VLOOKUP($P1530,Allocators!$B$7:$F$19,2,FALSE)</f>
        <v>0</v>
      </c>
      <c r="S1530" s="737">
        <f>VLOOKUP($P1530,Allocators!$B$7:$F$19,3,FALSE)</f>
        <v>1</v>
      </c>
      <c r="T1530" s="737" t="str">
        <f t="shared" si="725"/>
        <v>0.0%</v>
      </c>
      <c r="U1530" s="2" t="str">
        <f t="shared" si="715"/>
        <v/>
      </c>
      <c r="V1530" s="2" t="str">
        <f t="shared" si="716"/>
        <v/>
      </c>
      <c r="W1530" s="2" t="str">
        <f t="shared" si="717"/>
        <v/>
      </c>
      <c r="X1530" s="2">
        <f t="shared" si="707"/>
        <v>0</v>
      </c>
      <c r="Y1530" s="2" t="str">
        <f t="shared" si="718"/>
        <v/>
      </c>
      <c r="Z1530" s="2" t="str">
        <f t="shared" si="719"/>
        <v/>
      </c>
      <c r="AA1530" s="2" t="str">
        <f t="shared" si="720"/>
        <v/>
      </c>
      <c r="AB1530" s="2">
        <f t="shared" si="708"/>
        <v>0</v>
      </c>
      <c r="AC1530" s="625">
        <v>0</v>
      </c>
      <c r="AD1530" s="625">
        <v>0</v>
      </c>
      <c r="AE1530" s="625">
        <v>0</v>
      </c>
      <c r="AF1530" s="625">
        <v>0</v>
      </c>
      <c r="AG1530" s="625">
        <v>0</v>
      </c>
      <c r="AH1530" s="625">
        <v>0</v>
      </c>
      <c r="AI1530" s="625">
        <v>0</v>
      </c>
      <c r="AJ1530" s="625">
        <v>0</v>
      </c>
      <c r="AK1530" s="625">
        <v>0</v>
      </c>
      <c r="AL1530" s="625">
        <v>0</v>
      </c>
      <c r="AM1530" s="625">
        <v>0</v>
      </c>
      <c r="AN1530" s="625">
        <v>0</v>
      </c>
      <c r="AO1530" s="625">
        <v>0</v>
      </c>
      <c r="AP1530" s="41" t="str">
        <f t="shared" si="702"/>
        <v>Def TaxR</v>
      </c>
      <c r="AQ1530" s="41" t="str">
        <f t="shared" si="703"/>
        <v>Def TaxRR11CIAC</v>
      </c>
      <c r="AR1530" s="41" t="str">
        <f t="shared" si="704"/>
        <v>R11CIAC</v>
      </c>
    </row>
    <row r="1531" spans="1:44" s="41" customFormat="1" ht="12.75" customHeight="1">
      <c r="A1531" s="25" t="s">
        <v>1590</v>
      </c>
      <c r="B1531" s="25" t="str">
        <f t="shared" si="714"/>
        <v>Def Tax190012190-049BT010105</v>
      </c>
      <c r="C1531" s="736">
        <v>190012</v>
      </c>
      <c r="D1531" s="735" t="s">
        <v>1633</v>
      </c>
      <c r="E1531" s="41" t="s">
        <v>1634</v>
      </c>
      <c r="F1531" s="41" t="str">
        <f t="shared" si="705"/>
        <v>ACCUM DEFERRED INC TAXES - STATE - GAS</v>
      </c>
      <c r="G1531" s="41" t="s">
        <v>1635</v>
      </c>
      <c r="H1531" s="736" t="s">
        <v>1636</v>
      </c>
      <c r="I1531" s="25"/>
      <c r="J1531" s="25" t="str">
        <f t="shared" si="706"/>
        <v/>
      </c>
      <c r="K1531" s="442" t="str">
        <f t="shared" si="711"/>
        <v/>
      </c>
      <c r="L1531" s="736" t="s">
        <v>2443</v>
      </c>
      <c r="M1531" s="25" t="str">
        <f t="shared" si="729"/>
        <v>R</v>
      </c>
      <c r="N1531" s="25" t="str">
        <f>IF(L1531&lt;&gt;"",VLOOKUP(L1531,Categories!$B$2:$D$41,2,FALSE),IF(F1531&lt;&gt;"","No Cat",""))</f>
        <v>Rate Base</v>
      </c>
      <c r="O1531" s="25" t="str">
        <f>IF($L1531&lt;&gt;"",VLOOKUP($L1531,Categories!$B$2:$D$41,3,FALSE),IF($F1531&lt;&gt;"","No Cat",""))</f>
        <v>Deferred Income Taxes</v>
      </c>
      <c r="P1531" s="736" t="s">
        <v>2483</v>
      </c>
      <c r="Q1531" s="25" t="str">
        <f>VLOOKUP($P1531,Allocators!$B$7:$F$19,5,FALSE)</f>
        <v>Gas</v>
      </c>
      <c r="R1531" s="737">
        <f>VLOOKUP($P1531,Allocators!$B$7:$F$19,2,FALSE)</f>
        <v>0</v>
      </c>
      <c r="S1531" s="737">
        <f>VLOOKUP($P1531,Allocators!$B$7:$F$19,3,FALSE)</f>
        <v>1</v>
      </c>
      <c r="T1531" s="737" t="str">
        <f t="shared" si="725"/>
        <v>0.0%</v>
      </c>
      <c r="U1531" s="2">
        <f t="shared" si="715"/>
        <v>0</v>
      </c>
      <c r="V1531" s="2">
        <f t="shared" si="716"/>
        <v>16.1550333333333</v>
      </c>
      <c r="W1531" s="2">
        <f t="shared" si="717"/>
        <v>0</v>
      </c>
      <c r="X1531" s="2">
        <f t="shared" si="707"/>
        <v>16.1550333333333</v>
      </c>
      <c r="Y1531" s="2">
        <f t="shared" si="718"/>
        <v>0</v>
      </c>
      <c r="Z1531" s="2">
        <f t="shared" si="719"/>
        <v>20.917950000000001</v>
      </c>
      <c r="AA1531" s="2">
        <f t="shared" si="720"/>
        <v>0</v>
      </c>
      <c r="AB1531" s="2">
        <f t="shared" si="708"/>
        <v>20.917950000000001</v>
      </c>
      <c r="AC1531" s="625">
        <v>10.97795</v>
      </c>
      <c r="AD1531" s="625">
        <v>8.4929500000000004</v>
      </c>
      <c r="AE1531" s="625">
        <v>8.4929500000000004</v>
      </c>
      <c r="AF1531" s="625">
        <v>6.0079500000000001</v>
      </c>
      <c r="AG1531" s="625">
        <v>8.4929500000000004</v>
      </c>
      <c r="AH1531" s="625">
        <v>8.4929500000000004</v>
      </c>
      <c r="AI1531" s="625">
        <v>28.372949999999999</v>
      </c>
      <c r="AJ1531" s="625">
        <v>23.402950000000001</v>
      </c>
      <c r="AK1531" s="625">
        <v>20.917950000000001</v>
      </c>
      <c r="AL1531" s="625">
        <v>23.402950000000001</v>
      </c>
      <c r="AM1531" s="625">
        <v>20.917950000000001</v>
      </c>
      <c r="AN1531" s="625">
        <v>20.917950000000001</v>
      </c>
      <c r="AO1531" s="625">
        <v>20.917950000000001</v>
      </c>
      <c r="AP1531" s="41" t="str">
        <f t="shared" si="702"/>
        <v>Def TaxR</v>
      </c>
      <c r="AQ1531" s="41" t="str">
        <f t="shared" si="703"/>
        <v>Def TaxRR11Claims Reserve</v>
      </c>
      <c r="AR1531" s="41" t="str">
        <f t="shared" si="704"/>
        <v>R11Claims Reserve</v>
      </c>
    </row>
    <row r="1532" spans="1:44" s="41" customFormat="1" ht="12.75" customHeight="1">
      <c r="A1532" s="25" t="s">
        <v>1590</v>
      </c>
      <c r="B1532" s="25" t="str">
        <f t="shared" ref="B1532" si="730">CONCATENATE(A1532,C1532,D1532,E1532)</f>
        <v>Def Tax190012Reg ReserveBT010371</v>
      </c>
      <c r="C1532" s="736">
        <v>190012</v>
      </c>
      <c r="D1532" s="735" t="s">
        <v>1852</v>
      </c>
      <c r="E1532" s="41" t="s">
        <v>4116</v>
      </c>
      <c r="F1532" s="41" t="str">
        <f t="shared" si="705"/>
        <v>ACCUM DEFERRED INC TAXES - STATE - GAS</v>
      </c>
      <c r="H1532" s="736" t="s">
        <v>1583</v>
      </c>
      <c r="I1532" s="25"/>
      <c r="J1532" s="25" t="str">
        <f t="shared" ref="J1532" si="731">IF(L1532="N10","Y",IF(L1532="N8","Y",""))</f>
        <v/>
      </c>
      <c r="K1532" s="442" t="str">
        <f t="shared" si="711"/>
        <v/>
      </c>
      <c r="L1532" s="736" t="s">
        <v>2421</v>
      </c>
      <c r="M1532" s="25" t="str">
        <f t="shared" ref="M1532" si="732">LEFT(L1532,1)</f>
        <v>N</v>
      </c>
      <c r="N1532" s="25" t="str">
        <f>IF(L1532&lt;&gt;"",VLOOKUP(L1532,Categories!$B$2:$D$41,2,FALSE),IF(F1532&lt;&gt;"","No Cat",""))</f>
        <v>NRBASE</v>
      </c>
      <c r="O1532" s="25" t="str">
        <f>IF($L1532&lt;&gt;"",VLOOKUP($L1532,Categories!$B$2:$D$41,3,FALSE),IF($F1532&lt;&gt;"","No Cat",""))</f>
        <v>Direct Assign Items Not in RB</v>
      </c>
      <c r="P1532" s="736" t="s">
        <v>2468</v>
      </c>
      <c r="Q1532" s="25" t="str">
        <f>VLOOKUP($P1532,Allocators!$B$7:$F$19,5,FALSE)</f>
        <v>Not in Rate Base</v>
      </c>
      <c r="R1532" s="737">
        <f>VLOOKUP($P1532,Allocators!$B$7:$F$19,2,FALSE)</f>
        <v>0</v>
      </c>
      <c r="S1532" s="737">
        <f>VLOOKUP($P1532,Allocators!$B$7:$F$19,3,FALSE)</f>
        <v>0</v>
      </c>
      <c r="T1532" s="737">
        <f t="shared" ref="T1532" si="733">IF(P1532="N",1,"0.0%")</f>
        <v>1</v>
      </c>
      <c r="U1532" s="2">
        <f t="shared" si="715"/>
        <v>0</v>
      </c>
      <c r="V1532" s="2">
        <f t="shared" si="716"/>
        <v>0</v>
      </c>
      <c r="W1532" s="2">
        <f t="shared" si="717"/>
        <v>16.2708333333333</v>
      </c>
      <c r="X1532" s="2">
        <f t="shared" si="707"/>
        <v>16.2708333333333</v>
      </c>
      <c r="Y1532" s="2">
        <f t="shared" si="718"/>
        <v>0</v>
      </c>
      <c r="Z1532" s="2">
        <f t="shared" si="719"/>
        <v>0</v>
      </c>
      <c r="AA1532" s="2">
        <f t="shared" si="720"/>
        <v>21.3</v>
      </c>
      <c r="AB1532" s="2">
        <f t="shared" si="708"/>
        <v>21.3</v>
      </c>
      <c r="AC1532" s="625">
        <v>14.2</v>
      </c>
      <c r="AD1532" s="625">
        <v>14.2</v>
      </c>
      <c r="AE1532" s="625">
        <v>14.2</v>
      </c>
      <c r="AF1532" s="625">
        <v>14.2</v>
      </c>
      <c r="AG1532" s="625">
        <v>14.2</v>
      </c>
      <c r="AH1532" s="625">
        <v>14.2</v>
      </c>
      <c r="AI1532" s="625">
        <v>14.2</v>
      </c>
      <c r="AJ1532" s="625">
        <v>14.2</v>
      </c>
      <c r="AK1532" s="625">
        <v>14.2</v>
      </c>
      <c r="AL1532" s="625">
        <v>21.3</v>
      </c>
      <c r="AM1532" s="625">
        <v>21.3</v>
      </c>
      <c r="AN1532" s="625">
        <v>21.3</v>
      </c>
      <c r="AO1532" s="625">
        <v>21.3</v>
      </c>
      <c r="AP1532" s="41" t="str">
        <f t="shared" si="702"/>
        <v>Def TaxN</v>
      </c>
      <c r="AQ1532" s="41" t="str">
        <f t="shared" si="703"/>
        <v>Def TaxNN2Regulatory Reserve</v>
      </c>
      <c r="AR1532" s="41" t="str">
        <f t="shared" si="704"/>
        <v>N2Regulatory Reserve</v>
      </c>
    </row>
    <row r="1533" spans="1:44" s="41" customFormat="1" ht="12.75" customHeight="1">
      <c r="A1533" s="25" t="s">
        <v>1590</v>
      </c>
      <c r="B1533" s="25" t="str">
        <f t="shared" ref="B1533" si="734">CONCATENATE(A1533,C1533,D1533,E1533)</f>
        <v>Def Tax190012BT010041</v>
      </c>
      <c r="C1533" s="736">
        <v>190012</v>
      </c>
      <c r="D1533" s="735"/>
      <c r="E1533" s="41" t="s">
        <v>4107</v>
      </c>
      <c r="F1533" s="41" t="str">
        <f t="shared" si="705"/>
        <v>ACCUM DEFERRED INC TAXES - STATE - GAS</v>
      </c>
      <c r="G1533" s="41" t="s">
        <v>4106</v>
      </c>
      <c r="H1533" s="736" t="s">
        <v>4106</v>
      </c>
      <c r="I1533" s="25"/>
      <c r="J1533" s="25" t="str">
        <f t="shared" ref="J1533" si="735">IF(L1533="N10","Y",IF(L1533="N8","Y",""))</f>
        <v/>
      </c>
      <c r="K1533" s="442" t="str">
        <f t="shared" si="711"/>
        <v/>
      </c>
      <c r="L1533" s="736" t="s">
        <v>2443</v>
      </c>
      <c r="M1533" s="25" t="str">
        <f t="shared" ref="M1533" si="736">LEFT(L1533,1)</f>
        <v>R</v>
      </c>
      <c r="N1533" s="25" t="str">
        <f>IF(L1533&lt;&gt;"",VLOOKUP(L1533,Categories!$B$2:$D$41,2,FALSE),IF(F1533&lt;&gt;"","No Cat",""))</f>
        <v>Rate Base</v>
      </c>
      <c r="O1533" s="25" t="str">
        <f>IF($L1533&lt;&gt;"",VLOOKUP($L1533,Categories!$B$2:$D$41,3,FALSE),IF($F1533&lt;&gt;"","No Cat",""))</f>
        <v>Deferred Income Taxes</v>
      </c>
      <c r="P1533" s="736" t="s">
        <v>2483</v>
      </c>
      <c r="Q1533" s="25" t="str">
        <f>VLOOKUP($P1533,Allocators!$B$7:$F$19,5,FALSE)</f>
        <v>Gas</v>
      </c>
      <c r="R1533" s="737">
        <f>VLOOKUP($P1533,Allocators!$B$7:$F$19,2,FALSE)</f>
        <v>0</v>
      </c>
      <c r="S1533" s="737">
        <f>VLOOKUP($P1533,Allocators!$B$7:$F$19,3,FALSE)</f>
        <v>1</v>
      </c>
      <c r="T1533" s="737" t="str">
        <f t="shared" ref="T1533" si="737">IF(P1533="N",1,"0.0%")</f>
        <v>0.0%</v>
      </c>
      <c r="U1533" s="2">
        <f t="shared" si="715"/>
        <v>0</v>
      </c>
      <c r="V1533" s="2">
        <f t="shared" si="716"/>
        <v>42.940899999999999</v>
      </c>
      <c r="W1533" s="2">
        <f t="shared" si="717"/>
        <v>0</v>
      </c>
      <c r="X1533" s="2">
        <f t="shared" si="707"/>
        <v>42.940899999999999</v>
      </c>
      <c r="Y1533" s="2">
        <f t="shared" si="718"/>
        <v>0</v>
      </c>
      <c r="Z1533" s="2">
        <f t="shared" si="719"/>
        <v>42.940899999999999</v>
      </c>
      <c r="AA1533" s="2">
        <f t="shared" si="720"/>
        <v>0</v>
      </c>
      <c r="AB1533" s="2">
        <f t="shared" si="708"/>
        <v>42.940899999999999</v>
      </c>
      <c r="AC1533" s="625">
        <v>42.940899999999999</v>
      </c>
      <c r="AD1533" s="625">
        <v>42.940899999999999</v>
      </c>
      <c r="AE1533" s="625">
        <v>42.940899999999999</v>
      </c>
      <c r="AF1533" s="625">
        <v>42.940899999999999</v>
      </c>
      <c r="AG1533" s="625">
        <v>42.940899999999999</v>
      </c>
      <c r="AH1533" s="625">
        <v>42.940899999999999</v>
      </c>
      <c r="AI1533" s="625">
        <v>42.940899999999999</v>
      </c>
      <c r="AJ1533" s="625">
        <v>42.940899999999999</v>
      </c>
      <c r="AK1533" s="625">
        <v>42.940899999999999</v>
      </c>
      <c r="AL1533" s="625">
        <v>42.940899999999999</v>
      </c>
      <c r="AM1533" s="625">
        <v>42.940899999999999</v>
      </c>
      <c r="AN1533" s="625">
        <v>42.940899999999999</v>
      </c>
      <c r="AO1533" s="625">
        <v>42.940899999999999</v>
      </c>
      <c r="AP1533" s="41" t="str">
        <f t="shared" si="702"/>
        <v>Def TaxR</v>
      </c>
      <c r="AQ1533" s="41" t="str">
        <f t="shared" si="703"/>
        <v>Def TaxRR11Consulting Contract Reserve</v>
      </c>
      <c r="AR1533" s="41" t="str">
        <f t="shared" si="704"/>
        <v>R11Consulting Contract Reserve</v>
      </c>
    </row>
    <row r="1534" spans="1:44" s="41" customFormat="1" ht="12.75" customHeight="1">
      <c r="A1534" s="25" t="s">
        <v>1590</v>
      </c>
      <c r="B1534" s="25" t="str">
        <f t="shared" si="714"/>
        <v>Def Tax190012190-075BT010042</v>
      </c>
      <c r="C1534" s="736">
        <v>190012</v>
      </c>
      <c r="D1534" s="735" t="s">
        <v>1637</v>
      </c>
      <c r="E1534" s="41" t="s">
        <v>1638</v>
      </c>
      <c r="F1534" s="41" t="str">
        <f t="shared" si="705"/>
        <v>ACCUM DEFERRED INC TAXES - STATE - GAS</v>
      </c>
      <c r="G1534" s="41" t="s">
        <v>1639</v>
      </c>
      <c r="H1534" s="736" t="s">
        <v>1640</v>
      </c>
      <c r="I1534" s="25"/>
      <c r="J1534" s="25" t="str">
        <f t="shared" si="706"/>
        <v/>
      </c>
      <c r="K1534" s="442" t="str">
        <f t="shared" si="711"/>
        <v/>
      </c>
      <c r="L1534" s="736" t="s">
        <v>2443</v>
      </c>
      <c r="M1534" s="25" t="str">
        <f t="shared" si="729"/>
        <v>R</v>
      </c>
      <c r="N1534" s="25" t="str">
        <f>IF(L1534&lt;&gt;"",VLOOKUP(L1534,Categories!$B$2:$D$41,2,FALSE),IF(F1534&lt;&gt;"","No Cat",""))</f>
        <v>Rate Base</v>
      </c>
      <c r="O1534" s="25" t="str">
        <f>IF($L1534&lt;&gt;"",VLOOKUP($L1534,Categories!$B$2:$D$41,3,FALSE),IF($F1534&lt;&gt;"","No Cat",""))</f>
        <v>Deferred Income Taxes</v>
      </c>
      <c r="P1534" s="736" t="s">
        <v>2483</v>
      </c>
      <c r="Q1534" s="25" t="str">
        <f>VLOOKUP($P1534,Allocators!$B$7:$F$19,5,FALSE)</f>
        <v>Gas</v>
      </c>
      <c r="R1534" s="737">
        <f>VLOOKUP($P1534,Allocators!$B$7:$F$19,2,FALSE)</f>
        <v>0</v>
      </c>
      <c r="S1534" s="737">
        <f>VLOOKUP($P1534,Allocators!$B$7:$F$19,3,FALSE)</f>
        <v>1</v>
      </c>
      <c r="T1534" s="737" t="str">
        <f t="shared" si="725"/>
        <v>0.0%</v>
      </c>
      <c r="U1534" s="2" t="str">
        <f t="shared" si="715"/>
        <v/>
      </c>
      <c r="V1534" s="2" t="str">
        <f t="shared" si="716"/>
        <v/>
      </c>
      <c r="W1534" s="2" t="str">
        <f t="shared" si="717"/>
        <v/>
      </c>
      <c r="X1534" s="2">
        <f t="shared" si="707"/>
        <v>0</v>
      </c>
      <c r="Y1534" s="2" t="str">
        <f t="shared" si="718"/>
        <v/>
      </c>
      <c r="Z1534" s="2" t="str">
        <f t="shared" si="719"/>
        <v/>
      </c>
      <c r="AA1534" s="2" t="str">
        <f t="shared" si="720"/>
        <v/>
      </c>
      <c r="AB1534" s="2">
        <f t="shared" si="708"/>
        <v>0</v>
      </c>
      <c r="AC1534" s="625">
        <v>0</v>
      </c>
      <c r="AD1534" s="625">
        <v>0</v>
      </c>
      <c r="AE1534" s="625">
        <v>0</v>
      </c>
      <c r="AF1534" s="625">
        <v>0</v>
      </c>
      <c r="AG1534" s="625">
        <v>0</v>
      </c>
      <c r="AH1534" s="625">
        <v>0</v>
      </c>
      <c r="AI1534" s="625">
        <v>0</v>
      </c>
      <c r="AJ1534" s="625">
        <v>0</v>
      </c>
      <c r="AK1534" s="625">
        <v>0</v>
      </c>
      <c r="AL1534" s="625">
        <v>0</v>
      </c>
      <c r="AM1534" s="625">
        <v>0</v>
      </c>
      <c r="AN1534" s="625">
        <v>0</v>
      </c>
      <c r="AO1534" s="625">
        <v>0</v>
      </c>
      <c r="AP1534" s="41" t="str">
        <f t="shared" si="702"/>
        <v>Def TaxR</v>
      </c>
      <c r="AQ1534" s="41" t="str">
        <f t="shared" si="703"/>
        <v xml:space="preserve">Def TaxRR11Contractor Settlement </v>
      </c>
      <c r="AR1534" s="41" t="str">
        <f t="shared" si="704"/>
        <v xml:space="preserve">R11Contractor Settlement </v>
      </c>
    </row>
    <row r="1535" spans="1:44" s="41" customFormat="1" ht="12.75" customHeight="1">
      <c r="A1535" s="25" t="s">
        <v>1590</v>
      </c>
      <c r="B1535" s="25" t="str">
        <f t="shared" si="714"/>
        <v>Def Tax190012190-091BC030225/
BT010225</v>
      </c>
      <c r="C1535" s="736">
        <v>190012</v>
      </c>
      <c r="D1535" s="735" t="s">
        <v>1750</v>
      </c>
      <c r="E1535" s="41" t="s">
        <v>1751</v>
      </c>
      <c r="F1535" s="41" t="str">
        <f t="shared" si="705"/>
        <v>ACCUM DEFERRED INC TAXES - STATE - GAS</v>
      </c>
      <c r="G1535" s="41" t="s">
        <v>1752</v>
      </c>
      <c r="H1535" s="736" t="s">
        <v>1629</v>
      </c>
      <c r="I1535" s="25"/>
      <c r="J1535" s="25" t="str">
        <f t="shared" si="706"/>
        <v/>
      </c>
      <c r="K1535" s="442" t="str">
        <f t="shared" si="711"/>
        <v/>
      </c>
      <c r="L1535" s="736" t="s">
        <v>2443</v>
      </c>
      <c r="M1535" s="25" t="str">
        <f t="shared" si="729"/>
        <v>R</v>
      </c>
      <c r="N1535" s="25" t="str">
        <f>IF(L1535&lt;&gt;"",VLOOKUP(L1535,Categories!$B$2:$D$41,2,FALSE),IF(F1535&lt;&gt;"","No Cat",""))</f>
        <v>Rate Base</v>
      </c>
      <c r="O1535" s="25" t="str">
        <f>IF($L1535&lt;&gt;"",VLOOKUP($L1535,Categories!$B$2:$D$41,3,FALSE),IF($F1535&lt;&gt;"","No Cat",""))</f>
        <v>Deferred Income Taxes</v>
      </c>
      <c r="P1535" s="736" t="s">
        <v>2483</v>
      </c>
      <c r="Q1535" s="25" t="str">
        <f>VLOOKUP($P1535,Allocators!$B$7:$F$19,5,FALSE)</f>
        <v>Gas</v>
      </c>
      <c r="R1535" s="737">
        <f>VLOOKUP($P1535,Allocators!$B$7:$F$19,2,FALSE)</f>
        <v>0</v>
      </c>
      <c r="S1535" s="737">
        <f>VLOOKUP($P1535,Allocators!$B$7:$F$19,3,FALSE)</f>
        <v>1</v>
      </c>
      <c r="T1535" s="737" t="str">
        <f t="shared" si="725"/>
        <v>0.0%</v>
      </c>
      <c r="U1535" s="2" t="str">
        <f t="shared" si="715"/>
        <v/>
      </c>
      <c r="V1535" s="2" t="str">
        <f t="shared" si="716"/>
        <v/>
      </c>
      <c r="W1535" s="2" t="str">
        <f t="shared" si="717"/>
        <v/>
      </c>
      <c r="X1535" s="2">
        <f t="shared" si="707"/>
        <v>0</v>
      </c>
      <c r="Y1535" s="2" t="str">
        <f t="shared" si="718"/>
        <v/>
      </c>
      <c r="Z1535" s="2" t="str">
        <f t="shared" si="719"/>
        <v/>
      </c>
      <c r="AA1535" s="2" t="str">
        <f t="shared" si="720"/>
        <v/>
      </c>
      <c r="AB1535" s="2">
        <f t="shared" si="708"/>
        <v>0</v>
      </c>
      <c r="AC1535" s="625">
        <v>0</v>
      </c>
      <c r="AD1535" s="625">
        <v>0</v>
      </c>
      <c r="AE1535" s="625">
        <v>0</v>
      </c>
      <c r="AF1535" s="625">
        <v>0</v>
      </c>
      <c r="AG1535" s="625">
        <v>0</v>
      </c>
      <c r="AH1535" s="625">
        <v>0</v>
      </c>
      <c r="AI1535" s="625">
        <v>0</v>
      </c>
      <c r="AJ1535" s="625">
        <v>0</v>
      </c>
      <c r="AK1535" s="625">
        <v>0</v>
      </c>
      <c r="AL1535" s="625">
        <v>0</v>
      </c>
      <c r="AM1535" s="625">
        <v>0</v>
      </c>
      <c r="AN1535" s="625">
        <v>0</v>
      </c>
      <c r="AO1535" s="625">
        <v>0</v>
      </c>
      <c r="AP1535" s="41" t="str">
        <f t="shared" si="702"/>
        <v>Def TaxR</v>
      </c>
      <c r="AQ1535" s="41" t="str">
        <f t="shared" si="703"/>
        <v>Def TaxRR11Merger Related</v>
      </c>
      <c r="AR1535" s="41" t="str">
        <f t="shared" si="704"/>
        <v>R11Merger Related</v>
      </c>
    </row>
    <row r="1536" spans="1:44" s="41" customFormat="1" ht="12.75" customHeight="1">
      <c r="A1536" s="25" t="s">
        <v>1590</v>
      </c>
      <c r="B1536" s="25" t="str">
        <f t="shared" si="714"/>
        <v>Def Tax190012Debt AdjBDEFAULT</v>
      </c>
      <c r="C1536" s="736">
        <v>190012</v>
      </c>
      <c r="D1536" s="735" t="s">
        <v>1773</v>
      </c>
      <c r="E1536" s="41" t="s">
        <v>1620</v>
      </c>
      <c r="F1536" s="41" t="str">
        <f t="shared" si="705"/>
        <v>ACCUM DEFERRED INC TAXES - STATE - GAS</v>
      </c>
      <c r="G1536" s="41" t="s">
        <v>1774</v>
      </c>
      <c r="H1536" s="736" t="s">
        <v>1775</v>
      </c>
      <c r="I1536" s="25"/>
      <c r="J1536" s="25" t="str">
        <f t="shared" si="706"/>
        <v/>
      </c>
      <c r="K1536" s="442" t="str">
        <f t="shared" si="711"/>
        <v/>
      </c>
      <c r="L1536" s="736" t="s">
        <v>2443</v>
      </c>
      <c r="M1536" s="25" t="str">
        <f t="shared" si="729"/>
        <v>R</v>
      </c>
      <c r="N1536" s="25" t="str">
        <f>IF(L1536&lt;&gt;"",VLOOKUP(L1536,Categories!$B$2:$D$41,2,FALSE),IF(F1536&lt;&gt;"","No Cat",""))</f>
        <v>Rate Base</v>
      </c>
      <c r="O1536" s="25" t="str">
        <f>IF($L1536&lt;&gt;"",VLOOKUP($L1536,Categories!$B$2:$D$41,3,FALSE),IF($F1536&lt;&gt;"","No Cat",""))</f>
        <v>Deferred Income Taxes</v>
      </c>
      <c r="P1536" s="736" t="s">
        <v>2483</v>
      </c>
      <c r="Q1536" s="25" t="str">
        <f>VLOOKUP($P1536,Allocators!$B$7:$F$19,5,FALSE)</f>
        <v>Gas</v>
      </c>
      <c r="R1536" s="737">
        <f>VLOOKUP($P1536,Allocators!$B$7:$F$19,2,FALSE)</f>
        <v>0</v>
      </c>
      <c r="S1536" s="737">
        <f>VLOOKUP($P1536,Allocators!$B$7:$F$19,3,FALSE)</f>
        <v>1</v>
      </c>
      <c r="T1536" s="737" t="str">
        <f t="shared" si="725"/>
        <v>0.0%</v>
      </c>
      <c r="U1536" s="2" t="str">
        <f t="shared" si="715"/>
        <v/>
      </c>
      <c r="V1536" s="2" t="str">
        <f t="shared" si="716"/>
        <v/>
      </c>
      <c r="W1536" s="2" t="str">
        <f t="shared" si="717"/>
        <v/>
      </c>
      <c r="X1536" s="2">
        <f t="shared" si="707"/>
        <v>0</v>
      </c>
      <c r="Y1536" s="2" t="str">
        <f t="shared" si="718"/>
        <v/>
      </c>
      <c r="Z1536" s="2" t="str">
        <f t="shared" si="719"/>
        <v/>
      </c>
      <c r="AA1536" s="2" t="str">
        <f t="shared" si="720"/>
        <v/>
      </c>
      <c r="AB1536" s="2">
        <f t="shared" si="708"/>
        <v>0</v>
      </c>
      <c r="AC1536" s="625">
        <v>0</v>
      </c>
      <c r="AD1536" s="625">
        <v>0</v>
      </c>
      <c r="AE1536" s="625">
        <v>0</v>
      </c>
      <c r="AF1536" s="625">
        <v>0</v>
      </c>
      <c r="AG1536" s="625">
        <v>0</v>
      </c>
      <c r="AH1536" s="625">
        <v>0</v>
      </c>
      <c r="AI1536" s="625">
        <v>0</v>
      </c>
      <c r="AJ1536" s="625">
        <v>0</v>
      </c>
      <c r="AK1536" s="625">
        <v>0</v>
      </c>
      <c r="AL1536" s="625">
        <v>0</v>
      </c>
      <c r="AM1536" s="625">
        <v>0</v>
      </c>
      <c r="AN1536" s="625">
        <v>0</v>
      </c>
      <c r="AO1536" s="625">
        <v>0</v>
      </c>
      <c r="AP1536" s="41" t="str">
        <f t="shared" si="702"/>
        <v>Def TaxR</v>
      </c>
      <c r="AQ1536" s="41" t="str">
        <f t="shared" si="703"/>
        <v>Def TaxRR11Gain/Loss on Reacquired Debt</v>
      </c>
      <c r="AR1536" s="41" t="str">
        <f t="shared" si="704"/>
        <v>R11Gain/Loss on Reacquired Debt</v>
      </c>
    </row>
    <row r="1537" spans="1:44" s="41" customFormat="1" ht="12.75" customHeight="1">
      <c r="A1537" s="25" t="s">
        <v>1590</v>
      </c>
      <c r="B1537" s="25" t="str">
        <f t="shared" si="714"/>
        <v>Def Tax190012190-089BTHUNGDT</v>
      </c>
      <c r="C1537" s="736">
        <v>190012</v>
      </c>
      <c r="D1537" s="735" t="s">
        <v>1648</v>
      </c>
      <c r="E1537" s="41" t="s">
        <v>1624</v>
      </c>
      <c r="F1537" s="41" t="str">
        <f t="shared" si="705"/>
        <v>ACCUM DEFERRED INC TAXES - STATE - GAS</v>
      </c>
      <c r="G1537" s="41" t="s">
        <v>1649</v>
      </c>
      <c r="H1537" s="736" t="s">
        <v>1629</v>
      </c>
      <c r="I1537" s="25"/>
      <c r="J1537" s="25" t="str">
        <f t="shared" si="706"/>
        <v/>
      </c>
      <c r="K1537" s="442" t="str">
        <f t="shared" si="711"/>
        <v/>
      </c>
      <c r="L1537" s="736" t="s">
        <v>2443</v>
      </c>
      <c r="M1537" s="25" t="str">
        <f t="shared" si="729"/>
        <v>R</v>
      </c>
      <c r="N1537" s="25" t="str">
        <f>IF(L1537&lt;&gt;"",VLOOKUP(L1537,Categories!$B$2:$D$41,2,FALSE),IF(F1537&lt;&gt;"","No Cat",""))</f>
        <v>Rate Base</v>
      </c>
      <c r="O1537" s="25" t="str">
        <f>IF($L1537&lt;&gt;"",VLOOKUP($L1537,Categories!$B$2:$D$41,3,FALSE),IF($F1537&lt;&gt;"","No Cat",""))</f>
        <v>Deferred Income Taxes</v>
      </c>
      <c r="P1537" s="736" t="s">
        <v>2483</v>
      </c>
      <c r="Q1537" s="25" t="str">
        <f>VLOOKUP($P1537,Allocators!$B$7:$F$19,5,FALSE)</f>
        <v>Gas</v>
      </c>
      <c r="R1537" s="737">
        <f>VLOOKUP($P1537,Allocators!$B$7:$F$19,2,FALSE)</f>
        <v>0</v>
      </c>
      <c r="S1537" s="737">
        <f>VLOOKUP($P1537,Allocators!$B$7:$F$19,3,FALSE)</f>
        <v>1</v>
      </c>
      <c r="T1537" s="737" t="str">
        <f t="shared" si="725"/>
        <v>0.0%</v>
      </c>
      <c r="U1537" s="2" t="str">
        <f t="shared" si="715"/>
        <v/>
      </c>
      <c r="V1537" s="2" t="str">
        <f t="shared" si="716"/>
        <v/>
      </c>
      <c r="W1537" s="2" t="str">
        <f t="shared" si="717"/>
        <v/>
      </c>
      <c r="X1537" s="2">
        <f t="shared" si="707"/>
        <v>0</v>
      </c>
      <c r="Y1537" s="2" t="str">
        <f t="shared" si="718"/>
        <v/>
      </c>
      <c r="Z1537" s="2" t="str">
        <f t="shared" si="719"/>
        <v/>
      </c>
      <c r="AA1537" s="2" t="str">
        <f t="shared" si="720"/>
        <v/>
      </c>
      <c r="AB1537" s="2">
        <f t="shared" si="708"/>
        <v>0</v>
      </c>
      <c r="AC1537" s="625">
        <v>0</v>
      </c>
      <c r="AD1537" s="625">
        <v>0</v>
      </c>
      <c r="AE1537" s="625">
        <v>0</v>
      </c>
      <c r="AF1537" s="625">
        <v>0</v>
      </c>
      <c r="AG1537" s="625">
        <v>0</v>
      </c>
      <c r="AH1537" s="625">
        <v>0</v>
      </c>
      <c r="AI1537" s="625">
        <v>0</v>
      </c>
      <c r="AJ1537" s="625">
        <v>0</v>
      </c>
      <c r="AK1537" s="625">
        <v>0</v>
      </c>
      <c r="AL1537" s="625">
        <v>0</v>
      </c>
      <c r="AM1537" s="625">
        <v>0</v>
      </c>
      <c r="AN1537" s="625">
        <v>0</v>
      </c>
      <c r="AO1537" s="625">
        <v>0</v>
      </c>
      <c r="AP1537" s="41" t="str">
        <f t="shared" si="702"/>
        <v>Def TaxR</v>
      </c>
      <c r="AQ1537" s="41" t="str">
        <f t="shared" si="703"/>
        <v>Def TaxRR11Merger Related</v>
      </c>
      <c r="AR1537" s="41" t="str">
        <f t="shared" si="704"/>
        <v>R11Merger Related</v>
      </c>
    </row>
    <row r="1538" spans="1:44" s="41" customFormat="1" ht="12.75" customHeight="1">
      <c r="A1538" s="442" t="s">
        <v>1590</v>
      </c>
      <c r="B1538" s="442" t="str">
        <f t="shared" si="714"/>
        <v>Def Tax190012190-104</v>
      </c>
      <c r="C1538" s="736">
        <v>190012</v>
      </c>
      <c r="D1538" s="735" t="s">
        <v>1763</v>
      </c>
      <c r="E1538" s="626"/>
      <c r="F1538" s="626" t="str">
        <f t="shared" si="705"/>
        <v>ACCUM DEFERRED INC TAXES - STATE - GAS</v>
      </c>
      <c r="G1538" s="626" t="s">
        <v>1764</v>
      </c>
      <c r="H1538" s="736" t="s">
        <v>1765</v>
      </c>
      <c r="I1538" s="442"/>
      <c r="J1538" s="442" t="str">
        <f t="shared" si="706"/>
        <v/>
      </c>
      <c r="K1538" s="442" t="str">
        <f t="shared" si="711"/>
        <v/>
      </c>
      <c r="L1538" s="736" t="s">
        <v>2421</v>
      </c>
      <c r="M1538" s="442" t="str">
        <f t="shared" si="729"/>
        <v>N</v>
      </c>
      <c r="N1538" s="442" t="str">
        <f>IF(L1538&lt;&gt;"",VLOOKUP(L1538,Categories!$B$2:$D$41,2,FALSE),IF(F1538&lt;&gt;"","No Cat",""))</f>
        <v>NRBASE</v>
      </c>
      <c r="O1538" s="442" t="str">
        <f>IF($L1538&lt;&gt;"",VLOOKUP($L1538,Categories!$B$2:$D$41,3,FALSE),IF($F1538&lt;&gt;"","No Cat",""))</f>
        <v>Direct Assign Items Not in RB</v>
      </c>
      <c r="P1538" s="736" t="s">
        <v>2468</v>
      </c>
      <c r="Q1538" s="442" t="str">
        <f>VLOOKUP($P1538,Allocators!$B$7:$F$19,5,FALSE)</f>
        <v>Not in Rate Base</v>
      </c>
      <c r="R1538" s="737">
        <f>VLOOKUP($P1538,Allocators!$B$7:$F$19,2,FALSE)</f>
        <v>0</v>
      </c>
      <c r="S1538" s="737">
        <f>VLOOKUP($P1538,Allocators!$B$7:$F$19,3,FALSE)</f>
        <v>0</v>
      </c>
      <c r="T1538" s="737">
        <f t="shared" si="725"/>
        <v>1</v>
      </c>
      <c r="U1538" s="2" t="str">
        <f t="shared" si="715"/>
        <v/>
      </c>
      <c r="V1538" s="2" t="str">
        <f t="shared" si="716"/>
        <v/>
      </c>
      <c r="W1538" s="2" t="str">
        <f t="shared" si="717"/>
        <v/>
      </c>
      <c r="X1538" s="2">
        <f t="shared" si="707"/>
        <v>0</v>
      </c>
      <c r="Y1538" s="2" t="str">
        <f t="shared" si="718"/>
        <v/>
      </c>
      <c r="Z1538" s="2" t="str">
        <f t="shared" si="719"/>
        <v/>
      </c>
      <c r="AA1538" s="2" t="str">
        <f t="shared" si="720"/>
        <v/>
      </c>
      <c r="AB1538" s="2">
        <f t="shared" si="708"/>
        <v>0</v>
      </c>
      <c r="AC1538" s="625">
        <v>0</v>
      </c>
      <c r="AD1538" s="625">
        <v>0</v>
      </c>
      <c r="AE1538" s="625">
        <v>0</v>
      </c>
      <c r="AF1538" s="625">
        <v>0</v>
      </c>
      <c r="AG1538" s="625">
        <v>0</v>
      </c>
      <c r="AH1538" s="625">
        <v>0</v>
      </c>
      <c r="AI1538" s="625">
        <v>0</v>
      </c>
      <c r="AJ1538" s="625">
        <v>0</v>
      </c>
      <c r="AK1538" s="625">
        <v>0</v>
      </c>
      <c r="AL1538" s="625">
        <v>0</v>
      </c>
      <c r="AM1538" s="625">
        <v>0</v>
      </c>
      <c r="AN1538" s="625">
        <v>0</v>
      </c>
      <c r="AO1538" s="625">
        <v>0</v>
      </c>
      <c r="AP1538" s="41" t="str">
        <f t="shared" si="702"/>
        <v>Def TaxN</v>
      </c>
      <c r="AQ1538" s="41" t="str">
        <f t="shared" si="703"/>
        <v>Def TaxNN2Earnings Sharing</v>
      </c>
      <c r="AR1538" s="41" t="str">
        <f t="shared" si="704"/>
        <v>N2Earnings Sharing</v>
      </c>
    </row>
    <row r="1539" spans="1:44" s="41" customFormat="1" ht="12.75" customHeight="1">
      <c r="A1539" s="442" t="s">
        <v>1590</v>
      </c>
      <c r="B1539" s="442" t="str">
        <f t="shared" si="714"/>
        <v>Def Tax190012190-098-JP</v>
      </c>
      <c r="C1539" s="736">
        <v>190012</v>
      </c>
      <c r="D1539" s="735" t="s">
        <v>1758</v>
      </c>
      <c r="E1539" s="626"/>
      <c r="F1539" s="626" t="str">
        <f t="shared" si="705"/>
        <v>ACCUM DEFERRED INC TAXES - STATE - GAS</v>
      </c>
      <c r="G1539" s="626" t="s">
        <v>1759</v>
      </c>
      <c r="H1539" s="736" t="s">
        <v>1760</v>
      </c>
      <c r="I1539" s="442"/>
      <c r="J1539" s="442" t="str">
        <f t="shared" si="706"/>
        <v/>
      </c>
      <c r="K1539" s="442" t="str">
        <f t="shared" si="711"/>
        <v/>
      </c>
      <c r="L1539" s="736" t="s">
        <v>2421</v>
      </c>
      <c r="M1539" s="442" t="str">
        <f t="shared" si="729"/>
        <v>N</v>
      </c>
      <c r="N1539" s="442" t="str">
        <f>IF(L1539&lt;&gt;"",VLOOKUP(L1539,Categories!$B$2:$D$41,2,FALSE),IF(F1539&lt;&gt;"","No Cat",""))</f>
        <v>NRBASE</v>
      </c>
      <c r="O1539" s="442" t="str">
        <f>IF($L1539&lt;&gt;"",VLOOKUP($L1539,Categories!$B$2:$D$41,3,FALSE),IF($F1539&lt;&gt;"","No Cat",""))</f>
        <v>Direct Assign Items Not in RB</v>
      </c>
      <c r="P1539" s="736" t="s">
        <v>2468</v>
      </c>
      <c r="Q1539" s="442" t="str">
        <f>VLOOKUP($P1539,Allocators!$B$7:$F$19,5,FALSE)</f>
        <v>Not in Rate Base</v>
      </c>
      <c r="R1539" s="737">
        <f>VLOOKUP($P1539,Allocators!$B$7:$F$19,2,FALSE)</f>
        <v>0</v>
      </c>
      <c r="S1539" s="737">
        <f>VLOOKUP($P1539,Allocators!$B$7:$F$19,3,FALSE)</f>
        <v>0</v>
      </c>
      <c r="T1539" s="737">
        <f t="shared" si="725"/>
        <v>1</v>
      </c>
      <c r="U1539" s="2" t="str">
        <f t="shared" si="715"/>
        <v/>
      </c>
      <c r="V1539" s="2" t="str">
        <f t="shared" si="716"/>
        <v/>
      </c>
      <c r="W1539" s="2" t="str">
        <f t="shared" si="717"/>
        <v/>
      </c>
      <c r="X1539" s="2">
        <f t="shared" si="707"/>
        <v>0</v>
      </c>
      <c r="Y1539" s="2" t="str">
        <f t="shared" si="718"/>
        <v/>
      </c>
      <c r="Z1539" s="2" t="str">
        <f t="shared" si="719"/>
        <v/>
      </c>
      <c r="AA1539" s="2" t="str">
        <f t="shared" si="720"/>
        <v/>
      </c>
      <c r="AB1539" s="2">
        <f t="shared" si="708"/>
        <v>0</v>
      </c>
      <c r="AC1539" s="625">
        <v>0</v>
      </c>
      <c r="AD1539" s="625">
        <v>0</v>
      </c>
      <c r="AE1539" s="625">
        <v>0</v>
      </c>
      <c r="AF1539" s="625">
        <v>0</v>
      </c>
      <c r="AG1539" s="625">
        <v>0</v>
      </c>
      <c r="AH1539" s="625">
        <v>0</v>
      </c>
      <c r="AI1539" s="625">
        <v>0</v>
      </c>
      <c r="AJ1539" s="625">
        <v>0</v>
      </c>
      <c r="AK1539" s="625">
        <v>0</v>
      </c>
      <c r="AL1539" s="625">
        <v>0</v>
      </c>
      <c r="AM1539" s="625">
        <v>0</v>
      </c>
      <c r="AN1539" s="625">
        <v>0</v>
      </c>
      <c r="AO1539" s="625">
        <v>0</v>
      </c>
      <c r="AP1539" s="41" t="str">
        <f t="shared" si="702"/>
        <v>Def TaxN</v>
      </c>
      <c r="AQ1539" s="41" t="str">
        <f t="shared" si="703"/>
        <v>Def TaxNN2Exogenous Costs</v>
      </c>
      <c r="AR1539" s="41" t="str">
        <f t="shared" si="704"/>
        <v>N2Exogenous Costs</v>
      </c>
    </row>
    <row r="1540" spans="1:44" s="41" customFormat="1" ht="12.75" customHeight="1">
      <c r="A1540" s="25" t="s">
        <v>1590</v>
      </c>
      <c r="B1540" s="25" t="str">
        <f t="shared" si="714"/>
        <v>Def Tax190012190-102</v>
      </c>
      <c r="C1540" s="736">
        <v>190012</v>
      </c>
      <c r="D1540" s="735" t="s">
        <v>1761</v>
      </c>
      <c r="F1540" s="41" t="str">
        <f t="shared" si="705"/>
        <v>ACCUM DEFERRED INC TAXES - STATE - GAS</v>
      </c>
      <c r="G1540" s="41" t="s">
        <v>1762</v>
      </c>
      <c r="H1540" s="736" t="s">
        <v>1114</v>
      </c>
      <c r="I1540" s="25"/>
      <c r="J1540" s="25" t="str">
        <f t="shared" si="706"/>
        <v/>
      </c>
      <c r="K1540" s="442" t="str">
        <f t="shared" si="711"/>
        <v/>
      </c>
      <c r="L1540" s="736" t="s">
        <v>2443</v>
      </c>
      <c r="M1540" s="25" t="str">
        <f t="shared" si="729"/>
        <v>R</v>
      </c>
      <c r="N1540" s="25" t="str">
        <f>IF(L1540&lt;&gt;"",VLOOKUP(L1540,Categories!$B$2:$D$41,2,FALSE),IF(F1540&lt;&gt;"","No Cat",""))</f>
        <v>Rate Base</v>
      </c>
      <c r="O1540" s="25" t="str">
        <f>IF($L1540&lt;&gt;"",VLOOKUP($L1540,Categories!$B$2:$D$41,3,FALSE),IF($F1540&lt;&gt;"","No Cat",""))</f>
        <v>Deferred Income Taxes</v>
      </c>
      <c r="P1540" s="736" t="s">
        <v>2483</v>
      </c>
      <c r="Q1540" s="25" t="str">
        <f>VLOOKUP($P1540,Allocators!$B$7:$F$19,5,FALSE)</f>
        <v>Gas</v>
      </c>
      <c r="R1540" s="737">
        <f>VLOOKUP($P1540,Allocators!$B$7:$F$19,2,FALSE)</f>
        <v>0</v>
      </c>
      <c r="S1540" s="737">
        <f>VLOOKUP($P1540,Allocators!$B$7:$F$19,3,FALSE)</f>
        <v>1</v>
      </c>
      <c r="T1540" s="737" t="str">
        <f t="shared" si="725"/>
        <v>0.0%</v>
      </c>
      <c r="U1540" s="2" t="str">
        <f t="shared" si="715"/>
        <v/>
      </c>
      <c r="V1540" s="2" t="str">
        <f t="shared" si="716"/>
        <v/>
      </c>
      <c r="W1540" s="2" t="str">
        <f t="shared" si="717"/>
        <v/>
      </c>
      <c r="X1540" s="2">
        <f t="shared" si="707"/>
        <v>0</v>
      </c>
      <c r="Y1540" s="2" t="str">
        <f t="shared" si="718"/>
        <v/>
      </c>
      <c r="Z1540" s="2" t="str">
        <f t="shared" si="719"/>
        <v/>
      </c>
      <c r="AA1540" s="2" t="str">
        <f t="shared" si="720"/>
        <v/>
      </c>
      <c r="AB1540" s="2">
        <f t="shared" si="708"/>
        <v>0</v>
      </c>
      <c r="AC1540" s="625">
        <v>0</v>
      </c>
      <c r="AD1540" s="625">
        <v>0</v>
      </c>
      <c r="AE1540" s="625">
        <v>0</v>
      </c>
      <c r="AF1540" s="625">
        <v>0</v>
      </c>
      <c r="AG1540" s="625">
        <v>0</v>
      </c>
      <c r="AH1540" s="625">
        <v>0</v>
      </c>
      <c r="AI1540" s="625">
        <v>0</v>
      </c>
      <c r="AJ1540" s="625">
        <v>0</v>
      </c>
      <c r="AK1540" s="625">
        <v>0</v>
      </c>
      <c r="AL1540" s="625">
        <v>0</v>
      </c>
      <c r="AM1540" s="625">
        <v>0</v>
      </c>
      <c r="AN1540" s="625">
        <v>0</v>
      </c>
      <c r="AO1540" s="625">
        <v>0</v>
      </c>
      <c r="AP1540" s="41" t="str">
        <f t="shared" si="702"/>
        <v>Def TaxR</v>
      </c>
      <c r="AQ1540" s="41" t="str">
        <f t="shared" si="703"/>
        <v>Def TaxRR11Sarbanes-Oxley</v>
      </c>
      <c r="AR1540" s="41" t="str">
        <f t="shared" si="704"/>
        <v>R11Sarbanes-Oxley</v>
      </c>
    </row>
    <row r="1541" spans="1:44" s="41" customFormat="1" ht="12.75" customHeight="1">
      <c r="A1541" s="25" t="s">
        <v>1590</v>
      </c>
      <c r="B1541" s="25" t="str">
        <f t="shared" si="714"/>
        <v>Def Tax190012283-032BT010088</v>
      </c>
      <c r="C1541" s="736">
        <v>190012</v>
      </c>
      <c r="D1541" s="735" t="s">
        <v>1650</v>
      </c>
      <c r="E1541" s="41" t="s">
        <v>1651</v>
      </c>
      <c r="F1541" s="41" t="str">
        <f t="shared" si="705"/>
        <v>ACCUM DEFERRED INC TAXES - STATE - GAS</v>
      </c>
      <c r="G1541" s="41" t="s">
        <v>1652</v>
      </c>
      <c r="H1541" s="736" t="s">
        <v>1586</v>
      </c>
      <c r="I1541" s="25"/>
      <c r="J1541" s="25" t="str">
        <f t="shared" si="706"/>
        <v/>
      </c>
      <c r="K1541" s="442" t="str">
        <f t="shared" si="711"/>
        <v/>
      </c>
      <c r="L1541" s="736" t="s">
        <v>2443</v>
      </c>
      <c r="M1541" s="25" t="str">
        <f t="shared" si="729"/>
        <v>R</v>
      </c>
      <c r="N1541" s="25" t="str">
        <f>IF(L1541&lt;&gt;"",VLOOKUP(L1541,Categories!$B$2:$D$41,2,FALSE),IF(F1541&lt;&gt;"","No Cat",""))</f>
        <v>Rate Base</v>
      </c>
      <c r="O1541" s="25" t="str">
        <f>IF($L1541&lt;&gt;"",VLOOKUP($L1541,Categories!$B$2:$D$41,3,FALSE),IF($F1541&lt;&gt;"","No Cat",""))</f>
        <v>Deferred Income Taxes</v>
      </c>
      <c r="P1541" s="736" t="s">
        <v>2483</v>
      </c>
      <c r="Q1541" s="25" t="str">
        <f>VLOOKUP($P1541,Allocators!$B$7:$F$19,5,FALSE)</f>
        <v>Gas</v>
      </c>
      <c r="R1541" s="737">
        <f>VLOOKUP($P1541,Allocators!$B$7:$F$19,2,FALSE)</f>
        <v>0</v>
      </c>
      <c r="S1541" s="737">
        <f>VLOOKUP($P1541,Allocators!$B$7:$F$19,3,FALSE)</f>
        <v>1</v>
      </c>
      <c r="T1541" s="737" t="str">
        <f t="shared" si="725"/>
        <v>0.0%</v>
      </c>
      <c r="U1541" s="2" t="str">
        <f t="shared" si="715"/>
        <v/>
      </c>
      <c r="V1541" s="2" t="str">
        <f t="shared" si="716"/>
        <v/>
      </c>
      <c r="W1541" s="2" t="str">
        <f t="shared" si="717"/>
        <v/>
      </c>
      <c r="X1541" s="2">
        <f t="shared" si="707"/>
        <v>0</v>
      </c>
      <c r="Y1541" s="2" t="str">
        <f t="shared" si="718"/>
        <v/>
      </c>
      <c r="Z1541" s="2" t="str">
        <f t="shared" si="719"/>
        <v/>
      </c>
      <c r="AA1541" s="2" t="str">
        <f t="shared" si="720"/>
        <v/>
      </c>
      <c r="AB1541" s="2">
        <f t="shared" si="708"/>
        <v>0</v>
      </c>
      <c r="AC1541" s="625">
        <v>0</v>
      </c>
      <c r="AD1541" s="625">
        <v>0</v>
      </c>
      <c r="AE1541" s="625">
        <v>0</v>
      </c>
      <c r="AF1541" s="625">
        <v>0</v>
      </c>
      <c r="AG1541" s="625">
        <v>0</v>
      </c>
      <c r="AH1541" s="625">
        <v>0</v>
      </c>
      <c r="AI1541" s="625">
        <v>0</v>
      </c>
      <c r="AJ1541" s="625">
        <v>0</v>
      </c>
      <c r="AK1541" s="625">
        <v>0</v>
      </c>
      <c r="AL1541" s="625">
        <v>0</v>
      </c>
      <c r="AM1541" s="625">
        <v>0</v>
      </c>
      <c r="AN1541" s="625">
        <v>0</v>
      </c>
      <c r="AO1541" s="625">
        <v>0</v>
      </c>
      <c r="AP1541" s="41" t="str">
        <f t="shared" si="702"/>
        <v>Def TaxR</v>
      </c>
      <c r="AQ1541" s="41" t="str">
        <f t="shared" si="703"/>
        <v>Def TaxRR11FAS 112</v>
      </c>
      <c r="AR1541" s="41" t="str">
        <f t="shared" si="704"/>
        <v>R11FAS 112</v>
      </c>
    </row>
    <row r="1542" spans="1:44" s="41" customFormat="1" ht="12.75" customHeight="1">
      <c r="A1542" s="25" t="s">
        <v>1590</v>
      </c>
      <c r="B1542" s="25" t="str">
        <f t="shared" ref="B1542" si="738">CONCATENATE(A1542,C1542,D1542,E1542)</f>
        <v>Def Tax190012</v>
      </c>
      <c r="C1542" s="736">
        <v>190012</v>
      </c>
      <c r="D1542" s="735"/>
      <c r="F1542" s="41" t="str">
        <f t="shared" si="705"/>
        <v>ACCUM DEFERRED INC TAXES - STATE - GAS</v>
      </c>
      <c r="G1542" s="41" t="s">
        <v>4291</v>
      </c>
      <c r="H1542" s="736" t="s">
        <v>2559</v>
      </c>
      <c r="I1542" s="25"/>
      <c r="J1542" s="25"/>
      <c r="K1542" s="442" t="str">
        <f t="shared" si="711"/>
        <v/>
      </c>
      <c r="L1542" s="736" t="s">
        <v>2393</v>
      </c>
      <c r="M1542" s="25" t="str">
        <f t="shared" si="729"/>
        <v>A</v>
      </c>
      <c r="N1542" s="25" t="str">
        <f>IF(L1542&lt;&gt;"",VLOOKUP(L1542,Categories!$B$2:$D$41,2,FALSE),IF(F1542&lt;&gt;"","No Cat",""))</f>
        <v>All Other</v>
      </c>
      <c r="O1542" s="25" t="str">
        <f>IF($L1542&lt;&gt;"",VLOOKUP($L1542,Categories!$B$2:$D$41,3,FALSE),IF($F1542&lt;&gt;"","No Cat",""))</f>
        <v>EB-Cap</v>
      </c>
      <c r="P1542" s="736" t="s">
        <v>2490</v>
      </c>
      <c r="Q1542" s="25" t="str">
        <f>VLOOKUP($P1542,Allocators!$B$7:$F$19,5,FALSE)</f>
        <v>Rate Base</v>
      </c>
      <c r="R1542" s="737">
        <f>VLOOKUP($P1542,Allocators!$B$7:$F$19,2,FALSE)</f>
        <v>0.70940000000000003</v>
      </c>
      <c r="S1542" s="737">
        <f>VLOOKUP($P1542,Allocators!$B$7:$F$19,3,FALSE)</f>
        <v>0.29060000000000002</v>
      </c>
      <c r="T1542" s="737" t="str">
        <f t="shared" si="725"/>
        <v>0.0%</v>
      </c>
      <c r="U1542" s="2">
        <f t="shared" si="715"/>
        <v>4.8394676833333401</v>
      </c>
      <c r="V1542" s="2">
        <f t="shared" si="716"/>
        <v>1.9824489833333301</v>
      </c>
      <c r="W1542" s="2">
        <f t="shared" si="717"/>
        <v>0</v>
      </c>
      <c r="X1542" s="2">
        <f t="shared" si="707"/>
        <v>6.8219166666666702</v>
      </c>
      <c r="Y1542" s="2">
        <f t="shared" si="718"/>
        <v>4.3315963999999996</v>
      </c>
      <c r="Z1542" s="2">
        <f t="shared" si="719"/>
        <v>1.7744036000000001</v>
      </c>
      <c r="AA1542" s="2">
        <f t="shared" si="720"/>
        <v>0</v>
      </c>
      <c r="AB1542" s="2">
        <f t="shared" si="708"/>
        <v>6.1059999999999999</v>
      </c>
      <c r="AC1542" s="625">
        <v>5.9640000000000004</v>
      </c>
      <c r="AD1542" s="625">
        <v>5.9640000000000004</v>
      </c>
      <c r="AE1542" s="625">
        <v>6.6029999999999998</v>
      </c>
      <c r="AF1542" s="625">
        <v>6.8869999999999996</v>
      </c>
      <c r="AG1542" s="625">
        <v>6.8869999999999996</v>
      </c>
      <c r="AH1542" s="625">
        <v>7.6680000000000001</v>
      </c>
      <c r="AI1542" s="625">
        <v>7.952</v>
      </c>
      <c r="AJ1542" s="625">
        <v>7.952</v>
      </c>
      <c r="AK1542" s="625">
        <v>8.6620000000000008</v>
      </c>
      <c r="AL1542" s="625">
        <v>5.3250000000000002</v>
      </c>
      <c r="AM1542" s="625">
        <v>5.7510000000000003</v>
      </c>
      <c r="AN1542" s="625">
        <v>6.1769999999999996</v>
      </c>
      <c r="AO1542" s="625">
        <v>6.1059999999999999</v>
      </c>
      <c r="AP1542" s="41" t="str">
        <f t="shared" si="702"/>
        <v>Def TaxA</v>
      </c>
      <c r="AQ1542" s="41" t="str">
        <f t="shared" si="703"/>
        <v>Def TaxAA2Fin 48 Reclass</v>
      </c>
      <c r="AR1542" s="41" t="str">
        <f t="shared" si="704"/>
        <v>A2Fin 48 Reclass</v>
      </c>
    </row>
    <row r="1543" spans="1:44" s="41" customFormat="1" ht="12.75" customHeight="1">
      <c r="A1543" s="25" t="s">
        <v>1590</v>
      </c>
      <c r="B1543" s="25" t="str">
        <f t="shared" si="714"/>
        <v>Def Tax190012190-023BT010099</v>
      </c>
      <c r="C1543" s="736">
        <v>190012</v>
      </c>
      <c r="D1543" s="735" t="s">
        <v>1733</v>
      </c>
      <c r="E1543" s="41" t="s">
        <v>1734</v>
      </c>
      <c r="F1543" s="41" t="str">
        <f t="shared" si="705"/>
        <v>ACCUM DEFERRED INC TAXES - STATE - GAS</v>
      </c>
      <c r="G1543" s="41" t="s">
        <v>1735</v>
      </c>
      <c r="H1543" s="736" t="s">
        <v>1736</v>
      </c>
      <c r="I1543" s="25"/>
      <c r="J1543" s="25" t="str">
        <f t="shared" si="706"/>
        <v/>
      </c>
      <c r="K1543" s="442" t="str">
        <f t="shared" si="711"/>
        <v/>
      </c>
      <c r="L1543" s="736" t="s">
        <v>2443</v>
      </c>
      <c r="M1543" s="25" t="str">
        <f t="shared" si="729"/>
        <v>R</v>
      </c>
      <c r="N1543" s="25" t="str">
        <f>IF(L1543&lt;&gt;"",VLOOKUP(L1543,Categories!$B$2:$D$41,2,FALSE),IF(F1543&lt;&gt;"","No Cat",""))</f>
        <v>Rate Base</v>
      </c>
      <c r="O1543" s="25" t="str">
        <f>IF($L1543&lt;&gt;"",VLOOKUP($L1543,Categories!$B$2:$D$41,3,FALSE),IF($F1543&lt;&gt;"","No Cat",""))</f>
        <v>Deferred Income Taxes</v>
      </c>
      <c r="P1543" s="736" t="s">
        <v>2483</v>
      </c>
      <c r="Q1543" s="25" t="str">
        <f>VLOOKUP($P1543,Allocators!$B$7:$F$19,5,FALSE)</f>
        <v>Gas</v>
      </c>
      <c r="R1543" s="737">
        <f>VLOOKUP($P1543,Allocators!$B$7:$F$19,2,FALSE)</f>
        <v>0</v>
      </c>
      <c r="S1543" s="737">
        <f>VLOOKUP($P1543,Allocators!$B$7:$F$19,3,FALSE)</f>
        <v>1</v>
      </c>
      <c r="T1543" s="737" t="str">
        <f t="shared" si="725"/>
        <v>0.0%</v>
      </c>
      <c r="U1543" s="2">
        <f t="shared" si="715"/>
        <v>0</v>
      </c>
      <c r="V1543" s="2">
        <f t="shared" si="716"/>
        <v>375.99711416666702</v>
      </c>
      <c r="W1543" s="2">
        <f t="shared" si="717"/>
        <v>0</v>
      </c>
      <c r="X1543" s="2">
        <f t="shared" si="707"/>
        <v>375.99711416666702</v>
      </c>
      <c r="Y1543" s="2">
        <f t="shared" si="718"/>
        <v>0</v>
      </c>
      <c r="Z1543" s="2">
        <f t="shared" si="719"/>
        <v>313.31860999999998</v>
      </c>
      <c r="AA1543" s="2">
        <f t="shared" si="720"/>
        <v>0</v>
      </c>
      <c r="AB1543" s="2">
        <f t="shared" si="708"/>
        <v>313.31860999999998</v>
      </c>
      <c r="AC1543" s="625">
        <v>401.80590999999998</v>
      </c>
      <c r="AD1543" s="625">
        <v>401.80590999999998</v>
      </c>
      <c r="AE1543" s="625">
        <v>401.80590999999998</v>
      </c>
      <c r="AF1543" s="625">
        <v>401.80590999999998</v>
      </c>
      <c r="AG1543" s="625">
        <v>401.80590999999998</v>
      </c>
      <c r="AH1543" s="625">
        <v>401.80590999999998</v>
      </c>
      <c r="AI1543" s="625">
        <v>401.80590999999998</v>
      </c>
      <c r="AJ1543" s="625">
        <v>401.80590999999998</v>
      </c>
      <c r="AK1543" s="625">
        <v>401.80590999999998</v>
      </c>
      <c r="AL1543" s="625">
        <v>313.31860999999998</v>
      </c>
      <c r="AM1543" s="625">
        <v>313.31860999999998</v>
      </c>
      <c r="AN1543" s="625">
        <v>313.31860999999998</v>
      </c>
      <c r="AO1543" s="625">
        <v>313.31860999999998</v>
      </c>
      <c r="AP1543" s="41" t="str">
        <f t="shared" si="702"/>
        <v>Def TaxR</v>
      </c>
      <c r="AQ1543" s="41" t="str">
        <f t="shared" si="703"/>
        <v>Def TaxRR11Gas Demand Charges</v>
      </c>
      <c r="AR1543" s="41" t="str">
        <f t="shared" si="704"/>
        <v>R11Gas Demand Charges</v>
      </c>
    </row>
    <row r="1544" spans="1:44" s="41" customFormat="1" ht="12.75" customHeight="1">
      <c r="A1544" s="442" t="s">
        <v>1590</v>
      </c>
      <c r="B1544" s="442" t="str">
        <f t="shared" si="714"/>
        <v>Def Tax190012FAS 133 RelatedBT010328</v>
      </c>
      <c r="C1544" s="736">
        <v>190012</v>
      </c>
      <c r="D1544" s="735" t="s">
        <v>1594</v>
      </c>
      <c r="E1544" s="626" t="s">
        <v>1776</v>
      </c>
      <c r="F1544" s="626" t="str">
        <f t="shared" si="705"/>
        <v>ACCUM DEFERRED INC TAXES - STATE - GAS</v>
      </c>
      <c r="G1544" s="626" t="s">
        <v>1777</v>
      </c>
      <c r="H1544" s="736" t="s">
        <v>1594</v>
      </c>
      <c r="I1544" s="442"/>
      <c r="J1544" s="442" t="str">
        <f t="shared" si="706"/>
        <v/>
      </c>
      <c r="K1544" s="442" t="str">
        <f t="shared" si="711"/>
        <v/>
      </c>
      <c r="L1544" s="736" t="s">
        <v>2427</v>
      </c>
      <c r="M1544" s="442" t="str">
        <f t="shared" si="729"/>
        <v>N</v>
      </c>
      <c r="N1544" s="442" t="str">
        <f>IF(L1544&lt;&gt;"",VLOOKUP(L1544,Categories!$B$2:$D$41,2,FALSE),IF(F1544&lt;&gt;"","No Cat",""))</f>
        <v>NRBASE</v>
      </c>
      <c r="O1544" s="442" t="str">
        <f>IF($L1544&lt;&gt;"",VLOOKUP($L1544,Categories!$B$2:$D$41,3,FALSE),IF($F1544&lt;&gt;"","No Cat",""))</f>
        <v>Hedges &amp; OCI</v>
      </c>
      <c r="P1544" s="736" t="s">
        <v>2468</v>
      </c>
      <c r="Q1544" s="442" t="str">
        <f>VLOOKUP($P1544,Allocators!$B$7:$F$19,5,FALSE)</f>
        <v>Not in Rate Base</v>
      </c>
      <c r="R1544" s="737">
        <f>VLOOKUP($P1544,Allocators!$B$7:$F$19,2,FALSE)</f>
        <v>0</v>
      </c>
      <c r="S1544" s="737">
        <f>VLOOKUP($P1544,Allocators!$B$7:$F$19,3,FALSE)</f>
        <v>0</v>
      </c>
      <c r="T1544" s="737">
        <f t="shared" si="725"/>
        <v>1</v>
      </c>
      <c r="U1544" s="2">
        <f t="shared" si="715"/>
        <v>0</v>
      </c>
      <c r="V1544" s="2">
        <f t="shared" si="716"/>
        <v>0</v>
      </c>
      <c r="W1544" s="2">
        <f t="shared" si="717"/>
        <v>492.52948458333299</v>
      </c>
      <c r="X1544" s="2">
        <f t="shared" si="707"/>
        <v>492.52948458333299</v>
      </c>
      <c r="Y1544" s="2">
        <f t="shared" si="718"/>
        <v>0</v>
      </c>
      <c r="Z1544" s="2">
        <f t="shared" si="719"/>
        <v>0</v>
      </c>
      <c r="AA1544" s="2">
        <f t="shared" si="720"/>
        <v>642.52085999999997</v>
      </c>
      <c r="AB1544" s="2">
        <f t="shared" si="708"/>
        <v>642.52085999999997</v>
      </c>
      <c r="AC1544" s="625">
        <v>471.12898999999999</v>
      </c>
      <c r="AD1544" s="625">
        <v>471.12898999999999</v>
      </c>
      <c r="AE1544" s="625">
        <v>471.12898999999999</v>
      </c>
      <c r="AF1544" s="625">
        <v>471.12898999999999</v>
      </c>
      <c r="AG1544" s="625">
        <v>471.12898999999999</v>
      </c>
      <c r="AH1544" s="625">
        <v>471.12898999999999</v>
      </c>
      <c r="AI1544" s="625">
        <v>471.12898999999999</v>
      </c>
      <c r="AJ1544" s="625">
        <v>513.61680999999999</v>
      </c>
      <c r="AK1544" s="625">
        <v>482.66933</v>
      </c>
      <c r="AL1544" s="625">
        <v>483.91111999999998</v>
      </c>
      <c r="AM1544" s="625">
        <v>538.43556999999998</v>
      </c>
      <c r="AN1544" s="625">
        <v>508.12212</v>
      </c>
      <c r="AO1544" s="625">
        <v>642.52085999999997</v>
      </c>
      <c r="AP1544" s="41" t="str">
        <f t="shared" ref="AP1544:AP1607" si="739">CONCATENATE(A1544,M1544)</f>
        <v>Def TaxN</v>
      </c>
      <c r="AQ1544" s="41" t="str">
        <f t="shared" ref="AQ1544:AQ1607" si="740">CONCATENATE(AP1544,L1544,H1544)</f>
        <v>Def TaxNN5FAS 133 Related</v>
      </c>
      <c r="AR1544" s="41" t="str">
        <f t="shared" ref="AR1544:AR1607" si="741">CONCATENATE(L1544,H1544,J1544)</f>
        <v>N5FAS 133 Related</v>
      </c>
    </row>
    <row r="1545" spans="1:44" s="41" customFormat="1" ht="12.75" customHeight="1">
      <c r="A1545" s="25" t="s">
        <v>1590</v>
      </c>
      <c r="B1545" s="25" t="str">
        <f t="shared" si="714"/>
        <v>Def Tax190012190-024BT010205</v>
      </c>
      <c r="C1545" s="736">
        <v>190012</v>
      </c>
      <c r="D1545" s="735" t="s">
        <v>1737</v>
      </c>
      <c r="E1545" s="41" t="s">
        <v>1738</v>
      </c>
      <c r="F1545" s="41" t="str">
        <f t="shared" si="705"/>
        <v>ACCUM DEFERRED INC TAXES - STATE - GAS</v>
      </c>
      <c r="G1545" s="41" t="s">
        <v>1861</v>
      </c>
      <c r="H1545" s="736" t="s">
        <v>1740</v>
      </c>
      <c r="I1545" s="25"/>
      <c r="J1545" s="25" t="str">
        <f t="shared" si="706"/>
        <v/>
      </c>
      <c r="K1545" s="442" t="str">
        <f t="shared" si="711"/>
        <v/>
      </c>
      <c r="L1545" s="736" t="s">
        <v>2443</v>
      </c>
      <c r="M1545" s="25" t="str">
        <f t="shared" si="729"/>
        <v>R</v>
      </c>
      <c r="N1545" s="25" t="str">
        <f>IF(L1545&lt;&gt;"",VLOOKUP(L1545,Categories!$B$2:$D$41,2,FALSE),IF(F1545&lt;&gt;"","No Cat",""))</f>
        <v>Rate Base</v>
      </c>
      <c r="O1545" s="25" t="str">
        <f>IF($L1545&lt;&gt;"",VLOOKUP($L1545,Categories!$B$2:$D$41,3,FALSE),IF($F1545&lt;&gt;"","No Cat",""))</f>
        <v>Deferred Income Taxes</v>
      </c>
      <c r="P1545" s="736" t="s">
        <v>2483</v>
      </c>
      <c r="Q1545" s="25" t="str">
        <f>VLOOKUP($P1545,Allocators!$B$7:$F$19,5,FALSE)</f>
        <v>Gas</v>
      </c>
      <c r="R1545" s="737">
        <f>VLOOKUP($P1545,Allocators!$B$7:$F$19,2,FALSE)</f>
        <v>0</v>
      </c>
      <c r="S1545" s="737">
        <f>VLOOKUP($P1545,Allocators!$B$7:$F$19,3,FALSE)</f>
        <v>1</v>
      </c>
      <c r="T1545" s="737" t="str">
        <f t="shared" si="725"/>
        <v>0.0%</v>
      </c>
      <c r="U1545" s="2">
        <f t="shared" si="715"/>
        <v>0</v>
      </c>
      <c r="V1545" s="2">
        <f t="shared" si="716"/>
        <v>-41.161877500000003</v>
      </c>
      <c r="W1545" s="2">
        <f t="shared" si="717"/>
        <v>0</v>
      </c>
      <c r="X1545" s="2">
        <f t="shared" si="707"/>
        <v>-41.161877500000003</v>
      </c>
      <c r="Y1545" s="2">
        <f t="shared" si="718"/>
        <v>0</v>
      </c>
      <c r="Z1545" s="2">
        <f t="shared" si="719"/>
        <v>-41.69708</v>
      </c>
      <c r="AA1545" s="2">
        <f t="shared" si="720"/>
        <v>0</v>
      </c>
      <c r="AB1545" s="2">
        <f t="shared" si="708"/>
        <v>-41.69708</v>
      </c>
      <c r="AC1545" s="625">
        <v>-40.941499999999998</v>
      </c>
      <c r="AD1545" s="625">
        <v>-40.941499999999998</v>
      </c>
      <c r="AE1545" s="625">
        <v>-40.941499999999998</v>
      </c>
      <c r="AF1545" s="625">
        <v>-40.941499999999998</v>
      </c>
      <c r="AG1545" s="625">
        <v>-40.941499999999998</v>
      </c>
      <c r="AH1545" s="625">
        <v>-40.941499999999998</v>
      </c>
      <c r="AI1545" s="625">
        <v>-40.941499999999998</v>
      </c>
      <c r="AJ1545" s="625">
        <v>-40.941499999999998</v>
      </c>
      <c r="AK1545" s="625">
        <v>-40.941499999999998</v>
      </c>
      <c r="AL1545" s="625">
        <v>-41.69708</v>
      </c>
      <c r="AM1545" s="625">
        <v>-41.69708</v>
      </c>
      <c r="AN1545" s="625">
        <v>-41.69708</v>
      </c>
      <c r="AO1545" s="625">
        <v>-41.69708</v>
      </c>
      <c r="AP1545" s="41" t="str">
        <f t="shared" si="739"/>
        <v>Def TaxR</v>
      </c>
      <c r="AQ1545" s="41" t="str">
        <f t="shared" si="740"/>
        <v>Def TaxRR11Gas Inventory - 263A</v>
      </c>
      <c r="AR1545" s="41" t="str">
        <f t="shared" si="741"/>
        <v>R11Gas Inventory - 263A</v>
      </c>
    </row>
    <row r="1546" spans="1:44" s="41" customFormat="1" ht="12.75" customHeight="1">
      <c r="A1546" s="25" t="s">
        <v>1590</v>
      </c>
      <c r="B1546" s="25" t="str">
        <f t="shared" si="714"/>
        <v>Def Tax190012190-082</v>
      </c>
      <c r="C1546" s="736">
        <v>190012</v>
      </c>
      <c r="D1546" s="735" t="s">
        <v>1748</v>
      </c>
      <c r="F1546" s="41" t="str">
        <f t="shared" si="705"/>
        <v>ACCUM DEFERRED INC TAXES - STATE - GAS</v>
      </c>
      <c r="G1546" s="41" t="s">
        <v>1749</v>
      </c>
      <c r="H1546" s="736">
        <v>0</v>
      </c>
      <c r="I1546" s="25"/>
      <c r="J1546" s="25" t="str">
        <f t="shared" si="706"/>
        <v/>
      </c>
      <c r="K1546" s="442" t="str">
        <f t="shared" si="711"/>
        <v/>
      </c>
      <c r="L1546" s="736" t="s">
        <v>2443</v>
      </c>
      <c r="M1546" s="25" t="str">
        <f t="shared" si="729"/>
        <v>R</v>
      </c>
      <c r="N1546" s="25" t="str">
        <f>IF(L1546&lt;&gt;"",VLOOKUP(L1546,Categories!$B$2:$D$41,2,FALSE),IF(F1546&lt;&gt;"","No Cat",""))</f>
        <v>Rate Base</v>
      </c>
      <c r="O1546" s="25" t="str">
        <f>IF($L1546&lt;&gt;"",VLOOKUP($L1546,Categories!$B$2:$D$41,3,FALSE),IF($F1546&lt;&gt;"","No Cat",""))</f>
        <v>Deferred Income Taxes</v>
      </c>
      <c r="P1546" s="736" t="s">
        <v>2483</v>
      </c>
      <c r="Q1546" s="25" t="str">
        <f>VLOOKUP($P1546,Allocators!$B$7:$F$19,5,FALSE)</f>
        <v>Gas</v>
      </c>
      <c r="R1546" s="737">
        <f>VLOOKUP($P1546,Allocators!$B$7:$F$19,2,FALSE)</f>
        <v>0</v>
      </c>
      <c r="S1546" s="737">
        <f>VLOOKUP($P1546,Allocators!$B$7:$F$19,3,FALSE)</f>
        <v>1</v>
      </c>
      <c r="T1546" s="737" t="str">
        <f t="shared" si="725"/>
        <v>0.0%</v>
      </c>
      <c r="U1546" s="2" t="str">
        <f t="shared" si="715"/>
        <v/>
      </c>
      <c r="V1546" s="2" t="str">
        <f t="shared" si="716"/>
        <v/>
      </c>
      <c r="W1546" s="2" t="str">
        <f t="shared" si="717"/>
        <v/>
      </c>
      <c r="X1546" s="2">
        <f t="shared" si="707"/>
        <v>0</v>
      </c>
      <c r="Y1546" s="2" t="str">
        <f t="shared" si="718"/>
        <v/>
      </c>
      <c r="Z1546" s="2" t="str">
        <f t="shared" si="719"/>
        <v/>
      </c>
      <c r="AA1546" s="2" t="str">
        <f t="shared" si="720"/>
        <v/>
      </c>
      <c r="AB1546" s="2">
        <f t="shared" si="708"/>
        <v>0</v>
      </c>
      <c r="AC1546" s="625">
        <v>0</v>
      </c>
      <c r="AD1546" s="625">
        <v>0</v>
      </c>
      <c r="AE1546" s="625">
        <v>0</v>
      </c>
      <c r="AF1546" s="625">
        <v>0</v>
      </c>
      <c r="AG1546" s="625">
        <v>0</v>
      </c>
      <c r="AH1546" s="625">
        <v>0</v>
      </c>
      <c r="AI1546" s="625">
        <v>0</v>
      </c>
      <c r="AJ1546" s="625">
        <v>0</v>
      </c>
      <c r="AK1546" s="625">
        <v>0</v>
      </c>
      <c r="AL1546" s="625">
        <v>0</v>
      </c>
      <c r="AM1546" s="625">
        <v>0</v>
      </c>
      <c r="AN1546" s="625">
        <v>0</v>
      </c>
      <c r="AO1546" s="625">
        <v>0</v>
      </c>
      <c r="AP1546" s="41" t="str">
        <f t="shared" si="739"/>
        <v>Def TaxR</v>
      </c>
      <c r="AQ1546" s="41" t="str">
        <f t="shared" si="740"/>
        <v>Def TaxRR110</v>
      </c>
      <c r="AR1546" s="41" t="str">
        <f t="shared" si="741"/>
        <v>R110</v>
      </c>
    </row>
    <row r="1547" spans="1:44" s="41" customFormat="1" ht="12.75" customHeight="1">
      <c r="A1547" s="25" t="s">
        <v>1590</v>
      </c>
      <c r="B1547" s="25" t="str">
        <f t="shared" ref="B1547" si="742">CONCATENATE(A1547,C1547,D1547,E1547)</f>
        <v>Def Tax190012BT010271</v>
      </c>
      <c r="C1547" s="736">
        <v>190012</v>
      </c>
      <c r="D1547" s="735"/>
      <c r="E1547" s="41" t="s">
        <v>4109</v>
      </c>
      <c r="F1547" s="41" t="str">
        <f t="shared" si="705"/>
        <v>ACCUM DEFERRED INC TAXES - STATE - GAS</v>
      </c>
      <c r="G1547" s="41" t="s">
        <v>4108</v>
      </c>
      <c r="H1547" s="736" t="s">
        <v>4108</v>
      </c>
      <c r="I1547" s="25"/>
      <c r="J1547" s="25" t="str">
        <f t="shared" ref="J1547" si="743">IF(L1547="N10","Y",IF(L1547="N8","Y",""))</f>
        <v/>
      </c>
      <c r="K1547" s="442" t="str">
        <f t="shared" si="711"/>
        <v/>
      </c>
      <c r="L1547" s="736" t="s">
        <v>2443</v>
      </c>
      <c r="M1547" s="25" t="str">
        <f t="shared" ref="M1547" si="744">LEFT(L1547,1)</f>
        <v>R</v>
      </c>
      <c r="N1547" s="25" t="str">
        <f>IF(L1547&lt;&gt;"",VLOOKUP(L1547,Categories!$B$2:$D$41,2,FALSE),IF(F1547&lt;&gt;"","No Cat",""))</f>
        <v>Rate Base</v>
      </c>
      <c r="O1547" s="25" t="str">
        <f>IF($L1547&lt;&gt;"",VLOOKUP($L1547,Categories!$B$2:$D$41,3,FALSE),IF($F1547&lt;&gt;"","No Cat",""))</f>
        <v>Deferred Income Taxes</v>
      </c>
      <c r="P1547" s="736" t="s">
        <v>2483</v>
      </c>
      <c r="Q1547" s="25" t="str">
        <f>VLOOKUP($P1547,Allocators!$B$7:$F$19,5,FALSE)</f>
        <v>Gas</v>
      </c>
      <c r="R1547" s="737">
        <f>VLOOKUP($P1547,Allocators!$B$7:$F$19,2,FALSE)</f>
        <v>0</v>
      </c>
      <c r="S1547" s="737">
        <f>VLOOKUP($P1547,Allocators!$B$7:$F$19,3,FALSE)</f>
        <v>1</v>
      </c>
      <c r="T1547" s="737" t="str">
        <f t="shared" ref="T1547" si="745">IF(P1547="N",1,"0.0%")</f>
        <v>0.0%</v>
      </c>
      <c r="U1547" s="2">
        <f t="shared" si="715"/>
        <v>0</v>
      </c>
      <c r="V1547" s="2">
        <f t="shared" si="716"/>
        <v>1.9662966666666699</v>
      </c>
      <c r="W1547" s="2">
        <f t="shared" si="717"/>
        <v>0</v>
      </c>
      <c r="X1547" s="2">
        <f t="shared" si="707"/>
        <v>1.9662966666666699</v>
      </c>
      <c r="Y1547" s="2">
        <f t="shared" si="718"/>
        <v>0</v>
      </c>
      <c r="Z1547" s="2">
        <f t="shared" si="719"/>
        <v>6.4855799999999997</v>
      </c>
      <c r="AA1547" s="2">
        <f t="shared" si="720"/>
        <v>0</v>
      </c>
      <c r="AB1547" s="2">
        <f t="shared" si="708"/>
        <v>6.4855799999999997</v>
      </c>
      <c r="AC1547" s="625">
        <v>5.6757399999999993</v>
      </c>
      <c r="AD1547" s="625">
        <v>5.7779799999999994</v>
      </c>
      <c r="AE1547" s="625">
        <v>5.8688599999999997</v>
      </c>
      <c r="AF1547" s="625">
        <v>5.8688599999999997</v>
      </c>
      <c r="AG1547" s="625">
        <v>-1E-4</v>
      </c>
      <c r="AH1547" s="625">
        <v>-1E-4</v>
      </c>
      <c r="AI1547" s="625">
        <v>-1E-4</v>
      </c>
      <c r="AJ1547" s="625">
        <v>-1E-4</v>
      </c>
      <c r="AK1547" s="625">
        <v>-1E-4</v>
      </c>
      <c r="AL1547" s="625">
        <v>-1E-4</v>
      </c>
      <c r="AM1547" s="625">
        <v>-1E-4</v>
      </c>
      <c r="AN1547" s="625">
        <v>-1E-4</v>
      </c>
      <c r="AO1547" s="625">
        <v>6.4855799999999997</v>
      </c>
      <c r="AP1547" s="41" t="str">
        <f t="shared" si="739"/>
        <v>Def TaxR</v>
      </c>
      <c r="AQ1547" s="41" t="str">
        <f t="shared" si="740"/>
        <v>Def TaxRR11GRT Audit Reserve</v>
      </c>
      <c r="AR1547" s="41" t="str">
        <f t="shared" si="741"/>
        <v>R11GRT Audit Reserve</v>
      </c>
    </row>
    <row r="1548" spans="1:44" s="41" customFormat="1" ht="12.75" customHeight="1">
      <c r="A1548" s="442" t="s">
        <v>1590</v>
      </c>
      <c r="B1548" s="442" t="str">
        <f t="shared" si="714"/>
        <v>Def Tax190012190-106BT010112</v>
      </c>
      <c r="C1548" s="736">
        <v>190012</v>
      </c>
      <c r="D1548" s="735" t="s">
        <v>1655</v>
      </c>
      <c r="E1548" s="626" t="s">
        <v>1656</v>
      </c>
      <c r="F1548" s="626" t="str">
        <f t="shared" si="705"/>
        <v>ACCUM DEFERRED INC TAXES - STATE - GAS</v>
      </c>
      <c r="G1548" s="626" t="s">
        <v>1657</v>
      </c>
      <c r="H1548" s="736" t="s">
        <v>1658</v>
      </c>
      <c r="I1548" s="442"/>
      <c r="J1548" s="442" t="str">
        <f t="shared" si="706"/>
        <v/>
      </c>
      <c r="K1548" s="442" t="str">
        <f t="shared" si="711"/>
        <v/>
      </c>
      <c r="L1548" s="736" t="s">
        <v>2421</v>
      </c>
      <c r="M1548" s="442" t="str">
        <f t="shared" si="729"/>
        <v>N</v>
      </c>
      <c r="N1548" s="442" t="str">
        <f>IF(L1548&lt;&gt;"",VLOOKUP(L1548,Categories!$B$2:$D$41,2,FALSE),IF(F1548&lt;&gt;"","No Cat",""))</f>
        <v>NRBASE</v>
      </c>
      <c r="O1548" s="442" t="str">
        <f>IF($L1548&lt;&gt;"",VLOOKUP($L1548,Categories!$B$2:$D$41,3,FALSE),IF($F1548&lt;&gt;"","No Cat",""))</f>
        <v>Direct Assign Items Not in RB</v>
      </c>
      <c r="P1548" s="736" t="s">
        <v>2468</v>
      </c>
      <c r="Q1548" s="442" t="str">
        <f>VLOOKUP($P1548,Allocators!$B$7:$F$19,5,FALSE)</f>
        <v>Not in Rate Base</v>
      </c>
      <c r="R1548" s="737">
        <f>VLOOKUP($P1548,Allocators!$B$7:$F$19,2,FALSE)</f>
        <v>0</v>
      </c>
      <c r="S1548" s="737">
        <f>VLOOKUP($P1548,Allocators!$B$7:$F$19,3,FALSE)</f>
        <v>0</v>
      </c>
      <c r="T1548" s="737">
        <f t="shared" si="725"/>
        <v>1</v>
      </c>
      <c r="U1548" s="2" t="str">
        <f t="shared" si="715"/>
        <v/>
      </c>
      <c r="V1548" s="2" t="str">
        <f t="shared" si="716"/>
        <v/>
      </c>
      <c r="W1548" s="2" t="str">
        <f t="shared" si="717"/>
        <v/>
      </c>
      <c r="X1548" s="2">
        <f t="shared" si="707"/>
        <v>0</v>
      </c>
      <c r="Y1548" s="2" t="str">
        <f t="shared" si="718"/>
        <v/>
      </c>
      <c r="Z1548" s="2" t="str">
        <f t="shared" si="719"/>
        <v/>
      </c>
      <c r="AA1548" s="2" t="str">
        <f t="shared" si="720"/>
        <v/>
      </c>
      <c r="AB1548" s="2">
        <f t="shared" si="708"/>
        <v>0</v>
      </c>
      <c r="AC1548" s="625">
        <v>0</v>
      </c>
      <c r="AD1548" s="625">
        <v>0</v>
      </c>
      <c r="AE1548" s="625">
        <v>0</v>
      </c>
      <c r="AF1548" s="625">
        <v>0</v>
      </c>
      <c r="AG1548" s="625">
        <v>0</v>
      </c>
      <c r="AH1548" s="625">
        <v>0</v>
      </c>
      <c r="AI1548" s="625">
        <v>0</v>
      </c>
      <c r="AJ1548" s="625">
        <v>0</v>
      </c>
      <c r="AK1548" s="625">
        <v>0</v>
      </c>
      <c r="AL1548" s="625">
        <v>0</v>
      </c>
      <c r="AM1548" s="625">
        <v>0</v>
      </c>
      <c r="AN1548" s="625">
        <v>0</v>
      </c>
      <c r="AO1548" s="625">
        <v>0</v>
      </c>
      <c r="AP1548" s="41" t="str">
        <f t="shared" si="739"/>
        <v>Def TaxN</v>
      </c>
      <c r="AQ1548" s="41" t="str">
        <f t="shared" si="740"/>
        <v>Def TaxNN2Litigation</v>
      </c>
      <c r="AR1548" s="41" t="str">
        <f t="shared" si="741"/>
        <v>N2Litigation</v>
      </c>
    </row>
    <row r="1549" spans="1:44" s="41" customFormat="1" ht="12.75" customHeight="1">
      <c r="A1549" s="442" t="s">
        <v>1590</v>
      </c>
      <c r="B1549" s="442" t="str">
        <f t="shared" si="714"/>
        <v>Def Tax190012LTIBT010356</v>
      </c>
      <c r="C1549" s="736">
        <v>190012</v>
      </c>
      <c r="D1549" s="735" t="s">
        <v>1659</v>
      </c>
      <c r="E1549" s="626" t="s">
        <v>1660</v>
      </c>
      <c r="F1549" s="626" t="str">
        <f t="shared" si="705"/>
        <v>ACCUM DEFERRED INC TAXES - STATE - GAS</v>
      </c>
      <c r="G1549" s="626" t="s">
        <v>1661</v>
      </c>
      <c r="H1549" s="736" t="s">
        <v>1661</v>
      </c>
      <c r="I1549" s="442"/>
      <c r="J1549" s="442" t="str">
        <f t="shared" si="706"/>
        <v/>
      </c>
      <c r="K1549" s="442" t="str">
        <f t="shared" si="711"/>
        <v/>
      </c>
      <c r="L1549" s="736" t="s">
        <v>2421</v>
      </c>
      <c r="M1549" s="442" t="str">
        <f t="shared" si="729"/>
        <v>N</v>
      </c>
      <c r="N1549" s="442" t="str">
        <f>IF(L1549&lt;&gt;"",VLOOKUP(L1549,Categories!$B$2:$D$41,2,FALSE),IF(F1549&lt;&gt;"","No Cat",""))</f>
        <v>NRBASE</v>
      </c>
      <c r="O1549" s="442" t="str">
        <f>IF($L1549&lt;&gt;"",VLOOKUP($L1549,Categories!$B$2:$D$41,3,FALSE),IF($F1549&lt;&gt;"","No Cat",""))</f>
        <v>Direct Assign Items Not in RB</v>
      </c>
      <c r="P1549" s="736" t="s">
        <v>2468</v>
      </c>
      <c r="Q1549" s="442" t="str">
        <f>VLOOKUP($P1549,Allocators!$B$7:$F$19,5,FALSE)</f>
        <v>Not in Rate Base</v>
      </c>
      <c r="R1549" s="737">
        <f>VLOOKUP($P1549,Allocators!$B$7:$F$19,2,FALSE)</f>
        <v>0</v>
      </c>
      <c r="S1549" s="737">
        <f>VLOOKUP($P1549,Allocators!$B$7:$F$19,3,FALSE)</f>
        <v>0</v>
      </c>
      <c r="T1549" s="737">
        <f t="shared" si="725"/>
        <v>1</v>
      </c>
      <c r="U1549" s="2" t="str">
        <f t="shared" si="715"/>
        <v/>
      </c>
      <c r="V1549" s="2" t="str">
        <f t="shared" si="716"/>
        <v/>
      </c>
      <c r="W1549" s="2" t="str">
        <f t="shared" si="717"/>
        <v/>
      </c>
      <c r="X1549" s="2">
        <f t="shared" si="707"/>
        <v>0</v>
      </c>
      <c r="Y1549" s="2" t="str">
        <f t="shared" si="718"/>
        <v/>
      </c>
      <c r="Z1549" s="2" t="str">
        <f t="shared" si="719"/>
        <v/>
      </c>
      <c r="AA1549" s="2" t="str">
        <f t="shared" si="720"/>
        <v/>
      </c>
      <c r="AB1549" s="2">
        <f t="shared" si="708"/>
        <v>0</v>
      </c>
      <c r="AC1549" s="625">
        <v>0</v>
      </c>
      <c r="AD1549" s="625">
        <v>0</v>
      </c>
      <c r="AE1549" s="625">
        <v>0</v>
      </c>
      <c r="AF1549" s="625">
        <v>0</v>
      </c>
      <c r="AG1549" s="625">
        <v>0</v>
      </c>
      <c r="AH1549" s="625">
        <v>0</v>
      </c>
      <c r="AI1549" s="625">
        <v>0</v>
      </c>
      <c r="AJ1549" s="625">
        <v>0</v>
      </c>
      <c r="AK1549" s="625">
        <v>0</v>
      </c>
      <c r="AL1549" s="625">
        <v>0</v>
      </c>
      <c r="AM1549" s="625">
        <v>0</v>
      </c>
      <c r="AN1549" s="625">
        <v>0</v>
      </c>
      <c r="AO1549" s="625">
        <v>0</v>
      </c>
      <c r="AP1549" s="41" t="str">
        <f t="shared" si="739"/>
        <v>Def TaxN</v>
      </c>
      <c r="AQ1549" s="41" t="str">
        <f t="shared" si="740"/>
        <v>Def TaxNN2Long Term Executive Incentive Plan</v>
      </c>
      <c r="AR1549" s="41" t="str">
        <f t="shared" si="741"/>
        <v>N2Long Term Executive Incentive Plan</v>
      </c>
    </row>
    <row r="1550" spans="1:44" s="41" customFormat="1" ht="12.75" customHeight="1">
      <c r="A1550" s="25" t="s">
        <v>1590</v>
      </c>
      <c r="B1550" s="25" t="str">
        <f t="shared" si="714"/>
        <v>Def Tax190012190-043BTHUNGDT</v>
      </c>
      <c r="C1550" s="736">
        <v>190012</v>
      </c>
      <c r="D1550" s="735" t="s">
        <v>1662</v>
      </c>
      <c r="E1550" s="41" t="s">
        <v>1624</v>
      </c>
      <c r="F1550" s="41" t="str">
        <f t="shared" si="705"/>
        <v>ACCUM DEFERRED INC TAXES - STATE - GAS</v>
      </c>
      <c r="G1550" s="41" t="s">
        <v>1663</v>
      </c>
      <c r="H1550" s="736" t="s">
        <v>1664</v>
      </c>
      <c r="I1550" s="25"/>
      <c r="J1550" s="25" t="str">
        <f t="shared" si="706"/>
        <v/>
      </c>
      <c r="K1550" s="442" t="str">
        <f t="shared" si="711"/>
        <v/>
      </c>
      <c r="L1550" s="736" t="s">
        <v>2443</v>
      </c>
      <c r="M1550" s="25" t="str">
        <f t="shared" si="729"/>
        <v>R</v>
      </c>
      <c r="N1550" s="25" t="str">
        <f>IF(L1550&lt;&gt;"",VLOOKUP(L1550,Categories!$B$2:$D$41,2,FALSE),IF(F1550&lt;&gt;"","No Cat",""))</f>
        <v>Rate Base</v>
      </c>
      <c r="O1550" s="25" t="str">
        <f>IF($L1550&lt;&gt;"",VLOOKUP($L1550,Categories!$B$2:$D$41,3,FALSE),IF($F1550&lt;&gt;"","No Cat",""))</f>
        <v>Deferred Income Taxes</v>
      </c>
      <c r="P1550" s="736" t="s">
        <v>2483</v>
      </c>
      <c r="Q1550" s="25" t="str">
        <f>VLOOKUP($P1550,Allocators!$B$7:$F$19,5,FALSE)</f>
        <v>Gas</v>
      </c>
      <c r="R1550" s="737">
        <f>VLOOKUP($P1550,Allocators!$B$7:$F$19,2,FALSE)</f>
        <v>0</v>
      </c>
      <c r="S1550" s="737">
        <f>VLOOKUP($P1550,Allocators!$B$7:$F$19,3,FALSE)</f>
        <v>1</v>
      </c>
      <c r="T1550" s="737" t="str">
        <f t="shared" si="725"/>
        <v>0.0%</v>
      </c>
      <c r="U1550" s="2" t="str">
        <f t="shared" si="715"/>
        <v/>
      </c>
      <c r="V1550" s="2" t="str">
        <f t="shared" si="716"/>
        <v/>
      </c>
      <c r="W1550" s="2" t="str">
        <f t="shared" si="717"/>
        <v/>
      </c>
      <c r="X1550" s="2">
        <f t="shared" si="707"/>
        <v>0</v>
      </c>
      <c r="Y1550" s="2" t="str">
        <f t="shared" si="718"/>
        <v/>
      </c>
      <c r="Z1550" s="2" t="str">
        <f t="shared" si="719"/>
        <v/>
      </c>
      <c r="AA1550" s="2" t="str">
        <f t="shared" si="720"/>
        <v/>
      </c>
      <c r="AB1550" s="2">
        <f t="shared" si="708"/>
        <v>0</v>
      </c>
      <c r="AC1550" s="625">
        <v>0</v>
      </c>
      <c r="AD1550" s="625">
        <v>0</v>
      </c>
      <c r="AE1550" s="625">
        <v>0</v>
      </c>
      <c r="AF1550" s="625">
        <v>0</v>
      </c>
      <c r="AG1550" s="625">
        <v>0</v>
      </c>
      <c r="AH1550" s="625">
        <v>0</v>
      </c>
      <c r="AI1550" s="625">
        <v>0</v>
      </c>
      <c r="AJ1550" s="625">
        <v>0</v>
      </c>
      <c r="AK1550" s="625">
        <v>0</v>
      </c>
      <c r="AL1550" s="625">
        <v>0</v>
      </c>
      <c r="AM1550" s="625">
        <v>0</v>
      </c>
      <c r="AN1550" s="625">
        <v>0</v>
      </c>
      <c r="AO1550" s="625">
        <v>0</v>
      </c>
      <c r="AP1550" s="41" t="str">
        <f t="shared" si="739"/>
        <v>Def TaxR</v>
      </c>
      <c r="AQ1550" s="41" t="str">
        <f t="shared" si="740"/>
        <v>Def TaxRR11M&amp;S Obsolescence</v>
      </c>
      <c r="AR1550" s="41" t="str">
        <f t="shared" si="741"/>
        <v>R11M&amp;S Obsolescence</v>
      </c>
    </row>
    <row r="1551" spans="1:44" s="41" customFormat="1" ht="12.75" customHeight="1">
      <c r="A1551" s="25" t="s">
        <v>1590</v>
      </c>
      <c r="B1551" s="25" t="str">
        <f t="shared" si="714"/>
        <v>Def Tax190012190-107</v>
      </c>
      <c r="C1551" s="736">
        <v>190012</v>
      </c>
      <c r="D1551" s="735" t="s">
        <v>1768</v>
      </c>
      <c r="F1551" s="41" t="str">
        <f t="shared" si="705"/>
        <v>ACCUM DEFERRED INC TAXES - STATE - GAS</v>
      </c>
      <c r="G1551" s="41" t="s">
        <v>1769</v>
      </c>
      <c r="H1551" s="736" t="s">
        <v>1118</v>
      </c>
      <c r="I1551" s="25"/>
      <c r="J1551" s="25" t="str">
        <f t="shared" si="706"/>
        <v/>
      </c>
      <c r="K1551" s="442" t="str">
        <f t="shared" si="711"/>
        <v/>
      </c>
      <c r="L1551" s="736" t="s">
        <v>2443</v>
      </c>
      <c r="M1551" s="25" t="str">
        <f t="shared" si="729"/>
        <v>R</v>
      </c>
      <c r="N1551" s="25" t="str">
        <f>IF(L1551&lt;&gt;"",VLOOKUP(L1551,Categories!$B$2:$D$41,2,FALSE),IF(F1551&lt;&gt;"","No Cat",""))</f>
        <v>Rate Base</v>
      </c>
      <c r="O1551" s="25" t="str">
        <f>IF($L1551&lt;&gt;"",VLOOKUP($L1551,Categories!$B$2:$D$41,3,FALSE),IF($F1551&lt;&gt;"","No Cat",""))</f>
        <v>Deferred Income Taxes</v>
      </c>
      <c r="P1551" s="736" t="s">
        <v>2483</v>
      </c>
      <c r="Q1551" s="25" t="str">
        <f>VLOOKUP($P1551,Allocators!$B$7:$F$19,5,FALSE)</f>
        <v>Gas</v>
      </c>
      <c r="R1551" s="737">
        <f>VLOOKUP($P1551,Allocators!$B$7:$F$19,2,FALSE)</f>
        <v>0</v>
      </c>
      <c r="S1551" s="737">
        <f>VLOOKUP($P1551,Allocators!$B$7:$F$19,3,FALSE)</f>
        <v>1</v>
      </c>
      <c r="T1551" s="737" t="str">
        <f t="shared" si="725"/>
        <v>0.0%</v>
      </c>
      <c r="U1551" s="2" t="str">
        <f t="shared" si="715"/>
        <v/>
      </c>
      <c r="V1551" s="2" t="str">
        <f t="shared" si="716"/>
        <v/>
      </c>
      <c r="W1551" s="2" t="str">
        <f t="shared" si="717"/>
        <v/>
      </c>
      <c r="X1551" s="2">
        <f t="shared" si="707"/>
        <v>0</v>
      </c>
      <c r="Y1551" s="2" t="str">
        <f t="shared" si="718"/>
        <v/>
      </c>
      <c r="Z1551" s="2" t="str">
        <f t="shared" si="719"/>
        <v/>
      </c>
      <c r="AA1551" s="2" t="str">
        <f t="shared" si="720"/>
        <v/>
      </c>
      <c r="AB1551" s="2">
        <f t="shared" si="708"/>
        <v>0</v>
      </c>
      <c r="AC1551" s="625">
        <v>0</v>
      </c>
      <c r="AD1551" s="625">
        <v>0</v>
      </c>
      <c r="AE1551" s="625">
        <v>0</v>
      </c>
      <c r="AF1551" s="625">
        <v>0</v>
      </c>
      <c r="AG1551" s="625">
        <v>0</v>
      </c>
      <c r="AH1551" s="625">
        <v>0</v>
      </c>
      <c r="AI1551" s="625">
        <v>0</v>
      </c>
      <c r="AJ1551" s="625">
        <v>0</v>
      </c>
      <c r="AK1551" s="625">
        <v>0</v>
      </c>
      <c r="AL1551" s="625">
        <v>0</v>
      </c>
      <c r="AM1551" s="625">
        <v>0</v>
      </c>
      <c r="AN1551" s="625">
        <v>0</v>
      </c>
      <c r="AO1551" s="625">
        <v>0</v>
      </c>
      <c r="AP1551" s="41" t="str">
        <f t="shared" si="739"/>
        <v>Def TaxR</v>
      </c>
      <c r="AQ1551" s="41" t="str">
        <f t="shared" si="740"/>
        <v>Def TaxRR11Medicare Part D</v>
      </c>
      <c r="AR1551" s="41" t="str">
        <f t="shared" si="741"/>
        <v>R11Medicare Part D</v>
      </c>
    </row>
    <row r="1552" spans="1:44" s="41" customFormat="1" ht="12.75" customHeight="1">
      <c r="A1552" s="25" t="s">
        <v>1590</v>
      </c>
      <c r="B1552" s="25" t="str">
        <f t="shared" si="714"/>
        <v>Def Tax190012BT010381</v>
      </c>
      <c r="C1552" s="736">
        <v>190012</v>
      </c>
      <c r="D1552" s="735"/>
      <c r="E1552" s="41" t="s">
        <v>1665</v>
      </c>
      <c r="F1552" s="41" t="str">
        <f t="shared" si="705"/>
        <v>ACCUM DEFERRED INC TAXES - STATE - GAS</v>
      </c>
      <c r="G1552" s="41" t="s">
        <v>1666</v>
      </c>
      <c r="H1552" s="736" t="s">
        <v>1118</v>
      </c>
      <c r="I1552" s="25"/>
      <c r="J1552" s="25" t="str">
        <f t="shared" si="706"/>
        <v/>
      </c>
      <c r="K1552" s="442" t="str">
        <f t="shared" si="711"/>
        <v/>
      </c>
      <c r="L1552" s="736" t="s">
        <v>2443</v>
      </c>
      <c r="M1552" s="25" t="str">
        <f t="shared" si="729"/>
        <v>R</v>
      </c>
      <c r="N1552" s="25" t="str">
        <f>IF(L1552&lt;&gt;"",VLOOKUP(L1552,Categories!$B$2:$D$41,2,FALSE),IF(F1552&lt;&gt;"","No Cat",""))</f>
        <v>Rate Base</v>
      </c>
      <c r="O1552" s="25" t="str">
        <f>IF($L1552&lt;&gt;"",VLOOKUP($L1552,Categories!$B$2:$D$41,3,FALSE),IF($F1552&lt;&gt;"","No Cat",""))</f>
        <v>Deferred Income Taxes</v>
      </c>
      <c r="P1552" s="736" t="s">
        <v>2483</v>
      </c>
      <c r="Q1552" s="25" t="str">
        <f>VLOOKUP($P1552,Allocators!$B$7:$F$19,5,FALSE)</f>
        <v>Gas</v>
      </c>
      <c r="R1552" s="737">
        <f>VLOOKUP($P1552,Allocators!$B$7:$F$19,2,FALSE)</f>
        <v>0</v>
      </c>
      <c r="S1552" s="737">
        <f>VLOOKUP($P1552,Allocators!$B$7:$F$19,3,FALSE)</f>
        <v>1</v>
      </c>
      <c r="T1552" s="737" t="str">
        <f t="shared" si="725"/>
        <v>0.0%</v>
      </c>
      <c r="U1552" s="2" t="str">
        <f t="shared" si="715"/>
        <v/>
      </c>
      <c r="V1552" s="2" t="str">
        <f t="shared" si="716"/>
        <v/>
      </c>
      <c r="W1552" s="2" t="str">
        <f t="shared" si="717"/>
        <v/>
      </c>
      <c r="X1552" s="2">
        <f t="shared" ref="X1552:X1615" si="746">IF(ISERROR(ROUND((SUM(AC1552:AO1552)-((AC1552+AO1552))/2)/12,15)),"",ROUND((SUM(AC1552:AO1552)-((AC1552+AO1552))/2)/12,15))</f>
        <v>0</v>
      </c>
      <c r="Y1552" s="2" t="str">
        <f t="shared" si="718"/>
        <v/>
      </c>
      <c r="Z1552" s="2" t="str">
        <f t="shared" si="719"/>
        <v/>
      </c>
      <c r="AA1552" s="2" t="str">
        <f t="shared" si="720"/>
        <v/>
      </c>
      <c r="AB1552" s="2">
        <f t="shared" ref="AB1552:AB1615" si="747">IF(AO1552="",0,+AO1552)</f>
        <v>0</v>
      </c>
      <c r="AC1552" s="625">
        <v>0</v>
      </c>
      <c r="AD1552" s="625">
        <v>0</v>
      </c>
      <c r="AE1552" s="625">
        <v>0</v>
      </c>
      <c r="AF1552" s="625">
        <v>0</v>
      </c>
      <c r="AG1552" s="625">
        <v>0</v>
      </c>
      <c r="AH1552" s="625">
        <v>0</v>
      </c>
      <c r="AI1552" s="625">
        <v>0</v>
      </c>
      <c r="AJ1552" s="625">
        <v>0</v>
      </c>
      <c r="AK1552" s="625">
        <v>0</v>
      </c>
      <c r="AL1552" s="625">
        <v>0</v>
      </c>
      <c r="AM1552" s="625">
        <v>0</v>
      </c>
      <c r="AN1552" s="625">
        <v>0</v>
      </c>
      <c r="AO1552" s="625">
        <v>0</v>
      </c>
      <c r="AP1552" s="41" t="str">
        <f t="shared" si="739"/>
        <v>Def TaxR</v>
      </c>
      <c r="AQ1552" s="41" t="str">
        <f t="shared" si="740"/>
        <v>Def TaxRR11Medicare Part D</v>
      </c>
      <c r="AR1552" s="41" t="str">
        <f t="shared" si="741"/>
        <v>R11Medicare Part D</v>
      </c>
    </row>
    <row r="1553" spans="1:44" s="41" customFormat="1" ht="12.75" customHeight="1">
      <c r="A1553" s="25" t="s">
        <v>1590</v>
      </c>
      <c r="B1553" s="25" t="str">
        <f t="shared" si="714"/>
        <v>Def Tax190012MedicareBT010125</v>
      </c>
      <c r="C1553" s="736">
        <v>190012</v>
      </c>
      <c r="D1553" s="735" t="s">
        <v>1667</v>
      </c>
      <c r="E1553" s="41" t="s">
        <v>1668</v>
      </c>
      <c r="F1553" s="41" t="str">
        <f t="shared" si="705"/>
        <v>ACCUM DEFERRED INC TAXES - STATE - GAS</v>
      </c>
      <c r="G1553" s="41" t="s">
        <v>1669</v>
      </c>
      <c r="H1553" s="736" t="s">
        <v>1118</v>
      </c>
      <c r="I1553" s="25"/>
      <c r="J1553" s="25" t="str">
        <f t="shared" si="706"/>
        <v/>
      </c>
      <c r="K1553" s="442" t="str">
        <f t="shared" si="711"/>
        <v/>
      </c>
      <c r="L1553" s="736" t="s">
        <v>2443</v>
      </c>
      <c r="M1553" s="25" t="str">
        <f t="shared" si="729"/>
        <v>R</v>
      </c>
      <c r="N1553" s="25" t="str">
        <f>IF(L1553&lt;&gt;"",VLOOKUP(L1553,Categories!$B$2:$D$41,2,FALSE),IF(F1553&lt;&gt;"","No Cat",""))</f>
        <v>Rate Base</v>
      </c>
      <c r="O1553" s="25" t="str">
        <f>IF($L1553&lt;&gt;"",VLOOKUP($L1553,Categories!$B$2:$D$41,3,FALSE),IF($F1553&lt;&gt;"","No Cat",""))</f>
        <v>Deferred Income Taxes</v>
      </c>
      <c r="P1553" s="736" t="s">
        <v>2483</v>
      </c>
      <c r="Q1553" s="25" t="str">
        <f>VLOOKUP($P1553,Allocators!$B$7:$F$19,5,FALSE)</f>
        <v>Gas</v>
      </c>
      <c r="R1553" s="737">
        <f>VLOOKUP($P1553,Allocators!$B$7:$F$19,2,FALSE)</f>
        <v>0</v>
      </c>
      <c r="S1553" s="737">
        <f>VLOOKUP($P1553,Allocators!$B$7:$F$19,3,FALSE)</f>
        <v>1</v>
      </c>
      <c r="T1553" s="737" t="str">
        <f t="shared" si="725"/>
        <v>0.0%</v>
      </c>
      <c r="U1553" s="2" t="str">
        <f t="shared" si="715"/>
        <v/>
      </c>
      <c r="V1553" s="2" t="str">
        <f t="shared" si="716"/>
        <v/>
      </c>
      <c r="W1553" s="2" t="str">
        <f t="shared" si="717"/>
        <v/>
      </c>
      <c r="X1553" s="2">
        <f t="shared" si="746"/>
        <v>0</v>
      </c>
      <c r="Y1553" s="2" t="str">
        <f t="shared" si="718"/>
        <v/>
      </c>
      <c r="Z1553" s="2" t="str">
        <f t="shared" si="719"/>
        <v/>
      </c>
      <c r="AA1553" s="2" t="str">
        <f t="shared" si="720"/>
        <v/>
      </c>
      <c r="AB1553" s="2">
        <f t="shared" si="747"/>
        <v>0</v>
      </c>
      <c r="AC1553" s="625">
        <v>0</v>
      </c>
      <c r="AD1553" s="625">
        <v>0</v>
      </c>
      <c r="AE1553" s="625">
        <v>0</v>
      </c>
      <c r="AF1553" s="625">
        <v>0</v>
      </c>
      <c r="AG1553" s="625">
        <v>0</v>
      </c>
      <c r="AH1553" s="625">
        <v>0</v>
      </c>
      <c r="AI1553" s="625">
        <v>0</v>
      </c>
      <c r="AJ1553" s="625">
        <v>0</v>
      </c>
      <c r="AK1553" s="625">
        <v>0</v>
      </c>
      <c r="AL1553" s="625">
        <v>0</v>
      </c>
      <c r="AM1553" s="625">
        <v>0</v>
      </c>
      <c r="AN1553" s="625">
        <v>0</v>
      </c>
      <c r="AO1553" s="625">
        <v>0</v>
      </c>
      <c r="AP1553" s="41" t="str">
        <f t="shared" si="739"/>
        <v>Def TaxR</v>
      </c>
      <c r="AQ1553" s="41" t="str">
        <f t="shared" si="740"/>
        <v>Def TaxRR11Medicare Part D</v>
      </c>
      <c r="AR1553" s="41" t="str">
        <f t="shared" si="741"/>
        <v>R11Medicare Part D</v>
      </c>
    </row>
    <row r="1554" spans="1:44" s="41" customFormat="1" ht="12.75" customHeight="1">
      <c r="A1554" s="25" t="s">
        <v>1590</v>
      </c>
      <c r="B1554" s="25" t="str">
        <f t="shared" si="714"/>
        <v>Def Tax190012190-095-JP</v>
      </c>
      <c r="C1554" s="736">
        <v>190012</v>
      </c>
      <c r="D1554" s="735" t="s">
        <v>1756</v>
      </c>
      <c r="F1554" s="41" t="str">
        <f t="shared" si="705"/>
        <v>ACCUM DEFERRED INC TAXES - STATE - GAS</v>
      </c>
      <c r="G1554" s="41" t="s">
        <v>1757</v>
      </c>
      <c r="H1554" s="736" t="s">
        <v>815</v>
      </c>
      <c r="I1554" s="25"/>
      <c r="J1554" s="25" t="str">
        <f t="shared" si="706"/>
        <v/>
      </c>
      <c r="K1554" s="442" t="str">
        <f t="shared" si="711"/>
        <v/>
      </c>
      <c r="L1554" s="736" t="s">
        <v>2443</v>
      </c>
      <c r="M1554" s="25" t="str">
        <f t="shared" si="729"/>
        <v>R</v>
      </c>
      <c r="N1554" s="25" t="str">
        <f>IF(L1554&lt;&gt;"",VLOOKUP(L1554,Categories!$B$2:$D$41,2,FALSE),IF(F1554&lt;&gt;"","No Cat",""))</f>
        <v>Rate Base</v>
      </c>
      <c r="O1554" s="25" t="str">
        <f>IF($L1554&lt;&gt;"",VLOOKUP($L1554,Categories!$B$2:$D$41,3,FALSE),IF($F1554&lt;&gt;"","No Cat",""))</f>
        <v>Deferred Income Taxes</v>
      </c>
      <c r="P1554" s="736" t="s">
        <v>2483</v>
      </c>
      <c r="Q1554" s="25" t="str">
        <f>VLOOKUP($P1554,Allocators!$B$7:$F$19,5,FALSE)</f>
        <v>Gas</v>
      </c>
      <c r="R1554" s="737">
        <f>VLOOKUP($P1554,Allocators!$B$7:$F$19,2,FALSE)</f>
        <v>0</v>
      </c>
      <c r="S1554" s="737">
        <f>VLOOKUP($P1554,Allocators!$B$7:$F$19,3,FALSE)</f>
        <v>1</v>
      </c>
      <c r="T1554" s="737" t="str">
        <f t="shared" si="725"/>
        <v>0.0%</v>
      </c>
      <c r="U1554" s="2" t="str">
        <f t="shared" si="715"/>
        <v/>
      </c>
      <c r="V1554" s="2" t="str">
        <f t="shared" si="716"/>
        <v/>
      </c>
      <c r="W1554" s="2" t="str">
        <f t="shared" si="717"/>
        <v/>
      </c>
      <c r="X1554" s="2">
        <f t="shared" si="746"/>
        <v>0</v>
      </c>
      <c r="Y1554" s="2" t="str">
        <f t="shared" si="718"/>
        <v/>
      </c>
      <c r="Z1554" s="2" t="str">
        <f t="shared" si="719"/>
        <v/>
      </c>
      <c r="AA1554" s="2" t="str">
        <f t="shared" si="720"/>
        <v/>
      </c>
      <c r="AB1554" s="2">
        <f t="shared" si="747"/>
        <v>0</v>
      </c>
      <c r="AC1554" s="625">
        <v>0</v>
      </c>
      <c r="AD1554" s="625">
        <v>0</v>
      </c>
      <c r="AE1554" s="625">
        <v>0</v>
      </c>
      <c r="AF1554" s="625">
        <v>0</v>
      </c>
      <c r="AG1554" s="625">
        <v>0</v>
      </c>
      <c r="AH1554" s="625">
        <v>0</v>
      </c>
      <c r="AI1554" s="625">
        <v>0</v>
      </c>
      <c r="AJ1554" s="625">
        <v>0</v>
      </c>
      <c r="AK1554" s="625">
        <v>0</v>
      </c>
      <c r="AL1554" s="625">
        <v>0</v>
      </c>
      <c r="AM1554" s="625">
        <v>0</v>
      </c>
      <c r="AN1554" s="625">
        <v>0</v>
      </c>
      <c r="AO1554" s="625">
        <v>0</v>
      </c>
      <c r="AP1554" s="41" t="str">
        <f t="shared" si="739"/>
        <v>Def TaxR</v>
      </c>
      <c r="AQ1554" s="41" t="str">
        <f t="shared" si="740"/>
        <v>Def TaxRR11Outreach &amp; Education</v>
      </c>
      <c r="AR1554" s="41" t="str">
        <f t="shared" si="741"/>
        <v>R11Outreach &amp; Education</v>
      </c>
    </row>
    <row r="1555" spans="1:44" s="41" customFormat="1" ht="12.75" customHeight="1">
      <c r="A1555" s="25" t="s">
        <v>1590</v>
      </c>
      <c r="B1555" s="25" t="str">
        <f t="shared" si="714"/>
        <v>Def Tax190012190-031BT010167</v>
      </c>
      <c r="C1555" s="736">
        <v>190012</v>
      </c>
      <c r="D1555" s="735" t="s">
        <v>1670</v>
      </c>
      <c r="E1555" s="41" t="s">
        <v>1671</v>
      </c>
      <c r="F1555" s="41" t="str">
        <f t="shared" si="705"/>
        <v>ACCUM DEFERRED INC TAXES - STATE - GAS</v>
      </c>
      <c r="G1555" s="41" t="s">
        <v>1672</v>
      </c>
      <c r="H1555" s="736" t="s">
        <v>1673</v>
      </c>
      <c r="I1555" s="25"/>
      <c r="J1555" s="25" t="str">
        <f t="shared" si="706"/>
        <v/>
      </c>
      <c r="K1555" s="442" t="str">
        <f t="shared" si="711"/>
        <v/>
      </c>
      <c r="L1555" s="736" t="s">
        <v>2443</v>
      </c>
      <c r="M1555" s="25" t="str">
        <f t="shared" si="729"/>
        <v>R</v>
      </c>
      <c r="N1555" s="25" t="str">
        <f>IF(L1555&lt;&gt;"",VLOOKUP(L1555,Categories!$B$2:$D$41,2,FALSE),IF(F1555&lt;&gt;"","No Cat",""))</f>
        <v>Rate Base</v>
      </c>
      <c r="O1555" s="25" t="str">
        <f>IF($L1555&lt;&gt;"",VLOOKUP($L1555,Categories!$B$2:$D$41,3,FALSE),IF($F1555&lt;&gt;"","No Cat",""))</f>
        <v>Deferred Income Taxes</v>
      </c>
      <c r="P1555" s="736" t="s">
        <v>2483</v>
      </c>
      <c r="Q1555" s="25" t="str">
        <f>VLOOKUP($P1555,Allocators!$B$7:$F$19,5,FALSE)</f>
        <v>Gas</v>
      </c>
      <c r="R1555" s="737">
        <f>VLOOKUP($P1555,Allocators!$B$7:$F$19,2,FALSE)</f>
        <v>0</v>
      </c>
      <c r="S1555" s="737">
        <f>VLOOKUP($P1555,Allocators!$B$7:$F$19,3,FALSE)</f>
        <v>1</v>
      </c>
      <c r="T1555" s="737" t="str">
        <f t="shared" si="725"/>
        <v>0.0%</v>
      </c>
      <c r="U1555" s="2" t="str">
        <f t="shared" si="715"/>
        <v/>
      </c>
      <c r="V1555" s="2" t="str">
        <f t="shared" si="716"/>
        <v/>
      </c>
      <c r="W1555" s="2" t="str">
        <f t="shared" si="717"/>
        <v/>
      </c>
      <c r="X1555" s="2">
        <f t="shared" si="746"/>
        <v>0</v>
      </c>
      <c r="Y1555" s="2" t="str">
        <f t="shared" si="718"/>
        <v/>
      </c>
      <c r="Z1555" s="2" t="str">
        <f t="shared" si="719"/>
        <v/>
      </c>
      <c r="AA1555" s="2" t="str">
        <f t="shared" si="720"/>
        <v/>
      </c>
      <c r="AB1555" s="2">
        <f t="shared" si="747"/>
        <v>0</v>
      </c>
      <c r="AC1555" s="625">
        <v>0</v>
      </c>
      <c r="AD1555" s="625">
        <v>0</v>
      </c>
      <c r="AE1555" s="625">
        <v>0</v>
      </c>
      <c r="AF1555" s="625">
        <v>0</v>
      </c>
      <c r="AG1555" s="625">
        <v>0</v>
      </c>
      <c r="AH1555" s="625">
        <v>0</v>
      </c>
      <c r="AI1555" s="625">
        <v>0</v>
      </c>
      <c r="AJ1555" s="625">
        <v>0</v>
      </c>
      <c r="AK1555" s="625">
        <v>0</v>
      </c>
      <c r="AL1555" s="625">
        <v>0</v>
      </c>
      <c r="AM1555" s="625">
        <v>0</v>
      </c>
      <c r="AN1555" s="625">
        <v>0</v>
      </c>
      <c r="AO1555" s="625">
        <v>0</v>
      </c>
      <c r="AP1555" s="41" t="str">
        <f t="shared" si="739"/>
        <v>Def TaxR</v>
      </c>
      <c r="AQ1555" s="41" t="str">
        <f t="shared" si="740"/>
        <v>Def TaxRR11Pension</v>
      </c>
      <c r="AR1555" s="41" t="str">
        <f t="shared" si="741"/>
        <v>R11Pension</v>
      </c>
    </row>
    <row r="1556" spans="1:44" s="41" customFormat="1" ht="12.75" customHeight="1">
      <c r="A1556" s="25" t="s">
        <v>1590</v>
      </c>
      <c r="B1556" s="25" t="str">
        <f t="shared" si="714"/>
        <v>Def Tax190012190-031-JP</v>
      </c>
      <c r="C1556" s="736">
        <v>190012</v>
      </c>
      <c r="D1556" s="735" t="s">
        <v>1742</v>
      </c>
      <c r="F1556" s="41" t="str">
        <f t="shared" ref="F1556:F1620" si="748">VLOOKUP(C1556,$C$7:$F$787,4,FALSE)</f>
        <v>ACCUM DEFERRED INC TAXES - STATE - GAS</v>
      </c>
      <c r="G1556" s="41" t="s">
        <v>1743</v>
      </c>
      <c r="H1556" s="736" t="s">
        <v>1673</v>
      </c>
      <c r="I1556" s="25"/>
      <c r="J1556" s="25" t="str">
        <f t="shared" si="706"/>
        <v/>
      </c>
      <c r="K1556" s="442" t="str">
        <f t="shared" si="711"/>
        <v/>
      </c>
      <c r="L1556" s="736" t="s">
        <v>2443</v>
      </c>
      <c r="M1556" s="25" t="str">
        <f t="shared" si="729"/>
        <v>R</v>
      </c>
      <c r="N1556" s="25" t="str">
        <f>IF(L1556&lt;&gt;"",VLOOKUP(L1556,Categories!$B$2:$D$41,2,FALSE),IF(F1556&lt;&gt;"","No Cat",""))</f>
        <v>Rate Base</v>
      </c>
      <c r="O1556" s="25" t="str">
        <f>IF($L1556&lt;&gt;"",VLOOKUP($L1556,Categories!$B$2:$D$41,3,FALSE),IF($F1556&lt;&gt;"","No Cat",""))</f>
        <v>Deferred Income Taxes</v>
      </c>
      <c r="P1556" s="736" t="s">
        <v>2483</v>
      </c>
      <c r="Q1556" s="25" t="str">
        <f>VLOOKUP($P1556,Allocators!$B$7:$F$19,5,FALSE)</f>
        <v>Gas</v>
      </c>
      <c r="R1556" s="737">
        <f>VLOOKUP($P1556,Allocators!$B$7:$F$19,2,FALSE)</f>
        <v>0</v>
      </c>
      <c r="S1556" s="737">
        <f>VLOOKUP($P1556,Allocators!$B$7:$F$19,3,FALSE)</f>
        <v>1</v>
      </c>
      <c r="T1556" s="737" t="str">
        <f t="shared" si="725"/>
        <v>0.0%</v>
      </c>
      <c r="U1556" s="2" t="str">
        <f t="shared" si="715"/>
        <v/>
      </c>
      <c r="V1556" s="2" t="str">
        <f t="shared" si="716"/>
        <v/>
      </c>
      <c r="W1556" s="2" t="str">
        <f t="shared" si="717"/>
        <v/>
      </c>
      <c r="X1556" s="2">
        <f t="shared" si="746"/>
        <v>0</v>
      </c>
      <c r="Y1556" s="2" t="str">
        <f t="shared" si="718"/>
        <v/>
      </c>
      <c r="Z1556" s="2" t="str">
        <f t="shared" si="719"/>
        <v/>
      </c>
      <c r="AA1556" s="2" t="str">
        <f t="shared" si="720"/>
        <v/>
      </c>
      <c r="AB1556" s="2">
        <f t="shared" si="747"/>
        <v>0</v>
      </c>
      <c r="AC1556" s="625">
        <v>0</v>
      </c>
      <c r="AD1556" s="625">
        <v>0</v>
      </c>
      <c r="AE1556" s="625">
        <v>0</v>
      </c>
      <c r="AF1556" s="625">
        <v>0</v>
      </c>
      <c r="AG1556" s="625">
        <v>0</v>
      </c>
      <c r="AH1556" s="625">
        <v>0</v>
      </c>
      <c r="AI1556" s="625">
        <v>0</v>
      </c>
      <c r="AJ1556" s="625">
        <v>0</v>
      </c>
      <c r="AK1556" s="625">
        <v>0</v>
      </c>
      <c r="AL1556" s="625">
        <v>0</v>
      </c>
      <c r="AM1556" s="625">
        <v>0</v>
      </c>
      <c r="AN1556" s="625">
        <v>0</v>
      </c>
      <c r="AO1556" s="625">
        <v>0</v>
      </c>
      <c r="AP1556" s="41" t="str">
        <f t="shared" si="739"/>
        <v>Def TaxR</v>
      </c>
      <c r="AQ1556" s="41" t="str">
        <f t="shared" si="740"/>
        <v>Def TaxRR11Pension</v>
      </c>
      <c r="AR1556" s="41" t="str">
        <f t="shared" si="741"/>
        <v>R11Pension</v>
      </c>
    </row>
    <row r="1557" spans="1:44" s="41" customFormat="1" ht="12.75" customHeight="1">
      <c r="A1557" s="25" t="s">
        <v>1590</v>
      </c>
      <c r="B1557" s="25" t="str">
        <f t="shared" si="714"/>
        <v>Def Tax190012190-088BT010070</v>
      </c>
      <c r="C1557" s="736">
        <v>190012</v>
      </c>
      <c r="D1557" s="735" t="s">
        <v>1674</v>
      </c>
      <c r="E1557" s="41" t="s">
        <v>1675</v>
      </c>
      <c r="F1557" s="41" t="str">
        <f t="shared" si="748"/>
        <v>ACCUM DEFERRED INC TAXES - STATE - GAS</v>
      </c>
      <c r="G1557" s="41" t="s">
        <v>1676</v>
      </c>
      <c r="H1557" s="736" t="s">
        <v>1677</v>
      </c>
      <c r="I1557" s="25"/>
      <c r="J1557" s="25" t="str">
        <f t="shared" ref="J1557:J1621" si="749">IF(L1557="N10","Y",IF(L1557="N8","Y",""))</f>
        <v/>
      </c>
      <c r="K1557" s="442" t="str">
        <f t="shared" si="711"/>
        <v/>
      </c>
      <c r="L1557" s="736" t="s">
        <v>2443</v>
      </c>
      <c r="M1557" s="25" t="str">
        <f t="shared" si="729"/>
        <v>R</v>
      </c>
      <c r="N1557" s="25" t="str">
        <f>IF(L1557&lt;&gt;"",VLOOKUP(L1557,Categories!$B$2:$D$41,2,FALSE),IF(F1557&lt;&gt;"","No Cat",""))</f>
        <v>Rate Base</v>
      </c>
      <c r="O1557" s="25" t="str">
        <f>IF($L1557&lt;&gt;"",VLOOKUP($L1557,Categories!$B$2:$D$41,3,FALSE),IF($F1557&lt;&gt;"","No Cat",""))</f>
        <v>Deferred Income Taxes</v>
      </c>
      <c r="P1557" s="736" t="s">
        <v>2483</v>
      </c>
      <c r="Q1557" s="25" t="str">
        <f>VLOOKUP($P1557,Allocators!$B$7:$F$19,5,FALSE)</f>
        <v>Gas</v>
      </c>
      <c r="R1557" s="737">
        <f>VLOOKUP($P1557,Allocators!$B$7:$F$19,2,FALSE)</f>
        <v>0</v>
      </c>
      <c r="S1557" s="737">
        <f>VLOOKUP($P1557,Allocators!$B$7:$F$19,3,FALSE)</f>
        <v>1</v>
      </c>
      <c r="T1557" s="737" t="str">
        <f t="shared" si="725"/>
        <v>0.0%</v>
      </c>
      <c r="U1557" s="2" t="str">
        <f t="shared" si="715"/>
        <v/>
      </c>
      <c r="V1557" s="2" t="str">
        <f t="shared" si="716"/>
        <v/>
      </c>
      <c r="W1557" s="2" t="str">
        <f t="shared" si="717"/>
        <v/>
      </c>
      <c r="X1557" s="2">
        <f t="shared" si="746"/>
        <v>0</v>
      </c>
      <c r="Y1557" s="2" t="str">
        <f t="shared" si="718"/>
        <v/>
      </c>
      <c r="Z1557" s="2" t="str">
        <f t="shared" si="719"/>
        <v/>
      </c>
      <c r="AA1557" s="2" t="str">
        <f t="shared" si="720"/>
        <v/>
      </c>
      <c r="AB1557" s="2">
        <f t="shared" si="747"/>
        <v>0</v>
      </c>
      <c r="AC1557" s="625">
        <v>0</v>
      </c>
      <c r="AD1557" s="625">
        <v>0</v>
      </c>
      <c r="AE1557" s="625">
        <v>0</v>
      </c>
      <c r="AF1557" s="625">
        <v>0</v>
      </c>
      <c r="AG1557" s="625">
        <v>0</v>
      </c>
      <c r="AH1557" s="625">
        <v>0</v>
      </c>
      <c r="AI1557" s="625">
        <v>0</v>
      </c>
      <c r="AJ1557" s="625">
        <v>0</v>
      </c>
      <c r="AK1557" s="625">
        <v>0</v>
      </c>
      <c r="AL1557" s="625">
        <v>0</v>
      </c>
      <c r="AM1557" s="625">
        <v>0</v>
      </c>
      <c r="AN1557" s="625">
        <v>0</v>
      </c>
      <c r="AO1557" s="625">
        <v>0</v>
      </c>
      <c r="AP1557" s="41" t="str">
        <f t="shared" si="739"/>
        <v>Def TaxR</v>
      </c>
      <c r="AQ1557" s="41" t="str">
        <f t="shared" si="740"/>
        <v>Def TaxRR11Personal Time</v>
      </c>
      <c r="AR1557" s="41" t="str">
        <f t="shared" si="741"/>
        <v>R11Personal Time</v>
      </c>
    </row>
    <row r="1558" spans="1:44" s="41" customFormat="1" ht="12.75" customHeight="1">
      <c r="A1558" s="25" t="s">
        <v>1590</v>
      </c>
      <c r="B1558" s="25" t="str">
        <f t="shared" si="714"/>
        <v>Def Tax190012190-015BT010089</v>
      </c>
      <c r="C1558" s="736">
        <v>190012</v>
      </c>
      <c r="D1558" s="735" t="s">
        <v>1678</v>
      </c>
      <c r="E1558" s="41" t="s">
        <v>1679</v>
      </c>
      <c r="F1558" s="41" t="str">
        <f t="shared" si="748"/>
        <v>ACCUM DEFERRED INC TAXES - STATE - GAS</v>
      </c>
      <c r="G1558" s="41" t="s">
        <v>1680</v>
      </c>
      <c r="H1558" s="736" t="s">
        <v>927</v>
      </c>
      <c r="I1558" s="25"/>
      <c r="J1558" s="25" t="str">
        <f t="shared" si="749"/>
        <v/>
      </c>
      <c r="K1558" s="442" t="str">
        <f t="shared" si="711"/>
        <v/>
      </c>
      <c r="L1558" s="736" t="s">
        <v>2443</v>
      </c>
      <c r="M1558" s="25" t="str">
        <f t="shared" si="729"/>
        <v>R</v>
      </c>
      <c r="N1558" s="25" t="str">
        <f>IF(L1558&lt;&gt;"",VLOOKUP(L1558,Categories!$B$2:$D$41,2,FALSE),IF(F1558&lt;&gt;"","No Cat",""))</f>
        <v>Rate Base</v>
      </c>
      <c r="O1558" s="25" t="str">
        <f>IF($L1558&lt;&gt;"",VLOOKUP($L1558,Categories!$B$2:$D$41,3,FALSE),IF($F1558&lt;&gt;"","No Cat",""))</f>
        <v>Deferred Income Taxes</v>
      </c>
      <c r="P1558" s="736" t="s">
        <v>2483</v>
      </c>
      <c r="Q1558" s="25" t="str">
        <f>VLOOKUP($P1558,Allocators!$B$7:$F$19,5,FALSE)</f>
        <v>Gas</v>
      </c>
      <c r="R1558" s="737">
        <f>VLOOKUP($P1558,Allocators!$B$7:$F$19,2,FALSE)</f>
        <v>0</v>
      </c>
      <c r="S1558" s="737">
        <f>VLOOKUP($P1558,Allocators!$B$7:$F$19,3,FALSE)</f>
        <v>1</v>
      </c>
      <c r="T1558" s="737" t="str">
        <f t="shared" si="725"/>
        <v>0.0%</v>
      </c>
      <c r="U1558" s="2" t="str">
        <f t="shared" si="715"/>
        <v/>
      </c>
      <c r="V1558" s="2" t="str">
        <f t="shared" si="716"/>
        <v/>
      </c>
      <c r="W1558" s="2" t="str">
        <f t="shared" si="717"/>
        <v/>
      </c>
      <c r="X1558" s="2">
        <f t="shared" si="746"/>
        <v>0</v>
      </c>
      <c r="Y1558" s="2" t="str">
        <f t="shared" si="718"/>
        <v/>
      </c>
      <c r="Z1558" s="2" t="str">
        <f t="shared" si="719"/>
        <v/>
      </c>
      <c r="AA1558" s="2" t="str">
        <f t="shared" si="720"/>
        <v/>
      </c>
      <c r="AB1558" s="2">
        <f t="shared" si="747"/>
        <v>0</v>
      </c>
      <c r="AC1558" s="625">
        <v>0</v>
      </c>
      <c r="AD1558" s="625">
        <v>0</v>
      </c>
      <c r="AE1558" s="625">
        <v>0</v>
      </c>
      <c r="AF1558" s="625">
        <v>0</v>
      </c>
      <c r="AG1558" s="625">
        <v>0</v>
      </c>
      <c r="AH1558" s="625">
        <v>0</v>
      </c>
      <c r="AI1558" s="625">
        <v>0</v>
      </c>
      <c r="AJ1558" s="625">
        <v>0</v>
      </c>
      <c r="AK1558" s="625">
        <v>0</v>
      </c>
      <c r="AL1558" s="625">
        <v>0</v>
      </c>
      <c r="AM1558" s="625">
        <v>0</v>
      </c>
      <c r="AN1558" s="625">
        <v>0</v>
      </c>
      <c r="AO1558" s="625">
        <v>0</v>
      </c>
      <c r="AP1558" s="41" t="str">
        <f t="shared" si="739"/>
        <v>Def TaxR</v>
      </c>
      <c r="AQ1558" s="41" t="str">
        <f t="shared" si="740"/>
        <v>Def TaxRR11OPEB</v>
      </c>
      <c r="AR1558" s="41" t="str">
        <f t="shared" si="741"/>
        <v>R11OPEB</v>
      </c>
    </row>
    <row r="1559" spans="1:44" s="41" customFormat="1" ht="12.75" customHeight="1">
      <c r="A1559" s="25" t="s">
        <v>1590</v>
      </c>
      <c r="B1559" s="25" t="str">
        <f t="shared" si="714"/>
        <v>Def Tax190012190-015-JP</v>
      </c>
      <c r="C1559" s="736">
        <v>190012</v>
      </c>
      <c r="D1559" s="735" t="s">
        <v>1730</v>
      </c>
      <c r="F1559" s="41" t="str">
        <f t="shared" si="748"/>
        <v>ACCUM DEFERRED INC TAXES - STATE - GAS</v>
      </c>
      <c r="G1559" s="41" t="s">
        <v>1731</v>
      </c>
      <c r="H1559" s="736" t="s">
        <v>927</v>
      </c>
      <c r="I1559" s="25"/>
      <c r="J1559" s="25" t="str">
        <f t="shared" si="749"/>
        <v/>
      </c>
      <c r="K1559" s="442" t="str">
        <f t="shared" si="711"/>
        <v/>
      </c>
      <c r="L1559" s="736" t="s">
        <v>2443</v>
      </c>
      <c r="M1559" s="25" t="str">
        <f t="shared" si="729"/>
        <v>R</v>
      </c>
      <c r="N1559" s="25" t="str">
        <f>IF(L1559&lt;&gt;"",VLOOKUP(L1559,Categories!$B$2:$D$41,2,FALSE),IF(F1559&lt;&gt;"","No Cat",""))</f>
        <v>Rate Base</v>
      </c>
      <c r="O1559" s="25" t="str">
        <f>IF($L1559&lt;&gt;"",VLOOKUP($L1559,Categories!$B$2:$D$41,3,FALSE),IF($F1559&lt;&gt;"","No Cat",""))</f>
        <v>Deferred Income Taxes</v>
      </c>
      <c r="P1559" s="736" t="s">
        <v>2483</v>
      </c>
      <c r="Q1559" s="25" t="str">
        <f>VLOOKUP($P1559,Allocators!$B$7:$F$19,5,FALSE)</f>
        <v>Gas</v>
      </c>
      <c r="R1559" s="737">
        <f>VLOOKUP($P1559,Allocators!$B$7:$F$19,2,FALSE)</f>
        <v>0</v>
      </c>
      <c r="S1559" s="737">
        <f>VLOOKUP($P1559,Allocators!$B$7:$F$19,3,FALSE)</f>
        <v>1</v>
      </c>
      <c r="T1559" s="737" t="str">
        <f t="shared" si="725"/>
        <v>0.0%</v>
      </c>
      <c r="U1559" s="2" t="str">
        <f t="shared" ref="U1559:U1622" si="750">IF(ABS(X1559)=0,"",IF($R1559="NO ALLOC","NO ALLOC",ROUND($R1559*X1559,15)))</f>
        <v/>
      </c>
      <c r="V1559" s="2" t="str">
        <f t="shared" ref="V1559:V1622" si="751">IF(ABS(X1559)=0,"",IF($S1559="NO ALLOC","NO ALLOC",ROUND($S1559*X1559,15)))</f>
        <v/>
      </c>
      <c r="W1559" s="2" t="str">
        <f t="shared" ref="W1559:W1622" si="752">IF(ABS(X1559)=0,"",IF($T1559="NO ALLOC","NO ALLOC",ROUND($T1559*X1559,15)))</f>
        <v/>
      </c>
      <c r="X1559" s="2">
        <f t="shared" si="746"/>
        <v>0</v>
      </c>
      <c r="Y1559" s="2" t="str">
        <f t="shared" ref="Y1559:Y1622" si="753">IF(ABS(AB1559)=0,"",IF($R1559="NO ALLOC","NO ALLOC",ROUND($R1559*AB1559,15)))</f>
        <v/>
      </c>
      <c r="Z1559" s="2" t="str">
        <f t="shared" ref="Z1559:Z1622" si="754">IF(ABS(AB1559)=0,"",IF($S1559="NO ALLOC","NO ALLOC",ROUND($S1559*AB1559,15)))</f>
        <v/>
      </c>
      <c r="AA1559" s="2" t="str">
        <f t="shared" ref="AA1559:AA1622" si="755">IF(ABS(AB1559)=0,"",IF($T1559="NO ALLOC","NO ALLOC",ROUND($T1559*AB1559,15)))</f>
        <v/>
      </c>
      <c r="AB1559" s="2">
        <f t="shared" si="747"/>
        <v>0</v>
      </c>
      <c r="AC1559" s="625">
        <v>0</v>
      </c>
      <c r="AD1559" s="625">
        <v>0</v>
      </c>
      <c r="AE1559" s="625">
        <v>0</v>
      </c>
      <c r="AF1559" s="625">
        <v>0</v>
      </c>
      <c r="AG1559" s="625">
        <v>0</v>
      </c>
      <c r="AH1559" s="625">
        <v>0</v>
      </c>
      <c r="AI1559" s="625">
        <v>0</v>
      </c>
      <c r="AJ1559" s="625">
        <v>0</v>
      </c>
      <c r="AK1559" s="625">
        <v>0</v>
      </c>
      <c r="AL1559" s="625">
        <v>0</v>
      </c>
      <c r="AM1559" s="625">
        <v>0</v>
      </c>
      <c r="AN1559" s="625">
        <v>0</v>
      </c>
      <c r="AO1559" s="625">
        <v>0</v>
      </c>
      <c r="AP1559" s="41" t="str">
        <f t="shared" si="739"/>
        <v>Def TaxR</v>
      </c>
      <c r="AQ1559" s="41" t="str">
        <f t="shared" si="740"/>
        <v>Def TaxRR11OPEB</v>
      </c>
      <c r="AR1559" s="41" t="str">
        <f t="shared" si="741"/>
        <v>R11OPEB</v>
      </c>
    </row>
    <row r="1560" spans="1:44" s="41" customFormat="1" ht="12.75" customHeight="1">
      <c r="A1560" s="25" t="s">
        <v>1590</v>
      </c>
      <c r="B1560" s="25" t="str">
        <f t="shared" si="714"/>
        <v>Def Tax190012190-015-C/LBT010090</v>
      </c>
      <c r="C1560" s="736">
        <v>190012</v>
      </c>
      <c r="D1560" s="735" t="s">
        <v>1727</v>
      </c>
      <c r="E1560" s="41" t="s">
        <v>1728</v>
      </c>
      <c r="F1560" s="41" t="str">
        <f t="shared" si="748"/>
        <v>ACCUM DEFERRED INC TAXES - STATE - GAS</v>
      </c>
      <c r="G1560" s="41" t="s">
        <v>1729</v>
      </c>
      <c r="H1560" s="736" t="s">
        <v>927</v>
      </c>
      <c r="I1560" s="25"/>
      <c r="J1560" s="25" t="str">
        <f t="shared" si="749"/>
        <v/>
      </c>
      <c r="K1560" s="442" t="str">
        <f t="shared" si="711"/>
        <v/>
      </c>
      <c r="L1560" s="736" t="s">
        <v>2443</v>
      </c>
      <c r="M1560" s="25" t="str">
        <f t="shared" si="729"/>
        <v>R</v>
      </c>
      <c r="N1560" s="25" t="str">
        <f>IF(L1560&lt;&gt;"",VLOOKUP(L1560,Categories!$B$2:$D$41,2,FALSE),IF(F1560&lt;&gt;"","No Cat",""))</f>
        <v>Rate Base</v>
      </c>
      <c r="O1560" s="25" t="str">
        <f>IF($L1560&lt;&gt;"",VLOOKUP($L1560,Categories!$B$2:$D$41,3,FALSE),IF($F1560&lt;&gt;"","No Cat",""))</f>
        <v>Deferred Income Taxes</v>
      </c>
      <c r="P1560" s="736" t="s">
        <v>2483</v>
      </c>
      <c r="Q1560" s="25" t="str">
        <f>VLOOKUP($P1560,Allocators!$B$7:$F$19,5,FALSE)</f>
        <v>Gas</v>
      </c>
      <c r="R1560" s="737">
        <f>VLOOKUP($P1560,Allocators!$B$7:$F$19,2,FALSE)</f>
        <v>0</v>
      </c>
      <c r="S1560" s="737">
        <f>VLOOKUP($P1560,Allocators!$B$7:$F$19,3,FALSE)</f>
        <v>1</v>
      </c>
      <c r="T1560" s="737" t="str">
        <f t="shared" si="725"/>
        <v>0.0%</v>
      </c>
      <c r="U1560" s="2" t="str">
        <f t="shared" si="750"/>
        <v/>
      </c>
      <c r="V1560" s="2" t="str">
        <f t="shared" si="751"/>
        <v/>
      </c>
      <c r="W1560" s="2" t="str">
        <f t="shared" si="752"/>
        <v/>
      </c>
      <c r="X1560" s="2">
        <f t="shared" si="746"/>
        <v>0</v>
      </c>
      <c r="Y1560" s="2" t="str">
        <f t="shared" si="753"/>
        <v/>
      </c>
      <c r="Z1560" s="2" t="str">
        <f t="shared" si="754"/>
        <v/>
      </c>
      <c r="AA1560" s="2" t="str">
        <f t="shared" si="755"/>
        <v/>
      </c>
      <c r="AB1560" s="2">
        <f t="shared" si="747"/>
        <v>0</v>
      </c>
      <c r="AC1560" s="625">
        <v>0</v>
      </c>
      <c r="AD1560" s="625">
        <v>0</v>
      </c>
      <c r="AE1560" s="625">
        <v>0</v>
      </c>
      <c r="AF1560" s="625">
        <v>0</v>
      </c>
      <c r="AG1560" s="625">
        <v>0</v>
      </c>
      <c r="AH1560" s="625">
        <v>0</v>
      </c>
      <c r="AI1560" s="625">
        <v>0</v>
      </c>
      <c r="AJ1560" s="625">
        <v>0</v>
      </c>
      <c r="AK1560" s="625">
        <v>0</v>
      </c>
      <c r="AL1560" s="625">
        <v>0</v>
      </c>
      <c r="AM1560" s="625">
        <v>0</v>
      </c>
      <c r="AN1560" s="625">
        <v>0</v>
      </c>
      <c r="AO1560" s="625">
        <v>0</v>
      </c>
      <c r="AP1560" s="41" t="str">
        <f t="shared" si="739"/>
        <v>Def TaxR</v>
      </c>
      <c r="AQ1560" s="41" t="str">
        <f t="shared" si="740"/>
        <v>Def TaxRR11OPEB</v>
      </c>
      <c r="AR1560" s="41" t="str">
        <f t="shared" si="741"/>
        <v>R11OPEB</v>
      </c>
    </row>
    <row r="1561" spans="1:44" s="41" customFormat="1" ht="12.75" customHeight="1">
      <c r="A1561" s="25" t="s">
        <v>1590</v>
      </c>
      <c r="B1561" s="25" t="str">
        <f t="shared" si="714"/>
        <v>Def Tax190012190-094-JP</v>
      </c>
      <c r="C1561" s="736">
        <v>190012</v>
      </c>
      <c r="D1561" s="735" t="s">
        <v>1753</v>
      </c>
      <c r="F1561" s="41" t="str">
        <f t="shared" si="748"/>
        <v>ACCUM DEFERRED INC TAXES - STATE - GAS</v>
      </c>
      <c r="G1561" s="41" t="s">
        <v>1754</v>
      </c>
      <c r="H1561" s="736" t="s">
        <v>1755</v>
      </c>
      <c r="I1561" s="25"/>
      <c r="J1561" s="25" t="str">
        <f t="shared" si="749"/>
        <v/>
      </c>
      <c r="K1561" s="442" t="str">
        <f t="shared" ref="K1561:K1625" si="756">IF(L1561="N3","Y","")</f>
        <v/>
      </c>
      <c r="L1561" s="736" t="s">
        <v>2443</v>
      </c>
      <c r="M1561" s="25" t="str">
        <f t="shared" si="729"/>
        <v>R</v>
      </c>
      <c r="N1561" s="25" t="str">
        <f>IF(L1561&lt;&gt;"",VLOOKUP(L1561,Categories!$B$2:$D$41,2,FALSE),IF(F1561&lt;&gt;"","No Cat",""))</f>
        <v>Rate Base</v>
      </c>
      <c r="O1561" s="25" t="str">
        <f>IF($L1561&lt;&gt;"",VLOOKUP($L1561,Categories!$B$2:$D$41,3,FALSE),IF($F1561&lt;&gt;"","No Cat",""))</f>
        <v>Deferred Income Taxes</v>
      </c>
      <c r="P1561" s="736" t="s">
        <v>2483</v>
      </c>
      <c r="Q1561" s="25" t="str">
        <f>VLOOKUP($P1561,Allocators!$B$7:$F$19,5,FALSE)</f>
        <v>Gas</v>
      </c>
      <c r="R1561" s="737">
        <f>VLOOKUP($P1561,Allocators!$B$7:$F$19,2,FALSE)</f>
        <v>0</v>
      </c>
      <c r="S1561" s="737">
        <f>VLOOKUP($P1561,Allocators!$B$7:$F$19,3,FALSE)</f>
        <v>1</v>
      </c>
      <c r="T1561" s="737" t="str">
        <f t="shared" si="725"/>
        <v>0.0%</v>
      </c>
      <c r="U1561" s="2" t="str">
        <f t="shared" si="750"/>
        <v/>
      </c>
      <c r="V1561" s="2" t="str">
        <f t="shared" si="751"/>
        <v/>
      </c>
      <c r="W1561" s="2" t="str">
        <f t="shared" si="752"/>
        <v/>
      </c>
      <c r="X1561" s="2">
        <f t="shared" si="746"/>
        <v>0</v>
      </c>
      <c r="Y1561" s="2" t="str">
        <f t="shared" si="753"/>
        <v/>
      </c>
      <c r="Z1561" s="2" t="str">
        <f t="shared" si="754"/>
        <v/>
      </c>
      <c r="AA1561" s="2" t="str">
        <f t="shared" si="755"/>
        <v/>
      </c>
      <c r="AB1561" s="2">
        <f t="shared" si="747"/>
        <v>0</v>
      </c>
      <c r="AC1561" s="625">
        <v>0</v>
      </c>
      <c r="AD1561" s="625">
        <v>0</v>
      </c>
      <c r="AE1561" s="625">
        <v>0</v>
      </c>
      <c r="AF1561" s="625">
        <v>0</v>
      </c>
      <c r="AG1561" s="625">
        <v>0</v>
      </c>
      <c r="AH1561" s="625">
        <v>0</v>
      </c>
      <c r="AI1561" s="625">
        <v>0</v>
      </c>
      <c r="AJ1561" s="625">
        <v>0</v>
      </c>
      <c r="AK1561" s="625">
        <v>0</v>
      </c>
      <c r="AL1561" s="625">
        <v>0</v>
      </c>
      <c r="AM1561" s="625">
        <v>0</v>
      </c>
      <c r="AN1561" s="625">
        <v>0</v>
      </c>
      <c r="AO1561" s="625">
        <v>0</v>
      </c>
      <c r="AP1561" s="41" t="str">
        <f t="shared" si="739"/>
        <v>Def TaxR</v>
      </c>
      <c r="AQ1561" s="41" t="str">
        <f t="shared" si="740"/>
        <v>Def TaxRR11Prepaid Property Tax</v>
      </c>
      <c r="AR1561" s="41" t="str">
        <f t="shared" si="741"/>
        <v>R11Prepaid Property Tax</v>
      </c>
    </row>
    <row r="1562" spans="1:44" s="41" customFormat="1" ht="12.75" customHeight="1">
      <c r="A1562" s="25" t="s">
        <v>1590</v>
      </c>
      <c r="B1562" s="25" t="str">
        <f t="shared" si="714"/>
        <v>Def Tax190012190-108</v>
      </c>
      <c r="C1562" s="736">
        <v>190012</v>
      </c>
      <c r="D1562" s="735" t="s">
        <v>1770</v>
      </c>
      <c r="F1562" s="41" t="str">
        <f t="shared" si="748"/>
        <v>ACCUM DEFERRED INC TAXES - STATE - GAS</v>
      </c>
      <c r="G1562" s="41" t="s">
        <v>1771</v>
      </c>
      <c r="H1562" s="736" t="s">
        <v>1124</v>
      </c>
      <c r="I1562" s="25"/>
      <c r="J1562" s="25" t="str">
        <f t="shared" si="749"/>
        <v/>
      </c>
      <c r="K1562" s="442" t="str">
        <f t="shared" si="756"/>
        <v/>
      </c>
      <c r="L1562" s="736" t="s">
        <v>2443</v>
      </c>
      <c r="M1562" s="25" t="str">
        <f t="shared" si="729"/>
        <v>R</v>
      </c>
      <c r="N1562" s="25" t="str">
        <f>IF(L1562&lt;&gt;"",VLOOKUP(L1562,Categories!$B$2:$D$41,2,FALSE),IF(F1562&lt;&gt;"","No Cat",""))</f>
        <v>Rate Base</v>
      </c>
      <c r="O1562" s="25" t="str">
        <f>IF($L1562&lt;&gt;"",VLOOKUP($L1562,Categories!$B$2:$D$41,3,FALSE),IF($F1562&lt;&gt;"","No Cat",""))</f>
        <v>Deferred Income Taxes</v>
      </c>
      <c r="P1562" s="736" t="s">
        <v>2483</v>
      </c>
      <c r="Q1562" s="25" t="str">
        <f>VLOOKUP($P1562,Allocators!$B$7:$F$19,5,FALSE)</f>
        <v>Gas</v>
      </c>
      <c r="R1562" s="737">
        <f>VLOOKUP($P1562,Allocators!$B$7:$F$19,2,FALSE)</f>
        <v>0</v>
      </c>
      <c r="S1562" s="737">
        <f>VLOOKUP($P1562,Allocators!$B$7:$F$19,3,FALSE)</f>
        <v>1</v>
      </c>
      <c r="T1562" s="737" t="str">
        <f t="shared" si="725"/>
        <v>0.0%</v>
      </c>
      <c r="U1562" s="2" t="str">
        <f t="shared" si="750"/>
        <v/>
      </c>
      <c r="V1562" s="2" t="str">
        <f t="shared" si="751"/>
        <v/>
      </c>
      <c r="W1562" s="2" t="str">
        <f t="shared" si="752"/>
        <v/>
      </c>
      <c r="X1562" s="2">
        <f t="shared" si="746"/>
        <v>0</v>
      </c>
      <c r="Y1562" s="2" t="str">
        <f t="shared" si="753"/>
        <v/>
      </c>
      <c r="Z1562" s="2" t="str">
        <f t="shared" si="754"/>
        <v/>
      </c>
      <c r="AA1562" s="2" t="str">
        <f t="shared" si="755"/>
        <v/>
      </c>
      <c r="AB1562" s="2">
        <f t="shared" si="747"/>
        <v>0</v>
      </c>
      <c r="AC1562" s="625">
        <v>0</v>
      </c>
      <c r="AD1562" s="625">
        <v>0</v>
      </c>
      <c r="AE1562" s="625">
        <v>0</v>
      </c>
      <c r="AF1562" s="625">
        <v>0</v>
      </c>
      <c r="AG1562" s="625">
        <v>0</v>
      </c>
      <c r="AH1562" s="625">
        <v>0</v>
      </c>
      <c r="AI1562" s="625">
        <v>0</v>
      </c>
      <c r="AJ1562" s="625">
        <v>0</v>
      </c>
      <c r="AK1562" s="625">
        <v>0</v>
      </c>
      <c r="AL1562" s="625">
        <v>0</v>
      </c>
      <c r="AM1562" s="625">
        <v>0</v>
      </c>
      <c r="AN1562" s="625">
        <v>0</v>
      </c>
      <c r="AO1562" s="625">
        <v>0</v>
      </c>
      <c r="AP1562" s="41" t="str">
        <f t="shared" si="739"/>
        <v>Def TaxR</v>
      </c>
      <c r="AQ1562" s="41" t="str">
        <f t="shared" si="740"/>
        <v>Def TaxRR11R&amp;D Tax Credit Deferral</v>
      </c>
      <c r="AR1562" s="41" t="str">
        <f t="shared" si="741"/>
        <v>R11R&amp;D Tax Credit Deferral</v>
      </c>
    </row>
    <row r="1563" spans="1:44" s="41" customFormat="1" ht="12.75" customHeight="1">
      <c r="A1563" s="442" t="s">
        <v>1590</v>
      </c>
      <c r="B1563" s="442" t="str">
        <f t="shared" si="714"/>
        <v>Def Tax1900120BT010177</v>
      </c>
      <c r="C1563" s="736">
        <v>190012</v>
      </c>
      <c r="D1563" s="735">
        <v>0</v>
      </c>
      <c r="E1563" s="626" t="s">
        <v>1684</v>
      </c>
      <c r="F1563" s="626" t="str">
        <f t="shared" si="748"/>
        <v>ACCUM DEFERRED INC TAXES - STATE - GAS</v>
      </c>
      <c r="G1563" s="626" t="s">
        <v>1683</v>
      </c>
      <c r="H1563" s="736" t="s">
        <v>1124</v>
      </c>
      <c r="I1563" s="442"/>
      <c r="J1563" s="442" t="str">
        <f t="shared" si="749"/>
        <v/>
      </c>
      <c r="K1563" s="442" t="str">
        <f t="shared" si="756"/>
        <v/>
      </c>
      <c r="L1563" s="736" t="s">
        <v>2443</v>
      </c>
      <c r="M1563" s="442" t="str">
        <f t="shared" si="729"/>
        <v>R</v>
      </c>
      <c r="N1563" s="442" t="str">
        <f>IF(L1563&lt;&gt;"",VLOOKUP(L1563,Categories!$B$2:$D$41,2,FALSE),IF(F1563&lt;&gt;"","No Cat",""))</f>
        <v>Rate Base</v>
      </c>
      <c r="O1563" s="442" t="str">
        <f>IF($L1563&lt;&gt;"",VLOOKUP($L1563,Categories!$B$2:$D$41,3,FALSE),IF($F1563&lt;&gt;"","No Cat",""))</f>
        <v>Deferred Income Taxes</v>
      </c>
      <c r="P1563" s="736" t="s">
        <v>2483</v>
      </c>
      <c r="Q1563" s="442" t="str">
        <f>VLOOKUP($P1563,Allocators!$B$7:$F$19,5,FALSE)</f>
        <v>Gas</v>
      </c>
      <c r="R1563" s="737">
        <f>VLOOKUP($P1563,Allocators!$B$7:$F$19,2,FALSE)</f>
        <v>0</v>
      </c>
      <c r="S1563" s="737">
        <f>VLOOKUP($P1563,Allocators!$B$7:$F$19,3,FALSE)</f>
        <v>1</v>
      </c>
      <c r="T1563" s="737" t="str">
        <f t="shared" si="725"/>
        <v>0.0%</v>
      </c>
      <c r="U1563" s="2" t="str">
        <f t="shared" si="750"/>
        <v/>
      </c>
      <c r="V1563" s="2" t="str">
        <f t="shared" si="751"/>
        <v/>
      </c>
      <c r="W1563" s="2" t="str">
        <f t="shared" si="752"/>
        <v/>
      </c>
      <c r="X1563" s="2">
        <f t="shared" si="746"/>
        <v>0</v>
      </c>
      <c r="Y1563" s="2" t="str">
        <f t="shared" si="753"/>
        <v/>
      </c>
      <c r="Z1563" s="2" t="str">
        <f t="shared" si="754"/>
        <v/>
      </c>
      <c r="AA1563" s="2" t="str">
        <f t="shared" si="755"/>
        <v/>
      </c>
      <c r="AB1563" s="2">
        <f t="shared" si="747"/>
        <v>0</v>
      </c>
      <c r="AC1563" s="625">
        <v>0</v>
      </c>
      <c r="AD1563" s="625">
        <v>0</v>
      </c>
      <c r="AE1563" s="625">
        <v>0</v>
      </c>
      <c r="AF1563" s="625">
        <v>0</v>
      </c>
      <c r="AG1563" s="625">
        <v>0</v>
      </c>
      <c r="AH1563" s="625">
        <v>0</v>
      </c>
      <c r="AI1563" s="625">
        <v>0</v>
      </c>
      <c r="AJ1563" s="625">
        <v>0</v>
      </c>
      <c r="AK1563" s="625">
        <v>0</v>
      </c>
      <c r="AL1563" s="625">
        <v>0</v>
      </c>
      <c r="AM1563" s="625">
        <v>0</v>
      </c>
      <c r="AN1563" s="625">
        <v>0</v>
      </c>
      <c r="AO1563" s="625">
        <v>0</v>
      </c>
      <c r="AP1563" s="41" t="str">
        <f t="shared" si="739"/>
        <v>Def TaxR</v>
      </c>
      <c r="AQ1563" s="41" t="str">
        <f t="shared" si="740"/>
        <v>Def TaxRR11R&amp;D Tax Credit Deferral</v>
      </c>
      <c r="AR1563" s="41" t="str">
        <f t="shared" si="741"/>
        <v>R11R&amp;D Tax Credit Deferral</v>
      </c>
    </row>
    <row r="1564" spans="1:44" s="41" customFormat="1" ht="12.75" customHeight="1">
      <c r="A1564" s="25" t="s">
        <v>1590</v>
      </c>
      <c r="B1564" s="25" t="str">
        <f t="shared" si="714"/>
        <v>Def Tax1900120BT010183</v>
      </c>
      <c r="C1564" s="736">
        <v>190012</v>
      </c>
      <c r="D1564" s="735">
        <v>0</v>
      </c>
      <c r="E1564" s="41" t="s">
        <v>1689</v>
      </c>
      <c r="F1564" s="41" t="str">
        <f t="shared" si="748"/>
        <v>ACCUM DEFERRED INC TAXES - STATE - GAS</v>
      </c>
      <c r="G1564" s="41" t="s">
        <v>1690</v>
      </c>
      <c r="H1564" s="736" t="s">
        <v>1691</v>
      </c>
      <c r="I1564" s="25"/>
      <c r="J1564" s="25" t="str">
        <f t="shared" si="749"/>
        <v/>
      </c>
      <c r="K1564" s="442" t="str">
        <f t="shared" si="756"/>
        <v/>
      </c>
      <c r="L1564" s="736" t="s">
        <v>2443</v>
      </c>
      <c r="M1564" s="25" t="str">
        <f t="shared" si="729"/>
        <v>R</v>
      </c>
      <c r="N1564" s="25" t="str">
        <f>IF(L1564&lt;&gt;"",VLOOKUP(L1564,Categories!$B$2:$D$41,2,FALSE),IF(F1564&lt;&gt;"","No Cat",""))</f>
        <v>Rate Base</v>
      </c>
      <c r="O1564" s="25" t="str">
        <f>IF($L1564&lt;&gt;"",VLOOKUP($L1564,Categories!$B$2:$D$41,3,FALSE),IF($F1564&lt;&gt;"","No Cat",""))</f>
        <v>Deferred Income Taxes</v>
      </c>
      <c r="P1564" s="736" t="s">
        <v>2483</v>
      </c>
      <c r="Q1564" s="25" t="str">
        <f>VLOOKUP($P1564,Allocators!$B$7:$F$19,5,FALSE)</f>
        <v>Gas</v>
      </c>
      <c r="R1564" s="737">
        <f>VLOOKUP($P1564,Allocators!$B$7:$F$19,2,FALSE)</f>
        <v>0</v>
      </c>
      <c r="S1564" s="737">
        <f>VLOOKUP($P1564,Allocators!$B$7:$F$19,3,FALSE)</f>
        <v>1</v>
      </c>
      <c r="T1564" s="737" t="str">
        <f t="shared" si="725"/>
        <v>0.0%</v>
      </c>
      <c r="U1564" s="2" t="str">
        <f t="shared" si="750"/>
        <v/>
      </c>
      <c r="V1564" s="2" t="str">
        <f t="shared" si="751"/>
        <v/>
      </c>
      <c r="W1564" s="2" t="str">
        <f t="shared" si="752"/>
        <v/>
      </c>
      <c r="X1564" s="2">
        <f t="shared" si="746"/>
        <v>0</v>
      </c>
      <c r="Y1564" s="2" t="str">
        <f t="shared" si="753"/>
        <v/>
      </c>
      <c r="Z1564" s="2" t="str">
        <f t="shared" si="754"/>
        <v/>
      </c>
      <c r="AA1564" s="2" t="str">
        <f t="shared" si="755"/>
        <v/>
      </c>
      <c r="AB1564" s="2">
        <f t="shared" si="747"/>
        <v>0</v>
      </c>
      <c r="AC1564" s="625">
        <v>0</v>
      </c>
      <c r="AD1564" s="625">
        <v>0</v>
      </c>
      <c r="AE1564" s="625">
        <v>0</v>
      </c>
      <c r="AF1564" s="625">
        <v>0</v>
      </c>
      <c r="AG1564" s="625">
        <v>0</v>
      </c>
      <c r="AH1564" s="625">
        <v>0</v>
      </c>
      <c r="AI1564" s="625">
        <v>0</v>
      </c>
      <c r="AJ1564" s="625">
        <v>0</v>
      </c>
      <c r="AK1564" s="625">
        <v>0</v>
      </c>
      <c r="AL1564" s="625">
        <v>0</v>
      </c>
      <c r="AM1564" s="625">
        <v>0</v>
      </c>
      <c r="AN1564" s="625">
        <v>0</v>
      </c>
      <c r="AO1564" s="625">
        <v>0</v>
      </c>
      <c r="AP1564" s="41" t="str">
        <f t="shared" si="739"/>
        <v>Def TaxR</v>
      </c>
      <c r="AQ1564" s="41" t="str">
        <f t="shared" si="740"/>
        <v>Def TaxRR11Restricted Stock</v>
      </c>
      <c r="AR1564" s="41" t="str">
        <f t="shared" si="741"/>
        <v>R11Restricted Stock</v>
      </c>
    </row>
    <row r="1565" spans="1:44" s="41" customFormat="1" ht="12.75" customHeight="1">
      <c r="A1565" s="25" t="s">
        <v>1590</v>
      </c>
      <c r="B1565" s="25" t="str">
        <f t="shared" si="714"/>
        <v>Def Tax190012190-101BT010194</v>
      </c>
      <c r="C1565" s="736">
        <v>190012</v>
      </c>
      <c r="D1565" s="735" t="s">
        <v>1692</v>
      </c>
      <c r="E1565" s="41" t="s">
        <v>1693</v>
      </c>
      <c r="F1565" s="41" t="str">
        <f t="shared" si="748"/>
        <v>ACCUM DEFERRED INC TAXES - STATE - GAS</v>
      </c>
      <c r="G1565" s="41" t="s">
        <v>1694</v>
      </c>
      <c r="H1565" s="736" t="s">
        <v>1537</v>
      </c>
      <c r="I1565" s="25"/>
      <c r="J1565" s="25" t="str">
        <f t="shared" si="749"/>
        <v/>
      </c>
      <c r="K1565" s="442" t="str">
        <f t="shared" si="756"/>
        <v/>
      </c>
      <c r="L1565" s="736" t="s">
        <v>2443</v>
      </c>
      <c r="M1565" s="25" t="str">
        <f t="shared" si="729"/>
        <v>R</v>
      </c>
      <c r="N1565" s="25" t="str">
        <f>IF(L1565&lt;&gt;"",VLOOKUP(L1565,Categories!$B$2:$D$41,2,FALSE),IF(F1565&lt;&gt;"","No Cat",""))</f>
        <v>Rate Base</v>
      </c>
      <c r="O1565" s="25" t="str">
        <f>IF($L1565&lt;&gt;"",VLOOKUP($L1565,Categories!$B$2:$D$41,3,FALSE),IF($F1565&lt;&gt;"","No Cat",""))</f>
        <v>Deferred Income Taxes</v>
      </c>
      <c r="P1565" s="736" t="s">
        <v>2483</v>
      </c>
      <c r="Q1565" s="25" t="str">
        <f>VLOOKUP($P1565,Allocators!$B$7:$F$19,5,FALSE)</f>
        <v>Gas</v>
      </c>
      <c r="R1565" s="737">
        <f>VLOOKUP($P1565,Allocators!$B$7:$F$19,2,FALSE)</f>
        <v>0</v>
      </c>
      <c r="S1565" s="737">
        <f>VLOOKUP($P1565,Allocators!$B$7:$F$19,3,FALSE)</f>
        <v>1</v>
      </c>
      <c r="T1565" s="737" t="str">
        <f t="shared" si="725"/>
        <v>0.0%</v>
      </c>
      <c r="U1565" s="2">
        <f t="shared" si="750"/>
        <v>0</v>
      </c>
      <c r="V1565" s="2">
        <f t="shared" si="751"/>
        <v>16.904820000000001</v>
      </c>
      <c r="W1565" s="2">
        <f t="shared" si="752"/>
        <v>0</v>
      </c>
      <c r="X1565" s="2">
        <f t="shared" si="746"/>
        <v>16.904820000000001</v>
      </c>
      <c r="Y1565" s="2">
        <f t="shared" si="753"/>
        <v>0</v>
      </c>
      <c r="Z1565" s="2">
        <f t="shared" si="754"/>
        <v>16.904820000000001</v>
      </c>
      <c r="AA1565" s="2">
        <f t="shared" si="755"/>
        <v>0</v>
      </c>
      <c r="AB1565" s="2">
        <f t="shared" si="747"/>
        <v>16.904820000000001</v>
      </c>
      <c r="AC1565" s="625">
        <v>16.904820000000001</v>
      </c>
      <c r="AD1565" s="625">
        <v>16.904820000000001</v>
      </c>
      <c r="AE1565" s="625">
        <v>16.904820000000001</v>
      </c>
      <c r="AF1565" s="625">
        <v>16.904820000000001</v>
      </c>
      <c r="AG1565" s="625">
        <v>16.904820000000001</v>
      </c>
      <c r="AH1565" s="625">
        <v>16.904820000000001</v>
      </c>
      <c r="AI1565" s="625">
        <v>16.904820000000001</v>
      </c>
      <c r="AJ1565" s="625">
        <v>16.904820000000001</v>
      </c>
      <c r="AK1565" s="625">
        <v>16.904820000000001</v>
      </c>
      <c r="AL1565" s="625">
        <v>16.904820000000001</v>
      </c>
      <c r="AM1565" s="625">
        <v>16.904820000000001</v>
      </c>
      <c r="AN1565" s="625">
        <v>16.904820000000001</v>
      </c>
      <c r="AO1565" s="625">
        <v>16.904820000000001</v>
      </c>
      <c r="AP1565" s="41" t="str">
        <f t="shared" si="739"/>
        <v>Def TaxR</v>
      </c>
      <c r="AQ1565" s="41" t="str">
        <f t="shared" si="740"/>
        <v>Def TaxRR11Revolver Facility</v>
      </c>
      <c r="AR1565" s="41" t="str">
        <f t="shared" si="741"/>
        <v>R11Revolver Facility</v>
      </c>
    </row>
    <row r="1566" spans="1:44" s="41" customFormat="1" ht="12.75" customHeight="1">
      <c r="A1566" s="25" t="s">
        <v>1590</v>
      </c>
      <c r="B1566" s="25" t="str">
        <f t="shared" ref="B1566:B1630" si="757">CONCATENATE(A1566,C1566,D1566,E1566)</f>
        <v>Def Tax190012190-019BT010208</v>
      </c>
      <c r="C1566" s="736">
        <v>190012</v>
      </c>
      <c r="D1566" s="735" t="s">
        <v>1695</v>
      </c>
      <c r="E1566" s="41" t="s">
        <v>1696</v>
      </c>
      <c r="F1566" s="41" t="str">
        <f t="shared" si="748"/>
        <v>ACCUM DEFERRED INC TAXES - STATE - GAS</v>
      </c>
      <c r="G1566" s="41" t="s">
        <v>1697</v>
      </c>
      <c r="H1566" s="736" t="s">
        <v>1698</v>
      </c>
      <c r="I1566" s="25"/>
      <c r="J1566" s="25" t="str">
        <f t="shared" si="749"/>
        <v/>
      </c>
      <c r="K1566" s="442" t="str">
        <f t="shared" si="756"/>
        <v/>
      </c>
      <c r="L1566" s="736" t="s">
        <v>2443</v>
      </c>
      <c r="M1566" s="25" t="str">
        <f t="shared" si="729"/>
        <v>R</v>
      </c>
      <c r="N1566" s="25" t="str">
        <f>IF(L1566&lt;&gt;"",VLOOKUP(L1566,Categories!$B$2:$D$41,2,FALSE),IF(F1566&lt;&gt;"","No Cat",""))</f>
        <v>Rate Base</v>
      </c>
      <c r="O1566" s="25" t="str">
        <f>IF($L1566&lt;&gt;"",VLOOKUP($L1566,Categories!$B$2:$D$41,3,FALSE),IF($F1566&lt;&gt;"","No Cat",""))</f>
        <v>Deferred Income Taxes</v>
      </c>
      <c r="P1566" s="736" t="s">
        <v>2483</v>
      </c>
      <c r="Q1566" s="25" t="str">
        <f>VLOOKUP($P1566,Allocators!$B$7:$F$19,5,FALSE)</f>
        <v>Gas</v>
      </c>
      <c r="R1566" s="737">
        <f>VLOOKUP($P1566,Allocators!$B$7:$F$19,2,FALSE)</f>
        <v>0</v>
      </c>
      <c r="S1566" s="737">
        <f>VLOOKUP($P1566,Allocators!$B$7:$F$19,3,FALSE)</f>
        <v>1</v>
      </c>
      <c r="T1566" s="737" t="str">
        <f t="shared" si="725"/>
        <v>0.0%</v>
      </c>
      <c r="U1566" s="2" t="str">
        <f t="shared" si="750"/>
        <v/>
      </c>
      <c r="V1566" s="2" t="str">
        <f t="shared" si="751"/>
        <v/>
      </c>
      <c r="W1566" s="2" t="str">
        <f t="shared" si="752"/>
        <v/>
      </c>
      <c r="X1566" s="2">
        <f t="shared" si="746"/>
        <v>0</v>
      </c>
      <c r="Y1566" s="2" t="str">
        <f t="shared" si="753"/>
        <v/>
      </c>
      <c r="Z1566" s="2" t="str">
        <f t="shared" si="754"/>
        <v/>
      </c>
      <c r="AA1566" s="2" t="str">
        <f t="shared" si="755"/>
        <v/>
      </c>
      <c r="AB1566" s="2">
        <f t="shared" si="747"/>
        <v>0</v>
      </c>
      <c r="AC1566" s="625">
        <v>0</v>
      </c>
      <c r="AD1566" s="625">
        <v>0</v>
      </c>
      <c r="AE1566" s="625">
        <v>0</v>
      </c>
      <c r="AF1566" s="625">
        <v>0</v>
      </c>
      <c r="AG1566" s="625">
        <v>0</v>
      </c>
      <c r="AH1566" s="625">
        <v>0</v>
      </c>
      <c r="AI1566" s="625">
        <v>0</v>
      </c>
      <c r="AJ1566" s="625">
        <v>0</v>
      </c>
      <c r="AK1566" s="625">
        <v>0</v>
      </c>
      <c r="AL1566" s="625">
        <v>0</v>
      </c>
      <c r="AM1566" s="625">
        <v>0</v>
      </c>
      <c r="AN1566" s="625">
        <v>0</v>
      </c>
      <c r="AO1566" s="625">
        <v>0</v>
      </c>
      <c r="AP1566" s="41" t="str">
        <f t="shared" si="739"/>
        <v>Def TaxR</v>
      </c>
      <c r="AQ1566" s="41" t="str">
        <f t="shared" si="740"/>
        <v>Def TaxRR11Separation Accrual</v>
      </c>
      <c r="AR1566" s="41" t="str">
        <f t="shared" si="741"/>
        <v>R11Separation Accrual</v>
      </c>
    </row>
    <row r="1567" spans="1:44" s="41" customFormat="1" ht="12.75" customHeight="1">
      <c r="A1567" s="442" t="s">
        <v>1590</v>
      </c>
      <c r="B1567" s="442" t="str">
        <f t="shared" si="757"/>
        <v>Def Tax190012190-105BT010195</v>
      </c>
      <c r="C1567" s="736">
        <v>190012</v>
      </c>
      <c r="D1567" s="735" t="s">
        <v>1699</v>
      </c>
      <c r="E1567" s="626" t="s">
        <v>1700</v>
      </c>
      <c r="F1567" s="626" t="str">
        <f t="shared" si="748"/>
        <v>ACCUM DEFERRED INC TAXES - STATE - GAS</v>
      </c>
      <c r="G1567" s="626" t="s">
        <v>1701</v>
      </c>
      <c r="H1567" s="736" t="s">
        <v>810</v>
      </c>
      <c r="I1567" s="442"/>
      <c r="J1567" s="442" t="str">
        <f t="shared" si="749"/>
        <v/>
      </c>
      <c r="K1567" s="442" t="str">
        <f t="shared" si="756"/>
        <v/>
      </c>
      <c r="L1567" s="736" t="s">
        <v>2421</v>
      </c>
      <c r="M1567" s="442" t="str">
        <f t="shared" si="729"/>
        <v>N</v>
      </c>
      <c r="N1567" s="442" t="str">
        <f>IF(L1567&lt;&gt;"",VLOOKUP(L1567,Categories!$B$2:$D$41,2,FALSE),IF(F1567&lt;&gt;"","No Cat",""))</f>
        <v>NRBASE</v>
      </c>
      <c r="O1567" s="442" t="str">
        <f>IF($L1567&lt;&gt;"",VLOOKUP($L1567,Categories!$B$2:$D$41,3,FALSE),IF($F1567&lt;&gt;"","No Cat",""))</f>
        <v>Direct Assign Items Not in RB</v>
      </c>
      <c r="P1567" s="736" t="s">
        <v>2468</v>
      </c>
      <c r="Q1567" s="442" t="str">
        <f>VLOOKUP($P1567,Allocators!$B$7:$F$19,5,FALSE)</f>
        <v>Not in Rate Base</v>
      </c>
      <c r="R1567" s="737">
        <f>VLOOKUP($P1567,Allocators!$B$7:$F$19,2,FALSE)</f>
        <v>0</v>
      </c>
      <c r="S1567" s="737">
        <f>VLOOKUP($P1567,Allocators!$B$7:$F$19,3,FALSE)</f>
        <v>0</v>
      </c>
      <c r="T1567" s="737">
        <f t="shared" si="725"/>
        <v>1</v>
      </c>
      <c r="U1567" s="2" t="str">
        <f t="shared" si="750"/>
        <v/>
      </c>
      <c r="V1567" s="2" t="str">
        <f t="shared" si="751"/>
        <v/>
      </c>
      <c r="W1567" s="2" t="str">
        <f t="shared" si="752"/>
        <v/>
      </c>
      <c r="X1567" s="2">
        <f t="shared" si="746"/>
        <v>0</v>
      </c>
      <c r="Y1567" s="2" t="str">
        <f t="shared" si="753"/>
        <v/>
      </c>
      <c r="Z1567" s="2" t="str">
        <f t="shared" si="754"/>
        <v/>
      </c>
      <c r="AA1567" s="2" t="str">
        <f t="shared" si="755"/>
        <v/>
      </c>
      <c r="AB1567" s="2">
        <f t="shared" si="747"/>
        <v>0</v>
      </c>
      <c r="AC1567" s="625">
        <v>0</v>
      </c>
      <c r="AD1567" s="625">
        <v>0</v>
      </c>
      <c r="AE1567" s="625">
        <v>0</v>
      </c>
      <c r="AF1567" s="625">
        <v>0</v>
      </c>
      <c r="AG1567" s="625">
        <v>0</v>
      </c>
      <c r="AH1567" s="625">
        <v>0</v>
      </c>
      <c r="AI1567" s="625">
        <v>0</v>
      </c>
      <c r="AJ1567" s="625">
        <v>0</v>
      </c>
      <c r="AK1567" s="625">
        <v>0</v>
      </c>
      <c r="AL1567" s="625">
        <v>0</v>
      </c>
      <c r="AM1567" s="625">
        <v>0</v>
      </c>
      <c r="AN1567" s="625">
        <v>0</v>
      </c>
      <c r="AO1567" s="625">
        <v>0</v>
      </c>
      <c r="AP1567" s="41" t="str">
        <f t="shared" si="739"/>
        <v>Def TaxN</v>
      </c>
      <c r="AQ1567" s="41" t="str">
        <f t="shared" si="740"/>
        <v>Def TaxNN2SERP</v>
      </c>
      <c r="AR1567" s="41" t="str">
        <f t="shared" si="741"/>
        <v>N2SERP</v>
      </c>
    </row>
    <row r="1568" spans="1:44" s="41" customFormat="1" ht="12.75" customHeight="1">
      <c r="A1568" s="442" t="s">
        <v>1590</v>
      </c>
      <c r="B1568" s="442" t="str">
        <f t="shared" si="757"/>
        <v>Def Tax190012Severance-StateBT010211</v>
      </c>
      <c r="C1568" s="736">
        <v>190012</v>
      </c>
      <c r="D1568" s="735" t="s">
        <v>1702</v>
      </c>
      <c r="E1568" s="626" t="s">
        <v>1703</v>
      </c>
      <c r="F1568" s="626" t="str">
        <f t="shared" si="748"/>
        <v>ACCUM DEFERRED INC TAXES - STATE - GAS</v>
      </c>
      <c r="G1568" s="626" t="s">
        <v>1704</v>
      </c>
      <c r="H1568" s="736" t="s">
        <v>1705</v>
      </c>
      <c r="I1568" s="442"/>
      <c r="J1568" s="442" t="str">
        <f t="shared" si="749"/>
        <v/>
      </c>
      <c r="K1568" s="442" t="str">
        <f t="shared" si="756"/>
        <v/>
      </c>
      <c r="L1568" s="736" t="s">
        <v>2421</v>
      </c>
      <c r="M1568" s="442" t="str">
        <f t="shared" si="729"/>
        <v>N</v>
      </c>
      <c r="N1568" s="442" t="str">
        <f>IF(L1568&lt;&gt;"",VLOOKUP(L1568,Categories!$B$2:$D$41,2,FALSE),IF(F1568&lt;&gt;"","No Cat",""))</f>
        <v>NRBASE</v>
      </c>
      <c r="O1568" s="442" t="str">
        <f>IF($L1568&lt;&gt;"",VLOOKUP($L1568,Categories!$B$2:$D$41,3,FALSE),IF($F1568&lt;&gt;"","No Cat",""))</f>
        <v>Direct Assign Items Not in RB</v>
      </c>
      <c r="P1568" s="736" t="s">
        <v>2468</v>
      </c>
      <c r="Q1568" s="442" t="str">
        <f>VLOOKUP($P1568,Allocators!$B$7:$F$19,5,FALSE)</f>
        <v>Not in Rate Base</v>
      </c>
      <c r="R1568" s="737">
        <f>VLOOKUP($P1568,Allocators!$B$7:$F$19,2,FALSE)</f>
        <v>0</v>
      </c>
      <c r="S1568" s="737">
        <f>VLOOKUP($P1568,Allocators!$B$7:$F$19,3,FALSE)</f>
        <v>0</v>
      </c>
      <c r="T1568" s="737">
        <f t="shared" si="725"/>
        <v>1</v>
      </c>
      <c r="U1568" s="2" t="str">
        <f t="shared" si="750"/>
        <v/>
      </c>
      <c r="V1568" s="2" t="str">
        <f t="shared" si="751"/>
        <v/>
      </c>
      <c r="W1568" s="2" t="str">
        <f t="shared" si="752"/>
        <v/>
      </c>
      <c r="X1568" s="2">
        <f t="shared" si="746"/>
        <v>0</v>
      </c>
      <c r="Y1568" s="2" t="str">
        <f t="shared" si="753"/>
        <v/>
      </c>
      <c r="Z1568" s="2" t="str">
        <f t="shared" si="754"/>
        <v/>
      </c>
      <c r="AA1568" s="2" t="str">
        <f t="shared" si="755"/>
        <v/>
      </c>
      <c r="AB1568" s="2">
        <f t="shared" si="747"/>
        <v>0</v>
      </c>
      <c r="AC1568" s="625">
        <v>0</v>
      </c>
      <c r="AD1568" s="625">
        <v>0</v>
      </c>
      <c r="AE1568" s="625">
        <v>0</v>
      </c>
      <c r="AF1568" s="625">
        <v>0</v>
      </c>
      <c r="AG1568" s="625">
        <v>0</v>
      </c>
      <c r="AH1568" s="625">
        <v>0</v>
      </c>
      <c r="AI1568" s="625">
        <v>0</v>
      </c>
      <c r="AJ1568" s="625">
        <v>0</v>
      </c>
      <c r="AK1568" s="625">
        <v>0</v>
      </c>
      <c r="AL1568" s="625">
        <v>0</v>
      </c>
      <c r="AM1568" s="625">
        <v>0</v>
      </c>
      <c r="AN1568" s="625">
        <v>0</v>
      </c>
      <c r="AO1568" s="625">
        <v>0</v>
      </c>
      <c r="AP1568" s="41" t="str">
        <f t="shared" si="739"/>
        <v>Def TaxN</v>
      </c>
      <c r="AQ1568" s="41" t="str">
        <f t="shared" si="740"/>
        <v>Def TaxNN2Iberdrola Merger Severance</v>
      </c>
      <c r="AR1568" s="41" t="str">
        <f t="shared" si="741"/>
        <v>N2Iberdrola Merger Severance</v>
      </c>
    </row>
    <row r="1569" spans="1:44" s="41" customFormat="1" ht="12.75" customHeight="1">
      <c r="A1569" s="25" t="s">
        <v>1590</v>
      </c>
      <c r="B1569" s="25" t="str">
        <f t="shared" si="757"/>
        <v>Def Tax190012283-026BT010071</v>
      </c>
      <c r="C1569" s="736">
        <v>190012</v>
      </c>
      <c r="D1569" s="735" t="s">
        <v>1706</v>
      </c>
      <c r="E1569" s="41" t="s">
        <v>1707</v>
      </c>
      <c r="F1569" s="41" t="str">
        <f t="shared" si="748"/>
        <v>ACCUM DEFERRED INC TAXES - STATE - GAS</v>
      </c>
      <c r="G1569" s="41" t="s">
        <v>1708</v>
      </c>
      <c r="H1569" s="736" t="s">
        <v>1134</v>
      </c>
      <c r="I1569" s="25"/>
      <c r="J1569" s="25" t="str">
        <f t="shared" si="749"/>
        <v/>
      </c>
      <c r="K1569" s="442" t="str">
        <f t="shared" si="756"/>
        <v/>
      </c>
      <c r="L1569" s="736" t="s">
        <v>2421</v>
      </c>
      <c r="M1569" s="25" t="str">
        <f t="shared" si="729"/>
        <v>N</v>
      </c>
      <c r="N1569" s="25" t="str">
        <f>IF(L1569&lt;&gt;"",VLOOKUP(L1569,Categories!$B$2:$D$41,2,FALSE),IF(F1569&lt;&gt;"","No Cat",""))</f>
        <v>NRBASE</v>
      </c>
      <c r="O1569" s="25" t="str">
        <f>IF($L1569&lt;&gt;"",VLOOKUP($L1569,Categories!$B$2:$D$41,3,FALSE),IF($F1569&lt;&gt;"","No Cat",""))</f>
        <v>Direct Assign Items Not in RB</v>
      </c>
      <c r="P1569" s="736" t="s">
        <v>2468</v>
      </c>
      <c r="Q1569" s="25" t="str">
        <f>VLOOKUP($P1569,Allocators!$B$7:$F$19,5,FALSE)</f>
        <v>Not in Rate Base</v>
      </c>
      <c r="R1569" s="737">
        <f>VLOOKUP($P1569,Allocators!$B$7:$F$19,2,FALSE)</f>
        <v>0</v>
      </c>
      <c r="S1569" s="737">
        <f>VLOOKUP($P1569,Allocators!$B$7:$F$19,3,FALSE)</f>
        <v>0</v>
      </c>
      <c r="T1569" s="737">
        <f t="shared" si="725"/>
        <v>1</v>
      </c>
      <c r="U1569" s="2">
        <f t="shared" si="750"/>
        <v>0</v>
      </c>
      <c r="V1569" s="2">
        <f t="shared" si="751"/>
        <v>0</v>
      </c>
      <c r="W1569" s="2">
        <f t="shared" si="752"/>
        <v>2111.2924754166702</v>
      </c>
      <c r="X1569" s="2">
        <f t="shared" si="746"/>
        <v>2111.2924754166702</v>
      </c>
      <c r="Y1569" s="2">
        <f t="shared" si="753"/>
        <v>0</v>
      </c>
      <c r="Z1569" s="2">
        <f t="shared" si="754"/>
        <v>0</v>
      </c>
      <c r="AA1569" s="2">
        <f t="shared" si="755"/>
        <v>2979.0062800000001</v>
      </c>
      <c r="AB1569" s="2">
        <f t="shared" si="747"/>
        <v>2979.0062799999996</v>
      </c>
      <c r="AC1569" s="625">
        <v>1976.6566700000001</v>
      </c>
      <c r="AD1569" s="625">
        <v>1976.6566699999998</v>
      </c>
      <c r="AE1569" s="625">
        <v>1976.6566699999998</v>
      </c>
      <c r="AF1569" s="625">
        <v>1976.6566699999998</v>
      </c>
      <c r="AG1569" s="625">
        <v>1965.8569199999999</v>
      </c>
      <c r="AH1569" s="625">
        <v>1951.98344</v>
      </c>
      <c r="AI1569" s="625">
        <v>1951.98344</v>
      </c>
      <c r="AJ1569" s="625">
        <v>1951.98344</v>
      </c>
      <c r="AK1569" s="625">
        <v>1951.98344</v>
      </c>
      <c r="AL1569" s="625">
        <v>2088.6981299999998</v>
      </c>
      <c r="AM1569" s="625">
        <v>2088.6981299999998</v>
      </c>
      <c r="AN1569" s="625">
        <v>2976.5212799999999</v>
      </c>
      <c r="AO1569" s="625">
        <v>2979.0062799999996</v>
      </c>
      <c r="AP1569" s="41" t="str">
        <f t="shared" si="739"/>
        <v>Def TaxN</v>
      </c>
      <c r="AQ1569" s="41" t="str">
        <f t="shared" si="740"/>
        <v>Def TaxNN2Environmental</v>
      </c>
      <c r="AR1569" s="41" t="str">
        <f t="shared" si="741"/>
        <v>N2Environmental</v>
      </c>
    </row>
    <row r="1570" spans="1:44" s="41" customFormat="1" ht="12.75" customHeight="1">
      <c r="A1570" s="25" t="s">
        <v>1590</v>
      </c>
      <c r="B1570" s="25" t="str">
        <f t="shared" si="757"/>
        <v>Def Tax190012190-090/
190-090ABT010220</v>
      </c>
      <c r="C1570" s="736">
        <v>190012</v>
      </c>
      <c r="D1570" s="735" t="s">
        <v>1860</v>
      </c>
      <c r="E1570" s="41" t="s">
        <v>1710</v>
      </c>
      <c r="F1570" s="41" t="str">
        <f t="shared" si="748"/>
        <v>ACCUM DEFERRED INC TAXES - STATE - GAS</v>
      </c>
      <c r="G1570" s="41" t="s">
        <v>1711</v>
      </c>
      <c r="H1570" s="736" t="s">
        <v>1712</v>
      </c>
      <c r="I1570" s="25"/>
      <c r="J1570" s="25" t="str">
        <f t="shared" si="749"/>
        <v/>
      </c>
      <c r="K1570" s="442" t="str">
        <f t="shared" si="756"/>
        <v/>
      </c>
      <c r="L1570" s="736" t="s">
        <v>2443</v>
      </c>
      <c r="M1570" s="25" t="str">
        <f t="shared" si="729"/>
        <v>R</v>
      </c>
      <c r="N1570" s="25" t="str">
        <f>IF(L1570&lt;&gt;"",VLOOKUP(L1570,Categories!$B$2:$D$41,2,FALSE),IF(F1570&lt;&gt;"","No Cat",""))</f>
        <v>Rate Base</v>
      </c>
      <c r="O1570" s="25" t="str">
        <f>IF($L1570&lt;&gt;"",VLOOKUP($L1570,Categories!$B$2:$D$41,3,FALSE),IF($F1570&lt;&gt;"","No Cat",""))</f>
        <v>Deferred Income Taxes</v>
      </c>
      <c r="P1570" s="736" t="s">
        <v>2483</v>
      </c>
      <c r="Q1570" s="25" t="str">
        <f>VLOOKUP($P1570,Allocators!$B$7:$F$19,5,FALSE)</f>
        <v>Gas</v>
      </c>
      <c r="R1570" s="737">
        <f>VLOOKUP($P1570,Allocators!$B$7:$F$19,2,FALSE)</f>
        <v>0</v>
      </c>
      <c r="S1570" s="737">
        <f>VLOOKUP($P1570,Allocators!$B$7:$F$19,3,FALSE)</f>
        <v>1</v>
      </c>
      <c r="T1570" s="737" t="str">
        <f t="shared" si="725"/>
        <v>0.0%</v>
      </c>
      <c r="U1570" s="2" t="str">
        <f t="shared" si="750"/>
        <v/>
      </c>
      <c r="V1570" s="2" t="str">
        <f t="shared" si="751"/>
        <v/>
      </c>
      <c r="W1570" s="2" t="str">
        <f t="shared" si="752"/>
        <v/>
      </c>
      <c r="X1570" s="2">
        <f t="shared" si="746"/>
        <v>0</v>
      </c>
      <c r="Y1570" s="2" t="str">
        <f t="shared" si="753"/>
        <v/>
      </c>
      <c r="Z1570" s="2" t="str">
        <f t="shared" si="754"/>
        <v/>
      </c>
      <c r="AA1570" s="2" t="str">
        <f t="shared" si="755"/>
        <v/>
      </c>
      <c r="AB1570" s="2">
        <f t="shared" si="747"/>
        <v>0</v>
      </c>
      <c r="AC1570" s="625">
        <v>0</v>
      </c>
      <c r="AD1570" s="625">
        <v>0</v>
      </c>
      <c r="AE1570" s="625">
        <v>0</v>
      </c>
      <c r="AF1570" s="625">
        <v>0</v>
      </c>
      <c r="AG1570" s="625">
        <v>0</v>
      </c>
      <c r="AH1570" s="625">
        <v>0</v>
      </c>
      <c r="AI1570" s="625">
        <v>0</v>
      </c>
      <c r="AJ1570" s="625">
        <v>0</v>
      </c>
      <c r="AK1570" s="625">
        <v>0</v>
      </c>
      <c r="AL1570" s="625">
        <v>0</v>
      </c>
      <c r="AM1570" s="625">
        <v>0</v>
      </c>
      <c r="AN1570" s="625">
        <v>0</v>
      </c>
      <c r="AO1570" s="625">
        <v>0</v>
      </c>
      <c r="AP1570" s="41" t="str">
        <f t="shared" si="739"/>
        <v>Def TaxR</v>
      </c>
      <c r="AQ1570" s="41" t="str">
        <f t="shared" si="740"/>
        <v>Def TaxRR11Stock Options</v>
      </c>
      <c r="AR1570" s="41" t="str">
        <f t="shared" si="741"/>
        <v>R11Stock Options</v>
      </c>
    </row>
    <row r="1571" spans="1:44" s="41" customFormat="1" ht="12.75" customHeight="1">
      <c r="A1571" s="25" t="s">
        <v>1590</v>
      </c>
      <c r="B1571" s="25" t="str">
        <f t="shared" si="757"/>
        <v>Def Tax190012190-90A</v>
      </c>
      <c r="C1571" s="736">
        <v>190012</v>
      </c>
      <c r="D1571" s="735" t="s">
        <v>1766</v>
      </c>
      <c r="F1571" s="41" t="str">
        <f t="shared" si="748"/>
        <v>ACCUM DEFERRED INC TAXES - STATE - GAS</v>
      </c>
      <c r="G1571" s="41" t="s">
        <v>1767</v>
      </c>
      <c r="H1571" s="736" t="s">
        <v>1712</v>
      </c>
      <c r="I1571" s="25"/>
      <c r="J1571" s="25" t="str">
        <f t="shared" si="749"/>
        <v/>
      </c>
      <c r="K1571" s="442" t="str">
        <f t="shared" si="756"/>
        <v/>
      </c>
      <c r="L1571" s="736" t="s">
        <v>2443</v>
      </c>
      <c r="M1571" s="25" t="str">
        <f t="shared" si="729"/>
        <v>R</v>
      </c>
      <c r="N1571" s="25" t="str">
        <f>IF(L1571&lt;&gt;"",VLOOKUP(L1571,Categories!$B$2:$D$41,2,FALSE),IF(F1571&lt;&gt;"","No Cat",""))</f>
        <v>Rate Base</v>
      </c>
      <c r="O1571" s="25" t="str">
        <f>IF($L1571&lt;&gt;"",VLOOKUP($L1571,Categories!$B$2:$D$41,3,FALSE),IF($F1571&lt;&gt;"","No Cat",""))</f>
        <v>Deferred Income Taxes</v>
      </c>
      <c r="P1571" s="736" t="s">
        <v>2483</v>
      </c>
      <c r="Q1571" s="25" t="str">
        <f>VLOOKUP($P1571,Allocators!$B$7:$F$19,5,FALSE)</f>
        <v>Gas</v>
      </c>
      <c r="R1571" s="737">
        <f>VLOOKUP($P1571,Allocators!$B$7:$F$19,2,FALSE)</f>
        <v>0</v>
      </c>
      <c r="S1571" s="737">
        <f>VLOOKUP($P1571,Allocators!$B$7:$F$19,3,FALSE)</f>
        <v>1</v>
      </c>
      <c r="T1571" s="737" t="str">
        <f t="shared" si="725"/>
        <v>0.0%</v>
      </c>
      <c r="U1571" s="2" t="str">
        <f t="shared" si="750"/>
        <v/>
      </c>
      <c r="V1571" s="2" t="str">
        <f t="shared" si="751"/>
        <v/>
      </c>
      <c r="W1571" s="2" t="str">
        <f t="shared" si="752"/>
        <v/>
      </c>
      <c r="X1571" s="2">
        <f t="shared" si="746"/>
        <v>0</v>
      </c>
      <c r="Y1571" s="2" t="str">
        <f t="shared" si="753"/>
        <v/>
      </c>
      <c r="Z1571" s="2" t="str">
        <f t="shared" si="754"/>
        <v/>
      </c>
      <c r="AA1571" s="2" t="str">
        <f t="shared" si="755"/>
        <v/>
      </c>
      <c r="AB1571" s="2">
        <f t="shared" si="747"/>
        <v>0</v>
      </c>
      <c r="AC1571" s="625">
        <v>0</v>
      </c>
      <c r="AD1571" s="625">
        <v>0</v>
      </c>
      <c r="AE1571" s="625">
        <v>0</v>
      </c>
      <c r="AF1571" s="625">
        <v>0</v>
      </c>
      <c r="AG1571" s="625">
        <v>0</v>
      </c>
      <c r="AH1571" s="625">
        <v>0</v>
      </c>
      <c r="AI1571" s="625">
        <v>0</v>
      </c>
      <c r="AJ1571" s="625">
        <v>0</v>
      </c>
      <c r="AK1571" s="625">
        <v>0</v>
      </c>
      <c r="AL1571" s="625">
        <v>0</v>
      </c>
      <c r="AM1571" s="625">
        <v>0</v>
      </c>
      <c r="AN1571" s="625">
        <v>0</v>
      </c>
      <c r="AO1571" s="625">
        <v>0</v>
      </c>
      <c r="AP1571" s="41" t="str">
        <f t="shared" si="739"/>
        <v>Def TaxR</v>
      </c>
      <c r="AQ1571" s="41" t="str">
        <f t="shared" si="740"/>
        <v>Def TaxRR11Stock Options</v>
      </c>
      <c r="AR1571" s="41" t="str">
        <f t="shared" si="741"/>
        <v>R11Stock Options</v>
      </c>
    </row>
    <row r="1572" spans="1:44" s="41" customFormat="1" ht="12.75" customHeight="1">
      <c r="A1572" s="25" t="s">
        <v>1590</v>
      </c>
      <c r="B1572" s="25" t="str">
        <f t="shared" si="757"/>
        <v>Def Tax190012190-103BT010239</v>
      </c>
      <c r="C1572" s="736">
        <v>190012</v>
      </c>
      <c r="D1572" s="735" t="s">
        <v>1713</v>
      </c>
      <c r="E1572" s="41" t="s">
        <v>1714</v>
      </c>
      <c r="F1572" s="41" t="str">
        <f t="shared" si="748"/>
        <v>ACCUM DEFERRED INC TAXES - STATE - GAS</v>
      </c>
      <c r="G1572" s="41" t="s">
        <v>1715</v>
      </c>
      <c r="H1572" s="736" t="s">
        <v>1716</v>
      </c>
      <c r="I1572" s="25"/>
      <c r="J1572" s="25" t="str">
        <f t="shared" si="749"/>
        <v/>
      </c>
      <c r="K1572" s="442" t="str">
        <f t="shared" si="756"/>
        <v/>
      </c>
      <c r="L1572" s="736" t="s">
        <v>2443</v>
      </c>
      <c r="M1572" s="25" t="str">
        <f t="shared" si="729"/>
        <v>R</v>
      </c>
      <c r="N1572" s="25" t="str">
        <f>IF(L1572&lt;&gt;"",VLOOKUP(L1572,Categories!$B$2:$D$41,2,FALSE),IF(F1572&lt;&gt;"","No Cat",""))</f>
        <v>Rate Base</v>
      </c>
      <c r="O1572" s="25" t="str">
        <f>IF($L1572&lt;&gt;"",VLOOKUP($L1572,Categories!$B$2:$D$41,3,FALSE),IF($F1572&lt;&gt;"","No Cat",""))</f>
        <v>Deferred Income Taxes</v>
      </c>
      <c r="P1572" s="736" t="s">
        <v>2483</v>
      </c>
      <c r="Q1572" s="25" t="str">
        <f>VLOOKUP($P1572,Allocators!$B$7:$F$19,5,FALSE)</f>
        <v>Gas</v>
      </c>
      <c r="R1572" s="737">
        <f>VLOOKUP($P1572,Allocators!$B$7:$F$19,2,FALSE)</f>
        <v>0</v>
      </c>
      <c r="S1572" s="737">
        <f>VLOOKUP($P1572,Allocators!$B$7:$F$19,3,FALSE)</f>
        <v>1</v>
      </c>
      <c r="T1572" s="737" t="str">
        <f t="shared" si="725"/>
        <v>0.0%</v>
      </c>
      <c r="U1572" s="2">
        <f t="shared" si="750"/>
        <v>0</v>
      </c>
      <c r="V1572" s="2">
        <f t="shared" si="751"/>
        <v>1.6000000000000001E-4</v>
      </c>
      <c r="W1572" s="2">
        <f t="shared" si="752"/>
        <v>0</v>
      </c>
      <c r="X1572" s="2">
        <f t="shared" si="746"/>
        <v>1.6000000000000001E-4</v>
      </c>
      <c r="Y1572" s="2">
        <f t="shared" si="753"/>
        <v>0</v>
      </c>
      <c r="Z1572" s="2">
        <f t="shared" si="754"/>
        <v>1.6000000000000001E-4</v>
      </c>
      <c r="AA1572" s="2">
        <f t="shared" si="755"/>
        <v>0</v>
      </c>
      <c r="AB1572" s="2">
        <f t="shared" si="747"/>
        <v>1.6000000000000001E-4</v>
      </c>
      <c r="AC1572" s="625">
        <v>1.6000000000000001E-4</v>
      </c>
      <c r="AD1572" s="625">
        <v>1.6000000000000001E-4</v>
      </c>
      <c r="AE1572" s="625">
        <v>1.6000000000000001E-4</v>
      </c>
      <c r="AF1572" s="625">
        <v>1.6000000000000001E-4</v>
      </c>
      <c r="AG1572" s="625">
        <v>1.6000000000000001E-4</v>
      </c>
      <c r="AH1572" s="625">
        <v>1.6000000000000001E-4</v>
      </c>
      <c r="AI1572" s="625">
        <v>1.6000000000000001E-4</v>
      </c>
      <c r="AJ1572" s="625">
        <v>1.6000000000000001E-4</v>
      </c>
      <c r="AK1572" s="625">
        <v>1.6000000000000001E-4</v>
      </c>
      <c r="AL1572" s="625">
        <v>1.6000000000000001E-4</v>
      </c>
      <c r="AM1572" s="625">
        <v>1.6000000000000001E-4</v>
      </c>
      <c r="AN1572" s="625">
        <v>1.6000000000000001E-4</v>
      </c>
      <c r="AO1572" s="625">
        <v>1.6000000000000001E-4</v>
      </c>
      <c r="AP1572" s="41" t="str">
        <f t="shared" si="739"/>
        <v>Def TaxR</v>
      </c>
      <c r="AQ1572" s="41" t="str">
        <f t="shared" si="740"/>
        <v>Def TaxRR11Use Tax Audit</v>
      </c>
      <c r="AR1572" s="41" t="str">
        <f t="shared" si="741"/>
        <v>R11Use Tax Audit</v>
      </c>
    </row>
    <row r="1573" spans="1:44" s="41" customFormat="1" ht="12.75" customHeight="1">
      <c r="A1573" s="25" t="s">
        <v>1590</v>
      </c>
      <c r="B1573" s="25" t="str">
        <f t="shared" ref="B1573" si="758">CONCATENATE(A1573,C1573,D1573,E1573)</f>
        <v>Def Tax190012BTMISCDT</v>
      </c>
      <c r="C1573" s="736">
        <v>190012</v>
      </c>
      <c r="D1573" s="735"/>
      <c r="E1573" s="41" t="s">
        <v>1971</v>
      </c>
      <c r="F1573" s="41" t="str">
        <f t="shared" si="748"/>
        <v>ACCUM DEFERRED INC TAXES - STATE - GAS</v>
      </c>
      <c r="G1573" s="41" t="s">
        <v>4454</v>
      </c>
      <c r="H1573" s="736" t="s">
        <v>4455</v>
      </c>
      <c r="I1573" s="25"/>
      <c r="J1573" s="25"/>
      <c r="K1573" s="442"/>
      <c r="L1573" s="736" t="s">
        <v>2443</v>
      </c>
      <c r="M1573" s="25" t="str">
        <f t="shared" si="729"/>
        <v>R</v>
      </c>
      <c r="N1573" s="25" t="str">
        <f>IF(L1573&lt;&gt;"",VLOOKUP(L1573,Categories!$B$2:$D$41,2,FALSE),IF(F1573&lt;&gt;"","No Cat",""))</f>
        <v>Rate Base</v>
      </c>
      <c r="O1573" s="25" t="str">
        <f>IF($L1573&lt;&gt;"",VLOOKUP($L1573,Categories!$B$2:$D$41,3,FALSE),IF($F1573&lt;&gt;"","No Cat",""))</f>
        <v>Deferred Income Taxes</v>
      </c>
      <c r="P1573" s="736" t="s">
        <v>2483</v>
      </c>
      <c r="Q1573" s="25" t="str">
        <f>VLOOKUP($P1573,Allocators!$B$7:$F$19,5,FALSE)</f>
        <v>Gas</v>
      </c>
      <c r="R1573" s="737">
        <f>VLOOKUP($P1573,Allocators!$B$7:$F$19,2,FALSE)</f>
        <v>0</v>
      </c>
      <c r="S1573" s="737">
        <f>VLOOKUP($P1573,Allocators!$B$7:$F$19,3,FALSE)</f>
        <v>1</v>
      </c>
      <c r="T1573" s="737" t="str">
        <f t="shared" si="725"/>
        <v>0.0%</v>
      </c>
      <c r="U1573" s="2">
        <f t="shared" si="750"/>
        <v>0</v>
      </c>
      <c r="V1573" s="2">
        <f t="shared" si="751"/>
        <v>64.5</v>
      </c>
      <c r="W1573" s="2">
        <f t="shared" si="752"/>
        <v>0</v>
      </c>
      <c r="X1573" s="2">
        <f t="shared" si="746"/>
        <v>64.5</v>
      </c>
      <c r="Y1573" s="2" t="str">
        <f t="shared" si="753"/>
        <v/>
      </c>
      <c r="Z1573" s="2" t="str">
        <f t="shared" si="754"/>
        <v/>
      </c>
      <c r="AA1573" s="2" t="str">
        <f t="shared" si="755"/>
        <v/>
      </c>
      <c r="AB1573" s="2">
        <f t="shared" si="747"/>
        <v>0</v>
      </c>
      <c r="AC1573" s="625"/>
      <c r="AD1573" s="625"/>
      <c r="AE1573" s="625"/>
      <c r="AF1573" s="625"/>
      <c r="AG1573" s="625"/>
      <c r="AH1573" s="625"/>
      <c r="AI1573" s="625">
        <v>774</v>
      </c>
      <c r="AJ1573" s="625">
        <v>0</v>
      </c>
      <c r="AK1573" s="625">
        <v>0</v>
      </c>
      <c r="AL1573" s="625">
        <v>0</v>
      </c>
      <c r="AM1573" s="625">
        <v>0</v>
      </c>
      <c r="AN1573" s="625">
        <v>0</v>
      </c>
      <c r="AO1573" s="625">
        <v>0</v>
      </c>
      <c r="AP1573" s="41" t="str">
        <f t="shared" si="739"/>
        <v>Def TaxR</v>
      </c>
      <c r="AQ1573" s="41" t="str">
        <f t="shared" si="740"/>
        <v>Def TaxRR11Excess DIT - New York State Tax Rate change</v>
      </c>
      <c r="AR1573" s="41" t="str">
        <f t="shared" si="741"/>
        <v>R11Excess DIT - New York State Tax Rate change</v>
      </c>
    </row>
    <row r="1574" spans="1:44" s="41" customFormat="1" ht="12.75" customHeight="1">
      <c r="A1574" s="25" t="s">
        <v>1590</v>
      </c>
      <c r="B1574" s="25" t="str">
        <f t="shared" si="757"/>
        <v>Def Tax190012190-041BT010244</v>
      </c>
      <c r="C1574" s="736">
        <v>190012</v>
      </c>
      <c r="D1574" s="735" t="s">
        <v>1721</v>
      </c>
      <c r="E1574" s="41" t="s">
        <v>1722</v>
      </c>
      <c r="F1574" s="41" t="str">
        <f t="shared" si="748"/>
        <v>ACCUM DEFERRED INC TAXES - STATE - GAS</v>
      </c>
      <c r="G1574" s="41" t="s">
        <v>1723</v>
      </c>
      <c r="H1574" s="736" t="s">
        <v>1724</v>
      </c>
      <c r="I1574" s="25"/>
      <c r="J1574" s="25" t="str">
        <f t="shared" si="749"/>
        <v/>
      </c>
      <c r="K1574" s="442" t="str">
        <f t="shared" si="756"/>
        <v/>
      </c>
      <c r="L1574" s="736" t="s">
        <v>2443</v>
      </c>
      <c r="M1574" s="25" t="str">
        <f t="shared" si="729"/>
        <v>R</v>
      </c>
      <c r="N1574" s="25" t="str">
        <f>IF(L1574&lt;&gt;"",VLOOKUP(L1574,Categories!$B$2:$D$41,2,FALSE),IF(F1574&lt;&gt;"","No Cat",""))</f>
        <v>Rate Base</v>
      </c>
      <c r="O1574" s="25" t="str">
        <f>IF($L1574&lt;&gt;"",VLOOKUP($L1574,Categories!$B$2:$D$41,3,FALSE),IF($F1574&lt;&gt;"","No Cat",""))</f>
        <v>Deferred Income Taxes</v>
      </c>
      <c r="P1574" s="736" t="s">
        <v>2483</v>
      </c>
      <c r="Q1574" s="25" t="str">
        <f>VLOOKUP($P1574,Allocators!$B$7:$F$19,5,FALSE)</f>
        <v>Gas</v>
      </c>
      <c r="R1574" s="737">
        <f>VLOOKUP($P1574,Allocators!$B$7:$F$19,2,FALSE)</f>
        <v>0</v>
      </c>
      <c r="S1574" s="737">
        <f>VLOOKUP($P1574,Allocators!$B$7:$F$19,3,FALSE)</f>
        <v>1</v>
      </c>
      <c r="T1574" s="737" t="str">
        <f t="shared" si="725"/>
        <v>0.0%</v>
      </c>
      <c r="U1574" s="2" t="str">
        <f t="shared" si="750"/>
        <v/>
      </c>
      <c r="V1574" s="2" t="str">
        <f t="shared" si="751"/>
        <v/>
      </c>
      <c r="W1574" s="2" t="str">
        <f t="shared" si="752"/>
        <v/>
      </c>
      <c r="X1574" s="2">
        <f t="shared" si="746"/>
        <v>0</v>
      </c>
      <c r="Y1574" s="2" t="str">
        <f t="shared" si="753"/>
        <v/>
      </c>
      <c r="Z1574" s="2" t="str">
        <f t="shared" si="754"/>
        <v/>
      </c>
      <c r="AA1574" s="2" t="str">
        <f t="shared" si="755"/>
        <v/>
      </c>
      <c r="AB1574" s="2">
        <f t="shared" si="747"/>
        <v>0</v>
      </c>
      <c r="AC1574" s="625">
        <v>0</v>
      </c>
      <c r="AD1574" s="625">
        <v>0</v>
      </c>
      <c r="AE1574" s="625">
        <v>0</v>
      </c>
      <c r="AF1574" s="625">
        <v>0</v>
      </c>
      <c r="AG1574" s="625">
        <v>0</v>
      </c>
      <c r="AH1574" s="625">
        <v>0</v>
      </c>
      <c r="AI1574" s="625">
        <v>0</v>
      </c>
      <c r="AJ1574" s="625">
        <v>0</v>
      </c>
      <c r="AK1574" s="625">
        <v>0</v>
      </c>
      <c r="AL1574" s="625">
        <v>0</v>
      </c>
      <c r="AM1574" s="625">
        <v>0</v>
      </c>
      <c r="AN1574" s="625">
        <v>0</v>
      </c>
      <c r="AO1574" s="625">
        <v>0</v>
      </c>
      <c r="AP1574" s="41" t="str">
        <f t="shared" si="739"/>
        <v>Def TaxR</v>
      </c>
      <c r="AQ1574" s="41" t="str">
        <f t="shared" si="740"/>
        <v>Def TaxRR11Workers Comp Reserve</v>
      </c>
      <c r="AR1574" s="41" t="str">
        <f t="shared" si="741"/>
        <v>R11Workers Comp Reserve</v>
      </c>
    </row>
    <row r="1575" spans="1:44" s="41" customFormat="1" ht="12.75" customHeight="1">
      <c r="A1575" s="25" t="s">
        <v>1590</v>
      </c>
      <c r="B1575" s="25" t="str">
        <f t="shared" si="757"/>
        <v>Def Tax190013190-016BT010037</v>
      </c>
      <c r="C1575" s="736">
        <v>190013</v>
      </c>
      <c r="D1575" s="735" t="s">
        <v>1781</v>
      </c>
      <c r="E1575" s="41" t="s">
        <v>1782</v>
      </c>
      <c r="F1575" s="41" t="str">
        <f t="shared" si="748"/>
        <v>ACCUM DEFERRED INC TAXES-STATE-ELECTRIC-NONOP</v>
      </c>
      <c r="G1575" s="41" t="s">
        <v>1783</v>
      </c>
      <c r="H1575" s="736" t="s">
        <v>1784</v>
      </c>
      <c r="I1575" s="25"/>
      <c r="J1575" s="25" t="str">
        <f t="shared" si="749"/>
        <v/>
      </c>
      <c r="K1575" s="442" t="str">
        <f t="shared" si="756"/>
        <v/>
      </c>
      <c r="L1575" s="736" t="s">
        <v>2443</v>
      </c>
      <c r="M1575" s="25" t="str">
        <f t="shared" si="729"/>
        <v>R</v>
      </c>
      <c r="N1575" s="25" t="str">
        <f>IF(L1575&lt;&gt;"",VLOOKUP(L1575,Categories!$B$2:$D$41,2,FALSE),IF(F1575&lt;&gt;"","No Cat",""))</f>
        <v>Rate Base</v>
      </c>
      <c r="O1575" s="25" t="str">
        <f>IF($L1575&lt;&gt;"",VLOOKUP($L1575,Categories!$B$2:$D$41,3,FALSE),IF($F1575&lt;&gt;"","No Cat",""))</f>
        <v>Deferred Income Taxes</v>
      </c>
      <c r="P1575" s="736" t="s">
        <v>2482</v>
      </c>
      <c r="Q1575" s="25" t="str">
        <f>VLOOKUP($P1575,Allocators!$B$7:$F$19,5,FALSE)</f>
        <v>Electric</v>
      </c>
      <c r="R1575" s="737">
        <f>VLOOKUP($P1575,Allocators!$B$7:$F$19,2,FALSE)</f>
        <v>1</v>
      </c>
      <c r="S1575" s="737">
        <f>VLOOKUP($P1575,Allocators!$B$7:$F$19,3,FALSE)</f>
        <v>0</v>
      </c>
      <c r="T1575" s="737" t="str">
        <f t="shared" ref="T1575:T1638" si="759">IF(P1575="N",1,"0.0%")</f>
        <v>0.0%</v>
      </c>
      <c r="U1575" s="2" t="str">
        <f t="shared" si="750"/>
        <v/>
      </c>
      <c r="V1575" s="2" t="str">
        <f t="shared" si="751"/>
        <v/>
      </c>
      <c r="W1575" s="2" t="str">
        <f t="shared" si="752"/>
        <v/>
      </c>
      <c r="X1575" s="2">
        <f t="shared" si="746"/>
        <v>0</v>
      </c>
      <c r="Y1575" s="2" t="str">
        <f t="shared" si="753"/>
        <v/>
      </c>
      <c r="Z1575" s="2" t="str">
        <f t="shared" si="754"/>
        <v/>
      </c>
      <c r="AA1575" s="2" t="str">
        <f t="shared" si="755"/>
        <v/>
      </c>
      <c r="AB1575" s="2">
        <f t="shared" si="747"/>
        <v>0</v>
      </c>
      <c r="AC1575" s="625">
        <v>0</v>
      </c>
      <c r="AD1575" s="625">
        <v>0</v>
      </c>
      <c r="AE1575" s="625">
        <v>0</v>
      </c>
      <c r="AF1575" s="625">
        <v>0</v>
      </c>
      <c r="AG1575" s="625">
        <v>0</v>
      </c>
      <c r="AH1575" s="625">
        <v>0</v>
      </c>
      <c r="AI1575" s="625">
        <v>0</v>
      </c>
      <c r="AJ1575" s="625">
        <v>0</v>
      </c>
      <c r="AK1575" s="625">
        <v>0</v>
      </c>
      <c r="AL1575" s="625">
        <v>0</v>
      </c>
      <c r="AM1575" s="625">
        <v>0</v>
      </c>
      <c r="AN1575" s="625">
        <v>0</v>
      </c>
      <c r="AO1575" s="625">
        <v>0</v>
      </c>
      <c r="AP1575" s="41" t="str">
        <f t="shared" si="739"/>
        <v>Def TaxR</v>
      </c>
      <c r="AQ1575" s="41" t="str">
        <f t="shared" si="740"/>
        <v>Def TaxRR11Clean Air Act Allowance</v>
      </c>
      <c r="AR1575" s="41" t="str">
        <f t="shared" si="741"/>
        <v>R11Clean Air Act Allowance</v>
      </c>
    </row>
    <row r="1576" spans="1:44" s="41" customFormat="1" ht="12.75" customHeight="1">
      <c r="A1576" s="25" t="s">
        <v>1590</v>
      </c>
      <c r="B1576" s="25" t="str">
        <f t="shared" si="757"/>
        <v>Def Tax190013190-044BTHUNGDT</v>
      </c>
      <c r="C1576" s="736">
        <v>190013</v>
      </c>
      <c r="D1576" s="735" t="s">
        <v>1645</v>
      </c>
      <c r="E1576" s="41" t="s">
        <v>1624</v>
      </c>
      <c r="F1576" s="41" t="str">
        <f t="shared" si="748"/>
        <v>ACCUM DEFERRED INC TAXES-STATE-ELECTRIC-NONOP</v>
      </c>
      <c r="G1576" s="41" t="s">
        <v>1646</v>
      </c>
      <c r="H1576" s="736" t="s">
        <v>1647</v>
      </c>
      <c r="I1576" s="25"/>
      <c r="J1576" s="25" t="str">
        <f t="shared" si="749"/>
        <v/>
      </c>
      <c r="K1576" s="442" t="str">
        <f t="shared" si="756"/>
        <v/>
      </c>
      <c r="L1576" s="736" t="s">
        <v>2443</v>
      </c>
      <c r="M1576" s="25" t="str">
        <f t="shared" si="729"/>
        <v>R</v>
      </c>
      <c r="N1576" s="25" t="str">
        <f>IF(L1576&lt;&gt;"",VLOOKUP(L1576,Categories!$B$2:$D$41,2,FALSE),IF(F1576&lt;&gt;"","No Cat",""))</f>
        <v>Rate Base</v>
      </c>
      <c r="O1576" s="25" t="str">
        <f>IF($L1576&lt;&gt;"",VLOOKUP($L1576,Categories!$B$2:$D$41,3,FALSE),IF($F1576&lt;&gt;"","No Cat",""))</f>
        <v>Deferred Income Taxes</v>
      </c>
      <c r="P1576" s="736" t="s">
        <v>2482</v>
      </c>
      <c r="Q1576" s="25" t="str">
        <f>VLOOKUP($P1576,Allocators!$B$7:$F$19,5,FALSE)</f>
        <v>Electric</v>
      </c>
      <c r="R1576" s="737">
        <f>VLOOKUP($P1576,Allocators!$B$7:$F$19,2,FALSE)</f>
        <v>1</v>
      </c>
      <c r="S1576" s="737">
        <f>VLOOKUP($P1576,Allocators!$B$7:$F$19,3,FALSE)</f>
        <v>0</v>
      </c>
      <c r="T1576" s="737" t="str">
        <f t="shared" si="759"/>
        <v>0.0%</v>
      </c>
      <c r="U1576" s="2" t="str">
        <f t="shared" si="750"/>
        <v/>
      </c>
      <c r="V1576" s="2" t="str">
        <f t="shared" si="751"/>
        <v/>
      </c>
      <c r="W1576" s="2" t="str">
        <f t="shared" si="752"/>
        <v/>
      </c>
      <c r="X1576" s="2">
        <f t="shared" si="746"/>
        <v>0</v>
      </c>
      <c r="Y1576" s="2" t="str">
        <f t="shared" si="753"/>
        <v/>
      </c>
      <c r="Z1576" s="2" t="str">
        <f t="shared" si="754"/>
        <v/>
      </c>
      <c r="AA1576" s="2" t="str">
        <f t="shared" si="755"/>
        <v/>
      </c>
      <c r="AB1576" s="2">
        <f t="shared" si="747"/>
        <v>0</v>
      </c>
      <c r="AC1576" s="625">
        <v>0</v>
      </c>
      <c r="AD1576" s="625">
        <v>0</v>
      </c>
      <c r="AE1576" s="625">
        <v>0</v>
      </c>
      <c r="AF1576" s="625">
        <v>0</v>
      </c>
      <c r="AG1576" s="625">
        <v>0</v>
      </c>
      <c r="AH1576" s="625">
        <v>0</v>
      </c>
      <c r="AI1576" s="625">
        <v>0</v>
      </c>
      <c r="AJ1576" s="625">
        <v>0</v>
      </c>
      <c r="AK1576" s="625">
        <v>0</v>
      </c>
      <c r="AL1576" s="625">
        <v>0</v>
      </c>
      <c r="AM1576" s="625">
        <v>0</v>
      </c>
      <c r="AN1576" s="625">
        <v>0</v>
      </c>
      <c r="AO1576" s="625">
        <v>0</v>
      </c>
      <c r="AP1576" s="41" t="str">
        <f t="shared" si="739"/>
        <v>Def TaxR</v>
      </c>
      <c r="AQ1576" s="41" t="str">
        <f t="shared" si="740"/>
        <v>Def TaxRR11Deferred Comp</v>
      </c>
      <c r="AR1576" s="41" t="str">
        <f t="shared" si="741"/>
        <v>R11Deferred Comp</v>
      </c>
    </row>
    <row r="1577" spans="1:44" s="41" customFormat="1" ht="12.75" customHeight="1">
      <c r="A1577" s="442" t="s">
        <v>1590</v>
      </c>
      <c r="B1577" s="442" t="str">
        <f t="shared" si="757"/>
        <v>Def Tax190013190-054</v>
      </c>
      <c r="C1577" s="736">
        <v>190013</v>
      </c>
      <c r="D1577" s="735" t="s">
        <v>1791</v>
      </c>
      <c r="E1577" s="626"/>
      <c r="F1577" s="626" t="str">
        <f t="shared" si="748"/>
        <v>ACCUM DEFERRED INC TAXES-STATE-ELECTRIC-NONOP</v>
      </c>
      <c r="G1577" s="626" t="s">
        <v>1792</v>
      </c>
      <c r="H1577" s="736">
        <v>0</v>
      </c>
      <c r="I1577" s="442"/>
      <c r="J1577" s="442" t="str">
        <f t="shared" si="749"/>
        <v/>
      </c>
      <c r="K1577" s="442" t="str">
        <f t="shared" si="756"/>
        <v/>
      </c>
      <c r="L1577" s="736" t="s">
        <v>2421</v>
      </c>
      <c r="M1577" s="442" t="str">
        <f t="shared" si="729"/>
        <v>N</v>
      </c>
      <c r="N1577" s="442" t="str">
        <f>IF(L1577&lt;&gt;"",VLOOKUP(L1577,Categories!$B$2:$D$41,2,FALSE),IF(F1577&lt;&gt;"","No Cat",""))</f>
        <v>NRBASE</v>
      </c>
      <c r="O1577" s="442" t="str">
        <f>IF($L1577&lt;&gt;"",VLOOKUP($L1577,Categories!$B$2:$D$41,3,FALSE),IF($F1577&lt;&gt;"","No Cat",""))</f>
        <v>Direct Assign Items Not in RB</v>
      </c>
      <c r="P1577" s="736" t="s">
        <v>2468</v>
      </c>
      <c r="Q1577" s="442" t="str">
        <f>VLOOKUP($P1577,Allocators!$B$7:$F$19,5,FALSE)</f>
        <v>Not in Rate Base</v>
      </c>
      <c r="R1577" s="737">
        <f>VLOOKUP($P1577,Allocators!$B$7:$F$19,2,FALSE)</f>
        <v>0</v>
      </c>
      <c r="S1577" s="737">
        <f>VLOOKUP($P1577,Allocators!$B$7:$F$19,3,FALSE)</f>
        <v>0</v>
      </c>
      <c r="T1577" s="737">
        <f t="shared" si="759"/>
        <v>1</v>
      </c>
      <c r="U1577" s="2" t="str">
        <f t="shared" si="750"/>
        <v/>
      </c>
      <c r="V1577" s="2" t="str">
        <f t="shared" si="751"/>
        <v/>
      </c>
      <c r="W1577" s="2" t="str">
        <f t="shared" si="752"/>
        <v/>
      </c>
      <c r="X1577" s="2">
        <f t="shared" si="746"/>
        <v>0</v>
      </c>
      <c r="Y1577" s="2" t="str">
        <f t="shared" si="753"/>
        <v/>
      </c>
      <c r="Z1577" s="2" t="str">
        <f t="shared" si="754"/>
        <v/>
      </c>
      <c r="AA1577" s="2" t="str">
        <f t="shared" si="755"/>
        <v/>
      </c>
      <c r="AB1577" s="2">
        <f t="shared" si="747"/>
        <v>0</v>
      </c>
      <c r="AC1577" s="625">
        <v>0</v>
      </c>
      <c r="AD1577" s="625">
        <v>0</v>
      </c>
      <c r="AE1577" s="625">
        <v>0</v>
      </c>
      <c r="AF1577" s="625">
        <v>0</v>
      </c>
      <c r="AG1577" s="625">
        <v>0</v>
      </c>
      <c r="AH1577" s="625">
        <v>0</v>
      </c>
      <c r="AI1577" s="625">
        <v>0</v>
      </c>
      <c r="AJ1577" s="625">
        <v>0</v>
      </c>
      <c r="AK1577" s="625">
        <v>0</v>
      </c>
      <c r="AL1577" s="625">
        <v>0</v>
      </c>
      <c r="AM1577" s="625">
        <v>0</v>
      </c>
      <c r="AN1577" s="625">
        <v>0</v>
      </c>
      <c r="AO1577" s="625">
        <v>0</v>
      </c>
      <c r="AP1577" s="41" t="str">
        <f t="shared" si="739"/>
        <v>Def TaxN</v>
      </c>
      <c r="AQ1577" s="41" t="str">
        <f t="shared" si="740"/>
        <v>Def TaxNN20</v>
      </c>
      <c r="AR1577" s="41" t="str">
        <f t="shared" si="741"/>
        <v>N20</v>
      </c>
    </row>
    <row r="1578" spans="1:44" s="41" customFormat="1" ht="12.75" customHeight="1">
      <c r="A1578" s="442" t="s">
        <v>1590</v>
      </c>
      <c r="B1578" s="442" t="str">
        <f t="shared" si="757"/>
        <v>Def Tax190013190-057BT010083</v>
      </c>
      <c r="C1578" s="736">
        <v>190013</v>
      </c>
      <c r="D1578" s="735" t="s">
        <v>1793</v>
      </c>
      <c r="E1578" s="626" t="s">
        <v>1794</v>
      </c>
      <c r="F1578" s="626" t="str">
        <f t="shared" si="748"/>
        <v>ACCUM DEFERRED INC TAXES-STATE-ELECTRIC-NONOP</v>
      </c>
      <c r="G1578" s="626" t="s">
        <v>1795</v>
      </c>
      <c r="H1578" s="736" t="s">
        <v>1796</v>
      </c>
      <c r="I1578" s="442"/>
      <c r="J1578" s="442" t="str">
        <f t="shared" si="749"/>
        <v/>
      </c>
      <c r="K1578" s="442" t="str">
        <f t="shared" si="756"/>
        <v/>
      </c>
      <c r="L1578" s="736" t="s">
        <v>2421</v>
      </c>
      <c r="M1578" s="442" t="str">
        <f t="shared" si="729"/>
        <v>N</v>
      </c>
      <c r="N1578" s="442" t="str">
        <f>IF(L1578&lt;&gt;"",VLOOKUP(L1578,Categories!$B$2:$D$41,2,FALSE),IF(F1578&lt;&gt;"","No Cat",""))</f>
        <v>NRBASE</v>
      </c>
      <c r="O1578" s="442" t="str">
        <f>IF($L1578&lt;&gt;"",VLOOKUP($L1578,Categories!$B$2:$D$41,3,FALSE),IF($F1578&lt;&gt;"","No Cat",""))</f>
        <v>Direct Assign Items Not in RB</v>
      </c>
      <c r="P1578" s="736" t="s">
        <v>2468</v>
      </c>
      <c r="Q1578" s="442" t="str">
        <f>VLOOKUP($P1578,Allocators!$B$7:$F$19,5,FALSE)</f>
        <v>Not in Rate Base</v>
      </c>
      <c r="R1578" s="737">
        <f>VLOOKUP($P1578,Allocators!$B$7:$F$19,2,FALSE)</f>
        <v>0</v>
      </c>
      <c r="S1578" s="737">
        <f>VLOOKUP($P1578,Allocators!$B$7:$F$19,3,FALSE)</f>
        <v>0</v>
      </c>
      <c r="T1578" s="737">
        <f t="shared" si="759"/>
        <v>1</v>
      </c>
      <c r="U1578" s="2" t="str">
        <f t="shared" si="750"/>
        <v/>
      </c>
      <c r="V1578" s="2" t="str">
        <f t="shared" si="751"/>
        <v/>
      </c>
      <c r="W1578" s="2" t="str">
        <f t="shared" si="752"/>
        <v/>
      </c>
      <c r="X1578" s="2">
        <f t="shared" si="746"/>
        <v>0</v>
      </c>
      <c r="Y1578" s="2" t="str">
        <f t="shared" si="753"/>
        <v/>
      </c>
      <c r="Z1578" s="2" t="str">
        <f t="shared" si="754"/>
        <v/>
      </c>
      <c r="AA1578" s="2" t="str">
        <f t="shared" si="755"/>
        <v/>
      </c>
      <c r="AB1578" s="2">
        <f t="shared" si="747"/>
        <v>0</v>
      </c>
      <c r="AC1578" s="625">
        <v>0</v>
      </c>
      <c r="AD1578" s="625">
        <v>0</v>
      </c>
      <c r="AE1578" s="625">
        <v>0</v>
      </c>
      <c r="AF1578" s="625">
        <v>0</v>
      </c>
      <c r="AG1578" s="625">
        <v>0</v>
      </c>
      <c r="AH1578" s="625">
        <v>0</v>
      </c>
      <c r="AI1578" s="625">
        <v>0</v>
      </c>
      <c r="AJ1578" s="625">
        <v>0</v>
      </c>
      <c r="AK1578" s="625">
        <v>0</v>
      </c>
      <c r="AL1578" s="625">
        <v>0</v>
      </c>
      <c r="AM1578" s="625">
        <v>0</v>
      </c>
      <c r="AN1578" s="625">
        <v>0</v>
      </c>
      <c r="AO1578" s="625">
        <v>0</v>
      </c>
      <c r="AP1578" s="41" t="str">
        <f t="shared" si="739"/>
        <v>Def TaxN</v>
      </c>
      <c r="AQ1578" s="41" t="str">
        <f t="shared" si="740"/>
        <v>Def TaxNN2Executive Incentive Plan</v>
      </c>
      <c r="AR1578" s="41" t="str">
        <f t="shared" si="741"/>
        <v>N2Executive Incentive Plan</v>
      </c>
    </row>
    <row r="1579" spans="1:44" s="41" customFormat="1" ht="12.75" customHeight="1">
      <c r="A1579" s="442" t="s">
        <v>1590</v>
      </c>
      <c r="B1579" s="442" t="str">
        <f t="shared" si="757"/>
        <v>Def Tax190013190-074BTHUNGDT</v>
      </c>
      <c r="C1579" s="736">
        <v>190013</v>
      </c>
      <c r="D1579" s="735" t="s">
        <v>1725</v>
      </c>
      <c r="E1579" s="626" t="s">
        <v>1624</v>
      </c>
      <c r="F1579" s="626" t="str">
        <f t="shared" si="748"/>
        <v>ACCUM DEFERRED INC TAXES-STATE-ELECTRIC-NONOP</v>
      </c>
      <c r="G1579" s="626" t="s">
        <v>1726</v>
      </c>
      <c r="H1579" s="736" t="s">
        <v>2880</v>
      </c>
      <c r="I1579" s="442"/>
      <c r="J1579" s="442" t="str">
        <f t="shared" si="749"/>
        <v/>
      </c>
      <c r="K1579" s="442" t="str">
        <f t="shared" si="756"/>
        <v/>
      </c>
      <c r="L1579" s="736" t="s">
        <v>2421</v>
      </c>
      <c r="M1579" s="442" t="str">
        <f t="shared" si="729"/>
        <v>N</v>
      </c>
      <c r="N1579" s="442" t="str">
        <f>IF(L1579&lt;&gt;"",VLOOKUP(L1579,Categories!$B$2:$D$41,2,FALSE),IF(F1579&lt;&gt;"","No Cat",""))</f>
        <v>NRBASE</v>
      </c>
      <c r="O1579" s="442" t="str">
        <f>IF($L1579&lt;&gt;"",VLOOKUP($L1579,Categories!$B$2:$D$41,3,FALSE),IF($F1579&lt;&gt;"","No Cat",""))</f>
        <v>Direct Assign Items Not in RB</v>
      </c>
      <c r="P1579" s="736" t="s">
        <v>2468</v>
      </c>
      <c r="Q1579" s="442" t="str">
        <f>VLOOKUP($P1579,Allocators!$B$7:$F$19,5,FALSE)</f>
        <v>Not in Rate Base</v>
      </c>
      <c r="R1579" s="737">
        <f>VLOOKUP($P1579,Allocators!$B$7:$F$19,2,FALSE)</f>
        <v>0</v>
      </c>
      <c r="S1579" s="737">
        <f>VLOOKUP($P1579,Allocators!$B$7:$F$19,3,FALSE)</f>
        <v>0</v>
      </c>
      <c r="T1579" s="737">
        <f t="shared" si="759"/>
        <v>1</v>
      </c>
      <c r="U1579" s="2" t="str">
        <f t="shared" si="750"/>
        <v/>
      </c>
      <c r="V1579" s="2" t="str">
        <f t="shared" si="751"/>
        <v/>
      </c>
      <c r="W1579" s="2" t="str">
        <f t="shared" si="752"/>
        <v/>
      </c>
      <c r="X1579" s="2">
        <f t="shared" si="746"/>
        <v>0</v>
      </c>
      <c r="Y1579" s="2" t="str">
        <f t="shared" si="753"/>
        <v/>
      </c>
      <c r="Z1579" s="2" t="str">
        <f t="shared" si="754"/>
        <v/>
      </c>
      <c r="AA1579" s="2" t="str">
        <f t="shared" si="755"/>
        <v/>
      </c>
      <c r="AB1579" s="2">
        <f t="shared" si="747"/>
        <v>0</v>
      </c>
      <c r="AC1579" s="625">
        <v>0</v>
      </c>
      <c r="AD1579" s="625">
        <v>0</v>
      </c>
      <c r="AE1579" s="625">
        <v>0</v>
      </c>
      <c r="AF1579" s="625">
        <v>0</v>
      </c>
      <c r="AG1579" s="625">
        <v>0</v>
      </c>
      <c r="AH1579" s="625">
        <v>0</v>
      </c>
      <c r="AI1579" s="625">
        <v>0</v>
      </c>
      <c r="AJ1579" s="625">
        <v>0</v>
      </c>
      <c r="AK1579" s="625">
        <v>0</v>
      </c>
      <c r="AL1579" s="625">
        <v>0</v>
      </c>
      <c r="AM1579" s="625">
        <v>0</v>
      </c>
      <c r="AN1579" s="625">
        <v>0</v>
      </c>
      <c r="AO1579" s="625">
        <v>0</v>
      </c>
      <c r="AP1579" s="41" t="str">
        <f t="shared" si="739"/>
        <v>Def TaxN</v>
      </c>
      <c r="AQ1579" s="41" t="str">
        <f t="shared" si="740"/>
        <v>Def TaxNN2Hung Deferred Taxes</v>
      </c>
      <c r="AR1579" s="41" t="str">
        <f t="shared" si="741"/>
        <v>N2Hung Deferred Taxes</v>
      </c>
    </row>
    <row r="1580" spans="1:44" s="41" customFormat="1" ht="12.75" customHeight="1">
      <c r="A1580" s="442" t="s">
        <v>1590</v>
      </c>
      <c r="B1580" s="442" t="str">
        <f t="shared" si="757"/>
        <v>Def Tax190013190-076BTHUNGDT</v>
      </c>
      <c r="C1580" s="736">
        <v>190013</v>
      </c>
      <c r="D1580" s="735" t="s">
        <v>1802</v>
      </c>
      <c r="E1580" s="626" t="s">
        <v>1624</v>
      </c>
      <c r="F1580" s="626" t="str">
        <f t="shared" si="748"/>
        <v>ACCUM DEFERRED INC TAXES-STATE-ELECTRIC-NONOP</v>
      </c>
      <c r="G1580" s="626" t="s">
        <v>1803</v>
      </c>
      <c r="H1580" s="736" t="s">
        <v>2880</v>
      </c>
      <c r="I1580" s="442"/>
      <c r="J1580" s="442" t="str">
        <f t="shared" si="749"/>
        <v/>
      </c>
      <c r="K1580" s="442" t="str">
        <f t="shared" si="756"/>
        <v/>
      </c>
      <c r="L1580" s="736" t="s">
        <v>2421</v>
      </c>
      <c r="M1580" s="442" t="str">
        <f t="shared" si="729"/>
        <v>N</v>
      </c>
      <c r="N1580" s="442" t="str">
        <f>IF(L1580&lt;&gt;"",VLOOKUP(L1580,Categories!$B$2:$D$41,2,FALSE),IF(F1580&lt;&gt;"","No Cat",""))</f>
        <v>NRBASE</v>
      </c>
      <c r="O1580" s="442" t="str">
        <f>IF($L1580&lt;&gt;"",VLOOKUP($L1580,Categories!$B$2:$D$41,3,FALSE),IF($F1580&lt;&gt;"","No Cat",""))</f>
        <v>Direct Assign Items Not in RB</v>
      </c>
      <c r="P1580" s="736" t="s">
        <v>2468</v>
      </c>
      <c r="Q1580" s="442" t="str">
        <f>VLOOKUP($P1580,Allocators!$B$7:$F$19,5,FALSE)</f>
        <v>Not in Rate Base</v>
      </c>
      <c r="R1580" s="737">
        <f>VLOOKUP($P1580,Allocators!$B$7:$F$19,2,FALSE)</f>
        <v>0</v>
      </c>
      <c r="S1580" s="737">
        <f>VLOOKUP($P1580,Allocators!$B$7:$F$19,3,FALSE)</f>
        <v>0</v>
      </c>
      <c r="T1580" s="737">
        <f t="shared" si="759"/>
        <v>1</v>
      </c>
      <c r="U1580" s="2" t="str">
        <f t="shared" si="750"/>
        <v/>
      </c>
      <c r="V1580" s="2" t="str">
        <f t="shared" si="751"/>
        <v/>
      </c>
      <c r="W1580" s="2" t="str">
        <f t="shared" si="752"/>
        <v/>
      </c>
      <c r="X1580" s="2">
        <f t="shared" si="746"/>
        <v>0</v>
      </c>
      <c r="Y1580" s="2" t="str">
        <f t="shared" si="753"/>
        <v/>
      </c>
      <c r="Z1580" s="2" t="str">
        <f t="shared" si="754"/>
        <v/>
      </c>
      <c r="AA1580" s="2" t="str">
        <f t="shared" si="755"/>
        <v/>
      </c>
      <c r="AB1580" s="2">
        <f t="shared" si="747"/>
        <v>0</v>
      </c>
      <c r="AC1580" s="625">
        <v>0</v>
      </c>
      <c r="AD1580" s="625">
        <v>0</v>
      </c>
      <c r="AE1580" s="625">
        <v>0</v>
      </c>
      <c r="AF1580" s="625">
        <v>0</v>
      </c>
      <c r="AG1580" s="625">
        <v>0</v>
      </c>
      <c r="AH1580" s="625">
        <v>0</v>
      </c>
      <c r="AI1580" s="625">
        <v>0</v>
      </c>
      <c r="AJ1580" s="625">
        <v>0</v>
      </c>
      <c r="AK1580" s="625">
        <v>0</v>
      </c>
      <c r="AL1580" s="625">
        <v>0</v>
      </c>
      <c r="AM1580" s="625">
        <v>0</v>
      </c>
      <c r="AN1580" s="625">
        <v>0</v>
      </c>
      <c r="AO1580" s="625">
        <v>0</v>
      </c>
      <c r="AP1580" s="41" t="str">
        <f t="shared" si="739"/>
        <v>Def TaxN</v>
      </c>
      <c r="AQ1580" s="41" t="str">
        <f t="shared" si="740"/>
        <v>Def TaxNN2Hung Deferred Taxes</v>
      </c>
      <c r="AR1580" s="41" t="str">
        <f t="shared" si="741"/>
        <v>N2Hung Deferred Taxes</v>
      </c>
    </row>
    <row r="1581" spans="1:44" s="41" customFormat="1" ht="12.75" customHeight="1">
      <c r="A1581" s="25" t="s">
        <v>1590</v>
      </c>
      <c r="B1581" s="25" t="str">
        <f t="shared" si="757"/>
        <v>Def Tax190013190-084BT010126</v>
      </c>
      <c r="C1581" s="736">
        <v>190013</v>
      </c>
      <c r="D1581" s="735" t="s">
        <v>1806</v>
      </c>
      <c r="E1581" s="41" t="s">
        <v>1807</v>
      </c>
      <c r="F1581" s="41" t="str">
        <f t="shared" si="748"/>
        <v>ACCUM DEFERRED INC TAXES-STATE-ELECTRIC-NONOP</v>
      </c>
      <c r="G1581" s="41" t="s">
        <v>1862</v>
      </c>
      <c r="H1581" s="736" t="s">
        <v>1629</v>
      </c>
      <c r="I1581" s="25"/>
      <c r="J1581" s="25" t="str">
        <f t="shared" si="749"/>
        <v/>
      </c>
      <c r="K1581" s="442" t="str">
        <f t="shared" si="756"/>
        <v/>
      </c>
      <c r="L1581" s="736" t="s">
        <v>2443</v>
      </c>
      <c r="M1581" s="25" t="str">
        <f t="shared" si="729"/>
        <v>R</v>
      </c>
      <c r="N1581" s="25" t="str">
        <f>IF(L1581&lt;&gt;"",VLOOKUP(L1581,Categories!$B$2:$D$41,2,FALSE),IF(F1581&lt;&gt;"","No Cat",""))</f>
        <v>Rate Base</v>
      </c>
      <c r="O1581" s="25" t="str">
        <f>IF($L1581&lt;&gt;"",VLOOKUP($L1581,Categories!$B$2:$D$41,3,FALSE),IF($F1581&lt;&gt;"","No Cat",""))</f>
        <v>Deferred Income Taxes</v>
      </c>
      <c r="P1581" s="736" t="s">
        <v>2482</v>
      </c>
      <c r="Q1581" s="25" t="str">
        <f>VLOOKUP($P1581,Allocators!$B$7:$F$19,5,FALSE)</f>
        <v>Electric</v>
      </c>
      <c r="R1581" s="737">
        <f>VLOOKUP($P1581,Allocators!$B$7:$F$19,2,FALSE)</f>
        <v>1</v>
      </c>
      <c r="S1581" s="737">
        <f>VLOOKUP($P1581,Allocators!$B$7:$F$19,3,FALSE)</f>
        <v>0</v>
      </c>
      <c r="T1581" s="737" t="str">
        <f t="shared" si="759"/>
        <v>0.0%</v>
      </c>
      <c r="U1581" s="2" t="str">
        <f t="shared" si="750"/>
        <v/>
      </c>
      <c r="V1581" s="2" t="str">
        <f t="shared" si="751"/>
        <v/>
      </c>
      <c r="W1581" s="2" t="str">
        <f t="shared" si="752"/>
        <v/>
      </c>
      <c r="X1581" s="2">
        <f t="shared" si="746"/>
        <v>0</v>
      </c>
      <c r="Y1581" s="2" t="str">
        <f t="shared" si="753"/>
        <v/>
      </c>
      <c r="Z1581" s="2" t="str">
        <f t="shared" si="754"/>
        <v/>
      </c>
      <c r="AA1581" s="2" t="str">
        <f t="shared" si="755"/>
        <v/>
      </c>
      <c r="AB1581" s="2">
        <f t="shared" si="747"/>
        <v>0</v>
      </c>
      <c r="AC1581" s="625">
        <v>0</v>
      </c>
      <c r="AD1581" s="625">
        <v>0</v>
      </c>
      <c r="AE1581" s="625">
        <v>0</v>
      </c>
      <c r="AF1581" s="625">
        <v>0</v>
      </c>
      <c r="AG1581" s="625">
        <v>0</v>
      </c>
      <c r="AH1581" s="625">
        <v>0</v>
      </c>
      <c r="AI1581" s="625">
        <v>0</v>
      </c>
      <c r="AJ1581" s="625">
        <v>0</v>
      </c>
      <c r="AK1581" s="625">
        <v>0</v>
      </c>
      <c r="AL1581" s="625">
        <v>0</v>
      </c>
      <c r="AM1581" s="625">
        <v>0</v>
      </c>
      <c r="AN1581" s="625">
        <v>0</v>
      </c>
      <c r="AO1581" s="625">
        <v>0</v>
      </c>
      <c r="AP1581" s="41" t="str">
        <f t="shared" si="739"/>
        <v>Def TaxR</v>
      </c>
      <c r="AQ1581" s="41" t="str">
        <f t="shared" si="740"/>
        <v>Def TaxRR11Merger Related</v>
      </c>
      <c r="AR1581" s="41" t="str">
        <f t="shared" si="741"/>
        <v>R11Merger Related</v>
      </c>
    </row>
    <row r="1582" spans="1:44" s="41" customFormat="1" ht="12.75" customHeight="1">
      <c r="A1582" s="25" t="s">
        <v>1590</v>
      </c>
      <c r="B1582" s="25" t="str">
        <f t="shared" si="757"/>
        <v>Def Tax190013190-087BT010196</v>
      </c>
      <c r="C1582" s="736">
        <v>190013</v>
      </c>
      <c r="D1582" s="735" t="s">
        <v>1809</v>
      </c>
      <c r="E1582" s="41" t="s">
        <v>1810</v>
      </c>
      <c r="F1582" s="41" t="str">
        <f t="shared" si="748"/>
        <v>ACCUM DEFERRED INC TAXES-STATE-ELECTRIC-NONOP</v>
      </c>
      <c r="G1582" s="41" t="s">
        <v>1811</v>
      </c>
      <c r="H1582" s="736" t="s">
        <v>1629</v>
      </c>
      <c r="I1582" s="25"/>
      <c r="J1582" s="25" t="str">
        <f t="shared" si="749"/>
        <v/>
      </c>
      <c r="K1582" s="442" t="str">
        <f t="shared" si="756"/>
        <v/>
      </c>
      <c r="L1582" s="736" t="s">
        <v>2443</v>
      </c>
      <c r="M1582" s="25" t="str">
        <f t="shared" si="729"/>
        <v>R</v>
      </c>
      <c r="N1582" s="25" t="str">
        <f>IF(L1582&lt;&gt;"",VLOOKUP(L1582,Categories!$B$2:$D$41,2,FALSE),IF(F1582&lt;&gt;"","No Cat",""))</f>
        <v>Rate Base</v>
      </c>
      <c r="O1582" s="25" t="str">
        <f>IF($L1582&lt;&gt;"",VLOOKUP($L1582,Categories!$B$2:$D$41,3,FALSE),IF($F1582&lt;&gt;"","No Cat",""))</f>
        <v>Deferred Income Taxes</v>
      </c>
      <c r="P1582" s="736" t="s">
        <v>2482</v>
      </c>
      <c r="Q1582" s="25" t="str">
        <f>VLOOKUP($P1582,Allocators!$B$7:$F$19,5,FALSE)</f>
        <v>Electric</v>
      </c>
      <c r="R1582" s="737">
        <f>VLOOKUP($P1582,Allocators!$B$7:$F$19,2,FALSE)</f>
        <v>1</v>
      </c>
      <c r="S1582" s="737">
        <f>VLOOKUP($P1582,Allocators!$B$7:$F$19,3,FALSE)</f>
        <v>0</v>
      </c>
      <c r="T1582" s="737" t="str">
        <f t="shared" si="759"/>
        <v>0.0%</v>
      </c>
      <c r="U1582" s="2" t="str">
        <f t="shared" si="750"/>
        <v/>
      </c>
      <c r="V1582" s="2" t="str">
        <f t="shared" si="751"/>
        <v/>
      </c>
      <c r="W1582" s="2" t="str">
        <f t="shared" si="752"/>
        <v/>
      </c>
      <c r="X1582" s="2">
        <f t="shared" si="746"/>
        <v>0</v>
      </c>
      <c r="Y1582" s="2" t="str">
        <f t="shared" si="753"/>
        <v/>
      </c>
      <c r="Z1582" s="2" t="str">
        <f t="shared" si="754"/>
        <v/>
      </c>
      <c r="AA1582" s="2" t="str">
        <f t="shared" si="755"/>
        <v/>
      </c>
      <c r="AB1582" s="2">
        <f t="shared" si="747"/>
        <v>0</v>
      </c>
      <c r="AC1582" s="625">
        <v>0</v>
      </c>
      <c r="AD1582" s="625">
        <v>0</v>
      </c>
      <c r="AE1582" s="625">
        <v>0</v>
      </c>
      <c r="AF1582" s="625">
        <v>0</v>
      </c>
      <c r="AG1582" s="625">
        <v>0</v>
      </c>
      <c r="AH1582" s="625">
        <v>0</v>
      </c>
      <c r="AI1582" s="625">
        <v>0</v>
      </c>
      <c r="AJ1582" s="625">
        <v>0</v>
      </c>
      <c r="AK1582" s="625">
        <v>0</v>
      </c>
      <c r="AL1582" s="625">
        <v>0</v>
      </c>
      <c r="AM1582" s="625">
        <v>0</v>
      </c>
      <c r="AN1582" s="625">
        <v>0</v>
      </c>
      <c r="AO1582" s="625">
        <v>0</v>
      </c>
      <c r="AP1582" s="41" t="str">
        <f t="shared" si="739"/>
        <v>Def TaxR</v>
      </c>
      <c r="AQ1582" s="41" t="str">
        <f t="shared" si="740"/>
        <v>Def TaxRR11Merger Related</v>
      </c>
      <c r="AR1582" s="41" t="str">
        <f t="shared" si="741"/>
        <v>R11Merger Related</v>
      </c>
    </row>
    <row r="1583" spans="1:44" s="41" customFormat="1" ht="12.75" customHeight="1">
      <c r="A1583" s="25" t="s">
        <v>1590</v>
      </c>
      <c r="B1583" s="25" t="str">
        <f t="shared" si="757"/>
        <v>Def Tax190014190-044BTHUNGDT</v>
      </c>
      <c r="C1583" s="736">
        <v>190014</v>
      </c>
      <c r="D1583" s="735" t="s">
        <v>1645</v>
      </c>
      <c r="E1583" s="41" t="s">
        <v>1624</v>
      </c>
      <c r="F1583" s="41" t="str">
        <f t="shared" si="748"/>
        <v>ACCUM DEFERRED INC TAXES-STATE-GAS-NONOP</v>
      </c>
      <c r="G1583" s="41" t="s">
        <v>1646</v>
      </c>
      <c r="H1583" s="736" t="s">
        <v>1647</v>
      </c>
      <c r="I1583" s="25"/>
      <c r="J1583" s="25" t="str">
        <f t="shared" si="749"/>
        <v/>
      </c>
      <c r="K1583" s="442" t="str">
        <f t="shared" si="756"/>
        <v/>
      </c>
      <c r="L1583" s="736" t="s">
        <v>2443</v>
      </c>
      <c r="M1583" s="25" t="str">
        <f t="shared" si="729"/>
        <v>R</v>
      </c>
      <c r="N1583" s="25" t="str">
        <f>IF(L1583&lt;&gt;"",VLOOKUP(L1583,Categories!$B$2:$D$41,2,FALSE),IF(F1583&lt;&gt;"","No Cat",""))</f>
        <v>Rate Base</v>
      </c>
      <c r="O1583" s="25" t="str">
        <f>IF($L1583&lt;&gt;"",VLOOKUP($L1583,Categories!$B$2:$D$41,3,FALSE),IF($F1583&lt;&gt;"","No Cat",""))</f>
        <v>Deferred Income Taxes</v>
      </c>
      <c r="P1583" s="736" t="s">
        <v>2483</v>
      </c>
      <c r="Q1583" s="25" t="str">
        <f>VLOOKUP($P1583,Allocators!$B$7:$F$19,5,FALSE)</f>
        <v>Gas</v>
      </c>
      <c r="R1583" s="737">
        <f>VLOOKUP($P1583,Allocators!$B$7:$F$19,2,FALSE)</f>
        <v>0</v>
      </c>
      <c r="S1583" s="737">
        <f>VLOOKUP($P1583,Allocators!$B$7:$F$19,3,FALSE)</f>
        <v>1</v>
      </c>
      <c r="T1583" s="737" t="str">
        <f t="shared" si="759"/>
        <v>0.0%</v>
      </c>
      <c r="U1583" s="2" t="str">
        <f t="shared" si="750"/>
        <v/>
      </c>
      <c r="V1583" s="2" t="str">
        <f t="shared" si="751"/>
        <v/>
      </c>
      <c r="W1583" s="2" t="str">
        <f t="shared" si="752"/>
        <v/>
      </c>
      <c r="X1583" s="2">
        <f t="shared" si="746"/>
        <v>0</v>
      </c>
      <c r="Y1583" s="2" t="str">
        <f t="shared" si="753"/>
        <v/>
      </c>
      <c r="Z1583" s="2" t="str">
        <f t="shared" si="754"/>
        <v/>
      </c>
      <c r="AA1583" s="2" t="str">
        <f t="shared" si="755"/>
        <v/>
      </c>
      <c r="AB1583" s="2">
        <f t="shared" si="747"/>
        <v>0</v>
      </c>
      <c r="AC1583" s="625">
        <v>0</v>
      </c>
      <c r="AD1583" s="625">
        <v>0</v>
      </c>
      <c r="AE1583" s="625">
        <v>0</v>
      </c>
      <c r="AF1583" s="625">
        <v>0</v>
      </c>
      <c r="AG1583" s="625">
        <v>0</v>
      </c>
      <c r="AH1583" s="625">
        <v>0</v>
      </c>
      <c r="AI1583" s="625">
        <v>0</v>
      </c>
      <c r="AJ1583" s="625">
        <v>0</v>
      </c>
      <c r="AK1583" s="625">
        <v>0</v>
      </c>
      <c r="AL1583" s="625">
        <v>0</v>
      </c>
      <c r="AM1583" s="625">
        <v>0</v>
      </c>
      <c r="AN1583" s="625">
        <v>0</v>
      </c>
      <c r="AO1583" s="625">
        <v>0</v>
      </c>
      <c r="AP1583" s="41" t="str">
        <f t="shared" si="739"/>
        <v>Def TaxR</v>
      </c>
      <c r="AQ1583" s="41" t="str">
        <f t="shared" si="740"/>
        <v>Def TaxRR11Deferred Comp</v>
      </c>
      <c r="AR1583" s="41" t="str">
        <f t="shared" si="741"/>
        <v>R11Deferred Comp</v>
      </c>
    </row>
    <row r="1584" spans="1:44" s="41" customFormat="1" ht="12.75" customHeight="1">
      <c r="A1584" s="442" t="s">
        <v>1590</v>
      </c>
      <c r="B1584" s="442" t="str">
        <f t="shared" si="757"/>
        <v>Def Tax190014190-054</v>
      </c>
      <c r="C1584" s="736">
        <v>190014</v>
      </c>
      <c r="D1584" s="735" t="s">
        <v>1791</v>
      </c>
      <c r="E1584" s="626"/>
      <c r="F1584" s="626" t="str">
        <f t="shared" si="748"/>
        <v>ACCUM DEFERRED INC TAXES-STATE-GAS-NONOP</v>
      </c>
      <c r="G1584" s="626" t="s">
        <v>1792</v>
      </c>
      <c r="H1584" s="736">
        <v>0</v>
      </c>
      <c r="I1584" s="442"/>
      <c r="J1584" s="442" t="str">
        <f t="shared" si="749"/>
        <v/>
      </c>
      <c r="K1584" s="442" t="str">
        <f t="shared" si="756"/>
        <v/>
      </c>
      <c r="L1584" s="736" t="s">
        <v>2421</v>
      </c>
      <c r="M1584" s="442" t="str">
        <f t="shared" si="729"/>
        <v>N</v>
      </c>
      <c r="N1584" s="442" t="str">
        <f>IF(L1584&lt;&gt;"",VLOOKUP(L1584,Categories!$B$2:$D$41,2,FALSE),IF(F1584&lt;&gt;"","No Cat",""))</f>
        <v>NRBASE</v>
      </c>
      <c r="O1584" s="442" t="str">
        <f>IF($L1584&lt;&gt;"",VLOOKUP($L1584,Categories!$B$2:$D$41,3,FALSE),IF($F1584&lt;&gt;"","No Cat",""))</f>
        <v>Direct Assign Items Not in RB</v>
      </c>
      <c r="P1584" s="736" t="s">
        <v>2468</v>
      </c>
      <c r="Q1584" s="442" t="str">
        <f>VLOOKUP($P1584,Allocators!$B$7:$F$19,5,FALSE)</f>
        <v>Not in Rate Base</v>
      </c>
      <c r="R1584" s="737">
        <f>VLOOKUP($P1584,Allocators!$B$7:$F$19,2,FALSE)</f>
        <v>0</v>
      </c>
      <c r="S1584" s="737">
        <f>VLOOKUP($P1584,Allocators!$B$7:$F$19,3,FALSE)</f>
        <v>0</v>
      </c>
      <c r="T1584" s="737">
        <f t="shared" si="759"/>
        <v>1</v>
      </c>
      <c r="U1584" s="2" t="str">
        <f t="shared" si="750"/>
        <v/>
      </c>
      <c r="V1584" s="2" t="str">
        <f t="shared" si="751"/>
        <v/>
      </c>
      <c r="W1584" s="2" t="str">
        <f t="shared" si="752"/>
        <v/>
      </c>
      <c r="X1584" s="2">
        <f t="shared" si="746"/>
        <v>0</v>
      </c>
      <c r="Y1584" s="2" t="str">
        <f t="shared" si="753"/>
        <v/>
      </c>
      <c r="Z1584" s="2" t="str">
        <f t="shared" si="754"/>
        <v/>
      </c>
      <c r="AA1584" s="2" t="str">
        <f t="shared" si="755"/>
        <v/>
      </c>
      <c r="AB1584" s="2">
        <f t="shared" si="747"/>
        <v>0</v>
      </c>
      <c r="AC1584" s="625">
        <v>0</v>
      </c>
      <c r="AD1584" s="625">
        <v>0</v>
      </c>
      <c r="AE1584" s="625">
        <v>0</v>
      </c>
      <c r="AF1584" s="625">
        <v>0</v>
      </c>
      <c r="AG1584" s="625">
        <v>0</v>
      </c>
      <c r="AH1584" s="625">
        <v>0</v>
      </c>
      <c r="AI1584" s="625">
        <v>0</v>
      </c>
      <c r="AJ1584" s="625">
        <v>0</v>
      </c>
      <c r="AK1584" s="625">
        <v>0</v>
      </c>
      <c r="AL1584" s="625">
        <v>0</v>
      </c>
      <c r="AM1584" s="625">
        <v>0</v>
      </c>
      <c r="AN1584" s="625">
        <v>0</v>
      </c>
      <c r="AO1584" s="625">
        <v>0</v>
      </c>
      <c r="AP1584" s="41" t="str">
        <f t="shared" si="739"/>
        <v>Def TaxN</v>
      </c>
      <c r="AQ1584" s="41" t="str">
        <f t="shared" si="740"/>
        <v>Def TaxNN20</v>
      </c>
      <c r="AR1584" s="41" t="str">
        <f t="shared" si="741"/>
        <v>N20</v>
      </c>
    </row>
    <row r="1585" spans="1:44" s="41" customFormat="1" ht="12.75" customHeight="1">
      <c r="A1585" s="442" t="s">
        <v>1590</v>
      </c>
      <c r="B1585" s="442" t="str">
        <f t="shared" si="757"/>
        <v>Def Tax190014190-057BT010083</v>
      </c>
      <c r="C1585" s="736">
        <v>190014</v>
      </c>
      <c r="D1585" s="735" t="s">
        <v>1793</v>
      </c>
      <c r="E1585" s="626" t="s">
        <v>1794</v>
      </c>
      <c r="F1585" s="626" t="str">
        <f t="shared" si="748"/>
        <v>ACCUM DEFERRED INC TAXES-STATE-GAS-NONOP</v>
      </c>
      <c r="G1585" s="626" t="s">
        <v>1795</v>
      </c>
      <c r="H1585" s="736" t="s">
        <v>1796</v>
      </c>
      <c r="I1585" s="442"/>
      <c r="J1585" s="442" t="str">
        <f t="shared" si="749"/>
        <v/>
      </c>
      <c r="K1585" s="442" t="str">
        <f t="shared" si="756"/>
        <v/>
      </c>
      <c r="L1585" s="736" t="s">
        <v>2421</v>
      </c>
      <c r="M1585" s="442" t="str">
        <f t="shared" si="729"/>
        <v>N</v>
      </c>
      <c r="N1585" s="442" t="str">
        <f>IF(L1585&lt;&gt;"",VLOOKUP(L1585,Categories!$B$2:$D$41,2,FALSE),IF(F1585&lt;&gt;"","No Cat",""))</f>
        <v>NRBASE</v>
      </c>
      <c r="O1585" s="442" t="str">
        <f>IF($L1585&lt;&gt;"",VLOOKUP($L1585,Categories!$B$2:$D$41,3,FALSE),IF($F1585&lt;&gt;"","No Cat",""))</f>
        <v>Direct Assign Items Not in RB</v>
      </c>
      <c r="P1585" s="736" t="s">
        <v>2468</v>
      </c>
      <c r="Q1585" s="442" t="str">
        <f>VLOOKUP($P1585,Allocators!$B$7:$F$19,5,FALSE)</f>
        <v>Not in Rate Base</v>
      </c>
      <c r="R1585" s="737">
        <f>VLOOKUP($P1585,Allocators!$B$7:$F$19,2,FALSE)</f>
        <v>0</v>
      </c>
      <c r="S1585" s="737">
        <f>VLOOKUP($P1585,Allocators!$B$7:$F$19,3,FALSE)</f>
        <v>0</v>
      </c>
      <c r="T1585" s="737">
        <f t="shared" si="759"/>
        <v>1</v>
      </c>
      <c r="U1585" s="2" t="str">
        <f t="shared" si="750"/>
        <v/>
      </c>
      <c r="V1585" s="2" t="str">
        <f t="shared" si="751"/>
        <v/>
      </c>
      <c r="W1585" s="2" t="str">
        <f t="shared" si="752"/>
        <v/>
      </c>
      <c r="X1585" s="2">
        <f t="shared" si="746"/>
        <v>0</v>
      </c>
      <c r="Y1585" s="2" t="str">
        <f t="shared" si="753"/>
        <v/>
      </c>
      <c r="Z1585" s="2" t="str">
        <f t="shared" si="754"/>
        <v/>
      </c>
      <c r="AA1585" s="2" t="str">
        <f t="shared" si="755"/>
        <v/>
      </c>
      <c r="AB1585" s="2">
        <f t="shared" si="747"/>
        <v>0</v>
      </c>
      <c r="AC1585" s="625">
        <v>0</v>
      </c>
      <c r="AD1585" s="625">
        <v>0</v>
      </c>
      <c r="AE1585" s="625">
        <v>0</v>
      </c>
      <c r="AF1585" s="625">
        <v>0</v>
      </c>
      <c r="AG1585" s="625">
        <v>0</v>
      </c>
      <c r="AH1585" s="625">
        <v>0</v>
      </c>
      <c r="AI1585" s="625">
        <v>0</v>
      </c>
      <c r="AJ1585" s="625">
        <v>0</v>
      </c>
      <c r="AK1585" s="625">
        <v>0</v>
      </c>
      <c r="AL1585" s="625">
        <v>0</v>
      </c>
      <c r="AM1585" s="625">
        <v>0</v>
      </c>
      <c r="AN1585" s="625">
        <v>0</v>
      </c>
      <c r="AO1585" s="625">
        <v>0</v>
      </c>
      <c r="AP1585" s="41" t="str">
        <f t="shared" si="739"/>
        <v>Def TaxN</v>
      </c>
      <c r="AQ1585" s="41" t="str">
        <f t="shared" si="740"/>
        <v>Def TaxNN2Executive Incentive Plan</v>
      </c>
      <c r="AR1585" s="41" t="str">
        <f t="shared" si="741"/>
        <v>N2Executive Incentive Plan</v>
      </c>
    </row>
    <row r="1586" spans="1:44" s="41" customFormat="1" ht="12.75" customHeight="1">
      <c r="A1586" s="442" t="s">
        <v>1590</v>
      </c>
      <c r="B1586" s="442" t="str">
        <f t="shared" si="757"/>
        <v>Def Tax190014190-074BTHUNGDT</v>
      </c>
      <c r="C1586" s="736">
        <v>190014</v>
      </c>
      <c r="D1586" s="735" t="s">
        <v>1725</v>
      </c>
      <c r="E1586" s="626" t="s">
        <v>1624</v>
      </c>
      <c r="F1586" s="626" t="str">
        <f t="shared" si="748"/>
        <v>ACCUM DEFERRED INC TAXES-STATE-GAS-NONOP</v>
      </c>
      <c r="G1586" s="626" t="s">
        <v>1726</v>
      </c>
      <c r="H1586" s="736" t="s">
        <v>2880</v>
      </c>
      <c r="I1586" s="442"/>
      <c r="J1586" s="442" t="str">
        <f t="shared" si="749"/>
        <v/>
      </c>
      <c r="K1586" s="442" t="str">
        <f t="shared" si="756"/>
        <v/>
      </c>
      <c r="L1586" s="736" t="s">
        <v>2421</v>
      </c>
      <c r="M1586" s="442" t="str">
        <f t="shared" si="729"/>
        <v>N</v>
      </c>
      <c r="N1586" s="442" t="str">
        <f>IF(L1586&lt;&gt;"",VLOOKUP(L1586,Categories!$B$2:$D$41,2,FALSE),IF(F1586&lt;&gt;"","No Cat",""))</f>
        <v>NRBASE</v>
      </c>
      <c r="O1586" s="442" t="str">
        <f>IF($L1586&lt;&gt;"",VLOOKUP($L1586,Categories!$B$2:$D$41,3,FALSE),IF($F1586&lt;&gt;"","No Cat",""))</f>
        <v>Direct Assign Items Not in RB</v>
      </c>
      <c r="P1586" s="736" t="s">
        <v>2468</v>
      </c>
      <c r="Q1586" s="442" t="str">
        <f>VLOOKUP($P1586,Allocators!$B$7:$F$19,5,FALSE)</f>
        <v>Not in Rate Base</v>
      </c>
      <c r="R1586" s="737">
        <f>VLOOKUP($P1586,Allocators!$B$7:$F$19,2,FALSE)</f>
        <v>0</v>
      </c>
      <c r="S1586" s="737">
        <f>VLOOKUP($P1586,Allocators!$B$7:$F$19,3,FALSE)</f>
        <v>0</v>
      </c>
      <c r="T1586" s="737">
        <f t="shared" si="759"/>
        <v>1</v>
      </c>
      <c r="U1586" s="2" t="str">
        <f t="shared" si="750"/>
        <v/>
      </c>
      <c r="V1586" s="2" t="str">
        <f t="shared" si="751"/>
        <v/>
      </c>
      <c r="W1586" s="2" t="str">
        <f t="shared" si="752"/>
        <v/>
      </c>
      <c r="X1586" s="2">
        <f t="shared" si="746"/>
        <v>0</v>
      </c>
      <c r="Y1586" s="2" t="str">
        <f t="shared" si="753"/>
        <v/>
      </c>
      <c r="Z1586" s="2" t="str">
        <f t="shared" si="754"/>
        <v/>
      </c>
      <c r="AA1586" s="2" t="str">
        <f t="shared" si="755"/>
        <v/>
      </c>
      <c r="AB1586" s="2">
        <f t="shared" si="747"/>
        <v>0</v>
      </c>
      <c r="AC1586" s="625">
        <v>0</v>
      </c>
      <c r="AD1586" s="625">
        <v>0</v>
      </c>
      <c r="AE1586" s="625">
        <v>0</v>
      </c>
      <c r="AF1586" s="625">
        <v>0</v>
      </c>
      <c r="AG1586" s="625">
        <v>0</v>
      </c>
      <c r="AH1586" s="625">
        <v>0</v>
      </c>
      <c r="AI1586" s="625">
        <v>0</v>
      </c>
      <c r="AJ1586" s="625">
        <v>0</v>
      </c>
      <c r="AK1586" s="625">
        <v>0</v>
      </c>
      <c r="AL1586" s="625">
        <v>0</v>
      </c>
      <c r="AM1586" s="625">
        <v>0</v>
      </c>
      <c r="AN1586" s="625">
        <v>0</v>
      </c>
      <c r="AO1586" s="625">
        <v>0</v>
      </c>
      <c r="AP1586" s="41" t="str">
        <f t="shared" si="739"/>
        <v>Def TaxN</v>
      </c>
      <c r="AQ1586" s="41" t="str">
        <f t="shared" si="740"/>
        <v>Def TaxNN2Hung Deferred Taxes</v>
      </c>
      <c r="AR1586" s="41" t="str">
        <f t="shared" si="741"/>
        <v>N2Hung Deferred Taxes</v>
      </c>
    </row>
    <row r="1587" spans="1:44" s="41" customFormat="1" ht="12.75" customHeight="1">
      <c r="A1587" s="442" t="s">
        <v>1590</v>
      </c>
      <c r="B1587" s="442" t="str">
        <f t="shared" si="757"/>
        <v>Def Tax190014190-076BTHUNGDT</v>
      </c>
      <c r="C1587" s="736">
        <v>190014</v>
      </c>
      <c r="D1587" s="735" t="s">
        <v>1802</v>
      </c>
      <c r="E1587" s="626" t="s">
        <v>1624</v>
      </c>
      <c r="F1587" s="626" t="str">
        <f t="shared" si="748"/>
        <v>ACCUM DEFERRED INC TAXES-STATE-GAS-NONOP</v>
      </c>
      <c r="G1587" s="626" t="s">
        <v>1803</v>
      </c>
      <c r="H1587" s="736" t="s">
        <v>2880</v>
      </c>
      <c r="I1587" s="442"/>
      <c r="J1587" s="442" t="str">
        <f t="shared" si="749"/>
        <v/>
      </c>
      <c r="K1587" s="442" t="str">
        <f t="shared" si="756"/>
        <v/>
      </c>
      <c r="L1587" s="736" t="s">
        <v>2421</v>
      </c>
      <c r="M1587" s="442" t="str">
        <f t="shared" si="729"/>
        <v>N</v>
      </c>
      <c r="N1587" s="442" t="str">
        <f>IF(L1587&lt;&gt;"",VLOOKUP(L1587,Categories!$B$2:$D$41,2,FALSE),IF(F1587&lt;&gt;"","No Cat",""))</f>
        <v>NRBASE</v>
      </c>
      <c r="O1587" s="442" t="str">
        <f>IF($L1587&lt;&gt;"",VLOOKUP($L1587,Categories!$B$2:$D$41,3,FALSE),IF($F1587&lt;&gt;"","No Cat",""))</f>
        <v>Direct Assign Items Not in RB</v>
      </c>
      <c r="P1587" s="736" t="s">
        <v>2468</v>
      </c>
      <c r="Q1587" s="442" t="str">
        <f>VLOOKUP($P1587,Allocators!$B$7:$F$19,5,FALSE)</f>
        <v>Not in Rate Base</v>
      </c>
      <c r="R1587" s="737">
        <f>VLOOKUP($P1587,Allocators!$B$7:$F$19,2,FALSE)</f>
        <v>0</v>
      </c>
      <c r="S1587" s="737">
        <f>VLOOKUP($P1587,Allocators!$B$7:$F$19,3,FALSE)</f>
        <v>0</v>
      </c>
      <c r="T1587" s="737">
        <f t="shared" si="759"/>
        <v>1</v>
      </c>
      <c r="U1587" s="2" t="str">
        <f t="shared" si="750"/>
        <v/>
      </c>
      <c r="V1587" s="2" t="str">
        <f t="shared" si="751"/>
        <v/>
      </c>
      <c r="W1587" s="2" t="str">
        <f t="shared" si="752"/>
        <v/>
      </c>
      <c r="X1587" s="2">
        <f t="shared" si="746"/>
        <v>0</v>
      </c>
      <c r="Y1587" s="2" t="str">
        <f t="shared" si="753"/>
        <v/>
      </c>
      <c r="Z1587" s="2" t="str">
        <f t="shared" si="754"/>
        <v/>
      </c>
      <c r="AA1587" s="2" t="str">
        <f t="shared" si="755"/>
        <v/>
      </c>
      <c r="AB1587" s="2">
        <f t="shared" si="747"/>
        <v>0</v>
      </c>
      <c r="AC1587" s="625">
        <v>0</v>
      </c>
      <c r="AD1587" s="625">
        <v>0</v>
      </c>
      <c r="AE1587" s="625">
        <v>0</v>
      </c>
      <c r="AF1587" s="625">
        <v>0</v>
      </c>
      <c r="AG1587" s="625">
        <v>0</v>
      </c>
      <c r="AH1587" s="625">
        <v>0</v>
      </c>
      <c r="AI1587" s="625">
        <v>0</v>
      </c>
      <c r="AJ1587" s="625">
        <v>0</v>
      </c>
      <c r="AK1587" s="625">
        <v>0</v>
      </c>
      <c r="AL1587" s="625">
        <v>0</v>
      </c>
      <c r="AM1587" s="625">
        <v>0</v>
      </c>
      <c r="AN1587" s="625">
        <v>0</v>
      </c>
      <c r="AO1587" s="625">
        <v>0</v>
      </c>
      <c r="AP1587" s="41" t="str">
        <f t="shared" si="739"/>
        <v>Def TaxN</v>
      </c>
      <c r="AQ1587" s="41" t="str">
        <f t="shared" si="740"/>
        <v>Def TaxNN2Hung Deferred Taxes</v>
      </c>
      <c r="AR1587" s="41" t="str">
        <f t="shared" si="741"/>
        <v>N2Hung Deferred Taxes</v>
      </c>
    </row>
    <row r="1588" spans="1:44" s="41" customFormat="1" ht="12.75" customHeight="1">
      <c r="A1588" s="25" t="s">
        <v>1590</v>
      </c>
      <c r="B1588" s="25" t="str">
        <f t="shared" si="757"/>
        <v>Def Tax190014190-084BT010126</v>
      </c>
      <c r="C1588" s="736">
        <v>190014</v>
      </c>
      <c r="D1588" s="735" t="s">
        <v>1806</v>
      </c>
      <c r="E1588" s="41" t="s">
        <v>1807</v>
      </c>
      <c r="F1588" s="41" t="str">
        <f t="shared" si="748"/>
        <v>ACCUM DEFERRED INC TAXES-STATE-GAS-NONOP</v>
      </c>
      <c r="G1588" s="41" t="s">
        <v>1862</v>
      </c>
      <c r="H1588" s="736" t="s">
        <v>1629</v>
      </c>
      <c r="I1588" s="25"/>
      <c r="J1588" s="25" t="str">
        <f t="shared" si="749"/>
        <v/>
      </c>
      <c r="K1588" s="442" t="str">
        <f t="shared" si="756"/>
        <v/>
      </c>
      <c r="L1588" s="736" t="s">
        <v>2443</v>
      </c>
      <c r="M1588" s="25" t="str">
        <f t="shared" si="729"/>
        <v>R</v>
      </c>
      <c r="N1588" s="25" t="str">
        <f>IF(L1588&lt;&gt;"",VLOOKUP(L1588,Categories!$B$2:$D$41,2,FALSE),IF(F1588&lt;&gt;"","No Cat",""))</f>
        <v>Rate Base</v>
      </c>
      <c r="O1588" s="25" t="str">
        <f>IF($L1588&lt;&gt;"",VLOOKUP($L1588,Categories!$B$2:$D$41,3,FALSE),IF($F1588&lt;&gt;"","No Cat",""))</f>
        <v>Deferred Income Taxes</v>
      </c>
      <c r="P1588" s="736" t="s">
        <v>2483</v>
      </c>
      <c r="Q1588" s="25" t="str">
        <f>VLOOKUP($P1588,Allocators!$B$7:$F$19,5,FALSE)</f>
        <v>Gas</v>
      </c>
      <c r="R1588" s="737">
        <f>VLOOKUP($P1588,Allocators!$B$7:$F$19,2,FALSE)</f>
        <v>0</v>
      </c>
      <c r="S1588" s="737">
        <f>VLOOKUP($P1588,Allocators!$B$7:$F$19,3,FALSE)</f>
        <v>1</v>
      </c>
      <c r="T1588" s="737" t="str">
        <f t="shared" si="759"/>
        <v>0.0%</v>
      </c>
      <c r="U1588" s="2" t="str">
        <f t="shared" si="750"/>
        <v/>
      </c>
      <c r="V1588" s="2" t="str">
        <f t="shared" si="751"/>
        <v/>
      </c>
      <c r="W1588" s="2" t="str">
        <f t="shared" si="752"/>
        <v/>
      </c>
      <c r="X1588" s="2">
        <f t="shared" si="746"/>
        <v>0</v>
      </c>
      <c r="Y1588" s="2" t="str">
        <f t="shared" si="753"/>
        <v/>
      </c>
      <c r="Z1588" s="2" t="str">
        <f t="shared" si="754"/>
        <v/>
      </c>
      <c r="AA1588" s="2" t="str">
        <f t="shared" si="755"/>
        <v/>
      </c>
      <c r="AB1588" s="2">
        <f t="shared" si="747"/>
        <v>0</v>
      </c>
      <c r="AC1588" s="625">
        <v>0</v>
      </c>
      <c r="AD1588" s="625">
        <v>0</v>
      </c>
      <c r="AE1588" s="625">
        <v>0</v>
      </c>
      <c r="AF1588" s="625">
        <v>0</v>
      </c>
      <c r="AG1588" s="625">
        <v>0</v>
      </c>
      <c r="AH1588" s="625">
        <v>0</v>
      </c>
      <c r="AI1588" s="625">
        <v>0</v>
      </c>
      <c r="AJ1588" s="625">
        <v>0</v>
      </c>
      <c r="AK1588" s="625">
        <v>0</v>
      </c>
      <c r="AL1588" s="625">
        <v>0</v>
      </c>
      <c r="AM1588" s="625">
        <v>0</v>
      </c>
      <c r="AN1588" s="625">
        <v>0</v>
      </c>
      <c r="AO1588" s="625">
        <v>0</v>
      </c>
      <c r="AP1588" s="41" t="str">
        <f t="shared" si="739"/>
        <v>Def TaxR</v>
      </c>
      <c r="AQ1588" s="41" t="str">
        <f t="shared" si="740"/>
        <v>Def TaxRR11Merger Related</v>
      </c>
      <c r="AR1588" s="41" t="str">
        <f t="shared" si="741"/>
        <v>R11Merger Related</v>
      </c>
    </row>
    <row r="1589" spans="1:44" s="41" customFormat="1" ht="12.75" customHeight="1">
      <c r="A1589" s="25" t="s">
        <v>1590</v>
      </c>
      <c r="B1589" s="25" t="str">
        <f t="shared" si="757"/>
        <v>Def Tax190014190-087BT010196</v>
      </c>
      <c r="C1589" s="736">
        <v>190014</v>
      </c>
      <c r="D1589" s="735" t="s">
        <v>1809</v>
      </c>
      <c r="E1589" s="41" t="s">
        <v>1810</v>
      </c>
      <c r="F1589" s="41" t="str">
        <f t="shared" si="748"/>
        <v>ACCUM DEFERRED INC TAXES-STATE-GAS-NONOP</v>
      </c>
      <c r="G1589" s="41" t="s">
        <v>1811</v>
      </c>
      <c r="H1589" s="736" t="s">
        <v>1629</v>
      </c>
      <c r="I1589" s="25"/>
      <c r="J1589" s="25" t="str">
        <f t="shared" si="749"/>
        <v/>
      </c>
      <c r="K1589" s="442" t="str">
        <f t="shared" si="756"/>
        <v/>
      </c>
      <c r="L1589" s="736" t="s">
        <v>2443</v>
      </c>
      <c r="M1589" s="25" t="str">
        <f t="shared" si="729"/>
        <v>R</v>
      </c>
      <c r="N1589" s="25" t="str">
        <f>IF(L1589&lt;&gt;"",VLOOKUP(L1589,Categories!$B$2:$D$41,2,FALSE),IF(F1589&lt;&gt;"","No Cat",""))</f>
        <v>Rate Base</v>
      </c>
      <c r="O1589" s="25" t="str">
        <f>IF($L1589&lt;&gt;"",VLOOKUP($L1589,Categories!$B$2:$D$41,3,FALSE),IF($F1589&lt;&gt;"","No Cat",""))</f>
        <v>Deferred Income Taxes</v>
      </c>
      <c r="P1589" s="736" t="s">
        <v>2483</v>
      </c>
      <c r="Q1589" s="25" t="str">
        <f>VLOOKUP($P1589,Allocators!$B$7:$F$19,5,FALSE)</f>
        <v>Gas</v>
      </c>
      <c r="R1589" s="737">
        <f>VLOOKUP($P1589,Allocators!$B$7:$F$19,2,FALSE)</f>
        <v>0</v>
      </c>
      <c r="S1589" s="737">
        <f>VLOOKUP($P1589,Allocators!$B$7:$F$19,3,FALSE)</f>
        <v>1</v>
      </c>
      <c r="T1589" s="737" t="str">
        <f t="shared" si="759"/>
        <v>0.0%</v>
      </c>
      <c r="U1589" s="2" t="str">
        <f t="shared" si="750"/>
        <v/>
      </c>
      <c r="V1589" s="2" t="str">
        <f t="shared" si="751"/>
        <v/>
      </c>
      <c r="W1589" s="2" t="str">
        <f t="shared" si="752"/>
        <v/>
      </c>
      <c r="X1589" s="2">
        <f t="shared" si="746"/>
        <v>0</v>
      </c>
      <c r="Y1589" s="2" t="str">
        <f t="shared" si="753"/>
        <v/>
      </c>
      <c r="Z1589" s="2" t="str">
        <f t="shared" si="754"/>
        <v/>
      </c>
      <c r="AA1589" s="2" t="str">
        <f t="shared" si="755"/>
        <v/>
      </c>
      <c r="AB1589" s="2">
        <f t="shared" si="747"/>
        <v>0</v>
      </c>
      <c r="AC1589" s="625">
        <v>0</v>
      </c>
      <c r="AD1589" s="625">
        <v>0</v>
      </c>
      <c r="AE1589" s="625">
        <v>0</v>
      </c>
      <c r="AF1589" s="625">
        <v>0</v>
      </c>
      <c r="AG1589" s="625">
        <v>0</v>
      </c>
      <c r="AH1589" s="625">
        <v>0</v>
      </c>
      <c r="AI1589" s="625">
        <v>0</v>
      </c>
      <c r="AJ1589" s="625">
        <v>0</v>
      </c>
      <c r="AK1589" s="625">
        <v>0</v>
      </c>
      <c r="AL1589" s="625">
        <v>0</v>
      </c>
      <c r="AM1589" s="625">
        <v>0</v>
      </c>
      <c r="AN1589" s="625">
        <v>0</v>
      </c>
      <c r="AO1589" s="625">
        <v>0</v>
      </c>
      <c r="AP1589" s="41" t="str">
        <f t="shared" si="739"/>
        <v>Def TaxR</v>
      </c>
      <c r="AQ1589" s="41" t="str">
        <f t="shared" si="740"/>
        <v>Def TaxRR11Merger Related</v>
      </c>
      <c r="AR1589" s="41" t="str">
        <f t="shared" si="741"/>
        <v>R11Merger Related</v>
      </c>
    </row>
    <row r="1590" spans="1:44" s="41" customFormat="1" ht="12.75" customHeight="1">
      <c r="A1590" s="442" t="s">
        <v>1590</v>
      </c>
      <c r="B1590" s="442" t="str">
        <f t="shared" si="757"/>
        <v>Def Tax1900150BDEFAULT</v>
      </c>
      <c r="C1590" s="736">
        <v>190015</v>
      </c>
      <c r="D1590" s="735">
        <v>0</v>
      </c>
      <c r="E1590" s="626" t="s">
        <v>1620</v>
      </c>
      <c r="F1590" s="626" t="str">
        <f t="shared" si="748"/>
        <v>RECLASS-INCOME TAXES-FEDERAL-CURRENT-GAS</v>
      </c>
      <c r="G1590" s="626" t="s">
        <v>1846</v>
      </c>
      <c r="H1590" s="736">
        <v>0</v>
      </c>
      <c r="I1590" s="442"/>
      <c r="J1590" s="442" t="str">
        <f t="shared" si="749"/>
        <v/>
      </c>
      <c r="K1590" s="442" t="str">
        <f t="shared" si="756"/>
        <v/>
      </c>
      <c r="L1590" s="736" t="s">
        <v>2421</v>
      </c>
      <c r="M1590" s="442" t="str">
        <f t="shared" si="729"/>
        <v>N</v>
      </c>
      <c r="N1590" s="442" t="str">
        <f>IF(L1590&lt;&gt;"",VLOOKUP(L1590,Categories!$B$2:$D$41,2,FALSE),IF(F1590&lt;&gt;"","No Cat",""))</f>
        <v>NRBASE</v>
      </c>
      <c r="O1590" s="442" t="str">
        <f>IF($L1590&lt;&gt;"",VLOOKUP($L1590,Categories!$B$2:$D$41,3,FALSE),IF($F1590&lt;&gt;"","No Cat",""))</f>
        <v>Direct Assign Items Not in RB</v>
      </c>
      <c r="P1590" s="736" t="s">
        <v>2468</v>
      </c>
      <c r="Q1590" s="442" t="str">
        <f>VLOOKUP($P1590,Allocators!$B$7:$F$19,5,FALSE)</f>
        <v>Not in Rate Base</v>
      </c>
      <c r="R1590" s="737">
        <f>VLOOKUP($P1590,Allocators!$B$7:$F$19,2,FALSE)</f>
        <v>0</v>
      </c>
      <c r="S1590" s="737">
        <f>VLOOKUP($P1590,Allocators!$B$7:$F$19,3,FALSE)</f>
        <v>0</v>
      </c>
      <c r="T1590" s="737">
        <f t="shared" si="759"/>
        <v>1</v>
      </c>
      <c r="U1590" s="2" t="str">
        <f t="shared" si="750"/>
        <v/>
      </c>
      <c r="V1590" s="2" t="str">
        <f t="shared" si="751"/>
        <v/>
      </c>
      <c r="W1590" s="2" t="str">
        <f t="shared" si="752"/>
        <v/>
      </c>
      <c r="X1590" s="2">
        <f t="shared" si="746"/>
        <v>0</v>
      </c>
      <c r="Y1590" s="2" t="str">
        <f t="shared" si="753"/>
        <v/>
      </c>
      <c r="Z1590" s="2" t="str">
        <f t="shared" si="754"/>
        <v/>
      </c>
      <c r="AA1590" s="2" t="str">
        <f t="shared" si="755"/>
        <v/>
      </c>
      <c r="AB1590" s="2">
        <f t="shared" si="747"/>
        <v>0</v>
      </c>
      <c r="AC1590" s="625">
        <v>0</v>
      </c>
      <c r="AD1590" s="625">
        <v>0</v>
      </c>
      <c r="AE1590" s="625">
        <v>0</v>
      </c>
      <c r="AF1590" s="625">
        <v>0</v>
      </c>
      <c r="AG1590" s="625">
        <v>0</v>
      </c>
      <c r="AH1590" s="625">
        <v>0</v>
      </c>
      <c r="AI1590" s="625">
        <v>0</v>
      </c>
      <c r="AJ1590" s="625">
        <v>0</v>
      </c>
      <c r="AK1590" s="625">
        <v>0</v>
      </c>
      <c r="AL1590" s="625">
        <v>0</v>
      </c>
      <c r="AM1590" s="625">
        <v>0</v>
      </c>
      <c r="AN1590" s="625">
        <v>0</v>
      </c>
      <c r="AO1590" s="625">
        <v>0</v>
      </c>
      <c r="AP1590" s="41" t="str">
        <f t="shared" si="739"/>
        <v>Def TaxN</v>
      </c>
      <c r="AQ1590" s="41" t="str">
        <f t="shared" si="740"/>
        <v>Def TaxNN20</v>
      </c>
      <c r="AR1590" s="41" t="str">
        <f t="shared" si="741"/>
        <v>N20</v>
      </c>
    </row>
    <row r="1591" spans="1:44" s="41" customFormat="1" ht="12.75" customHeight="1">
      <c r="A1591" s="25" t="s">
        <v>1590</v>
      </c>
      <c r="B1591" s="25" t="str">
        <f t="shared" si="757"/>
        <v>Def Tax190016190-008BT010241</v>
      </c>
      <c r="C1591" s="736">
        <v>190016</v>
      </c>
      <c r="D1591" s="735" t="s">
        <v>1812</v>
      </c>
      <c r="E1591" s="41" t="s">
        <v>1813</v>
      </c>
      <c r="F1591" s="41" t="str">
        <f t="shared" si="748"/>
        <v>ACCUM DEFERRED INC TAXES-STATE-CURRENT-ELECTRIC</v>
      </c>
      <c r="G1591" s="41" t="s">
        <v>1814</v>
      </c>
      <c r="H1591" s="736" t="s">
        <v>1815</v>
      </c>
      <c r="I1591" s="25"/>
      <c r="J1591" s="25" t="str">
        <f t="shared" si="749"/>
        <v/>
      </c>
      <c r="K1591" s="442" t="str">
        <f t="shared" si="756"/>
        <v/>
      </c>
      <c r="L1591" s="736" t="s">
        <v>2443</v>
      </c>
      <c r="M1591" s="25" t="str">
        <f t="shared" si="729"/>
        <v>R</v>
      </c>
      <c r="N1591" s="25" t="str">
        <f>IF(L1591&lt;&gt;"",VLOOKUP(L1591,Categories!$B$2:$D$41,2,FALSE),IF(F1591&lt;&gt;"","No Cat",""))</f>
        <v>Rate Base</v>
      </c>
      <c r="O1591" s="25" t="str">
        <f>IF($L1591&lt;&gt;"",VLOOKUP($L1591,Categories!$B$2:$D$41,3,FALSE),IF($F1591&lt;&gt;"","No Cat",""))</f>
        <v>Deferred Income Taxes</v>
      </c>
      <c r="P1591" s="736" t="s">
        <v>2482</v>
      </c>
      <c r="Q1591" s="25" t="str">
        <f>VLOOKUP($P1591,Allocators!$B$7:$F$19,5,FALSE)</f>
        <v>Electric</v>
      </c>
      <c r="R1591" s="737">
        <f>VLOOKUP($P1591,Allocators!$B$7:$F$19,2,FALSE)</f>
        <v>1</v>
      </c>
      <c r="S1591" s="737">
        <f>VLOOKUP($P1591,Allocators!$B$7:$F$19,3,FALSE)</f>
        <v>0</v>
      </c>
      <c r="T1591" s="737" t="str">
        <f t="shared" si="759"/>
        <v>0.0%</v>
      </c>
      <c r="U1591" s="2" t="str">
        <f t="shared" si="750"/>
        <v/>
      </c>
      <c r="V1591" s="2" t="str">
        <f t="shared" si="751"/>
        <v/>
      </c>
      <c r="W1591" s="2" t="str">
        <f t="shared" si="752"/>
        <v/>
      </c>
      <c r="X1591" s="2">
        <f t="shared" si="746"/>
        <v>0</v>
      </c>
      <c r="Y1591" s="2" t="str">
        <f t="shared" si="753"/>
        <v/>
      </c>
      <c r="Z1591" s="2" t="str">
        <f t="shared" si="754"/>
        <v/>
      </c>
      <c r="AA1591" s="2" t="str">
        <f t="shared" si="755"/>
        <v/>
      </c>
      <c r="AB1591" s="2">
        <f t="shared" si="747"/>
        <v>0</v>
      </c>
      <c r="AC1591" s="625">
        <v>0</v>
      </c>
      <c r="AD1591" s="625">
        <v>0</v>
      </c>
      <c r="AE1591" s="625">
        <v>0</v>
      </c>
      <c r="AF1591" s="625">
        <v>0</v>
      </c>
      <c r="AG1591" s="625">
        <v>0</v>
      </c>
      <c r="AH1591" s="625">
        <v>0</v>
      </c>
      <c r="AI1591" s="625">
        <v>0</v>
      </c>
      <c r="AJ1591" s="625">
        <v>0</v>
      </c>
      <c r="AK1591" s="625">
        <v>0</v>
      </c>
      <c r="AL1591" s="625">
        <v>0</v>
      </c>
      <c r="AM1591" s="625">
        <v>0</v>
      </c>
      <c r="AN1591" s="625">
        <v>0</v>
      </c>
      <c r="AO1591" s="625">
        <v>0</v>
      </c>
      <c r="AP1591" s="41" t="str">
        <f t="shared" si="739"/>
        <v>Def TaxR</v>
      </c>
      <c r="AQ1591" s="41" t="str">
        <f t="shared" si="740"/>
        <v>Def TaxRR11Vacation pay</v>
      </c>
      <c r="AR1591" s="41" t="str">
        <f t="shared" si="741"/>
        <v>R11Vacation pay</v>
      </c>
    </row>
    <row r="1592" spans="1:44" s="41" customFormat="1" ht="12.75" customHeight="1">
      <c r="A1592" s="25" t="s">
        <v>1590</v>
      </c>
      <c r="B1592" s="25" t="str">
        <f t="shared" si="757"/>
        <v>Def Tax190016190-047BT010104</v>
      </c>
      <c r="C1592" s="736">
        <v>190016</v>
      </c>
      <c r="D1592" s="735" t="s">
        <v>1816</v>
      </c>
      <c r="E1592" s="41" t="s">
        <v>1817</v>
      </c>
      <c r="F1592" s="41" t="str">
        <f t="shared" si="748"/>
        <v>ACCUM DEFERRED INC TAXES-STATE-CURRENT-ELECTRIC</v>
      </c>
      <c r="G1592" s="41" t="s">
        <v>1863</v>
      </c>
      <c r="H1592" s="736" t="s">
        <v>1819</v>
      </c>
      <c r="I1592" s="25"/>
      <c r="J1592" s="25" t="str">
        <f t="shared" si="749"/>
        <v/>
      </c>
      <c r="K1592" s="442" t="str">
        <f t="shared" si="756"/>
        <v/>
      </c>
      <c r="L1592" s="736" t="s">
        <v>2443</v>
      </c>
      <c r="M1592" s="25" t="str">
        <f t="shared" si="729"/>
        <v>R</v>
      </c>
      <c r="N1592" s="25" t="str">
        <f>IF(L1592&lt;&gt;"",VLOOKUP(L1592,Categories!$B$2:$D$41,2,FALSE),IF(F1592&lt;&gt;"","No Cat",""))</f>
        <v>Rate Base</v>
      </c>
      <c r="O1592" s="25" t="str">
        <f>IF($L1592&lt;&gt;"",VLOOKUP($L1592,Categories!$B$2:$D$41,3,FALSE),IF($F1592&lt;&gt;"","No Cat",""))</f>
        <v>Deferred Income Taxes</v>
      </c>
      <c r="P1592" s="736" t="s">
        <v>2482</v>
      </c>
      <c r="Q1592" s="25" t="str">
        <f>VLOOKUP($P1592,Allocators!$B$7:$F$19,5,FALSE)</f>
        <v>Electric</v>
      </c>
      <c r="R1592" s="737">
        <f>VLOOKUP($P1592,Allocators!$B$7:$F$19,2,FALSE)</f>
        <v>1</v>
      </c>
      <c r="S1592" s="737">
        <f>VLOOKUP($P1592,Allocators!$B$7:$F$19,3,FALSE)</f>
        <v>0</v>
      </c>
      <c r="T1592" s="737" t="str">
        <f t="shared" si="759"/>
        <v>0.0%</v>
      </c>
      <c r="U1592" s="2" t="str">
        <f t="shared" si="750"/>
        <v/>
      </c>
      <c r="V1592" s="2" t="str">
        <f t="shared" si="751"/>
        <v/>
      </c>
      <c r="W1592" s="2" t="str">
        <f t="shared" si="752"/>
        <v/>
      </c>
      <c r="X1592" s="2">
        <f t="shared" si="746"/>
        <v>0</v>
      </c>
      <c r="Y1592" s="2" t="str">
        <f t="shared" si="753"/>
        <v/>
      </c>
      <c r="Z1592" s="2" t="str">
        <f t="shared" si="754"/>
        <v/>
      </c>
      <c r="AA1592" s="2" t="str">
        <f t="shared" si="755"/>
        <v/>
      </c>
      <c r="AB1592" s="2">
        <f t="shared" si="747"/>
        <v>0</v>
      </c>
      <c r="AC1592" s="625">
        <v>0</v>
      </c>
      <c r="AD1592" s="625">
        <v>0</v>
      </c>
      <c r="AE1592" s="625">
        <v>0</v>
      </c>
      <c r="AF1592" s="625">
        <v>0</v>
      </c>
      <c r="AG1592" s="625">
        <v>0</v>
      </c>
      <c r="AH1592" s="625">
        <v>0</v>
      </c>
      <c r="AI1592" s="625">
        <v>0</v>
      </c>
      <c r="AJ1592" s="625">
        <v>0</v>
      </c>
      <c r="AK1592" s="625">
        <v>0</v>
      </c>
      <c r="AL1592" s="625">
        <v>0</v>
      </c>
      <c r="AM1592" s="625">
        <v>0</v>
      </c>
      <c r="AN1592" s="625">
        <v>0</v>
      </c>
      <c r="AO1592" s="625">
        <v>0</v>
      </c>
      <c r="AP1592" s="41" t="str">
        <f t="shared" si="739"/>
        <v>Def TaxR</v>
      </c>
      <c r="AQ1592" s="41" t="str">
        <f t="shared" si="740"/>
        <v>Def TaxRR11Performance Plus Plan</v>
      </c>
      <c r="AR1592" s="41" t="str">
        <f t="shared" si="741"/>
        <v>R11Performance Plus Plan</v>
      </c>
    </row>
    <row r="1593" spans="1:44" s="41" customFormat="1" ht="12.75" customHeight="1">
      <c r="A1593" s="25" t="s">
        <v>1590</v>
      </c>
      <c r="B1593" s="25" t="str">
        <f t="shared" si="757"/>
        <v>Def Tax190016190-054BTHUNGDT</v>
      </c>
      <c r="C1593" s="736">
        <v>190016</v>
      </c>
      <c r="D1593" s="735" t="s">
        <v>1791</v>
      </c>
      <c r="E1593" s="41" t="s">
        <v>1624</v>
      </c>
      <c r="F1593" s="41" t="str">
        <f t="shared" si="748"/>
        <v>ACCUM DEFERRED INC TAXES-STATE-CURRENT-ELECTRIC</v>
      </c>
      <c r="G1593" s="41" t="s">
        <v>1792</v>
      </c>
      <c r="H1593" s="736">
        <v>0</v>
      </c>
      <c r="I1593" s="25"/>
      <c r="J1593" s="25" t="str">
        <f t="shared" si="749"/>
        <v/>
      </c>
      <c r="K1593" s="442" t="str">
        <f t="shared" si="756"/>
        <v/>
      </c>
      <c r="L1593" s="736" t="s">
        <v>2443</v>
      </c>
      <c r="M1593" s="25" t="str">
        <f t="shared" si="729"/>
        <v>R</v>
      </c>
      <c r="N1593" s="25" t="str">
        <f>IF(L1593&lt;&gt;"",VLOOKUP(L1593,Categories!$B$2:$D$41,2,FALSE),IF(F1593&lt;&gt;"","No Cat",""))</f>
        <v>Rate Base</v>
      </c>
      <c r="O1593" s="25" t="str">
        <f>IF($L1593&lt;&gt;"",VLOOKUP($L1593,Categories!$B$2:$D$41,3,FALSE),IF($F1593&lt;&gt;"","No Cat",""))</f>
        <v>Deferred Income Taxes</v>
      </c>
      <c r="P1593" s="736" t="s">
        <v>2482</v>
      </c>
      <c r="Q1593" s="25" t="str">
        <f>VLOOKUP($P1593,Allocators!$B$7:$F$19,5,FALSE)</f>
        <v>Electric</v>
      </c>
      <c r="R1593" s="737">
        <f>VLOOKUP($P1593,Allocators!$B$7:$F$19,2,FALSE)</f>
        <v>1</v>
      </c>
      <c r="S1593" s="737">
        <f>VLOOKUP($P1593,Allocators!$B$7:$F$19,3,FALSE)</f>
        <v>0</v>
      </c>
      <c r="T1593" s="737" t="str">
        <f t="shared" si="759"/>
        <v>0.0%</v>
      </c>
      <c r="U1593" s="2" t="str">
        <f t="shared" si="750"/>
        <v/>
      </c>
      <c r="V1593" s="2" t="str">
        <f t="shared" si="751"/>
        <v/>
      </c>
      <c r="W1593" s="2" t="str">
        <f t="shared" si="752"/>
        <v/>
      </c>
      <c r="X1593" s="2">
        <f t="shared" si="746"/>
        <v>0</v>
      </c>
      <c r="Y1593" s="2" t="str">
        <f t="shared" si="753"/>
        <v/>
      </c>
      <c r="Z1593" s="2" t="str">
        <f t="shared" si="754"/>
        <v/>
      </c>
      <c r="AA1593" s="2" t="str">
        <f t="shared" si="755"/>
        <v/>
      </c>
      <c r="AB1593" s="2">
        <f t="shared" si="747"/>
        <v>0</v>
      </c>
      <c r="AC1593" s="625">
        <v>0</v>
      </c>
      <c r="AD1593" s="625">
        <v>0</v>
      </c>
      <c r="AE1593" s="625">
        <v>0</v>
      </c>
      <c r="AF1593" s="625">
        <v>0</v>
      </c>
      <c r="AG1593" s="625">
        <v>0</v>
      </c>
      <c r="AH1593" s="625">
        <v>0</v>
      </c>
      <c r="AI1593" s="625">
        <v>0</v>
      </c>
      <c r="AJ1593" s="625">
        <v>0</v>
      </c>
      <c r="AK1593" s="625">
        <v>0</v>
      </c>
      <c r="AL1593" s="625">
        <v>0</v>
      </c>
      <c r="AM1593" s="625">
        <v>0</v>
      </c>
      <c r="AN1593" s="625">
        <v>0</v>
      </c>
      <c r="AO1593" s="625">
        <v>0</v>
      </c>
      <c r="AP1593" s="41" t="str">
        <f t="shared" si="739"/>
        <v>Def TaxR</v>
      </c>
      <c r="AQ1593" s="41" t="str">
        <f t="shared" si="740"/>
        <v>Def TaxRR110</v>
      </c>
      <c r="AR1593" s="41" t="str">
        <f t="shared" si="741"/>
        <v>R110</v>
      </c>
    </row>
    <row r="1594" spans="1:44" s="41" customFormat="1" ht="12.75" customHeight="1">
      <c r="A1594" s="442" t="s">
        <v>1590</v>
      </c>
      <c r="B1594" s="442" t="str">
        <f t="shared" si="757"/>
        <v>Def Tax190016190-109BT010011</v>
      </c>
      <c r="C1594" s="736">
        <v>190016</v>
      </c>
      <c r="D1594" s="735" t="s">
        <v>1821</v>
      </c>
      <c r="E1594" s="626" t="s">
        <v>1822</v>
      </c>
      <c r="F1594" s="626" t="str">
        <f t="shared" si="748"/>
        <v>ACCUM DEFERRED INC TAXES-STATE-CURRENT-ELECTRIC</v>
      </c>
      <c r="G1594" s="626" t="s">
        <v>1864</v>
      </c>
      <c r="H1594" s="736" t="s">
        <v>1824</v>
      </c>
      <c r="I1594" s="442"/>
      <c r="J1594" s="442" t="str">
        <f t="shared" si="749"/>
        <v/>
      </c>
      <c r="K1594" s="442" t="str">
        <f t="shared" si="756"/>
        <v/>
      </c>
      <c r="L1594" s="736" t="s">
        <v>2443</v>
      </c>
      <c r="M1594" s="442" t="str">
        <f t="shared" si="729"/>
        <v>R</v>
      </c>
      <c r="N1594" s="442" t="str">
        <f>IF(L1594&lt;&gt;"",VLOOKUP(L1594,Categories!$B$2:$D$41,2,FALSE),IF(F1594&lt;&gt;"","No Cat",""))</f>
        <v>Rate Base</v>
      </c>
      <c r="O1594" s="442" t="str">
        <f>IF($L1594&lt;&gt;"",VLOOKUP($L1594,Categories!$B$2:$D$41,3,FALSE),IF($F1594&lt;&gt;"","No Cat",""))</f>
        <v>Deferred Income Taxes</v>
      </c>
      <c r="P1594" s="736" t="s">
        <v>2486</v>
      </c>
      <c r="Q1594" s="442" t="str">
        <f>VLOOKUP($P1594,Allocators!$B$7:$F$19,5,FALSE)</f>
        <v>Net Plant</v>
      </c>
      <c r="R1594" s="737">
        <f>VLOOKUP($P1594,Allocators!$B$7:$F$19,2,FALSE)</f>
        <v>0.74150000000000005</v>
      </c>
      <c r="S1594" s="737">
        <f>VLOOKUP($P1594,Allocators!$B$7:$F$19,3,FALSE)</f>
        <v>0.25850000000000001</v>
      </c>
      <c r="T1594" s="737" t="str">
        <f t="shared" si="759"/>
        <v>0.0%</v>
      </c>
      <c r="U1594" s="2">
        <f t="shared" si="750"/>
        <v>36.479657064999998</v>
      </c>
      <c r="V1594" s="2">
        <f t="shared" si="751"/>
        <v>12.717452935000001</v>
      </c>
      <c r="W1594" s="2">
        <f t="shared" si="752"/>
        <v>0</v>
      </c>
      <c r="X1594" s="2">
        <f t="shared" si="746"/>
        <v>49.197110000000002</v>
      </c>
      <c r="Y1594" s="2">
        <f t="shared" si="753"/>
        <v>36.479657064999998</v>
      </c>
      <c r="Z1594" s="2">
        <f t="shared" si="754"/>
        <v>12.717452935000001</v>
      </c>
      <c r="AA1594" s="2">
        <f t="shared" si="755"/>
        <v>0</v>
      </c>
      <c r="AB1594" s="2">
        <f t="shared" si="747"/>
        <v>49.197110000000002</v>
      </c>
      <c r="AC1594" s="625">
        <v>49.197110000000002</v>
      </c>
      <c r="AD1594" s="625">
        <v>49.197110000000002</v>
      </c>
      <c r="AE1594" s="625">
        <v>49.197110000000002</v>
      </c>
      <c r="AF1594" s="625">
        <v>49.197110000000002</v>
      </c>
      <c r="AG1594" s="625">
        <v>49.197110000000002</v>
      </c>
      <c r="AH1594" s="625">
        <v>49.197110000000002</v>
      </c>
      <c r="AI1594" s="625">
        <v>49.197110000000002</v>
      </c>
      <c r="AJ1594" s="625">
        <v>49.197110000000002</v>
      </c>
      <c r="AK1594" s="625">
        <v>49.197110000000002</v>
      </c>
      <c r="AL1594" s="625">
        <v>49.197110000000002</v>
      </c>
      <c r="AM1594" s="625">
        <v>49.197110000000002</v>
      </c>
      <c r="AN1594" s="625">
        <v>49.197110000000002</v>
      </c>
      <c r="AO1594" s="625">
        <v>49.197110000000002</v>
      </c>
      <c r="AP1594" s="41" t="str">
        <f t="shared" si="739"/>
        <v>Def TaxR</v>
      </c>
      <c r="AQ1594" s="41" t="str">
        <f t="shared" si="740"/>
        <v>Def TaxRR11Accident &amp; Sickness Reserve</v>
      </c>
      <c r="AR1594" s="41" t="str">
        <f t="shared" si="741"/>
        <v>R11Accident &amp; Sickness Reserve</v>
      </c>
    </row>
    <row r="1595" spans="1:44" s="41" customFormat="1" ht="12.75" customHeight="1">
      <c r="A1595" s="25" t="s">
        <v>1590</v>
      </c>
      <c r="B1595" s="25" t="str">
        <f t="shared" si="757"/>
        <v>Def Tax190016283-020BT010016</v>
      </c>
      <c r="C1595" s="736">
        <v>190016</v>
      </c>
      <c r="D1595" s="735" t="s">
        <v>1826</v>
      </c>
      <c r="E1595" s="41" t="s">
        <v>1827</v>
      </c>
      <c r="F1595" s="41" t="str">
        <f t="shared" si="748"/>
        <v>ACCUM DEFERRED INC TAXES-STATE-CURRENT-ELECTRIC</v>
      </c>
      <c r="G1595" s="41" t="s">
        <v>1828</v>
      </c>
      <c r="H1595" s="736" t="s">
        <v>1829</v>
      </c>
      <c r="I1595" s="25"/>
      <c r="J1595" s="25" t="str">
        <f t="shared" si="749"/>
        <v/>
      </c>
      <c r="K1595" s="442" t="str">
        <f t="shared" si="756"/>
        <v/>
      </c>
      <c r="L1595" s="736" t="s">
        <v>2443</v>
      </c>
      <c r="M1595" s="25" t="str">
        <f t="shared" ref="M1595:M1658" si="760">LEFT(L1595,1)</f>
        <v>R</v>
      </c>
      <c r="N1595" s="25" t="str">
        <f>IF(L1595&lt;&gt;"",VLOOKUP(L1595,Categories!$B$2:$D$41,2,FALSE),IF(F1595&lt;&gt;"","No Cat",""))</f>
        <v>Rate Base</v>
      </c>
      <c r="O1595" s="25" t="str">
        <f>IF($L1595&lt;&gt;"",VLOOKUP($L1595,Categories!$B$2:$D$41,3,FALSE),IF($F1595&lt;&gt;"","No Cat",""))</f>
        <v>Deferred Income Taxes</v>
      </c>
      <c r="P1595" s="736" t="s">
        <v>2482</v>
      </c>
      <c r="Q1595" s="25" t="str">
        <f>VLOOKUP($P1595,Allocators!$B$7:$F$19,5,FALSE)</f>
        <v>Electric</v>
      </c>
      <c r="R1595" s="737">
        <f>VLOOKUP($P1595,Allocators!$B$7:$F$19,2,FALSE)</f>
        <v>1</v>
      </c>
      <c r="S1595" s="737">
        <f>VLOOKUP($P1595,Allocators!$B$7:$F$19,3,FALSE)</f>
        <v>0</v>
      </c>
      <c r="T1595" s="737" t="str">
        <f t="shared" si="759"/>
        <v>0.0%</v>
      </c>
      <c r="U1595" s="2">
        <f t="shared" si="750"/>
        <v>53.325670000000002</v>
      </c>
      <c r="V1595" s="2">
        <f t="shared" si="751"/>
        <v>0</v>
      </c>
      <c r="W1595" s="2">
        <f t="shared" si="752"/>
        <v>0</v>
      </c>
      <c r="X1595" s="2">
        <f t="shared" si="746"/>
        <v>53.325670000000002</v>
      </c>
      <c r="Y1595" s="2">
        <f t="shared" si="753"/>
        <v>-221.49545000000001</v>
      </c>
      <c r="Z1595" s="2">
        <f t="shared" si="754"/>
        <v>0</v>
      </c>
      <c r="AA1595" s="2">
        <f t="shared" si="755"/>
        <v>0</v>
      </c>
      <c r="AB1595" s="2">
        <f t="shared" si="747"/>
        <v>-221.49545000000001</v>
      </c>
      <c r="AC1595" s="625">
        <v>-124.89000999999999</v>
      </c>
      <c r="AD1595" s="625">
        <v>-61.592089999999999</v>
      </c>
      <c r="AE1595" s="625">
        <v>12.06615</v>
      </c>
      <c r="AF1595" s="625">
        <v>53.780070000000002</v>
      </c>
      <c r="AG1595" s="625">
        <v>142.16086999999999</v>
      </c>
      <c r="AH1595" s="625">
        <v>147.29559</v>
      </c>
      <c r="AI1595" s="625">
        <v>138.52567000000002</v>
      </c>
      <c r="AJ1595" s="625">
        <v>115.85111000000001</v>
      </c>
      <c r="AK1595" s="625">
        <v>90.90455</v>
      </c>
      <c r="AL1595" s="625">
        <v>58.460389999999997</v>
      </c>
      <c r="AM1595" s="625">
        <v>56.324709999999996</v>
      </c>
      <c r="AN1595" s="625">
        <v>59.323749999999997</v>
      </c>
      <c r="AO1595" s="625">
        <v>-221.49545000000001</v>
      </c>
      <c r="AP1595" s="41" t="str">
        <f t="shared" si="739"/>
        <v>Def TaxR</v>
      </c>
      <c r="AQ1595" s="41" t="str">
        <f t="shared" si="740"/>
        <v>Def TaxRR11Bad Debts</v>
      </c>
      <c r="AR1595" s="41" t="str">
        <f t="shared" si="741"/>
        <v>R11Bad Debts</v>
      </c>
    </row>
    <row r="1596" spans="1:44" s="41" customFormat="1" ht="12.75" customHeight="1">
      <c r="A1596" s="25" t="s">
        <v>1590</v>
      </c>
      <c r="B1596" s="25" t="str">
        <f t="shared" si="757"/>
        <v>Def Tax190016283-026BT010071</v>
      </c>
      <c r="C1596" s="736">
        <v>190016</v>
      </c>
      <c r="D1596" s="735" t="s">
        <v>1706</v>
      </c>
      <c r="E1596" s="41" t="s">
        <v>1707</v>
      </c>
      <c r="F1596" s="41" t="str">
        <f t="shared" si="748"/>
        <v>ACCUM DEFERRED INC TAXES-STATE-CURRENT-ELECTRIC</v>
      </c>
      <c r="G1596" s="41" t="s">
        <v>1825</v>
      </c>
      <c r="H1596" s="736" t="s">
        <v>1134</v>
      </c>
      <c r="I1596" s="25"/>
      <c r="J1596" s="25" t="str">
        <f t="shared" si="749"/>
        <v/>
      </c>
      <c r="K1596" s="442" t="str">
        <f t="shared" si="756"/>
        <v/>
      </c>
      <c r="L1596" s="736" t="s">
        <v>2421</v>
      </c>
      <c r="M1596" s="25" t="str">
        <f t="shared" si="760"/>
        <v>N</v>
      </c>
      <c r="N1596" s="25" t="str">
        <f>IF(L1596&lt;&gt;"",VLOOKUP(L1596,Categories!$B$2:$D$41,2,FALSE),IF(F1596&lt;&gt;"","No Cat",""))</f>
        <v>NRBASE</v>
      </c>
      <c r="O1596" s="25" t="str">
        <f>IF($L1596&lt;&gt;"",VLOOKUP($L1596,Categories!$B$2:$D$41,3,FALSE),IF($F1596&lt;&gt;"","No Cat",""))</f>
        <v>Direct Assign Items Not in RB</v>
      </c>
      <c r="P1596" s="736" t="s">
        <v>2468</v>
      </c>
      <c r="Q1596" s="25" t="str">
        <f>VLOOKUP($P1596,Allocators!$B$7:$F$19,5,FALSE)</f>
        <v>Not in Rate Base</v>
      </c>
      <c r="R1596" s="737">
        <f>VLOOKUP($P1596,Allocators!$B$7:$F$19,2,FALSE)</f>
        <v>0</v>
      </c>
      <c r="S1596" s="737">
        <f>VLOOKUP($P1596,Allocators!$B$7:$F$19,3,FALSE)</f>
        <v>0</v>
      </c>
      <c r="T1596" s="737">
        <f t="shared" si="759"/>
        <v>1</v>
      </c>
      <c r="U1596" s="2">
        <f t="shared" si="750"/>
        <v>0</v>
      </c>
      <c r="V1596" s="2">
        <f t="shared" si="751"/>
        <v>0</v>
      </c>
      <c r="W1596" s="2">
        <f t="shared" si="752"/>
        <v>541.00942416666703</v>
      </c>
      <c r="X1596" s="2">
        <f t="shared" si="746"/>
        <v>541.00942416666703</v>
      </c>
      <c r="Y1596" s="2">
        <f t="shared" si="753"/>
        <v>0</v>
      </c>
      <c r="Z1596" s="2">
        <f t="shared" si="754"/>
        <v>0</v>
      </c>
      <c r="AA1596" s="2">
        <f t="shared" si="755"/>
        <v>212.74139</v>
      </c>
      <c r="AB1596" s="2">
        <f t="shared" si="747"/>
        <v>212.74139000000002</v>
      </c>
      <c r="AC1596" s="625">
        <v>660.29370999999992</v>
      </c>
      <c r="AD1596" s="625">
        <v>660.29370999999992</v>
      </c>
      <c r="AE1596" s="625">
        <v>660.29370999999992</v>
      </c>
      <c r="AF1596" s="625">
        <v>660.29370999999992</v>
      </c>
      <c r="AG1596" s="625">
        <v>681.25792000000001</v>
      </c>
      <c r="AH1596" s="625">
        <v>707.04406000000006</v>
      </c>
      <c r="AI1596" s="625">
        <v>707.04406000000006</v>
      </c>
      <c r="AJ1596" s="625">
        <v>707.04406000000006</v>
      </c>
      <c r="AK1596" s="625">
        <v>707.04406000000006</v>
      </c>
      <c r="AL1596" s="625">
        <v>176.26943</v>
      </c>
      <c r="AM1596" s="625">
        <v>176.26943</v>
      </c>
      <c r="AN1596" s="625">
        <v>212.74139000000002</v>
      </c>
      <c r="AO1596" s="625">
        <v>212.74139000000002</v>
      </c>
      <c r="AP1596" s="41" t="str">
        <f t="shared" si="739"/>
        <v>Def TaxN</v>
      </c>
      <c r="AQ1596" s="41" t="str">
        <f t="shared" si="740"/>
        <v>Def TaxNN2Environmental</v>
      </c>
      <c r="AR1596" s="41" t="str">
        <f t="shared" si="741"/>
        <v>N2Environmental</v>
      </c>
    </row>
    <row r="1597" spans="1:44" s="41" customFormat="1" ht="12.75" customHeight="1">
      <c r="A1597" s="442" t="s">
        <v>1590</v>
      </c>
      <c r="B1597" s="442" t="str">
        <f t="shared" si="757"/>
        <v>Def Tax190016Ginna SaleBT010005</v>
      </c>
      <c r="C1597" s="736">
        <v>190016</v>
      </c>
      <c r="D1597" s="735" t="s">
        <v>1830</v>
      </c>
      <c r="E1597" s="626" t="s">
        <v>1831</v>
      </c>
      <c r="F1597" s="626" t="str">
        <f t="shared" si="748"/>
        <v>ACCUM DEFERRED INC TAXES-STATE-CURRENT-ELECTRIC</v>
      </c>
      <c r="G1597" s="626" t="s">
        <v>1865</v>
      </c>
      <c r="H1597" s="736" t="s">
        <v>1330</v>
      </c>
      <c r="I1597" s="442"/>
      <c r="J1597" s="442" t="str">
        <f t="shared" si="749"/>
        <v/>
      </c>
      <c r="K1597" s="442" t="str">
        <f t="shared" si="756"/>
        <v/>
      </c>
      <c r="L1597" s="736" t="s">
        <v>2421</v>
      </c>
      <c r="M1597" s="442" t="str">
        <f t="shared" si="760"/>
        <v>N</v>
      </c>
      <c r="N1597" s="442" t="str">
        <f>IF(L1597&lt;&gt;"",VLOOKUP(L1597,Categories!$B$2:$D$41,2,FALSE),IF(F1597&lt;&gt;"","No Cat",""))</f>
        <v>NRBASE</v>
      </c>
      <c r="O1597" s="442" t="str">
        <f>IF($L1597&lt;&gt;"",VLOOKUP($L1597,Categories!$B$2:$D$41,3,FALSE),IF($F1597&lt;&gt;"","No Cat",""))</f>
        <v>Direct Assign Items Not in RB</v>
      </c>
      <c r="P1597" s="736" t="s">
        <v>2468</v>
      </c>
      <c r="Q1597" s="442" t="str">
        <f>VLOOKUP($P1597,Allocators!$B$7:$F$19,5,FALSE)</f>
        <v>Not in Rate Base</v>
      </c>
      <c r="R1597" s="737">
        <f>VLOOKUP($P1597,Allocators!$B$7:$F$19,2,FALSE)</f>
        <v>0</v>
      </c>
      <c r="S1597" s="737">
        <f>VLOOKUP($P1597,Allocators!$B$7:$F$19,3,FALSE)</f>
        <v>0</v>
      </c>
      <c r="T1597" s="737">
        <f t="shared" si="759"/>
        <v>1</v>
      </c>
      <c r="U1597" s="2" t="str">
        <f t="shared" si="750"/>
        <v/>
      </c>
      <c r="V1597" s="2" t="str">
        <f t="shared" si="751"/>
        <v/>
      </c>
      <c r="W1597" s="2" t="str">
        <f t="shared" si="752"/>
        <v/>
      </c>
      <c r="X1597" s="2">
        <f t="shared" si="746"/>
        <v>0</v>
      </c>
      <c r="Y1597" s="2" t="str">
        <f t="shared" si="753"/>
        <v/>
      </c>
      <c r="Z1597" s="2" t="str">
        <f t="shared" si="754"/>
        <v/>
      </c>
      <c r="AA1597" s="2" t="str">
        <f t="shared" si="755"/>
        <v/>
      </c>
      <c r="AB1597" s="2">
        <f t="shared" si="747"/>
        <v>0</v>
      </c>
      <c r="AC1597" s="625">
        <v>0</v>
      </c>
      <c r="AD1597" s="625">
        <v>0</v>
      </c>
      <c r="AE1597" s="625">
        <v>0</v>
      </c>
      <c r="AF1597" s="625">
        <v>0</v>
      </c>
      <c r="AG1597" s="625">
        <v>0</v>
      </c>
      <c r="AH1597" s="625">
        <v>0</v>
      </c>
      <c r="AI1597" s="625">
        <v>0</v>
      </c>
      <c r="AJ1597" s="625">
        <v>0</v>
      </c>
      <c r="AK1597" s="625">
        <v>0</v>
      </c>
      <c r="AL1597" s="625">
        <v>0</v>
      </c>
      <c r="AM1597" s="625">
        <v>0</v>
      </c>
      <c r="AN1597" s="625">
        <v>0</v>
      </c>
      <c r="AO1597" s="625">
        <v>0</v>
      </c>
      <c r="AP1597" s="41" t="str">
        <f t="shared" si="739"/>
        <v>Def TaxN</v>
      </c>
      <c r="AQ1597" s="41" t="str">
        <f t="shared" si="740"/>
        <v>Def TaxNN2ASGA</v>
      </c>
      <c r="AR1597" s="41" t="str">
        <f t="shared" si="741"/>
        <v>N2ASGA</v>
      </c>
    </row>
    <row r="1598" spans="1:44" s="41" customFormat="1" ht="12.75" customHeight="1">
      <c r="A1598" s="442" t="s">
        <v>1590</v>
      </c>
      <c r="B1598" s="442" t="str">
        <f t="shared" si="757"/>
        <v>Def Tax190016DerivativeBT010057</v>
      </c>
      <c r="C1598" s="736">
        <v>190016</v>
      </c>
      <c r="D1598" s="735" t="s">
        <v>1833</v>
      </c>
      <c r="E1598" s="626" t="s">
        <v>1834</v>
      </c>
      <c r="F1598" s="626" t="str">
        <f t="shared" si="748"/>
        <v>ACCUM DEFERRED INC TAXES-STATE-CURRENT-ELECTRIC</v>
      </c>
      <c r="G1598" s="626" t="s">
        <v>1845</v>
      </c>
      <c r="H1598" s="736" t="s">
        <v>1594</v>
      </c>
      <c r="I1598" s="442"/>
      <c r="J1598" s="442" t="str">
        <f t="shared" si="749"/>
        <v/>
      </c>
      <c r="K1598" s="442" t="str">
        <f t="shared" si="756"/>
        <v/>
      </c>
      <c r="L1598" s="736" t="s">
        <v>2427</v>
      </c>
      <c r="M1598" s="442" t="str">
        <f t="shared" si="760"/>
        <v>N</v>
      </c>
      <c r="N1598" s="442" t="str">
        <f>IF(L1598&lt;&gt;"",VLOOKUP(L1598,Categories!$B$2:$D$41,2,FALSE),IF(F1598&lt;&gt;"","No Cat",""))</f>
        <v>NRBASE</v>
      </c>
      <c r="O1598" s="442" t="str">
        <f>IF($L1598&lt;&gt;"",VLOOKUP($L1598,Categories!$B$2:$D$41,3,FALSE),IF($F1598&lt;&gt;"","No Cat",""))</f>
        <v>Hedges &amp; OCI</v>
      </c>
      <c r="P1598" s="736" t="s">
        <v>2468</v>
      </c>
      <c r="Q1598" s="442" t="str">
        <f>VLOOKUP($P1598,Allocators!$B$7:$F$19,5,FALSE)</f>
        <v>Not in Rate Base</v>
      </c>
      <c r="R1598" s="737">
        <f>VLOOKUP($P1598,Allocators!$B$7:$F$19,2,FALSE)</f>
        <v>0</v>
      </c>
      <c r="S1598" s="737">
        <f>VLOOKUP($P1598,Allocators!$B$7:$F$19,3,FALSE)</f>
        <v>0</v>
      </c>
      <c r="T1598" s="737">
        <f t="shared" si="759"/>
        <v>1</v>
      </c>
      <c r="U1598" s="2">
        <f t="shared" si="750"/>
        <v>0</v>
      </c>
      <c r="V1598" s="2">
        <f t="shared" si="751"/>
        <v>0</v>
      </c>
      <c r="W1598" s="2">
        <f t="shared" si="752"/>
        <v>-189.79026833333299</v>
      </c>
      <c r="X1598" s="2">
        <f t="shared" si="746"/>
        <v>-189.79026833333299</v>
      </c>
      <c r="Y1598" s="2">
        <f t="shared" si="753"/>
        <v>0</v>
      </c>
      <c r="Z1598" s="2">
        <f t="shared" si="754"/>
        <v>0</v>
      </c>
      <c r="AA1598" s="2">
        <f t="shared" si="755"/>
        <v>337.02094</v>
      </c>
      <c r="AB1598" s="2">
        <f t="shared" si="747"/>
        <v>337.02094</v>
      </c>
      <c r="AC1598" s="625">
        <v>-20.998060000000002</v>
      </c>
      <c r="AD1598" s="625">
        <v>-123.65805999999999</v>
      </c>
      <c r="AE1598" s="625">
        <v>-254.03005999999999</v>
      </c>
      <c r="AF1598" s="625">
        <v>-226.93106</v>
      </c>
      <c r="AG1598" s="625">
        <v>-417.44405999999998</v>
      </c>
      <c r="AH1598" s="625">
        <v>-378.08605999999997</v>
      </c>
      <c r="AI1598" s="625">
        <v>-235.25906000000001</v>
      </c>
      <c r="AJ1598" s="625">
        <v>117.57894</v>
      </c>
      <c r="AK1598" s="625">
        <v>-71.952060000000003</v>
      </c>
      <c r="AL1598" s="625">
        <v>-261.75306</v>
      </c>
      <c r="AM1598" s="625">
        <v>-262.84105999999997</v>
      </c>
      <c r="AN1598" s="625">
        <v>-321.11905999999999</v>
      </c>
      <c r="AO1598" s="625">
        <v>337.02094</v>
      </c>
      <c r="AP1598" s="41" t="str">
        <f t="shared" si="739"/>
        <v>Def TaxN</v>
      </c>
      <c r="AQ1598" s="41" t="str">
        <f t="shared" si="740"/>
        <v>Def TaxNN5FAS 133 Related</v>
      </c>
      <c r="AR1598" s="41" t="str">
        <f t="shared" si="741"/>
        <v>N5FAS 133 Related</v>
      </c>
    </row>
    <row r="1599" spans="1:44" s="41" customFormat="1" ht="12.75" customHeight="1">
      <c r="A1599" s="25" t="s">
        <v>1590</v>
      </c>
      <c r="B1599" s="25" t="str">
        <f t="shared" si="757"/>
        <v>Def Tax190016FAS158OPEBBT010090</v>
      </c>
      <c r="C1599" s="736">
        <v>190016</v>
      </c>
      <c r="D1599" s="735" t="s">
        <v>1836</v>
      </c>
      <c r="E1599" s="41" t="s">
        <v>1728</v>
      </c>
      <c r="F1599" s="41" t="str">
        <f t="shared" si="748"/>
        <v>ACCUM DEFERRED INC TAXES-STATE-CURRENT-ELECTRIC</v>
      </c>
      <c r="G1599" s="41" t="s">
        <v>1837</v>
      </c>
      <c r="H1599" s="736" t="s">
        <v>927</v>
      </c>
      <c r="I1599" s="25"/>
      <c r="J1599" s="25" t="str">
        <f t="shared" si="749"/>
        <v/>
      </c>
      <c r="K1599" s="442" t="str">
        <f t="shared" si="756"/>
        <v/>
      </c>
      <c r="L1599" s="736" t="s">
        <v>2443</v>
      </c>
      <c r="M1599" s="25" t="str">
        <f t="shared" si="760"/>
        <v>R</v>
      </c>
      <c r="N1599" s="25" t="str">
        <f>IF(L1599&lt;&gt;"",VLOOKUP(L1599,Categories!$B$2:$D$41,2,FALSE),IF(F1599&lt;&gt;"","No Cat",""))</f>
        <v>Rate Base</v>
      </c>
      <c r="O1599" s="25" t="str">
        <f>IF($L1599&lt;&gt;"",VLOOKUP($L1599,Categories!$B$2:$D$41,3,FALSE),IF($F1599&lt;&gt;"","No Cat",""))</f>
        <v>Deferred Income Taxes</v>
      </c>
      <c r="P1599" s="736" t="s">
        <v>2482</v>
      </c>
      <c r="Q1599" s="25" t="str">
        <f>VLOOKUP($P1599,Allocators!$B$7:$F$19,5,FALSE)</f>
        <v>Electric</v>
      </c>
      <c r="R1599" s="737">
        <f>VLOOKUP($P1599,Allocators!$B$7:$F$19,2,FALSE)</f>
        <v>1</v>
      </c>
      <c r="S1599" s="737">
        <f>VLOOKUP($P1599,Allocators!$B$7:$F$19,3,FALSE)</f>
        <v>0</v>
      </c>
      <c r="T1599" s="737" t="str">
        <f t="shared" si="759"/>
        <v>0.0%</v>
      </c>
      <c r="U1599" s="2" t="str">
        <f t="shared" si="750"/>
        <v/>
      </c>
      <c r="V1599" s="2" t="str">
        <f t="shared" si="751"/>
        <v/>
      </c>
      <c r="W1599" s="2" t="str">
        <f t="shared" si="752"/>
        <v/>
      </c>
      <c r="X1599" s="2">
        <f t="shared" si="746"/>
        <v>0</v>
      </c>
      <c r="Y1599" s="2" t="str">
        <f t="shared" si="753"/>
        <v/>
      </c>
      <c r="Z1599" s="2" t="str">
        <f t="shared" si="754"/>
        <v/>
      </c>
      <c r="AA1599" s="2" t="str">
        <f t="shared" si="755"/>
        <v/>
      </c>
      <c r="AB1599" s="2">
        <f t="shared" si="747"/>
        <v>0</v>
      </c>
      <c r="AC1599" s="625">
        <v>0</v>
      </c>
      <c r="AD1599" s="625">
        <v>0</v>
      </c>
      <c r="AE1599" s="625">
        <v>0</v>
      </c>
      <c r="AF1599" s="625">
        <v>0</v>
      </c>
      <c r="AG1599" s="625">
        <v>0</v>
      </c>
      <c r="AH1599" s="625">
        <v>0</v>
      </c>
      <c r="AI1599" s="625">
        <v>0</v>
      </c>
      <c r="AJ1599" s="625">
        <v>0</v>
      </c>
      <c r="AK1599" s="625">
        <v>0</v>
      </c>
      <c r="AL1599" s="625">
        <v>0</v>
      </c>
      <c r="AM1599" s="625">
        <v>0</v>
      </c>
      <c r="AN1599" s="625">
        <v>0</v>
      </c>
      <c r="AO1599" s="625">
        <v>0</v>
      </c>
      <c r="AP1599" s="41" t="str">
        <f t="shared" si="739"/>
        <v>Def TaxR</v>
      </c>
      <c r="AQ1599" s="41" t="str">
        <f t="shared" si="740"/>
        <v>Def TaxRR11OPEB</v>
      </c>
      <c r="AR1599" s="41" t="str">
        <f t="shared" si="741"/>
        <v>R11OPEB</v>
      </c>
    </row>
    <row r="1600" spans="1:44" s="41" customFormat="1" ht="12.75" customHeight="1">
      <c r="A1600" s="25" t="s">
        <v>1590</v>
      </c>
      <c r="B1600" s="25" t="str">
        <f t="shared" si="757"/>
        <v>Def Tax190016FAS158FAS106FBT030562</v>
      </c>
      <c r="C1600" s="736">
        <v>190016</v>
      </c>
      <c r="D1600" s="735" t="s">
        <v>1838</v>
      </c>
      <c r="E1600" s="41" t="s">
        <v>1839</v>
      </c>
      <c r="F1600" s="41" t="str">
        <f t="shared" si="748"/>
        <v>ACCUM DEFERRED INC TAXES-STATE-CURRENT-ELECTRIC</v>
      </c>
      <c r="G1600" s="41" t="s">
        <v>1840</v>
      </c>
      <c r="H1600" s="736" t="s">
        <v>927</v>
      </c>
      <c r="I1600" s="25"/>
      <c r="J1600" s="25" t="str">
        <f t="shared" si="749"/>
        <v/>
      </c>
      <c r="K1600" s="442" t="str">
        <f t="shared" si="756"/>
        <v/>
      </c>
      <c r="L1600" s="736" t="s">
        <v>2443</v>
      </c>
      <c r="M1600" s="25" t="str">
        <f t="shared" si="760"/>
        <v>R</v>
      </c>
      <c r="N1600" s="25" t="str">
        <f>IF(L1600&lt;&gt;"",VLOOKUP(L1600,Categories!$B$2:$D$41,2,FALSE),IF(F1600&lt;&gt;"","No Cat",""))</f>
        <v>Rate Base</v>
      </c>
      <c r="O1600" s="25" t="str">
        <f>IF($L1600&lt;&gt;"",VLOOKUP($L1600,Categories!$B$2:$D$41,3,FALSE),IF($F1600&lt;&gt;"","No Cat",""))</f>
        <v>Deferred Income Taxes</v>
      </c>
      <c r="P1600" s="736" t="s">
        <v>2482</v>
      </c>
      <c r="Q1600" s="25" t="str">
        <f>VLOOKUP($P1600,Allocators!$B$7:$F$19,5,FALSE)</f>
        <v>Electric</v>
      </c>
      <c r="R1600" s="737">
        <f>VLOOKUP($P1600,Allocators!$B$7:$F$19,2,FALSE)</f>
        <v>1</v>
      </c>
      <c r="S1600" s="737">
        <f>VLOOKUP($P1600,Allocators!$B$7:$F$19,3,FALSE)</f>
        <v>0</v>
      </c>
      <c r="T1600" s="737" t="str">
        <f t="shared" si="759"/>
        <v>0.0%</v>
      </c>
      <c r="U1600" s="2" t="str">
        <f t="shared" si="750"/>
        <v/>
      </c>
      <c r="V1600" s="2" t="str">
        <f t="shared" si="751"/>
        <v/>
      </c>
      <c r="W1600" s="2" t="str">
        <f t="shared" si="752"/>
        <v/>
      </c>
      <c r="X1600" s="2">
        <f t="shared" si="746"/>
        <v>0</v>
      </c>
      <c r="Y1600" s="2" t="str">
        <f t="shared" si="753"/>
        <v/>
      </c>
      <c r="Z1600" s="2" t="str">
        <f t="shared" si="754"/>
        <v/>
      </c>
      <c r="AA1600" s="2" t="str">
        <f t="shared" si="755"/>
        <v/>
      </c>
      <c r="AB1600" s="2">
        <f t="shared" si="747"/>
        <v>0</v>
      </c>
      <c r="AC1600" s="625">
        <v>0</v>
      </c>
      <c r="AD1600" s="625">
        <v>0</v>
      </c>
      <c r="AE1600" s="625">
        <v>0</v>
      </c>
      <c r="AF1600" s="625">
        <v>0</v>
      </c>
      <c r="AG1600" s="625">
        <v>0</v>
      </c>
      <c r="AH1600" s="625">
        <v>0</v>
      </c>
      <c r="AI1600" s="625">
        <v>0</v>
      </c>
      <c r="AJ1600" s="625">
        <v>0</v>
      </c>
      <c r="AK1600" s="625">
        <v>0</v>
      </c>
      <c r="AL1600" s="625">
        <v>0</v>
      </c>
      <c r="AM1600" s="625">
        <v>0</v>
      </c>
      <c r="AN1600" s="625">
        <v>0</v>
      </c>
      <c r="AO1600" s="625">
        <v>0</v>
      </c>
      <c r="AP1600" s="41" t="str">
        <f t="shared" si="739"/>
        <v>Def TaxR</v>
      </c>
      <c r="AQ1600" s="41" t="str">
        <f t="shared" si="740"/>
        <v>Def TaxRR11OPEB</v>
      </c>
      <c r="AR1600" s="41" t="str">
        <f t="shared" si="741"/>
        <v>R11OPEB</v>
      </c>
    </row>
    <row r="1601" spans="1:44" s="41" customFormat="1" ht="12.75" customHeight="1">
      <c r="A1601" s="442" t="s">
        <v>1590</v>
      </c>
      <c r="B1601" s="442" t="str">
        <f t="shared" si="757"/>
        <v>Def Tax190016OCI</v>
      </c>
      <c r="C1601" s="736">
        <v>190016</v>
      </c>
      <c r="D1601" s="735" t="s">
        <v>1841</v>
      </c>
      <c r="E1601" s="626"/>
      <c r="F1601" s="626" t="str">
        <f t="shared" si="748"/>
        <v>ACCUM DEFERRED INC TAXES-STATE-CURRENT-ELECTRIC</v>
      </c>
      <c r="G1601" s="626" t="s">
        <v>1842</v>
      </c>
      <c r="H1601" s="736" t="s">
        <v>1594</v>
      </c>
      <c r="I1601" s="442"/>
      <c r="J1601" s="442" t="str">
        <f t="shared" si="749"/>
        <v/>
      </c>
      <c r="K1601" s="442" t="str">
        <f t="shared" si="756"/>
        <v/>
      </c>
      <c r="L1601" s="736" t="s">
        <v>2427</v>
      </c>
      <c r="M1601" s="442" t="str">
        <f t="shared" si="760"/>
        <v>N</v>
      </c>
      <c r="N1601" s="442" t="str">
        <f>IF(L1601&lt;&gt;"",VLOOKUP(L1601,Categories!$B$2:$D$41,2,FALSE),IF(F1601&lt;&gt;"","No Cat",""))</f>
        <v>NRBASE</v>
      </c>
      <c r="O1601" s="442" t="str">
        <f>IF($L1601&lt;&gt;"",VLOOKUP($L1601,Categories!$B$2:$D$41,3,FALSE),IF($F1601&lt;&gt;"","No Cat",""))</f>
        <v>Hedges &amp; OCI</v>
      </c>
      <c r="P1601" s="736" t="s">
        <v>2468</v>
      </c>
      <c r="Q1601" s="442" t="str">
        <f>VLOOKUP($P1601,Allocators!$B$7:$F$19,5,FALSE)</f>
        <v>Not in Rate Base</v>
      </c>
      <c r="R1601" s="737">
        <f>VLOOKUP($P1601,Allocators!$B$7:$F$19,2,FALSE)</f>
        <v>0</v>
      </c>
      <c r="S1601" s="737">
        <f>VLOOKUP($P1601,Allocators!$B$7:$F$19,3,FALSE)</f>
        <v>0</v>
      </c>
      <c r="T1601" s="737">
        <f t="shared" si="759"/>
        <v>1</v>
      </c>
      <c r="U1601" s="2" t="str">
        <f t="shared" si="750"/>
        <v/>
      </c>
      <c r="V1601" s="2" t="str">
        <f t="shared" si="751"/>
        <v/>
      </c>
      <c r="W1601" s="2" t="str">
        <f t="shared" si="752"/>
        <v/>
      </c>
      <c r="X1601" s="2">
        <f t="shared" si="746"/>
        <v>0</v>
      </c>
      <c r="Y1601" s="2" t="str">
        <f t="shared" si="753"/>
        <v/>
      </c>
      <c r="Z1601" s="2" t="str">
        <f t="shared" si="754"/>
        <v/>
      </c>
      <c r="AA1601" s="2" t="str">
        <f t="shared" si="755"/>
        <v/>
      </c>
      <c r="AB1601" s="2">
        <f t="shared" si="747"/>
        <v>0</v>
      </c>
      <c r="AC1601" s="625">
        <v>0</v>
      </c>
      <c r="AD1601" s="625">
        <v>0</v>
      </c>
      <c r="AE1601" s="625">
        <v>0</v>
      </c>
      <c r="AF1601" s="625">
        <v>0</v>
      </c>
      <c r="AG1601" s="625">
        <v>0</v>
      </c>
      <c r="AH1601" s="625">
        <v>0</v>
      </c>
      <c r="AI1601" s="625">
        <v>0</v>
      </c>
      <c r="AJ1601" s="625">
        <v>0</v>
      </c>
      <c r="AK1601" s="625">
        <v>0</v>
      </c>
      <c r="AL1601" s="625">
        <v>0</v>
      </c>
      <c r="AM1601" s="625">
        <v>0</v>
      </c>
      <c r="AN1601" s="625">
        <v>0</v>
      </c>
      <c r="AO1601" s="625">
        <v>0</v>
      </c>
      <c r="AP1601" s="41" t="str">
        <f t="shared" si="739"/>
        <v>Def TaxN</v>
      </c>
      <c r="AQ1601" s="41" t="str">
        <f t="shared" si="740"/>
        <v>Def TaxNN5FAS 133 Related</v>
      </c>
      <c r="AR1601" s="41" t="str">
        <f t="shared" si="741"/>
        <v>N5FAS 133 Related</v>
      </c>
    </row>
    <row r="1602" spans="1:44" s="41" customFormat="1" ht="12.75" customHeight="1">
      <c r="A1602" s="442" t="s">
        <v>1590</v>
      </c>
      <c r="B1602" s="442" t="str">
        <f t="shared" si="757"/>
        <v>Def Tax190016Other Curr/
RECLASSBC999998/
BDEFAULT</v>
      </c>
      <c r="C1602" s="736">
        <v>190016</v>
      </c>
      <c r="D1602" s="735" t="s">
        <v>1866</v>
      </c>
      <c r="E1602" s="626" t="s">
        <v>1844</v>
      </c>
      <c r="F1602" s="626" t="str">
        <f t="shared" si="748"/>
        <v>ACCUM DEFERRED INC TAXES-STATE-CURRENT-ELECTRIC</v>
      </c>
      <c r="G1602" s="626" t="s">
        <v>1851</v>
      </c>
      <c r="H1602" s="736" t="s">
        <v>1847</v>
      </c>
      <c r="I1602" s="442"/>
      <c r="J1602" s="442" t="str">
        <f t="shared" si="749"/>
        <v/>
      </c>
      <c r="K1602" s="442" t="str">
        <f t="shared" si="756"/>
        <v/>
      </c>
      <c r="L1602" s="736" t="s">
        <v>2421</v>
      </c>
      <c r="M1602" s="442" t="str">
        <f t="shared" si="760"/>
        <v>N</v>
      </c>
      <c r="N1602" s="442" t="str">
        <f>IF(L1602&lt;&gt;"",VLOOKUP(L1602,Categories!$B$2:$D$41,2,FALSE),IF(F1602&lt;&gt;"","No Cat",""))</f>
        <v>NRBASE</v>
      </c>
      <c r="O1602" s="442" t="str">
        <f>IF($L1602&lt;&gt;"",VLOOKUP($L1602,Categories!$B$2:$D$41,3,FALSE),IF($F1602&lt;&gt;"","No Cat",""))</f>
        <v>Direct Assign Items Not in RB</v>
      </c>
      <c r="P1602" s="736" t="s">
        <v>2468</v>
      </c>
      <c r="Q1602" s="442" t="str">
        <f>VLOOKUP($P1602,Allocators!$B$7:$F$19,5,FALSE)</f>
        <v>Not in Rate Base</v>
      </c>
      <c r="R1602" s="737">
        <f>VLOOKUP($P1602,Allocators!$B$7:$F$19,2,FALSE)</f>
        <v>0</v>
      </c>
      <c r="S1602" s="737">
        <f>VLOOKUP($P1602,Allocators!$B$7:$F$19,3,FALSE)</f>
        <v>0</v>
      </c>
      <c r="T1602" s="737">
        <f t="shared" si="759"/>
        <v>1</v>
      </c>
      <c r="U1602" s="2" t="str">
        <f t="shared" si="750"/>
        <v/>
      </c>
      <c r="V1602" s="2" t="str">
        <f t="shared" si="751"/>
        <v/>
      </c>
      <c r="W1602" s="2" t="str">
        <f t="shared" si="752"/>
        <v/>
      </c>
      <c r="X1602" s="2">
        <f t="shared" si="746"/>
        <v>0</v>
      </c>
      <c r="Y1602" s="2" t="str">
        <f t="shared" si="753"/>
        <v/>
      </c>
      <c r="Z1602" s="2" t="str">
        <f t="shared" si="754"/>
        <v/>
      </c>
      <c r="AA1602" s="2" t="str">
        <f t="shared" si="755"/>
        <v/>
      </c>
      <c r="AB1602" s="2">
        <f t="shared" si="747"/>
        <v>0</v>
      </c>
      <c r="AC1602" s="625">
        <v>0</v>
      </c>
      <c r="AD1602" s="625">
        <v>0</v>
      </c>
      <c r="AE1602" s="625">
        <v>0</v>
      </c>
      <c r="AF1602" s="625">
        <v>0</v>
      </c>
      <c r="AG1602" s="625">
        <v>0</v>
      </c>
      <c r="AH1602" s="625">
        <v>0</v>
      </c>
      <c r="AI1602" s="625">
        <v>0</v>
      </c>
      <c r="AJ1602" s="625">
        <v>0</v>
      </c>
      <c r="AK1602" s="625">
        <v>0</v>
      </c>
      <c r="AL1602" s="625">
        <v>0</v>
      </c>
      <c r="AM1602" s="625">
        <v>0</v>
      </c>
      <c r="AN1602" s="625">
        <v>0</v>
      </c>
      <c r="AO1602" s="625">
        <v>0</v>
      </c>
      <c r="AP1602" s="41" t="str">
        <f t="shared" si="739"/>
        <v>Def TaxN</v>
      </c>
      <c r="AQ1602" s="41" t="str">
        <f t="shared" si="740"/>
        <v>Def TaxNN2Reclass</v>
      </c>
      <c r="AR1602" s="41" t="str">
        <f t="shared" si="741"/>
        <v>N2Reclass</v>
      </c>
    </row>
    <row r="1603" spans="1:44" s="41" customFormat="1" ht="12.75" customHeight="1">
      <c r="A1603" s="25" t="s">
        <v>1590</v>
      </c>
      <c r="B1603" s="25" t="str">
        <f t="shared" si="757"/>
        <v>Def Tax190017190-008BT010241</v>
      </c>
      <c r="C1603" s="736">
        <v>190017</v>
      </c>
      <c r="D1603" s="735" t="s">
        <v>1812</v>
      </c>
      <c r="E1603" s="41" t="s">
        <v>1813</v>
      </c>
      <c r="F1603" s="41" t="str">
        <f t="shared" si="748"/>
        <v>ACCUM DEFERRED INC TAXES-STATE-CURRENT-GAS</v>
      </c>
      <c r="G1603" s="41" t="s">
        <v>1814</v>
      </c>
      <c r="H1603" s="736" t="s">
        <v>1815</v>
      </c>
      <c r="I1603" s="25"/>
      <c r="J1603" s="25" t="str">
        <f t="shared" si="749"/>
        <v/>
      </c>
      <c r="K1603" s="442" t="str">
        <f t="shared" si="756"/>
        <v/>
      </c>
      <c r="L1603" s="736" t="s">
        <v>2443</v>
      </c>
      <c r="M1603" s="25" t="str">
        <f t="shared" si="760"/>
        <v>R</v>
      </c>
      <c r="N1603" s="25" t="str">
        <f>IF(L1603&lt;&gt;"",VLOOKUP(L1603,Categories!$B$2:$D$41,2,FALSE),IF(F1603&lt;&gt;"","No Cat",""))</f>
        <v>Rate Base</v>
      </c>
      <c r="O1603" s="25" t="str">
        <f>IF($L1603&lt;&gt;"",VLOOKUP($L1603,Categories!$B$2:$D$41,3,FALSE),IF($F1603&lt;&gt;"","No Cat",""))</f>
        <v>Deferred Income Taxes</v>
      </c>
      <c r="P1603" s="736" t="s">
        <v>2483</v>
      </c>
      <c r="Q1603" s="25" t="str">
        <f>VLOOKUP($P1603,Allocators!$B$7:$F$19,5,FALSE)</f>
        <v>Gas</v>
      </c>
      <c r="R1603" s="737">
        <f>VLOOKUP($P1603,Allocators!$B$7:$F$19,2,FALSE)</f>
        <v>0</v>
      </c>
      <c r="S1603" s="737">
        <f>VLOOKUP($P1603,Allocators!$B$7:$F$19,3,FALSE)</f>
        <v>1</v>
      </c>
      <c r="T1603" s="737" t="str">
        <f t="shared" si="759"/>
        <v>0.0%</v>
      </c>
      <c r="U1603" s="2" t="str">
        <f t="shared" si="750"/>
        <v/>
      </c>
      <c r="V1603" s="2" t="str">
        <f t="shared" si="751"/>
        <v/>
      </c>
      <c r="W1603" s="2" t="str">
        <f t="shared" si="752"/>
        <v/>
      </c>
      <c r="X1603" s="2">
        <f t="shared" si="746"/>
        <v>0</v>
      </c>
      <c r="Y1603" s="2" t="str">
        <f t="shared" si="753"/>
        <v/>
      </c>
      <c r="Z1603" s="2" t="str">
        <f t="shared" si="754"/>
        <v/>
      </c>
      <c r="AA1603" s="2" t="str">
        <f t="shared" si="755"/>
        <v/>
      </c>
      <c r="AB1603" s="2">
        <f t="shared" si="747"/>
        <v>0</v>
      </c>
      <c r="AC1603" s="625">
        <v>0</v>
      </c>
      <c r="AD1603" s="625">
        <v>0</v>
      </c>
      <c r="AE1603" s="625">
        <v>0</v>
      </c>
      <c r="AF1603" s="625">
        <v>0</v>
      </c>
      <c r="AG1603" s="625">
        <v>0</v>
      </c>
      <c r="AH1603" s="625">
        <v>0</v>
      </c>
      <c r="AI1603" s="625">
        <v>0</v>
      </c>
      <c r="AJ1603" s="625">
        <v>0</v>
      </c>
      <c r="AK1603" s="625">
        <v>0</v>
      </c>
      <c r="AL1603" s="625">
        <v>0</v>
      </c>
      <c r="AM1603" s="625">
        <v>0</v>
      </c>
      <c r="AN1603" s="625">
        <v>0</v>
      </c>
      <c r="AO1603" s="625">
        <v>0</v>
      </c>
      <c r="AP1603" s="41" t="str">
        <f t="shared" si="739"/>
        <v>Def TaxR</v>
      </c>
      <c r="AQ1603" s="41" t="str">
        <f t="shared" si="740"/>
        <v>Def TaxRR11Vacation pay</v>
      </c>
      <c r="AR1603" s="41" t="str">
        <f t="shared" si="741"/>
        <v>R11Vacation pay</v>
      </c>
    </row>
    <row r="1604" spans="1:44" s="41" customFormat="1" ht="12.75" customHeight="1">
      <c r="A1604" s="25" t="s">
        <v>1590</v>
      </c>
      <c r="B1604" s="25" t="str">
        <f t="shared" si="757"/>
        <v>Def Tax190017190-047BT010104</v>
      </c>
      <c r="C1604" s="736">
        <v>190017</v>
      </c>
      <c r="D1604" s="735" t="s">
        <v>1816</v>
      </c>
      <c r="E1604" s="41" t="s">
        <v>1817</v>
      </c>
      <c r="F1604" s="41" t="str">
        <f t="shared" si="748"/>
        <v>ACCUM DEFERRED INC TAXES-STATE-CURRENT-GAS</v>
      </c>
      <c r="G1604" s="41" t="s">
        <v>1863</v>
      </c>
      <c r="H1604" s="736" t="s">
        <v>1819</v>
      </c>
      <c r="I1604" s="25"/>
      <c r="J1604" s="25" t="str">
        <f t="shared" si="749"/>
        <v/>
      </c>
      <c r="K1604" s="442" t="str">
        <f t="shared" si="756"/>
        <v/>
      </c>
      <c r="L1604" s="736" t="s">
        <v>2443</v>
      </c>
      <c r="M1604" s="25" t="str">
        <f t="shared" si="760"/>
        <v>R</v>
      </c>
      <c r="N1604" s="25" t="str">
        <f>IF(L1604&lt;&gt;"",VLOOKUP(L1604,Categories!$B$2:$D$41,2,FALSE),IF(F1604&lt;&gt;"","No Cat",""))</f>
        <v>Rate Base</v>
      </c>
      <c r="O1604" s="25" t="str">
        <f>IF($L1604&lt;&gt;"",VLOOKUP($L1604,Categories!$B$2:$D$41,3,FALSE),IF($F1604&lt;&gt;"","No Cat",""))</f>
        <v>Deferred Income Taxes</v>
      </c>
      <c r="P1604" s="736" t="s">
        <v>2483</v>
      </c>
      <c r="Q1604" s="25" t="str">
        <f>VLOOKUP($P1604,Allocators!$B$7:$F$19,5,FALSE)</f>
        <v>Gas</v>
      </c>
      <c r="R1604" s="737">
        <f>VLOOKUP($P1604,Allocators!$B$7:$F$19,2,FALSE)</f>
        <v>0</v>
      </c>
      <c r="S1604" s="737">
        <f>VLOOKUP($P1604,Allocators!$B$7:$F$19,3,FALSE)</f>
        <v>1</v>
      </c>
      <c r="T1604" s="737" t="str">
        <f t="shared" si="759"/>
        <v>0.0%</v>
      </c>
      <c r="U1604" s="2" t="str">
        <f t="shared" si="750"/>
        <v/>
      </c>
      <c r="V1604" s="2" t="str">
        <f t="shared" si="751"/>
        <v/>
      </c>
      <c r="W1604" s="2" t="str">
        <f t="shared" si="752"/>
        <v/>
      </c>
      <c r="X1604" s="2">
        <f t="shared" si="746"/>
        <v>0</v>
      </c>
      <c r="Y1604" s="2" t="str">
        <f t="shared" si="753"/>
        <v/>
      </c>
      <c r="Z1604" s="2" t="str">
        <f t="shared" si="754"/>
        <v/>
      </c>
      <c r="AA1604" s="2" t="str">
        <f t="shared" si="755"/>
        <v/>
      </c>
      <c r="AB1604" s="2">
        <f t="shared" si="747"/>
        <v>0</v>
      </c>
      <c r="AC1604" s="625">
        <v>0</v>
      </c>
      <c r="AD1604" s="625">
        <v>0</v>
      </c>
      <c r="AE1604" s="625">
        <v>0</v>
      </c>
      <c r="AF1604" s="625">
        <v>0</v>
      </c>
      <c r="AG1604" s="625">
        <v>0</v>
      </c>
      <c r="AH1604" s="625">
        <v>0</v>
      </c>
      <c r="AI1604" s="625">
        <v>0</v>
      </c>
      <c r="AJ1604" s="625">
        <v>0</v>
      </c>
      <c r="AK1604" s="625">
        <v>0</v>
      </c>
      <c r="AL1604" s="625">
        <v>0</v>
      </c>
      <c r="AM1604" s="625">
        <v>0</v>
      </c>
      <c r="AN1604" s="625">
        <v>0</v>
      </c>
      <c r="AO1604" s="625">
        <v>0</v>
      </c>
      <c r="AP1604" s="41" t="str">
        <f t="shared" si="739"/>
        <v>Def TaxR</v>
      </c>
      <c r="AQ1604" s="41" t="str">
        <f t="shared" si="740"/>
        <v>Def TaxRR11Performance Plus Plan</v>
      </c>
      <c r="AR1604" s="41" t="str">
        <f t="shared" si="741"/>
        <v>R11Performance Plus Plan</v>
      </c>
    </row>
    <row r="1605" spans="1:44" s="41" customFormat="1" ht="12.75" customHeight="1">
      <c r="A1605" s="25" t="s">
        <v>1590</v>
      </c>
      <c r="B1605" s="25" t="str">
        <f t="shared" si="757"/>
        <v>Def Tax190017190-054BTHUNGDT</v>
      </c>
      <c r="C1605" s="736">
        <v>190017</v>
      </c>
      <c r="D1605" s="735" t="s">
        <v>1791</v>
      </c>
      <c r="E1605" s="41" t="s">
        <v>1624</v>
      </c>
      <c r="F1605" s="41" t="str">
        <f t="shared" si="748"/>
        <v>ACCUM DEFERRED INC TAXES-STATE-CURRENT-GAS</v>
      </c>
      <c r="G1605" s="41" t="s">
        <v>1792</v>
      </c>
      <c r="H1605" s="736">
        <v>0</v>
      </c>
      <c r="I1605" s="25"/>
      <c r="J1605" s="25" t="str">
        <f t="shared" si="749"/>
        <v/>
      </c>
      <c r="K1605" s="442" t="str">
        <f t="shared" si="756"/>
        <v/>
      </c>
      <c r="L1605" s="736" t="s">
        <v>2443</v>
      </c>
      <c r="M1605" s="25" t="str">
        <f t="shared" si="760"/>
        <v>R</v>
      </c>
      <c r="N1605" s="25" t="str">
        <f>IF(L1605&lt;&gt;"",VLOOKUP(L1605,Categories!$B$2:$D$41,2,FALSE),IF(F1605&lt;&gt;"","No Cat",""))</f>
        <v>Rate Base</v>
      </c>
      <c r="O1605" s="25" t="str">
        <f>IF($L1605&lt;&gt;"",VLOOKUP($L1605,Categories!$B$2:$D$41,3,FALSE),IF($F1605&lt;&gt;"","No Cat",""))</f>
        <v>Deferred Income Taxes</v>
      </c>
      <c r="P1605" s="736" t="s">
        <v>2483</v>
      </c>
      <c r="Q1605" s="25" t="str">
        <f>VLOOKUP($P1605,Allocators!$B$7:$F$19,5,FALSE)</f>
        <v>Gas</v>
      </c>
      <c r="R1605" s="737">
        <f>VLOOKUP($P1605,Allocators!$B$7:$F$19,2,FALSE)</f>
        <v>0</v>
      </c>
      <c r="S1605" s="737">
        <f>VLOOKUP($P1605,Allocators!$B$7:$F$19,3,FALSE)</f>
        <v>1</v>
      </c>
      <c r="T1605" s="737" t="str">
        <f t="shared" si="759"/>
        <v>0.0%</v>
      </c>
      <c r="U1605" s="2" t="str">
        <f t="shared" si="750"/>
        <v/>
      </c>
      <c r="V1605" s="2" t="str">
        <f t="shared" si="751"/>
        <v/>
      </c>
      <c r="W1605" s="2" t="str">
        <f t="shared" si="752"/>
        <v/>
      </c>
      <c r="X1605" s="2">
        <f t="shared" si="746"/>
        <v>0</v>
      </c>
      <c r="Y1605" s="2" t="str">
        <f t="shared" si="753"/>
        <v/>
      </c>
      <c r="Z1605" s="2" t="str">
        <f t="shared" si="754"/>
        <v/>
      </c>
      <c r="AA1605" s="2" t="str">
        <f t="shared" si="755"/>
        <v/>
      </c>
      <c r="AB1605" s="2">
        <f t="shared" si="747"/>
        <v>0</v>
      </c>
      <c r="AC1605" s="625">
        <v>0</v>
      </c>
      <c r="AD1605" s="625">
        <v>0</v>
      </c>
      <c r="AE1605" s="625">
        <v>0</v>
      </c>
      <c r="AF1605" s="625">
        <v>0</v>
      </c>
      <c r="AG1605" s="625">
        <v>0</v>
      </c>
      <c r="AH1605" s="625">
        <v>0</v>
      </c>
      <c r="AI1605" s="625">
        <v>0</v>
      </c>
      <c r="AJ1605" s="625">
        <v>0</v>
      </c>
      <c r="AK1605" s="625">
        <v>0</v>
      </c>
      <c r="AL1605" s="625">
        <v>0</v>
      </c>
      <c r="AM1605" s="625">
        <v>0</v>
      </c>
      <c r="AN1605" s="625">
        <v>0</v>
      </c>
      <c r="AO1605" s="625">
        <v>0</v>
      </c>
      <c r="AP1605" s="41" t="str">
        <f t="shared" si="739"/>
        <v>Def TaxR</v>
      </c>
      <c r="AQ1605" s="41" t="str">
        <f t="shared" si="740"/>
        <v>Def TaxRR110</v>
      </c>
      <c r="AR1605" s="41" t="str">
        <f t="shared" si="741"/>
        <v>R110</v>
      </c>
    </row>
    <row r="1606" spans="1:44" s="41" customFormat="1" ht="12.75" customHeight="1">
      <c r="A1606" s="442" t="s">
        <v>1590</v>
      </c>
      <c r="B1606" s="442" t="str">
        <f t="shared" si="757"/>
        <v>Def Tax190017190-109BT010011</v>
      </c>
      <c r="C1606" s="736">
        <v>190017</v>
      </c>
      <c r="D1606" s="735" t="s">
        <v>1821</v>
      </c>
      <c r="E1606" s="626" t="s">
        <v>1822</v>
      </c>
      <c r="F1606" s="626" t="str">
        <f t="shared" si="748"/>
        <v>ACCUM DEFERRED INC TAXES-STATE-CURRENT-GAS</v>
      </c>
      <c r="G1606" s="626" t="s">
        <v>1823</v>
      </c>
      <c r="H1606" s="736" t="s">
        <v>1824</v>
      </c>
      <c r="I1606" s="442"/>
      <c r="J1606" s="442" t="str">
        <f t="shared" si="749"/>
        <v/>
      </c>
      <c r="K1606" s="442" t="str">
        <f t="shared" si="756"/>
        <v/>
      </c>
      <c r="L1606" s="736" t="s">
        <v>2443</v>
      </c>
      <c r="M1606" s="442" t="str">
        <f t="shared" si="760"/>
        <v>R</v>
      </c>
      <c r="N1606" s="442" t="str">
        <f>IF(L1606&lt;&gt;"",VLOOKUP(L1606,Categories!$B$2:$D$41,2,FALSE),IF(F1606&lt;&gt;"","No Cat",""))</f>
        <v>Rate Base</v>
      </c>
      <c r="O1606" s="442" t="str">
        <f>IF($L1606&lt;&gt;"",VLOOKUP($L1606,Categories!$B$2:$D$41,3,FALSE),IF($F1606&lt;&gt;"","No Cat",""))</f>
        <v>Deferred Income Taxes</v>
      </c>
      <c r="P1606" s="736" t="s">
        <v>2486</v>
      </c>
      <c r="Q1606" s="442" t="str">
        <f>VLOOKUP($P1606,Allocators!$B$7:$F$19,5,FALSE)</f>
        <v>Net Plant</v>
      </c>
      <c r="R1606" s="737">
        <f>VLOOKUP($P1606,Allocators!$B$7:$F$19,2,FALSE)</f>
        <v>0.74150000000000005</v>
      </c>
      <c r="S1606" s="737">
        <f>VLOOKUP($P1606,Allocators!$B$7:$F$19,3,FALSE)</f>
        <v>0.25850000000000001</v>
      </c>
      <c r="T1606" s="737" t="str">
        <f t="shared" si="759"/>
        <v>0.0%</v>
      </c>
      <c r="U1606" s="2">
        <f t="shared" si="750"/>
        <v>18.459338485</v>
      </c>
      <c r="V1606" s="2">
        <f t="shared" si="751"/>
        <v>6.435251515</v>
      </c>
      <c r="W1606" s="2">
        <f t="shared" si="752"/>
        <v>0</v>
      </c>
      <c r="X1606" s="2">
        <f t="shared" si="746"/>
        <v>24.894590000000001</v>
      </c>
      <c r="Y1606" s="2">
        <f t="shared" si="753"/>
        <v>18.459338485</v>
      </c>
      <c r="Z1606" s="2">
        <f t="shared" si="754"/>
        <v>6.435251515</v>
      </c>
      <c r="AA1606" s="2">
        <f t="shared" si="755"/>
        <v>0</v>
      </c>
      <c r="AB1606" s="2">
        <f t="shared" si="747"/>
        <v>24.894590000000001</v>
      </c>
      <c r="AC1606" s="625">
        <v>24.894590000000001</v>
      </c>
      <c r="AD1606" s="625">
        <v>24.894590000000001</v>
      </c>
      <c r="AE1606" s="625">
        <v>24.894590000000001</v>
      </c>
      <c r="AF1606" s="625">
        <v>24.894590000000001</v>
      </c>
      <c r="AG1606" s="625">
        <v>24.894590000000001</v>
      </c>
      <c r="AH1606" s="625">
        <v>24.894590000000001</v>
      </c>
      <c r="AI1606" s="625">
        <v>24.894590000000001</v>
      </c>
      <c r="AJ1606" s="625">
        <v>24.894590000000001</v>
      </c>
      <c r="AK1606" s="625">
        <v>24.894590000000001</v>
      </c>
      <c r="AL1606" s="625">
        <v>24.894590000000001</v>
      </c>
      <c r="AM1606" s="625">
        <v>24.894590000000001</v>
      </c>
      <c r="AN1606" s="625">
        <v>24.894590000000001</v>
      </c>
      <c r="AO1606" s="625">
        <v>24.894590000000001</v>
      </c>
      <c r="AP1606" s="41" t="str">
        <f t="shared" si="739"/>
        <v>Def TaxR</v>
      </c>
      <c r="AQ1606" s="41" t="str">
        <f t="shared" si="740"/>
        <v>Def TaxRR11Accident &amp; Sickness Reserve</v>
      </c>
      <c r="AR1606" s="41" t="str">
        <f t="shared" si="741"/>
        <v>R11Accident &amp; Sickness Reserve</v>
      </c>
    </row>
    <row r="1607" spans="1:44" s="41" customFormat="1" ht="12.75" customHeight="1">
      <c r="A1607" s="25" t="s">
        <v>1590</v>
      </c>
      <c r="B1607" s="25" t="str">
        <f t="shared" si="757"/>
        <v>Def Tax190017283-026BT010071</v>
      </c>
      <c r="C1607" s="736">
        <v>190017</v>
      </c>
      <c r="D1607" s="735" t="s">
        <v>1706</v>
      </c>
      <c r="E1607" s="41" t="s">
        <v>1707</v>
      </c>
      <c r="F1607" s="41" t="str">
        <f t="shared" si="748"/>
        <v>ACCUM DEFERRED INC TAXES-STATE-CURRENT-GAS</v>
      </c>
      <c r="G1607" s="41" t="s">
        <v>1825</v>
      </c>
      <c r="H1607" s="736" t="s">
        <v>1134</v>
      </c>
      <c r="I1607" s="25"/>
      <c r="J1607" s="25" t="str">
        <f t="shared" si="749"/>
        <v/>
      </c>
      <c r="K1607" s="442" t="str">
        <f t="shared" si="756"/>
        <v/>
      </c>
      <c r="L1607" s="736" t="s">
        <v>2421</v>
      </c>
      <c r="M1607" s="25" t="str">
        <f t="shared" si="760"/>
        <v>N</v>
      </c>
      <c r="N1607" s="25" t="str">
        <f>IF(L1607&lt;&gt;"",VLOOKUP(L1607,Categories!$B$2:$D$41,2,FALSE),IF(F1607&lt;&gt;"","No Cat",""))</f>
        <v>NRBASE</v>
      </c>
      <c r="O1607" s="25" t="str">
        <f>IF($L1607&lt;&gt;"",VLOOKUP($L1607,Categories!$B$2:$D$41,3,FALSE),IF($F1607&lt;&gt;"","No Cat",""))</f>
        <v>Direct Assign Items Not in RB</v>
      </c>
      <c r="P1607" s="736" t="s">
        <v>2468</v>
      </c>
      <c r="Q1607" s="25" t="str">
        <f>VLOOKUP($P1607,Allocators!$B$7:$F$19,5,FALSE)</f>
        <v>Not in Rate Base</v>
      </c>
      <c r="R1607" s="737">
        <f>VLOOKUP($P1607,Allocators!$B$7:$F$19,2,FALSE)</f>
        <v>0</v>
      </c>
      <c r="S1607" s="737">
        <f>VLOOKUP($P1607,Allocators!$B$7:$F$19,3,FALSE)</f>
        <v>0</v>
      </c>
      <c r="T1607" s="737">
        <f t="shared" si="759"/>
        <v>1</v>
      </c>
      <c r="U1607" s="2">
        <f t="shared" si="750"/>
        <v>0</v>
      </c>
      <c r="V1607" s="2">
        <f t="shared" si="751"/>
        <v>0</v>
      </c>
      <c r="W1607" s="2">
        <f t="shared" si="752"/>
        <v>400.52540125000002</v>
      </c>
      <c r="X1607" s="2">
        <f t="shared" si="746"/>
        <v>400.52540125000002</v>
      </c>
      <c r="Y1607" s="2">
        <f t="shared" si="753"/>
        <v>0</v>
      </c>
      <c r="Z1607" s="2">
        <f t="shared" si="754"/>
        <v>0</v>
      </c>
      <c r="AA1607" s="2">
        <f t="shared" si="755"/>
        <v>230.75300999999999</v>
      </c>
      <c r="AB1607" s="2">
        <f t="shared" si="747"/>
        <v>230.75301000000002</v>
      </c>
      <c r="AC1607" s="625">
        <v>462.06981999999999</v>
      </c>
      <c r="AD1607" s="625">
        <v>462.06981999999999</v>
      </c>
      <c r="AE1607" s="625">
        <v>462.06981999999999</v>
      </c>
      <c r="AF1607" s="625">
        <v>462.06981999999999</v>
      </c>
      <c r="AG1607" s="625">
        <v>472.86957000000001</v>
      </c>
      <c r="AH1607" s="625">
        <v>486.15333000000004</v>
      </c>
      <c r="AI1607" s="625">
        <v>486.15333000000004</v>
      </c>
      <c r="AJ1607" s="625">
        <v>486.15333000000004</v>
      </c>
      <c r="AK1607" s="625">
        <v>486.15333000000004</v>
      </c>
      <c r="AL1607" s="625">
        <v>212.72402</v>
      </c>
      <c r="AM1607" s="625">
        <v>212.72402</v>
      </c>
      <c r="AN1607" s="625">
        <v>230.75301000000002</v>
      </c>
      <c r="AO1607" s="625">
        <v>230.75301000000002</v>
      </c>
      <c r="AP1607" s="41" t="str">
        <f t="shared" si="739"/>
        <v>Def TaxN</v>
      </c>
      <c r="AQ1607" s="41" t="str">
        <f t="shared" si="740"/>
        <v>Def TaxNN2Environmental</v>
      </c>
      <c r="AR1607" s="41" t="str">
        <f t="shared" si="741"/>
        <v>N2Environmental</v>
      </c>
    </row>
    <row r="1608" spans="1:44" s="41" customFormat="1" ht="12.75" customHeight="1">
      <c r="A1608" s="25" t="s">
        <v>1590</v>
      </c>
      <c r="B1608" s="25" t="str">
        <f t="shared" si="757"/>
        <v>Def Tax190017283-020BT010016</v>
      </c>
      <c r="C1608" s="736">
        <v>190017</v>
      </c>
      <c r="D1608" s="735" t="s">
        <v>1826</v>
      </c>
      <c r="E1608" s="41" t="s">
        <v>1827</v>
      </c>
      <c r="F1608" s="41" t="str">
        <f t="shared" si="748"/>
        <v>ACCUM DEFERRED INC TAXES-STATE-CURRENT-GAS</v>
      </c>
      <c r="G1608" s="41" t="s">
        <v>1828</v>
      </c>
      <c r="H1608" s="736" t="s">
        <v>1829</v>
      </c>
      <c r="I1608" s="25"/>
      <c r="J1608" s="25" t="str">
        <f t="shared" si="749"/>
        <v/>
      </c>
      <c r="K1608" s="442" t="str">
        <f t="shared" si="756"/>
        <v/>
      </c>
      <c r="L1608" s="736" t="s">
        <v>2443</v>
      </c>
      <c r="M1608" s="25" t="str">
        <f t="shared" si="760"/>
        <v>R</v>
      </c>
      <c r="N1608" s="25" t="str">
        <f>IF(L1608&lt;&gt;"",VLOOKUP(L1608,Categories!$B$2:$D$41,2,FALSE),IF(F1608&lt;&gt;"","No Cat",""))</f>
        <v>Rate Base</v>
      </c>
      <c r="O1608" s="25" t="str">
        <f>IF($L1608&lt;&gt;"",VLOOKUP($L1608,Categories!$B$2:$D$41,3,FALSE),IF($F1608&lt;&gt;"","No Cat",""))</f>
        <v>Deferred Income Taxes</v>
      </c>
      <c r="P1608" s="736" t="s">
        <v>2483</v>
      </c>
      <c r="Q1608" s="25" t="str">
        <f>VLOOKUP($P1608,Allocators!$B$7:$F$19,5,FALSE)</f>
        <v>Gas</v>
      </c>
      <c r="R1608" s="737">
        <f>VLOOKUP($P1608,Allocators!$B$7:$F$19,2,FALSE)</f>
        <v>0</v>
      </c>
      <c r="S1608" s="737">
        <f>VLOOKUP($P1608,Allocators!$B$7:$F$19,3,FALSE)</f>
        <v>1</v>
      </c>
      <c r="T1608" s="737" t="str">
        <f t="shared" si="759"/>
        <v>0.0%</v>
      </c>
      <c r="U1608" s="2">
        <f t="shared" si="750"/>
        <v>0</v>
      </c>
      <c r="V1608" s="2">
        <f t="shared" si="751"/>
        <v>-121.93053</v>
      </c>
      <c r="W1608" s="2">
        <f t="shared" si="752"/>
        <v>0</v>
      </c>
      <c r="X1608" s="2">
        <f t="shared" si="746"/>
        <v>-121.93053</v>
      </c>
      <c r="Y1608" s="2">
        <f t="shared" si="753"/>
        <v>0</v>
      </c>
      <c r="Z1608" s="2">
        <f t="shared" si="754"/>
        <v>-276.51740999999998</v>
      </c>
      <c r="AA1608" s="2">
        <f t="shared" si="755"/>
        <v>0</v>
      </c>
      <c r="AB1608" s="2">
        <f t="shared" si="747"/>
        <v>-276.51740999999998</v>
      </c>
      <c r="AC1608" s="625">
        <v>-222.17685</v>
      </c>
      <c r="AD1608" s="625">
        <v>-186.57176999999999</v>
      </c>
      <c r="AE1608" s="625">
        <v>-145.13901000000001</v>
      </c>
      <c r="AF1608" s="625">
        <v>-121.67492999999999</v>
      </c>
      <c r="AG1608" s="625">
        <v>-71.960729999999998</v>
      </c>
      <c r="AH1608" s="625">
        <v>-69.072450000000003</v>
      </c>
      <c r="AI1608" s="625">
        <v>-74.005529999999993</v>
      </c>
      <c r="AJ1608" s="625">
        <v>-86.759969999999996</v>
      </c>
      <c r="AK1608" s="625">
        <v>-100.79241</v>
      </c>
      <c r="AL1608" s="625">
        <v>-119.04225</v>
      </c>
      <c r="AM1608" s="625">
        <v>-120.24357000000001</v>
      </c>
      <c r="AN1608" s="625">
        <v>-118.55661000000001</v>
      </c>
      <c r="AO1608" s="625">
        <v>-276.51740999999998</v>
      </c>
      <c r="AP1608" s="41" t="str">
        <f t="shared" ref="AP1608:AP1671" si="761">CONCATENATE(A1608,M1608)</f>
        <v>Def TaxR</v>
      </c>
      <c r="AQ1608" s="41" t="str">
        <f t="shared" ref="AQ1608:AQ1671" si="762">CONCATENATE(AP1608,L1608,H1608)</f>
        <v>Def TaxRR11Bad Debts</v>
      </c>
      <c r="AR1608" s="41" t="str">
        <f t="shared" ref="AR1608:AR1671" si="763">CONCATENATE(L1608,H1608,J1608)</f>
        <v>R11Bad Debts</v>
      </c>
    </row>
    <row r="1609" spans="1:44" s="41" customFormat="1" ht="12.75" customHeight="1">
      <c r="A1609" s="442" t="s">
        <v>1590</v>
      </c>
      <c r="B1609" s="442" t="str">
        <f t="shared" si="757"/>
        <v>Def Tax190017DerivativeBT010057</v>
      </c>
      <c r="C1609" s="736">
        <v>190017</v>
      </c>
      <c r="D1609" s="735" t="s">
        <v>1833</v>
      </c>
      <c r="E1609" s="626" t="s">
        <v>1834</v>
      </c>
      <c r="F1609" s="626" t="str">
        <f t="shared" si="748"/>
        <v>ACCUM DEFERRED INC TAXES-STATE-CURRENT-GAS</v>
      </c>
      <c r="G1609" s="626" t="s">
        <v>1845</v>
      </c>
      <c r="H1609" s="736" t="s">
        <v>1594</v>
      </c>
      <c r="I1609" s="442"/>
      <c r="J1609" s="442" t="str">
        <f t="shared" si="749"/>
        <v/>
      </c>
      <c r="K1609" s="442" t="str">
        <f t="shared" si="756"/>
        <v/>
      </c>
      <c r="L1609" s="736" t="s">
        <v>2427</v>
      </c>
      <c r="M1609" s="442" t="str">
        <f t="shared" si="760"/>
        <v>N</v>
      </c>
      <c r="N1609" s="442" t="str">
        <f>IF(L1609&lt;&gt;"",VLOOKUP(L1609,Categories!$B$2:$D$41,2,FALSE),IF(F1609&lt;&gt;"","No Cat",""))</f>
        <v>NRBASE</v>
      </c>
      <c r="O1609" s="442" t="str">
        <f>IF($L1609&lt;&gt;"",VLOOKUP($L1609,Categories!$B$2:$D$41,3,FALSE),IF($F1609&lt;&gt;"","No Cat",""))</f>
        <v>Hedges &amp; OCI</v>
      </c>
      <c r="P1609" s="736" t="s">
        <v>2468</v>
      </c>
      <c r="Q1609" s="442" t="str">
        <f>VLOOKUP($P1609,Allocators!$B$7:$F$19,5,FALSE)</f>
        <v>Not in Rate Base</v>
      </c>
      <c r="R1609" s="737">
        <f>VLOOKUP($P1609,Allocators!$B$7:$F$19,2,FALSE)</f>
        <v>0</v>
      </c>
      <c r="S1609" s="737">
        <f>VLOOKUP($P1609,Allocators!$B$7:$F$19,3,FALSE)</f>
        <v>0</v>
      </c>
      <c r="T1609" s="737">
        <f t="shared" si="759"/>
        <v>1</v>
      </c>
      <c r="U1609" s="2">
        <f t="shared" si="750"/>
        <v>0</v>
      </c>
      <c r="V1609" s="2">
        <f t="shared" si="751"/>
        <v>0</v>
      </c>
      <c r="W1609" s="2">
        <f t="shared" si="752"/>
        <v>-20.258085000000001</v>
      </c>
      <c r="X1609" s="2">
        <f t="shared" si="746"/>
        <v>-20.258085000000001</v>
      </c>
      <c r="Y1609" s="2">
        <f t="shared" si="753"/>
        <v>0</v>
      </c>
      <c r="Z1609" s="2">
        <f t="shared" si="754"/>
        <v>0</v>
      </c>
      <c r="AA1609" s="2">
        <f t="shared" si="755"/>
        <v>146.82629</v>
      </c>
      <c r="AB1609" s="2">
        <f t="shared" si="747"/>
        <v>146.82629</v>
      </c>
      <c r="AC1609" s="625">
        <v>-31.030709999999999</v>
      </c>
      <c r="AD1609" s="625">
        <v>-144.32470999999998</v>
      </c>
      <c r="AE1609" s="625">
        <v>-90.18571</v>
      </c>
      <c r="AF1609" s="625">
        <v>-49.040709999999997</v>
      </c>
      <c r="AG1609" s="625">
        <v>-105.54471000000001</v>
      </c>
      <c r="AH1609" s="625">
        <v>-50.797710000000002</v>
      </c>
      <c r="AI1609" s="625">
        <v>-39.755710000000001</v>
      </c>
      <c r="AJ1609" s="625">
        <v>43.620290000000004</v>
      </c>
      <c r="AK1609" s="625">
        <v>13.649290000000001</v>
      </c>
      <c r="AL1609" s="625">
        <v>16.037290000000002</v>
      </c>
      <c r="AM1609" s="625">
        <v>68.476289999999992</v>
      </c>
      <c r="AN1609" s="625">
        <v>36.871290000000002</v>
      </c>
      <c r="AO1609" s="625">
        <v>146.82629</v>
      </c>
      <c r="AP1609" s="41" t="str">
        <f t="shared" si="761"/>
        <v>Def TaxN</v>
      </c>
      <c r="AQ1609" s="41" t="str">
        <f t="shared" si="762"/>
        <v>Def TaxNN5FAS 133 Related</v>
      </c>
      <c r="AR1609" s="41" t="str">
        <f t="shared" si="763"/>
        <v>N5FAS 133 Related</v>
      </c>
    </row>
    <row r="1610" spans="1:44" s="41" customFormat="1" ht="12.75" customHeight="1">
      <c r="A1610" s="442" t="s">
        <v>1590</v>
      </c>
      <c r="B1610" s="442" t="str">
        <f t="shared" si="757"/>
        <v>Def Tax190017Other CurrBDEFAULT</v>
      </c>
      <c r="C1610" s="736">
        <v>190017</v>
      </c>
      <c r="D1610" s="735" t="s">
        <v>1843</v>
      </c>
      <c r="E1610" s="626" t="s">
        <v>1620</v>
      </c>
      <c r="F1610" s="626" t="str">
        <f t="shared" si="748"/>
        <v>ACCUM DEFERRED INC TAXES-STATE-CURRENT-GAS</v>
      </c>
      <c r="G1610" s="626" t="s">
        <v>1867</v>
      </c>
      <c r="H1610" s="736" t="s">
        <v>1594</v>
      </c>
      <c r="I1610" s="442"/>
      <c r="J1610" s="442" t="str">
        <f t="shared" si="749"/>
        <v/>
      </c>
      <c r="K1610" s="442" t="str">
        <f t="shared" si="756"/>
        <v/>
      </c>
      <c r="L1610" s="736" t="s">
        <v>2427</v>
      </c>
      <c r="M1610" s="442" t="str">
        <f t="shared" si="760"/>
        <v>N</v>
      </c>
      <c r="N1610" s="442" t="str">
        <f>IF(L1610&lt;&gt;"",VLOOKUP(L1610,Categories!$B$2:$D$41,2,FALSE),IF(F1610&lt;&gt;"","No Cat",""))</f>
        <v>NRBASE</v>
      </c>
      <c r="O1610" s="442" t="str">
        <f>IF($L1610&lt;&gt;"",VLOOKUP($L1610,Categories!$B$2:$D$41,3,FALSE),IF($F1610&lt;&gt;"","No Cat",""))</f>
        <v>Hedges &amp; OCI</v>
      </c>
      <c r="P1610" s="736" t="s">
        <v>2468</v>
      </c>
      <c r="Q1610" s="442" t="str">
        <f>VLOOKUP($P1610,Allocators!$B$7:$F$19,5,FALSE)</f>
        <v>Not in Rate Base</v>
      </c>
      <c r="R1610" s="737">
        <f>VLOOKUP($P1610,Allocators!$B$7:$F$19,2,FALSE)</f>
        <v>0</v>
      </c>
      <c r="S1610" s="737">
        <f>VLOOKUP($P1610,Allocators!$B$7:$F$19,3,FALSE)</f>
        <v>0</v>
      </c>
      <c r="T1610" s="737">
        <f t="shared" si="759"/>
        <v>1</v>
      </c>
      <c r="U1610" s="2" t="str">
        <f t="shared" si="750"/>
        <v/>
      </c>
      <c r="V1610" s="2" t="str">
        <f t="shared" si="751"/>
        <v/>
      </c>
      <c r="W1610" s="2" t="str">
        <f t="shared" si="752"/>
        <v/>
      </c>
      <c r="X1610" s="2">
        <f t="shared" si="746"/>
        <v>0</v>
      </c>
      <c r="Y1610" s="2" t="str">
        <f t="shared" si="753"/>
        <v/>
      </c>
      <c r="Z1610" s="2" t="str">
        <f t="shared" si="754"/>
        <v/>
      </c>
      <c r="AA1610" s="2" t="str">
        <f t="shared" si="755"/>
        <v/>
      </c>
      <c r="AB1610" s="2">
        <f t="shared" si="747"/>
        <v>0</v>
      </c>
      <c r="AC1610" s="625">
        <v>0</v>
      </c>
      <c r="AD1610" s="625">
        <v>0</v>
      </c>
      <c r="AE1610" s="625">
        <v>0</v>
      </c>
      <c r="AF1610" s="625">
        <v>0</v>
      </c>
      <c r="AG1610" s="625">
        <v>0</v>
      </c>
      <c r="AH1610" s="625">
        <v>0</v>
      </c>
      <c r="AI1610" s="625">
        <v>0</v>
      </c>
      <c r="AJ1610" s="625">
        <v>0</v>
      </c>
      <c r="AK1610" s="625">
        <v>0</v>
      </c>
      <c r="AL1610" s="625">
        <v>0</v>
      </c>
      <c r="AM1610" s="625">
        <v>0</v>
      </c>
      <c r="AN1610" s="625">
        <v>0</v>
      </c>
      <c r="AO1610" s="625">
        <v>0</v>
      </c>
      <c r="AP1610" s="41" t="str">
        <f t="shared" si="761"/>
        <v>Def TaxN</v>
      </c>
      <c r="AQ1610" s="41" t="str">
        <f t="shared" si="762"/>
        <v>Def TaxNN5FAS 133 Related</v>
      </c>
      <c r="AR1610" s="41" t="str">
        <f t="shared" si="763"/>
        <v>N5FAS 133 Related</v>
      </c>
    </row>
    <row r="1611" spans="1:44" s="41" customFormat="1" ht="12.75" customHeight="1">
      <c r="A1611" s="25" t="s">
        <v>1590</v>
      </c>
      <c r="B1611" s="25" t="str">
        <f t="shared" si="757"/>
        <v>Def Tax190017FAS158OPEBBT010090</v>
      </c>
      <c r="C1611" s="736">
        <v>190017</v>
      </c>
      <c r="D1611" s="735" t="s">
        <v>1836</v>
      </c>
      <c r="E1611" s="41" t="s">
        <v>1728</v>
      </c>
      <c r="F1611" s="41" t="str">
        <f t="shared" si="748"/>
        <v>ACCUM DEFERRED INC TAXES-STATE-CURRENT-GAS</v>
      </c>
      <c r="G1611" s="41" t="s">
        <v>1837</v>
      </c>
      <c r="H1611" s="736" t="s">
        <v>927</v>
      </c>
      <c r="I1611" s="25"/>
      <c r="J1611" s="25" t="str">
        <f t="shared" si="749"/>
        <v/>
      </c>
      <c r="K1611" s="442" t="str">
        <f t="shared" si="756"/>
        <v/>
      </c>
      <c r="L1611" s="736" t="s">
        <v>2443</v>
      </c>
      <c r="M1611" s="25" t="str">
        <f t="shared" si="760"/>
        <v>R</v>
      </c>
      <c r="N1611" s="25" t="str">
        <f>IF(L1611&lt;&gt;"",VLOOKUP(L1611,Categories!$B$2:$D$41,2,FALSE),IF(F1611&lt;&gt;"","No Cat",""))</f>
        <v>Rate Base</v>
      </c>
      <c r="O1611" s="25" t="str">
        <f>IF($L1611&lt;&gt;"",VLOOKUP($L1611,Categories!$B$2:$D$41,3,FALSE),IF($F1611&lt;&gt;"","No Cat",""))</f>
        <v>Deferred Income Taxes</v>
      </c>
      <c r="P1611" s="736" t="s">
        <v>2483</v>
      </c>
      <c r="Q1611" s="25" t="str">
        <f>VLOOKUP($P1611,Allocators!$B$7:$F$19,5,FALSE)</f>
        <v>Gas</v>
      </c>
      <c r="R1611" s="737">
        <f>VLOOKUP($P1611,Allocators!$B$7:$F$19,2,FALSE)</f>
        <v>0</v>
      </c>
      <c r="S1611" s="737">
        <f>VLOOKUP($P1611,Allocators!$B$7:$F$19,3,FALSE)</f>
        <v>1</v>
      </c>
      <c r="T1611" s="737" t="str">
        <f t="shared" si="759"/>
        <v>0.0%</v>
      </c>
      <c r="U1611" s="2" t="str">
        <f t="shared" si="750"/>
        <v/>
      </c>
      <c r="V1611" s="2" t="str">
        <f t="shared" si="751"/>
        <v/>
      </c>
      <c r="W1611" s="2" t="str">
        <f t="shared" si="752"/>
        <v/>
      </c>
      <c r="X1611" s="2">
        <f t="shared" si="746"/>
        <v>0</v>
      </c>
      <c r="Y1611" s="2" t="str">
        <f t="shared" si="753"/>
        <v/>
      </c>
      <c r="Z1611" s="2" t="str">
        <f t="shared" si="754"/>
        <v/>
      </c>
      <c r="AA1611" s="2" t="str">
        <f t="shared" si="755"/>
        <v/>
      </c>
      <c r="AB1611" s="2">
        <f t="shared" si="747"/>
        <v>0</v>
      </c>
      <c r="AC1611" s="625">
        <v>0</v>
      </c>
      <c r="AD1611" s="625">
        <v>0</v>
      </c>
      <c r="AE1611" s="625">
        <v>0</v>
      </c>
      <c r="AF1611" s="625">
        <v>0</v>
      </c>
      <c r="AG1611" s="625">
        <v>0</v>
      </c>
      <c r="AH1611" s="625">
        <v>0</v>
      </c>
      <c r="AI1611" s="625">
        <v>0</v>
      </c>
      <c r="AJ1611" s="625">
        <v>0</v>
      </c>
      <c r="AK1611" s="625">
        <v>0</v>
      </c>
      <c r="AL1611" s="625">
        <v>0</v>
      </c>
      <c r="AM1611" s="625">
        <v>0</v>
      </c>
      <c r="AN1611" s="625">
        <v>0</v>
      </c>
      <c r="AO1611" s="625">
        <v>0</v>
      </c>
      <c r="AP1611" s="41" t="str">
        <f t="shared" si="761"/>
        <v>Def TaxR</v>
      </c>
      <c r="AQ1611" s="41" t="str">
        <f t="shared" si="762"/>
        <v>Def TaxRR11OPEB</v>
      </c>
      <c r="AR1611" s="41" t="str">
        <f t="shared" si="763"/>
        <v>R11OPEB</v>
      </c>
    </row>
    <row r="1612" spans="1:44" s="41" customFormat="1" ht="12.75" customHeight="1">
      <c r="A1612" s="25" t="s">
        <v>1590</v>
      </c>
      <c r="B1612" s="25" t="str">
        <f t="shared" si="757"/>
        <v>Def Tax190017FAS158FAS106FBT030562</v>
      </c>
      <c r="C1612" s="736">
        <v>190017</v>
      </c>
      <c r="D1612" s="735" t="s">
        <v>1838</v>
      </c>
      <c r="E1612" s="41" t="s">
        <v>1839</v>
      </c>
      <c r="F1612" s="41" t="str">
        <f t="shared" si="748"/>
        <v>ACCUM DEFERRED INC TAXES-STATE-CURRENT-GAS</v>
      </c>
      <c r="G1612" s="41" t="s">
        <v>1840</v>
      </c>
      <c r="H1612" s="736" t="s">
        <v>927</v>
      </c>
      <c r="I1612" s="25"/>
      <c r="J1612" s="25" t="str">
        <f t="shared" si="749"/>
        <v/>
      </c>
      <c r="K1612" s="442" t="str">
        <f t="shared" si="756"/>
        <v/>
      </c>
      <c r="L1612" s="736" t="s">
        <v>2443</v>
      </c>
      <c r="M1612" s="25" t="str">
        <f t="shared" si="760"/>
        <v>R</v>
      </c>
      <c r="N1612" s="25" t="str">
        <f>IF(L1612&lt;&gt;"",VLOOKUP(L1612,Categories!$B$2:$D$41,2,FALSE),IF(F1612&lt;&gt;"","No Cat",""))</f>
        <v>Rate Base</v>
      </c>
      <c r="O1612" s="25" t="str">
        <f>IF($L1612&lt;&gt;"",VLOOKUP($L1612,Categories!$B$2:$D$41,3,FALSE),IF($F1612&lt;&gt;"","No Cat",""))</f>
        <v>Deferred Income Taxes</v>
      </c>
      <c r="P1612" s="736" t="s">
        <v>2483</v>
      </c>
      <c r="Q1612" s="25" t="str">
        <f>VLOOKUP($P1612,Allocators!$B$7:$F$19,5,FALSE)</f>
        <v>Gas</v>
      </c>
      <c r="R1612" s="737">
        <f>VLOOKUP($P1612,Allocators!$B$7:$F$19,2,FALSE)</f>
        <v>0</v>
      </c>
      <c r="S1612" s="737">
        <f>VLOOKUP($P1612,Allocators!$B$7:$F$19,3,FALSE)</f>
        <v>1</v>
      </c>
      <c r="T1612" s="737" t="str">
        <f t="shared" si="759"/>
        <v>0.0%</v>
      </c>
      <c r="U1612" s="2" t="str">
        <f t="shared" si="750"/>
        <v/>
      </c>
      <c r="V1612" s="2" t="str">
        <f t="shared" si="751"/>
        <v/>
      </c>
      <c r="W1612" s="2" t="str">
        <f t="shared" si="752"/>
        <v/>
      </c>
      <c r="X1612" s="2">
        <f t="shared" si="746"/>
        <v>0</v>
      </c>
      <c r="Y1612" s="2" t="str">
        <f t="shared" si="753"/>
        <v/>
      </c>
      <c r="Z1612" s="2" t="str">
        <f t="shared" si="754"/>
        <v/>
      </c>
      <c r="AA1612" s="2" t="str">
        <f t="shared" si="755"/>
        <v/>
      </c>
      <c r="AB1612" s="2">
        <f t="shared" si="747"/>
        <v>0</v>
      </c>
      <c r="AC1612" s="625">
        <v>0</v>
      </c>
      <c r="AD1612" s="625">
        <v>0</v>
      </c>
      <c r="AE1612" s="625">
        <v>0</v>
      </c>
      <c r="AF1612" s="625">
        <v>0</v>
      </c>
      <c r="AG1612" s="625">
        <v>0</v>
      </c>
      <c r="AH1612" s="625">
        <v>0</v>
      </c>
      <c r="AI1612" s="625">
        <v>0</v>
      </c>
      <c r="AJ1612" s="625">
        <v>0</v>
      </c>
      <c r="AK1612" s="625">
        <v>0</v>
      </c>
      <c r="AL1612" s="625">
        <v>0</v>
      </c>
      <c r="AM1612" s="625">
        <v>0</v>
      </c>
      <c r="AN1612" s="625">
        <v>0</v>
      </c>
      <c r="AO1612" s="625">
        <v>0</v>
      </c>
      <c r="AP1612" s="41" t="str">
        <f t="shared" si="761"/>
        <v>Def TaxR</v>
      </c>
      <c r="AQ1612" s="41" t="str">
        <f t="shared" si="762"/>
        <v>Def TaxRR11OPEB</v>
      </c>
      <c r="AR1612" s="41" t="str">
        <f t="shared" si="763"/>
        <v>R11OPEB</v>
      </c>
    </row>
    <row r="1613" spans="1:44" s="41" customFormat="1" ht="12.75" customHeight="1">
      <c r="A1613" s="442" t="s">
        <v>1590</v>
      </c>
      <c r="B1613" s="442" t="str">
        <f t="shared" si="757"/>
        <v>Def Tax190017OCI</v>
      </c>
      <c r="C1613" s="736">
        <v>190017</v>
      </c>
      <c r="D1613" s="735" t="s">
        <v>1841</v>
      </c>
      <c r="E1613" s="626"/>
      <c r="F1613" s="626" t="str">
        <f t="shared" si="748"/>
        <v>ACCUM DEFERRED INC TAXES-STATE-CURRENT-GAS</v>
      </c>
      <c r="G1613" s="626" t="s">
        <v>1842</v>
      </c>
      <c r="H1613" s="736" t="s">
        <v>1594</v>
      </c>
      <c r="I1613" s="442"/>
      <c r="J1613" s="442" t="str">
        <f t="shared" si="749"/>
        <v/>
      </c>
      <c r="K1613" s="442" t="str">
        <f t="shared" si="756"/>
        <v/>
      </c>
      <c r="L1613" s="736" t="s">
        <v>2427</v>
      </c>
      <c r="M1613" s="442" t="str">
        <f t="shared" si="760"/>
        <v>N</v>
      </c>
      <c r="N1613" s="442" t="str">
        <f>IF(L1613&lt;&gt;"",VLOOKUP(L1613,Categories!$B$2:$D$41,2,FALSE),IF(F1613&lt;&gt;"","No Cat",""))</f>
        <v>NRBASE</v>
      </c>
      <c r="O1613" s="442" t="str">
        <f>IF($L1613&lt;&gt;"",VLOOKUP($L1613,Categories!$B$2:$D$41,3,FALSE),IF($F1613&lt;&gt;"","No Cat",""))</f>
        <v>Hedges &amp; OCI</v>
      </c>
      <c r="P1613" s="736" t="s">
        <v>2468</v>
      </c>
      <c r="Q1613" s="442" t="str">
        <f>VLOOKUP($P1613,Allocators!$B$7:$F$19,5,FALSE)</f>
        <v>Not in Rate Base</v>
      </c>
      <c r="R1613" s="737">
        <f>VLOOKUP($P1613,Allocators!$B$7:$F$19,2,FALSE)</f>
        <v>0</v>
      </c>
      <c r="S1613" s="737">
        <f>VLOOKUP($P1613,Allocators!$B$7:$F$19,3,FALSE)</f>
        <v>0</v>
      </c>
      <c r="T1613" s="737">
        <f t="shared" si="759"/>
        <v>1</v>
      </c>
      <c r="U1613" s="2" t="str">
        <f t="shared" si="750"/>
        <v/>
      </c>
      <c r="V1613" s="2" t="str">
        <f t="shared" si="751"/>
        <v/>
      </c>
      <c r="W1613" s="2" t="str">
        <f t="shared" si="752"/>
        <v/>
      </c>
      <c r="X1613" s="2">
        <f t="shared" si="746"/>
        <v>0</v>
      </c>
      <c r="Y1613" s="2" t="str">
        <f t="shared" si="753"/>
        <v/>
      </c>
      <c r="Z1613" s="2" t="str">
        <f t="shared" si="754"/>
        <v/>
      </c>
      <c r="AA1613" s="2" t="str">
        <f t="shared" si="755"/>
        <v/>
      </c>
      <c r="AB1613" s="2">
        <f t="shared" si="747"/>
        <v>0</v>
      </c>
      <c r="AC1613" s="625">
        <v>0</v>
      </c>
      <c r="AD1613" s="625">
        <v>0</v>
      </c>
      <c r="AE1613" s="625">
        <v>0</v>
      </c>
      <c r="AF1613" s="625">
        <v>0</v>
      </c>
      <c r="AG1613" s="625">
        <v>0</v>
      </c>
      <c r="AH1613" s="625">
        <v>0</v>
      </c>
      <c r="AI1613" s="625">
        <v>0</v>
      </c>
      <c r="AJ1613" s="625">
        <v>0</v>
      </c>
      <c r="AK1613" s="625">
        <v>0</v>
      </c>
      <c r="AL1613" s="625">
        <v>0</v>
      </c>
      <c r="AM1613" s="625">
        <v>0</v>
      </c>
      <c r="AN1613" s="625">
        <v>0</v>
      </c>
      <c r="AO1613" s="625">
        <v>0</v>
      </c>
      <c r="AP1613" s="41" t="str">
        <f t="shared" si="761"/>
        <v>Def TaxN</v>
      </c>
      <c r="AQ1613" s="41" t="str">
        <f t="shared" si="762"/>
        <v>Def TaxNN5FAS 133 Related</v>
      </c>
      <c r="AR1613" s="41" t="str">
        <f t="shared" si="763"/>
        <v>N5FAS 133 Related</v>
      </c>
    </row>
    <row r="1614" spans="1:44" s="41" customFormat="1" ht="12.75" customHeight="1">
      <c r="A1614" s="442" t="s">
        <v>1590</v>
      </c>
      <c r="B1614" s="442" t="str">
        <f t="shared" si="757"/>
        <v>Def Tax190017RECLASS</v>
      </c>
      <c r="C1614" s="736">
        <v>190017</v>
      </c>
      <c r="D1614" s="735" t="s">
        <v>1850</v>
      </c>
      <c r="E1614" s="626"/>
      <c r="F1614" s="626" t="str">
        <f t="shared" si="748"/>
        <v>ACCUM DEFERRED INC TAXES-STATE-CURRENT-GAS</v>
      </c>
      <c r="G1614" s="626" t="s">
        <v>1846</v>
      </c>
      <c r="H1614" s="736" t="s">
        <v>1847</v>
      </c>
      <c r="I1614" s="442"/>
      <c r="J1614" s="442" t="str">
        <f t="shared" si="749"/>
        <v/>
      </c>
      <c r="K1614" s="442" t="str">
        <f t="shared" si="756"/>
        <v/>
      </c>
      <c r="L1614" s="736" t="s">
        <v>2421</v>
      </c>
      <c r="M1614" s="442" t="str">
        <f t="shared" si="760"/>
        <v>N</v>
      </c>
      <c r="N1614" s="442" t="str">
        <f>IF(L1614&lt;&gt;"",VLOOKUP(L1614,Categories!$B$2:$D$41,2,FALSE),IF(F1614&lt;&gt;"","No Cat",""))</f>
        <v>NRBASE</v>
      </c>
      <c r="O1614" s="442" t="str">
        <f>IF($L1614&lt;&gt;"",VLOOKUP($L1614,Categories!$B$2:$D$41,3,FALSE),IF($F1614&lt;&gt;"","No Cat",""))</f>
        <v>Direct Assign Items Not in RB</v>
      </c>
      <c r="P1614" s="736" t="s">
        <v>2468</v>
      </c>
      <c r="Q1614" s="442" t="str">
        <f>VLOOKUP($P1614,Allocators!$B$7:$F$19,5,FALSE)</f>
        <v>Not in Rate Base</v>
      </c>
      <c r="R1614" s="737">
        <f>VLOOKUP($P1614,Allocators!$B$7:$F$19,2,FALSE)</f>
        <v>0</v>
      </c>
      <c r="S1614" s="737">
        <f>VLOOKUP($P1614,Allocators!$B$7:$F$19,3,FALSE)</f>
        <v>0</v>
      </c>
      <c r="T1614" s="737">
        <f t="shared" si="759"/>
        <v>1</v>
      </c>
      <c r="U1614" s="2" t="str">
        <f t="shared" si="750"/>
        <v/>
      </c>
      <c r="V1614" s="2" t="str">
        <f t="shared" si="751"/>
        <v/>
      </c>
      <c r="W1614" s="2" t="str">
        <f t="shared" si="752"/>
        <v/>
      </c>
      <c r="X1614" s="2">
        <f t="shared" si="746"/>
        <v>0</v>
      </c>
      <c r="Y1614" s="2" t="str">
        <f t="shared" si="753"/>
        <v/>
      </c>
      <c r="Z1614" s="2" t="str">
        <f t="shared" si="754"/>
        <v/>
      </c>
      <c r="AA1614" s="2" t="str">
        <f t="shared" si="755"/>
        <v/>
      </c>
      <c r="AB1614" s="2">
        <f t="shared" si="747"/>
        <v>0</v>
      </c>
      <c r="AC1614" s="625">
        <v>0</v>
      </c>
      <c r="AD1614" s="625">
        <v>0</v>
      </c>
      <c r="AE1614" s="625">
        <v>0</v>
      </c>
      <c r="AF1614" s="625">
        <v>0</v>
      </c>
      <c r="AG1614" s="625">
        <v>0</v>
      </c>
      <c r="AH1614" s="625">
        <v>0</v>
      </c>
      <c r="AI1614" s="625">
        <v>0</v>
      </c>
      <c r="AJ1614" s="625">
        <v>0</v>
      </c>
      <c r="AK1614" s="625">
        <v>0</v>
      </c>
      <c r="AL1614" s="625">
        <v>0</v>
      </c>
      <c r="AM1614" s="625">
        <v>0</v>
      </c>
      <c r="AN1614" s="625">
        <v>0</v>
      </c>
      <c r="AO1614" s="625">
        <v>0</v>
      </c>
      <c r="AP1614" s="41" t="str">
        <f t="shared" si="761"/>
        <v>Def TaxN</v>
      </c>
      <c r="AQ1614" s="41" t="str">
        <f t="shared" si="762"/>
        <v>Def TaxNN2Reclass</v>
      </c>
      <c r="AR1614" s="41" t="str">
        <f t="shared" si="763"/>
        <v>N2Reclass</v>
      </c>
    </row>
    <row r="1615" spans="1:44" s="41" customFormat="1" ht="12.75" customHeight="1">
      <c r="A1615" s="442" t="s">
        <v>1590</v>
      </c>
      <c r="B1615" s="442" t="str">
        <f t="shared" si="757"/>
        <v>Def Tax190018DerivativeBT010057</v>
      </c>
      <c r="C1615" s="736">
        <v>190018</v>
      </c>
      <c r="D1615" s="735" t="s">
        <v>1833</v>
      </c>
      <c r="E1615" s="626" t="s">
        <v>1834</v>
      </c>
      <c r="F1615" s="626" t="str">
        <f t="shared" si="748"/>
        <v>RECLASS-INCOME TAXES-STATE-CURRENT-ELECTRIC</v>
      </c>
      <c r="G1615" s="626" t="s">
        <v>1845</v>
      </c>
      <c r="H1615" s="736" t="s">
        <v>1594</v>
      </c>
      <c r="I1615" s="442"/>
      <c r="J1615" s="442" t="str">
        <f t="shared" si="749"/>
        <v/>
      </c>
      <c r="K1615" s="442" t="str">
        <f t="shared" si="756"/>
        <v/>
      </c>
      <c r="L1615" s="736" t="s">
        <v>2427</v>
      </c>
      <c r="M1615" s="442" t="str">
        <f t="shared" si="760"/>
        <v>N</v>
      </c>
      <c r="N1615" s="442" t="str">
        <f>IF(L1615&lt;&gt;"",VLOOKUP(L1615,Categories!$B$2:$D$41,2,FALSE),IF(F1615&lt;&gt;"","No Cat",""))</f>
        <v>NRBASE</v>
      </c>
      <c r="O1615" s="442" t="str">
        <f>IF($L1615&lt;&gt;"",VLOOKUP($L1615,Categories!$B$2:$D$41,3,FALSE),IF($F1615&lt;&gt;"","No Cat",""))</f>
        <v>Hedges &amp; OCI</v>
      </c>
      <c r="P1615" s="736" t="s">
        <v>2468</v>
      </c>
      <c r="Q1615" s="442" t="str">
        <f>VLOOKUP($P1615,Allocators!$B$7:$F$19,5,FALSE)</f>
        <v>Not in Rate Base</v>
      </c>
      <c r="R1615" s="737">
        <f>VLOOKUP($P1615,Allocators!$B$7:$F$19,2,FALSE)</f>
        <v>0</v>
      </c>
      <c r="S1615" s="737">
        <f>VLOOKUP($P1615,Allocators!$B$7:$F$19,3,FALSE)</f>
        <v>0</v>
      </c>
      <c r="T1615" s="737">
        <f t="shared" si="759"/>
        <v>1</v>
      </c>
      <c r="U1615" s="2" t="str">
        <f t="shared" si="750"/>
        <v/>
      </c>
      <c r="V1615" s="2" t="str">
        <f t="shared" si="751"/>
        <v/>
      </c>
      <c r="W1615" s="2" t="str">
        <f t="shared" si="752"/>
        <v/>
      </c>
      <c r="X1615" s="2">
        <f t="shared" si="746"/>
        <v>0</v>
      </c>
      <c r="Y1615" s="2" t="str">
        <f t="shared" si="753"/>
        <v/>
      </c>
      <c r="Z1615" s="2" t="str">
        <f t="shared" si="754"/>
        <v/>
      </c>
      <c r="AA1615" s="2" t="str">
        <f t="shared" si="755"/>
        <v/>
      </c>
      <c r="AB1615" s="2">
        <f t="shared" si="747"/>
        <v>0</v>
      </c>
      <c r="AC1615" s="625">
        <v>0</v>
      </c>
      <c r="AD1615" s="625">
        <v>0</v>
      </c>
      <c r="AE1615" s="625">
        <v>0</v>
      </c>
      <c r="AF1615" s="625">
        <v>0</v>
      </c>
      <c r="AG1615" s="625">
        <v>0</v>
      </c>
      <c r="AH1615" s="625">
        <v>0</v>
      </c>
      <c r="AI1615" s="625">
        <v>0</v>
      </c>
      <c r="AJ1615" s="625">
        <v>0</v>
      </c>
      <c r="AK1615" s="625">
        <v>0</v>
      </c>
      <c r="AL1615" s="625">
        <v>0</v>
      </c>
      <c r="AM1615" s="625">
        <v>0</v>
      </c>
      <c r="AN1615" s="625">
        <v>0</v>
      </c>
      <c r="AO1615" s="625">
        <v>0</v>
      </c>
      <c r="AP1615" s="41" t="str">
        <f t="shared" si="761"/>
        <v>Def TaxN</v>
      </c>
      <c r="AQ1615" s="41" t="str">
        <f t="shared" si="762"/>
        <v>Def TaxNN5FAS 133 Related</v>
      </c>
      <c r="AR1615" s="41" t="str">
        <f t="shared" si="763"/>
        <v>N5FAS 133 Related</v>
      </c>
    </row>
    <row r="1616" spans="1:44" s="41" customFormat="1" ht="12.75" customHeight="1">
      <c r="A1616" s="442" t="s">
        <v>1590</v>
      </c>
      <c r="B1616" s="442" t="str">
        <f t="shared" si="757"/>
        <v>Def Tax190018Other CurrBC999998/
BDEFAULT</v>
      </c>
      <c r="C1616" s="736">
        <v>190018</v>
      </c>
      <c r="D1616" s="735" t="s">
        <v>1843</v>
      </c>
      <c r="E1616" s="626" t="s">
        <v>1844</v>
      </c>
      <c r="F1616" s="626" t="str">
        <f t="shared" si="748"/>
        <v>RECLASS-INCOME TAXES-STATE-CURRENT-ELECTRIC</v>
      </c>
      <c r="G1616" s="626" t="s">
        <v>1868</v>
      </c>
      <c r="H1616" s="736" t="s">
        <v>1594</v>
      </c>
      <c r="I1616" s="442"/>
      <c r="J1616" s="442" t="str">
        <f t="shared" si="749"/>
        <v/>
      </c>
      <c r="K1616" s="442" t="str">
        <f t="shared" si="756"/>
        <v/>
      </c>
      <c r="L1616" s="736" t="s">
        <v>2427</v>
      </c>
      <c r="M1616" s="442" t="str">
        <f t="shared" si="760"/>
        <v>N</v>
      </c>
      <c r="N1616" s="442" t="str">
        <f>IF(L1616&lt;&gt;"",VLOOKUP(L1616,Categories!$B$2:$D$41,2,FALSE),IF(F1616&lt;&gt;"","No Cat",""))</f>
        <v>NRBASE</v>
      </c>
      <c r="O1616" s="442" t="str">
        <f>IF($L1616&lt;&gt;"",VLOOKUP($L1616,Categories!$B$2:$D$41,3,FALSE),IF($F1616&lt;&gt;"","No Cat",""))</f>
        <v>Hedges &amp; OCI</v>
      </c>
      <c r="P1616" s="736" t="s">
        <v>2468</v>
      </c>
      <c r="Q1616" s="442" t="str">
        <f>VLOOKUP($P1616,Allocators!$B$7:$F$19,5,FALSE)</f>
        <v>Not in Rate Base</v>
      </c>
      <c r="R1616" s="737">
        <f>VLOOKUP($P1616,Allocators!$B$7:$F$19,2,FALSE)</f>
        <v>0</v>
      </c>
      <c r="S1616" s="737">
        <f>VLOOKUP($P1616,Allocators!$B$7:$F$19,3,FALSE)</f>
        <v>0</v>
      </c>
      <c r="T1616" s="737">
        <f t="shared" si="759"/>
        <v>1</v>
      </c>
      <c r="U1616" s="2" t="str">
        <f t="shared" si="750"/>
        <v/>
      </c>
      <c r="V1616" s="2" t="str">
        <f t="shared" si="751"/>
        <v/>
      </c>
      <c r="W1616" s="2" t="str">
        <f t="shared" si="752"/>
        <v/>
      </c>
      <c r="X1616" s="2">
        <f t="shared" ref="X1616:X1679" si="764">IF(ISERROR(ROUND((SUM(AC1616:AO1616)-((AC1616+AO1616))/2)/12,15)),"",ROUND((SUM(AC1616:AO1616)-((AC1616+AO1616))/2)/12,15))</f>
        <v>0</v>
      </c>
      <c r="Y1616" s="2" t="str">
        <f t="shared" si="753"/>
        <v/>
      </c>
      <c r="Z1616" s="2" t="str">
        <f t="shared" si="754"/>
        <v/>
      </c>
      <c r="AA1616" s="2" t="str">
        <f t="shared" si="755"/>
        <v/>
      </c>
      <c r="AB1616" s="2">
        <f t="shared" ref="AB1616:AB1679" si="765">IF(AO1616="",0,+AO1616)</f>
        <v>0</v>
      </c>
      <c r="AC1616" s="625">
        <v>0</v>
      </c>
      <c r="AD1616" s="625">
        <v>0</v>
      </c>
      <c r="AE1616" s="625">
        <v>0</v>
      </c>
      <c r="AF1616" s="625">
        <v>0</v>
      </c>
      <c r="AG1616" s="625">
        <v>0</v>
      </c>
      <c r="AH1616" s="625">
        <v>0</v>
      </c>
      <c r="AI1616" s="625">
        <v>0</v>
      </c>
      <c r="AJ1616" s="625">
        <v>0</v>
      </c>
      <c r="AK1616" s="625">
        <v>0</v>
      </c>
      <c r="AL1616" s="625">
        <v>0</v>
      </c>
      <c r="AM1616" s="625">
        <v>0</v>
      </c>
      <c r="AN1616" s="625">
        <v>0</v>
      </c>
      <c r="AO1616" s="625">
        <v>0</v>
      </c>
      <c r="AP1616" s="41" t="str">
        <f t="shared" si="761"/>
        <v>Def TaxN</v>
      </c>
      <c r="AQ1616" s="41" t="str">
        <f t="shared" si="762"/>
        <v>Def TaxNN5FAS 133 Related</v>
      </c>
      <c r="AR1616" s="41" t="str">
        <f t="shared" si="763"/>
        <v>N5FAS 133 Related</v>
      </c>
    </row>
    <row r="1617" spans="1:44" s="41" customFormat="1" ht="12.75" customHeight="1">
      <c r="A1617" s="442" t="s">
        <v>1590</v>
      </c>
      <c r="B1617" s="442" t="str">
        <f t="shared" si="757"/>
        <v>Def Tax190018RECLASS</v>
      </c>
      <c r="C1617" s="736">
        <v>190018</v>
      </c>
      <c r="D1617" s="735" t="s">
        <v>1850</v>
      </c>
      <c r="E1617" s="626"/>
      <c r="F1617" s="626" t="str">
        <f t="shared" si="748"/>
        <v>RECLASS-INCOME TAXES-STATE-CURRENT-ELECTRIC</v>
      </c>
      <c r="G1617" s="626" t="s">
        <v>1869</v>
      </c>
      <c r="H1617" s="736" t="s">
        <v>1847</v>
      </c>
      <c r="I1617" s="442"/>
      <c r="J1617" s="442" t="str">
        <f t="shared" si="749"/>
        <v/>
      </c>
      <c r="K1617" s="442" t="str">
        <f t="shared" si="756"/>
        <v/>
      </c>
      <c r="L1617" s="736" t="s">
        <v>2421</v>
      </c>
      <c r="M1617" s="442" t="str">
        <f t="shared" si="760"/>
        <v>N</v>
      </c>
      <c r="N1617" s="442" t="str">
        <f>IF(L1617&lt;&gt;"",VLOOKUP(L1617,Categories!$B$2:$D$41,2,FALSE),IF(F1617&lt;&gt;"","No Cat",""))</f>
        <v>NRBASE</v>
      </c>
      <c r="O1617" s="442" t="str">
        <f>IF($L1617&lt;&gt;"",VLOOKUP($L1617,Categories!$B$2:$D$41,3,FALSE),IF($F1617&lt;&gt;"","No Cat",""))</f>
        <v>Direct Assign Items Not in RB</v>
      </c>
      <c r="P1617" s="736" t="s">
        <v>2468</v>
      </c>
      <c r="Q1617" s="442" t="str">
        <f>VLOOKUP($P1617,Allocators!$B$7:$F$19,5,FALSE)</f>
        <v>Not in Rate Base</v>
      </c>
      <c r="R1617" s="737">
        <f>VLOOKUP($P1617,Allocators!$B$7:$F$19,2,FALSE)</f>
        <v>0</v>
      </c>
      <c r="S1617" s="737">
        <f>VLOOKUP($P1617,Allocators!$B$7:$F$19,3,FALSE)</f>
        <v>0</v>
      </c>
      <c r="T1617" s="737">
        <f t="shared" si="759"/>
        <v>1</v>
      </c>
      <c r="U1617" s="2" t="str">
        <f t="shared" si="750"/>
        <v/>
      </c>
      <c r="V1617" s="2" t="str">
        <f t="shared" si="751"/>
        <v/>
      </c>
      <c r="W1617" s="2" t="str">
        <f t="shared" si="752"/>
        <v/>
      </c>
      <c r="X1617" s="2">
        <f t="shared" si="764"/>
        <v>0</v>
      </c>
      <c r="Y1617" s="2" t="str">
        <f t="shared" si="753"/>
        <v/>
      </c>
      <c r="Z1617" s="2" t="str">
        <f t="shared" si="754"/>
        <v/>
      </c>
      <c r="AA1617" s="2" t="str">
        <f t="shared" si="755"/>
        <v/>
      </c>
      <c r="AB1617" s="2">
        <f t="shared" si="765"/>
        <v>0</v>
      </c>
      <c r="AC1617" s="625">
        <v>0</v>
      </c>
      <c r="AD1617" s="625">
        <v>0</v>
      </c>
      <c r="AE1617" s="625">
        <v>0</v>
      </c>
      <c r="AF1617" s="625">
        <v>0</v>
      </c>
      <c r="AG1617" s="625">
        <v>0</v>
      </c>
      <c r="AH1617" s="625">
        <v>0</v>
      </c>
      <c r="AI1617" s="625">
        <v>0</v>
      </c>
      <c r="AJ1617" s="625">
        <v>0</v>
      </c>
      <c r="AK1617" s="625">
        <v>0</v>
      </c>
      <c r="AL1617" s="625">
        <v>0</v>
      </c>
      <c r="AM1617" s="625">
        <v>0</v>
      </c>
      <c r="AN1617" s="625">
        <v>0</v>
      </c>
      <c r="AO1617" s="625">
        <v>0</v>
      </c>
      <c r="AP1617" s="41" t="str">
        <f t="shared" si="761"/>
        <v>Def TaxN</v>
      </c>
      <c r="AQ1617" s="41" t="str">
        <f t="shared" si="762"/>
        <v>Def TaxNN2Reclass</v>
      </c>
      <c r="AR1617" s="41" t="str">
        <f t="shared" si="763"/>
        <v>N2Reclass</v>
      </c>
    </row>
    <row r="1618" spans="1:44" s="41" customFormat="1" ht="12.75" customHeight="1">
      <c r="A1618" s="442" t="s">
        <v>1590</v>
      </c>
      <c r="B1618" s="442" t="str">
        <f t="shared" si="757"/>
        <v>Def Tax1900190BDEFAULT</v>
      </c>
      <c r="C1618" s="736">
        <v>190019</v>
      </c>
      <c r="D1618" s="735">
        <v>0</v>
      </c>
      <c r="E1618" s="626" t="s">
        <v>1620</v>
      </c>
      <c r="F1618" s="626" t="str">
        <f t="shared" si="748"/>
        <v>RECLASS-INCOME TAXES-STATE-CURRENT-GAS</v>
      </c>
      <c r="G1618" s="626" t="s">
        <v>1870</v>
      </c>
      <c r="H1618" s="736" t="s">
        <v>1594</v>
      </c>
      <c r="I1618" s="442"/>
      <c r="J1618" s="442" t="str">
        <f t="shared" si="749"/>
        <v/>
      </c>
      <c r="K1618" s="442" t="str">
        <f t="shared" si="756"/>
        <v/>
      </c>
      <c r="L1618" s="736" t="s">
        <v>2427</v>
      </c>
      <c r="M1618" s="442" t="str">
        <f t="shared" si="760"/>
        <v>N</v>
      </c>
      <c r="N1618" s="442" t="str">
        <f>IF(L1618&lt;&gt;"",VLOOKUP(L1618,Categories!$B$2:$D$41,2,FALSE),IF(F1618&lt;&gt;"","No Cat",""))</f>
        <v>NRBASE</v>
      </c>
      <c r="O1618" s="442" t="str">
        <f>IF($L1618&lt;&gt;"",VLOOKUP($L1618,Categories!$B$2:$D$41,3,FALSE),IF($F1618&lt;&gt;"","No Cat",""))</f>
        <v>Hedges &amp; OCI</v>
      </c>
      <c r="P1618" s="736" t="s">
        <v>2468</v>
      </c>
      <c r="Q1618" s="442" t="str">
        <f>VLOOKUP($P1618,Allocators!$B$7:$F$19,5,FALSE)</f>
        <v>Not in Rate Base</v>
      </c>
      <c r="R1618" s="737">
        <f>VLOOKUP($P1618,Allocators!$B$7:$F$19,2,FALSE)</f>
        <v>0</v>
      </c>
      <c r="S1618" s="737">
        <f>VLOOKUP($P1618,Allocators!$B$7:$F$19,3,FALSE)</f>
        <v>0</v>
      </c>
      <c r="T1618" s="737">
        <f t="shared" si="759"/>
        <v>1</v>
      </c>
      <c r="U1618" s="2" t="str">
        <f t="shared" si="750"/>
        <v/>
      </c>
      <c r="V1618" s="2" t="str">
        <f t="shared" si="751"/>
        <v/>
      </c>
      <c r="W1618" s="2" t="str">
        <f t="shared" si="752"/>
        <v/>
      </c>
      <c r="X1618" s="2">
        <f t="shared" si="764"/>
        <v>0</v>
      </c>
      <c r="Y1618" s="2" t="str">
        <f t="shared" si="753"/>
        <v/>
      </c>
      <c r="Z1618" s="2" t="str">
        <f t="shared" si="754"/>
        <v/>
      </c>
      <c r="AA1618" s="2" t="str">
        <f t="shared" si="755"/>
        <v/>
      </c>
      <c r="AB1618" s="2">
        <f t="shared" si="765"/>
        <v>0</v>
      </c>
      <c r="AC1618" s="625">
        <v>0</v>
      </c>
      <c r="AD1618" s="625">
        <v>0</v>
      </c>
      <c r="AE1618" s="625">
        <v>0</v>
      </c>
      <c r="AF1618" s="625">
        <v>0</v>
      </c>
      <c r="AG1618" s="625">
        <v>0</v>
      </c>
      <c r="AH1618" s="625">
        <v>0</v>
      </c>
      <c r="AI1618" s="625">
        <v>0</v>
      </c>
      <c r="AJ1618" s="625">
        <v>0</v>
      </c>
      <c r="AK1618" s="625">
        <v>0</v>
      </c>
      <c r="AL1618" s="625">
        <v>0</v>
      </c>
      <c r="AM1618" s="625">
        <v>0</v>
      </c>
      <c r="AN1618" s="625">
        <v>0</v>
      </c>
      <c r="AO1618" s="625">
        <v>0</v>
      </c>
      <c r="AP1618" s="41" t="str">
        <f t="shared" si="761"/>
        <v>Def TaxN</v>
      </c>
      <c r="AQ1618" s="41" t="str">
        <f t="shared" si="762"/>
        <v>Def TaxNN5FAS 133 Related</v>
      </c>
      <c r="AR1618" s="41" t="str">
        <f t="shared" si="763"/>
        <v>N5FAS 133 Related</v>
      </c>
    </row>
    <row r="1619" spans="1:44" s="41" customFormat="1" ht="12.75" customHeight="1">
      <c r="A1619" s="442" t="s">
        <v>1590</v>
      </c>
      <c r="B1619" s="442" t="str">
        <f t="shared" si="757"/>
        <v>Def Tax190019RECLASS</v>
      </c>
      <c r="C1619" s="736">
        <v>190019</v>
      </c>
      <c r="D1619" s="735" t="s">
        <v>1850</v>
      </c>
      <c r="E1619" s="626"/>
      <c r="F1619" s="626" t="str">
        <f t="shared" si="748"/>
        <v>RECLASS-INCOME TAXES-STATE-CURRENT-GAS</v>
      </c>
      <c r="G1619" s="626" t="s">
        <v>1869</v>
      </c>
      <c r="H1619" s="736" t="s">
        <v>1847</v>
      </c>
      <c r="I1619" s="442"/>
      <c r="J1619" s="442" t="str">
        <f t="shared" si="749"/>
        <v/>
      </c>
      <c r="K1619" s="442" t="str">
        <f t="shared" si="756"/>
        <v/>
      </c>
      <c r="L1619" s="736" t="s">
        <v>2421</v>
      </c>
      <c r="M1619" s="442" t="str">
        <f t="shared" si="760"/>
        <v>N</v>
      </c>
      <c r="N1619" s="442" t="str">
        <f>IF(L1619&lt;&gt;"",VLOOKUP(L1619,Categories!$B$2:$D$41,2,FALSE),IF(F1619&lt;&gt;"","No Cat",""))</f>
        <v>NRBASE</v>
      </c>
      <c r="O1619" s="442" t="str">
        <f>IF($L1619&lt;&gt;"",VLOOKUP($L1619,Categories!$B$2:$D$41,3,FALSE),IF($F1619&lt;&gt;"","No Cat",""))</f>
        <v>Direct Assign Items Not in RB</v>
      </c>
      <c r="P1619" s="736" t="s">
        <v>2468</v>
      </c>
      <c r="Q1619" s="442" t="str">
        <f>VLOOKUP($P1619,Allocators!$B$7:$F$19,5,FALSE)</f>
        <v>Not in Rate Base</v>
      </c>
      <c r="R1619" s="737">
        <f>VLOOKUP($P1619,Allocators!$B$7:$F$19,2,FALSE)</f>
        <v>0</v>
      </c>
      <c r="S1619" s="737">
        <f>VLOOKUP($P1619,Allocators!$B$7:$F$19,3,FALSE)</f>
        <v>0</v>
      </c>
      <c r="T1619" s="737">
        <f t="shared" si="759"/>
        <v>1</v>
      </c>
      <c r="U1619" s="2" t="str">
        <f t="shared" si="750"/>
        <v/>
      </c>
      <c r="V1619" s="2" t="str">
        <f t="shared" si="751"/>
        <v/>
      </c>
      <c r="W1619" s="2" t="str">
        <f t="shared" si="752"/>
        <v/>
      </c>
      <c r="X1619" s="2">
        <f t="shared" si="764"/>
        <v>0</v>
      </c>
      <c r="Y1619" s="2" t="str">
        <f t="shared" si="753"/>
        <v/>
      </c>
      <c r="Z1619" s="2" t="str">
        <f t="shared" si="754"/>
        <v/>
      </c>
      <c r="AA1619" s="2" t="str">
        <f t="shared" si="755"/>
        <v/>
      </c>
      <c r="AB1619" s="2">
        <f t="shared" si="765"/>
        <v>0</v>
      </c>
      <c r="AC1619" s="625">
        <v>0</v>
      </c>
      <c r="AD1619" s="625">
        <v>0</v>
      </c>
      <c r="AE1619" s="625">
        <v>0</v>
      </c>
      <c r="AF1619" s="625">
        <v>0</v>
      </c>
      <c r="AG1619" s="625">
        <v>0</v>
      </c>
      <c r="AH1619" s="625">
        <v>0</v>
      </c>
      <c r="AI1619" s="625">
        <v>0</v>
      </c>
      <c r="AJ1619" s="625">
        <v>0</v>
      </c>
      <c r="AK1619" s="625">
        <v>0</v>
      </c>
      <c r="AL1619" s="625">
        <v>0</v>
      </c>
      <c r="AM1619" s="625">
        <v>0</v>
      </c>
      <c r="AN1619" s="625">
        <v>0</v>
      </c>
      <c r="AO1619" s="625">
        <v>0</v>
      </c>
      <c r="AP1619" s="41" t="str">
        <f t="shared" si="761"/>
        <v>Def TaxN</v>
      </c>
      <c r="AQ1619" s="41" t="str">
        <f t="shared" si="762"/>
        <v>Def TaxNN2Reclass</v>
      </c>
      <c r="AR1619" s="41" t="str">
        <f t="shared" si="763"/>
        <v>N2Reclass</v>
      </c>
    </row>
    <row r="1620" spans="1:44" s="41" customFormat="1" ht="12.75" customHeight="1">
      <c r="A1620" s="442" t="s">
        <v>1590</v>
      </c>
      <c r="B1620" s="442" t="str">
        <f t="shared" si="757"/>
        <v>Def Tax190030BT010141</v>
      </c>
      <c r="C1620" s="736">
        <v>190030</v>
      </c>
      <c r="D1620" s="735"/>
      <c r="E1620" s="626" t="s">
        <v>1592</v>
      </c>
      <c r="F1620" s="626" t="str">
        <f t="shared" si="748"/>
        <v>ADIT - EEBEN - FEDERAL - OCI</v>
      </c>
      <c r="G1620" s="626" t="s">
        <v>1871</v>
      </c>
      <c r="H1620" s="736" t="s">
        <v>1594</v>
      </c>
      <c r="I1620" s="442"/>
      <c r="J1620" s="442" t="str">
        <f t="shared" si="749"/>
        <v/>
      </c>
      <c r="K1620" s="442" t="str">
        <f t="shared" si="756"/>
        <v/>
      </c>
      <c r="L1620" s="736" t="s">
        <v>2427</v>
      </c>
      <c r="M1620" s="442" t="str">
        <f t="shared" si="760"/>
        <v>N</v>
      </c>
      <c r="N1620" s="442" t="str">
        <f>IF(L1620&lt;&gt;"",VLOOKUP(L1620,Categories!$B$2:$D$41,2,FALSE),IF(F1620&lt;&gt;"","No Cat",""))</f>
        <v>NRBASE</v>
      </c>
      <c r="O1620" s="442" t="str">
        <f>IF($L1620&lt;&gt;"",VLOOKUP($L1620,Categories!$B$2:$D$41,3,FALSE),IF($F1620&lt;&gt;"","No Cat",""))</f>
        <v>Hedges &amp; OCI</v>
      </c>
      <c r="P1620" s="736" t="s">
        <v>2468</v>
      </c>
      <c r="Q1620" s="442" t="str">
        <f>VLOOKUP($P1620,Allocators!$B$7:$F$19,5,FALSE)</f>
        <v>Not in Rate Base</v>
      </c>
      <c r="R1620" s="737">
        <f>VLOOKUP($P1620,Allocators!$B$7:$F$19,2,FALSE)</f>
        <v>0</v>
      </c>
      <c r="S1620" s="737">
        <f>VLOOKUP($P1620,Allocators!$B$7:$F$19,3,FALSE)</f>
        <v>0</v>
      </c>
      <c r="T1620" s="737">
        <f t="shared" si="759"/>
        <v>1</v>
      </c>
      <c r="U1620" s="2">
        <f t="shared" si="750"/>
        <v>0</v>
      </c>
      <c r="V1620" s="2">
        <f t="shared" si="751"/>
        <v>0</v>
      </c>
      <c r="W1620" s="2">
        <f t="shared" si="752"/>
        <v>545.09972625</v>
      </c>
      <c r="X1620" s="2">
        <f t="shared" si="764"/>
        <v>545.09972625</v>
      </c>
      <c r="Y1620" s="2">
        <f t="shared" si="753"/>
        <v>0</v>
      </c>
      <c r="Z1620" s="2">
        <f t="shared" si="754"/>
        <v>0</v>
      </c>
      <c r="AA1620" s="2">
        <f t="shared" si="755"/>
        <v>1362.01352</v>
      </c>
      <c r="AB1620" s="2">
        <f t="shared" si="765"/>
        <v>1362.01352</v>
      </c>
      <c r="AC1620" s="625">
        <v>577.43436999999994</v>
      </c>
      <c r="AD1620" s="625">
        <v>565.61156999999992</v>
      </c>
      <c r="AE1620" s="625">
        <v>553.78876000000002</v>
      </c>
      <c r="AF1620" s="625">
        <v>541.96594999999991</v>
      </c>
      <c r="AG1620" s="625">
        <v>530.14314000000002</v>
      </c>
      <c r="AH1620" s="625">
        <v>518.32033000000001</v>
      </c>
      <c r="AI1620" s="625">
        <v>506.49752000000001</v>
      </c>
      <c r="AJ1620" s="625">
        <v>494.67471999999998</v>
      </c>
      <c r="AK1620" s="625">
        <v>482.85190999999998</v>
      </c>
      <c r="AL1620" s="625">
        <v>471.02909999999997</v>
      </c>
      <c r="AM1620" s="625">
        <v>459.20628999999997</v>
      </c>
      <c r="AN1620" s="625">
        <v>447.38347999999996</v>
      </c>
      <c r="AO1620" s="625">
        <v>1362.01352</v>
      </c>
      <c r="AP1620" s="41" t="str">
        <f t="shared" si="761"/>
        <v>Def TaxN</v>
      </c>
      <c r="AQ1620" s="41" t="str">
        <f t="shared" si="762"/>
        <v>Def TaxNN5FAS 133 Related</v>
      </c>
      <c r="AR1620" s="41" t="str">
        <f t="shared" si="763"/>
        <v>N5FAS 133 Related</v>
      </c>
    </row>
    <row r="1621" spans="1:44" s="41" customFormat="1" ht="12.75" customHeight="1">
      <c r="A1621" s="25" t="s">
        <v>1590</v>
      </c>
      <c r="B1621" s="25" t="str">
        <f t="shared" si="757"/>
        <v>Def Tax190031BT010070</v>
      </c>
      <c r="C1621" s="736">
        <v>190031</v>
      </c>
      <c r="D1621" s="735"/>
      <c r="E1621" s="41" t="s">
        <v>1675</v>
      </c>
      <c r="F1621" s="41" t="str">
        <f t="shared" ref="F1621:F1684" si="766">VLOOKUP(C1621,$C$7:$F$787,4,FALSE)</f>
        <v>ADIT - EEBEN - FEDERAL - ELECTRIC</v>
      </c>
      <c r="G1621" s="41" t="s">
        <v>1872</v>
      </c>
      <c r="H1621" s="736" t="s">
        <v>1677</v>
      </c>
      <c r="I1621" s="25"/>
      <c r="J1621" s="25" t="str">
        <f t="shared" si="749"/>
        <v/>
      </c>
      <c r="K1621" s="442" t="str">
        <f t="shared" si="756"/>
        <v/>
      </c>
      <c r="L1621" s="736" t="s">
        <v>2443</v>
      </c>
      <c r="M1621" s="25" t="str">
        <f t="shared" si="760"/>
        <v>R</v>
      </c>
      <c r="N1621" s="25" t="str">
        <f>IF(L1621&lt;&gt;"",VLOOKUP(L1621,Categories!$B$2:$D$41,2,FALSE),IF(F1621&lt;&gt;"","No Cat",""))</f>
        <v>Rate Base</v>
      </c>
      <c r="O1621" s="25" t="str">
        <f>IF($L1621&lt;&gt;"",VLOOKUP($L1621,Categories!$B$2:$D$41,3,FALSE),IF($F1621&lt;&gt;"","No Cat",""))</f>
        <v>Deferred Income Taxes</v>
      </c>
      <c r="P1621" s="736" t="s">
        <v>2482</v>
      </c>
      <c r="Q1621" s="25" t="str">
        <f>VLOOKUP($P1621,Allocators!$B$7:$F$19,5,FALSE)</f>
        <v>Electric</v>
      </c>
      <c r="R1621" s="737">
        <f>VLOOKUP($P1621,Allocators!$B$7:$F$19,2,FALSE)</f>
        <v>1</v>
      </c>
      <c r="S1621" s="737">
        <f>VLOOKUP($P1621,Allocators!$B$7:$F$19,3,FALSE)</f>
        <v>0</v>
      </c>
      <c r="T1621" s="737" t="str">
        <f t="shared" si="759"/>
        <v>0.0%</v>
      </c>
      <c r="U1621" s="2">
        <f t="shared" si="750"/>
        <v>459.94013000000001</v>
      </c>
      <c r="V1621" s="2">
        <f t="shared" si="751"/>
        <v>0</v>
      </c>
      <c r="W1621" s="2">
        <f t="shared" si="752"/>
        <v>0</v>
      </c>
      <c r="X1621" s="2">
        <f t="shared" si="764"/>
        <v>459.94013000000001</v>
      </c>
      <c r="Y1621" s="2">
        <f t="shared" si="753"/>
        <v>459.94013000000001</v>
      </c>
      <c r="Z1621" s="2">
        <f t="shared" si="754"/>
        <v>0</v>
      </c>
      <c r="AA1621" s="2">
        <f t="shared" si="755"/>
        <v>0</v>
      </c>
      <c r="AB1621" s="2">
        <f t="shared" si="765"/>
        <v>459.94013000000001</v>
      </c>
      <c r="AC1621" s="625">
        <v>459.94013000000001</v>
      </c>
      <c r="AD1621" s="625">
        <v>459.94013000000001</v>
      </c>
      <c r="AE1621" s="625">
        <v>459.94013000000001</v>
      </c>
      <c r="AF1621" s="625">
        <v>459.94013000000001</v>
      </c>
      <c r="AG1621" s="625">
        <v>459.94013000000001</v>
      </c>
      <c r="AH1621" s="625">
        <v>459.94013000000001</v>
      </c>
      <c r="AI1621" s="625">
        <v>459.94013000000001</v>
      </c>
      <c r="AJ1621" s="625">
        <v>459.94013000000001</v>
      </c>
      <c r="AK1621" s="625">
        <v>459.94013000000001</v>
      </c>
      <c r="AL1621" s="625">
        <v>459.94013000000001</v>
      </c>
      <c r="AM1621" s="625">
        <v>459.94013000000001</v>
      </c>
      <c r="AN1621" s="625">
        <v>459.94013000000001</v>
      </c>
      <c r="AO1621" s="625">
        <v>459.94013000000001</v>
      </c>
      <c r="AP1621" s="41" t="str">
        <f t="shared" si="761"/>
        <v>Def TaxR</v>
      </c>
      <c r="AQ1621" s="41" t="str">
        <f t="shared" si="762"/>
        <v>Def TaxRR11Personal Time</v>
      </c>
      <c r="AR1621" s="41" t="str">
        <f t="shared" si="763"/>
        <v>R11Personal Time</v>
      </c>
    </row>
    <row r="1622" spans="1:44" s="41" customFormat="1" ht="12.75" customHeight="1">
      <c r="A1622" s="442" t="s">
        <v>1590</v>
      </c>
      <c r="B1622" s="442" t="str">
        <f t="shared" si="757"/>
        <v>Def Tax190031BT010083</v>
      </c>
      <c r="C1622" s="736">
        <v>190031</v>
      </c>
      <c r="D1622" s="735"/>
      <c r="E1622" s="626" t="s">
        <v>1794</v>
      </c>
      <c r="F1622" s="626" t="str">
        <f t="shared" si="766"/>
        <v>ADIT - EEBEN - FEDERAL - ELECTRIC</v>
      </c>
      <c r="G1622" s="626" t="s">
        <v>1796</v>
      </c>
      <c r="H1622" s="736" t="s">
        <v>1796</v>
      </c>
      <c r="I1622" s="442"/>
      <c r="J1622" s="442" t="str">
        <f t="shared" ref="J1622:J1685" si="767">IF(L1622="N10","Y",IF(L1622="N8","Y",""))</f>
        <v/>
      </c>
      <c r="K1622" s="442" t="str">
        <f t="shared" si="756"/>
        <v/>
      </c>
      <c r="L1622" s="736" t="s">
        <v>2421</v>
      </c>
      <c r="M1622" s="442" t="str">
        <f t="shared" si="760"/>
        <v>N</v>
      </c>
      <c r="N1622" s="442" t="str">
        <f>IF(L1622&lt;&gt;"",VLOOKUP(L1622,Categories!$B$2:$D$41,2,FALSE),IF(F1622&lt;&gt;"","No Cat",""))</f>
        <v>NRBASE</v>
      </c>
      <c r="O1622" s="442" t="str">
        <f>IF($L1622&lt;&gt;"",VLOOKUP($L1622,Categories!$B$2:$D$41,3,FALSE),IF($F1622&lt;&gt;"","No Cat",""))</f>
        <v>Direct Assign Items Not in RB</v>
      </c>
      <c r="P1622" s="736" t="s">
        <v>2468</v>
      </c>
      <c r="Q1622" s="442" t="str">
        <f>VLOOKUP($P1622,Allocators!$B$7:$F$19,5,FALSE)</f>
        <v>Not in Rate Base</v>
      </c>
      <c r="R1622" s="737">
        <f>VLOOKUP($P1622,Allocators!$B$7:$F$19,2,FALSE)</f>
        <v>0</v>
      </c>
      <c r="S1622" s="737">
        <f>VLOOKUP($P1622,Allocators!$B$7:$F$19,3,FALSE)</f>
        <v>0</v>
      </c>
      <c r="T1622" s="737">
        <f t="shared" si="759"/>
        <v>1</v>
      </c>
      <c r="U1622" s="2">
        <f t="shared" si="750"/>
        <v>0</v>
      </c>
      <c r="V1622" s="2">
        <f t="shared" si="751"/>
        <v>0</v>
      </c>
      <c r="W1622" s="2">
        <f t="shared" si="752"/>
        <v>241.88941750000001</v>
      </c>
      <c r="X1622" s="2">
        <f t="shared" si="764"/>
        <v>241.88941750000001</v>
      </c>
      <c r="Y1622" s="2">
        <f t="shared" si="753"/>
        <v>0</v>
      </c>
      <c r="Z1622" s="2">
        <f t="shared" si="754"/>
        <v>0</v>
      </c>
      <c r="AA1622" s="2">
        <f t="shared" si="755"/>
        <v>127.17295</v>
      </c>
      <c r="AB1622" s="2">
        <f t="shared" si="765"/>
        <v>127.17295</v>
      </c>
      <c r="AC1622" s="625">
        <v>289.12560999999999</v>
      </c>
      <c r="AD1622" s="625">
        <v>289.12560999999999</v>
      </c>
      <c r="AE1622" s="625">
        <v>289.12560999999999</v>
      </c>
      <c r="AF1622" s="625">
        <v>289.12560999999999</v>
      </c>
      <c r="AG1622" s="625">
        <v>289.12560999999999</v>
      </c>
      <c r="AH1622" s="625">
        <v>289.12560999999999</v>
      </c>
      <c r="AI1622" s="625">
        <v>289.12560999999999</v>
      </c>
      <c r="AJ1622" s="625">
        <v>289.12560999999999</v>
      </c>
      <c r="AK1622" s="625">
        <v>289.12560999999999</v>
      </c>
      <c r="AL1622" s="625">
        <v>127.17295</v>
      </c>
      <c r="AM1622" s="625">
        <v>127.17295</v>
      </c>
      <c r="AN1622" s="625">
        <v>127.17295</v>
      </c>
      <c r="AO1622" s="625">
        <v>127.17295</v>
      </c>
      <c r="AP1622" s="41" t="str">
        <f t="shared" si="761"/>
        <v>Def TaxN</v>
      </c>
      <c r="AQ1622" s="41" t="str">
        <f t="shared" si="762"/>
        <v>Def TaxNN2Executive Incentive Plan</v>
      </c>
      <c r="AR1622" s="41" t="str">
        <f t="shared" si="763"/>
        <v>N2Executive Incentive Plan</v>
      </c>
    </row>
    <row r="1623" spans="1:44" s="41" customFormat="1" ht="12.75" customHeight="1">
      <c r="A1623" s="25" t="s">
        <v>1590</v>
      </c>
      <c r="B1623" s="25" t="str">
        <f t="shared" si="757"/>
        <v>Def Tax190031BT010088</v>
      </c>
      <c r="C1623" s="736">
        <v>190031</v>
      </c>
      <c r="D1623" s="735"/>
      <c r="E1623" s="41" t="s">
        <v>1651</v>
      </c>
      <c r="F1623" s="41" t="str">
        <f t="shared" si="766"/>
        <v>ADIT - EEBEN - FEDERAL - ELECTRIC</v>
      </c>
      <c r="G1623" s="41" t="s">
        <v>1652</v>
      </c>
      <c r="H1623" s="736" t="s">
        <v>1586</v>
      </c>
      <c r="I1623" s="25"/>
      <c r="J1623" s="25" t="str">
        <f t="shared" si="767"/>
        <v/>
      </c>
      <c r="K1623" s="442" t="str">
        <f t="shared" si="756"/>
        <v/>
      </c>
      <c r="L1623" s="736" t="s">
        <v>2443</v>
      </c>
      <c r="M1623" s="25" t="str">
        <f t="shared" si="760"/>
        <v>R</v>
      </c>
      <c r="N1623" s="25" t="str">
        <f>IF(L1623&lt;&gt;"",VLOOKUP(L1623,Categories!$B$2:$D$41,2,FALSE),IF(F1623&lt;&gt;"","No Cat",""))</f>
        <v>Rate Base</v>
      </c>
      <c r="O1623" s="25" t="str">
        <f>IF($L1623&lt;&gt;"",VLOOKUP($L1623,Categories!$B$2:$D$41,3,FALSE),IF($F1623&lt;&gt;"","No Cat",""))</f>
        <v>Deferred Income Taxes</v>
      </c>
      <c r="P1623" s="736" t="s">
        <v>2482</v>
      </c>
      <c r="Q1623" s="25" t="str">
        <f>VLOOKUP($P1623,Allocators!$B$7:$F$19,5,FALSE)</f>
        <v>Electric</v>
      </c>
      <c r="R1623" s="737">
        <f>VLOOKUP($P1623,Allocators!$B$7:$F$19,2,FALSE)</f>
        <v>1</v>
      </c>
      <c r="S1623" s="737">
        <f>VLOOKUP($P1623,Allocators!$B$7:$F$19,3,FALSE)</f>
        <v>0</v>
      </c>
      <c r="T1623" s="737" t="str">
        <f t="shared" si="759"/>
        <v>0.0%</v>
      </c>
      <c r="U1623" s="2">
        <f t="shared" ref="U1623:U1686" si="768">IF(ABS(X1623)=0,"",IF($R1623="NO ALLOC","NO ALLOC",ROUND($R1623*X1623,15)))</f>
        <v>2442.2716650000002</v>
      </c>
      <c r="V1623" s="2">
        <f t="shared" ref="V1623:V1686" si="769">IF(ABS(X1623)=0,"",IF($S1623="NO ALLOC","NO ALLOC",ROUND($S1623*X1623,15)))</f>
        <v>0</v>
      </c>
      <c r="W1623" s="2">
        <f t="shared" ref="W1623:W1686" si="770">IF(ABS(X1623)=0,"",IF($T1623="NO ALLOC","NO ALLOC",ROUND($T1623*X1623,15)))</f>
        <v>0</v>
      </c>
      <c r="X1623" s="2">
        <f t="shared" si="764"/>
        <v>2442.2716650000002</v>
      </c>
      <c r="Y1623" s="2">
        <f t="shared" ref="Y1623:Y1686" si="771">IF(ABS(AB1623)=0,"",IF($R1623="NO ALLOC","NO ALLOC",ROUND($R1623*AB1623,15)))</f>
        <v>2367.5821700000001</v>
      </c>
      <c r="Z1623" s="2">
        <f t="shared" ref="Z1623:Z1686" si="772">IF(ABS(AB1623)=0,"",IF($S1623="NO ALLOC","NO ALLOC",ROUND($S1623*AB1623,15)))</f>
        <v>0</v>
      </c>
      <c r="AA1623" s="2">
        <f t="shared" ref="AA1623:AA1686" si="773">IF(ABS(AB1623)=0,"",IF($T1623="NO ALLOC","NO ALLOC",ROUND($T1623*AB1623,15)))</f>
        <v>0</v>
      </c>
      <c r="AB1623" s="2">
        <f t="shared" si="765"/>
        <v>2367.5821700000001</v>
      </c>
      <c r="AC1623" s="625">
        <v>2438.6563099999998</v>
      </c>
      <c r="AD1623" s="625">
        <v>2440.06909</v>
      </c>
      <c r="AE1623" s="625">
        <v>2441.1873799999998</v>
      </c>
      <c r="AF1623" s="625">
        <v>2442.23018</v>
      </c>
      <c r="AG1623" s="625">
        <v>2443.4424800000002</v>
      </c>
      <c r="AH1623" s="625">
        <v>2444.6372999999999</v>
      </c>
      <c r="AI1623" s="625">
        <v>2445.8653199999999</v>
      </c>
      <c r="AJ1623" s="625">
        <v>2447.3931600000001</v>
      </c>
      <c r="AK1623" s="625">
        <v>2448.44121</v>
      </c>
      <c r="AL1623" s="625">
        <v>2449.2093100000002</v>
      </c>
      <c r="AM1623" s="625">
        <v>2450.7112200000001</v>
      </c>
      <c r="AN1623" s="625">
        <v>2450.9540899999997</v>
      </c>
      <c r="AO1623" s="625">
        <v>2367.5821700000001</v>
      </c>
      <c r="AP1623" s="41" t="str">
        <f t="shared" si="761"/>
        <v>Def TaxR</v>
      </c>
      <c r="AQ1623" s="41" t="str">
        <f t="shared" si="762"/>
        <v>Def TaxRR11FAS 112</v>
      </c>
      <c r="AR1623" s="41" t="str">
        <f t="shared" si="763"/>
        <v>R11FAS 112</v>
      </c>
    </row>
    <row r="1624" spans="1:44" s="41" customFormat="1" ht="12.75" customHeight="1">
      <c r="A1624" s="25" t="s">
        <v>1590</v>
      </c>
      <c r="B1624" s="25" t="str">
        <f t="shared" si="757"/>
        <v>Def Tax190031BT010089</v>
      </c>
      <c r="C1624" s="736">
        <v>190031</v>
      </c>
      <c r="D1624" s="735"/>
      <c r="E1624" s="41" t="s">
        <v>1679</v>
      </c>
      <c r="F1624" s="41" t="str">
        <f t="shared" si="766"/>
        <v>ADIT - EEBEN - FEDERAL - ELECTRIC</v>
      </c>
      <c r="G1624" s="41" t="s">
        <v>1873</v>
      </c>
      <c r="H1624" s="736" t="s">
        <v>927</v>
      </c>
      <c r="I1624" s="25"/>
      <c r="J1624" s="25" t="str">
        <f t="shared" si="767"/>
        <v/>
      </c>
      <c r="K1624" s="442" t="str">
        <f t="shared" si="756"/>
        <v/>
      </c>
      <c r="L1624" s="736" t="s">
        <v>2443</v>
      </c>
      <c r="M1624" s="25" t="str">
        <f t="shared" si="760"/>
        <v>R</v>
      </c>
      <c r="N1624" s="25" t="str">
        <f>IF(L1624&lt;&gt;"",VLOOKUP(L1624,Categories!$B$2:$D$41,2,FALSE),IF(F1624&lt;&gt;"","No Cat",""))</f>
        <v>Rate Base</v>
      </c>
      <c r="O1624" s="25" t="str">
        <f>IF($L1624&lt;&gt;"",VLOOKUP($L1624,Categories!$B$2:$D$41,3,FALSE),IF($F1624&lt;&gt;"","No Cat",""))</f>
        <v>Deferred Income Taxes</v>
      </c>
      <c r="P1624" s="736" t="s">
        <v>2482</v>
      </c>
      <c r="Q1624" s="25" t="str">
        <f>VLOOKUP($P1624,Allocators!$B$7:$F$19,5,FALSE)</f>
        <v>Electric</v>
      </c>
      <c r="R1624" s="737">
        <f>VLOOKUP($P1624,Allocators!$B$7:$F$19,2,FALSE)</f>
        <v>1</v>
      </c>
      <c r="S1624" s="737">
        <f>VLOOKUP($P1624,Allocators!$B$7:$F$19,3,FALSE)</f>
        <v>0</v>
      </c>
      <c r="T1624" s="737" t="str">
        <f t="shared" si="759"/>
        <v>0.0%</v>
      </c>
      <c r="U1624" s="2">
        <f t="shared" si="768"/>
        <v>18704.157455833301</v>
      </c>
      <c r="V1624" s="2">
        <f t="shared" si="769"/>
        <v>0</v>
      </c>
      <c r="W1624" s="2">
        <f t="shared" si="770"/>
        <v>0</v>
      </c>
      <c r="X1624" s="2">
        <f t="shared" si="764"/>
        <v>18704.157455833301</v>
      </c>
      <c r="Y1624" s="2">
        <f t="shared" si="771"/>
        <v>20656.504440000001</v>
      </c>
      <c r="Z1624" s="2">
        <f t="shared" si="772"/>
        <v>0</v>
      </c>
      <c r="AA1624" s="2">
        <f t="shared" si="773"/>
        <v>0</v>
      </c>
      <c r="AB1624" s="2">
        <f t="shared" si="765"/>
        <v>20656.504440000001</v>
      </c>
      <c r="AC1624" s="625">
        <v>18603.07648</v>
      </c>
      <c r="AD1624" s="625">
        <v>18582.20264</v>
      </c>
      <c r="AE1624" s="625">
        <v>18823.640809999997</v>
      </c>
      <c r="AF1624" s="625">
        <v>18778.832480000001</v>
      </c>
      <c r="AG1624" s="625">
        <v>18713.438959999999</v>
      </c>
      <c r="AH1624" s="625">
        <v>18667.480620000002</v>
      </c>
      <c r="AI1624" s="625">
        <v>18538.379820000002</v>
      </c>
      <c r="AJ1624" s="625">
        <v>18513.712769999998</v>
      </c>
      <c r="AK1624" s="625">
        <v>18485.45723</v>
      </c>
      <c r="AL1624" s="625">
        <v>18473.466960000002</v>
      </c>
      <c r="AM1624" s="625">
        <v>18468.70609</v>
      </c>
      <c r="AN1624" s="625">
        <v>18774.780629999997</v>
      </c>
      <c r="AO1624" s="625">
        <v>20656.504440000001</v>
      </c>
      <c r="AP1624" s="41" t="str">
        <f t="shared" si="761"/>
        <v>Def TaxR</v>
      </c>
      <c r="AQ1624" s="41" t="str">
        <f t="shared" si="762"/>
        <v>Def TaxRR11OPEB</v>
      </c>
      <c r="AR1624" s="41" t="str">
        <f t="shared" si="763"/>
        <v>R11OPEB</v>
      </c>
    </row>
    <row r="1625" spans="1:44" s="41" customFormat="1" ht="12.75" customHeight="1">
      <c r="A1625" s="25" t="s">
        <v>1590</v>
      </c>
      <c r="B1625" s="25" t="str">
        <f t="shared" si="757"/>
        <v>Def Tax190031BT010125</v>
      </c>
      <c r="C1625" s="736">
        <v>190031</v>
      </c>
      <c r="D1625" s="735"/>
      <c r="E1625" s="41" t="s">
        <v>1668</v>
      </c>
      <c r="F1625" s="41" t="str">
        <f t="shared" si="766"/>
        <v>ADIT - EEBEN - FEDERAL - ELECTRIC</v>
      </c>
      <c r="G1625" s="41" t="s">
        <v>1874</v>
      </c>
      <c r="H1625" s="736" t="s">
        <v>1118</v>
      </c>
      <c r="I1625" s="25"/>
      <c r="J1625" s="25" t="str">
        <f t="shared" si="767"/>
        <v/>
      </c>
      <c r="K1625" s="442" t="str">
        <f t="shared" si="756"/>
        <v/>
      </c>
      <c r="L1625" s="736" t="s">
        <v>2443</v>
      </c>
      <c r="M1625" s="25" t="str">
        <f t="shared" si="760"/>
        <v>R</v>
      </c>
      <c r="N1625" s="25" t="str">
        <f>IF(L1625&lt;&gt;"",VLOOKUP(L1625,Categories!$B$2:$D$41,2,FALSE),IF(F1625&lt;&gt;"","No Cat",""))</f>
        <v>Rate Base</v>
      </c>
      <c r="O1625" s="25" t="str">
        <f>IF($L1625&lt;&gt;"",VLOOKUP($L1625,Categories!$B$2:$D$41,3,FALSE),IF($F1625&lt;&gt;"","No Cat",""))</f>
        <v>Deferred Income Taxes</v>
      </c>
      <c r="P1625" s="736" t="s">
        <v>2482</v>
      </c>
      <c r="Q1625" s="25" t="str">
        <f>VLOOKUP($P1625,Allocators!$B$7:$F$19,5,FALSE)</f>
        <v>Electric</v>
      </c>
      <c r="R1625" s="737">
        <f>VLOOKUP($P1625,Allocators!$B$7:$F$19,2,FALSE)</f>
        <v>1</v>
      </c>
      <c r="S1625" s="737">
        <f>VLOOKUP($P1625,Allocators!$B$7:$F$19,3,FALSE)</f>
        <v>0</v>
      </c>
      <c r="T1625" s="737" t="str">
        <f t="shared" si="759"/>
        <v>0.0%</v>
      </c>
      <c r="U1625" s="2">
        <f t="shared" si="768"/>
        <v>-71.448319999999995</v>
      </c>
      <c r="V1625" s="2">
        <f t="shared" si="769"/>
        <v>0</v>
      </c>
      <c r="W1625" s="2">
        <f t="shared" si="770"/>
        <v>0</v>
      </c>
      <c r="X1625" s="2">
        <f t="shared" si="764"/>
        <v>-71.448319999999995</v>
      </c>
      <c r="Y1625" s="2">
        <f t="shared" si="771"/>
        <v>-71.448319999999995</v>
      </c>
      <c r="Z1625" s="2">
        <f t="shared" si="772"/>
        <v>0</v>
      </c>
      <c r="AA1625" s="2">
        <f t="shared" si="773"/>
        <v>0</v>
      </c>
      <c r="AB1625" s="2">
        <f t="shared" si="765"/>
        <v>-71.44832000000001</v>
      </c>
      <c r="AC1625" s="625">
        <v>-71.44832000000001</v>
      </c>
      <c r="AD1625" s="625">
        <v>-71.44832000000001</v>
      </c>
      <c r="AE1625" s="625">
        <v>-71.44832000000001</v>
      </c>
      <c r="AF1625" s="625">
        <v>-71.44832000000001</v>
      </c>
      <c r="AG1625" s="625">
        <v>-71.44832000000001</v>
      </c>
      <c r="AH1625" s="625">
        <v>-71.44832000000001</v>
      </c>
      <c r="AI1625" s="625">
        <v>-71.44832000000001</v>
      </c>
      <c r="AJ1625" s="625">
        <v>-71.44832000000001</v>
      </c>
      <c r="AK1625" s="625">
        <v>-71.44832000000001</v>
      </c>
      <c r="AL1625" s="625">
        <v>-71.44832000000001</v>
      </c>
      <c r="AM1625" s="625">
        <v>-71.44832000000001</v>
      </c>
      <c r="AN1625" s="625">
        <v>-71.44832000000001</v>
      </c>
      <c r="AO1625" s="625">
        <v>-71.44832000000001</v>
      </c>
      <c r="AP1625" s="41" t="str">
        <f t="shared" si="761"/>
        <v>Def TaxR</v>
      </c>
      <c r="AQ1625" s="41" t="str">
        <f t="shared" si="762"/>
        <v>Def TaxRR11Medicare Part D</v>
      </c>
      <c r="AR1625" s="41" t="str">
        <f t="shared" si="763"/>
        <v>R11Medicare Part D</v>
      </c>
    </row>
    <row r="1626" spans="1:44" s="41" customFormat="1" ht="12.75" customHeight="1">
      <c r="A1626" s="25" t="s">
        <v>1590</v>
      </c>
      <c r="B1626" s="25" t="str">
        <f t="shared" si="757"/>
        <v>Def Tax190031BT010167</v>
      </c>
      <c r="C1626" s="736">
        <v>190031</v>
      </c>
      <c r="D1626" s="735"/>
      <c r="E1626" s="41" t="s">
        <v>1671</v>
      </c>
      <c r="F1626" s="41" t="str">
        <f t="shared" si="766"/>
        <v>ADIT - EEBEN - FEDERAL - ELECTRIC</v>
      </c>
      <c r="G1626" s="41" t="s">
        <v>1875</v>
      </c>
      <c r="H1626" s="736" t="s">
        <v>1673</v>
      </c>
      <c r="I1626" s="25"/>
      <c r="J1626" s="25" t="str">
        <f t="shared" si="767"/>
        <v/>
      </c>
      <c r="K1626" s="442" t="str">
        <f t="shared" ref="K1626:K1689" si="774">IF(L1626="N3","Y","")</f>
        <v/>
      </c>
      <c r="L1626" s="736" t="s">
        <v>2443</v>
      </c>
      <c r="M1626" s="25" t="str">
        <f t="shared" si="760"/>
        <v>R</v>
      </c>
      <c r="N1626" s="25" t="str">
        <f>IF(L1626&lt;&gt;"",VLOOKUP(L1626,Categories!$B$2:$D$41,2,FALSE),IF(F1626&lt;&gt;"","No Cat",""))</f>
        <v>Rate Base</v>
      </c>
      <c r="O1626" s="25" t="str">
        <f>IF($L1626&lt;&gt;"",VLOOKUP($L1626,Categories!$B$2:$D$41,3,FALSE),IF($F1626&lt;&gt;"","No Cat",""))</f>
        <v>Deferred Income Taxes</v>
      </c>
      <c r="P1626" s="736" t="s">
        <v>2482</v>
      </c>
      <c r="Q1626" s="25" t="str">
        <f>VLOOKUP($P1626,Allocators!$B$7:$F$19,5,FALSE)</f>
        <v>Electric</v>
      </c>
      <c r="R1626" s="737">
        <f>VLOOKUP($P1626,Allocators!$B$7:$F$19,2,FALSE)</f>
        <v>1</v>
      </c>
      <c r="S1626" s="737">
        <f>VLOOKUP($P1626,Allocators!$B$7:$F$19,3,FALSE)</f>
        <v>0</v>
      </c>
      <c r="T1626" s="737" t="str">
        <f t="shared" si="759"/>
        <v>0.0%</v>
      </c>
      <c r="U1626" s="2">
        <f t="shared" si="768"/>
        <v>9207.9578129166694</v>
      </c>
      <c r="V1626" s="2">
        <f t="shared" si="769"/>
        <v>0</v>
      </c>
      <c r="W1626" s="2">
        <f t="shared" si="770"/>
        <v>0</v>
      </c>
      <c r="X1626" s="2">
        <f t="shared" si="764"/>
        <v>9207.9578129166694</v>
      </c>
      <c r="Y1626" s="2">
        <f t="shared" si="771"/>
        <v>24111.488010000001</v>
      </c>
      <c r="Z1626" s="2">
        <f t="shared" si="772"/>
        <v>0</v>
      </c>
      <c r="AA1626" s="2">
        <f t="shared" si="773"/>
        <v>0</v>
      </c>
      <c r="AB1626" s="2">
        <f t="shared" si="765"/>
        <v>24111.488010000001</v>
      </c>
      <c r="AC1626" s="625">
        <v>8863.4480199999998</v>
      </c>
      <c r="AD1626" s="625">
        <v>8810.5707100000018</v>
      </c>
      <c r="AE1626" s="625">
        <v>8757.6934000000001</v>
      </c>
      <c r="AF1626" s="625">
        <v>8704.8160900000003</v>
      </c>
      <c r="AG1626" s="625">
        <v>8651.9387799999986</v>
      </c>
      <c r="AH1626" s="625">
        <v>8599.0614700000006</v>
      </c>
      <c r="AI1626" s="625">
        <v>8546.1841600000007</v>
      </c>
      <c r="AJ1626" s="625">
        <v>8493.306849999999</v>
      </c>
      <c r="AK1626" s="625">
        <v>8440.4295399999992</v>
      </c>
      <c r="AL1626" s="625">
        <v>8387.5522300000011</v>
      </c>
      <c r="AM1626" s="625">
        <v>8334.6749099999997</v>
      </c>
      <c r="AN1626" s="625">
        <v>8281.7975999999999</v>
      </c>
      <c r="AO1626" s="625">
        <v>24111.488010000001</v>
      </c>
      <c r="AP1626" s="41" t="str">
        <f t="shared" si="761"/>
        <v>Def TaxR</v>
      </c>
      <c r="AQ1626" s="41" t="str">
        <f t="shared" si="762"/>
        <v>Def TaxRR11Pension</v>
      </c>
      <c r="AR1626" s="41" t="str">
        <f t="shared" si="763"/>
        <v>R11Pension</v>
      </c>
    </row>
    <row r="1627" spans="1:44" s="41" customFormat="1" ht="12.75" customHeight="1">
      <c r="A1627" s="25" t="s">
        <v>1590</v>
      </c>
      <c r="B1627" s="25" t="str">
        <f t="shared" si="757"/>
        <v>Def Tax190031BT010167</v>
      </c>
      <c r="C1627" s="736">
        <v>190031</v>
      </c>
      <c r="D1627" s="735"/>
      <c r="E1627" s="41" t="s">
        <v>1671</v>
      </c>
      <c r="F1627" s="41" t="str">
        <f t="shared" si="766"/>
        <v>ADIT - EEBEN - FEDERAL - ELECTRIC</v>
      </c>
      <c r="G1627" s="41" t="s">
        <v>1876</v>
      </c>
      <c r="H1627" s="736" t="s">
        <v>1673</v>
      </c>
      <c r="I1627" s="25"/>
      <c r="J1627" s="25" t="str">
        <f t="shared" si="767"/>
        <v/>
      </c>
      <c r="K1627" s="442" t="str">
        <f t="shared" si="774"/>
        <v/>
      </c>
      <c r="L1627" s="736" t="s">
        <v>2443</v>
      </c>
      <c r="M1627" s="25" t="str">
        <f t="shared" si="760"/>
        <v>R</v>
      </c>
      <c r="N1627" s="25" t="str">
        <f>IF(L1627&lt;&gt;"",VLOOKUP(L1627,Categories!$B$2:$D$41,2,FALSE),IF(F1627&lt;&gt;"","No Cat",""))</f>
        <v>Rate Base</v>
      </c>
      <c r="O1627" s="25" t="str">
        <f>IF($L1627&lt;&gt;"",VLOOKUP($L1627,Categories!$B$2:$D$41,3,FALSE),IF($F1627&lt;&gt;"","No Cat",""))</f>
        <v>Deferred Income Taxes</v>
      </c>
      <c r="P1627" s="736" t="s">
        <v>2482</v>
      </c>
      <c r="Q1627" s="25" t="str">
        <f>VLOOKUP($P1627,Allocators!$B$7:$F$19,5,FALSE)</f>
        <v>Electric</v>
      </c>
      <c r="R1627" s="737">
        <f>VLOOKUP($P1627,Allocators!$B$7:$F$19,2,FALSE)</f>
        <v>1</v>
      </c>
      <c r="S1627" s="737">
        <f>VLOOKUP($P1627,Allocators!$B$7:$F$19,3,FALSE)</f>
        <v>0</v>
      </c>
      <c r="T1627" s="737" t="str">
        <f t="shared" si="759"/>
        <v>0.0%</v>
      </c>
      <c r="U1627" s="2">
        <f t="shared" si="768"/>
        <v>414.172845</v>
      </c>
      <c r="V1627" s="2">
        <f t="shared" si="769"/>
        <v>0</v>
      </c>
      <c r="W1627" s="2">
        <f t="shared" si="770"/>
        <v>0</v>
      </c>
      <c r="X1627" s="2">
        <f t="shared" si="764"/>
        <v>414.172845</v>
      </c>
      <c r="Y1627" s="2">
        <f t="shared" si="771"/>
        <v>-643.9778</v>
      </c>
      <c r="Z1627" s="2">
        <f t="shared" si="772"/>
        <v>0</v>
      </c>
      <c r="AA1627" s="2">
        <f t="shared" si="773"/>
        <v>0</v>
      </c>
      <c r="AB1627" s="2">
        <f t="shared" si="765"/>
        <v>-643.9778</v>
      </c>
      <c r="AC1627" s="625">
        <v>438.63303999999999</v>
      </c>
      <c r="AD1627" s="625">
        <v>442.38733000000002</v>
      </c>
      <c r="AE1627" s="625">
        <v>446.14161999999999</v>
      </c>
      <c r="AF1627" s="625">
        <v>449.89590999999996</v>
      </c>
      <c r="AG1627" s="625">
        <v>453.65019999999998</v>
      </c>
      <c r="AH1627" s="625">
        <v>457.40449000000001</v>
      </c>
      <c r="AI1627" s="625">
        <v>461.15877</v>
      </c>
      <c r="AJ1627" s="625">
        <v>464.91305999999997</v>
      </c>
      <c r="AK1627" s="625">
        <v>468.66735</v>
      </c>
      <c r="AL1627" s="625">
        <v>472.42164000000002</v>
      </c>
      <c r="AM1627" s="625">
        <v>476.17592999999999</v>
      </c>
      <c r="AN1627" s="625">
        <v>479.93021999999996</v>
      </c>
      <c r="AO1627" s="625">
        <v>-643.9778</v>
      </c>
      <c r="AP1627" s="41" t="str">
        <f t="shared" si="761"/>
        <v>Def TaxR</v>
      </c>
      <c r="AQ1627" s="41" t="str">
        <f t="shared" si="762"/>
        <v>Def TaxRR11Pension</v>
      </c>
      <c r="AR1627" s="41" t="str">
        <f t="shared" si="763"/>
        <v>R11Pension</v>
      </c>
    </row>
    <row r="1628" spans="1:44" s="41" customFormat="1" ht="12.75" customHeight="1">
      <c r="A1628" s="25" t="s">
        <v>1590</v>
      </c>
      <c r="B1628" s="25" t="str">
        <f t="shared" si="757"/>
        <v>Def Tax190031BT010183</v>
      </c>
      <c r="C1628" s="736">
        <v>190031</v>
      </c>
      <c r="D1628" s="735"/>
      <c r="E1628" s="41" t="s">
        <v>1689</v>
      </c>
      <c r="F1628" s="41" t="str">
        <f t="shared" si="766"/>
        <v>ADIT - EEBEN - FEDERAL - ELECTRIC</v>
      </c>
      <c r="G1628" s="41" t="s">
        <v>1690</v>
      </c>
      <c r="H1628" s="736" t="s">
        <v>1691</v>
      </c>
      <c r="I1628" s="25"/>
      <c r="J1628" s="25" t="str">
        <f t="shared" si="767"/>
        <v/>
      </c>
      <c r="K1628" s="442" t="str">
        <f t="shared" si="774"/>
        <v/>
      </c>
      <c r="L1628" s="736" t="s">
        <v>2443</v>
      </c>
      <c r="M1628" s="25" t="str">
        <f t="shared" si="760"/>
        <v>R</v>
      </c>
      <c r="N1628" s="25" t="str">
        <f>IF(L1628&lt;&gt;"",VLOOKUP(L1628,Categories!$B$2:$D$41,2,FALSE),IF(F1628&lt;&gt;"","No Cat",""))</f>
        <v>Rate Base</v>
      </c>
      <c r="O1628" s="25" t="str">
        <f>IF($L1628&lt;&gt;"",VLOOKUP($L1628,Categories!$B$2:$D$41,3,FALSE),IF($F1628&lt;&gt;"","No Cat",""))</f>
        <v>Deferred Income Taxes</v>
      </c>
      <c r="P1628" s="736" t="s">
        <v>2482</v>
      </c>
      <c r="Q1628" s="25" t="str">
        <f>VLOOKUP($P1628,Allocators!$B$7:$F$19,5,FALSE)</f>
        <v>Electric</v>
      </c>
      <c r="R1628" s="737">
        <f>VLOOKUP($P1628,Allocators!$B$7:$F$19,2,FALSE)</f>
        <v>1</v>
      </c>
      <c r="S1628" s="737">
        <f>VLOOKUP($P1628,Allocators!$B$7:$F$19,3,FALSE)</f>
        <v>0</v>
      </c>
      <c r="T1628" s="737" t="str">
        <f t="shared" si="759"/>
        <v>0.0%</v>
      </c>
      <c r="U1628" s="2">
        <f t="shared" si="768"/>
        <v>-152.64111</v>
      </c>
      <c r="V1628" s="2">
        <f t="shared" si="769"/>
        <v>0</v>
      </c>
      <c r="W1628" s="2">
        <f t="shared" si="770"/>
        <v>0</v>
      </c>
      <c r="X1628" s="2">
        <f t="shared" si="764"/>
        <v>-152.64111</v>
      </c>
      <c r="Y1628" s="2">
        <f t="shared" si="771"/>
        <v>-152.64111</v>
      </c>
      <c r="Z1628" s="2">
        <f t="shared" si="772"/>
        <v>0</v>
      </c>
      <c r="AA1628" s="2">
        <f t="shared" si="773"/>
        <v>0</v>
      </c>
      <c r="AB1628" s="2">
        <f t="shared" si="765"/>
        <v>-152.64111</v>
      </c>
      <c r="AC1628" s="625">
        <v>-152.64111</v>
      </c>
      <c r="AD1628" s="625">
        <v>-152.64111</v>
      </c>
      <c r="AE1628" s="625">
        <v>-152.64111</v>
      </c>
      <c r="AF1628" s="625">
        <v>-152.64111</v>
      </c>
      <c r="AG1628" s="625">
        <v>-152.64111</v>
      </c>
      <c r="AH1628" s="625">
        <v>-152.64111</v>
      </c>
      <c r="AI1628" s="625">
        <v>-152.64111</v>
      </c>
      <c r="AJ1628" s="625">
        <v>-152.64111</v>
      </c>
      <c r="AK1628" s="625">
        <v>-152.64111</v>
      </c>
      <c r="AL1628" s="625">
        <v>-152.64111</v>
      </c>
      <c r="AM1628" s="625">
        <v>-152.64111</v>
      </c>
      <c r="AN1628" s="625">
        <v>-152.64111</v>
      </c>
      <c r="AO1628" s="625">
        <v>-152.64111</v>
      </c>
      <c r="AP1628" s="41" t="str">
        <f t="shared" si="761"/>
        <v>Def TaxR</v>
      </c>
      <c r="AQ1628" s="41" t="str">
        <f t="shared" si="762"/>
        <v>Def TaxRR11Restricted Stock</v>
      </c>
      <c r="AR1628" s="41" t="str">
        <f t="shared" si="763"/>
        <v>R11Restricted Stock</v>
      </c>
    </row>
    <row r="1629" spans="1:44" s="41" customFormat="1" ht="12.75" customHeight="1">
      <c r="A1629" s="442" t="s">
        <v>1590</v>
      </c>
      <c r="B1629" s="442" t="str">
        <f t="shared" si="757"/>
        <v>Def Tax190031BT010195</v>
      </c>
      <c r="C1629" s="736">
        <v>190031</v>
      </c>
      <c r="D1629" s="735"/>
      <c r="E1629" s="626" t="s">
        <v>1700</v>
      </c>
      <c r="F1629" s="626" t="str">
        <f t="shared" si="766"/>
        <v>ADIT - EEBEN - FEDERAL - ELECTRIC</v>
      </c>
      <c r="G1629" s="626" t="s">
        <v>810</v>
      </c>
      <c r="H1629" s="736" t="s">
        <v>810</v>
      </c>
      <c r="I1629" s="442"/>
      <c r="J1629" s="442" t="str">
        <f t="shared" si="767"/>
        <v/>
      </c>
      <c r="K1629" s="442" t="str">
        <f t="shared" si="774"/>
        <v/>
      </c>
      <c r="L1629" s="736" t="s">
        <v>2421</v>
      </c>
      <c r="M1629" s="442" t="str">
        <f t="shared" si="760"/>
        <v>N</v>
      </c>
      <c r="N1629" s="442" t="str">
        <f>IF(L1629&lt;&gt;"",VLOOKUP(L1629,Categories!$B$2:$D$41,2,FALSE),IF(F1629&lt;&gt;"","No Cat",""))</f>
        <v>NRBASE</v>
      </c>
      <c r="O1629" s="442" t="str">
        <f>IF($L1629&lt;&gt;"",VLOOKUP($L1629,Categories!$B$2:$D$41,3,FALSE),IF($F1629&lt;&gt;"","No Cat",""))</f>
        <v>Direct Assign Items Not in RB</v>
      </c>
      <c r="P1629" s="736" t="s">
        <v>2468</v>
      </c>
      <c r="Q1629" s="442" t="str">
        <f>VLOOKUP($P1629,Allocators!$B$7:$F$19,5,FALSE)</f>
        <v>Not in Rate Base</v>
      </c>
      <c r="R1629" s="737">
        <f>VLOOKUP($P1629,Allocators!$B$7:$F$19,2,FALSE)</f>
        <v>0</v>
      </c>
      <c r="S1629" s="737">
        <f>VLOOKUP($P1629,Allocators!$B$7:$F$19,3,FALSE)</f>
        <v>0</v>
      </c>
      <c r="T1629" s="737">
        <f t="shared" si="759"/>
        <v>1</v>
      </c>
      <c r="U1629" s="2">
        <f t="shared" si="768"/>
        <v>0</v>
      </c>
      <c r="V1629" s="2">
        <f t="shared" si="769"/>
        <v>0</v>
      </c>
      <c r="W1629" s="2">
        <f t="shared" si="770"/>
        <v>308.51519833333299</v>
      </c>
      <c r="X1629" s="2">
        <f t="shared" si="764"/>
        <v>308.51519833333299</v>
      </c>
      <c r="Y1629" s="2">
        <f t="shared" si="771"/>
        <v>0</v>
      </c>
      <c r="Z1629" s="2">
        <f t="shared" si="772"/>
        <v>0</v>
      </c>
      <c r="AA1629" s="2">
        <f t="shared" si="773"/>
        <v>649.69641999999999</v>
      </c>
      <c r="AB1629" s="2">
        <f t="shared" si="765"/>
        <v>649.69641999999999</v>
      </c>
      <c r="AC1629" s="625">
        <v>433.50508000000002</v>
      </c>
      <c r="AD1629" s="625">
        <v>444.56759999999997</v>
      </c>
      <c r="AE1629" s="625">
        <v>455.63011</v>
      </c>
      <c r="AF1629" s="625">
        <v>319.40487000000002</v>
      </c>
      <c r="AG1629" s="625">
        <v>330.46737999999999</v>
      </c>
      <c r="AH1629" s="625">
        <v>341.5299</v>
      </c>
      <c r="AI1629" s="625">
        <v>246.76267999999999</v>
      </c>
      <c r="AJ1629" s="625">
        <v>257.8252</v>
      </c>
      <c r="AK1629" s="625">
        <v>268.88771999999994</v>
      </c>
      <c r="AL1629" s="625">
        <v>161.48122000000001</v>
      </c>
      <c r="AM1629" s="625">
        <v>161.48122000000001</v>
      </c>
      <c r="AN1629" s="625">
        <v>172.54373000000001</v>
      </c>
      <c r="AO1629" s="625">
        <v>649.69641999999999</v>
      </c>
      <c r="AP1629" s="41" t="str">
        <f t="shared" si="761"/>
        <v>Def TaxN</v>
      </c>
      <c r="AQ1629" s="41" t="str">
        <f t="shared" si="762"/>
        <v>Def TaxNN2SERP</v>
      </c>
      <c r="AR1629" s="41" t="str">
        <f t="shared" si="763"/>
        <v>N2SERP</v>
      </c>
    </row>
    <row r="1630" spans="1:44" s="41" customFormat="1" ht="12.75" customHeight="1">
      <c r="A1630" s="25" t="s">
        <v>1590</v>
      </c>
      <c r="B1630" s="25" t="str">
        <f t="shared" si="757"/>
        <v>Def Tax190031BT010208</v>
      </c>
      <c r="C1630" s="736">
        <v>190031</v>
      </c>
      <c r="D1630" s="735"/>
      <c r="E1630" s="41" t="s">
        <v>1696</v>
      </c>
      <c r="F1630" s="41" t="str">
        <f t="shared" si="766"/>
        <v>ADIT - EEBEN - FEDERAL - ELECTRIC</v>
      </c>
      <c r="G1630" s="41" t="s">
        <v>1877</v>
      </c>
      <c r="H1630" s="736" t="s">
        <v>1698</v>
      </c>
      <c r="I1630" s="25"/>
      <c r="J1630" s="25" t="str">
        <f t="shared" si="767"/>
        <v/>
      </c>
      <c r="K1630" s="442" t="str">
        <f t="shared" si="774"/>
        <v/>
      </c>
      <c r="L1630" s="736" t="s">
        <v>2443</v>
      </c>
      <c r="M1630" s="25" t="str">
        <f t="shared" si="760"/>
        <v>R</v>
      </c>
      <c r="N1630" s="25" t="str">
        <f>IF(L1630&lt;&gt;"",VLOOKUP(L1630,Categories!$B$2:$D$41,2,FALSE),IF(F1630&lt;&gt;"","No Cat",""))</f>
        <v>Rate Base</v>
      </c>
      <c r="O1630" s="25" t="str">
        <f>IF($L1630&lt;&gt;"",VLOOKUP($L1630,Categories!$B$2:$D$41,3,FALSE),IF($F1630&lt;&gt;"","No Cat",""))</f>
        <v>Deferred Income Taxes</v>
      </c>
      <c r="P1630" s="736" t="s">
        <v>2482</v>
      </c>
      <c r="Q1630" s="25" t="str">
        <f>VLOOKUP($P1630,Allocators!$B$7:$F$19,5,FALSE)</f>
        <v>Electric</v>
      </c>
      <c r="R1630" s="737">
        <f>VLOOKUP($P1630,Allocators!$B$7:$F$19,2,FALSE)</f>
        <v>1</v>
      </c>
      <c r="S1630" s="737">
        <f>VLOOKUP($P1630,Allocators!$B$7:$F$19,3,FALSE)</f>
        <v>0</v>
      </c>
      <c r="T1630" s="737" t="str">
        <f t="shared" si="759"/>
        <v>0.0%</v>
      </c>
      <c r="U1630" s="2">
        <f t="shared" si="768"/>
        <v>-28.7112883333333</v>
      </c>
      <c r="V1630" s="2">
        <f t="shared" si="769"/>
        <v>0</v>
      </c>
      <c r="W1630" s="2">
        <f t="shared" si="770"/>
        <v>0</v>
      </c>
      <c r="X1630" s="2">
        <f t="shared" si="764"/>
        <v>-28.7112883333333</v>
      </c>
      <c r="Y1630" s="2">
        <f t="shared" si="771"/>
        <v>-19.95346</v>
      </c>
      <c r="Z1630" s="2">
        <f t="shared" si="772"/>
        <v>0</v>
      </c>
      <c r="AA1630" s="2">
        <f t="shared" si="773"/>
        <v>0</v>
      </c>
      <c r="AB1630" s="2">
        <f t="shared" si="765"/>
        <v>-19.95346</v>
      </c>
      <c r="AC1630" s="625">
        <v>-31.015979999999999</v>
      </c>
      <c r="AD1630" s="625">
        <v>-31.015979999999999</v>
      </c>
      <c r="AE1630" s="625">
        <v>-31.015979999999999</v>
      </c>
      <c r="AF1630" s="625">
        <v>-31.015979999999999</v>
      </c>
      <c r="AG1630" s="625">
        <v>-31.015979999999999</v>
      </c>
      <c r="AH1630" s="625">
        <v>-31.015979999999999</v>
      </c>
      <c r="AI1630" s="625">
        <v>-31.015979999999999</v>
      </c>
      <c r="AJ1630" s="625">
        <v>-31.015979999999999</v>
      </c>
      <c r="AK1630" s="625">
        <v>-31.015979999999999</v>
      </c>
      <c r="AL1630" s="625">
        <v>-31.015979999999999</v>
      </c>
      <c r="AM1630" s="625">
        <v>-19.95346</v>
      </c>
      <c r="AN1630" s="625">
        <v>-19.95346</v>
      </c>
      <c r="AO1630" s="625">
        <v>-19.95346</v>
      </c>
      <c r="AP1630" s="41" t="str">
        <f t="shared" si="761"/>
        <v>Def TaxR</v>
      </c>
      <c r="AQ1630" s="41" t="str">
        <f t="shared" si="762"/>
        <v>Def TaxRR11Separation Accrual</v>
      </c>
      <c r="AR1630" s="41" t="str">
        <f t="shared" si="763"/>
        <v>R11Separation Accrual</v>
      </c>
    </row>
    <row r="1631" spans="1:44" s="41" customFormat="1" ht="12.75" customHeight="1">
      <c r="A1631" s="442" t="s">
        <v>1590</v>
      </c>
      <c r="B1631" s="442" t="str">
        <f t="shared" ref="B1631:B1694" si="775">CONCATENATE(A1631,C1631,D1631,E1631)</f>
        <v>Def Tax190031BT010211</v>
      </c>
      <c r="C1631" s="736">
        <v>190031</v>
      </c>
      <c r="D1631" s="735"/>
      <c r="E1631" s="626" t="s">
        <v>1703</v>
      </c>
      <c r="F1631" s="626" t="str">
        <f t="shared" si="766"/>
        <v>ADIT - EEBEN - FEDERAL - ELECTRIC</v>
      </c>
      <c r="G1631" s="626" t="s">
        <v>1704</v>
      </c>
      <c r="H1631" s="736" t="s">
        <v>1705</v>
      </c>
      <c r="I1631" s="442"/>
      <c r="J1631" s="442" t="str">
        <f t="shared" si="767"/>
        <v/>
      </c>
      <c r="K1631" s="442" t="str">
        <f t="shared" si="774"/>
        <v/>
      </c>
      <c r="L1631" s="736" t="s">
        <v>2421</v>
      </c>
      <c r="M1631" s="442" t="str">
        <f t="shared" si="760"/>
        <v>N</v>
      </c>
      <c r="N1631" s="442" t="str">
        <f>IF(L1631&lt;&gt;"",VLOOKUP(L1631,Categories!$B$2:$D$41,2,FALSE),IF(F1631&lt;&gt;"","No Cat",""))</f>
        <v>NRBASE</v>
      </c>
      <c r="O1631" s="442" t="str">
        <f>IF($L1631&lt;&gt;"",VLOOKUP($L1631,Categories!$B$2:$D$41,3,FALSE),IF($F1631&lt;&gt;"","No Cat",""))</f>
        <v>Direct Assign Items Not in RB</v>
      </c>
      <c r="P1631" s="736" t="s">
        <v>2468</v>
      </c>
      <c r="Q1631" s="442" t="str">
        <f>VLOOKUP($P1631,Allocators!$B$7:$F$19,5,FALSE)</f>
        <v>Not in Rate Base</v>
      </c>
      <c r="R1631" s="737">
        <f>VLOOKUP($P1631,Allocators!$B$7:$F$19,2,FALSE)</f>
        <v>0</v>
      </c>
      <c r="S1631" s="737">
        <f>VLOOKUP($P1631,Allocators!$B$7:$F$19,3,FALSE)</f>
        <v>0</v>
      </c>
      <c r="T1631" s="737">
        <f t="shared" si="759"/>
        <v>1</v>
      </c>
      <c r="U1631" s="2" t="str">
        <f t="shared" si="768"/>
        <v/>
      </c>
      <c r="V1631" s="2" t="str">
        <f t="shared" si="769"/>
        <v/>
      </c>
      <c r="W1631" s="2" t="str">
        <f t="shared" si="770"/>
        <v/>
      </c>
      <c r="X1631" s="2">
        <f t="shared" si="764"/>
        <v>0</v>
      </c>
      <c r="Y1631" s="2" t="str">
        <f t="shared" si="771"/>
        <v/>
      </c>
      <c r="Z1631" s="2" t="str">
        <f t="shared" si="772"/>
        <v/>
      </c>
      <c r="AA1631" s="2" t="str">
        <f t="shared" si="773"/>
        <v/>
      </c>
      <c r="AB1631" s="2">
        <f t="shared" si="765"/>
        <v>0</v>
      </c>
      <c r="AC1631" s="625">
        <v>0</v>
      </c>
      <c r="AD1631" s="625">
        <v>0</v>
      </c>
      <c r="AE1631" s="625">
        <v>0</v>
      </c>
      <c r="AF1631" s="625">
        <v>0</v>
      </c>
      <c r="AG1631" s="625">
        <v>0</v>
      </c>
      <c r="AH1631" s="625">
        <v>0</v>
      </c>
      <c r="AI1631" s="625">
        <v>0</v>
      </c>
      <c r="AJ1631" s="625">
        <v>0</v>
      </c>
      <c r="AK1631" s="625">
        <v>0</v>
      </c>
      <c r="AL1631" s="625">
        <v>0</v>
      </c>
      <c r="AM1631" s="625">
        <v>0</v>
      </c>
      <c r="AN1631" s="625">
        <v>0</v>
      </c>
      <c r="AO1631" s="625">
        <v>0</v>
      </c>
      <c r="AP1631" s="41" t="str">
        <f t="shared" si="761"/>
        <v>Def TaxN</v>
      </c>
      <c r="AQ1631" s="41" t="str">
        <f t="shared" si="762"/>
        <v>Def TaxNN2Iberdrola Merger Severance</v>
      </c>
      <c r="AR1631" s="41" t="str">
        <f t="shared" si="763"/>
        <v>N2Iberdrola Merger Severance</v>
      </c>
    </row>
    <row r="1632" spans="1:44" s="41" customFormat="1" ht="12.75" customHeight="1">
      <c r="A1632" s="25" t="s">
        <v>1590</v>
      </c>
      <c r="B1632" s="25" t="str">
        <f t="shared" si="775"/>
        <v>Def Tax190031BT010220</v>
      </c>
      <c r="C1632" s="736">
        <v>190031</v>
      </c>
      <c r="D1632" s="735"/>
      <c r="E1632" s="41" t="s">
        <v>1710</v>
      </c>
      <c r="F1632" s="41" t="str">
        <f t="shared" si="766"/>
        <v>ADIT - EEBEN - FEDERAL - ELECTRIC</v>
      </c>
      <c r="G1632" s="41" t="s">
        <v>1878</v>
      </c>
      <c r="H1632" s="736" t="s">
        <v>1712</v>
      </c>
      <c r="I1632" s="25"/>
      <c r="J1632" s="25" t="str">
        <f t="shared" si="767"/>
        <v/>
      </c>
      <c r="K1632" s="442" t="str">
        <f t="shared" si="774"/>
        <v/>
      </c>
      <c r="L1632" s="736" t="s">
        <v>2443</v>
      </c>
      <c r="M1632" s="25" t="str">
        <f t="shared" si="760"/>
        <v>R</v>
      </c>
      <c r="N1632" s="25" t="str">
        <f>IF(L1632&lt;&gt;"",VLOOKUP(L1632,Categories!$B$2:$D$41,2,FALSE),IF(F1632&lt;&gt;"","No Cat",""))</f>
        <v>Rate Base</v>
      </c>
      <c r="O1632" s="25" t="str">
        <f>IF($L1632&lt;&gt;"",VLOOKUP($L1632,Categories!$B$2:$D$41,3,FALSE),IF($F1632&lt;&gt;"","No Cat",""))</f>
        <v>Deferred Income Taxes</v>
      </c>
      <c r="P1632" s="736" t="s">
        <v>2482</v>
      </c>
      <c r="Q1632" s="25" t="str">
        <f>VLOOKUP($P1632,Allocators!$B$7:$F$19,5,FALSE)</f>
        <v>Electric</v>
      </c>
      <c r="R1632" s="737">
        <f>VLOOKUP($P1632,Allocators!$B$7:$F$19,2,FALSE)</f>
        <v>1</v>
      </c>
      <c r="S1632" s="737">
        <f>VLOOKUP($P1632,Allocators!$B$7:$F$19,3,FALSE)</f>
        <v>0</v>
      </c>
      <c r="T1632" s="737" t="str">
        <f t="shared" si="759"/>
        <v>0.0%</v>
      </c>
      <c r="U1632" s="2">
        <f t="shared" si="768"/>
        <v>-78.882819999999995</v>
      </c>
      <c r="V1632" s="2">
        <f t="shared" si="769"/>
        <v>0</v>
      </c>
      <c r="W1632" s="2">
        <f t="shared" si="770"/>
        <v>0</v>
      </c>
      <c r="X1632" s="2">
        <f t="shared" si="764"/>
        <v>-78.882819999999995</v>
      </c>
      <c r="Y1632" s="2">
        <f t="shared" si="771"/>
        <v>-78.882819999999995</v>
      </c>
      <c r="Z1632" s="2">
        <f t="shared" si="772"/>
        <v>0</v>
      </c>
      <c r="AA1632" s="2">
        <f t="shared" si="773"/>
        <v>0</v>
      </c>
      <c r="AB1632" s="2">
        <f t="shared" si="765"/>
        <v>-78.882820000000009</v>
      </c>
      <c r="AC1632" s="625">
        <v>-78.882820000000009</v>
      </c>
      <c r="AD1632" s="625">
        <v>-78.882820000000009</v>
      </c>
      <c r="AE1632" s="625">
        <v>-78.882820000000009</v>
      </c>
      <c r="AF1632" s="625">
        <v>-78.882820000000009</v>
      </c>
      <c r="AG1632" s="625">
        <v>-78.882820000000009</v>
      </c>
      <c r="AH1632" s="625">
        <v>-78.882820000000009</v>
      </c>
      <c r="AI1632" s="625">
        <v>-78.882820000000009</v>
      </c>
      <c r="AJ1632" s="625">
        <v>-78.882820000000009</v>
      </c>
      <c r="AK1632" s="625">
        <v>-78.882820000000009</v>
      </c>
      <c r="AL1632" s="625">
        <v>-78.882820000000009</v>
      </c>
      <c r="AM1632" s="625">
        <v>-78.882820000000009</v>
      </c>
      <c r="AN1632" s="625">
        <v>-78.882820000000009</v>
      </c>
      <c r="AO1632" s="625">
        <v>-78.882820000000009</v>
      </c>
      <c r="AP1632" s="41" t="str">
        <f t="shared" si="761"/>
        <v>Def TaxR</v>
      </c>
      <c r="AQ1632" s="41" t="str">
        <f t="shared" si="762"/>
        <v>Def TaxRR11Stock Options</v>
      </c>
      <c r="AR1632" s="41" t="str">
        <f t="shared" si="763"/>
        <v>R11Stock Options</v>
      </c>
    </row>
    <row r="1633" spans="1:44" s="41" customFormat="1" ht="12.75" customHeight="1">
      <c r="A1633" s="25" t="s">
        <v>1590</v>
      </c>
      <c r="B1633" s="25" t="str">
        <f t="shared" si="775"/>
        <v>Def Tax190031BT010244</v>
      </c>
      <c r="C1633" s="736">
        <v>190031</v>
      </c>
      <c r="D1633" s="735"/>
      <c r="E1633" s="41" t="s">
        <v>1722</v>
      </c>
      <c r="F1633" s="41" t="str">
        <f t="shared" si="766"/>
        <v>ADIT - EEBEN - FEDERAL - ELECTRIC</v>
      </c>
      <c r="G1633" s="41" t="s">
        <v>1724</v>
      </c>
      <c r="H1633" s="736" t="s">
        <v>1724</v>
      </c>
      <c r="I1633" s="25"/>
      <c r="J1633" s="25" t="str">
        <f t="shared" si="767"/>
        <v/>
      </c>
      <c r="K1633" s="442" t="str">
        <f t="shared" si="774"/>
        <v/>
      </c>
      <c r="L1633" s="736" t="s">
        <v>2443</v>
      </c>
      <c r="M1633" s="25" t="str">
        <f t="shared" si="760"/>
        <v>R</v>
      </c>
      <c r="N1633" s="25" t="str">
        <f>IF(L1633&lt;&gt;"",VLOOKUP(L1633,Categories!$B$2:$D$41,2,FALSE),IF(F1633&lt;&gt;"","No Cat",""))</f>
        <v>Rate Base</v>
      </c>
      <c r="O1633" s="25" t="str">
        <f>IF($L1633&lt;&gt;"",VLOOKUP($L1633,Categories!$B$2:$D$41,3,FALSE),IF($F1633&lt;&gt;"","No Cat",""))</f>
        <v>Deferred Income Taxes</v>
      </c>
      <c r="P1633" s="736" t="s">
        <v>2482</v>
      </c>
      <c r="Q1633" s="25" t="str">
        <f>VLOOKUP($P1633,Allocators!$B$7:$F$19,5,FALSE)</f>
        <v>Electric</v>
      </c>
      <c r="R1633" s="737">
        <f>VLOOKUP($P1633,Allocators!$B$7:$F$19,2,FALSE)</f>
        <v>1</v>
      </c>
      <c r="S1633" s="737">
        <f>VLOOKUP($P1633,Allocators!$B$7:$F$19,3,FALSE)</f>
        <v>0</v>
      </c>
      <c r="T1633" s="737" t="str">
        <f t="shared" si="759"/>
        <v>0.0%</v>
      </c>
      <c r="U1633" s="2">
        <f t="shared" si="768"/>
        <v>778.50705541666696</v>
      </c>
      <c r="V1633" s="2">
        <f t="shared" si="769"/>
        <v>0</v>
      </c>
      <c r="W1633" s="2">
        <f t="shared" si="770"/>
        <v>0</v>
      </c>
      <c r="X1633" s="2">
        <f t="shared" si="764"/>
        <v>778.50705541666696</v>
      </c>
      <c r="Y1633" s="2">
        <f t="shared" si="771"/>
        <v>793.95168999999999</v>
      </c>
      <c r="Z1633" s="2">
        <f t="shared" si="772"/>
        <v>0</v>
      </c>
      <c r="AA1633" s="2">
        <f t="shared" si="773"/>
        <v>0</v>
      </c>
      <c r="AB1633" s="2">
        <f t="shared" si="765"/>
        <v>793.95168999999999</v>
      </c>
      <c r="AC1633" s="625">
        <v>769.24027999999998</v>
      </c>
      <c r="AD1633" s="625">
        <v>769.24027999999998</v>
      </c>
      <c r="AE1633" s="625">
        <v>769.24027999999998</v>
      </c>
      <c r="AF1633" s="625">
        <v>769.24027999999998</v>
      </c>
      <c r="AG1633" s="625">
        <v>769.24027999999998</v>
      </c>
      <c r="AH1633" s="625">
        <v>769.24027999999998</v>
      </c>
      <c r="AI1633" s="625">
        <v>769.24027999999998</v>
      </c>
      <c r="AJ1633" s="625">
        <v>769.24027999999998</v>
      </c>
      <c r="AK1633" s="625">
        <v>793.95168000000001</v>
      </c>
      <c r="AL1633" s="625">
        <v>793.95168000000001</v>
      </c>
      <c r="AM1633" s="625">
        <v>793.95168000000001</v>
      </c>
      <c r="AN1633" s="625">
        <v>793.95168000000001</v>
      </c>
      <c r="AO1633" s="625">
        <v>793.95168999999999</v>
      </c>
      <c r="AP1633" s="41" t="str">
        <f t="shared" si="761"/>
        <v>Def TaxR</v>
      </c>
      <c r="AQ1633" s="41" t="str">
        <f t="shared" si="762"/>
        <v>Def TaxRR11Workers Comp Reserve</v>
      </c>
      <c r="AR1633" s="41" t="str">
        <f t="shared" si="763"/>
        <v>R11Workers Comp Reserve</v>
      </c>
    </row>
    <row r="1634" spans="1:44" s="41" customFormat="1" ht="12.75" customHeight="1">
      <c r="A1634" s="442" t="s">
        <v>1590</v>
      </c>
      <c r="B1634" s="442" t="str">
        <f t="shared" si="775"/>
        <v>Def Tax190031BT010356</v>
      </c>
      <c r="C1634" s="736">
        <v>190031</v>
      </c>
      <c r="D1634" s="735"/>
      <c r="E1634" s="626" t="s">
        <v>1660</v>
      </c>
      <c r="F1634" s="626" t="str">
        <f t="shared" si="766"/>
        <v>ADIT - EEBEN - FEDERAL - ELECTRIC</v>
      </c>
      <c r="G1634" s="626" t="s">
        <v>1661</v>
      </c>
      <c r="H1634" s="736" t="s">
        <v>1661</v>
      </c>
      <c r="I1634" s="442"/>
      <c r="J1634" s="442" t="str">
        <f t="shared" si="767"/>
        <v/>
      </c>
      <c r="K1634" s="442" t="str">
        <f t="shared" si="774"/>
        <v/>
      </c>
      <c r="L1634" s="736" t="s">
        <v>2421</v>
      </c>
      <c r="M1634" s="442" t="str">
        <f t="shared" si="760"/>
        <v>N</v>
      </c>
      <c r="N1634" s="442" t="str">
        <f>IF(L1634&lt;&gt;"",VLOOKUP(L1634,Categories!$B$2:$D$41,2,FALSE),IF(F1634&lt;&gt;"","No Cat",""))</f>
        <v>NRBASE</v>
      </c>
      <c r="O1634" s="442" t="str">
        <f>IF($L1634&lt;&gt;"",VLOOKUP($L1634,Categories!$B$2:$D$41,3,FALSE),IF($F1634&lt;&gt;"","No Cat",""))</f>
        <v>Direct Assign Items Not in RB</v>
      </c>
      <c r="P1634" s="736" t="s">
        <v>2468</v>
      </c>
      <c r="Q1634" s="442" t="str">
        <f>VLOOKUP($P1634,Allocators!$B$7:$F$19,5,FALSE)</f>
        <v>Not in Rate Base</v>
      </c>
      <c r="R1634" s="737">
        <f>VLOOKUP($P1634,Allocators!$B$7:$F$19,2,FALSE)</f>
        <v>0</v>
      </c>
      <c r="S1634" s="737">
        <f>VLOOKUP($P1634,Allocators!$B$7:$F$19,3,FALSE)</f>
        <v>0</v>
      </c>
      <c r="T1634" s="737">
        <f t="shared" si="759"/>
        <v>1</v>
      </c>
      <c r="U1634" s="2">
        <f t="shared" si="768"/>
        <v>0</v>
      </c>
      <c r="V1634" s="2">
        <f t="shared" si="769"/>
        <v>0</v>
      </c>
      <c r="W1634" s="2">
        <f t="shared" si="770"/>
        <v>176.2193475</v>
      </c>
      <c r="X1634" s="2">
        <f t="shared" si="764"/>
        <v>176.2193475</v>
      </c>
      <c r="Y1634" s="2">
        <f t="shared" si="771"/>
        <v>0</v>
      </c>
      <c r="Z1634" s="2">
        <f t="shared" si="772"/>
        <v>0</v>
      </c>
      <c r="AA1634" s="2">
        <f t="shared" si="773"/>
        <v>204.12177</v>
      </c>
      <c r="AB1634" s="2">
        <f t="shared" si="765"/>
        <v>204.12177</v>
      </c>
      <c r="AC1634" s="625">
        <v>174.04957000000002</v>
      </c>
      <c r="AD1634" s="625">
        <v>170.84039000000001</v>
      </c>
      <c r="AE1634" s="625">
        <v>174.55901</v>
      </c>
      <c r="AF1634" s="625">
        <v>176.99543</v>
      </c>
      <c r="AG1634" s="625">
        <v>177.52379000000002</v>
      </c>
      <c r="AH1634" s="625">
        <v>176.15232</v>
      </c>
      <c r="AI1634" s="625">
        <v>127.66193</v>
      </c>
      <c r="AJ1634" s="625">
        <v>183.54289</v>
      </c>
      <c r="AK1634" s="625">
        <v>181.58013</v>
      </c>
      <c r="AL1634" s="625">
        <v>177.89306999999999</v>
      </c>
      <c r="AM1634" s="625">
        <v>184.37260999999998</v>
      </c>
      <c r="AN1634" s="625">
        <v>194.42492999999999</v>
      </c>
      <c r="AO1634" s="625">
        <v>204.12177</v>
      </c>
      <c r="AP1634" s="41" t="str">
        <f t="shared" si="761"/>
        <v>Def TaxN</v>
      </c>
      <c r="AQ1634" s="41" t="str">
        <f t="shared" si="762"/>
        <v>Def TaxNN2Long Term Executive Incentive Plan</v>
      </c>
      <c r="AR1634" s="41" t="str">
        <f t="shared" si="763"/>
        <v>N2Long Term Executive Incentive Plan</v>
      </c>
    </row>
    <row r="1635" spans="1:44" s="41" customFormat="1" ht="12.75" customHeight="1">
      <c r="A1635" s="25" t="s">
        <v>1590</v>
      </c>
      <c r="B1635" s="25" t="str">
        <f t="shared" si="775"/>
        <v>Def Tax190031BT010381</v>
      </c>
      <c r="C1635" s="736">
        <v>190031</v>
      </c>
      <c r="D1635" s="735"/>
      <c r="E1635" s="41" t="s">
        <v>1665</v>
      </c>
      <c r="F1635" s="41" t="str">
        <f t="shared" si="766"/>
        <v>ADIT - EEBEN - FEDERAL - ELECTRIC</v>
      </c>
      <c r="G1635" s="41" t="s">
        <v>1879</v>
      </c>
      <c r="H1635" s="736" t="s">
        <v>1118</v>
      </c>
      <c r="I1635" s="25"/>
      <c r="J1635" s="25" t="str">
        <f t="shared" si="767"/>
        <v/>
      </c>
      <c r="K1635" s="442" t="str">
        <f t="shared" si="774"/>
        <v/>
      </c>
      <c r="L1635" s="736" t="s">
        <v>2443</v>
      </c>
      <c r="M1635" s="25" t="str">
        <f t="shared" si="760"/>
        <v>R</v>
      </c>
      <c r="N1635" s="25" t="str">
        <f>IF(L1635&lt;&gt;"",VLOOKUP(L1635,Categories!$B$2:$D$41,2,FALSE),IF(F1635&lt;&gt;"","No Cat",""))</f>
        <v>Rate Base</v>
      </c>
      <c r="O1635" s="25" t="str">
        <f>IF($L1635&lt;&gt;"",VLOOKUP($L1635,Categories!$B$2:$D$41,3,FALSE),IF($F1635&lt;&gt;"","No Cat",""))</f>
        <v>Deferred Income Taxes</v>
      </c>
      <c r="P1635" s="736" t="s">
        <v>2482</v>
      </c>
      <c r="Q1635" s="25" t="str">
        <f>VLOOKUP($P1635,Allocators!$B$7:$F$19,5,FALSE)</f>
        <v>Electric</v>
      </c>
      <c r="R1635" s="737">
        <f>VLOOKUP($P1635,Allocators!$B$7:$F$19,2,FALSE)</f>
        <v>1</v>
      </c>
      <c r="S1635" s="737">
        <f>VLOOKUP($P1635,Allocators!$B$7:$F$19,3,FALSE)</f>
        <v>0</v>
      </c>
      <c r="T1635" s="737" t="str">
        <f t="shared" si="759"/>
        <v>0.0%</v>
      </c>
      <c r="U1635" s="2">
        <f t="shared" si="768"/>
        <v>49.332000000000001</v>
      </c>
      <c r="V1635" s="2">
        <f t="shared" si="769"/>
        <v>0</v>
      </c>
      <c r="W1635" s="2">
        <f t="shared" si="770"/>
        <v>0</v>
      </c>
      <c r="X1635" s="2">
        <f t="shared" si="764"/>
        <v>49.332000000000001</v>
      </c>
      <c r="Y1635" s="2">
        <f t="shared" si="771"/>
        <v>49.332000000000001</v>
      </c>
      <c r="Z1635" s="2">
        <f t="shared" si="772"/>
        <v>0</v>
      </c>
      <c r="AA1635" s="2">
        <f t="shared" si="773"/>
        <v>0</v>
      </c>
      <c r="AB1635" s="2">
        <f t="shared" si="765"/>
        <v>49.332000000000001</v>
      </c>
      <c r="AC1635" s="625">
        <v>49.332000000000001</v>
      </c>
      <c r="AD1635" s="625">
        <v>49.332000000000001</v>
      </c>
      <c r="AE1635" s="625">
        <v>49.332000000000001</v>
      </c>
      <c r="AF1635" s="625">
        <v>49.332000000000001</v>
      </c>
      <c r="AG1635" s="625">
        <v>49.332000000000001</v>
      </c>
      <c r="AH1635" s="625">
        <v>49.332000000000001</v>
      </c>
      <c r="AI1635" s="625">
        <v>49.332000000000001</v>
      </c>
      <c r="AJ1635" s="625">
        <v>49.332000000000001</v>
      </c>
      <c r="AK1635" s="625">
        <v>49.332000000000001</v>
      </c>
      <c r="AL1635" s="625">
        <v>49.332000000000001</v>
      </c>
      <c r="AM1635" s="625">
        <v>49.332000000000001</v>
      </c>
      <c r="AN1635" s="625">
        <v>49.332000000000001</v>
      </c>
      <c r="AO1635" s="625">
        <v>49.332000000000001</v>
      </c>
      <c r="AP1635" s="41" t="str">
        <f t="shared" si="761"/>
        <v>Def TaxR</v>
      </c>
      <c r="AQ1635" s="41" t="str">
        <f t="shared" si="762"/>
        <v>Def TaxRR11Medicare Part D</v>
      </c>
      <c r="AR1635" s="41" t="str">
        <f t="shared" si="763"/>
        <v>R11Medicare Part D</v>
      </c>
    </row>
    <row r="1636" spans="1:44" s="41" customFormat="1" ht="12.75" customHeight="1">
      <c r="A1636" s="25" t="s">
        <v>1590</v>
      </c>
      <c r="B1636" s="25" t="str">
        <f t="shared" si="775"/>
        <v>Def Tax190031BTHUNGDT</v>
      </c>
      <c r="C1636" s="736">
        <v>190031</v>
      </c>
      <c r="D1636" s="735"/>
      <c r="E1636" s="41" t="s">
        <v>1624</v>
      </c>
      <c r="F1636" s="41" t="str">
        <f t="shared" si="766"/>
        <v>ADIT - EEBEN - FEDERAL - ELECTRIC</v>
      </c>
      <c r="G1636" s="41" t="s">
        <v>1880</v>
      </c>
      <c r="H1636" s="736" t="s">
        <v>1647</v>
      </c>
      <c r="I1636" s="25"/>
      <c r="J1636" s="25" t="str">
        <f t="shared" si="767"/>
        <v/>
      </c>
      <c r="K1636" s="442" t="str">
        <f t="shared" si="774"/>
        <v/>
      </c>
      <c r="L1636" s="736" t="s">
        <v>2443</v>
      </c>
      <c r="M1636" s="25" t="str">
        <f t="shared" si="760"/>
        <v>R</v>
      </c>
      <c r="N1636" s="25" t="str">
        <f>IF(L1636&lt;&gt;"",VLOOKUP(L1636,Categories!$B$2:$D$41,2,FALSE),IF(F1636&lt;&gt;"","No Cat",""))</f>
        <v>Rate Base</v>
      </c>
      <c r="O1636" s="25" t="str">
        <f>IF($L1636&lt;&gt;"",VLOOKUP($L1636,Categories!$B$2:$D$41,3,FALSE),IF($F1636&lt;&gt;"","No Cat",""))</f>
        <v>Deferred Income Taxes</v>
      </c>
      <c r="P1636" s="736" t="s">
        <v>2482</v>
      </c>
      <c r="Q1636" s="25" t="str">
        <f>VLOOKUP($P1636,Allocators!$B$7:$F$19,5,FALSE)</f>
        <v>Electric</v>
      </c>
      <c r="R1636" s="737">
        <f>VLOOKUP($P1636,Allocators!$B$7:$F$19,2,FALSE)</f>
        <v>1</v>
      </c>
      <c r="S1636" s="737">
        <f>VLOOKUP($P1636,Allocators!$B$7:$F$19,3,FALSE)</f>
        <v>0</v>
      </c>
      <c r="T1636" s="737" t="str">
        <f t="shared" si="759"/>
        <v>0.0%</v>
      </c>
      <c r="U1636" s="2" t="str">
        <f t="shared" si="768"/>
        <v/>
      </c>
      <c r="V1636" s="2" t="str">
        <f t="shared" si="769"/>
        <v/>
      </c>
      <c r="W1636" s="2" t="str">
        <f t="shared" si="770"/>
        <v/>
      </c>
      <c r="X1636" s="2">
        <f t="shared" si="764"/>
        <v>0</v>
      </c>
      <c r="Y1636" s="2" t="str">
        <f t="shared" si="771"/>
        <v/>
      </c>
      <c r="Z1636" s="2" t="str">
        <f t="shared" si="772"/>
        <v/>
      </c>
      <c r="AA1636" s="2" t="str">
        <f t="shared" si="773"/>
        <v/>
      </c>
      <c r="AB1636" s="2">
        <f t="shared" si="765"/>
        <v>0</v>
      </c>
      <c r="AC1636" s="625">
        <v>0</v>
      </c>
      <c r="AD1636" s="625">
        <v>0</v>
      </c>
      <c r="AE1636" s="625">
        <v>0</v>
      </c>
      <c r="AF1636" s="625">
        <v>0</v>
      </c>
      <c r="AG1636" s="625">
        <v>0</v>
      </c>
      <c r="AH1636" s="625">
        <v>0</v>
      </c>
      <c r="AI1636" s="625">
        <v>0</v>
      </c>
      <c r="AJ1636" s="625">
        <v>0</v>
      </c>
      <c r="AK1636" s="625">
        <v>0</v>
      </c>
      <c r="AL1636" s="625">
        <v>0</v>
      </c>
      <c r="AM1636" s="625">
        <v>0</v>
      </c>
      <c r="AN1636" s="625">
        <v>0</v>
      </c>
      <c r="AO1636" s="625">
        <v>0</v>
      </c>
      <c r="AP1636" s="41" t="str">
        <f t="shared" si="761"/>
        <v>Def TaxR</v>
      </c>
      <c r="AQ1636" s="41" t="str">
        <f t="shared" si="762"/>
        <v>Def TaxRR11Deferred Comp</v>
      </c>
      <c r="AR1636" s="41" t="str">
        <f t="shared" si="763"/>
        <v>R11Deferred Comp</v>
      </c>
    </row>
    <row r="1637" spans="1:44" s="41" customFormat="1" ht="12.75" customHeight="1">
      <c r="A1637" s="25" t="s">
        <v>1590</v>
      </c>
      <c r="B1637" s="25" t="str">
        <f t="shared" si="775"/>
        <v>Def Tax190031BTHUNGDT</v>
      </c>
      <c r="C1637" s="736">
        <v>190031</v>
      </c>
      <c r="D1637" s="735"/>
      <c r="E1637" s="41" t="s">
        <v>1624</v>
      </c>
      <c r="F1637" s="41" t="str">
        <f t="shared" si="766"/>
        <v>ADIT - EEBEN - FEDERAL - ELECTRIC</v>
      </c>
      <c r="G1637" s="41" t="s">
        <v>1881</v>
      </c>
      <c r="H1637" s="736" t="s">
        <v>1673</v>
      </c>
      <c r="I1637" s="25"/>
      <c r="J1637" s="25" t="str">
        <f t="shared" si="767"/>
        <v/>
      </c>
      <c r="K1637" s="442" t="str">
        <f t="shared" si="774"/>
        <v/>
      </c>
      <c r="L1637" s="736" t="s">
        <v>2443</v>
      </c>
      <c r="M1637" s="25" t="str">
        <f t="shared" si="760"/>
        <v>R</v>
      </c>
      <c r="N1637" s="25" t="str">
        <f>IF(L1637&lt;&gt;"",VLOOKUP(L1637,Categories!$B$2:$D$41,2,FALSE),IF(F1637&lt;&gt;"","No Cat",""))</f>
        <v>Rate Base</v>
      </c>
      <c r="O1637" s="25" t="str">
        <f>IF($L1637&lt;&gt;"",VLOOKUP($L1637,Categories!$B$2:$D$41,3,FALSE),IF($F1637&lt;&gt;"","No Cat",""))</f>
        <v>Deferred Income Taxes</v>
      </c>
      <c r="P1637" s="736" t="s">
        <v>2482</v>
      </c>
      <c r="Q1637" s="25" t="str">
        <f>VLOOKUP($P1637,Allocators!$B$7:$F$19,5,FALSE)</f>
        <v>Electric</v>
      </c>
      <c r="R1637" s="737">
        <f>VLOOKUP($P1637,Allocators!$B$7:$F$19,2,FALSE)</f>
        <v>1</v>
      </c>
      <c r="S1637" s="737">
        <f>VLOOKUP($P1637,Allocators!$B$7:$F$19,3,FALSE)</f>
        <v>0</v>
      </c>
      <c r="T1637" s="737" t="str">
        <f t="shared" si="759"/>
        <v>0.0%</v>
      </c>
      <c r="U1637" s="2" t="str">
        <f t="shared" si="768"/>
        <v/>
      </c>
      <c r="V1637" s="2" t="str">
        <f t="shared" si="769"/>
        <v/>
      </c>
      <c r="W1637" s="2" t="str">
        <f t="shared" si="770"/>
        <v/>
      </c>
      <c r="X1637" s="2">
        <f t="shared" si="764"/>
        <v>0</v>
      </c>
      <c r="Y1637" s="2" t="str">
        <f t="shared" si="771"/>
        <v/>
      </c>
      <c r="Z1637" s="2" t="str">
        <f t="shared" si="772"/>
        <v/>
      </c>
      <c r="AA1637" s="2" t="str">
        <f t="shared" si="773"/>
        <v/>
      </c>
      <c r="AB1637" s="2">
        <f t="shared" si="765"/>
        <v>0</v>
      </c>
      <c r="AC1637" s="625">
        <v>0</v>
      </c>
      <c r="AD1637" s="625">
        <v>0</v>
      </c>
      <c r="AE1637" s="625">
        <v>0</v>
      </c>
      <c r="AF1637" s="625">
        <v>0</v>
      </c>
      <c r="AG1637" s="625">
        <v>0</v>
      </c>
      <c r="AH1637" s="625">
        <v>0</v>
      </c>
      <c r="AI1637" s="625">
        <v>0</v>
      </c>
      <c r="AJ1637" s="625">
        <v>0</v>
      </c>
      <c r="AK1637" s="625">
        <v>0</v>
      </c>
      <c r="AL1637" s="625">
        <v>0</v>
      </c>
      <c r="AM1637" s="625">
        <v>0</v>
      </c>
      <c r="AN1637" s="625">
        <v>0</v>
      </c>
      <c r="AO1637" s="625">
        <v>0</v>
      </c>
      <c r="AP1637" s="41" t="str">
        <f t="shared" si="761"/>
        <v>Def TaxR</v>
      </c>
      <c r="AQ1637" s="41" t="str">
        <f t="shared" si="762"/>
        <v>Def TaxRR11Pension</v>
      </c>
      <c r="AR1637" s="41" t="str">
        <f t="shared" si="763"/>
        <v>R11Pension</v>
      </c>
    </row>
    <row r="1638" spans="1:44" s="41" customFormat="1" ht="12.75" customHeight="1">
      <c r="A1638" s="25" t="s">
        <v>1590</v>
      </c>
      <c r="B1638" s="25" t="str">
        <f t="shared" si="775"/>
        <v>Def Tax190032BT010070</v>
      </c>
      <c r="C1638" s="736">
        <v>190032</v>
      </c>
      <c r="D1638" s="735"/>
      <c r="E1638" s="41" t="s">
        <v>1675</v>
      </c>
      <c r="F1638" s="41" t="str">
        <f t="shared" si="766"/>
        <v>ADIT - EEBEN - FEDERAL - GAS</v>
      </c>
      <c r="G1638" s="41" t="s">
        <v>1872</v>
      </c>
      <c r="H1638" s="736" t="s">
        <v>1677</v>
      </c>
      <c r="I1638" s="25"/>
      <c r="J1638" s="25" t="str">
        <f t="shared" si="767"/>
        <v/>
      </c>
      <c r="K1638" s="442" t="str">
        <f t="shared" si="774"/>
        <v/>
      </c>
      <c r="L1638" s="736" t="s">
        <v>2443</v>
      </c>
      <c r="M1638" s="25" t="str">
        <f t="shared" si="760"/>
        <v>R</v>
      </c>
      <c r="N1638" s="25" t="str">
        <f>IF(L1638&lt;&gt;"",VLOOKUP(L1638,Categories!$B$2:$D$41,2,FALSE),IF(F1638&lt;&gt;"","No Cat",""))</f>
        <v>Rate Base</v>
      </c>
      <c r="O1638" s="25" t="str">
        <f>IF($L1638&lt;&gt;"",VLOOKUP($L1638,Categories!$B$2:$D$41,3,FALSE),IF($F1638&lt;&gt;"","No Cat",""))</f>
        <v>Deferred Income Taxes</v>
      </c>
      <c r="P1638" s="736" t="s">
        <v>2483</v>
      </c>
      <c r="Q1638" s="25" t="str">
        <f>VLOOKUP($P1638,Allocators!$B$7:$F$19,5,FALSE)</f>
        <v>Gas</v>
      </c>
      <c r="R1638" s="737">
        <f>VLOOKUP($P1638,Allocators!$B$7:$F$19,2,FALSE)</f>
        <v>0</v>
      </c>
      <c r="S1638" s="737">
        <f>VLOOKUP($P1638,Allocators!$B$7:$F$19,3,FALSE)</f>
        <v>1</v>
      </c>
      <c r="T1638" s="737" t="str">
        <f t="shared" si="759"/>
        <v>0.0%</v>
      </c>
      <c r="U1638" s="2">
        <f t="shared" si="768"/>
        <v>0</v>
      </c>
      <c r="V1638" s="2">
        <f t="shared" si="769"/>
        <v>69.900819999999996</v>
      </c>
      <c r="W1638" s="2">
        <f t="shared" si="770"/>
        <v>0</v>
      </c>
      <c r="X1638" s="2">
        <f t="shared" si="764"/>
        <v>69.900819999999996</v>
      </c>
      <c r="Y1638" s="2">
        <f t="shared" si="771"/>
        <v>0</v>
      </c>
      <c r="Z1638" s="2">
        <f t="shared" si="772"/>
        <v>69.900819999999996</v>
      </c>
      <c r="AA1638" s="2">
        <f t="shared" si="773"/>
        <v>0</v>
      </c>
      <c r="AB1638" s="2">
        <f t="shared" si="765"/>
        <v>69.90082000000001</v>
      </c>
      <c r="AC1638" s="625">
        <v>69.90082000000001</v>
      </c>
      <c r="AD1638" s="625">
        <v>69.90082000000001</v>
      </c>
      <c r="AE1638" s="625">
        <v>69.90082000000001</v>
      </c>
      <c r="AF1638" s="625">
        <v>69.90082000000001</v>
      </c>
      <c r="AG1638" s="625">
        <v>69.90082000000001</v>
      </c>
      <c r="AH1638" s="625">
        <v>69.90082000000001</v>
      </c>
      <c r="AI1638" s="625">
        <v>69.90082000000001</v>
      </c>
      <c r="AJ1638" s="625">
        <v>69.90082000000001</v>
      </c>
      <c r="AK1638" s="625">
        <v>69.90082000000001</v>
      </c>
      <c r="AL1638" s="625">
        <v>69.90082000000001</v>
      </c>
      <c r="AM1638" s="625">
        <v>69.90082000000001</v>
      </c>
      <c r="AN1638" s="625">
        <v>69.90082000000001</v>
      </c>
      <c r="AO1638" s="625">
        <v>69.90082000000001</v>
      </c>
      <c r="AP1638" s="41" t="str">
        <f t="shared" si="761"/>
        <v>Def TaxR</v>
      </c>
      <c r="AQ1638" s="41" t="str">
        <f t="shared" si="762"/>
        <v>Def TaxRR11Personal Time</v>
      </c>
      <c r="AR1638" s="41" t="str">
        <f t="shared" si="763"/>
        <v>R11Personal Time</v>
      </c>
    </row>
    <row r="1639" spans="1:44" s="41" customFormat="1" ht="12.75" customHeight="1">
      <c r="A1639" s="442" t="s">
        <v>1590</v>
      </c>
      <c r="B1639" s="442" t="str">
        <f t="shared" si="775"/>
        <v>Def Tax190032BT010083</v>
      </c>
      <c r="C1639" s="736">
        <v>190032</v>
      </c>
      <c r="D1639" s="735"/>
      <c r="E1639" s="626" t="s">
        <v>1794</v>
      </c>
      <c r="F1639" s="626" t="str">
        <f t="shared" si="766"/>
        <v>ADIT - EEBEN - FEDERAL - GAS</v>
      </c>
      <c r="G1639" s="626" t="s">
        <v>1796</v>
      </c>
      <c r="H1639" s="736" t="s">
        <v>1796</v>
      </c>
      <c r="I1639" s="442"/>
      <c r="J1639" s="442" t="str">
        <f t="shared" si="767"/>
        <v/>
      </c>
      <c r="K1639" s="442" t="str">
        <f t="shared" si="774"/>
        <v/>
      </c>
      <c r="L1639" s="736" t="s">
        <v>2421</v>
      </c>
      <c r="M1639" s="442" t="str">
        <f t="shared" si="760"/>
        <v>N</v>
      </c>
      <c r="N1639" s="442" t="str">
        <f>IF(L1639&lt;&gt;"",VLOOKUP(L1639,Categories!$B$2:$D$41,2,FALSE),IF(F1639&lt;&gt;"","No Cat",""))</f>
        <v>NRBASE</v>
      </c>
      <c r="O1639" s="442" t="str">
        <f>IF($L1639&lt;&gt;"",VLOOKUP($L1639,Categories!$B$2:$D$41,3,FALSE),IF($F1639&lt;&gt;"","No Cat",""))</f>
        <v>Direct Assign Items Not in RB</v>
      </c>
      <c r="P1639" s="736" t="s">
        <v>2468</v>
      </c>
      <c r="Q1639" s="442" t="str">
        <f>VLOOKUP($P1639,Allocators!$B$7:$F$19,5,FALSE)</f>
        <v>Not in Rate Base</v>
      </c>
      <c r="R1639" s="737">
        <f>VLOOKUP($P1639,Allocators!$B$7:$F$19,2,FALSE)</f>
        <v>0</v>
      </c>
      <c r="S1639" s="737">
        <f>VLOOKUP($P1639,Allocators!$B$7:$F$19,3,FALSE)</f>
        <v>0</v>
      </c>
      <c r="T1639" s="737">
        <f t="shared" ref="T1639:T1702" si="776">IF(P1639="N",1,"0.0%")</f>
        <v>1</v>
      </c>
      <c r="U1639" s="2">
        <f t="shared" si="768"/>
        <v>0</v>
      </c>
      <c r="V1639" s="2">
        <f t="shared" si="769"/>
        <v>0</v>
      </c>
      <c r="W1639" s="2">
        <f t="shared" si="770"/>
        <v>149.70575833333299</v>
      </c>
      <c r="X1639" s="2">
        <f t="shared" si="764"/>
        <v>149.70575833333299</v>
      </c>
      <c r="Y1639" s="2">
        <f t="shared" si="771"/>
        <v>0</v>
      </c>
      <c r="Z1639" s="2">
        <f t="shared" si="772"/>
        <v>0</v>
      </c>
      <c r="AA1639" s="2">
        <f t="shared" si="773"/>
        <v>135.18925999999999</v>
      </c>
      <c r="AB1639" s="2">
        <f t="shared" si="765"/>
        <v>135.18926000000002</v>
      </c>
      <c r="AC1639" s="625">
        <v>155.68314000000001</v>
      </c>
      <c r="AD1639" s="625">
        <v>155.68314000000001</v>
      </c>
      <c r="AE1639" s="625">
        <v>155.68314000000001</v>
      </c>
      <c r="AF1639" s="625">
        <v>155.68314000000001</v>
      </c>
      <c r="AG1639" s="625">
        <v>155.68314000000001</v>
      </c>
      <c r="AH1639" s="625">
        <v>155.68314000000001</v>
      </c>
      <c r="AI1639" s="625">
        <v>155.68314000000001</v>
      </c>
      <c r="AJ1639" s="625">
        <v>155.68314000000001</v>
      </c>
      <c r="AK1639" s="625">
        <v>155.68314000000001</v>
      </c>
      <c r="AL1639" s="625">
        <v>135.18926000000002</v>
      </c>
      <c r="AM1639" s="625">
        <v>135.18926000000002</v>
      </c>
      <c r="AN1639" s="625">
        <v>135.18926000000002</v>
      </c>
      <c r="AO1639" s="625">
        <v>135.18926000000002</v>
      </c>
      <c r="AP1639" s="41" t="str">
        <f t="shared" si="761"/>
        <v>Def TaxN</v>
      </c>
      <c r="AQ1639" s="41" t="str">
        <f t="shared" si="762"/>
        <v>Def TaxNN2Executive Incentive Plan</v>
      </c>
      <c r="AR1639" s="41" t="str">
        <f t="shared" si="763"/>
        <v>N2Executive Incentive Plan</v>
      </c>
    </row>
    <row r="1640" spans="1:44" s="41" customFormat="1" ht="12.75" customHeight="1">
      <c r="A1640" s="25" t="s">
        <v>1590</v>
      </c>
      <c r="B1640" s="25" t="str">
        <f t="shared" si="775"/>
        <v>Def Tax190032BT010088</v>
      </c>
      <c r="C1640" s="736">
        <v>190032</v>
      </c>
      <c r="D1640" s="735"/>
      <c r="E1640" s="41" t="s">
        <v>1651</v>
      </c>
      <c r="F1640" s="41" t="str">
        <f t="shared" si="766"/>
        <v>ADIT - EEBEN - FEDERAL - GAS</v>
      </c>
      <c r="G1640" s="41" t="s">
        <v>1652</v>
      </c>
      <c r="H1640" s="736" t="s">
        <v>1586</v>
      </c>
      <c r="I1640" s="25"/>
      <c r="J1640" s="25" t="str">
        <f t="shared" si="767"/>
        <v/>
      </c>
      <c r="K1640" s="442" t="str">
        <f t="shared" si="774"/>
        <v/>
      </c>
      <c r="L1640" s="736" t="s">
        <v>2443</v>
      </c>
      <c r="M1640" s="25" t="str">
        <f t="shared" si="760"/>
        <v>R</v>
      </c>
      <c r="N1640" s="25" t="str">
        <f>IF(L1640&lt;&gt;"",VLOOKUP(L1640,Categories!$B$2:$D$41,2,FALSE),IF(F1640&lt;&gt;"","No Cat",""))</f>
        <v>Rate Base</v>
      </c>
      <c r="O1640" s="25" t="str">
        <f>IF($L1640&lt;&gt;"",VLOOKUP($L1640,Categories!$B$2:$D$41,3,FALSE),IF($F1640&lt;&gt;"","No Cat",""))</f>
        <v>Deferred Income Taxes</v>
      </c>
      <c r="P1640" s="736" t="s">
        <v>2483</v>
      </c>
      <c r="Q1640" s="25" t="str">
        <f>VLOOKUP($P1640,Allocators!$B$7:$F$19,5,FALSE)</f>
        <v>Gas</v>
      </c>
      <c r="R1640" s="737">
        <f>VLOOKUP($P1640,Allocators!$B$7:$F$19,2,FALSE)</f>
        <v>0</v>
      </c>
      <c r="S1640" s="737">
        <f>VLOOKUP($P1640,Allocators!$B$7:$F$19,3,FALSE)</f>
        <v>1</v>
      </c>
      <c r="T1640" s="737" t="str">
        <f t="shared" si="776"/>
        <v>0.0%</v>
      </c>
      <c r="U1640" s="2">
        <f t="shared" si="768"/>
        <v>0</v>
      </c>
      <c r="V1640" s="2">
        <f t="shared" si="769"/>
        <v>568.385938333333</v>
      </c>
      <c r="W1640" s="2">
        <f t="shared" si="770"/>
        <v>0</v>
      </c>
      <c r="X1640" s="2">
        <f t="shared" si="764"/>
        <v>568.385938333333</v>
      </c>
      <c r="Y1640" s="2">
        <f t="shared" si="771"/>
        <v>0</v>
      </c>
      <c r="Z1640" s="2">
        <f t="shared" si="772"/>
        <v>530.59124999999995</v>
      </c>
      <c r="AA1640" s="2">
        <f t="shared" si="773"/>
        <v>0</v>
      </c>
      <c r="AB1640" s="2">
        <f t="shared" si="765"/>
        <v>530.59124999999995</v>
      </c>
      <c r="AC1640" s="625">
        <v>566.55648999999994</v>
      </c>
      <c r="AD1640" s="625">
        <v>567.27139</v>
      </c>
      <c r="AE1640" s="625">
        <v>567.83726999999999</v>
      </c>
      <c r="AF1640" s="625">
        <v>568.36494999999991</v>
      </c>
      <c r="AG1640" s="625">
        <v>568.97840000000008</v>
      </c>
      <c r="AH1640" s="625">
        <v>569.58301000000006</v>
      </c>
      <c r="AI1640" s="625">
        <v>570.20441000000005</v>
      </c>
      <c r="AJ1640" s="625">
        <v>570.97754000000009</v>
      </c>
      <c r="AK1640" s="625">
        <v>571.50787000000003</v>
      </c>
      <c r="AL1640" s="625">
        <v>571.89655000000005</v>
      </c>
      <c r="AM1640" s="625">
        <v>572.65655000000004</v>
      </c>
      <c r="AN1640" s="625">
        <v>572.77945</v>
      </c>
      <c r="AO1640" s="625">
        <v>530.59124999999995</v>
      </c>
      <c r="AP1640" s="41" t="str">
        <f t="shared" si="761"/>
        <v>Def TaxR</v>
      </c>
      <c r="AQ1640" s="41" t="str">
        <f t="shared" si="762"/>
        <v>Def TaxRR11FAS 112</v>
      </c>
      <c r="AR1640" s="41" t="str">
        <f t="shared" si="763"/>
        <v>R11FAS 112</v>
      </c>
    </row>
    <row r="1641" spans="1:44" s="41" customFormat="1" ht="12.75" customHeight="1">
      <c r="A1641" s="25" t="s">
        <v>1590</v>
      </c>
      <c r="B1641" s="25" t="str">
        <f t="shared" si="775"/>
        <v>Def Tax190032BT010089</v>
      </c>
      <c r="C1641" s="736">
        <v>190032</v>
      </c>
      <c r="D1641" s="735"/>
      <c r="E1641" s="41" t="s">
        <v>1679</v>
      </c>
      <c r="F1641" s="41" t="str">
        <f t="shared" si="766"/>
        <v>ADIT - EEBEN - FEDERAL - GAS</v>
      </c>
      <c r="G1641" s="41" t="s">
        <v>1873</v>
      </c>
      <c r="H1641" s="736" t="s">
        <v>927</v>
      </c>
      <c r="I1641" s="25"/>
      <c r="J1641" s="25" t="str">
        <f t="shared" si="767"/>
        <v/>
      </c>
      <c r="K1641" s="442" t="str">
        <f t="shared" si="774"/>
        <v/>
      </c>
      <c r="L1641" s="736" t="s">
        <v>2443</v>
      </c>
      <c r="M1641" s="25" t="str">
        <f t="shared" si="760"/>
        <v>R</v>
      </c>
      <c r="N1641" s="25" t="str">
        <f>IF(L1641&lt;&gt;"",VLOOKUP(L1641,Categories!$B$2:$D$41,2,FALSE),IF(F1641&lt;&gt;"","No Cat",""))</f>
        <v>Rate Base</v>
      </c>
      <c r="O1641" s="25" t="str">
        <f>IF($L1641&lt;&gt;"",VLOOKUP($L1641,Categories!$B$2:$D$41,3,FALSE),IF($F1641&lt;&gt;"","No Cat",""))</f>
        <v>Deferred Income Taxes</v>
      </c>
      <c r="P1641" s="736" t="s">
        <v>2483</v>
      </c>
      <c r="Q1641" s="25" t="str">
        <f>VLOOKUP($P1641,Allocators!$B$7:$F$19,5,FALSE)</f>
        <v>Gas</v>
      </c>
      <c r="R1641" s="737">
        <f>VLOOKUP($P1641,Allocators!$B$7:$F$19,2,FALSE)</f>
        <v>0</v>
      </c>
      <c r="S1641" s="737">
        <f>VLOOKUP($P1641,Allocators!$B$7:$F$19,3,FALSE)</f>
        <v>1</v>
      </c>
      <c r="T1641" s="737" t="str">
        <f t="shared" si="776"/>
        <v>0.0%</v>
      </c>
      <c r="U1641" s="2">
        <f t="shared" si="768"/>
        <v>0</v>
      </c>
      <c r="V1641" s="2">
        <f t="shared" si="769"/>
        <v>5233.26062</v>
      </c>
      <c r="W1641" s="2">
        <f t="shared" si="770"/>
        <v>0</v>
      </c>
      <c r="X1641" s="2">
        <f t="shared" si="764"/>
        <v>5233.26062</v>
      </c>
      <c r="Y1641" s="2">
        <f t="shared" si="771"/>
        <v>0</v>
      </c>
      <c r="Z1641" s="2">
        <f t="shared" si="772"/>
        <v>6103.9986200000003</v>
      </c>
      <c r="AA1641" s="2">
        <f t="shared" si="773"/>
        <v>0</v>
      </c>
      <c r="AB1641" s="2">
        <f t="shared" si="765"/>
        <v>6103.9986200000003</v>
      </c>
      <c r="AC1641" s="625">
        <v>5189.0100400000001</v>
      </c>
      <c r="AD1641" s="625">
        <v>5179.6757200000002</v>
      </c>
      <c r="AE1641" s="625">
        <v>5287.64156</v>
      </c>
      <c r="AF1641" s="625">
        <v>5267.6042600000001</v>
      </c>
      <c r="AG1641" s="625">
        <v>5238.3617199999999</v>
      </c>
      <c r="AH1641" s="625">
        <v>5217.81016</v>
      </c>
      <c r="AI1641" s="625">
        <v>5160.0791200000003</v>
      </c>
      <c r="AJ1641" s="625">
        <v>5149.0485599999993</v>
      </c>
      <c r="AK1641" s="625">
        <v>5136.4133000000002</v>
      </c>
      <c r="AL1641" s="625">
        <v>5127.7922699999999</v>
      </c>
      <c r="AM1641" s="625">
        <v>5125.6633200000006</v>
      </c>
      <c r="AN1641" s="625">
        <v>5262.5331200000001</v>
      </c>
      <c r="AO1641" s="625">
        <v>6103.9986200000003</v>
      </c>
      <c r="AP1641" s="41" t="str">
        <f t="shared" si="761"/>
        <v>Def TaxR</v>
      </c>
      <c r="AQ1641" s="41" t="str">
        <f t="shared" si="762"/>
        <v>Def TaxRR11OPEB</v>
      </c>
      <c r="AR1641" s="41" t="str">
        <f t="shared" si="763"/>
        <v>R11OPEB</v>
      </c>
    </row>
    <row r="1642" spans="1:44" s="41" customFormat="1" ht="12.75" customHeight="1">
      <c r="A1642" s="25" t="s">
        <v>1590</v>
      </c>
      <c r="B1642" s="25" t="str">
        <f t="shared" si="775"/>
        <v>Def Tax190032BT010125</v>
      </c>
      <c r="C1642" s="736">
        <v>190032</v>
      </c>
      <c r="D1642" s="735"/>
      <c r="E1642" s="41" t="s">
        <v>1668</v>
      </c>
      <c r="F1642" s="41" t="str">
        <f t="shared" si="766"/>
        <v>ADIT - EEBEN - FEDERAL - GAS</v>
      </c>
      <c r="G1642" s="41" t="s">
        <v>1874</v>
      </c>
      <c r="H1642" s="736" t="s">
        <v>1118</v>
      </c>
      <c r="I1642" s="25"/>
      <c r="J1642" s="25" t="str">
        <f t="shared" si="767"/>
        <v/>
      </c>
      <c r="K1642" s="442" t="str">
        <f t="shared" si="774"/>
        <v/>
      </c>
      <c r="L1642" s="736" t="s">
        <v>2443</v>
      </c>
      <c r="M1642" s="25" t="str">
        <f t="shared" si="760"/>
        <v>R</v>
      </c>
      <c r="N1642" s="25" t="str">
        <f>IF(L1642&lt;&gt;"",VLOOKUP(L1642,Categories!$B$2:$D$41,2,FALSE),IF(F1642&lt;&gt;"","No Cat",""))</f>
        <v>Rate Base</v>
      </c>
      <c r="O1642" s="25" t="str">
        <f>IF($L1642&lt;&gt;"",VLOOKUP($L1642,Categories!$B$2:$D$41,3,FALSE),IF($F1642&lt;&gt;"","No Cat",""))</f>
        <v>Deferred Income Taxes</v>
      </c>
      <c r="P1642" s="736" t="s">
        <v>2483</v>
      </c>
      <c r="Q1642" s="25" t="str">
        <f>VLOOKUP($P1642,Allocators!$B$7:$F$19,5,FALSE)</f>
        <v>Gas</v>
      </c>
      <c r="R1642" s="737">
        <f>VLOOKUP($P1642,Allocators!$B$7:$F$19,2,FALSE)</f>
        <v>0</v>
      </c>
      <c r="S1642" s="737">
        <f>VLOOKUP($P1642,Allocators!$B$7:$F$19,3,FALSE)</f>
        <v>1</v>
      </c>
      <c r="T1642" s="737" t="str">
        <f t="shared" si="776"/>
        <v>0.0%</v>
      </c>
      <c r="U1642" s="2">
        <f t="shared" si="768"/>
        <v>0</v>
      </c>
      <c r="V1642" s="2">
        <f t="shared" si="769"/>
        <v>-31.97354</v>
      </c>
      <c r="W1642" s="2">
        <f t="shared" si="770"/>
        <v>0</v>
      </c>
      <c r="X1642" s="2">
        <f t="shared" si="764"/>
        <v>-31.97354</v>
      </c>
      <c r="Y1642" s="2">
        <f t="shared" si="771"/>
        <v>0</v>
      </c>
      <c r="Z1642" s="2">
        <f t="shared" si="772"/>
        <v>-31.97354</v>
      </c>
      <c r="AA1642" s="2">
        <f t="shared" si="773"/>
        <v>0</v>
      </c>
      <c r="AB1642" s="2">
        <f t="shared" si="765"/>
        <v>-31.97354</v>
      </c>
      <c r="AC1642" s="625">
        <v>-31.97354</v>
      </c>
      <c r="AD1642" s="625">
        <v>-31.97354</v>
      </c>
      <c r="AE1642" s="625">
        <v>-31.97354</v>
      </c>
      <c r="AF1642" s="625">
        <v>-31.97354</v>
      </c>
      <c r="AG1642" s="625">
        <v>-31.97354</v>
      </c>
      <c r="AH1642" s="625">
        <v>-31.97354</v>
      </c>
      <c r="AI1642" s="625">
        <v>-31.97354</v>
      </c>
      <c r="AJ1642" s="625">
        <v>-31.97354</v>
      </c>
      <c r="AK1642" s="625">
        <v>-31.97354</v>
      </c>
      <c r="AL1642" s="625">
        <v>-31.97354</v>
      </c>
      <c r="AM1642" s="625">
        <v>-31.97354</v>
      </c>
      <c r="AN1642" s="625">
        <v>-31.97354</v>
      </c>
      <c r="AO1642" s="625">
        <v>-31.97354</v>
      </c>
      <c r="AP1642" s="41" t="str">
        <f t="shared" si="761"/>
        <v>Def TaxR</v>
      </c>
      <c r="AQ1642" s="41" t="str">
        <f t="shared" si="762"/>
        <v>Def TaxRR11Medicare Part D</v>
      </c>
      <c r="AR1642" s="41" t="str">
        <f t="shared" si="763"/>
        <v>R11Medicare Part D</v>
      </c>
    </row>
    <row r="1643" spans="1:44" s="41" customFormat="1" ht="12.75" customHeight="1">
      <c r="A1643" s="25" t="s">
        <v>1590</v>
      </c>
      <c r="B1643" s="25" t="str">
        <f t="shared" si="775"/>
        <v>Def Tax190032BT010167</v>
      </c>
      <c r="C1643" s="736">
        <v>190032</v>
      </c>
      <c r="D1643" s="735"/>
      <c r="E1643" s="41" t="s">
        <v>1671</v>
      </c>
      <c r="F1643" s="41" t="str">
        <f t="shared" si="766"/>
        <v>ADIT - EEBEN - FEDERAL - GAS</v>
      </c>
      <c r="G1643" s="41" t="s">
        <v>1875</v>
      </c>
      <c r="H1643" s="736" t="s">
        <v>1673</v>
      </c>
      <c r="I1643" s="25"/>
      <c r="J1643" s="25" t="str">
        <f t="shared" si="767"/>
        <v/>
      </c>
      <c r="K1643" s="442" t="str">
        <f t="shared" si="774"/>
        <v/>
      </c>
      <c r="L1643" s="736" t="s">
        <v>2443</v>
      </c>
      <c r="M1643" s="25" t="str">
        <f t="shared" si="760"/>
        <v>R</v>
      </c>
      <c r="N1643" s="25" t="str">
        <f>IF(L1643&lt;&gt;"",VLOOKUP(L1643,Categories!$B$2:$D$41,2,FALSE),IF(F1643&lt;&gt;"","No Cat",""))</f>
        <v>Rate Base</v>
      </c>
      <c r="O1643" s="25" t="str">
        <f>IF($L1643&lt;&gt;"",VLOOKUP($L1643,Categories!$B$2:$D$41,3,FALSE),IF($F1643&lt;&gt;"","No Cat",""))</f>
        <v>Deferred Income Taxes</v>
      </c>
      <c r="P1643" s="736" t="s">
        <v>2483</v>
      </c>
      <c r="Q1643" s="25" t="str">
        <f>VLOOKUP($P1643,Allocators!$B$7:$F$19,5,FALSE)</f>
        <v>Gas</v>
      </c>
      <c r="R1643" s="737">
        <f>VLOOKUP($P1643,Allocators!$B$7:$F$19,2,FALSE)</f>
        <v>0</v>
      </c>
      <c r="S1643" s="737">
        <f>VLOOKUP($P1643,Allocators!$B$7:$F$19,3,FALSE)</f>
        <v>1</v>
      </c>
      <c r="T1643" s="737" t="str">
        <f t="shared" si="776"/>
        <v>0.0%</v>
      </c>
      <c r="U1643" s="2">
        <f t="shared" si="768"/>
        <v>0</v>
      </c>
      <c r="V1643" s="2">
        <f t="shared" si="769"/>
        <v>5610.7118891666696</v>
      </c>
      <c r="W1643" s="2">
        <f t="shared" si="770"/>
        <v>0</v>
      </c>
      <c r="X1643" s="2">
        <f t="shared" si="764"/>
        <v>5610.7118891666696</v>
      </c>
      <c r="Y1643" s="2">
        <f t="shared" si="771"/>
        <v>0</v>
      </c>
      <c r="Z1643" s="2">
        <f t="shared" si="772"/>
        <v>13118.50531</v>
      </c>
      <c r="AA1643" s="2">
        <f t="shared" si="773"/>
        <v>0</v>
      </c>
      <c r="AB1643" s="2">
        <f t="shared" si="765"/>
        <v>13118.50531</v>
      </c>
      <c r="AC1643" s="625">
        <v>5437.16183</v>
      </c>
      <c r="AD1643" s="625">
        <v>5410.5243899999996</v>
      </c>
      <c r="AE1643" s="625">
        <v>5383.8869500000001</v>
      </c>
      <c r="AF1643" s="625">
        <v>5357.2495099999996</v>
      </c>
      <c r="AG1643" s="625">
        <v>5330.6120700000001</v>
      </c>
      <c r="AH1643" s="625">
        <v>5303.9746299999997</v>
      </c>
      <c r="AI1643" s="625">
        <v>5277.3371900000002</v>
      </c>
      <c r="AJ1643" s="625">
        <v>5250.6997499999998</v>
      </c>
      <c r="AK1643" s="625">
        <v>5224.0623099999993</v>
      </c>
      <c r="AL1643" s="625">
        <v>5197.4248699999998</v>
      </c>
      <c r="AM1643" s="625">
        <v>5170.7874299999994</v>
      </c>
      <c r="AN1643" s="625">
        <v>5144.1499999999996</v>
      </c>
      <c r="AO1643" s="625">
        <v>13118.50531</v>
      </c>
      <c r="AP1643" s="41" t="str">
        <f t="shared" si="761"/>
        <v>Def TaxR</v>
      </c>
      <c r="AQ1643" s="41" t="str">
        <f t="shared" si="762"/>
        <v>Def TaxRR11Pension</v>
      </c>
      <c r="AR1643" s="41" t="str">
        <f t="shared" si="763"/>
        <v>R11Pension</v>
      </c>
    </row>
    <row r="1644" spans="1:44" s="41" customFormat="1" ht="12.75" customHeight="1">
      <c r="A1644" s="25" t="s">
        <v>1590</v>
      </c>
      <c r="B1644" s="25" t="str">
        <f t="shared" si="775"/>
        <v>Def Tax190032BT010167</v>
      </c>
      <c r="C1644" s="736">
        <v>190032</v>
      </c>
      <c r="D1644" s="735"/>
      <c r="E1644" s="41" t="s">
        <v>1671</v>
      </c>
      <c r="F1644" s="41" t="str">
        <f t="shared" si="766"/>
        <v>ADIT - EEBEN - FEDERAL - GAS</v>
      </c>
      <c r="G1644" s="41" t="s">
        <v>1876</v>
      </c>
      <c r="H1644" s="736" t="s">
        <v>1673</v>
      </c>
      <c r="I1644" s="25"/>
      <c r="J1644" s="25" t="str">
        <f t="shared" si="767"/>
        <v/>
      </c>
      <c r="K1644" s="442" t="str">
        <f t="shared" si="774"/>
        <v/>
      </c>
      <c r="L1644" s="736" t="s">
        <v>2443</v>
      </c>
      <c r="M1644" s="25" t="str">
        <f t="shared" si="760"/>
        <v>R</v>
      </c>
      <c r="N1644" s="25" t="str">
        <f>IF(L1644&lt;&gt;"",VLOOKUP(L1644,Categories!$B$2:$D$41,2,FALSE),IF(F1644&lt;&gt;"","No Cat",""))</f>
        <v>Rate Base</v>
      </c>
      <c r="O1644" s="25" t="str">
        <f>IF($L1644&lt;&gt;"",VLOOKUP($L1644,Categories!$B$2:$D$41,3,FALSE),IF($F1644&lt;&gt;"","No Cat",""))</f>
        <v>Deferred Income Taxes</v>
      </c>
      <c r="P1644" s="736" t="s">
        <v>2483</v>
      </c>
      <c r="Q1644" s="25" t="str">
        <f>VLOOKUP($P1644,Allocators!$B$7:$F$19,5,FALSE)</f>
        <v>Gas</v>
      </c>
      <c r="R1644" s="737">
        <f>VLOOKUP($P1644,Allocators!$B$7:$F$19,2,FALSE)</f>
        <v>0</v>
      </c>
      <c r="S1644" s="737">
        <f>VLOOKUP($P1644,Allocators!$B$7:$F$19,3,FALSE)</f>
        <v>1</v>
      </c>
      <c r="T1644" s="737" t="str">
        <f t="shared" si="776"/>
        <v>0.0%</v>
      </c>
      <c r="U1644" s="2">
        <f t="shared" si="768"/>
        <v>0</v>
      </c>
      <c r="V1644" s="2">
        <f t="shared" si="769"/>
        <v>-141.76326458333301</v>
      </c>
      <c r="W1644" s="2">
        <f t="shared" si="770"/>
        <v>0</v>
      </c>
      <c r="X1644" s="2">
        <f t="shared" si="764"/>
        <v>-141.76326458333301</v>
      </c>
      <c r="Y1644" s="2">
        <f t="shared" si="771"/>
        <v>0</v>
      </c>
      <c r="Z1644" s="2">
        <f t="shared" si="772"/>
        <v>-674.81659999999999</v>
      </c>
      <c r="AA1644" s="2">
        <f t="shared" si="773"/>
        <v>0</v>
      </c>
      <c r="AB1644" s="2">
        <f t="shared" si="765"/>
        <v>-674.81659999999999</v>
      </c>
      <c r="AC1644" s="625">
        <v>-129.44121000000001</v>
      </c>
      <c r="AD1644" s="625">
        <v>-127.54995</v>
      </c>
      <c r="AE1644" s="625">
        <v>-125.65869000000001</v>
      </c>
      <c r="AF1644" s="625">
        <v>-123.76744000000001</v>
      </c>
      <c r="AG1644" s="625">
        <v>-121.87617999999999</v>
      </c>
      <c r="AH1644" s="625">
        <v>-119.98492</v>
      </c>
      <c r="AI1644" s="625">
        <v>-118.09366</v>
      </c>
      <c r="AJ1644" s="625">
        <v>-116.2024</v>
      </c>
      <c r="AK1644" s="625">
        <v>-114.31113999999999</v>
      </c>
      <c r="AL1644" s="625">
        <v>-112.41989</v>
      </c>
      <c r="AM1644" s="625">
        <v>-110.52863000000001</v>
      </c>
      <c r="AN1644" s="625">
        <v>-108.63736999999999</v>
      </c>
      <c r="AO1644" s="625">
        <v>-674.81659999999999</v>
      </c>
      <c r="AP1644" s="41" t="str">
        <f t="shared" si="761"/>
        <v>Def TaxR</v>
      </c>
      <c r="AQ1644" s="41" t="str">
        <f t="shared" si="762"/>
        <v>Def TaxRR11Pension</v>
      </c>
      <c r="AR1644" s="41" t="str">
        <f t="shared" si="763"/>
        <v>R11Pension</v>
      </c>
    </row>
    <row r="1645" spans="1:44" s="41" customFormat="1" ht="12.75" customHeight="1">
      <c r="A1645" s="25" t="s">
        <v>1590</v>
      </c>
      <c r="B1645" s="25" t="str">
        <f t="shared" si="775"/>
        <v>Def Tax190032BT010183</v>
      </c>
      <c r="C1645" s="736">
        <v>190032</v>
      </c>
      <c r="D1645" s="735"/>
      <c r="E1645" s="41" t="s">
        <v>1689</v>
      </c>
      <c r="F1645" s="41" t="str">
        <f t="shared" si="766"/>
        <v>ADIT - EEBEN - FEDERAL - GAS</v>
      </c>
      <c r="G1645" s="41" t="s">
        <v>1690</v>
      </c>
      <c r="H1645" s="736" t="s">
        <v>1691</v>
      </c>
      <c r="I1645" s="25"/>
      <c r="J1645" s="25" t="str">
        <f t="shared" si="767"/>
        <v/>
      </c>
      <c r="K1645" s="442" t="str">
        <f t="shared" si="774"/>
        <v/>
      </c>
      <c r="L1645" s="736" t="s">
        <v>2443</v>
      </c>
      <c r="M1645" s="25" t="str">
        <f t="shared" si="760"/>
        <v>R</v>
      </c>
      <c r="N1645" s="25" t="str">
        <f>IF(L1645&lt;&gt;"",VLOOKUP(L1645,Categories!$B$2:$D$41,2,FALSE),IF(F1645&lt;&gt;"","No Cat",""))</f>
        <v>Rate Base</v>
      </c>
      <c r="O1645" s="25" t="str">
        <f>IF($L1645&lt;&gt;"",VLOOKUP($L1645,Categories!$B$2:$D$41,3,FALSE),IF($F1645&lt;&gt;"","No Cat",""))</f>
        <v>Deferred Income Taxes</v>
      </c>
      <c r="P1645" s="736" t="s">
        <v>2483</v>
      </c>
      <c r="Q1645" s="25" t="str">
        <f>VLOOKUP($P1645,Allocators!$B$7:$F$19,5,FALSE)</f>
        <v>Gas</v>
      </c>
      <c r="R1645" s="737">
        <f>VLOOKUP($P1645,Allocators!$B$7:$F$19,2,FALSE)</f>
        <v>0</v>
      </c>
      <c r="S1645" s="737">
        <f>VLOOKUP($P1645,Allocators!$B$7:$F$19,3,FALSE)</f>
        <v>1</v>
      </c>
      <c r="T1645" s="737" t="str">
        <f t="shared" si="776"/>
        <v>0.0%</v>
      </c>
      <c r="U1645" s="2">
        <f t="shared" si="768"/>
        <v>0</v>
      </c>
      <c r="V1645" s="2">
        <f t="shared" si="769"/>
        <v>-77.239549999999994</v>
      </c>
      <c r="W1645" s="2">
        <f t="shared" si="770"/>
        <v>0</v>
      </c>
      <c r="X1645" s="2">
        <f t="shared" si="764"/>
        <v>-77.239549999999994</v>
      </c>
      <c r="Y1645" s="2">
        <f t="shared" si="771"/>
        <v>0</v>
      </c>
      <c r="Z1645" s="2">
        <f t="shared" si="772"/>
        <v>-77.239549999999994</v>
      </c>
      <c r="AA1645" s="2">
        <f t="shared" si="773"/>
        <v>0</v>
      </c>
      <c r="AB1645" s="2">
        <f t="shared" si="765"/>
        <v>-77.239550000000008</v>
      </c>
      <c r="AC1645" s="625">
        <v>-77.239550000000008</v>
      </c>
      <c r="AD1645" s="625">
        <v>-77.239550000000008</v>
      </c>
      <c r="AE1645" s="625">
        <v>-77.239550000000008</v>
      </c>
      <c r="AF1645" s="625">
        <v>-77.239550000000008</v>
      </c>
      <c r="AG1645" s="625">
        <v>-77.239550000000008</v>
      </c>
      <c r="AH1645" s="625">
        <v>-77.239550000000008</v>
      </c>
      <c r="AI1645" s="625">
        <v>-77.239550000000008</v>
      </c>
      <c r="AJ1645" s="625">
        <v>-77.239550000000008</v>
      </c>
      <c r="AK1645" s="625">
        <v>-77.239550000000008</v>
      </c>
      <c r="AL1645" s="625">
        <v>-77.239550000000008</v>
      </c>
      <c r="AM1645" s="625">
        <v>-77.239550000000008</v>
      </c>
      <c r="AN1645" s="625">
        <v>-77.239550000000008</v>
      </c>
      <c r="AO1645" s="625">
        <v>-77.239550000000008</v>
      </c>
      <c r="AP1645" s="41" t="str">
        <f t="shared" si="761"/>
        <v>Def TaxR</v>
      </c>
      <c r="AQ1645" s="41" t="str">
        <f t="shared" si="762"/>
        <v>Def TaxRR11Restricted Stock</v>
      </c>
      <c r="AR1645" s="41" t="str">
        <f t="shared" si="763"/>
        <v>R11Restricted Stock</v>
      </c>
    </row>
    <row r="1646" spans="1:44" s="41" customFormat="1" ht="12.75" customHeight="1">
      <c r="A1646" s="442" t="s">
        <v>1590</v>
      </c>
      <c r="B1646" s="442" t="str">
        <f t="shared" si="775"/>
        <v>Def Tax190032BT010195</v>
      </c>
      <c r="C1646" s="736">
        <v>190032</v>
      </c>
      <c r="D1646" s="735"/>
      <c r="E1646" s="626" t="s">
        <v>1700</v>
      </c>
      <c r="F1646" s="626" t="str">
        <f t="shared" si="766"/>
        <v>ADIT - EEBEN - FEDERAL - GAS</v>
      </c>
      <c r="G1646" s="626" t="s">
        <v>810</v>
      </c>
      <c r="H1646" s="736" t="s">
        <v>810</v>
      </c>
      <c r="I1646" s="442"/>
      <c r="J1646" s="442" t="str">
        <f t="shared" si="767"/>
        <v/>
      </c>
      <c r="K1646" s="442" t="str">
        <f t="shared" si="774"/>
        <v/>
      </c>
      <c r="L1646" s="736" t="s">
        <v>2421</v>
      </c>
      <c r="M1646" s="442" t="str">
        <f t="shared" si="760"/>
        <v>N</v>
      </c>
      <c r="N1646" s="442" t="str">
        <f>IF(L1646&lt;&gt;"",VLOOKUP(L1646,Categories!$B$2:$D$41,2,FALSE),IF(F1646&lt;&gt;"","No Cat",""))</f>
        <v>NRBASE</v>
      </c>
      <c r="O1646" s="442" t="str">
        <f>IF($L1646&lt;&gt;"",VLOOKUP($L1646,Categories!$B$2:$D$41,3,FALSE),IF($F1646&lt;&gt;"","No Cat",""))</f>
        <v>Direct Assign Items Not in RB</v>
      </c>
      <c r="P1646" s="736" t="s">
        <v>2468</v>
      </c>
      <c r="Q1646" s="442" t="str">
        <f>VLOOKUP($P1646,Allocators!$B$7:$F$19,5,FALSE)</f>
        <v>Not in Rate Base</v>
      </c>
      <c r="R1646" s="737">
        <f>VLOOKUP($P1646,Allocators!$B$7:$F$19,2,FALSE)</f>
        <v>0</v>
      </c>
      <c r="S1646" s="737">
        <f>VLOOKUP($P1646,Allocators!$B$7:$F$19,3,FALSE)</f>
        <v>0</v>
      </c>
      <c r="T1646" s="737">
        <f t="shared" si="776"/>
        <v>1</v>
      </c>
      <c r="U1646" s="2">
        <f t="shared" si="768"/>
        <v>0</v>
      </c>
      <c r="V1646" s="2">
        <f t="shared" si="769"/>
        <v>0</v>
      </c>
      <c r="W1646" s="2">
        <f t="shared" si="770"/>
        <v>-475.90159499999999</v>
      </c>
      <c r="X1646" s="2">
        <f t="shared" si="764"/>
        <v>-475.90159499999999</v>
      </c>
      <c r="Y1646" s="2">
        <f t="shared" si="771"/>
        <v>0</v>
      </c>
      <c r="Z1646" s="2">
        <f t="shared" si="772"/>
        <v>0</v>
      </c>
      <c r="AA1646" s="2">
        <f t="shared" si="773"/>
        <v>-318.68268</v>
      </c>
      <c r="AB1646" s="2">
        <f t="shared" si="765"/>
        <v>-318.68268</v>
      </c>
      <c r="AC1646" s="625">
        <v>-420.78212000000002</v>
      </c>
      <c r="AD1646" s="625">
        <v>-415.81200999999999</v>
      </c>
      <c r="AE1646" s="625">
        <v>-410.84189000000003</v>
      </c>
      <c r="AF1646" s="625">
        <v>-472.04453999999998</v>
      </c>
      <c r="AG1646" s="625">
        <v>-467.07443000000001</v>
      </c>
      <c r="AH1646" s="625">
        <v>-462.10432000000003</v>
      </c>
      <c r="AI1646" s="625">
        <v>-504.68090000000001</v>
      </c>
      <c r="AJ1646" s="625">
        <v>-499.71078999999997</v>
      </c>
      <c r="AK1646" s="625">
        <v>-494.74066999999997</v>
      </c>
      <c r="AL1646" s="625">
        <v>-542.99583999999993</v>
      </c>
      <c r="AM1646" s="625">
        <v>-538.02572999999995</v>
      </c>
      <c r="AN1646" s="625">
        <v>-533.05561999999998</v>
      </c>
      <c r="AO1646" s="625">
        <v>-318.68268</v>
      </c>
      <c r="AP1646" s="41" t="str">
        <f t="shared" si="761"/>
        <v>Def TaxN</v>
      </c>
      <c r="AQ1646" s="41" t="str">
        <f t="shared" si="762"/>
        <v>Def TaxNN2SERP</v>
      </c>
      <c r="AR1646" s="41" t="str">
        <f t="shared" si="763"/>
        <v>N2SERP</v>
      </c>
    </row>
    <row r="1647" spans="1:44" s="41" customFormat="1" ht="12.75" customHeight="1">
      <c r="A1647" s="25" t="s">
        <v>1590</v>
      </c>
      <c r="B1647" s="25" t="str">
        <f t="shared" si="775"/>
        <v>Def Tax190032BT010208</v>
      </c>
      <c r="C1647" s="736">
        <v>190032</v>
      </c>
      <c r="D1647" s="735"/>
      <c r="E1647" s="41" t="s">
        <v>1696</v>
      </c>
      <c r="F1647" s="41" t="str">
        <f t="shared" si="766"/>
        <v>ADIT - EEBEN - FEDERAL - GAS</v>
      </c>
      <c r="G1647" s="41" t="s">
        <v>1877</v>
      </c>
      <c r="H1647" s="736" t="s">
        <v>1698</v>
      </c>
      <c r="I1647" s="25"/>
      <c r="J1647" s="25" t="str">
        <f t="shared" si="767"/>
        <v/>
      </c>
      <c r="K1647" s="442" t="str">
        <f t="shared" si="774"/>
        <v/>
      </c>
      <c r="L1647" s="736" t="s">
        <v>2443</v>
      </c>
      <c r="M1647" s="25" t="str">
        <f t="shared" si="760"/>
        <v>R</v>
      </c>
      <c r="N1647" s="25" t="str">
        <f>IF(L1647&lt;&gt;"",VLOOKUP(L1647,Categories!$B$2:$D$41,2,FALSE),IF(F1647&lt;&gt;"","No Cat",""))</f>
        <v>Rate Base</v>
      </c>
      <c r="O1647" s="25" t="str">
        <f>IF($L1647&lt;&gt;"",VLOOKUP($L1647,Categories!$B$2:$D$41,3,FALSE),IF($F1647&lt;&gt;"","No Cat",""))</f>
        <v>Deferred Income Taxes</v>
      </c>
      <c r="P1647" s="736" t="s">
        <v>2483</v>
      </c>
      <c r="Q1647" s="25" t="str">
        <f>VLOOKUP($P1647,Allocators!$B$7:$F$19,5,FALSE)</f>
        <v>Gas</v>
      </c>
      <c r="R1647" s="737">
        <f>VLOOKUP($P1647,Allocators!$B$7:$F$19,2,FALSE)</f>
        <v>0</v>
      </c>
      <c r="S1647" s="737">
        <f>VLOOKUP($P1647,Allocators!$B$7:$F$19,3,FALSE)</f>
        <v>1</v>
      </c>
      <c r="T1647" s="737" t="str">
        <f t="shared" si="776"/>
        <v>0.0%</v>
      </c>
      <c r="U1647" s="2">
        <f t="shared" si="768"/>
        <v>0</v>
      </c>
      <c r="V1647" s="2">
        <f t="shared" si="769"/>
        <v>-9.7943999999999996</v>
      </c>
      <c r="W1647" s="2">
        <f t="shared" si="770"/>
        <v>0</v>
      </c>
      <c r="X1647" s="2">
        <f t="shared" si="764"/>
        <v>-9.7943999999999996</v>
      </c>
      <c r="Y1647" s="2">
        <f t="shared" si="771"/>
        <v>0</v>
      </c>
      <c r="Z1647" s="2">
        <f t="shared" si="772"/>
        <v>-9.7943999999999996</v>
      </c>
      <c r="AA1647" s="2">
        <f t="shared" si="773"/>
        <v>0</v>
      </c>
      <c r="AB1647" s="2">
        <f t="shared" si="765"/>
        <v>-9.7943999999999996</v>
      </c>
      <c r="AC1647" s="625">
        <v>-9.7943999999999996</v>
      </c>
      <c r="AD1647" s="625">
        <v>-9.7943999999999996</v>
      </c>
      <c r="AE1647" s="625">
        <v>-9.7943999999999996</v>
      </c>
      <c r="AF1647" s="625">
        <v>-9.7943999999999996</v>
      </c>
      <c r="AG1647" s="625">
        <v>-9.7943999999999996</v>
      </c>
      <c r="AH1647" s="625">
        <v>-9.7943999999999996</v>
      </c>
      <c r="AI1647" s="625">
        <v>-9.7943999999999996</v>
      </c>
      <c r="AJ1647" s="625">
        <v>-9.7943999999999996</v>
      </c>
      <c r="AK1647" s="625">
        <v>-9.7943999999999996</v>
      </c>
      <c r="AL1647" s="625">
        <v>-9.7943999999999996</v>
      </c>
      <c r="AM1647" s="625">
        <v>-9.7943999999999996</v>
      </c>
      <c r="AN1647" s="625">
        <v>-9.7943999999999996</v>
      </c>
      <c r="AO1647" s="625">
        <v>-9.7943999999999996</v>
      </c>
      <c r="AP1647" s="41" t="str">
        <f t="shared" si="761"/>
        <v>Def TaxR</v>
      </c>
      <c r="AQ1647" s="41" t="str">
        <f t="shared" si="762"/>
        <v>Def TaxRR11Separation Accrual</v>
      </c>
      <c r="AR1647" s="41" t="str">
        <f t="shared" si="763"/>
        <v>R11Separation Accrual</v>
      </c>
    </row>
    <row r="1648" spans="1:44" s="41" customFormat="1" ht="12.75" customHeight="1">
      <c r="A1648" s="442" t="s">
        <v>1590</v>
      </c>
      <c r="B1648" s="442" t="str">
        <f t="shared" si="775"/>
        <v>Def Tax190032BT010211</v>
      </c>
      <c r="C1648" s="736">
        <v>190032</v>
      </c>
      <c r="D1648" s="735"/>
      <c r="E1648" s="626" t="s">
        <v>1703</v>
      </c>
      <c r="F1648" s="626" t="str">
        <f t="shared" si="766"/>
        <v>ADIT - EEBEN - FEDERAL - GAS</v>
      </c>
      <c r="G1648" s="626" t="s">
        <v>1704</v>
      </c>
      <c r="H1648" s="736" t="s">
        <v>1705</v>
      </c>
      <c r="I1648" s="442"/>
      <c r="J1648" s="442" t="str">
        <f t="shared" si="767"/>
        <v/>
      </c>
      <c r="K1648" s="442" t="str">
        <f t="shared" si="774"/>
        <v/>
      </c>
      <c r="L1648" s="736" t="s">
        <v>2421</v>
      </c>
      <c r="M1648" s="442" t="str">
        <f t="shared" si="760"/>
        <v>N</v>
      </c>
      <c r="N1648" s="442" t="str">
        <f>IF(L1648&lt;&gt;"",VLOOKUP(L1648,Categories!$B$2:$D$41,2,FALSE),IF(F1648&lt;&gt;"","No Cat",""))</f>
        <v>NRBASE</v>
      </c>
      <c r="O1648" s="442" t="str">
        <f>IF($L1648&lt;&gt;"",VLOOKUP($L1648,Categories!$B$2:$D$41,3,FALSE),IF($F1648&lt;&gt;"","No Cat",""))</f>
        <v>Direct Assign Items Not in RB</v>
      </c>
      <c r="P1648" s="736" t="s">
        <v>2468</v>
      </c>
      <c r="Q1648" s="442" t="str">
        <f>VLOOKUP($P1648,Allocators!$B$7:$F$19,5,FALSE)</f>
        <v>Not in Rate Base</v>
      </c>
      <c r="R1648" s="737">
        <f>VLOOKUP($P1648,Allocators!$B$7:$F$19,2,FALSE)</f>
        <v>0</v>
      </c>
      <c r="S1648" s="737">
        <f>VLOOKUP($P1648,Allocators!$B$7:$F$19,3,FALSE)</f>
        <v>0</v>
      </c>
      <c r="T1648" s="737">
        <f t="shared" si="776"/>
        <v>1</v>
      </c>
      <c r="U1648" s="2" t="str">
        <f t="shared" si="768"/>
        <v/>
      </c>
      <c r="V1648" s="2" t="str">
        <f t="shared" si="769"/>
        <v/>
      </c>
      <c r="W1648" s="2" t="str">
        <f t="shared" si="770"/>
        <v/>
      </c>
      <c r="X1648" s="2">
        <f t="shared" si="764"/>
        <v>0</v>
      </c>
      <c r="Y1648" s="2" t="str">
        <f t="shared" si="771"/>
        <v/>
      </c>
      <c r="Z1648" s="2" t="str">
        <f t="shared" si="772"/>
        <v/>
      </c>
      <c r="AA1648" s="2" t="str">
        <f t="shared" si="773"/>
        <v/>
      </c>
      <c r="AB1648" s="2">
        <f t="shared" si="765"/>
        <v>0</v>
      </c>
      <c r="AC1648" s="625">
        <v>0</v>
      </c>
      <c r="AD1648" s="625">
        <v>0</v>
      </c>
      <c r="AE1648" s="625">
        <v>0</v>
      </c>
      <c r="AF1648" s="625">
        <v>0</v>
      </c>
      <c r="AG1648" s="625">
        <v>0</v>
      </c>
      <c r="AH1648" s="625">
        <v>0</v>
      </c>
      <c r="AI1648" s="625">
        <v>0</v>
      </c>
      <c r="AJ1648" s="625">
        <v>0</v>
      </c>
      <c r="AK1648" s="625">
        <v>0</v>
      </c>
      <c r="AL1648" s="625">
        <v>0</v>
      </c>
      <c r="AM1648" s="625">
        <v>0</v>
      </c>
      <c r="AN1648" s="625">
        <v>0</v>
      </c>
      <c r="AO1648" s="625">
        <v>0</v>
      </c>
      <c r="AP1648" s="41" t="str">
        <f t="shared" si="761"/>
        <v>Def TaxN</v>
      </c>
      <c r="AQ1648" s="41" t="str">
        <f t="shared" si="762"/>
        <v>Def TaxNN2Iberdrola Merger Severance</v>
      </c>
      <c r="AR1648" s="41" t="str">
        <f t="shared" si="763"/>
        <v>N2Iberdrola Merger Severance</v>
      </c>
    </row>
    <row r="1649" spans="1:44" s="41" customFormat="1" ht="12.75" customHeight="1">
      <c r="A1649" s="25" t="s">
        <v>1590</v>
      </c>
      <c r="B1649" s="25" t="str">
        <f t="shared" si="775"/>
        <v>Def Tax190032BT010220</v>
      </c>
      <c r="C1649" s="736">
        <v>190032</v>
      </c>
      <c r="D1649" s="735"/>
      <c r="E1649" s="41" t="s">
        <v>1710</v>
      </c>
      <c r="F1649" s="41" t="str">
        <f t="shared" si="766"/>
        <v>ADIT - EEBEN - FEDERAL - GAS</v>
      </c>
      <c r="G1649" s="41" t="s">
        <v>1878</v>
      </c>
      <c r="H1649" s="736" t="s">
        <v>1712</v>
      </c>
      <c r="I1649" s="25"/>
      <c r="J1649" s="25" t="str">
        <f t="shared" si="767"/>
        <v/>
      </c>
      <c r="K1649" s="442" t="str">
        <f t="shared" si="774"/>
        <v/>
      </c>
      <c r="L1649" s="736" t="s">
        <v>2443</v>
      </c>
      <c r="M1649" s="25" t="str">
        <f t="shared" si="760"/>
        <v>R</v>
      </c>
      <c r="N1649" s="25" t="str">
        <f>IF(L1649&lt;&gt;"",VLOOKUP(L1649,Categories!$B$2:$D$41,2,FALSE),IF(F1649&lt;&gt;"","No Cat",""))</f>
        <v>Rate Base</v>
      </c>
      <c r="O1649" s="25" t="str">
        <f>IF($L1649&lt;&gt;"",VLOOKUP($L1649,Categories!$B$2:$D$41,3,FALSE),IF($F1649&lt;&gt;"","No Cat",""))</f>
        <v>Deferred Income Taxes</v>
      </c>
      <c r="P1649" s="736" t="s">
        <v>2483</v>
      </c>
      <c r="Q1649" s="25" t="str">
        <f>VLOOKUP($P1649,Allocators!$B$7:$F$19,5,FALSE)</f>
        <v>Gas</v>
      </c>
      <c r="R1649" s="737">
        <f>VLOOKUP($P1649,Allocators!$B$7:$F$19,2,FALSE)</f>
        <v>0</v>
      </c>
      <c r="S1649" s="737">
        <f>VLOOKUP($P1649,Allocators!$B$7:$F$19,3,FALSE)</f>
        <v>1</v>
      </c>
      <c r="T1649" s="737" t="str">
        <f t="shared" si="776"/>
        <v>0.0%</v>
      </c>
      <c r="U1649" s="2">
        <f t="shared" si="768"/>
        <v>0</v>
      </c>
      <c r="V1649" s="2">
        <f t="shared" si="769"/>
        <v>-63.954839999999997</v>
      </c>
      <c r="W1649" s="2">
        <f t="shared" si="770"/>
        <v>0</v>
      </c>
      <c r="X1649" s="2">
        <f t="shared" si="764"/>
        <v>-63.954839999999997</v>
      </c>
      <c r="Y1649" s="2">
        <f t="shared" si="771"/>
        <v>0</v>
      </c>
      <c r="Z1649" s="2">
        <f t="shared" si="772"/>
        <v>-63.954839999999997</v>
      </c>
      <c r="AA1649" s="2">
        <f t="shared" si="773"/>
        <v>0</v>
      </c>
      <c r="AB1649" s="2">
        <f t="shared" si="765"/>
        <v>-63.954839999999997</v>
      </c>
      <c r="AC1649" s="625">
        <v>-63.954839999999997</v>
      </c>
      <c r="AD1649" s="625">
        <v>-63.954839999999997</v>
      </c>
      <c r="AE1649" s="625">
        <v>-63.954839999999997</v>
      </c>
      <c r="AF1649" s="625">
        <v>-63.954839999999997</v>
      </c>
      <c r="AG1649" s="625">
        <v>-63.954839999999997</v>
      </c>
      <c r="AH1649" s="625">
        <v>-63.954839999999997</v>
      </c>
      <c r="AI1649" s="625">
        <v>-63.954839999999997</v>
      </c>
      <c r="AJ1649" s="625">
        <v>-63.954839999999997</v>
      </c>
      <c r="AK1649" s="625">
        <v>-63.954839999999997</v>
      </c>
      <c r="AL1649" s="625">
        <v>-63.954839999999997</v>
      </c>
      <c r="AM1649" s="625">
        <v>-63.954839999999997</v>
      </c>
      <c r="AN1649" s="625">
        <v>-63.954839999999997</v>
      </c>
      <c r="AO1649" s="625">
        <v>-63.954839999999997</v>
      </c>
      <c r="AP1649" s="41" t="str">
        <f t="shared" si="761"/>
        <v>Def TaxR</v>
      </c>
      <c r="AQ1649" s="41" t="str">
        <f t="shared" si="762"/>
        <v>Def TaxRR11Stock Options</v>
      </c>
      <c r="AR1649" s="41" t="str">
        <f t="shared" si="763"/>
        <v>R11Stock Options</v>
      </c>
    </row>
    <row r="1650" spans="1:44" s="41" customFormat="1" ht="12.75" customHeight="1">
      <c r="A1650" s="25" t="s">
        <v>1590</v>
      </c>
      <c r="B1650" s="25" t="str">
        <f t="shared" si="775"/>
        <v>Def Tax190032BT010244</v>
      </c>
      <c r="C1650" s="736">
        <v>190032</v>
      </c>
      <c r="D1650" s="735"/>
      <c r="E1650" s="41" t="s">
        <v>1722</v>
      </c>
      <c r="F1650" s="41" t="str">
        <f t="shared" si="766"/>
        <v>ADIT - EEBEN - FEDERAL - GAS</v>
      </c>
      <c r="G1650" s="41" t="s">
        <v>1724</v>
      </c>
      <c r="H1650" s="736" t="s">
        <v>1724</v>
      </c>
      <c r="I1650" s="25"/>
      <c r="J1650" s="25" t="str">
        <f t="shared" si="767"/>
        <v/>
      </c>
      <c r="K1650" s="442" t="str">
        <f t="shared" si="774"/>
        <v/>
      </c>
      <c r="L1650" s="736" t="s">
        <v>2443</v>
      </c>
      <c r="M1650" s="25" t="str">
        <f t="shared" si="760"/>
        <v>R</v>
      </c>
      <c r="N1650" s="25" t="str">
        <f>IF(L1650&lt;&gt;"",VLOOKUP(L1650,Categories!$B$2:$D$41,2,FALSE),IF(F1650&lt;&gt;"","No Cat",""))</f>
        <v>Rate Base</v>
      </c>
      <c r="O1650" s="25" t="str">
        <f>IF($L1650&lt;&gt;"",VLOOKUP($L1650,Categories!$B$2:$D$41,3,FALSE),IF($F1650&lt;&gt;"","No Cat",""))</f>
        <v>Deferred Income Taxes</v>
      </c>
      <c r="P1650" s="736" t="s">
        <v>2483</v>
      </c>
      <c r="Q1650" s="25" t="str">
        <f>VLOOKUP($P1650,Allocators!$B$7:$F$19,5,FALSE)</f>
        <v>Gas</v>
      </c>
      <c r="R1650" s="737">
        <f>VLOOKUP($P1650,Allocators!$B$7:$F$19,2,FALSE)</f>
        <v>0</v>
      </c>
      <c r="S1650" s="737">
        <f>VLOOKUP($P1650,Allocators!$B$7:$F$19,3,FALSE)</f>
        <v>1</v>
      </c>
      <c r="T1650" s="737" t="str">
        <f t="shared" si="776"/>
        <v>0.0%</v>
      </c>
      <c r="U1650" s="2">
        <f t="shared" si="768"/>
        <v>0</v>
      </c>
      <c r="V1650" s="2">
        <f t="shared" si="769"/>
        <v>245.49066958333299</v>
      </c>
      <c r="W1650" s="2">
        <f t="shared" si="770"/>
        <v>0</v>
      </c>
      <c r="X1650" s="2">
        <f t="shared" si="764"/>
        <v>245.49066958333299</v>
      </c>
      <c r="Y1650" s="2">
        <f t="shared" si="771"/>
        <v>0</v>
      </c>
      <c r="Z1650" s="2">
        <f t="shared" si="772"/>
        <v>250.36790999999999</v>
      </c>
      <c r="AA1650" s="2">
        <f t="shared" si="773"/>
        <v>0</v>
      </c>
      <c r="AB1650" s="2">
        <f t="shared" si="765"/>
        <v>250.36790999999999</v>
      </c>
      <c r="AC1650" s="625">
        <v>242.56432000000001</v>
      </c>
      <c r="AD1650" s="625">
        <v>242.56432000000001</v>
      </c>
      <c r="AE1650" s="625">
        <v>242.56432000000001</v>
      </c>
      <c r="AF1650" s="625">
        <v>242.56432000000001</v>
      </c>
      <c r="AG1650" s="625">
        <v>242.56432000000001</v>
      </c>
      <c r="AH1650" s="625">
        <v>242.56432000000001</v>
      </c>
      <c r="AI1650" s="625">
        <v>242.56432000000001</v>
      </c>
      <c r="AJ1650" s="625">
        <v>242.56432000000001</v>
      </c>
      <c r="AK1650" s="625">
        <v>250.36792000000003</v>
      </c>
      <c r="AL1650" s="625">
        <v>250.36792000000003</v>
      </c>
      <c r="AM1650" s="625">
        <v>250.36792000000003</v>
      </c>
      <c r="AN1650" s="625">
        <v>250.36792000000003</v>
      </c>
      <c r="AO1650" s="625">
        <v>250.36790999999999</v>
      </c>
      <c r="AP1650" s="41" t="str">
        <f t="shared" si="761"/>
        <v>Def TaxR</v>
      </c>
      <c r="AQ1650" s="41" t="str">
        <f t="shared" si="762"/>
        <v>Def TaxRR11Workers Comp Reserve</v>
      </c>
      <c r="AR1650" s="41" t="str">
        <f t="shared" si="763"/>
        <v>R11Workers Comp Reserve</v>
      </c>
    </row>
    <row r="1651" spans="1:44" s="41" customFormat="1" ht="12.75" customHeight="1">
      <c r="A1651" s="442" t="s">
        <v>1590</v>
      </c>
      <c r="B1651" s="442" t="str">
        <f t="shared" si="775"/>
        <v>Def Tax190032BT010356</v>
      </c>
      <c r="C1651" s="736">
        <v>190032</v>
      </c>
      <c r="D1651" s="735"/>
      <c r="E1651" s="626" t="s">
        <v>1660</v>
      </c>
      <c r="F1651" s="626" t="str">
        <f t="shared" si="766"/>
        <v>ADIT - EEBEN - FEDERAL - GAS</v>
      </c>
      <c r="G1651" s="626" t="s">
        <v>1661</v>
      </c>
      <c r="H1651" s="736" t="s">
        <v>1661</v>
      </c>
      <c r="I1651" s="442"/>
      <c r="J1651" s="442" t="str">
        <f t="shared" si="767"/>
        <v/>
      </c>
      <c r="K1651" s="442" t="str">
        <f t="shared" si="774"/>
        <v/>
      </c>
      <c r="L1651" s="736" t="s">
        <v>2421</v>
      </c>
      <c r="M1651" s="442" t="str">
        <f t="shared" si="760"/>
        <v>N</v>
      </c>
      <c r="N1651" s="442" t="str">
        <f>IF(L1651&lt;&gt;"",VLOOKUP(L1651,Categories!$B$2:$D$41,2,FALSE),IF(F1651&lt;&gt;"","No Cat",""))</f>
        <v>NRBASE</v>
      </c>
      <c r="O1651" s="442" t="str">
        <f>IF($L1651&lt;&gt;"",VLOOKUP($L1651,Categories!$B$2:$D$41,3,FALSE),IF($F1651&lt;&gt;"","No Cat",""))</f>
        <v>Direct Assign Items Not in RB</v>
      </c>
      <c r="P1651" s="736" t="s">
        <v>2468</v>
      </c>
      <c r="Q1651" s="442" t="str">
        <f>VLOOKUP($P1651,Allocators!$B$7:$F$19,5,FALSE)</f>
        <v>Not in Rate Base</v>
      </c>
      <c r="R1651" s="737">
        <f>VLOOKUP($P1651,Allocators!$B$7:$F$19,2,FALSE)</f>
        <v>0</v>
      </c>
      <c r="S1651" s="737">
        <f>VLOOKUP($P1651,Allocators!$B$7:$F$19,3,FALSE)</f>
        <v>0</v>
      </c>
      <c r="T1651" s="737">
        <f t="shared" si="776"/>
        <v>1</v>
      </c>
      <c r="U1651" s="2">
        <f t="shared" si="768"/>
        <v>0</v>
      </c>
      <c r="V1651" s="2">
        <f t="shared" si="769"/>
        <v>0</v>
      </c>
      <c r="W1651" s="2">
        <f t="shared" si="770"/>
        <v>94.887437083333396</v>
      </c>
      <c r="X1651" s="2">
        <f t="shared" si="764"/>
        <v>94.887437083333396</v>
      </c>
      <c r="Y1651" s="2">
        <f t="shared" si="771"/>
        <v>0</v>
      </c>
      <c r="Z1651" s="2">
        <f t="shared" si="772"/>
        <v>0</v>
      </c>
      <c r="AA1651" s="2">
        <f t="shared" si="773"/>
        <v>109.91182000000001</v>
      </c>
      <c r="AB1651" s="2">
        <f t="shared" si="765"/>
        <v>109.91182000000001</v>
      </c>
      <c r="AC1651" s="625">
        <v>93.719089999999994</v>
      </c>
      <c r="AD1651" s="625">
        <v>91.991070000000008</v>
      </c>
      <c r="AE1651" s="625">
        <v>93.993399999999994</v>
      </c>
      <c r="AF1651" s="625">
        <v>95.305320000000009</v>
      </c>
      <c r="AG1651" s="625">
        <v>95.589830000000006</v>
      </c>
      <c r="AH1651" s="625">
        <v>94.851350000000011</v>
      </c>
      <c r="AI1651" s="625">
        <v>68.741140000000001</v>
      </c>
      <c r="AJ1651" s="625">
        <v>98.830880000000008</v>
      </c>
      <c r="AK1651" s="625">
        <v>97.774020000000007</v>
      </c>
      <c r="AL1651" s="625">
        <v>95.788679999999999</v>
      </c>
      <c r="AM1651" s="625">
        <v>99.277659999999997</v>
      </c>
      <c r="AN1651" s="625">
        <v>104.69044</v>
      </c>
      <c r="AO1651" s="625">
        <v>109.91182000000001</v>
      </c>
      <c r="AP1651" s="41" t="str">
        <f t="shared" si="761"/>
        <v>Def TaxN</v>
      </c>
      <c r="AQ1651" s="41" t="str">
        <f t="shared" si="762"/>
        <v>Def TaxNN2Long Term Executive Incentive Plan</v>
      </c>
      <c r="AR1651" s="41" t="str">
        <f t="shared" si="763"/>
        <v>N2Long Term Executive Incentive Plan</v>
      </c>
    </row>
    <row r="1652" spans="1:44" s="41" customFormat="1" ht="12.75" customHeight="1">
      <c r="A1652" s="25" t="s">
        <v>1590</v>
      </c>
      <c r="B1652" s="25" t="str">
        <f t="shared" si="775"/>
        <v>Def Tax190032BT010381</v>
      </c>
      <c r="C1652" s="736">
        <v>190032</v>
      </c>
      <c r="D1652" s="735"/>
      <c r="E1652" s="41" t="s">
        <v>1665</v>
      </c>
      <c r="F1652" s="41" t="str">
        <f t="shared" si="766"/>
        <v>ADIT - EEBEN - FEDERAL - GAS</v>
      </c>
      <c r="G1652" s="41" t="s">
        <v>1879</v>
      </c>
      <c r="H1652" s="736" t="s">
        <v>1118</v>
      </c>
      <c r="I1652" s="25"/>
      <c r="J1652" s="25" t="str">
        <f t="shared" si="767"/>
        <v/>
      </c>
      <c r="K1652" s="442" t="str">
        <f t="shared" si="774"/>
        <v/>
      </c>
      <c r="L1652" s="736" t="s">
        <v>2443</v>
      </c>
      <c r="M1652" s="25" t="str">
        <f t="shared" si="760"/>
        <v>R</v>
      </c>
      <c r="N1652" s="25" t="str">
        <f>IF(L1652&lt;&gt;"",VLOOKUP(L1652,Categories!$B$2:$D$41,2,FALSE),IF(F1652&lt;&gt;"","No Cat",""))</f>
        <v>Rate Base</v>
      </c>
      <c r="O1652" s="25" t="str">
        <f>IF($L1652&lt;&gt;"",VLOOKUP($L1652,Categories!$B$2:$D$41,3,FALSE),IF($F1652&lt;&gt;"","No Cat",""))</f>
        <v>Deferred Income Taxes</v>
      </c>
      <c r="P1652" s="736" t="s">
        <v>2483</v>
      </c>
      <c r="Q1652" s="25" t="str">
        <f>VLOOKUP($P1652,Allocators!$B$7:$F$19,5,FALSE)</f>
        <v>Gas</v>
      </c>
      <c r="R1652" s="737">
        <f>VLOOKUP($P1652,Allocators!$B$7:$F$19,2,FALSE)</f>
        <v>0</v>
      </c>
      <c r="S1652" s="737">
        <f>VLOOKUP($P1652,Allocators!$B$7:$F$19,3,FALSE)</f>
        <v>1</v>
      </c>
      <c r="T1652" s="737" t="str">
        <f t="shared" si="776"/>
        <v>0.0%</v>
      </c>
      <c r="U1652" s="2">
        <f t="shared" si="768"/>
        <v>0</v>
      </c>
      <c r="V1652" s="2">
        <f t="shared" si="769"/>
        <v>22.06</v>
      </c>
      <c r="W1652" s="2">
        <f t="shared" si="770"/>
        <v>0</v>
      </c>
      <c r="X1652" s="2">
        <f t="shared" si="764"/>
        <v>22.06</v>
      </c>
      <c r="Y1652" s="2">
        <f t="shared" si="771"/>
        <v>0</v>
      </c>
      <c r="Z1652" s="2">
        <f t="shared" si="772"/>
        <v>22.06</v>
      </c>
      <c r="AA1652" s="2">
        <f t="shared" si="773"/>
        <v>0</v>
      </c>
      <c r="AB1652" s="2">
        <f t="shared" si="765"/>
        <v>22.06</v>
      </c>
      <c r="AC1652" s="625">
        <v>22.06</v>
      </c>
      <c r="AD1652" s="625">
        <v>22.06</v>
      </c>
      <c r="AE1652" s="625">
        <v>22.06</v>
      </c>
      <c r="AF1652" s="625">
        <v>22.06</v>
      </c>
      <c r="AG1652" s="625">
        <v>22.06</v>
      </c>
      <c r="AH1652" s="625">
        <v>22.06</v>
      </c>
      <c r="AI1652" s="625">
        <v>22.06</v>
      </c>
      <c r="AJ1652" s="625">
        <v>22.06</v>
      </c>
      <c r="AK1652" s="625">
        <v>22.06</v>
      </c>
      <c r="AL1652" s="625">
        <v>22.06</v>
      </c>
      <c r="AM1652" s="625">
        <v>22.06</v>
      </c>
      <c r="AN1652" s="625">
        <v>22.06</v>
      </c>
      <c r="AO1652" s="625">
        <v>22.06</v>
      </c>
      <c r="AP1652" s="41" t="str">
        <f t="shared" si="761"/>
        <v>Def TaxR</v>
      </c>
      <c r="AQ1652" s="41" t="str">
        <f t="shared" si="762"/>
        <v>Def TaxRR11Medicare Part D</v>
      </c>
      <c r="AR1652" s="41" t="str">
        <f t="shared" si="763"/>
        <v>R11Medicare Part D</v>
      </c>
    </row>
    <row r="1653" spans="1:44" s="41" customFormat="1" ht="12.75" customHeight="1">
      <c r="A1653" s="25" t="s">
        <v>1590</v>
      </c>
      <c r="B1653" s="25" t="str">
        <f t="shared" si="775"/>
        <v>Def Tax190032BTHUNGDT</v>
      </c>
      <c r="C1653" s="736">
        <v>190032</v>
      </c>
      <c r="D1653" s="735"/>
      <c r="E1653" s="41" t="s">
        <v>1624</v>
      </c>
      <c r="F1653" s="41" t="str">
        <f t="shared" si="766"/>
        <v>ADIT - EEBEN - FEDERAL - GAS</v>
      </c>
      <c r="G1653" s="41" t="s">
        <v>1880</v>
      </c>
      <c r="H1653" s="736" t="s">
        <v>1647</v>
      </c>
      <c r="I1653" s="25"/>
      <c r="J1653" s="25" t="str">
        <f t="shared" si="767"/>
        <v/>
      </c>
      <c r="K1653" s="442" t="str">
        <f t="shared" si="774"/>
        <v/>
      </c>
      <c r="L1653" s="736" t="s">
        <v>2443</v>
      </c>
      <c r="M1653" s="25" t="str">
        <f t="shared" si="760"/>
        <v>R</v>
      </c>
      <c r="N1653" s="25" t="str">
        <f>IF(L1653&lt;&gt;"",VLOOKUP(L1653,Categories!$B$2:$D$41,2,FALSE),IF(F1653&lt;&gt;"","No Cat",""))</f>
        <v>Rate Base</v>
      </c>
      <c r="O1653" s="25" t="str">
        <f>IF($L1653&lt;&gt;"",VLOOKUP($L1653,Categories!$B$2:$D$41,3,FALSE),IF($F1653&lt;&gt;"","No Cat",""))</f>
        <v>Deferred Income Taxes</v>
      </c>
      <c r="P1653" s="736" t="s">
        <v>2483</v>
      </c>
      <c r="Q1653" s="25" t="str">
        <f>VLOOKUP($P1653,Allocators!$B$7:$F$19,5,FALSE)</f>
        <v>Gas</v>
      </c>
      <c r="R1653" s="737">
        <f>VLOOKUP($P1653,Allocators!$B$7:$F$19,2,FALSE)</f>
        <v>0</v>
      </c>
      <c r="S1653" s="737">
        <f>VLOOKUP($P1653,Allocators!$B$7:$F$19,3,FALSE)</f>
        <v>1</v>
      </c>
      <c r="T1653" s="737" t="str">
        <f t="shared" si="776"/>
        <v>0.0%</v>
      </c>
      <c r="U1653" s="2" t="str">
        <f t="shared" si="768"/>
        <v/>
      </c>
      <c r="V1653" s="2" t="str">
        <f t="shared" si="769"/>
        <v/>
      </c>
      <c r="W1653" s="2" t="str">
        <f t="shared" si="770"/>
        <v/>
      </c>
      <c r="X1653" s="2">
        <f t="shared" si="764"/>
        <v>0</v>
      </c>
      <c r="Y1653" s="2" t="str">
        <f t="shared" si="771"/>
        <v/>
      </c>
      <c r="Z1653" s="2" t="str">
        <f t="shared" si="772"/>
        <v/>
      </c>
      <c r="AA1653" s="2" t="str">
        <f t="shared" si="773"/>
        <v/>
      </c>
      <c r="AB1653" s="2">
        <f t="shared" si="765"/>
        <v>0</v>
      </c>
      <c r="AC1653" s="625">
        <v>0</v>
      </c>
      <c r="AD1653" s="625">
        <v>0</v>
      </c>
      <c r="AE1653" s="625">
        <v>0</v>
      </c>
      <c r="AF1653" s="625">
        <v>0</v>
      </c>
      <c r="AG1653" s="625">
        <v>0</v>
      </c>
      <c r="AH1653" s="625">
        <v>0</v>
      </c>
      <c r="AI1653" s="625">
        <v>0</v>
      </c>
      <c r="AJ1653" s="625">
        <v>0</v>
      </c>
      <c r="AK1653" s="625">
        <v>0</v>
      </c>
      <c r="AL1653" s="625">
        <v>0</v>
      </c>
      <c r="AM1653" s="625">
        <v>0</v>
      </c>
      <c r="AN1653" s="625">
        <v>0</v>
      </c>
      <c r="AO1653" s="625">
        <v>0</v>
      </c>
      <c r="AP1653" s="41" t="str">
        <f t="shared" si="761"/>
        <v>Def TaxR</v>
      </c>
      <c r="AQ1653" s="41" t="str">
        <f t="shared" si="762"/>
        <v>Def TaxRR11Deferred Comp</v>
      </c>
      <c r="AR1653" s="41" t="str">
        <f t="shared" si="763"/>
        <v>R11Deferred Comp</v>
      </c>
    </row>
    <row r="1654" spans="1:44" s="41" customFormat="1" ht="12.75" customHeight="1">
      <c r="A1654" s="25" t="s">
        <v>1590</v>
      </c>
      <c r="B1654" s="25" t="str">
        <f t="shared" si="775"/>
        <v>Def Tax190032BTHUNGDT</v>
      </c>
      <c r="C1654" s="736">
        <v>190032</v>
      </c>
      <c r="D1654" s="735"/>
      <c r="E1654" s="41" t="s">
        <v>1624</v>
      </c>
      <c r="F1654" s="41" t="str">
        <f t="shared" si="766"/>
        <v>ADIT - EEBEN - FEDERAL - GAS</v>
      </c>
      <c r="G1654" s="41" t="s">
        <v>1882</v>
      </c>
      <c r="H1654" s="736" t="s">
        <v>1883</v>
      </c>
      <c r="I1654" s="25"/>
      <c r="J1654" s="25" t="str">
        <f t="shared" si="767"/>
        <v/>
      </c>
      <c r="K1654" s="442" t="str">
        <f t="shared" si="774"/>
        <v/>
      </c>
      <c r="L1654" s="736" t="s">
        <v>2443</v>
      </c>
      <c r="M1654" s="25" t="str">
        <f t="shared" si="760"/>
        <v>R</v>
      </c>
      <c r="N1654" s="25" t="str">
        <f>IF(L1654&lt;&gt;"",VLOOKUP(L1654,Categories!$B$2:$D$41,2,FALSE),IF(F1654&lt;&gt;"","No Cat",""))</f>
        <v>Rate Base</v>
      </c>
      <c r="O1654" s="25" t="str">
        <f>IF($L1654&lt;&gt;"",VLOOKUP($L1654,Categories!$B$2:$D$41,3,FALSE),IF($F1654&lt;&gt;"","No Cat",""))</f>
        <v>Deferred Income Taxes</v>
      </c>
      <c r="P1654" s="736" t="s">
        <v>2483</v>
      </c>
      <c r="Q1654" s="25" t="str">
        <f>VLOOKUP($P1654,Allocators!$B$7:$F$19,5,FALSE)</f>
        <v>Gas</v>
      </c>
      <c r="R1654" s="737">
        <f>VLOOKUP($P1654,Allocators!$B$7:$F$19,2,FALSE)</f>
        <v>0</v>
      </c>
      <c r="S1654" s="737">
        <f>VLOOKUP($P1654,Allocators!$B$7:$F$19,3,FALSE)</f>
        <v>1</v>
      </c>
      <c r="T1654" s="737" t="str">
        <f t="shared" si="776"/>
        <v>0.0%</v>
      </c>
      <c r="U1654" s="2" t="str">
        <f t="shared" si="768"/>
        <v/>
      </c>
      <c r="V1654" s="2" t="str">
        <f t="shared" si="769"/>
        <v/>
      </c>
      <c r="W1654" s="2" t="str">
        <f t="shared" si="770"/>
        <v/>
      </c>
      <c r="X1654" s="2">
        <f t="shared" si="764"/>
        <v>0</v>
      </c>
      <c r="Y1654" s="2" t="str">
        <f t="shared" si="771"/>
        <v/>
      </c>
      <c r="Z1654" s="2" t="str">
        <f t="shared" si="772"/>
        <v/>
      </c>
      <c r="AA1654" s="2" t="str">
        <f t="shared" si="773"/>
        <v/>
      </c>
      <c r="AB1654" s="2">
        <f t="shared" si="765"/>
        <v>0</v>
      </c>
      <c r="AC1654" s="625">
        <v>0</v>
      </c>
      <c r="AD1654" s="625">
        <v>0</v>
      </c>
      <c r="AE1654" s="625">
        <v>0</v>
      </c>
      <c r="AF1654" s="625">
        <v>0</v>
      </c>
      <c r="AG1654" s="625">
        <v>0</v>
      </c>
      <c r="AH1654" s="625">
        <v>0</v>
      </c>
      <c r="AI1654" s="625">
        <v>0</v>
      </c>
      <c r="AJ1654" s="625">
        <v>0</v>
      </c>
      <c r="AK1654" s="625">
        <v>0</v>
      </c>
      <c r="AL1654" s="625">
        <v>0</v>
      </c>
      <c r="AM1654" s="625">
        <v>0</v>
      </c>
      <c r="AN1654" s="625">
        <v>0</v>
      </c>
      <c r="AO1654" s="625">
        <v>0</v>
      </c>
      <c r="AP1654" s="41" t="str">
        <f t="shared" si="761"/>
        <v>Def TaxR</v>
      </c>
      <c r="AQ1654" s="41" t="str">
        <f t="shared" si="762"/>
        <v>Def TaxRR11D &amp; O Insurance</v>
      </c>
      <c r="AR1654" s="41" t="str">
        <f t="shared" si="763"/>
        <v>R11D &amp; O Insurance</v>
      </c>
    </row>
    <row r="1655" spans="1:44" s="41" customFormat="1" ht="12.75" customHeight="1">
      <c r="A1655" s="25" t="s">
        <v>1590</v>
      </c>
      <c r="B1655" s="25" t="str">
        <f t="shared" si="775"/>
        <v>Def Tax190032BTHUNGDT</v>
      </c>
      <c r="C1655" s="736">
        <v>190032</v>
      </c>
      <c r="D1655" s="735"/>
      <c r="E1655" s="41" t="s">
        <v>1624</v>
      </c>
      <c r="F1655" s="41" t="str">
        <f t="shared" si="766"/>
        <v>ADIT - EEBEN - FEDERAL - GAS</v>
      </c>
      <c r="G1655" s="41" t="s">
        <v>1881</v>
      </c>
      <c r="H1655" s="736" t="s">
        <v>1673</v>
      </c>
      <c r="I1655" s="25"/>
      <c r="J1655" s="25" t="str">
        <f t="shared" si="767"/>
        <v/>
      </c>
      <c r="K1655" s="442" t="str">
        <f t="shared" si="774"/>
        <v/>
      </c>
      <c r="L1655" s="736" t="s">
        <v>2443</v>
      </c>
      <c r="M1655" s="25" t="str">
        <f t="shared" si="760"/>
        <v>R</v>
      </c>
      <c r="N1655" s="25" t="str">
        <f>IF(L1655&lt;&gt;"",VLOOKUP(L1655,Categories!$B$2:$D$41,2,FALSE),IF(F1655&lt;&gt;"","No Cat",""))</f>
        <v>Rate Base</v>
      </c>
      <c r="O1655" s="25" t="str">
        <f>IF($L1655&lt;&gt;"",VLOOKUP($L1655,Categories!$B$2:$D$41,3,FALSE),IF($F1655&lt;&gt;"","No Cat",""))</f>
        <v>Deferred Income Taxes</v>
      </c>
      <c r="P1655" s="736" t="s">
        <v>2483</v>
      </c>
      <c r="Q1655" s="25" t="str">
        <f>VLOOKUP($P1655,Allocators!$B$7:$F$19,5,FALSE)</f>
        <v>Gas</v>
      </c>
      <c r="R1655" s="737">
        <f>VLOOKUP($P1655,Allocators!$B$7:$F$19,2,FALSE)</f>
        <v>0</v>
      </c>
      <c r="S1655" s="737">
        <f>VLOOKUP($P1655,Allocators!$B$7:$F$19,3,FALSE)</f>
        <v>1</v>
      </c>
      <c r="T1655" s="737" t="str">
        <f t="shared" si="776"/>
        <v>0.0%</v>
      </c>
      <c r="U1655" s="2" t="str">
        <f t="shared" si="768"/>
        <v/>
      </c>
      <c r="V1655" s="2" t="str">
        <f t="shared" si="769"/>
        <v/>
      </c>
      <c r="W1655" s="2" t="str">
        <f t="shared" si="770"/>
        <v/>
      </c>
      <c r="X1655" s="2">
        <f t="shared" si="764"/>
        <v>0</v>
      </c>
      <c r="Y1655" s="2" t="str">
        <f t="shared" si="771"/>
        <v/>
      </c>
      <c r="Z1655" s="2" t="str">
        <f t="shared" si="772"/>
        <v/>
      </c>
      <c r="AA1655" s="2" t="str">
        <f t="shared" si="773"/>
        <v/>
      </c>
      <c r="AB1655" s="2">
        <f t="shared" si="765"/>
        <v>0</v>
      </c>
      <c r="AC1655" s="625">
        <v>0</v>
      </c>
      <c r="AD1655" s="625">
        <v>0</v>
      </c>
      <c r="AE1655" s="625">
        <v>0</v>
      </c>
      <c r="AF1655" s="625">
        <v>0</v>
      </c>
      <c r="AG1655" s="625">
        <v>0</v>
      </c>
      <c r="AH1655" s="625">
        <v>0</v>
      </c>
      <c r="AI1655" s="625">
        <v>0</v>
      </c>
      <c r="AJ1655" s="625">
        <v>0</v>
      </c>
      <c r="AK1655" s="625">
        <v>0</v>
      </c>
      <c r="AL1655" s="625">
        <v>0</v>
      </c>
      <c r="AM1655" s="625">
        <v>0</v>
      </c>
      <c r="AN1655" s="625">
        <v>0</v>
      </c>
      <c r="AO1655" s="625">
        <v>0</v>
      </c>
      <c r="AP1655" s="41" t="str">
        <f t="shared" si="761"/>
        <v>Def TaxR</v>
      </c>
      <c r="AQ1655" s="41" t="str">
        <f t="shared" si="762"/>
        <v>Def TaxRR11Pension</v>
      </c>
      <c r="AR1655" s="41" t="str">
        <f t="shared" si="763"/>
        <v>R11Pension</v>
      </c>
    </row>
    <row r="1656" spans="1:44" s="41" customFormat="1" ht="12.75" customHeight="1">
      <c r="A1656" s="25" t="s">
        <v>1590</v>
      </c>
      <c r="B1656" s="25" t="str">
        <f t="shared" si="775"/>
        <v>Def Tax190036BT010090</v>
      </c>
      <c r="C1656" s="736">
        <v>190036</v>
      </c>
      <c r="D1656" s="735"/>
      <c r="E1656" s="41" t="s">
        <v>1728</v>
      </c>
      <c r="F1656" s="41" t="str">
        <f t="shared" si="766"/>
        <v>ADIT - EEBEN - FEDERAL - CURRENT - ELECTRIC</v>
      </c>
      <c r="G1656" s="41" t="s">
        <v>1884</v>
      </c>
      <c r="H1656" s="736" t="s">
        <v>927</v>
      </c>
      <c r="I1656" s="25"/>
      <c r="J1656" s="25" t="str">
        <f t="shared" si="767"/>
        <v/>
      </c>
      <c r="K1656" s="442" t="str">
        <f t="shared" si="774"/>
        <v/>
      </c>
      <c r="L1656" s="736" t="s">
        <v>2443</v>
      </c>
      <c r="M1656" s="25" t="str">
        <f t="shared" si="760"/>
        <v>R</v>
      </c>
      <c r="N1656" s="25" t="str">
        <f>IF(L1656&lt;&gt;"",VLOOKUP(L1656,Categories!$B$2:$D$41,2,FALSE),IF(F1656&lt;&gt;"","No Cat",""))</f>
        <v>Rate Base</v>
      </c>
      <c r="O1656" s="25" t="str">
        <f>IF($L1656&lt;&gt;"",VLOOKUP($L1656,Categories!$B$2:$D$41,3,FALSE),IF($F1656&lt;&gt;"","No Cat",""))</f>
        <v>Deferred Income Taxes</v>
      </c>
      <c r="P1656" s="736" t="s">
        <v>2482</v>
      </c>
      <c r="Q1656" s="25" t="str">
        <f>VLOOKUP($P1656,Allocators!$B$7:$F$19,5,FALSE)</f>
        <v>Electric</v>
      </c>
      <c r="R1656" s="737">
        <f>VLOOKUP($P1656,Allocators!$B$7:$F$19,2,FALSE)</f>
        <v>1</v>
      </c>
      <c r="S1656" s="737">
        <f>VLOOKUP($P1656,Allocators!$B$7:$F$19,3,FALSE)</f>
        <v>0</v>
      </c>
      <c r="T1656" s="737" t="str">
        <f t="shared" si="776"/>
        <v>0.0%</v>
      </c>
      <c r="U1656" s="2">
        <f t="shared" si="768"/>
        <v>1674.3009199999999</v>
      </c>
      <c r="V1656" s="2">
        <f t="shared" si="769"/>
        <v>0</v>
      </c>
      <c r="W1656" s="2">
        <f t="shared" si="770"/>
        <v>0</v>
      </c>
      <c r="X1656" s="2">
        <f t="shared" si="764"/>
        <v>1674.3009199999999</v>
      </c>
      <c r="Y1656" s="2">
        <f t="shared" si="771"/>
        <v>1637.91182</v>
      </c>
      <c r="Z1656" s="2">
        <f t="shared" si="772"/>
        <v>0</v>
      </c>
      <c r="AA1656" s="2">
        <f t="shared" si="773"/>
        <v>0</v>
      </c>
      <c r="AB1656" s="2">
        <f t="shared" si="765"/>
        <v>1637.91182</v>
      </c>
      <c r="AC1656" s="625">
        <v>1929.0246200000001</v>
      </c>
      <c r="AD1656" s="625">
        <v>1929.0246200000001</v>
      </c>
      <c r="AE1656" s="625">
        <v>1637.91182</v>
      </c>
      <c r="AF1656" s="625">
        <v>1637.91182</v>
      </c>
      <c r="AG1656" s="625">
        <v>1637.91182</v>
      </c>
      <c r="AH1656" s="625">
        <v>1637.91182</v>
      </c>
      <c r="AI1656" s="625">
        <v>1637.91182</v>
      </c>
      <c r="AJ1656" s="625">
        <v>1637.91182</v>
      </c>
      <c r="AK1656" s="625">
        <v>1637.91182</v>
      </c>
      <c r="AL1656" s="625">
        <v>1637.91182</v>
      </c>
      <c r="AM1656" s="625">
        <v>1637.91182</v>
      </c>
      <c r="AN1656" s="625">
        <v>1637.91182</v>
      </c>
      <c r="AO1656" s="625">
        <v>1637.91182</v>
      </c>
      <c r="AP1656" s="41" t="str">
        <f t="shared" si="761"/>
        <v>Def TaxR</v>
      </c>
      <c r="AQ1656" s="41" t="str">
        <f t="shared" si="762"/>
        <v>Def TaxRR11OPEB</v>
      </c>
      <c r="AR1656" s="41" t="str">
        <f t="shared" si="763"/>
        <v>R11OPEB</v>
      </c>
    </row>
    <row r="1657" spans="1:44" s="41" customFormat="1" ht="12.75" customHeight="1">
      <c r="A1657" s="25" t="s">
        <v>1590</v>
      </c>
      <c r="B1657" s="25" t="str">
        <f t="shared" si="775"/>
        <v>Def Tax190036BT010104</v>
      </c>
      <c r="C1657" s="736">
        <v>190036</v>
      </c>
      <c r="D1657" s="735"/>
      <c r="E1657" s="41" t="s">
        <v>1817</v>
      </c>
      <c r="F1657" s="41" t="str">
        <f t="shared" si="766"/>
        <v>ADIT - EEBEN - FEDERAL - CURRENT - ELECTRIC</v>
      </c>
      <c r="G1657" s="41" t="s">
        <v>1885</v>
      </c>
      <c r="H1657" s="736" t="s">
        <v>1819</v>
      </c>
      <c r="I1657" s="25"/>
      <c r="J1657" s="25" t="str">
        <f t="shared" si="767"/>
        <v/>
      </c>
      <c r="K1657" s="442" t="str">
        <f t="shared" si="774"/>
        <v/>
      </c>
      <c r="L1657" s="736" t="s">
        <v>2443</v>
      </c>
      <c r="M1657" s="25" t="str">
        <f t="shared" si="760"/>
        <v>R</v>
      </c>
      <c r="N1657" s="25" t="str">
        <f>IF(L1657&lt;&gt;"",VLOOKUP(L1657,Categories!$B$2:$D$41,2,FALSE),IF(F1657&lt;&gt;"","No Cat",""))</f>
        <v>Rate Base</v>
      </c>
      <c r="O1657" s="25" t="str">
        <f>IF($L1657&lt;&gt;"",VLOOKUP($L1657,Categories!$B$2:$D$41,3,FALSE),IF($F1657&lt;&gt;"","No Cat",""))</f>
        <v>Deferred Income Taxes</v>
      </c>
      <c r="P1657" s="736" t="s">
        <v>2482</v>
      </c>
      <c r="Q1657" s="25" t="str">
        <f>VLOOKUP($P1657,Allocators!$B$7:$F$19,5,FALSE)</f>
        <v>Electric</v>
      </c>
      <c r="R1657" s="737">
        <f>VLOOKUP($P1657,Allocators!$B$7:$F$19,2,FALSE)</f>
        <v>1</v>
      </c>
      <c r="S1657" s="737">
        <f>VLOOKUP($P1657,Allocators!$B$7:$F$19,3,FALSE)</f>
        <v>0</v>
      </c>
      <c r="T1657" s="737" t="str">
        <f t="shared" si="776"/>
        <v>0.0%</v>
      </c>
      <c r="U1657" s="2">
        <f t="shared" si="768"/>
        <v>205.10104999999999</v>
      </c>
      <c r="V1657" s="2">
        <f t="shared" si="769"/>
        <v>0</v>
      </c>
      <c r="W1657" s="2">
        <f t="shared" si="770"/>
        <v>0</v>
      </c>
      <c r="X1657" s="2">
        <f t="shared" si="764"/>
        <v>205.10104999999999</v>
      </c>
      <c r="Y1657" s="2">
        <f t="shared" si="771"/>
        <v>637.23730999999998</v>
      </c>
      <c r="Z1657" s="2">
        <f t="shared" si="772"/>
        <v>0</v>
      </c>
      <c r="AA1657" s="2">
        <f t="shared" si="773"/>
        <v>0</v>
      </c>
      <c r="AB1657" s="2">
        <f t="shared" si="765"/>
        <v>637.23731000000009</v>
      </c>
      <c r="AC1657" s="625">
        <v>27.162590000000002</v>
      </c>
      <c r="AD1657" s="625">
        <v>27.162590000000002</v>
      </c>
      <c r="AE1657" s="625">
        <v>27.162590000000002</v>
      </c>
      <c r="AF1657" s="625">
        <v>27.162590000000002</v>
      </c>
      <c r="AG1657" s="625">
        <v>27.162590000000002</v>
      </c>
      <c r="AH1657" s="625">
        <v>27.162590000000002</v>
      </c>
      <c r="AI1657" s="625">
        <v>27.162590000000002</v>
      </c>
      <c r="AJ1657" s="625">
        <v>27.162590000000002</v>
      </c>
      <c r="AK1657" s="625">
        <v>27.162590000000002</v>
      </c>
      <c r="AL1657" s="625">
        <v>637.23731000000009</v>
      </c>
      <c r="AM1657" s="625">
        <v>637.23731000000009</v>
      </c>
      <c r="AN1657" s="625">
        <v>637.23731000000009</v>
      </c>
      <c r="AO1657" s="625">
        <v>637.23731000000009</v>
      </c>
      <c r="AP1657" s="41" t="str">
        <f t="shared" si="761"/>
        <v>Def TaxR</v>
      </c>
      <c r="AQ1657" s="41" t="str">
        <f t="shared" si="762"/>
        <v>Def TaxRR11Performance Plus Plan</v>
      </c>
      <c r="AR1657" s="41" t="str">
        <f t="shared" si="763"/>
        <v>R11Performance Plus Plan</v>
      </c>
    </row>
    <row r="1658" spans="1:44" s="41" customFormat="1" ht="12.75" customHeight="1">
      <c r="A1658" s="25" t="s">
        <v>1590</v>
      </c>
      <c r="B1658" s="25" t="str">
        <f t="shared" si="775"/>
        <v>Def Tax190036BT010104</v>
      </c>
      <c r="C1658" s="736">
        <v>190036</v>
      </c>
      <c r="D1658" s="735"/>
      <c r="E1658" s="41" t="s">
        <v>1817</v>
      </c>
      <c r="F1658" s="41" t="str">
        <f t="shared" si="766"/>
        <v>ADIT - EEBEN - FEDERAL - CURRENT - ELECTRIC</v>
      </c>
      <c r="G1658" s="41" t="s">
        <v>1886</v>
      </c>
      <c r="H1658" s="736" t="s">
        <v>1819</v>
      </c>
      <c r="I1658" s="25"/>
      <c r="J1658" s="25" t="str">
        <f t="shared" si="767"/>
        <v/>
      </c>
      <c r="K1658" s="442" t="str">
        <f t="shared" si="774"/>
        <v/>
      </c>
      <c r="L1658" s="736" t="s">
        <v>2443</v>
      </c>
      <c r="M1658" s="25" t="str">
        <f t="shared" si="760"/>
        <v>R</v>
      </c>
      <c r="N1658" s="25" t="str">
        <f>IF(L1658&lt;&gt;"",VLOOKUP(L1658,Categories!$B$2:$D$41,2,FALSE),IF(F1658&lt;&gt;"","No Cat",""))</f>
        <v>Rate Base</v>
      </c>
      <c r="O1658" s="25" t="str">
        <f>IF($L1658&lt;&gt;"",VLOOKUP($L1658,Categories!$B$2:$D$41,3,FALSE),IF($F1658&lt;&gt;"","No Cat",""))</f>
        <v>Deferred Income Taxes</v>
      </c>
      <c r="P1658" s="736" t="s">
        <v>2482</v>
      </c>
      <c r="Q1658" s="25" t="str">
        <f>VLOOKUP($P1658,Allocators!$B$7:$F$19,5,FALSE)</f>
        <v>Electric</v>
      </c>
      <c r="R1658" s="737">
        <f>VLOOKUP($P1658,Allocators!$B$7:$F$19,2,FALSE)</f>
        <v>1</v>
      </c>
      <c r="S1658" s="737">
        <f>VLOOKUP($P1658,Allocators!$B$7:$F$19,3,FALSE)</f>
        <v>0</v>
      </c>
      <c r="T1658" s="737" t="str">
        <f t="shared" si="776"/>
        <v>0.0%</v>
      </c>
      <c r="U1658" s="2">
        <f t="shared" si="768"/>
        <v>-804.52439000000004</v>
      </c>
      <c r="V1658" s="2">
        <f t="shared" si="769"/>
        <v>0</v>
      </c>
      <c r="W1658" s="2">
        <f t="shared" si="770"/>
        <v>0</v>
      </c>
      <c r="X1658" s="2">
        <f t="shared" si="764"/>
        <v>-804.52439000000004</v>
      </c>
      <c r="Y1658" s="2">
        <f t="shared" si="771"/>
        <v>-804.52439000000004</v>
      </c>
      <c r="Z1658" s="2">
        <f t="shared" si="772"/>
        <v>0</v>
      </c>
      <c r="AA1658" s="2">
        <f t="shared" si="773"/>
        <v>0</v>
      </c>
      <c r="AB1658" s="2">
        <f t="shared" si="765"/>
        <v>-804.52439000000004</v>
      </c>
      <c r="AC1658" s="625">
        <v>-804.52439000000004</v>
      </c>
      <c r="AD1658" s="625">
        <v>-804.52439000000004</v>
      </c>
      <c r="AE1658" s="625">
        <v>-804.52439000000004</v>
      </c>
      <c r="AF1658" s="625">
        <v>-804.52439000000004</v>
      </c>
      <c r="AG1658" s="625">
        <v>-804.52439000000004</v>
      </c>
      <c r="AH1658" s="625">
        <v>-804.52439000000004</v>
      </c>
      <c r="AI1658" s="625">
        <v>-804.52439000000004</v>
      </c>
      <c r="AJ1658" s="625">
        <v>-804.52439000000004</v>
      </c>
      <c r="AK1658" s="625">
        <v>-804.52439000000004</v>
      </c>
      <c r="AL1658" s="625">
        <v>-804.52439000000004</v>
      </c>
      <c r="AM1658" s="625">
        <v>-804.52439000000004</v>
      </c>
      <c r="AN1658" s="625">
        <v>-804.52439000000004</v>
      </c>
      <c r="AO1658" s="625">
        <v>-804.52439000000004</v>
      </c>
      <c r="AP1658" s="41" t="str">
        <f t="shared" si="761"/>
        <v>Def TaxR</v>
      </c>
      <c r="AQ1658" s="41" t="str">
        <f t="shared" si="762"/>
        <v>Def TaxRR11Performance Plus Plan</v>
      </c>
      <c r="AR1658" s="41" t="str">
        <f t="shared" si="763"/>
        <v>R11Performance Plus Plan</v>
      </c>
    </row>
    <row r="1659" spans="1:44" s="41" customFormat="1" ht="12.75" customHeight="1">
      <c r="A1659" s="25" t="s">
        <v>1590</v>
      </c>
      <c r="B1659" s="25" t="str">
        <f t="shared" si="775"/>
        <v>Def Tax190036BT010241</v>
      </c>
      <c r="C1659" s="736">
        <v>190036</v>
      </c>
      <c r="D1659" s="735"/>
      <c r="E1659" s="41" t="s">
        <v>1813</v>
      </c>
      <c r="F1659" s="41" t="str">
        <f t="shared" si="766"/>
        <v>ADIT - EEBEN - FEDERAL - CURRENT - ELECTRIC</v>
      </c>
      <c r="G1659" s="41" t="s">
        <v>1887</v>
      </c>
      <c r="H1659" s="736" t="s">
        <v>1815</v>
      </c>
      <c r="I1659" s="25"/>
      <c r="J1659" s="25" t="str">
        <f t="shared" si="767"/>
        <v/>
      </c>
      <c r="K1659" s="442" t="str">
        <f t="shared" si="774"/>
        <v/>
      </c>
      <c r="L1659" s="736" t="s">
        <v>2443</v>
      </c>
      <c r="M1659" s="25" t="str">
        <f t="shared" ref="M1659:M1724" si="777">LEFT(L1659,1)</f>
        <v>R</v>
      </c>
      <c r="N1659" s="25" t="str">
        <f>IF(L1659&lt;&gt;"",VLOOKUP(L1659,Categories!$B$2:$D$41,2,FALSE),IF(F1659&lt;&gt;"","No Cat",""))</f>
        <v>Rate Base</v>
      </c>
      <c r="O1659" s="25" t="str">
        <f>IF($L1659&lt;&gt;"",VLOOKUP($L1659,Categories!$B$2:$D$41,3,FALSE),IF($F1659&lt;&gt;"","No Cat",""))</f>
        <v>Deferred Income Taxes</v>
      </c>
      <c r="P1659" s="736" t="s">
        <v>2482</v>
      </c>
      <c r="Q1659" s="25" t="str">
        <f>VLOOKUP($P1659,Allocators!$B$7:$F$19,5,FALSE)</f>
        <v>Electric</v>
      </c>
      <c r="R1659" s="737">
        <f>VLOOKUP($P1659,Allocators!$B$7:$F$19,2,FALSE)</f>
        <v>1</v>
      </c>
      <c r="S1659" s="737">
        <f>VLOOKUP($P1659,Allocators!$B$7:$F$19,3,FALSE)</f>
        <v>0</v>
      </c>
      <c r="T1659" s="737" t="str">
        <f t="shared" si="776"/>
        <v>0.0%</v>
      </c>
      <c r="U1659" s="2">
        <f t="shared" si="768"/>
        <v>-1031.7182625</v>
      </c>
      <c r="V1659" s="2">
        <f t="shared" si="769"/>
        <v>0</v>
      </c>
      <c r="W1659" s="2">
        <f t="shared" si="770"/>
        <v>0</v>
      </c>
      <c r="X1659" s="2">
        <f t="shared" si="764"/>
        <v>-1031.7182625</v>
      </c>
      <c r="Y1659" s="2">
        <f t="shared" si="771"/>
        <v>-1005.4624</v>
      </c>
      <c r="Z1659" s="2">
        <f t="shared" si="772"/>
        <v>0</v>
      </c>
      <c r="AA1659" s="2">
        <f t="shared" si="773"/>
        <v>0</v>
      </c>
      <c r="AB1659" s="2">
        <f t="shared" si="765"/>
        <v>-1005.4624</v>
      </c>
      <c r="AC1659" s="625">
        <v>-1042.5295000000001</v>
      </c>
      <c r="AD1659" s="625">
        <v>-1042.5295000000001</v>
      </c>
      <c r="AE1659" s="625">
        <v>-1042.5295000000001</v>
      </c>
      <c r="AF1659" s="625">
        <v>-1042.5295000000001</v>
      </c>
      <c r="AG1659" s="625">
        <v>-1042.5295000000001</v>
      </c>
      <c r="AH1659" s="625">
        <v>-1042.5295000000001</v>
      </c>
      <c r="AI1659" s="625">
        <v>-1042.5295000000001</v>
      </c>
      <c r="AJ1659" s="625">
        <v>-1042.5295000000001</v>
      </c>
      <c r="AK1659" s="625">
        <v>-1042.5295000000001</v>
      </c>
      <c r="AL1659" s="625">
        <v>-1005.4624</v>
      </c>
      <c r="AM1659" s="625">
        <v>-1005.4624</v>
      </c>
      <c r="AN1659" s="625">
        <v>-1005.4624</v>
      </c>
      <c r="AO1659" s="625">
        <v>-1005.4624</v>
      </c>
      <c r="AP1659" s="41" t="str">
        <f t="shared" si="761"/>
        <v>Def TaxR</v>
      </c>
      <c r="AQ1659" s="41" t="str">
        <f t="shared" si="762"/>
        <v>Def TaxRR11Vacation pay</v>
      </c>
      <c r="AR1659" s="41" t="str">
        <f t="shared" si="763"/>
        <v>R11Vacation pay</v>
      </c>
    </row>
    <row r="1660" spans="1:44" s="41" customFormat="1" ht="12.75" customHeight="1">
      <c r="A1660" s="442" t="s">
        <v>1590</v>
      </c>
      <c r="B1660" s="442" t="str">
        <f t="shared" si="775"/>
        <v>Def Tax190036BT010356</v>
      </c>
      <c r="C1660" s="736">
        <v>190036</v>
      </c>
      <c r="D1660" s="735"/>
      <c r="E1660" s="626" t="s">
        <v>1660</v>
      </c>
      <c r="F1660" s="626" t="str">
        <f t="shared" si="766"/>
        <v>ADIT - EEBEN - FEDERAL - CURRENT - ELECTRIC</v>
      </c>
      <c r="G1660" s="626" t="s">
        <v>1661</v>
      </c>
      <c r="H1660" s="736" t="s">
        <v>1661</v>
      </c>
      <c r="I1660" s="442"/>
      <c r="J1660" s="442" t="str">
        <f t="shared" si="767"/>
        <v/>
      </c>
      <c r="K1660" s="442" t="str">
        <f t="shared" si="774"/>
        <v/>
      </c>
      <c r="L1660" s="736" t="s">
        <v>2421</v>
      </c>
      <c r="M1660" s="442" t="str">
        <f t="shared" si="777"/>
        <v>N</v>
      </c>
      <c r="N1660" s="442" t="str">
        <f>IF(L1660&lt;&gt;"",VLOOKUP(L1660,Categories!$B$2:$D$41,2,FALSE),IF(F1660&lt;&gt;"","No Cat",""))</f>
        <v>NRBASE</v>
      </c>
      <c r="O1660" s="442" t="str">
        <f>IF($L1660&lt;&gt;"",VLOOKUP($L1660,Categories!$B$2:$D$41,3,FALSE),IF($F1660&lt;&gt;"","No Cat",""))</f>
        <v>Direct Assign Items Not in RB</v>
      </c>
      <c r="P1660" s="736" t="s">
        <v>2468</v>
      </c>
      <c r="Q1660" s="442" t="str">
        <f>VLOOKUP($P1660,Allocators!$B$7:$F$19,5,FALSE)</f>
        <v>Not in Rate Base</v>
      </c>
      <c r="R1660" s="737">
        <f>VLOOKUP($P1660,Allocators!$B$7:$F$19,2,FALSE)</f>
        <v>0</v>
      </c>
      <c r="S1660" s="737">
        <f>VLOOKUP($P1660,Allocators!$B$7:$F$19,3,FALSE)</f>
        <v>0</v>
      </c>
      <c r="T1660" s="737">
        <f t="shared" si="776"/>
        <v>1</v>
      </c>
      <c r="U1660" s="2" t="str">
        <f t="shared" si="768"/>
        <v/>
      </c>
      <c r="V1660" s="2" t="str">
        <f t="shared" si="769"/>
        <v/>
      </c>
      <c r="W1660" s="2" t="str">
        <f t="shared" si="770"/>
        <v/>
      </c>
      <c r="X1660" s="2">
        <f t="shared" si="764"/>
        <v>0</v>
      </c>
      <c r="Y1660" s="2" t="str">
        <f t="shared" si="771"/>
        <v/>
      </c>
      <c r="Z1660" s="2" t="str">
        <f t="shared" si="772"/>
        <v/>
      </c>
      <c r="AA1660" s="2" t="str">
        <f t="shared" si="773"/>
        <v/>
      </c>
      <c r="AB1660" s="2">
        <f t="shared" si="765"/>
        <v>0</v>
      </c>
      <c r="AC1660" s="625">
        <v>0</v>
      </c>
      <c r="AD1660" s="625">
        <v>0</v>
      </c>
      <c r="AE1660" s="625">
        <v>0</v>
      </c>
      <c r="AF1660" s="625">
        <v>0</v>
      </c>
      <c r="AG1660" s="625">
        <v>0</v>
      </c>
      <c r="AH1660" s="625">
        <v>0</v>
      </c>
      <c r="AI1660" s="625">
        <v>0</v>
      </c>
      <c r="AJ1660" s="625">
        <v>0</v>
      </c>
      <c r="AK1660" s="625">
        <v>0</v>
      </c>
      <c r="AL1660" s="625">
        <v>0</v>
      </c>
      <c r="AM1660" s="625">
        <v>0</v>
      </c>
      <c r="AN1660" s="625">
        <v>0</v>
      </c>
      <c r="AO1660" s="625">
        <v>0</v>
      </c>
      <c r="AP1660" s="41" t="str">
        <f t="shared" si="761"/>
        <v>Def TaxN</v>
      </c>
      <c r="AQ1660" s="41" t="str">
        <f t="shared" si="762"/>
        <v>Def TaxNN2Long Term Executive Incentive Plan</v>
      </c>
      <c r="AR1660" s="41" t="str">
        <f t="shared" si="763"/>
        <v>N2Long Term Executive Incentive Plan</v>
      </c>
    </row>
    <row r="1661" spans="1:44" s="41" customFormat="1" ht="12.75" customHeight="1">
      <c r="A1661" s="25" t="s">
        <v>1590</v>
      </c>
      <c r="B1661" s="25" t="str">
        <f t="shared" si="775"/>
        <v>Def Tax190037BT010090</v>
      </c>
      <c r="C1661" s="736">
        <v>190037</v>
      </c>
      <c r="D1661" s="735"/>
      <c r="E1661" s="41" t="s">
        <v>1728</v>
      </c>
      <c r="F1661" s="41" t="str">
        <f t="shared" si="766"/>
        <v>ADIT - EEBEN - FEDERAL - CURRENT - GAS</v>
      </c>
      <c r="G1661" s="41" t="s">
        <v>1884</v>
      </c>
      <c r="H1661" s="736" t="s">
        <v>927</v>
      </c>
      <c r="I1661" s="25"/>
      <c r="J1661" s="25" t="str">
        <f t="shared" si="767"/>
        <v/>
      </c>
      <c r="K1661" s="442" t="str">
        <f t="shared" si="774"/>
        <v/>
      </c>
      <c r="L1661" s="736" t="s">
        <v>2443</v>
      </c>
      <c r="M1661" s="25" t="str">
        <f t="shared" si="777"/>
        <v>R</v>
      </c>
      <c r="N1661" s="25" t="str">
        <f>IF(L1661&lt;&gt;"",VLOOKUP(L1661,Categories!$B$2:$D$41,2,FALSE),IF(F1661&lt;&gt;"","No Cat",""))</f>
        <v>Rate Base</v>
      </c>
      <c r="O1661" s="25" t="str">
        <f>IF($L1661&lt;&gt;"",VLOOKUP($L1661,Categories!$B$2:$D$41,3,FALSE),IF($F1661&lt;&gt;"","No Cat",""))</f>
        <v>Deferred Income Taxes</v>
      </c>
      <c r="P1661" s="736" t="s">
        <v>2483</v>
      </c>
      <c r="Q1661" s="25" t="str">
        <f>VLOOKUP($P1661,Allocators!$B$7:$F$19,5,FALSE)</f>
        <v>Gas</v>
      </c>
      <c r="R1661" s="737">
        <f>VLOOKUP($P1661,Allocators!$B$7:$F$19,2,FALSE)</f>
        <v>0</v>
      </c>
      <c r="S1661" s="737">
        <f>VLOOKUP($P1661,Allocators!$B$7:$F$19,3,FALSE)</f>
        <v>1</v>
      </c>
      <c r="T1661" s="737" t="str">
        <f t="shared" si="776"/>
        <v>0.0%</v>
      </c>
      <c r="U1661" s="2">
        <f t="shared" si="768"/>
        <v>0</v>
      </c>
      <c r="V1661" s="2">
        <f t="shared" si="769"/>
        <v>1526.55171625</v>
      </c>
      <c r="W1661" s="2">
        <f t="shared" si="770"/>
        <v>0</v>
      </c>
      <c r="X1661" s="2">
        <f t="shared" si="764"/>
        <v>1526.55171625</v>
      </c>
      <c r="Y1661" s="2">
        <f t="shared" si="771"/>
        <v>0</v>
      </c>
      <c r="Z1661" s="2">
        <f t="shared" si="772"/>
        <v>1510.20299</v>
      </c>
      <c r="AA1661" s="2">
        <f t="shared" si="773"/>
        <v>0</v>
      </c>
      <c r="AB1661" s="2">
        <f t="shared" si="765"/>
        <v>1510.20299</v>
      </c>
      <c r="AC1661" s="625">
        <v>1640.9928</v>
      </c>
      <c r="AD1661" s="625">
        <v>1640.9928</v>
      </c>
      <c r="AE1661" s="625">
        <v>1510.20299</v>
      </c>
      <c r="AF1661" s="625">
        <v>1510.20299</v>
      </c>
      <c r="AG1661" s="625">
        <v>1510.20299</v>
      </c>
      <c r="AH1661" s="625">
        <v>1510.20299</v>
      </c>
      <c r="AI1661" s="625">
        <v>1510.20299</v>
      </c>
      <c r="AJ1661" s="625">
        <v>1510.20299</v>
      </c>
      <c r="AK1661" s="625">
        <v>1510.20299</v>
      </c>
      <c r="AL1661" s="625">
        <v>1510.20299</v>
      </c>
      <c r="AM1661" s="625">
        <v>1510.20299</v>
      </c>
      <c r="AN1661" s="625">
        <v>1510.20299</v>
      </c>
      <c r="AO1661" s="625">
        <v>1510.20299</v>
      </c>
      <c r="AP1661" s="41" t="str">
        <f t="shared" si="761"/>
        <v>Def TaxR</v>
      </c>
      <c r="AQ1661" s="41" t="str">
        <f t="shared" si="762"/>
        <v>Def TaxRR11OPEB</v>
      </c>
      <c r="AR1661" s="41" t="str">
        <f t="shared" si="763"/>
        <v>R11OPEB</v>
      </c>
    </row>
    <row r="1662" spans="1:44" s="41" customFormat="1" ht="12.75" customHeight="1">
      <c r="A1662" s="25" t="s">
        <v>1590</v>
      </c>
      <c r="B1662" s="25" t="str">
        <f t="shared" si="775"/>
        <v>Def Tax190037BT010104</v>
      </c>
      <c r="C1662" s="736">
        <v>190037</v>
      </c>
      <c r="D1662" s="735"/>
      <c r="E1662" s="41" t="s">
        <v>1817</v>
      </c>
      <c r="F1662" s="41" t="str">
        <f t="shared" si="766"/>
        <v>ADIT - EEBEN - FEDERAL - CURRENT - GAS</v>
      </c>
      <c r="G1662" s="41" t="s">
        <v>1885</v>
      </c>
      <c r="H1662" s="736" t="s">
        <v>1819</v>
      </c>
      <c r="I1662" s="25"/>
      <c r="J1662" s="25" t="str">
        <f t="shared" si="767"/>
        <v/>
      </c>
      <c r="K1662" s="442" t="str">
        <f t="shared" si="774"/>
        <v/>
      </c>
      <c r="L1662" s="736" t="s">
        <v>2443</v>
      </c>
      <c r="M1662" s="25" t="str">
        <f t="shared" si="777"/>
        <v>R</v>
      </c>
      <c r="N1662" s="25" t="str">
        <f>IF(L1662&lt;&gt;"",VLOOKUP(L1662,Categories!$B$2:$D$41,2,FALSE),IF(F1662&lt;&gt;"","No Cat",""))</f>
        <v>Rate Base</v>
      </c>
      <c r="O1662" s="25" t="str">
        <f>IF($L1662&lt;&gt;"",VLOOKUP($L1662,Categories!$B$2:$D$41,3,FALSE),IF($F1662&lt;&gt;"","No Cat",""))</f>
        <v>Deferred Income Taxes</v>
      </c>
      <c r="P1662" s="736" t="s">
        <v>2483</v>
      </c>
      <c r="Q1662" s="25" t="str">
        <f>VLOOKUP($P1662,Allocators!$B$7:$F$19,5,FALSE)</f>
        <v>Gas</v>
      </c>
      <c r="R1662" s="737">
        <f>VLOOKUP($P1662,Allocators!$B$7:$F$19,2,FALSE)</f>
        <v>0</v>
      </c>
      <c r="S1662" s="737">
        <f>VLOOKUP($P1662,Allocators!$B$7:$F$19,3,FALSE)</f>
        <v>1</v>
      </c>
      <c r="T1662" s="737" t="str">
        <f t="shared" si="776"/>
        <v>0.0%</v>
      </c>
      <c r="U1662" s="2">
        <f t="shared" si="768"/>
        <v>0</v>
      </c>
      <c r="V1662" s="2">
        <f t="shared" si="769"/>
        <v>64.7687733333333</v>
      </c>
      <c r="W1662" s="2">
        <f t="shared" si="770"/>
        <v>0</v>
      </c>
      <c r="X1662" s="2">
        <f t="shared" si="764"/>
        <v>64.7687733333333</v>
      </c>
      <c r="Y1662" s="2">
        <f t="shared" si="771"/>
        <v>0</v>
      </c>
      <c r="Z1662" s="2">
        <f t="shared" si="772"/>
        <v>201.23293000000001</v>
      </c>
      <c r="AA1662" s="2">
        <f t="shared" si="773"/>
        <v>0</v>
      </c>
      <c r="AB1662" s="2">
        <f t="shared" si="765"/>
        <v>201.23292999999998</v>
      </c>
      <c r="AC1662" s="625">
        <v>8.5776500000000002</v>
      </c>
      <c r="AD1662" s="625">
        <v>8.5776500000000002</v>
      </c>
      <c r="AE1662" s="625">
        <v>8.5776500000000002</v>
      </c>
      <c r="AF1662" s="625">
        <v>8.5776500000000002</v>
      </c>
      <c r="AG1662" s="625">
        <v>8.5776500000000002</v>
      </c>
      <c r="AH1662" s="625">
        <v>8.5776500000000002</v>
      </c>
      <c r="AI1662" s="625">
        <v>8.5776500000000002</v>
      </c>
      <c r="AJ1662" s="625">
        <v>8.5776500000000002</v>
      </c>
      <c r="AK1662" s="625">
        <v>8.5776500000000002</v>
      </c>
      <c r="AL1662" s="625">
        <v>201.23292999999998</v>
      </c>
      <c r="AM1662" s="625">
        <v>201.23292999999998</v>
      </c>
      <c r="AN1662" s="625">
        <v>201.23292999999998</v>
      </c>
      <c r="AO1662" s="625">
        <v>201.23292999999998</v>
      </c>
      <c r="AP1662" s="41" t="str">
        <f t="shared" si="761"/>
        <v>Def TaxR</v>
      </c>
      <c r="AQ1662" s="41" t="str">
        <f t="shared" si="762"/>
        <v>Def TaxRR11Performance Plus Plan</v>
      </c>
      <c r="AR1662" s="41" t="str">
        <f t="shared" si="763"/>
        <v>R11Performance Plus Plan</v>
      </c>
    </row>
    <row r="1663" spans="1:44" s="41" customFormat="1" ht="12.75" customHeight="1">
      <c r="A1663" s="25" t="s">
        <v>1590</v>
      </c>
      <c r="B1663" s="25" t="str">
        <f t="shared" si="775"/>
        <v>Def Tax190037BT010104</v>
      </c>
      <c r="C1663" s="736">
        <v>190037</v>
      </c>
      <c r="D1663" s="735"/>
      <c r="E1663" s="41" t="s">
        <v>1817</v>
      </c>
      <c r="F1663" s="41" t="str">
        <f t="shared" si="766"/>
        <v>ADIT - EEBEN - FEDERAL - CURRENT - GAS</v>
      </c>
      <c r="G1663" s="41" t="s">
        <v>1886</v>
      </c>
      <c r="H1663" s="736" t="s">
        <v>1819</v>
      </c>
      <c r="I1663" s="25"/>
      <c r="J1663" s="25" t="str">
        <f t="shared" si="767"/>
        <v/>
      </c>
      <c r="K1663" s="442" t="str">
        <f t="shared" si="774"/>
        <v/>
      </c>
      <c r="L1663" s="736" t="s">
        <v>2443</v>
      </c>
      <c r="M1663" s="25" t="str">
        <f t="shared" si="777"/>
        <v>R</v>
      </c>
      <c r="N1663" s="25" t="str">
        <f>IF(L1663&lt;&gt;"",VLOOKUP(L1663,Categories!$B$2:$D$41,2,FALSE),IF(F1663&lt;&gt;"","No Cat",""))</f>
        <v>Rate Base</v>
      </c>
      <c r="O1663" s="25" t="str">
        <f>IF($L1663&lt;&gt;"",VLOOKUP($L1663,Categories!$B$2:$D$41,3,FALSE),IF($F1663&lt;&gt;"","No Cat",""))</f>
        <v>Deferred Income Taxes</v>
      </c>
      <c r="P1663" s="736" t="s">
        <v>2483</v>
      </c>
      <c r="Q1663" s="25" t="str">
        <f>VLOOKUP($P1663,Allocators!$B$7:$F$19,5,FALSE)</f>
        <v>Gas</v>
      </c>
      <c r="R1663" s="737">
        <f>VLOOKUP($P1663,Allocators!$B$7:$F$19,2,FALSE)</f>
        <v>0</v>
      </c>
      <c r="S1663" s="737">
        <f>VLOOKUP($P1663,Allocators!$B$7:$F$19,3,FALSE)</f>
        <v>1</v>
      </c>
      <c r="T1663" s="737" t="str">
        <f t="shared" si="776"/>
        <v>0.0%</v>
      </c>
      <c r="U1663" s="2">
        <f t="shared" si="768"/>
        <v>0</v>
      </c>
      <c r="V1663" s="2">
        <f t="shared" si="769"/>
        <v>-254.01376999999999</v>
      </c>
      <c r="W1663" s="2">
        <f t="shared" si="770"/>
        <v>0</v>
      </c>
      <c r="X1663" s="2">
        <f t="shared" si="764"/>
        <v>-254.01376999999999</v>
      </c>
      <c r="Y1663" s="2">
        <f t="shared" si="771"/>
        <v>0</v>
      </c>
      <c r="Z1663" s="2">
        <f t="shared" si="772"/>
        <v>-254.01376999999999</v>
      </c>
      <c r="AA1663" s="2">
        <f t="shared" si="773"/>
        <v>0</v>
      </c>
      <c r="AB1663" s="2">
        <f t="shared" si="765"/>
        <v>-254.01376999999999</v>
      </c>
      <c r="AC1663" s="625">
        <v>-254.01376999999999</v>
      </c>
      <c r="AD1663" s="625">
        <v>-254.01376999999999</v>
      </c>
      <c r="AE1663" s="625">
        <v>-254.01376999999999</v>
      </c>
      <c r="AF1663" s="625">
        <v>-254.01376999999999</v>
      </c>
      <c r="AG1663" s="625">
        <v>-254.01376999999999</v>
      </c>
      <c r="AH1663" s="625">
        <v>-254.01376999999999</v>
      </c>
      <c r="AI1663" s="625">
        <v>-254.01376999999999</v>
      </c>
      <c r="AJ1663" s="625">
        <v>-254.01376999999999</v>
      </c>
      <c r="AK1663" s="625">
        <v>-254.01376999999999</v>
      </c>
      <c r="AL1663" s="625">
        <v>-254.01376999999999</v>
      </c>
      <c r="AM1663" s="625">
        <v>-254.01376999999999</v>
      </c>
      <c r="AN1663" s="625">
        <v>-254.01376999999999</v>
      </c>
      <c r="AO1663" s="625">
        <v>-254.01376999999999</v>
      </c>
      <c r="AP1663" s="41" t="str">
        <f t="shared" si="761"/>
        <v>Def TaxR</v>
      </c>
      <c r="AQ1663" s="41" t="str">
        <f t="shared" si="762"/>
        <v>Def TaxRR11Performance Plus Plan</v>
      </c>
      <c r="AR1663" s="41" t="str">
        <f t="shared" si="763"/>
        <v>R11Performance Plus Plan</v>
      </c>
    </row>
    <row r="1664" spans="1:44" s="41" customFormat="1" ht="12.75" customHeight="1">
      <c r="A1664" s="25" t="s">
        <v>1590</v>
      </c>
      <c r="B1664" s="25" t="str">
        <f t="shared" si="775"/>
        <v>Def Tax190037BT010241</v>
      </c>
      <c r="C1664" s="736">
        <v>190037</v>
      </c>
      <c r="D1664" s="735"/>
      <c r="E1664" s="41" t="s">
        <v>1813</v>
      </c>
      <c r="F1664" s="41" t="str">
        <f t="shared" si="766"/>
        <v>ADIT - EEBEN - FEDERAL - CURRENT - GAS</v>
      </c>
      <c r="G1664" s="41" t="s">
        <v>1887</v>
      </c>
      <c r="H1664" s="736" t="s">
        <v>1815</v>
      </c>
      <c r="I1664" s="25"/>
      <c r="J1664" s="25" t="str">
        <f t="shared" si="767"/>
        <v/>
      </c>
      <c r="K1664" s="442" t="str">
        <f t="shared" si="774"/>
        <v/>
      </c>
      <c r="L1664" s="736" t="s">
        <v>2443</v>
      </c>
      <c r="M1664" s="25" t="str">
        <f t="shared" si="777"/>
        <v>R</v>
      </c>
      <c r="N1664" s="25" t="str">
        <f>IF(L1664&lt;&gt;"",VLOOKUP(L1664,Categories!$B$2:$D$41,2,FALSE),IF(F1664&lt;&gt;"","No Cat",""))</f>
        <v>Rate Base</v>
      </c>
      <c r="O1664" s="25" t="str">
        <f>IF($L1664&lt;&gt;"",VLOOKUP($L1664,Categories!$B$2:$D$41,3,FALSE),IF($F1664&lt;&gt;"","No Cat",""))</f>
        <v>Deferred Income Taxes</v>
      </c>
      <c r="P1664" s="736" t="s">
        <v>2483</v>
      </c>
      <c r="Q1664" s="25" t="str">
        <f>VLOOKUP($P1664,Allocators!$B$7:$F$19,5,FALSE)</f>
        <v>Gas</v>
      </c>
      <c r="R1664" s="737">
        <f>VLOOKUP($P1664,Allocators!$B$7:$F$19,2,FALSE)</f>
        <v>0</v>
      </c>
      <c r="S1664" s="737">
        <f>VLOOKUP($P1664,Allocators!$B$7:$F$19,3,FALSE)</f>
        <v>1</v>
      </c>
      <c r="T1664" s="737" t="str">
        <f t="shared" si="776"/>
        <v>0.0%</v>
      </c>
      <c r="U1664" s="2">
        <f t="shared" si="768"/>
        <v>0</v>
      </c>
      <c r="V1664" s="2">
        <f t="shared" si="769"/>
        <v>72.264084999999994</v>
      </c>
      <c r="W1664" s="2">
        <f t="shared" si="770"/>
        <v>0</v>
      </c>
      <c r="X1664" s="2">
        <f t="shared" si="764"/>
        <v>72.264084999999994</v>
      </c>
      <c r="Y1664" s="2">
        <f t="shared" si="771"/>
        <v>0</v>
      </c>
      <c r="Z1664" s="2">
        <f t="shared" si="772"/>
        <v>80.555409999999995</v>
      </c>
      <c r="AA1664" s="2">
        <f t="shared" si="773"/>
        <v>0</v>
      </c>
      <c r="AB1664" s="2">
        <f t="shared" si="765"/>
        <v>80.555410000000009</v>
      </c>
      <c r="AC1664" s="625">
        <v>68.850009999999997</v>
      </c>
      <c r="AD1664" s="625">
        <v>68.850009999999997</v>
      </c>
      <c r="AE1664" s="625">
        <v>68.850009999999997</v>
      </c>
      <c r="AF1664" s="625">
        <v>68.850009999999997</v>
      </c>
      <c r="AG1664" s="625">
        <v>68.850009999999997</v>
      </c>
      <c r="AH1664" s="625">
        <v>68.850009999999997</v>
      </c>
      <c r="AI1664" s="625">
        <v>68.850009999999997</v>
      </c>
      <c r="AJ1664" s="625">
        <v>68.850009999999997</v>
      </c>
      <c r="AK1664" s="625">
        <v>68.850009999999997</v>
      </c>
      <c r="AL1664" s="625">
        <v>80.555410000000009</v>
      </c>
      <c r="AM1664" s="625">
        <v>80.555410000000009</v>
      </c>
      <c r="AN1664" s="625">
        <v>80.555410000000009</v>
      </c>
      <c r="AO1664" s="625">
        <v>80.555410000000009</v>
      </c>
      <c r="AP1664" s="41" t="str">
        <f t="shared" si="761"/>
        <v>Def TaxR</v>
      </c>
      <c r="AQ1664" s="41" t="str">
        <f t="shared" si="762"/>
        <v>Def TaxRR11Vacation pay</v>
      </c>
      <c r="AR1664" s="41" t="str">
        <f t="shared" si="763"/>
        <v>R11Vacation pay</v>
      </c>
    </row>
    <row r="1665" spans="1:44" s="41" customFormat="1" ht="12.75" customHeight="1">
      <c r="A1665" s="442" t="s">
        <v>1590</v>
      </c>
      <c r="B1665" s="442" t="str">
        <f t="shared" si="775"/>
        <v>Def Tax190037BT010356</v>
      </c>
      <c r="C1665" s="736">
        <v>190037</v>
      </c>
      <c r="D1665" s="735"/>
      <c r="E1665" s="626" t="s">
        <v>1660</v>
      </c>
      <c r="F1665" s="626" t="str">
        <f t="shared" si="766"/>
        <v>ADIT - EEBEN - FEDERAL - CURRENT - GAS</v>
      </c>
      <c r="G1665" s="626" t="s">
        <v>1661</v>
      </c>
      <c r="H1665" s="736" t="s">
        <v>1661</v>
      </c>
      <c r="I1665" s="442"/>
      <c r="J1665" s="442" t="str">
        <f t="shared" si="767"/>
        <v/>
      </c>
      <c r="K1665" s="442" t="str">
        <f t="shared" si="774"/>
        <v/>
      </c>
      <c r="L1665" s="736" t="s">
        <v>2421</v>
      </c>
      <c r="M1665" s="442" t="str">
        <f t="shared" si="777"/>
        <v>N</v>
      </c>
      <c r="N1665" s="442" t="str">
        <f>IF(L1665&lt;&gt;"",VLOOKUP(L1665,Categories!$B$2:$D$41,2,FALSE),IF(F1665&lt;&gt;"","No Cat",""))</f>
        <v>NRBASE</v>
      </c>
      <c r="O1665" s="442" t="str">
        <f>IF($L1665&lt;&gt;"",VLOOKUP($L1665,Categories!$B$2:$D$41,3,FALSE),IF($F1665&lt;&gt;"","No Cat",""))</f>
        <v>Direct Assign Items Not in RB</v>
      </c>
      <c r="P1665" s="736" t="s">
        <v>2468</v>
      </c>
      <c r="Q1665" s="442" t="str">
        <f>VLOOKUP($P1665,Allocators!$B$7:$F$19,5,FALSE)</f>
        <v>Not in Rate Base</v>
      </c>
      <c r="R1665" s="737">
        <f>VLOOKUP($P1665,Allocators!$B$7:$F$19,2,FALSE)</f>
        <v>0</v>
      </c>
      <c r="S1665" s="737">
        <f>VLOOKUP($P1665,Allocators!$B$7:$F$19,3,FALSE)</f>
        <v>0</v>
      </c>
      <c r="T1665" s="737">
        <f t="shared" si="776"/>
        <v>1</v>
      </c>
      <c r="U1665" s="2" t="str">
        <f t="shared" si="768"/>
        <v/>
      </c>
      <c r="V1665" s="2" t="str">
        <f t="shared" si="769"/>
        <v/>
      </c>
      <c r="W1665" s="2" t="str">
        <f t="shared" si="770"/>
        <v/>
      </c>
      <c r="X1665" s="2">
        <f t="shared" si="764"/>
        <v>0</v>
      </c>
      <c r="Y1665" s="2" t="str">
        <f t="shared" si="771"/>
        <v/>
      </c>
      <c r="Z1665" s="2" t="str">
        <f t="shared" si="772"/>
        <v/>
      </c>
      <c r="AA1665" s="2" t="str">
        <f t="shared" si="773"/>
        <v/>
      </c>
      <c r="AB1665" s="2">
        <f t="shared" si="765"/>
        <v>0</v>
      </c>
      <c r="AC1665" s="625">
        <v>0</v>
      </c>
      <c r="AD1665" s="625">
        <v>0</v>
      </c>
      <c r="AE1665" s="625">
        <v>0</v>
      </c>
      <c r="AF1665" s="625">
        <v>0</v>
      </c>
      <c r="AG1665" s="625">
        <v>0</v>
      </c>
      <c r="AH1665" s="625">
        <v>0</v>
      </c>
      <c r="AI1665" s="625">
        <v>0</v>
      </c>
      <c r="AJ1665" s="625">
        <v>0</v>
      </c>
      <c r="AK1665" s="625">
        <v>0</v>
      </c>
      <c r="AL1665" s="625">
        <v>0</v>
      </c>
      <c r="AM1665" s="625">
        <v>0</v>
      </c>
      <c r="AN1665" s="625">
        <v>0</v>
      </c>
      <c r="AO1665" s="625">
        <v>0</v>
      </c>
      <c r="AP1665" s="41" t="str">
        <f t="shared" si="761"/>
        <v>Def TaxN</v>
      </c>
      <c r="AQ1665" s="41" t="str">
        <f t="shared" si="762"/>
        <v>Def TaxNN2Long Term Executive Incentive Plan</v>
      </c>
      <c r="AR1665" s="41" t="str">
        <f t="shared" si="763"/>
        <v>N2Long Term Executive Incentive Plan</v>
      </c>
    </row>
    <row r="1666" spans="1:44" s="41" customFormat="1" ht="12.75" customHeight="1">
      <c r="A1666" s="442" t="s">
        <v>1590</v>
      </c>
      <c r="B1666" s="442" t="str">
        <f t="shared" si="775"/>
        <v>Def Tax190040BT010141</v>
      </c>
      <c r="C1666" s="736">
        <v>190040</v>
      </c>
      <c r="D1666" s="735"/>
      <c r="E1666" s="626" t="s">
        <v>1592</v>
      </c>
      <c r="F1666" s="626" t="str">
        <f t="shared" si="766"/>
        <v>ADIT - EEBEN - STATE - OCI</v>
      </c>
      <c r="G1666" s="626" t="s">
        <v>1871</v>
      </c>
      <c r="H1666" s="736" t="s">
        <v>1594</v>
      </c>
      <c r="I1666" s="442"/>
      <c r="J1666" s="442" t="str">
        <f t="shared" si="767"/>
        <v/>
      </c>
      <c r="K1666" s="442" t="str">
        <f t="shared" si="774"/>
        <v/>
      </c>
      <c r="L1666" s="736" t="s">
        <v>2427</v>
      </c>
      <c r="M1666" s="442" t="str">
        <f t="shared" si="777"/>
        <v>N</v>
      </c>
      <c r="N1666" s="442" t="str">
        <f>IF(L1666&lt;&gt;"",VLOOKUP(L1666,Categories!$B$2:$D$41,2,FALSE),IF(F1666&lt;&gt;"","No Cat",""))</f>
        <v>NRBASE</v>
      </c>
      <c r="O1666" s="442" t="str">
        <f>IF($L1666&lt;&gt;"",VLOOKUP($L1666,Categories!$B$2:$D$41,3,FALSE),IF($F1666&lt;&gt;"","No Cat",""))</f>
        <v>Hedges &amp; OCI</v>
      </c>
      <c r="P1666" s="736" t="s">
        <v>2468</v>
      </c>
      <c r="Q1666" s="442" t="str">
        <f>VLOOKUP($P1666,Allocators!$B$7:$F$19,5,FALSE)</f>
        <v>Not in Rate Base</v>
      </c>
      <c r="R1666" s="737">
        <f>VLOOKUP($P1666,Allocators!$B$7:$F$19,2,FALSE)</f>
        <v>0</v>
      </c>
      <c r="S1666" s="737">
        <f>VLOOKUP($P1666,Allocators!$B$7:$F$19,3,FALSE)</f>
        <v>0</v>
      </c>
      <c r="T1666" s="737">
        <f t="shared" si="776"/>
        <v>1</v>
      </c>
      <c r="U1666" s="2">
        <f t="shared" si="768"/>
        <v>0</v>
      </c>
      <c r="V1666" s="2">
        <f t="shared" si="769"/>
        <v>0</v>
      </c>
      <c r="W1666" s="2">
        <f t="shared" si="770"/>
        <v>119.027059583333</v>
      </c>
      <c r="X1666" s="2">
        <f t="shared" si="764"/>
        <v>119.027059583333</v>
      </c>
      <c r="Y1666" s="2">
        <f t="shared" si="771"/>
        <v>0</v>
      </c>
      <c r="Z1666" s="2">
        <f t="shared" si="772"/>
        <v>0</v>
      </c>
      <c r="AA1666" s="2">
        <f t="shared" si="773"/>
        <v>297.40897000000001</v>
      </c>
      <c r="AB1666" s="2">
        <f t="shared" si="765"/>
        <v>297.40896999999995</v>
      </c>
      <c r="AC1666" s="625">
        <v>126.08767999999999</v>
      </c>
      <c r="AD1666" s="625">
        <v>123.50604</v>
      </c>
      <c r="AE1666" s="625">
        <v>120.92439999999999</v>
      </c>
      <c r="AF1666" s="625">
        <v>118.34277</v>
      </c>
      <c r="AG1666" s="625">
        <v>115.76113000000001</v>
      </c>
      <c r="AH1666" s="625">
        <v>113.17949</v>
      </c>
      <c r="AI1666" s="625">
        <v>110.59785000000001</v>
      </c>
      <c r="AJ1666" s="625">
        <v>108.01622</v>
      </c>
      <c r="AK1666" s="625">
        <v>105.43458</v>
      </c>
      <c r="AL1666" s="625">
        <v>102.85294</v>
      </c>
      <c r="AM1666" s="625">
        <v>100.2713</v>
      </c>
      <c r="AN1666" s="625">
        <v>97.689669999999992</v>
      </c>
      <c r="AO1666" s="625">
        <v>297.40896999999995</v>
      </c>
      <c r="AP1666" s="41" t="str">
        <f t="shared" si="761"/>
        <v>Def TaxN</v>
      </c>
      <c r="AQ1666" s="41" t="str">
        <f t="shared" si="762"/>
        <v>Def TaxNN5FAS 133 Related</v>
      </c>
      <c r="AR1666" s="41" t="str">
        <f t="shared" si="763"/>
        <v>N5FAS 133 Related</v>
      </c>
    </row>
    <row r="1667" spans="1:44" s="41" customFormat="1" ht="12.75" customHeight="1">
      <c r="A1667" s="25" t="s">
        <v>1590</v>
      </c>
      <c r="B1667" s="25" t="str">
        <f t="shared" si="775"/>
        <v>Def Tax190041BT010070</v>
      </c>
      <c r="C1667" s="736">
        <v>190041</v>
      </c>
      <c r="D1667" s="735"/>
      <c r="E1667" s="41" t="s">
        <v>1675</v>
      </c>
      <c r="F1667" s="41" t="str">
        <f t="shared" si="766"/>
        <v>ADIT - EEBEN - STATE - ELECTRIC</v>
      </c>
      <c r="G1667" s="41" t="s">
        <v>1872</v>
      </c>
      <c r="H1667" s="736" t="s">
        <v>1677</v>
      </c>
      <c r="I1667" s="25"/>
      <c r="J1667" s="25" t="str">
        <f t="shared" si="767"/>
        <v/>
      </c>
      <c r="K1667" s="442" t="str">
        <f t="shared" si="774"/>
        <v/>
      </c>
      <c r="L1667" s="736" t="s">
        <v>2443</v>
      </c>
      <c r="M1667" s="25" t="str">
        <f t="shared" si="777"/>
        <v>R</v>
      </c>
      <c r="N1667" s="25" t="str">
        <f>IF(L1667&lt;&gt;"",VLOOKUP(L1667,Categories!$B$2:$D$41,2,FALSE),IF(F1667&lt;&gt;"","No Cat",""))</f>
        <v>Rate Base</v>
      </c>
      <c r="O1667" s="25" t="str">
        <f>IF($L1667&lt;&gt;"",VLOOKUP($L1667,Categories!$B$2:$D$41,3,FALSE),IF($F1667&lt;&gt;"","No Cat",""))</f>
        <v>Deferred Income Taxes</v>
      </c>
      <c r="P1667" s="736" t="s">
        <v>2482</v>
      </c>
      <c r="Q1667" s="25" t="str">
        <f>VLOOKUP($P1667,Allocators!$B$7:$F$19,5,FALSE)</f>
        <v>Electric</v>
      </c>
      <c r="R1667" s="737">
        <f>VLOOKUP($P1667,Allocators!$B$7:$F$19,2,FALSE)</f>
        <v>1</v>
      </c>
      <c r="S1667" s="737">
        <f>VLOOKUP($P1667,Allocators!$B$7:$F$19,3,FALSE)</f>
        <v>0</v>
      </c>
      <c r="T1667" s="737" t="str">
        <f t="shared" si="776"/>
        <v>0.0%</v>
      </c>
      <c r="U1667" s="2">
        <f t="shared" si="768"/>
        <v>94.411270000000002</v>
      </c>
      <c r="V1667" s="2">
        <f t="shared" si="769"/>
        <v>0</v>
      </c>
      <c r="W1667" s="2">
        <f t="shared" si="770"/>
        <v>0</v>
      </c>
      <c r="X1667" s="2">
        <f t="shared" si="764"/>
        <v>94.411270000000002</v>
      </c>
      <c r="Y1667" s="2">
        <f t="shared" si="771"/>
        <v>94.411270000000002</v>
      </c>
      <c r="Z1667" s="2">
        <f t="shared" si="772"/>
        <v>0</v>
      </c>
      <c r="AA1667" s="2">
        <f t="shared" si="773"/>
        <v>0</v>
      </c>
      <c r="AB1667" s="2">
        <f t="shared" si="765"/>
        <v>94.411270000000002</v>
      </c>
      <c r="AC1667" s="625">
        <v>94.411270000000002</v>
      </c>
      <c r="AD1667" s="625">
        <v>94.411270000000002</v>
      </c>
      <c r="AE1667" s="625">
        <v>94.411270000000002</v>
      </c>
      <c r="AF1667" s="625">
        <v>94.411270000000002</v>
      </c>
      <c r="AG1667" s="625">
        <v>94.411270000000002</v>
      </c>
      <c r="AH1667" s="625">
        <v>94.411270000000002</v>
      </c>
      <c r="AI1667" s="625">
        <v>94.411270000000002</v>
      </c>
      <c r="AJ1667" s="625">
        <v>94.411270000000002</v>
      </c>
      <c r="AK1667" s="625">
        <v>94.411270000000002</v>
      </c>
      <c r="AL1667" s="625">
        <v>94.411270000000002</v>
      </c>
      <c r="AM1667" s="625">
        <v>94.411270000000002</v>
      </c>
      <c r="AN1667" s="625">
        <v>94.411270000000002</v>
      </c>
      <c r="AO1667" s="625">
        <v>94.411270000000002</v>
      </c>
      <c r="AP1667" s="41" t="str">
        <f t="shared" si="761"/>
        <v>Def TaxR</v>
      </c>
      <c r="AQ1667" s="41" t="str">
        <f t="shared" si="762"/>
        <v>Def TaxRR11Personal Time</v>
      </c>
      <c r="AR1667" s="41" t="str">
        <f t="shared" si="763"/>
        <v>R11Personal Time</v>
      </c>
    </row>
    <row r="1668" spans="1:44" s="41" customFormat="1" ht="12.75" customHeight="1">
      <c r="A1668" s="442" t="s">
        <v>1590</v>
      </c>
      <c r="B1668" s="442" t="str">
        <f t="shared" si="775"/>
        <v>Def Tax190041BT010083</v>
      </c>
      <c r="C1668" s="736">
        <v>190041</v>
      </c>
      <c r="D1668" s="735"/>
      <c r="E1668" s="626" t="s">
        <v>1794</v>
      </c>
      <c r="F1668" s="626" t="str">
        <f t="shared" si="766"/>
        <v>ADIT - EEBEN - STATE - ELECTRIC</v>
      </c>
      <c r="G1668" s="626" t="s">
        <v>1796</v>
      </c>
      <c r="H1668" s="736" t="s">
        <v>1796</v>
      </c>
      <c r="I1668" s="442"/>
      <c r="J1668" s="442" t="str">
        <f t="shared" si="767"/>
        <v/>
      </c>
      <c r="K1668" s="442" t="str">
        <f t="shared" si="774"/>
        <v/>
      </c>
      <c r="L1668" s="736" t="s">
        <v>2421</v>
      </c>
      <c r="M1668" s="442" t="str">
        <f t="shared" si="777"/>
        <v>N</v>
      </c>
      <c r="N1668" s="442" t="str">
        <f>IF(L1668&lt;&gt;"",VLOOKUP(L1668,Categories!$B$2:$D$41,2,FALSE),IF(F1668&lt;&gt;"","No Cat",""))</f>
        <v>NRBASE</v>
      </c>
      <c r="O1668" s="442" t="str">
        <f>IF($L1668&lt;&gt;"",VLOOKUP($L1668,Categories!$B$2:$D$41,3,FALSE),IF($F1668&lt;&gt;"","No Cat",""))</f>
        <v>Direct Assign Items Not in RB</v>
      </c>
      <c r="P1668" s="736" t="s">
        <v>2468</v>
      </c>
      <c r="Q1668" s="442" t="str">
        <f>VLOOKUP($P1668,Allocators!$B$7:$F$19,5,FALSE)</f>
        <v>Not in Rate Base</v>
      </c>
      <c r="R1668" s="737">
        <f>VLOOKUP($P1668,Allocators!$B$7:$F$19,2,FALSE)</f>
        <v>0</v>
      </c>
      <c r="S1668" s="737">
        <f>VLOOKUP($P1668,Allocators!$B$7:$F$19,3,FALSE)</f>
        <v>0</v>
      </c>
      <c r="T1668" s="737">
        <f t="shared" si="776"/>
        <v>1</v>
      </c>
      <c r="U1668" s="2">
        <f t="shared" si="768"/>
        <v>0</v>
      </c>
      <c r="V1668" s="2">
        <f t="shared" si="769"/>
        <v>0</v>
      </c>
      <c r="W1668" s="2">
        <f t="shared" si="770"/>
        <v>40.717117916666702</v>
      </c>
      <c r="X1668" s="2">
        <f t="shared" si="764"/>
        <v>40.717117916666702</v>
      </c>
      <c r="Y1668" s="2">
        <f t="shared" si="771"/>
        <v>0</v>
      </c>
      <c r="Z1668" s="2">
        <f t="shared" si="772"/>
        <v>0</v>
      </c>
      <c r="AA1668" s="2">
        <f t="shared" si="773"/>
        <v>15.667540000000001</v>
      </c>
      <c r="AB1668" s="2">
        <f t="shared" si="765"/>
        <v>15.667540000000001</v>
      </c>
      <c r="AC1668" s="625">
        <v>51.031649999999999</v>
      </c>
      <c r="AD1668" s="625">
        <v>51.031649999999999</v>
      </c>
      <c r="AE1668" s="625">
        <v>51.031649999999999</v>
      </c>
      <c r="AF1668" s="625">
        <v>51.031649999999999</v>
      </c>
      <c r="AG1668" s="625">
        <v>51.031649999999999</v>
      </c>
      <c r="AH1668" s="625">
        <v>51.031649999999999</v>
      </c>
      <c r="AI1668" s="625">
        <v>51.031649999999999</v>
      </c>
      <c r="AJ1668" s="625">
        <v>51.031649999999999</v>
      </c>
      <c r="AK1668" s="625">
        <v>51.031649999999999</v>
      </c>
      <c r="AL1668" s="625">
        <v>15.667540000000001</v>
      </c>
      <c r="AM1668" s="625">
        <v>15.667540000000001</v>
      </c>
      <c r="AN1668" s="625">
        <v>15.667540000000001</v>
      </c>
      <c r="AO1668" s="625">
        <v>15.667540000000001</v>
      </c>
      <c r="AP1668" s="41" t="str">
        <f t="shared" si="761"/>
        <v>Def TaxN</v>
      </c>
      <c r="AQ1668" s="41" t="str">
        <f t="shared" si="762"/>
        <v>Def TaxNN2Executive Incentive Plan</v>
      </c>
      <c r="AR1668" s="41" t="str">
        <f t="shared" si="763"/>
        <v>N2Executive Incentive Plan</v>
      </c>
    </row>
    <row r="1669" spans="1:44" s="41" customFormat="1" ht="12.75" customHeight="1">
      <c r="A1669" s="25" t="s">
        <v>1590</v>
      </c>
      <c r="B1669" s="25" t="str">
        <f t="shared" si="775"/>
        <v>Def Tax190041BT010088</v>
      </c>
      <c r="C1669" s="736">
        <v>190041</v>
      </c>
      <c r="D1669" s="735"/>
      <c r="E1669" s="41" t="s">
        <v>1651</v>
      </c>
      <c r="F1669" s="41" t="str">
        <f t="shared" si="766"/>
        <v>ADIT - EEBEN - STATE - ELECTRIC</v>
      </c>
      <c r="G1669" s="41" t="s">
        <v>1652</v>
      </c>
      <c r="H1669" s="736" t="s">
        <v>1586</v>
      </c>
      <c r="I1669" s="25"/>
      <c r="J1669" s="25" t="str">
        <f t="shared" si="767"/>
        <v/>
      </c>
      <c r="K1669" s="442" t="str">
        <f t="shared" si="774"/>
        <v/>
      </c>
      <c r="L1669" s="736" t="s">
        <v>2443</v>
      </c>
      <c r="M1669" s="25" t="str">
        <f t="shared" si="777"/>
        <v>R</v>
      </c>
      <c r="N1669" s="25" t="str">
        <f>IF(L1669&lt;&gt;"",VLOOKUP(L1669,Categories!$B$2:$D$41,2,FALSE),IF(F1669&lt;&gt;"","No Cat",""))</f>
        <v>Rate Base</v>
      </c>
      <c r="O1669" s="25" t="str">
        <f>IF($L1669&lt;&gt;"",VLOOKUP($L1669,Categories!$B$2:$D$41,3,FALSE),IF($F1669&lt;&gt;"","No Cat",""))</f>
        <v>Deferred Income Taxes</v>
      </c>
      <c r="P1669" s="736" t="s">
        <v>2482</v>
      </c>
      <c r="Q1669" s="25" t="str">
        <f>VLOOKUP($P1669,Allocators!$B$7:$F$19,5,FALSE)</f>
        <v>Electric</v>
      </c>
      <c r="R1669" s="737">
        <f>VLOOKUP($P1669,Allocators!$B$7:$F$19,2,FALSE)</f>
        <v>1</v>
      </c>
      <c r="S1669" s="737">
        <f>VLOOKUP($P1669,Allocators!$B$7:$F$19,3,FALSE)</f>
        <v>0</v>
      </c>
      <c r="T1669" s="737" t="str">
        <f t="shared" si="776"/>
        <v>0.0%</v>
      </c>
      <c r="U1669" s="2">
        <f t="shared" si="768"/>
        <v>250.21159083333299</v>
      </c>
      <c r="V1669" s="2">
        <f t="shared" si="769"/>
        <v>0</v>
      </c>
      <c r="W1669" s="2">
        <f t="shared" si="770"/>
        <v>0</v>
      </c>
      <c r="X1669" s="2">
        <f t="shared" si="764"/>
        <v>250.21159083333299</v>
      </c>
      <c r="Y1669" s="2">
        <f t="shared" si="771"/>
        <v>233.90234000000001</v>
      </c>
      <c r="Z1669" s="2">
        <f t="shared" si="772"/>
        <v>0</v>
      </c>
      <c r="AA1669" s="2">
        <f t="shared" si="773"/>
        <v>0</v>
      </c>
      <c r="AB1669" s="2">
        <f t="shared" si="765"/>
        <v>233.90234000000001</v>
      </c>
      <c r="AC1669" s="625">
        <v>249.42214000000001</v>
      </c>
      <c r="AD1669" s="625">
        <v>249.73064000000002</v>
      </c>
      <c r="AE1669" s="625">
        <v>249.97483</v>
      </c>
      <c r="AF1669" s="625">
        <v>250.20253</v>
      </c>
      <c r="AG1669" s="625">
        <v>250.46725000000001</v>
      </c>
      <c r="AH1669" s="625">
        <v>250.72815</v>
      </c>
      <c r="AI1669" s="625">
        <v>250.99629999999999</v>
      </c>
      <c r="AJ1669" s="625">
        <v>251.32992000000002</v>
      </c>
      <c r="AK1669" s="625">
        <v>251.55878000000001</v>
      </c>
      <c r="AL1669" s="625">
        <v>251.72649999999999</v>
      </c>
      <c r="AM1669" s="625">
        <v>252.05446000000001</v>
      </c>
      <c r="AN1669" s="625">
        <v>252.10748999999998</v>
      </c>
      <c r="AO1669" s="625">
        <v>233.90234000000001</v>
      </c>
      <c r="AP1669" s="41" t="str">
        <f t="shared" si="761"/>
        <v>Def TaxR</v>
      </c>
      <c r="AQ1669" s="41" t="str">
        <f t="shared" si="762"/>
        <v>Def TaxRR11FAS 112</v>
      </c>
      <c r="AR1669" s="41" t="str">
        <f t="shared" si="763"/>
        <v>R11FAS 112</v>
      </c>
    </row>
    <row r="1670" spans="1:44" s="41" customFormat="1" ht="12.75" customHeight="1">
      <c r="A1670" s="25" t="s">
        <v>1590</v>
      </c>
      <c r="B1670" s="25" t="str">
        <f t="shared" si="775"/>
        <v>Def Tax190041BT010089</v>
      </c>
      <c r="C1670" s="736">
        <v>190041</v>
      </c>
      <c r="D1670" s="735"/>
      <c r="E1670" s="41" t="s">
        <v>1679</v>
      </c>
      <c r="F1670" s="41" t="str">
        <f t="shared" si="766"/>
        <v>ADIT - EEBEN - STATE - ELECTRIC</v>
      </c>
      <c r="G1670" s="41" t="s">
        <v>1873</v>
      </c>
      <c r="H1670" s="736" t="s">
        <v>927</v>
      </c>
      <c r="I1670" s="25"/>
      <c r="J1670" s="25" t="str">
        <f t="shared" si="767"/>
        <v/>
      </c>
      <c r="K1670" s="442" t="str">
        <f t="shared" si="774"/>
        <v/>
      </c>
      <c r="L1670" s="736" t="s">
        <v>2443</v>
      </c>
      <c r="M1670" s="25" t="str">
        <f t="shared" si="777"/>
        <v>R</v>
      </c>
      <c r="N1670" s="25" t="str">
        <f>IF(L1670&lt;&gt;"",VLOOKUP(L1670,Categories!$B$2:$D$41,2,FALSE),IF(F1670&lt;&gt;"","No Cat",""))</f>
        <v>Rate Base</v>
      </c>
      <c r="O1670" s="25" t="str">
        <f>IF($L1670&lt;&gt;"",VLOOKUP($L1670,Categories!$B$2:$D$41,3,FALSE),IF($F1670&lt;&gt;"","No Cat",""))</f>
        <v>Deferred Income Taxes</v>
      </c>
      <c r="P1670" s="736" t="s">
        <v>2482</v>
      </c>
      <c r="Q1670" s="25" t="str">
        <f>VLOOKUP($P1670,Allocators!$B$7:$F$19,5,FALSE)</f>
        <v>Electric</v>
      </c>
      <c r="R1670" s="737">
        <f>VLOOKUP($P1670,Allocators!$B$7:$F$19,2,FALSE)</f>
        <v>1</v>
      </c>
      <c r="S1670" s="737">
        <f>VLOOKUP($P1670,Allocators!$B$7:$F$19,3,FALSE)</f>
        <v>0</v>
      </c>
      <c r="T1670" s="737" t="str">
        <f t="shared" si="776"/>
        <v>0.0%</v>
      </c>
      <c r="U1670" s="2">
        <f t="shared" si="768"/>
        <v>1222.11242666667</v>
      </c>
      <c r="V1670" s="2">
        <f t="shared" si="769"/>
        <v>0</v>
      </c>
      <c r="W1670" s="2">
        <f t="shared" si="770"/>
        <v>0</v>
      </c>
      <c r="X1670" s="2">
        <f t="shared" si="764"/>
        <v>1222.11242666667</v>
      </c>
      <c r="Y1670" s="2">
        <f t="shared" si="771"/>
        <v>1648.42839</v>
      </c>
      <c r="Z1670" s="2">
        <f t="shared" si="772"/>
        <v>0</v>
      </c>
      <c r="AA1670" s="2">
        <f t="shared" si="773"/>
        <v>0</v>
      </c>
      <c r="AB1670" s="2">
        <f t="shared" si="765"/>
        <v>1648.4283899999998</v>
      </c>
      <c r="AC1670" s="625">
        <v>1200.0403100000001</v>
      </c>
      <c r="AD1670" s="625">
        <v>1195.4822799999999</v>
      </c>
      <c r="AE1670" s="625">
        <v>1248.2029</v>
      </c>
      <c r="AF1670" s="625">
        <v>1238.4185199999999</v>
      </c>
      <c r="AG1670" s="625">
        <v>1224.13914</v>
      </c>
      <c r="AH1670" s="625">
        <v>1214.10365</v>
      </c>
      <c r="AI1670" s="625">
        <v>1185.9131</v>
      </c>
      <c r="AJ1670" s="625">
        <v>1180.5267799999999</v>
      </c>
      <c r="AK1670" s="625">
        <v>1174.3568799999998</v>
      </c>
      <c r="AL1670" s="625">
        <v>1171.73867</v>
      </c>
      <c r="AM1670" s="625">
        <v>1170.6990900000001</v>
      </c>
      <c r="AN1670" s="625">
        <v>1237.53376</v>
      </c>
      <c r="AO1670" s="625">
        <v>1648.4283899999998</v>
      </c>
      <c r="AP1670" s="41" t="str">
        <f t="shared" si="761"/>
        <v>Def TaxR</v>
      </c>
      <c r="AQ1670" s="41" t="str">
        <f t="shared" si="762"/>
        <v>Def TaxRR11OPEB</v>
      </c>
      <c r="AR1670" s="41" t="str">
        <f t="shared" si="763"/>
        <v>R11OPEB</v>
      </c>
    </row>
    <row r="1671" spans="1:44" s="41" customFormat="1" ht="12.75" customHeight="1">
      <c r="A1671" s="25" t="s">
        <v>1590</v>
      </c>
      <c r="B1671" s="25" t="str">
        <f t="shared" si="775"/>
        <v>Def Tax190041BT010125</v>
      </c>
      <c r="C1671" s="736">
        <v>190041</v>
      </c>
      <c r="D1671" s="735"/>
      <c r="E1671" s="41" t="s">
        <v>1668</v>
      </c>
      <c r="F1671" s="41" t="str">
        <f t="shared" si="766"/>
        <v>ADIT - EEBEN - STATE - ELECTRIC</v>
      </c>
      <c r="G1671" s="41" t="s">
        <v>1874</v>
      </c>
      <c r="H1671" s="736" t="s">
        <v>1118</v>
      </c>
      <c r="I1671" s="25"/>
      <c r="J1671" s="25" t="str">
        <f t="shared" si="767"/>
        <v/>
      </c>
      <c r="K1671" s="442" t="str">
        <f t="shared" si="774"/>
        <v/>
      </c>
      <c r="L1671" s="736" t="s">
        <v>2443</v>
      </c>
      <c r="M1671" s="25" t="str">
        <f t="shared" si="777"/>
        <v>R</v>
      </c>
      <c r="N1671" s="25" t="str">
        <f>IF(L1671&lt;&gt;"",VLOOKUP(L1671,Categories!$B$2:$D$41,2,FALSE),IF(F1671&lt;&gt;"","No Cat",""))</f>
        <v>Rate Base</v>
      </c>
      <c r="O1671" s="25" t="str">
        <f>IF($L1671&lt;&gt;"",VLOOKUP($L1671,Categories!$B$2:$D$41,3,FALSE),IF($F1671&lt;&gt;"","No Cat",""))</f>
        <v>Deferred Income Taxes</v>
      </c>
      <c r="P1671" s="736" t="s">
        <v>2482</v>
      </c>
      <c r="Q1671" s="25" t="str">
        <f>VLOOKUP($P1671,Allocators!$B$7:$F$19,5,FALSE)</f>
        <v>Electric</v>
      </c>
      <c r="R1671" s="737">
        <f>VLOOKUP($P1671,Allocators!$B$7:$F$19,2,FALSE)</f>
        <v>1</v>
      </c>
      <c r="S1671" s="737">
        <f>VLOOKUP($P1671,Allocators!$B$7:$F$19,3,FALSE)</f>
        <v>0</v>
      </c>
      <c r="T1671" s="737" t="str">
        <f t="shared" si="776"/>
        <v>0.0%</v>
      </c>
      <c r="U1671" s="2">
        <f t="shared" si="768"/>
        <v>-15.601509999999999</v>
      </c>
      <c r="V1671" s="2">
        <f t="shared" si="769"/>
        <v>0</v>
      </c>
      <c r="W1671" s="2">
        <f t="shared" si="770"/>
        <v>0</v>
      </c>
      <c r="X1671" s="2">
        <f t="shared" si="764"/>
        <v>-15.601509999999999</v>
      </c>
      <c r="Y1671" s="2">
        <f t="shared" si="771"/>
        <v>-15.601509999999999</v>
      </c>
      <c r="Z1671" s="2">
        <f t="shared" si="772"/>
        <v>0</v>
      </c>
      <c r="AA1671" s="2">
        <f t="shared" si="773"/>
        <v>0</v>
      </c>
      <c r="AB1671" s="2">
        <f t="shared" si="765"/>
        <v>-15.601510000000001</v>
      </c>
      <c r="AC1671" s="625">
        <v>-15.601510000000001</v>
      </c>
      <c r="AD1671" s="625">
        <v>-15.601510000000001</v>
      </c>
      <c r="AE1671" s="625">
        <v>-15.601510000000001</v>
      </c>
      <c r="AF1671" s="625">
        <v>-15.601510000000001</v>
      </c>
      <c r="AG1671" s="625">
        <v>-15.601510000000001</v>
      </c>
      <c r="AH1671" s="625">
        <v>-15.601510000000001</v>
      </c>
      <c r="AI1671" s="625">
        <v>-15.601510000000001</v>
      </c>
      <c r="AJ1671" s="625">
        <v>-15.601510000000001</v>
      </c>
      <c r="AK1671" s="625">
        <v>-15.601510000000001</v>
      </c>
      <c r="AL1671" s="625">
        <v>-15.601510000000001</v>
      </c>
      <c r="AM1671" s="625">
        <v>-15.601510000000001</v>
      </c>
      <c r="AN1671" s="625">
        <v>-15.601510000000001</v>
      </c>
      <c r="AO1671" s="625">
        <v>-15.601510000000001</v>
      </c>
      <c r="AP1671" s="41" t="str">
        <f t="shared" si="761"/>
        <v>Def TaxR</v>
      </c>
      <c r="AQ1671" s="41" t="str">
        <f t="shared" si="762"/>
        <v>Def TaxRR11Medicare Part D</v>
      </c>
      <c r="AR1671" s="41" t="str">
        <f t="shared" si="763"/>
        <v>R11Medicare Part D</v>
      </c>
    </row>
    <row r="1672" spans="1:44" s="41" customFormat="1" ht="12.75" customHeight="1">
      <c r="A1672" s="25" t="s">
        <v>1590</v>
      </c>
      <c r="B1672" s="25" t="str">
        <f t="shared" si="775"/>
        <v>Def Tax190041BT010167</v>
      </c>
      <c r="C1672" s="736">
        <v>190041</v>
      </c>
      <c r="D1672" s="735"/>
      <c r="E1672" s="41" t="s">
        <v>1671</v>
      </c>
      <c r="F1672" s="41" t="str">
        <f t="shared" si="766"/>
        <v>ADIT - EEBEN - STATE - ELECTRIC</v>
      </c>
      <c r="G1672" s="41" t="s">
        <v>1876</v>
      </c>
      <c r="H1672" s="736" t="s">
        <v>1673</v>
      </c>
      <c r="I1672" s="25"/>
      <c r="J1672" s="25" t="str">
        <f t="shared" si="767"/>
        <v/>
      </c>
      <c r="K1672" s="442" t="str">
        <f t="shared" si="774"/>
        <v/>
      </c>
      <c r="L1672" s="736" t="s">
        <v>2443</v>
      </c>
      <c r="M1672" s="25" t="str">
        <f t="shared" si="777"/>
        <v>R</v>
      </c>
      <c r="N1672" s="25" t="str">
        <f>IF(L1672&lt;&gt;"",VLOOKUP(L1672,Categories!$B$2:$D$41,2,FALSE),IF(F1672&lt;&gt;"","No Cat",""))</f>
        <v>Rate Base</v>
      </c>
      <c r="O1672" s="25" t="str">
        <f>IF($L1672&lt;&gt;"",VLOOKUP($L1672,Categories!$B$2:$D$41,3,FALSE),IF($F1672&lt;&gt;"","No Cat",""))</f>
        <v>Deferred Income Taxes</v>
      </c>
      <c r="P1672" s="736" t="s">
        <v>2482</v>
      </c>
      <c r="Q1672" s="25" t="str">
        <f>VLOOKUP($P1672,Allocators!$B$7:$F$19,5,FALSE)</f>
        <v>Electric</v>
      </c>
      <c r="R1672" s="737">
        <f>VLOOKUP($P1672,Allocators!$B$7:$F$19,2,FALSE)</f>
        <v>1</v>
      </c>
      <c r="S1672" s="737">
        <f>VLOOKUP($P1672,Allocators!$B$7:$F$19,3,FALSE)</f>
        <v>0</v>
      </c>
      <c r="T1672" s="737" t="str">
        <f t="shared" si="776"/>
        <v>0.0%</v>
      </c>
      <c r="U1672" s="2">
        <f t="shared" si="768"/>
        <v>1712.6986129166701</v>
      </c>
      <c r="V1672" s="2">
        <f t="shared" si="769"/>
        <v>0</v>
      </c>
      <c r="W1672" s="2">
        <f t="shared" si="770"/>
        <v>0</v>
      </c>
      <c r="X1672" s="2">
        <f t="shared" si="764"/>
        <v>1712.6986129166701</v>
      </c>
      <c r="Y1672" s="2">
        <f t="shared" si="771"/>
        <v>4735.9861700000001</v>
      </c>
      <c r="Z1672" s="2">
        <f t="shared" si="772"/>
        <v>0</v>
      </c>
      <c r="AA1672" s="2">
        <f t="shared" si="773"/>
        <v>0</v>
      </c>
      <c r="AB1672" s="2">
        <f t="shared" si="765"/>
        <v>4735.9861700000001</v>
      </c>
      <c r="AC1672" s="625">
        <v>1642.8123400000002</v>
      </c>
      <c r="AD1672" s="625">
        <v>1632.0858000000001</v>
      </c>
      <c r="AE1672" s="625">
        <v>1621.3592599999999</v>
      </c>
      <c r="AF1672" s="625">
        <v>1610.6327200000001</v>
      </c>
      <c r="AG1672" s="625">
        <v>1599.9061799999999</v>
      </c>
      <c r="AH1672" s="625">
        <v>1589.1796399999998</v>
      </c>
      <c r="AI1672" s="625">
        <v>1578.4531000000002</v>
      </c>
      <c r="AJ1672" s="625">
        <v>1567.7265600000001</v>
      </c>
      <c r="AK1672" s="625">
        <v>1557.0000199999999</v>
      </c>
      <c r="AL1672" s="625">
        <v>1546.2734800000001</v>
      </c>
      <c r="AM1672" s="625">
        <v>1535.5469399999999</v>
      </c>
      <c r="AN1672" s="625">
        <v>1524.8203999999998</v>
      </c>
      <c r="AO1672" s="625">
        <v>4735.9861700000001</v>
      </c>
      <c r="AP1672" s="41" t="str">
        <f t="shared" ref="AP1672:AP1735" si="778">CONCATENATE(A1672,M1672)</f>
        <v>Def TaxR</v>
      </c>
      <c r="AQ1672" s="41" t="str">
        <f t="shared" ref="AQ1672:AQ1735" si="779">CONCATENATE(AP1672,L1672,H1672)</f>
        <v>Def TaxRR11Pension</v>
      </c>
      <c r="AR1672" s="41" t="str">
        <f t="shared" ref="AR1672:AR1735" si="780">CONCATENATE(L1672,H1672,J1672)</f>
        <v>R11Pension</v>
      </c>
    </row>
    <row r="1673" spans="1:44" s="41" customFormat="1" ht="12.75" customHeight="1">
      <c r="A1673" s="25" t="s">
        <v>1590</v>
      </c>
      <c r="B1673" s="25" t="str">
        <f t="shared" si="775"/>
        <v>Def Tax190041BT010183</v>
      </c>
      <c r="C1673" s="736">
        <v>190041</v>
      </c>
      <c r="D1673" s="735"/>
      <c r="E1673" s="41" t="s">
        <v>1689</v>
      </c>
      <c r="F1673" s="41" t="str">
        <f t="shared" si="766"/>
        <v>ADIT - EEBEN - STATE - ELECTRIC</v>
      </c>
      <c r="G1673" s="41" t="s">
        <v>1690</v>
      </c>
      <c r="H1673" s="736" t="s">
        <v>1691</v>
      </c>
      <c r="I1673" s="25"/>
      <c r="J1673" s="25" t="str">
        <f t="shared" si="767"/>
        <v/>
      </c>
      <c r="K1673" s="442" t="str">
        <f t="shared" si="774"/>
        <v/>
      </c>
      <c r="L1673" s="736" t="s">
        <v>2443</v>
      </c>
      <c r="M1673" s="25" t="str">
        <f t="shared" si="777"/>
        <v>R</v>
      </c>
      <c r="N1673" s="25" t="str">
        <f>IF(L1673&lt;&gt;"",VLOOKUP(L1673,Categories!$B$2:$D$41,2,FALSE),IF(F1673&lt;&gt;"","No Cat",""))</f>
        <v>Rate Base</v>
      </c>
      <c r="O1673" s="25" t="str">
        <f>IF($L1673&lt;&gt;"",VLOOKUP($L1673,Categories!$B$2:$D$41,3,FALSE),IF($F1673&lt;&gt;"","No Cat",""))</f>
        <v>Deferred Income Taxes</v>
      </c>
      <c r="P1673" s="736" t="s">
        <v>2482</v>
      </c>
      <c r="Q1673" s="25" t="str">
        <f>VLOOKUP($P1673,Allocators!$B$7:$F$19,5,FALSE)</f>
        <v>Electric</v>
      </c>
      <c r="R1673" s="737">
        <f>VLOOKUP($P1673,Allocators!$B$7:$F$19,2,FALSE)</f>
        <v>1</v>
      </c>
      <c r="S1673" s="737">
        <f>VLOOKUP($P1673,Allocators!$B$7:$F$19,3,FALSE)</f>
        <v>0</v>
      </c>
      <c r="T1673" s="737" t="str">
        <f t="shared" si="776"/>
        <v>0.0%</v>
      </c>
      <c r="U1673" s="2">
        <f t="shared" si="768"/>
        <v>-33.330829999999999</v>
      </c>
      <c r="V1673" s="2">
        <f t="shared" si="769"/>
        <v>0</v>
      </c>
      <c r="W1673" s="2">
        <f t="shared" si="770"/>
        <v>0</v>
      </c>
      <c r="X1673" s="2">
        <f t="shared" si="764"/>
        <v>-33.330829999999999</v>
      </c>
      <c r="Y1673" s="2">
        <f t="shared" si="771"/>
        <v>-33.330829999999999</v>
      </c>
      <c r="Z1673" s="2">
        <f t="shared" si="772"/>
        <v>0</v>
      </c>
      <c r="AA1673" s="2">
        <f t="shared" si="773"/>
        <v>0</v>
      </c>
      <c r="AB1673" s="2">
        <f t="shared" si="765"/>
        <v>-33.330829999999999</v>
      </c>
      <c r="AC1673" s="625">
        <v>-33.330829999999999</v>
      </c>
      <c r="AD1673" s="625">
        <v>-33.330829999999999</v>
      </c>
      <c r="AE1673" s="625">
        <v>-33.330829999999999</v>
      </c>
      <c r="AF1673" s="625">
        <v>-33.330829999999999</v>
      </c>
      <c r="AG1673" s="625">
        <v>-33.330829999999999</v>
      </c>
      <c r="AH1673" s="625">
        <v>-33.330829999999999</v>
      </c>
      <c r="AI1673" s="625">
        <v>-33.330829999999999</v>
      </c>
      <c r="AJ1673" s="625">
        <v>-33.330829999999999</v>
      </c>
      <c r="AK1673" s="625">
        <v>-33.330829999999999</v>
      </c>
      <c r="AL1673" s="625">
        <v>-33.330829999999999</v>
      </c>
      <c r="AM1673" s="625">
        <v>-33.330829999999999</v>
      </c>
      <c r="AN1673" s="625">
        <v>-33.330829999999999</v>
      </c>
      <c r="AO1673" s="625">
        <v>-33.330829999999999</v>
      </c>
      <c r="AP1673" s="41" t="str">
        <f t="shared" si="778"/>
        <v>Def TaxR</v>
      </c>
      <c r="AQ1673" s="41" t="str">
        <f t="shared" si="779"/>
        <v>Def TaxRR11Restricted Stock</v>
      </c>
      <c r="AR1673" s="41" t="str">
        <f t="shared" si="780"/>
        <v>R11Restricted Stock</v>
      </c>
    </row>
    <row r="1674" spans="1:44" s="41" customFormat="1" ht="12.75" customHeight="1">
      <c r="A1674" s="442" t="s">
        <v>1590</v>
      </c>
      <c r="B1674" s="442" t="str">
        <f t="shared" si="775"/>
        <v>Def Tax190041BT010195</v>
      </c>
      <c r="C1674" s="736">
        <v>190041</v>
      </c>
      <c r="D1674" s="735"/>
      <c r="E1674" s="626" t="s">
        <v>1700</v>
      </c>
      <c r="F1674" s="626" t="str">
        <f t="shared" si="766"/>
        <v>ADIT - EEBEN - STATE - ELECTRIC</v>
      </c>
      <c r="G1674" s="626" t="s">
        <v>810</v>
      </c>
      <c r="H1674" s="736" t="s">
        <v>810</v>
      </c>
      <c r="I1674" s="442"/>
      <c r="J1674" s="442" t="str">
        <f t="shared" si="767"/>
        <v/>
      </c>
      <c r="K1674" s="442" t="str">
        <f t="shared" si="774"/>
        <v/>
      </c>
      <c r="L1674" s="736" t="s">
        <v>2421</v>
      </c>
      <c r="M1674" s="442" t="str">
        <f t="shared" si="777"/>
        <v>N</v>
      </c>
      <c r="N1674" s="442" t="str">
        <f>IF(L1674&lt;&gt;"",VLOOKUP(L1674,Categories!$B$2:$D$41,2,FALSE),IF(F1674&lt;&gt;"","No Cat",""))</f>
        <v>NRBASE</v>
      </c>
      <c r="O1674" s="442" t="str">
        <f>IF($L1674&lt;&gt;"",VLOOKUP($L1674,Categories!$B$2:$D$41,3,FALSE),IF($F1674&lt;&gt;"","No Cat",""))</f>
        <v>Direct Assign Items Not in RB</v>
      </c>
      <c r="P1674" s="736" t="s">
        <v>2468</v>
      </c>
      <c r="Q1674" s="442" t="str">
        <f>VLOOKUP($P1674,Allocators!$B$7:$F$19,5,FALSE)</f>
        <v>Not in Rate Base</v>
      </c>
      <c r="R1674" s="737">
        <f>VLOOKUP($P1674,Allocators!$B$7:$F$19,2,FALSE)</f>
        <v>0</v>
      </c>
      <c r="S1674" s="737">
        <f>VLOOKUP($P1674,Allocators!$B$7:$F$19,3,FALSE)</f>
        <v>0</v>
      </c>
      <c r="T1674" s="737">
        <f t="shared" si="776"/>
        <v>1</v>
      </c>
      <c r="U1674" s="2">
        <f t="shared" si="768"/>
        <v>0</v>
      </c>
      <c r="V1674" s="2">
        <f t="shared" si="769"/>
        <v>0</v>
      </c>
      <c r="W1674" s="2">
        <f t="shared" si="770"/>
        <v>43.406238333333299</v>
      </c>
      <c r="X1674" s="2">
        <f t="shared" si="764"/>
        <v>43.406238333333299</v>
      </c>
      <c r="Y1674" s="2">
        <f t="shared" si="771"/>
        <v>0</v>
      </c>
      <c r="Z1674" s="2">
        <f t="shared" si="772"/>
        <v>0</v>
      </c>
      <c r="AA1674" s="2">
        <f t="shared" si="773"/>
        <v>119.81919000000001</v>
      </c>
      <c r="AB1674" s="2">
        <f t="shared" si="765"/>
        <v>119.81919000000001</v>
      </c>
      <c r="AC1674" s="625">
        <v>70.195869999999999</v>
      </c>
      <c r="AD1674" s="625">
        <v>72.611490000000003</v>
      </c>
      <c r="AE1674" s="625">
        <v>75.027110000000008</v>
      </c>
      <c r="AF1674" s="625">
        <v>45.280860000000004</v>
      </c>
      <c r="AG1674" s="625">
        <v>47.696480000000001</v>
      </c>
      <c r="AH1674" s="625">
        <v>50.112099999999998</v>
      </c>
      <c r="AI1674" s="625">
        <v>29.418659999999999</v>
      </c>
      <c r="AJ1674" s="625">
        <v>31.83428</v>
      </c>
      <c r="AK1674" s="625">
        <v>34.249900000000004</v>
      </c>
      <c r="AL1674" s="625">
        <v>10.796530000000001</v>
      </c>
      <c r="AM1674" s="625">
        <v>13.212149999999999</v>
      </c>
      <c r="AN1674" s="625">
        <v>15.62777</v>
      </c>
      <c r="AO1674" s="625">
        <v>119.81919000000001</v>
      </c>
      <c r="AP1674" s="41" t="str">
        <f t="shared" si="778"/>
        <v>Def TaxN</v>
      </c>
      <c r="AQ1674" s="41" t="str">
        <f t="shared" si="779"/>
        <v>Def TaxNN2SERP</v>
      </c>
      <c r="AR1674" s="41" t="str">
        <f t="shared" si="780"/>
        <v>N2SERP</v>
      </c>
    </row>
    <row r="1675" spans="1:44" s="41" customFormat="1" ht="12.75" customHeight="1">
      <c r="A1675" s="25" t="s">
        <v>1590</v>
      </c>
      <c r="B1675" s="25" t="str">
        <f t="shared" si="775"/>
        <v>Def Tax190041BT010208</v>
      </c>
      <c r="C1675" s="736">
        <v>190041</v>
      </c>
      <c r="D1675" s="735"/>
      <c r="E1675" s="41" t="s">
        <v>1696</v>
      </c>
      <c r="F1675" s="41" t="str">
        <f t="shared" si="766"/>
        <v>ADIT - EEBEN - STATE - ELECTRIC</v>
      </c>
      <c r="G1675" s="41" t="s">
        <v>1877</v>
      </c>
      <c r="H1675" s="736" t="s">
        <v>1698</v>
      </c>
      <c r="I1675" s="25"/>
      <c r="J1675" s="25" t="str">
        <f t="shared" si="767"/>
        <v/>
      </c>
      <c r="K1675" s="442" t="str">
        <f t="shared" si="774"/>
        <v/>
      </c>
      <c r="L1675" s="736" t="s">
        <v>2443</v>
      </c>
      <c r="M1675" s="25" t="str">
        <f t="shared" si="777"/>
        <v>R</v>
      </c>
      <c r="N1675" s="25" t="str">
        <f>IF(L1675&lt;&gt;"",VLOOKUP(L1675,Categories!$B$2:$D$41,2,FALSE),IF(F1675&lt;&gt;"","No Cat",""))</f>
        <v>Rate Base</v>
      </c>
      <c r="O1675" s="25" t="str">
        <f>IF($L1675&lt;&gt;"",VLOOKUP($L1675,Categories!$B$2:$D$41,3,FALSE),IF($F1675&lt;&gt;"","No Cat",""))</f>
        <v>Deferred Income Taxes</v>
      </c>
      <c r="P1675" s="736" t="s">
        <v>2482</v>
      </c>
      <c r="Q1675" s="25" t="str">
        <f>VLOOKUP($P1675,Allocators!$B$7:$F$19,5,FALSE)</f>
        <v>Electric</v>
      </c>
      <c r="R1675" s="737">
        <f>VLOOKUP($P1675,Allocators!$B$7:$F$19,2,FALSE)</f>
        <v>1</v>
      </c>
      <c r="S1675" s="737">
        <f>VLOOKUP($P1675,Allocators!$B$7:$F$19,3,FALSE)</f>
        <v>0</v>
      </c>
      <c r="T1675" s="737" t="str">
        <f t="shared" si="776"/>
        <v>0.0%</v>
      </c>
      <c r="U1675" s="2">
        <f t="shared" si="768"/>
        <v>-26.20101</v>
      </c>
      <c r="V1675" s="2">
        <f t="shared" si="769"/>
        <v>0</v>
      </c>
      <c r="W1675" s="2">
        <f t="shared" si="770"/>
        <v>0</v>
      </c>
      <c r="X1675" s="2">
        <f t="shared" si="764"/>
        <v>-26.20101</v>
      </c>
      <c r="Y1675" s="2">
        <f t="shared" si="771"/>
        <v>-26.20101</v>
      </c>
      <c r="Z1675" s="2">
        <f t="shared" si="772"/>
        <v>0</v>
      </c>
      <c r="AA1675" s="2">
        <f t="shared" si="773"/>
        <v>0</v>
      </c>
      <c r="AB1675" s="2">
        <f t="shared" si="765"/>
        <v>-26.20101</v>
      </c>
      <c r="AC1675" s="625">
        <v>-26.20101</v>
      </c>
      <c r="AD1675" s="625">
        <v>-26.20101</v>
      </c>
      <c r="AE1675" s="625">
        <v>-26.20101</v>
      </c>
      <c r="AF1675" s="625">
        <v>-26.20101</v>
      </c>
      <c r="AG1675" s="625">
        <v>-26.20101</v>
      </c>
      <c r="AH1675" s="625">
        <v>-26.20101</v>
      </c>
      <c r="AI1675" s="625">
        <v>-26.20101</v>
      </c>
      <c r="AJ1675" s="625">
        <v>-26.20101</v>
      </c>
      <c r="AK1675" s="625">
        <v>-26.20101</v>
      </c>
      <c r="AL1675" s="625">
        <v>-26.20101</v>
      </c>
      <c r="AM1675" s="625">
        <v>-26.20101</v>
      </c>
      <c r="AN1675" s="625">
        <v>-26.20101</v>
      </c>
      <c r="AO1675" s="625">
        <v>-26.20101</v>
      </c>
      <c r="AP1675" s="41" t="str">
        <f t="shared" si="778"/>
        <v>Def TaxR</v>
      </c>
      <c r="AQ1675" s="41" t="str">
        <f t="shared" si="779"/>
        <v>Def TaxRR11Separation Accrual</v>
      </c>
      <c r="AR1675" s="41" t="str">
        <f t="shared" si="780"/>
        <v>R11Separation Accrual</v>
      </c>
    </row>
    <row r="1676" spans="1:44" s="41" customFormat="1" ht="12.75" customHeight="1">
      <c r="A1676" s="442" t="s">
        <v>1590</v>
      </c>
      <c r="B1676" s="442" t="str">
        <f t="shared" si="775"/>
        <v>Def Tax190041BT010211</v>
      </c>
      <c r="C1676" s="736">
        <v>190041</v>
      </c>
      <c r="D1676" s="735"/>
      <c r="E1676" s="626" t="s">
        <v>1703</v>
      </c>
      <c r="F1676" s="626" t="str">
        <f t="shared" si="766"/>
        <v>ADIT - EEBEN - STATE - ELECTRIC</v>
      </c>
      <c r="G1676" s="626" t="s">
        <v>1704</v>
      </c>
      <c r="H1676" s="736" t="s">
        <v>1705</v>
      </c>
      <c r="I1676" s="442"/>
      <c r="J1676" s="442" t="str">
        <f t="shared" si="767"/>
        <v/>
      </c>
      <c r="K1676" s="442" t="str">
        <f t="shared" si="774"/>
        <v/>
      </c>
      <c r="L1676" s="736" t="s">
        <v>2421</v>
      </c>
      <c r="M1676" s="442" t="str">
        <f t="shared" si="777"/>
        <v>N</v>
      </c>
      <c r="N1676" s="442" t="str">
        <f>IF(L1676&lt;&gt;"",VLOOKUP(L1676,Categories!$B$2:$D$41,2,FALSE),IF(F1676&lt;&gt;"","No Cat",""))</f>
        <v>NRBASE</v>
      </c>
      <c r="O1676" s="442" t="str">
        <f>IF($L1676&lt;&gt;"",VLOOKUP($L1676,Categories!$B$2:$D$41,3,FALSE),IF($F1676&lt;&gt;"","No Cat",""))</f>
        <v>Direct Assign Items Not in RB</v>
      </c>
      <c r="P1676" s="736" t="s">
        <v>2468</v>
      </c>
      <c r="Q1676" s="442" t="str">
        <f>VLOOKUP($P1676,Allocators!$B$7:$F$19,5,FALSE)</f>
        <v>Not in Rate Base</v>
      </c>
      <c r="R1676" s="737">
        <f>VLOOKUP($P1676,Allocators!$B$7:$F$19,2,FALSE)</f>
        <v>0</v>
      </c>
      <c r="S1676" s="737">
        <f>VLOOKUP($P1676,Allocators!$B$7:$F$19,3,FALSE)</f>
        <v>0</v>
      </c>
      <c r="T1676" s="737">
        <f t="shared" si="776"/>
        <v>1</v>
      </c>
      <c r="U1676" s="2" t="str">
        <f t="shared" si="768"/>
        <v/>
      </c>
      <c r="V1676" s="2" t="str">
        <f t="shared" si="769"/>
        <v/>
      </c>
      <c r="W1676" s="2" t="str">
        <f t="shared" si="770"/>
        <v/>
      </c>
      <c r="X1676" s="2">
        <f t="shared" si="764"/>
        <v>0</v>
      </c>
      <c r="Y1676" s="2" t="str">
        <f t="shared" si="771"/>
        <v/>
      </c>
      <c r="Z1676" s="2" t="str">
        <f t="shared" si="772"/>
        <v/>
      </c>
      <c r="AA1676" s="2" t="str">
        <f t="shared" si="773"/>
        <v/>
      </c>
      <c r="AB1676" s="2">
        <f t="shared" si="765"/>
        <v>0</v>
      </c>
      <c r="AC1676" s="625">
        <v>0</v>
      </c>
      <c r="AD1676" s="625">
        <v>0</v>
      </c>
      <c r="AE1676" s="625">
        <v>0</v>
      </c>
      <c r="AF1676" s="625">
        <v>0</v>
      </c>
      <c r="AG1676" s="625">
        <v>0</v>
      </c>
      <c r="AH1676" s="625">
        <v>0</v>
      </c>
      <c r="AI1676" s="625">
        <v>0</v>
      </c>
      <c r="AJ1676" s="625">
        <v>0</v>
      </c>
      <c r="AK1676" s="625">
        <v>0</v>
      </c>
      <c r="AL1676" s="625">
        <v>0</v>
      </c>
      <c r="AM1676" s="625">
        <v>0</v>
      </c>
      <c r="AN1676" s="625">
        <v>0</v>
      </c>
      <c r="AO1676" s="625">
        <v>0</v>
      </c>
      <c r="AP1676" s="41" t="str">
        <f t="shared" si="778"/>
        <v>Def TaxN</v>
      </c>
      <c r="AQ1676" s="41" t="str">
        <f t="shared" si="779"/>
        <v>Def TaxNN2Iberdrola Merger Severance</v>
      </c>
      <c r="AR1676" s="41" t="str">
        <f t="shared" si="780"/>
        <v>N2Iberdrola Merger Severance</v>
      </c>
    </row>
    <row r="1677" spans="1:44" s="41" customFormat="1" ht="12.75" customHeight="1">
      <c r="A1677" s="25" t="s">
        <v>1590</v>
      </c>
      <c r="B1677" s="25" t="str">
        <f t="shared" si="775"/>
        <v>Def Tax190041BT010220</v>
      </c>
      <c r="C1677" s="736">
        <v>190041</v>
      </c>
      <c r="D1677" s="735"/>
      <c r="E1677" s="41" t="s">
        <v>1710</v>
      </c>
      <c r="F1677" s="41" t="str">
        <f t="shared" si="766"/>
        <v>ADIT - EEBEN - STATE - ELECTRIC</v>
      </c>
      <c r="G1677" s="41" t="s">
        <v>1878</v>
      </c>
      <c r="H1677" s="736" t="s">
        <v>1712</v>
      </c>
      <c r="I1677" s="25"/>
      <c r="J1677" s="25" t="str">
        <f t="shared" si="767"/>
        <v/>
      </c>
      <c r="K1677" s="442" t="str">
        <f t="shared" si="774"/>
        <v/>
      </c>
      <c r="L1677" s="736" t="s">
        <v>2443</v>
      </c>
      <c r="M1677" s="25" t="str">
        <f t="shared" si="777"/>
        <v>R</v>
      </c>
      <c r="N1677" s="25" t="str">
        <f>IF(L1677&lt;&gt;"",VLOOKUP(L1677,Categories!$B$2:$D$41,2,FALSE),IF(F1677&lt;&gt;"","No Cat",""))</f>
        <v>Rate Base</v>
      </c>
      <c r="O1677" s="25" t="str">
        <f>IF($L1677&lt;&gt;"",VLOOKUP($L1677,Categories!$B$2:$D$41,3,FALSE),IF($F1677&lt;&gt;"","No Cat",""))</f>
        <v>Deferred Income Taxes</v>
      </c>
      <c r="P1677" s="736" t="s">
        <v>2482</v>
      </c>
      <c r="Q1677" s="25" t="str">
        <f>VLOOKUP($P1677,Allocators!$B$7:$F$19,5,FALSE)</f>
        <v>Electric</v>
      </c>
      <c r="R1677" s="737">
        <f>VLOOKUP($P1677,Allocators!$B$7:$F$19,2,FALSE)</f>
        <v>1</v>
      </c>
      <c r="S1677" s="737">
        <f>VLOOKUP($P1677,Allocators!$B$7:$F$19,3,FALSE)</f>
        <v>0</v>
      </c>
      <c r="T1677" s="737" t="str">
        <f t="shared" si="776"/>
        <v>0.0%</v>
      </c>
      <c r="U1677" s="2">
        <f t="shared" si="768"/>
        <v>-17.226009999999999</v>
      </c>
      <c r="V1677" s="2">
        <f t="shared" si="769"/>
        <v>0</v>
      </c>
      <c r="W1677" s="2">
        <f t="shared" si="770"/>
        <v>0</v>
      </c>
      <c r="X1677" s="2">
        <f t="shared" si="764"/>
        <v>-17.226009999999999</v>
      </c>
      <c r="Y1677" s="2">
        <f t="shared" si="771"/>
        <v>-17.226009999999999</v>
      </c>
      <c r="Z1677" s="2">
        <f t="shared" si="772"/>
        <v>0</v>
      </c>
      <c r="AA1677" s="2">
        <f t="shared" si="773"/>
        <v>0</v>
      </c>
      <c r="AB1677" s="2">
        <f t="shared" si="765"/>
        <v>-17.226009999999999</v>
      </c>
      <c r="AC1677" s="625">
        <v>-17.226009999999999</v>
      </c>
      <c r="AD1677" s="625">
        <v>-17.226009999999999</v>
      </c>
      <c r="AE1677" s="625">
        <v>-17.226009999999999</v>
      </c>
      <c r="AF1677" s="625">
        <v>-17.226009999999999</v>
      </c>
      <c r="AG1677" s="625">
        <v>-17.226009999999999</v>
      </c>
      <c r="AH1677" s="625">
        <v>-17.226009999999999</v>
      </c>
      <c r="AI1677" s="625">
        <v>-17.226009999999999</v>
      </c>
      <c r="AJ1677" s="625">
        <v>-17.226009999999999</v>
      </c>
      <c r="AK1677" s="625">
        <v>-17.226009999999999</v>
      </c>
      <c r="AL1677" s="625">
        <v>-17.226009999999999</v>
      </c>
      <c r="AM1677" s="625">
        <v>-17.226009999999999</v>
      </c>
      <c r="AN1677" s="625">
        <v>-17.226009999999999</v>
      </c>
      <c r="AO1677" s="625">
        <v>-17.226009999999999</v>
      </c>
      <c r="AP1677" s="41" t="str">
        <f t="shared" si="778"/>
        <v>Def TaxR</v>
      </c>
      <c r="AQ1677" s="41" t="str">
        <f t="shared" si="779"/>
        <v>Def TaxRR11Stock Options</v>
      </c>
      <c r="AR1677" s="41" t="str">
        <f t="shared" si="780"/>
        <v>R11Stock Options</v>
      </c>
    </row>
    <row r="1678" spans="1:44" s="41" customFormat="1" ht="12.75" customHeight="1">
      <c r="A1678" s="25" t="s">
        <v>1590</v>
      </c>
      <c r="B1678" s="25" t="str">
        <f t="shared" si="775"/>
        <v>Def Tax190041BT010244</v>
      </c>
      <c r="C1678" s="736">
        <v>190041</v>
      </c>
      <c r="D1678" s="735"/>
      <c r="E1678" s="41" t="s">
        <v>1722</v>
      </c>
      <c r="F1678" s="41" t="str">
        <f t="shared" si="766"/>
        <v>ADIT - EEBEN - STATE - ELECTRIC</v>
      </c>
      <c r="G1678" s="41" t="s">
        <v>1724</v>
      </c>
      <c r="H1678" s="736" t="s">
        <v>1724</v>
      </c>
      <c r="I1678" s="25"/>
      <c r="J1678" s="25" t="str">
        <f t="shared" si="767"/>
        <v/>
      </c>
      <c r="K1678" s="442" t="str">
        <f t="shared" si="774"/>
        <v/>
      </c>
      <c r="L1678" s="736" t="s">
        <v>2443</v>
      </c>
      <c r="M1678" s="25" t="str">
        <f t="shared" si="777"/>
        <v>R</v>
      </c>
      <c r="N1678" s="25" t="str">
        <f>IF(L1678&lt;&gt;"",VLOOKUP(L1678,Categories!$B$2:$D$41,2,FALSE),IF(F1678&lt;&gt;"","No Cat",""))</f>
        <v>Rate Base</v>
      </c>
      <c r="O1678" s="25" t="str">
        <f>IF($L1678&lt;&gt;"",VLOOKUP($L1678,Categories!$B$2:$D$41,3,FALSE),IF($F1678&lt;&gt;"","No Cat",""))</f>
        <v>Deferred Income Taxes</v>
      </c>
      <c r="P1678" s="736" t="s">
        <v>2482</v>
      </c>
      <c r="Q1678" s="25" t="str">
        <f>VLOOKUP($P1678,Allocators!$B$7:$F$19,5,FALSE)</f>
        <v>Electric</v>
      </c>
      <c r="R1678" s="737">
        <f>VLOOKUP($P1678,Allocators!$B$7:$F$19,2,FALSE)</f>
        <v>1</v>
      </c>
      <c r="S1678" s="737">
        <f>VLOOKUP($P1678,Allocators!$B$7:$F$19,3,FALSE)</f>
        <v>0</v>
      </c>
      <c r="T1678" s="737" t="str">
        <f t="shared" si="776"/>
        <v>0.0%</v>
      </c>
      <c r="U1678" s="2">
        <f t="shared" si="768"/>
        <v>178.81786</v>
      </c>
      <c r="V1678" s="2">
        <f t="shared" si="769"/>
        <v>0</v>
      </c>
      <c r="W1678" s="2">
        <f t="shared" si="770"/>
        <v>0</v>
      </c>
      <c r="X1678" s="2">
        <f t="shared" si="764"/>
        <v>178.81786</v>
      </c>
      <c r="Y1678" s="2">
        <f t="shared" si="771"/>
        <v>182.19036</v>
      </c>
      <c r="Z1678" s="2">
        <f t="shared" si="772"/>
        <v>0</v>
      </c>
      <c r="AA1678" s="2">
        <f t="shared" si="773"/>
        <v>0</v>
      </c>
      <c r="AB1678" s="2">
        <f t="shared" si="765"/>
        <v>182.19036</v>
      </c>
      <c r="AC1678" s="625">
        <v>176.79435999999998</v>
      </c>
      <c r="AD1678" s="625">
        <v>176.79435999999998</v>
      </c>
      <c r="AE1678" s="625">
        <v>176.79435999999998</v>
      </c>
      <c r="AF1678" s="625">
        <v>176.79435999999998</v>
      </c>
      <c r="AG1678" s="625">
        <v>176.79435999999998</v>
      </c>
      <c r="AH1678" s="625">
        <v>176.79435999999998</v>
      </c>
      <c r="AI1678" s="625">
        <v>176.79435999999998</v>
      </c>
      <c r="AJ1678" s="625">
        <v>176.79435999999998</v>
      </c>
      <c r="AK1678" s="625">
        <v>182.19036</v>
      </c>
      <c r="AL1678" s="625">
        <v>182.19036</v>
      </c>
      <c r="AM1678" s="625">
        <v>182.19036</v>
      </c>
      <c r="AN1678" s="625">
        <v>182.19036</v>
      </c>
      <c r="AO1678" s="625">
        <v>182.19036</v>
      </c>
      <c r="AP1678" s="41" t="str">
        <f t="shared" si="778"/>
        <v>Def TaxR</v>
      </c>
      <c r="AQ1678" s="41" t="str">
        <f t="shared" si="779"/>
        <v>Def TaxRR11Workers Comp Reserve</v>
      </c>
      <c r="AR1678" s="41" t="str">
        <f t="shared" si="780"/>
        <v>R11Workers Comp Reserve</v>
      </c>
    </row>
    <row r="1679" spans="1:44" s="41" customFormat="1" ht="12.75" customHeight="1">
      <c r="A1679" s="442" t="s">
        <v>1590</v>
      </c>
      <c r="B1679" s="442" t="str">
        <f t="shared" si="775"/>
        <v>Def Tax190041BT010356</v>
      </c>
      <c r="C1679" s="736">
        <v>190041</v>
      </c>
      <c r="D1679" s="735"/>
      <c r="E1679" s="626" t="s">
        <v>1660</v>
      </c>
      <c r="F1679" s="626" t="str">
        <f t="shared" si="766"/>
        <v>ADIT - EEBEN - STATE - ELECTRIC</v>
      </c>
      <c r="G1679" s="626" t="s">
        <v>1661</v>
      </c>
      <c r="H1679" s="736" t="s">
        <v>1661</v>
      </c>
      <c r="I1679" s="442"/>
      <c r="J1679" s="442" t="str">
        <f t="shared" si="767"/>
        <v/>
      </c>
      <c r="K1679" s="442" t="str">
        <f t="shared" si="774"/>
        <v/>
      </c>
      <c r="L1679" s="736" t="s">
        <v>2421</v>
      </c>
      <c r="M1679" s="442" t="str">
        <f t="shared" si="777"/>
        <v>N</v>
      </c>
      <c r="N1679" s="442" t="str">
        <f>IF(L1679&lt;&gt;"",VLOOKUP(L1679,Categories!$B$2:$D$41,2,FALSE),IF(F1679&lt;&gt;"","No Cat",""))</f>
        <v>NRBASE</v>
      </c>
      <c r="O1679" s="442" t="str">
        <f>IF($L1679&lt;&gt;"",VLOOKUP($L1679,Categories!$B$2:$D$41,3,FALSE),IF($F1679&lt;&gt;"","No Cat",""))</f>
        <v>Direct Assign Items Not in RB</v>
      </c>
      <c r="P1679" s="736" t="s">
        <v>2468</v>
      </c>
      <c r="Q1679" s="442" t="str">
        <f>VLOOKUP($P1679,Allocators!$B$7:$F$19,5,FALSE)</f>
        <v>Not in Rate Base</v>
      </c>
      <c r="R1679" s="737">
        <f>VLOOKUP($P1679,Allocators!$B$7:$F$19,2,FALSE)</f>
        <v>0</v>
      </c>
      <c r="S1679" s="737">
        <f>VLOOKUP($P1679,Allocators!$B$7:$F$19,3,FALSE)</f>
        <v>0</v>
      </c>
      <c r="T1679" s="737">
        <f t="shared" si="776"/>
        <v>1</v>
      </c>
      <c r="U1679" s="2">
        <f t="shared" si="768"/>
        <v>0</v>
      </c>
      <c r="V1679" s="2">
        <f t="shared" si="769"/>
        <v>0</v>
      </c>
      <c r="W1679" s="2">
        <f t="shared" si="770"/>
        <v>44.485176250000002</v>
      </c>
      <c r="X1679" s="2">
        <f t="shared" si="764"/>
        <v>44.485176250000002</v>
      </c>
      <c r="Y1679" s="2">
        <f t="shared" si="771"/>
        <v>0</v>
      </c>
      <c r="Z1679" s="2">
        <f t="shared" si="772"/>
        <v>0</v>
      </c>
      <c r="AA1679" s="2">
        <f t="shared" si="773"/>
        <v>55.509639999999997</v>
      </c>
      <c r="AB1679" s="2">
        <f t="shared" si="765"/>
        <v>55.509639999999997</v>
      </c>
      <c r="AC1679" s="625">
        <v>38.170550000000006</v>
      </c>
      <c r="AD1679" s="625">
        <v>37.469790000000003</v>
      </c>
      <c r="AE1679" s="625">
        <v>38.281790000000001</v>
      </c>
      <c r="AF1679" s="625">
        <v>38.813809999999997</v>
      </c>
      <c r="AG1679" s="625">
        <v>38.813809999999997</v>
      </c>
      <c r="AH1679" s="625">
        <v>38.813809999999997</v>
      </c>
      <c r="AI1679" s="625">
        <v>38.813809999999997</v>
      </c>
      <c r="AJ1679" s="625">
        <v>51.016019999999997</v>
      </c>
      <c r="AK1679" s="625">
        <v>50.587429999999998</v>
      </c>
      <c r="AL1679" s="625">
        <v>49.782319999999999</v>
      </c>
      <c r="AM1679" s="625">
        <v>51.197199999999995</v>
      </c>
      <c r="AN1679" s="625">
        <v>53.392230000000005</v>
      </c>
      <c r="AO1679" s="625">
        <v>55.509639999999997</v>
      </c>
      <c r="AP1679" s="41" t="str">
        <f t="shared" si="778"/>
        <v>Def TaxN</v>
      </c>
      <c r="AQ1679" s="41" t="str">
        <f t="shared" si="779"/>
        <v>Def TaxNN2Long Term Executive Incentive Plan</v>
      </c>
      <c r="AR1679" s="41" t="str">
        <f t="shared" si="780"/>
        <v>N2Long Term Executive Incentive Plan</v>
      </c>
    </row>
    <row r="1680" spans="1:44" s="41" customFormat="1" ht="12.75" customHeight="1">
      <c r="A1680" s="25" t="s">
        <v>1590</v>
      </c>
      <c r="B1680" s="25" t="str">
        <f t="shared" si="775"/>
        <v>Def Tax190041BT010381</v>
      </c>
      <c r="C1680" s="736">
        <v>190041</v>
      </c>
      <c r="D1680" s="735"/>
      <c r="E1680" s="41" t="s">
        <v>1665</v>
      </c>
      <c r="F1680" s="41" t="str">
        <f t="shared" si="766"/>
        <v>ADIT - EEBEN - STATE - ELECTRIC</v>
      </c>
      <c r="G1680" s="41" t="s">
        <v>1879</v>
      </c>
      <c r="H1680" s="736" t="s">
        <v>1118</v>
      </c>
      <c r="I1680" s="25"/>
      <c r="J1680" s="25" t="str">
        <f t="shared" si="767"/>
        <v/>
      </c>
      <c r="K1680" s="442" t="str">
        <f t="shared" si="774"/>
        <v/>
      </c>
      <c r="L1680" s="736" t="s">
        <v>2443</v>
      </c>
      <c r="M1680" s="25" t="str">
        <f t="shared" si="777"/>
        <v>R</v>
      </c>
      <c r="N1680" s="25" t="str">
        <f>IF(L1680&lt;&gt;"",VLOOKUP(L1680,Categories!$B$2:$D$41,2,FALSE),IF(F1680&lt;&gt;"","No Cat",""))</f>
        <v>Rate Base</v>
      </c>
      <c r="O1680" s="25" t="str">
        <f>IF($L1680&lt;&gt;"",VLOOKUP($L1680,Categories!$B$2:$D$41,3,FALSE),IF($F1680&lt;&gt;"","No Cat",""))</f>
        <v>Deferred Income Taxes</v>
      </c>
      <c r="P1680" s="736" t="s">
        <v>2482</v>
      </c>
      <c r="Q1680" s="25" t="str">
        <f>VLOOKUP($P1680,Allocators!$B$7:$F$19,5,FALSE)</f>
        <v>Electric</v>
      </c>
      <c r="R1680" s="737">
        <f>VLOOKUP($P1680,Allocators!$B$7:$F$19,2,FALSE)</f>
        <v>1</v>
      </c>
      <c r="S1680" s="737">
        <f>VLOOKUP($P1680,Allocators!$B$7:$F$19,3,FALSE)</f>
        <v>0</v>
      </c>
      <c r="T1680" s="737" t="str">
        <f t="shared" si="776"/>
        <v>0.0%</v>
      </c>
      <c r="U1680" s="2">
        <f t="shared" si="768"/>
        <v>4.7662083333333296</v>
      </c>
      <c r="V1680" s="2">
        <f t="shared" si="769"/>
        <v>0</v>
      </c>
      <c r="W1680" s="2">
        <f t="shared" si="770"/>
        <v>0</v>
      </c>
      <c r="X1680" s="2">
        <f t="shared" ref="X1680:X1743" si="781">IF(ISERROR(ROUND((SUM(AC1680:AO1680)-((AC1680+AO1680))/2)/12,15)),"",ROUND((SUM(AC1680:AO1680)-((AC1680+AO1680))/2)/12,15))</f>
        <v>4.7662083333333296</v>
      </c>
      <c r="Y1680" s="2">
        <f t="shared" si="771"/>
        <v>-0.16546</v>
      </c>
      <c r="Z1680" s="2">
        <f t="shared" si="772"/>
        <v>0</v>
      </c>
      <c r="AA1680" s="2">
        <f t="shared" si="773"/>
        <v>0</v>
      </c>
      <c r="AB1680" s="2">
        <f t="shared" ref="AB1680:AB1743" si="782">IF(AO1680="",0,+AO1680)</f>
        <v>-0.16546</v>
      </c>
      <c r="AC1680" s="625">
        <v>10.607040000000001</v>
      </c>
      <c r="AD1680" s="625">
        <v>10.607040000000001</v>
      </c>
      <c r="AE1680" s="625">
        <v>10.607040000000001</v>
      </c>
      <c r="AF1680" s="625">
        <v>10.607040000000001</v>
      </c>
      <c r="AG1680" s="625">
        <v>10.72241</v>
      </c>
      <c r="AH1680" s="625">
        <v>10.422940000000001</v>
      </c>
      <c r="AI1680" s="625">
        <v>-0.16546</v>
      </c>
      <c r="AJ1680" s="625">
        <v>-0.16546</v>
      </c>
      <c r="AK1680" s="625">
        <v>-0.16546</v>
      </c>
      <c r="AL1680" s="625">
        <v>-0.16546</v>
      </c>
      <c r="AM1680" s="625">
        <v>-0.16546</v>
      </c>
      <c r="AN1680" s="625">
        <v>-0.16546</v>
      </c>
      <c r="AO1680" s="625">
        <v>-0.16546</v>
      </c>
      <c r="AP1680" s="41" t="str">
        <f t="shared" si="778"/>
        <v>Def TaxR</v>
      </c>
      <c r="AQ1680" s="41" t="str">
        <f t="shared" si="779"/>
        <v>Def TaxRR11Medicare Part D</v>
      </c>
      <c r="AR1680" s="41" t="str">
        <f t="shared" si="780"/>
        <v>R11Medicare Part D</v>
      </c>
    </row>
    <row r="1681" spans="1:44" s="41" customFormat="1" ht="12.75" customHeight="1">
      <c r="A1681" s="25" t="s">
        <v>1590</v>
      </c>
      <c r="B1681" s="25" t="str">
        <f t="shared" si="775"/>
        <v>Def Tax190041BTHUNGDT</v>
      </c>
      <c r="C1681" s="736">
        <v>190041</v>
      </c>
      <c r="D1681" s="735"/>
      <c r="E1681" s="41" t="s">
        <v>1624</v>
      </c>
      <c r="F1681" s="41" t="str">
        <f t="shared" si="766"/>
        <v>ADIT - EEBEN - STATE - ELECTRIC</v>
      </c>
      <c r="G1681" s="41" t="s">
        <v>1880</v>
      </c>
      <c r="H1681" s="736" t="s">
        <v>1647</v>
      </c>
      <c r="I1681" s="25"/>
      <c r="J1681" s="25" t="str">
        <f t="shared" si="767"/>
        <v/>
      </c>
      <c r="K1681" s="442" t="str">
        <f t="shared" si="774"/>
        <v/>
      </c>
      <c r="L1681" s="736" t="s">
        <v>2443</v>
      </c>
      <c r="M1681" s="25" t="str">
        <f t="shared" si="777"/>
        <v>R</v>
      </c>
      <c r="N1681" s="25" t="str">
        <f>IF(L1681&lt;&gt;"",VLOOKUP(L1681,Categories!$B$2:$D$41,2,FALSE),IF(F1681&lt;&gt;"","No Cat",""))</f>
        <v>Rate Base</v>
      </c>
      <c r="O1681" s="25" t="str">
        <f>IF($L1681&lt;&gt;"",VLOOKUP($L1681,Categories!$B$2:$D$41,3,FALSE),IF($F1681&lt;&gt;"","No Cat",""))</f>
        <v>Deferred Income Taxes</v>
      </c>
      <c r="P1681" s="736" t="s">
        <v>2482</v>
      </c>
      <c r="Q1681" s="25" t="str">
        <f>VLOOKUP($P1681,Allocators!$B$7:$F$19,5,FALSE)</f>
        <v>Electric</v>
      </c>
      <c r="R1681" s="737">
        <f>VLOOKUP($P1681,Allocators!$B$7:$F$19,2,FALSE)</f>
        <v>1</v>
      </c>
      <c r="S1681" s="737">
        <f>VLOOKUP($P1681,Allocators!$B$7:$F$19,3,FALSE)</f>
        <v>0</v>
      </c>
      <c r="T1681" s="737" t="str">
        <f t="shared" si="776"/>
        <v>0.0%</v>
      </c>
      <c r="U1681" s="2" t="str">
        <f t="shared" si="768"/>
        <v/>
      </c>
      <c r="V1681" s="2" t="str">
        <f t="shared" si="769"/>
        <v/>
      </c>
      <c r="W1681" s="2" t="str">
        <f t="shared" si="770"/>
        <v/>
      </c>
      <c r="X1681" s="2">
        <f t="shared" si="781"/>
        <v>0</v>
      </c>
      <c r="Y1681" s="2" t="str">
        <f t="shared" si="771"/>
        <v/>
      </c>
      <c r="Z1681" s="2" t="str">
        <f t="shared" si="772"/>
        <v/>
      </c>
      <c r="AA1681" s="2" t="str">
        <f t="shared" si="773"/>
        <v/>
      </c>
      <c r="AB1681" s="2">
        <f t="shared" si="782"/>
        <v>0</v>
      </c>
      <c r="AC1681" s="625">
        <v>0</v>
      </c>
      <c r="AD1681" s="625">
        <v>0</v>
      </c>
      <c r="AE1681" s="625">
        <v>0</v>
      </c>
      <c r="AF1681" s="625">
        <v>0</v>
      </c>
      <c r="AG1681" s="625">
        <v>0</v>
      </c>
      <c r="AH1681" s="625">
        <v>0</v>
      </c>
      <c r="AI1681" s="625">
        <v>0</v>
      </c>
      <c r="AJ1681" s="625">
        <v>0</v>
      </c>
      <c r="AK1681" s="625">
        <v>0</v>
      </c>
      <c r="AL1681" s="625">
        <v>0</v>
      </c>
      <c r="AM1681" s="625">
        <v>0</v>
      </c>
      <c r="AN1681" s="625">
        <v>0</v>
      </c>
      <c r="AO1681" s="625">
        <v>0</v>
      </c>
      <c r="AP1681" s="41" t="str">
        <f t="shared" si="778"/>
        <v>Def TaxR</v>
      </c>
      <c r="AQ1681" s="41" t="str">
        <f t="shared" si="779"/>
        <v>Def TaxRR11Deferred Comp</v>
      </c>
      <c r="AR1681" s="41" t="str">
        <f t="shared" si="780"/>
        <v>R11Deferred Comp</v>
      </c>
    </row>
    <row r="1682" spans="1:44" s="41" customFormat="1" ht="12.75" customHeight="1">
      <c r="A1682" s="25" t="s">
        <v>1590</v>
      </c>
      <c r="B1682" s="25" t="str">
        <f t="shared" si="775"/>
        <v>Def Tax190042BT010070</v>
      </c>
      <c r="C1682" s="736">
        <v>190042</v>
      </c>
      <c r="D1682" s="735"/>
      <c r="E1682" s="41" t="s">
        <v>1675</v>
      </c>
      <c r="F1682" s="41" t="str">
        <f t="shared" si="766"/>
        <v>ADIT - EEBEN - STATE - GAS</v>
      </c>
      <c r="G1682" s="41" t="s">
        <v>1872</v>
      </c>
      <c r="H1682" s="736" t="s">
        <v>1677</v>
      </c>
      <c r="I1682" s="25"/>
      <c r="J1682" s="25" t="str">
        <f t="shared" si="767"/>
        <v/>
      </c>
      <c r="K1682" s="442" t="str">
        <f t="shared" si="774"/>
        <v/>
      </c>
      <c r="L1682" s="736" t="s">
        <v>2443</v>
      </c>
      <c r="M1682" s="25" t="str">
        <f t="shared" si="777"/>
        <v>R</v>
      </c>
      <c r="N1682" s="25" t="str">
        <f>IF(L1682&lt;&gt;"",VLOOKUP(L1682,Categories!$B$2:$D$41,2,FALSE),IF(F1682&lt;&gt;"","No Cat",""))</f>
        <v>Rate Base</v>
      </c>
      <c r="O1682" s="25" t="str">
        <f>IF($L1682&lt;&gt;"",VLOOKUP($L1682,Categories!$B$2:$D$41,3,FALSE),IF($F1682&lt;&gt;"","No Cat",""))</f>
        <v>Deferred Income Taxes</v>
      </c>
      <c r="P1682" s="736" t="s">
        <v>2483</v>
      </c>
      <c r="Q1682" s="25" t="str">
        <f>VLOOKUP($P1682,Allocators!$B$7:$F$19,5,FALSE)</f>
        <v>Gas</v>
      </c>
      <c r="R1682" s="737">
        <f>VLOOKUP($P1682,Allocators!$B$7:$F$19,2,FALSE)</f>
        <v>0</v>
      </c>
      <c r="S1682" s="737">
        <f>VLOOKUP($P1682,Allocators!$B$7:$F$19,3,FALSE)</f>
        <v>1</v>
      </c>
      <c r="T1682" s="737" t="str">
        <f t="shared" si="776"/>
        <v>0.0%</v>
      </c>
      <c r="U1682" s="2">
        <f t="shared" si="768"/>
        <v>0</v>
      </c>
      <c r="V1682" s="2">
        <f t="shared" si="769"/>
        <v>13.363490000000001</v>
      </c>
      <c r="W1682" s="2">
        <f t="shared" si="770"/>
        <v>0</v>
      </c>
      <c r="X1682" s="2">
        <f t="shared" si="781"/>
        <v>13.363490000000001</v>
      </c>
      <c r="Y1682" s="2">
        <f t="shared" si="771"/>
        <v>0</v>
      </c>
      <c r="Z1682" s="2">
        <f t="shared" si="772"/>
        <v>13.363490000000001</v>
      </c>
      <c r="AA1682" s="2">
        <f t="shared" si="773"/>
        <v>0</v>
      </c>
      <c r="AB1682" s="2">
        <f t="shared" si="782"/>
        <v>13.363490000000001</v>
      </c>
      <c r="AC1682" s="625">
        <v>13.363490000000001</v>
      </c>
      <c r="AD1682" s="625">
        <v>13.363490000000001</v>
      </c>
      <c r="AE1682" s="625">
        <v>13.363490000000001</v>
      </c>
      <c r="AF1682" s="625">
        <v>13.363490000000001</v>
      </c>
      <c r="AG1682" s="625">
        <v>13.363490000000001</v>
      </c>
      <c r="AH1682" s="625">
        <v>13.363490000000001</v>
      </c>
      <c r="AI1682" s="625">
        <v>13.363490000000001</v>
      </c>
      <c r="AJ1682" s="625">
        <v>13.363490000000001</v>
      </c>
      <c r="AK1682" s="625">
        <v>13.363490000000001</v>
      </c>
      <c r="AL1682" s="625">
        <v>13.363490000000001</v>
      </c>
      <c r="AM1682" s="625">
        <v>13.363490000000001</v>
      </c>
      <c r="AN1682" s="625">
        <v>13.363490000000001</v>
      </c>
      <c r="AO1682" s="625">
        <v>13.363490000000001</v>
      </c>
      <c r="AP1682" s="41" t="str">
        <f t="shared" si="778"/>
        <v>Def TaxR</v>
      </c>
      <c r="AQ1682" s="41" t="str">
        <f t="shared" si="779"/>
        <v>Def TaxRR11Personal Time</v>
      </c>
      <c r="AR1682" s="41" t="str">
        <f t="shared" si="780"/>
        <v>R11Personal Time</v>
      </c>
    </row>
    <row r="1683" spans="1:44" s="41" customFormat="1" ht="12.75" customHeight="1">
      <c r="A1683" s="442" t="s">
        <v>1590</v>
      </c>
      <c r="B1683" s="442" t="str">
        <f t="shared" si="775"/>
        <v>Def Tax190042BT010083</v>
      </c>
      <c r="C1683" s="736">
        <v>190042</v>
      </c>
      <c r="D1683" s="735"/>
      <c r="E1683" s="626" t="s">
        <v>1794</v>
      </c>
      <c r="F1683" s="626" t="str">
        <f t="shared" si="766"/>
        <v>ADIT - EEBEN - STATE - GAS</v>
      </c>
      <c r="G1683" s="626" t="s">
        <v>1796</v>
      </c>
      <c r="H1683" s="736" t="s">
        <v>1796</v>
      </c>
      <c r="I1683" s="442"/>
      <c r="J1683" s="442" t="str">
        <f t="shared" si="767"/>
        <v/>
      </c>
      <c r="K1683" s="442" t="str">
        <f t="shared" si="774"/>
        <v/>
      </c>
      <c r="L1683" s="736" t="s">
        <v>2421</v>
      </c>
      <c r="M1683" s="442" t="str">
        <f t="shared" si="777"/>
        <v>N</v>
      </c>
      <c r="N1683" s="442" t="str">
        <f>IF(L1683&lt;&gt;"",VLOOKUP(L1683,Categories!$B$2:$D$41,2,FALSE),IF(F1683&lt;&gt;"","No Cat",""))</f>
        <v>NRBASE</v>
      </c>
      <c r="O1683" s="442" t="str">
        <f>IF($L1683&lt;&gt;"",VLOOKUP($L1683,Categories!$B$2:$D$41,3,FALSE),IF($F1683&lt;&gt;"","No Cat",""))</f>
        <v>Direct Assign Items Not in RB</v>
      </c>
      <c r="P1683" s="736" t="s">
        <v>2468</v>
      </c>
      <c r="Q1683" s="442" t="str">
        <f>VLOOKUP($P1683,Allocators!$B$7:$F$19,5,FALSE)</f>
        <v>Not in Rate Base</v>
      </c>
      <c r="R1683" s="737">
        <f>VLOOKUP($P1683,Allocators!$B$7:$F$19,2,FALSE)</f>
        <v>0</v>
      </c>
      <c r="S1683" s="737">
        <f>VLOOKUP($P1683,Allocators!$B$7:$F$19,3,FALSE)</f>
        <v>0</v>
      </c>
      <c r="T1683" s="737">
        <f t="shared" si="776"/>
        <v>1</v>
      </c>
      <c r="U1683" s="2">
        <f t="shared" si="768"/>
        <v>0</v>
      </c>
      <c r="V1683" s="2">
        <f t="shared" si="769"/>
        <v>0</v>
      </c>
      <c r="W1683" s="2">
        <f t="shared" si="770"/>
        <v>26.173524166666699</v>
      </c>
      <c r="X1683" s="2">
        <f t="shared" si="781"/>
        <v>26.173524166666699</v>
      </c>
      <c r="Y1683" s="2">
        <f t="shared" si="771"/>
        <v>0</v>
      </c>
      <c r="Z1683" s="2">
        <f t="shared" si="772"/>
        <v>0</v>
      </c>
      <c r="AA1683" s="2">
        <f t="shared" si="773"/>
        <v>23.003689999999999</v>
      </c>
      <c r="AB1683" s="2">
        <f t="shared" si="782"/>
        <v>23.003689999999999</v>
      </c>
      <c r="AC1683" s="625">
        <v>27.478750000000002</v>
      </c>
      <c r="AD1683" s="625">
        <v>27.478750000000002</v>
      </c>
      <c r="AE1683" s="625">
        <v>27.478750000000002</v>
      </c>
      <c r="AF1683" s="625">
        <v>27.478750000000002</v>
      </c>
      <c r="AG1683" s="625">
        <v>27.478750000000002</v>
      </c>
      <c r="AH1683" s="625">
        <v>27.478750000000002</v>
      </c>
      <c r="AI1683" s="625">
        <v>27.478750000000002</v>
      </c>
      <c r="AJ1683" s="625">
        <v>27.478750000000002</v>
      </c>
      <c r="AK1683" s="625">
        <v>27.478750000000002</v>
      </c>
      <c r="AL1683" s="625">
        <v>23.003689999999999</v>
      </c>
      <c r="AM1683" s="625">
        <v>23.003689999999999</v>
      </c>
      <c r="AN1683" s="625">
        <v>23.003689999999999</v>
      </c>
      <c r="AO1683" s="625">
        <v>23.003689999999999</v>
      </c>
      <c r="AP1683" s="41" t="str">
        <f t="shared" si="778"/>
        <v>Def TaxN</v>
      </c>
      <c r="AQ1683" s="41" t="str">
        <f t="shared" si="779"/>
        <v>Def TaxNN2Executive Incentive Plan</v>
      </c>
      <c r="AR1683" s="41" t="str">
        <f t="shared" si="780"/>
        <v>N2Executive Incentive Plan</v>
      </c>
    </row>
    <row r="1684" spans="1:44" s="41" customFormat="1" ht="12.75" customHeight="1">
      <c r="A1684" s="25" t="s">
        <v>1590</v>
      </c>
      <c r="B1684" s="25" t="str">
        <f t="shared" si="775"/>
        <v>Def Tax190042BT010088</v>
      </c>
      <c r="C1684" s="736">
        <v>190042</v>
      </c>
      <c r="D1684" s="735"/>
      <c r="E1684" s="41" t="s">
        <v>1651</v>
      </c>
      <c r="F1684" s="41" t="str">
        <f t="shared" si="766"/>
        <v>ADIT - EEBEN - STATE - GAS</v>
      </c>
      <c r="G1684" s="41" t="s">
        <v>1652</v>
      </c>
      <c r="H1684" s="736" t="s">
        <v>1586</v>
      </c>
      <c r="I1684" s="25"/>
      <c r="J1684" s="25" t="str">
        <f t="shared" si="767"/>
        <v/>
      </c>
      <c r="K1684" s="442" t="str">
        <f t="shared" si="774"/>
        <v/>
      </c>
      <c r="L1684" s="736" t="s">
        <v>2443</v>
      </c>
      <c r="M1684" s="25" t="str">
        <f t="shared" si="777"/>
        <v>R</v>
      </c>
      <c r="N1684" s="25" t="str">
        <f>IF(L1684&lt;&gt;"",VLOOKUP(L1684,Categories!$B$2:$D$41,2,FALSE),IF(F1684&lt;&gt;"","No Cat",""))</f>
        <v>Rate Base</v>
      </c>
      <c r="O1684" s="25" t="str">
        <f>IF($L1684&lt;&gt;"",VLOOKUP($L1684,Categories!$B$2:$D$41,3,FALSE),IF($F1684&lt;&gt;"","No Cat",""))</f>
        <v>Deferred Income Taxes</v>
      </c>
      <c r="P1684" s="736" t="s">
        <v>2483</v>
      </c>
      <c r="Q1684" s="25" t="str">
        <f>VLOOKUP($P1684,Allocators!$B$7:$F$19,5,FALSE)</f>
        <v>Gas</v>
      </c>
      <c r="R1684" s="737">
        <f>VLOOKUP($P1684,Allocators!$B$7:$F$19,2,FALSE)</f>
        <v>0</v>
      </c>
      <c r="S1684" s="737">
        <f>VLOOKUP($P1684,Allocators!$B$7:$F$19,3,FALSE)</f>
        <v>1</v>
      </c>
      <c r="T1684" s="737" t="str">
        <f t="shared" si="776"/>
        <v>0.0%</v>
      </c>
      <c r="U1684" s="2">
        <f t="shared" si="768"/>
        <v>0</v>
      </c>
      <c r="V1684" s="2">
        <f t="shared" si="769"/>
        <v>34.751739166666702</v>
      </c>
      <c r="W1684" s="2">
        <f t="shared" si="770"/>
        <v>0</v>
      </c>
      <c r="X1684" s="2">
        <f t="shared" si="781"/>
        <v>34.751739166666702</v>
      </c>
      <c r="Y1684" s="2">
        <f t="shared" si="771"/>
        <v>0</v>
      </c>
      <c r="Z1684" s="2">
        <f t="shared" si="772"/>
        <v>26.498860000000001</v>
      </c>
      <c r="AA1684" s="2">
        <f t="shared" si="773"/>
        <v>0</v>
      </c>
      <c r="AB1684" s="2">
        <f t="shared" si="782"/>
        <v>26.498860000000001</v>
      </c>
      <c r="AC1684" s="625">
        <v>34.352260000000001</v>
      </c>
      <c r="AD1684" s="625">
        <v>34.508369999999999</v>
      </c>
      <c r="AE1684" s="625">
        <v>34.631929999999997</v>
      </c>
      <c r="AF1684" s="625">
        <v>34.747160000000001</v>
      </c>
      <c r="AG1684" s="625">
        <v>34.88111</v>
      </c>
      <c r="AH1684" s="625">
        <v>35.013129999999997</v>
      </c>
      <c r="AI1684" s="625">
        <v>35.148820000000001</v>
      </c>
      <c r="AJ1684" s="625">
        <v>35.317639999999997</v>
      </c>
      <c r="AK1684" s="625">
        <v>35.433450000000001</v>
      </c>
      <c r="AL1684" s="625">
        <v>35.518320000000003</v>
      </c>
      <c r="AM1684" s="625">
        <v>35.684269999999998</v>
      </c>
      <c r="AN1684" s="625">
        <v>35.711109999999998</v>
      </c>
      <c r="AO1684" s="625">
        <v>26.498860000000001</v>
      </c>
      <c r="AP1684" s="41" t="str">
        <f t="shared" si="778"/>
        <v>Def TaxR</v>
      </c>
      <c r="AQ1684" s="41" t="str">
        <f t="shared" si="779"/>
        <v>Def TaxRR11FAS 112</v>
      </c>
      <c r="AR1684" s="41" t="str">
        <f t="shared" si="780"/>
        <v>R11FAS 112</v>
      </c>
    </row>
    <row r="1685" spans="1:44" s="41" customFormat="1" ht="12.75" customHeight="1">
      <c r="A1685" s="25" t="s">
        <v>1590</v>
      </c>
      <c r="B1685" s="25" t="str">
        <f t="shared" si="775"/>
        <v>Def Tax190042BT010089</v>
      </c>
      <c r="C1685" s="736">
        <v>190042</v>
      </c>
      <c r="D1685" s="735"/>
      <c r="E1685" s="41" t="s">
        <v>1679</v>
      </c>
      <c r="F1685" s="41" t="str">
        <f t="shared" ref="F1685:F1753" si="783">VLOOKUP(C1685,$C$7:$F$787,4,FALSE)</f>
        <v>ADIT - EEBEN - STATE - GAS</v>
      </c>
      <c r="G1685" s="41" t="s">
        <v>1873</v>
      </c>
      <c r="H1685" s="736" t="s">
        <v>927</v>
      </c>
      <c r="I1685" s="25"/>
      <c r="J1685" s="25" t="str">
        <f t="shared" si="767"/>
        <v/>
      </c>
      <c r="K1685" s="442" t="str">
        <f t="shared" si="774"/>
        <v/>
      </c>
      <c r="L1685" s="736" t="s">
        <v>2443</v>
      </c>
      <c r="M1685" s="25" t="str">
        <f t="shared" si="777"/>
        <v>R</v>
      </c>
      <c r="N1685" s="25" t="str">
        <f>IF(L1685&lt;&gt;"",VLOOKUP(L1685,Categories!$B$2:$D$41,2,FALSE),IF(F1685&lt;&gt;"","No Cat",""))</f>
        <v>Rate Base</v>
      </c>
      <c r="O1685" s="25" t="str">
        <f>IF($L1685&lt;&gt;"",VLOOKUP($L1685,Categories!$B$2:$D$41,3,FALSE),IF($F1685&lt;&gt;"","No Cat",""))</f>
        <v>Deferred Income Taxes</v>
      </c>
      <c r="P1685" s="736" t="s">
        <v>2483</v>
      </c>
      <c r="Q1685" s="25" t="str">
        <f>VLOOKUP($P1685,Allocators!$B$7:$F$19,5,FALSE)</f>
        <v>Gas</v>
      </c>
      <c r="R1685" s="737">
        <f>VLOOKUP($P1685,Allocators!$B$7:$F$19,2,FALSE)</f>
        <v>0</v>
      </c>
      <c r="S1685" s="737">
        <f>VLOOKUP($P1685,Allocators!$B$7:$F$19,3,FALSE)</f>
        <v>1</v>
      </c>
      <c r="T1685" s="737" t="str">
        <f t="shared" si="776"/>
        <v>0.0%</v>
      </c>
      <c r="U1685" s="2">
        <f t="shared" si="768"/>
        <v>0</v>
      </c>
      <c r="V1685" s="2">
        <f t="shared" si="769"/>
        <v>242.35677874999999</v>
      </c>
      <c r="W1685" s="2">
        <f t="shared" si="770"/>
        <v>0</v>
      </c>
      <c r="X1685" s="2">
        <f t="shared" si="781"/>
        <v>242.35677874999999</v>
      </c>
      <c r="Y1685" s="2">
        <f t="shared" si="771"/>
        <v>0</v>
      </c>
      <c r="Z1685" s="2">
        <f t="shared" si="772"/>
        <v>432.49178000000001</v>
      </c>
      <c r="AA1685" s="2">
        <f t="shared" si="773"/>
        <v>0</v>
      </c>
      <c r="AB1685" s="2">
        <f t="shared" si="782"/>
        <v>432.49178000000001</v>
      </c>
      <c r="AC1685" s="625">
        <v>232.69418999999999</v>
      </c>
      <c r="AD1685" s="625">
        <v>230.65594000000002</v>
      </c>
      <c r="AE1685" s="625">
        <v>254.23143999999999</v>
      </c>
      <c r="AF1685" s="625">
        <v>249.85607999999999</v>
      </c>
      <c r="AG1685" s="625">
        <v>243.47066000000001</v>
      </c>
      <c r="AH1685" s="625">
        <v>238.98301000000001</v>
      </c>
      <c r="AI1685" s="625">
        <v>226.37681000000001</v>
      </c>
      <c r="AJ1685" s="625">
        <v>223.96817000000001</v>
      </c>
      <c r="AK1685" s="625">
        <v>221.20913000000002</v>
      </c>
      <c r="AL1685" s="625">
        <v>219.32662999999999</v>
      </c>
      <c r="AM1685" s="625">
        <v>218.86175</v>
      </c>
      <c r="AN1685" s="625">
        <v>248.74874</v>
      </c>
      <c r="AO1685" s="625">
        <v>432.49178000000001</v>
      </c>
      <c r="AP1685" s="41" t="str">
        <f t="shared" si="778"/>
        <v>Def TaxR</v>
      </c>
      <c r="AQ1685" s="41" t="str">
        <f t="shared" si="779"/>
        <v>Def TaxRR11OPEB</v>
      </c>
      <c r="AR1685" s="41" t="str">
        <f t="shared" si="780"/>
        <v>R11OPEB</v>
      </c>
    </row>
    <row r="1686" spans="1:44" s="41" customFormat="1" ht="12.75" customHeight="1">
      <c r="A1686" s="25" t="s">
        <v>1590</v>
      </c>
      <c r="B1686" s="25" t="str">
        <f t="shared" si="775"/>
        <v>Def Tax190042BT010125</v>
      </c>
      <c r="C1686" s="736">
        <v>190042</v>
      </c>
      <c r="D1686" s="735"/>
      <c r="E1686" s="41" t="s">
        <v>1668</v>
      </c>
      <c r="F1686" s="41" t="str">
        <f t="shared" si="783"/>
        <v>ADIT - EEBEN - STATE - GAS</v>
      </c>
      <c r="G1686" s="41" t="s">
        <v>1874</v>
      </c>
      <c r="H1686" s="736" t="s">
        <v>1118</v>
      </c>
      <c r="I1686" s="25"/>
      <c r="J1686" s="25" t="str">
        <f t="shared" ref="J1686:J1754" si="784">IF(L1686="N10","Y",IF(L1686="N8","Y",""))</f>
        <v/>
      </c>
      <c r="K1686" s="442" t="str">
        <f t="shared" si="774"/>
        <v/>
      </c>
      <c r="L1686" s="736" t="s">
        <v>2443</v>
      </c>
      <c r="M1686" s="25" t="str">
        <f t="shared" si="777"/>
        <v>R</v>
      </c>
      <c r="N1686" s="25" t="str">
        <f>IF(L1686&lt;&gt;"",VLOOKUP(L1686,Categories!$B$2:$D$41,2,FALSE),IF(F1686&lt;&gt;"","No Cat",""))</f>
        <v>Rate Base</v>
      </c>
      <c r="O1686" s="25" t="str">
        <f>IF($L1686&lt;&gt;"",VLOOKUP($L1686,Categories!$B$2:$D$41,3,FALSE),IF($F1686&lt;&gt;"","No Cat",""))</f>
        <v>Deferred Income Taxes</v>
      </c>
      <c r="P1686" s="736" t="s">
        <v>2483</v>
      </c>
      <c r="Q1686" s="25" t="str">
        <f>VLOOKUP($P1686,Allocators!$B$7:$F$19,5,FALSE)</f>
        <v>Gas</v>
      </c>
      <c r="R1686" s="737">
        <f>VLOOKUP($P1686,Allocators!$B$7:$F$19,2,FALSE)</f>
        <v>0</v>
      </c>
      <c r="S1686" s="737">
        <f>VLOOKUP($P1686,Allocators!$B$7:$F$19,3,FALSE)</f>
        <v>1</v>
      </c>
      <c r="T1686" s="737" t="str">
        <f t="shared" si="776"/>
        <v>0.0%</v>
      </c>
      <c r="U1686" s="2">
        <f t="shared" si="768"/>
        <v>0</v>
      </c>
      <c r="V1686" s="2">
        <f t="shared" si="769"/>
        <v>-6.98177</v>
      </c>
      <c r="W1686" s="2">
        <f t="shared" si="770"/>
        <v>0</v>
      </c>
      <c r="X1686" s="2">
        <f t="shared" si="781"/>
        <v>-6.98177</v>
      </c>
      <c r="Y1686" s="2">
        <f t="shared" si="771"/>
        <v>0</v>
      </c>
      <c r="Z1686" s="2">
        <f t="shared" si="772"/>
        <v>-6.98177</v>
      </c>
      <c r="AA1686" s="2">
        <f t="shared" si="773"/>
        <v>0</v>
      </c>
      <c r="AB1686" s="2">
        <f t="shared" si="782"/>
        <v>-6.98177</v>
      </c>
      <c r="AC1686" s="625">
        <v>-6.98177</v>
      </c>
      <c r="AD1686" s="625">
        <v>-6.98177</v>
      </c>
      <c r="AE1686" s="625">
        <v>-6.98177</v>
      </c>
      <c r="AF1686" s="625">
        <v>-6.98177</v>
      </c>
      <c r="AG1686" s="625">
        <v>-6.98177</v>
      </c>
      <c r="AH1686" s="625">
        <v>-6.98177</v>
      </c>
      <c r="AI1686" s="625">
        <v>-6.98177</v>
      </c>
      <c r="AJ1686" s="625">
        <v>-6.98177</v>
      </c>
      <c r="AK1686" s="625">
        <v>-6.98177</v>
      </c>
      <c r="AL1686" s="625">
        <v>-6.98177</v>
      </c>
      <c r="AM1686" s="625">
        <v>-6.98177</v>
      </c>
      <c r="AN1686" s="625">
        <v>-6.98177</v>
      </c>
      <c r="AO1686" s="625">
        <v>-6.98177</v>
      </c>
      <c r="AP1686" s="41" t="str">
        <f t="shared" si="778"/>
        <v>Def TaxR</v>
      </c>
      <c r="AQ1686" s="41" t="str">
        <f t="shared" si="779"/>
        <v>Def TaxRR11Medicare Part D</v>
      </c>
      <c r="AR1686" s="41" t="str">
        <f t="shared" si="780"/>
        <v>R11Medicare Part D</v>
      </c>
    </row>
    <row r="1687" spans="1:44" s="41" customFormat="1" ht="12.75" customHeight="1">
      <c r="A1687" s="25" t="s">
        <v>1590</v>
      </c>
      <c r="B1687" s="25" t="str">
        <f t="shared" si="775"/>
        <v>Def Tax190042BT010167</v>
      </c>
      <c r="C1687" s="736">
        <v>190042</v>
      </c>
      <c r="D1687" s="735"/>
      <c r="E1687" s="41" t="s">
        <v>1671</v>
      </c>
      <c r="F1687" s="41" t="str">
        <f t="shared" si="783"/>
        <v>ADIT - EEBEN - STATE - GAS</v>
      </c>
      <c r="G1687" s="41" t="s">
        <v>1876</v>
      </c>
      <c r="H1687" s="736" t="s">
        <v>1673</v>
      </c>
      <c r="I1687" s="25"/>
      <c r="J1687" s="25" t="str">
        <f t="shared" si="784"/>
        <v/>
      </c>
      <c r="K1687" s="442" t="str">
        <f t="shared" si="774"/>
        <v/>
      </c>
      <c r="L1687" s="736" t="s">
        <v>2443</v>
      </c>
      <c r="M1687" s="25" t="str">
        <f t="shared" si="777"/>
        <v>R</v>
      </c>
      <c r="N1687" s="25" t="str">
        <f>IF(L1687&lt;&gt;"",VLOOKUP(L1687,Categories!$B$2:$D$41,2,FALSE),IF(F1687&lt;&gt;"","No Cat",""))</f>
        <v>Rate Base</v>
      </c>
      <c r="O1687" s="25" t="str">
        <f>IF($L1687&lt;&gt;"",VLOOKUP($L1687,Categories!$B$2:$D$41,3,FALSE),IF($F1687&lt;&gt;"","No Cat",""))</f>
        <v>Deferred Income Taxes</v>
      </c>
      <c r="P1687" s="736" t="s">
        <v>2483</v>
      </c>
      <c r="Q1687" s="25" t="str">
        <f>VLOOKUP($P1687,Allocators!$B$7:$F$19,5,FALSE)</f>
        <v>Gas</v>
      </c>
      <c r="R1687" s="737">
        <f>VLOOKUP($P1687,Allocators!$B$7:$F$19,2,FALSE)</f>
        <v>0</v>
      </c>
      <c r="S1687" s="737">
        <f>VLOOKUP($P1687,Allocators!$B$7:$F$19,3,FALSE)</f>
        <v>1</v>
      </c>
      <c r="T1687" s="737" t="str">
        <f t="shared" si="776"/>
        <v>0.0%</v>
      </c>
      <c r="U1687" s="2">
        <f t="shared" ref="U1687:U1750" si="785">IF(ABS(X1687)=0,"",IF($R1687="NO ALLOC","NO ALLOC",ROUND($R1687*X1687,15)))</f>
        <v>0</v>
      </c>
      <c r="V1687" s="2">
        <f t="shared" ref="V1687:V1750" si="786">IF(ABS(X1687)=0,"",IF($S1687="NO ALLOC","NO ALLOC",ROUND($S1687*X1687,15)))</f>
        <v>1023.18723125</v>
      </c>
      <c r="W1687" s="2">
        <f t="shared" ref="W1687:W1750" si="787">IF(ABS(X1687)=0,"",IF($T1687="NO ALLOC","NO ALLOC",ROUND($T1687*X1687,15)))</f>
        <v>0</v>
      </c>
      <c r="X1687" s="2">
        <f t="shared" si="781"/>
        <v>1023.18723125</v>
      </c>
      <c r="Y1687" s="2">
        <f t="shared" ref="Y1687:Y1750" si="788">IF(ABS(AB1687)=0,"",IF($R1687="NO ALLOC","NO ALLOC",ROUND($R1687*AB1687,15)))</f>
        <v>0</v>
      </c>
      <c r="Z1687" s="2">
        <f t="shared" ref="Z1687:Z1750" si="789">IF(ABS(AB1687)=0,"",IF($S1687="NO ALLOC","NO ALLOC",ROUND($S1687*AB1687,15)))</f>
        <v>2546.1967500000001</v>
      </c>
      <c r="AA1687" s="2">
        <f t="shared" ref="AA1687:AA1750" si="790">IF(ABS(AB1687)=0,"",IF($T1687="NO ALLOC","NO ALLOC",ROUND($T1687*AB1687,15)))</f>
        <v>0</v>
      </c>
      <c r="AB1687" s="2">
        <f t="shared" si="782"/>
        <v>2546.1967500000001</v>
      </c>
      <c r="AC1687" s="625">
        <v>987.98136</v>
      </c>
      <c r="AD1687" s="625">
        <v>982.57776999999999</v>
      </c>
      <c r="AE1687" s="625">
        <v>977.17417</v>
      </c>
      <c r="AF1687" s="625">
        <v>971.77058</v>
      </c>
      <c r="AG1687" s="625">
        <v>966.36698000000001</v>
      </c>
      <c r="AH1687" s="625">
        <v>960.96339</v>
      </c>
      <c r="AI1687" s="625">
        <v>955.55979000000002</v>
      </c>
      <c r="AJ1687" s="625">
        <v>950.1561999999999</v>
      </c>
      <c r="AK1687" s="625">
        <v>944.75260000000003</v>
      </c>
      <c r="AL1687" s="625">
        <v>939.34901000000002</v>
      </c>
      <c r="AM1687" s="625">
        <v>933.94541000000004</v>
      </c>
      <c r="AN1687" s="625">
        <v>928.54181999999992</v>
      </c>
      <c r="AO1687" s="625">
        <v>2546.1967500000001</v>
      </c>
      <c r="AP1687" s="41" t="str">
        <f t="shared" si="778"/>
        <v>Def TaxR</v>
      </c>
      <c r="AQ1687" s="41" t="str">
        <f t="shared" si="779"/>
        <v>Def TaxRR11Pension</v>
      </c>
      <c r="AR1687" s="41" t="str">
        <f t="shared" si="780"/>
        <v>R11Pension</v>
      </c>
    </row>
    <row r="1688" spans="1:44" s="41" customFormat="1" ht="12.75" customHeight="1">
      <c r="A1688" s="25" t="s">
        <v>1590</v>
      </c>
      <c r="B1688" s="25" t="str">
        <f t="shared" si="775"/>
        <v>Def Tax190042BT010183</v>
      </c>
      <c r="C1688" s="736">
        <v>190042</v>
      </c>
      <c r="D1688" s="735"/>
      <c r="E1688" s="41" t="s">
        <v>1689</v>
      </c>
      <c r="F1688" s="41" t="str">
        <f t="shared" si="783"/>
        <v>ADIT - EEBEN - STATE - GAS</v>
      </c>
      <c r="G1688" s="41" t="s">
        <v>1690</v>
      </c>
      <c r="H1688" s="736" t="s">
        <v>1691</v>
      </c>
      <c r="I1688" s="25"/>
      <c r="J1688" s="25" t="str">
        <f t="shared" si="784"/>
        <v/>
      </c>
      <c r="K1688" s="442" t="str">
        <f t="shared" si="774"/>
        <v/>
      </c>
      <c r="L1688" s="736" t="s">
        <v>2443</v>
      </c>
      <c r="M1688" s="25" t="str">
        <f t="shared" si="777"/>
        <v>R</v>
      </c>
      <c r="N1688" s="25" t="str">
        <f>IF(L1688&lt;&gt;"",VLOOKUP(L1688,Categories!$B$2:$D$41,2,FALSE),IF(F1688&lt;&gt;"","No Cat",""))</f>
        <v>Rate Base</v>
      </c>
      <c r="O1688" s="25" t="str">
        <f>IF($L1688&lt;&gt;"",VLOOKUP($L1688,Categories!$B$2:$D$41,3,FALSE),IF($F1688&lt;&gt;"","No Cat",""))</f>
        <v>Deferred Income Taxes</v>
      </c>
      <c r="P1688" s="736" t="s">
        <v>2483</v>
      </c>
      <c r="Q1688" s="25" t="str">
        <f>VLOOKUP($P1688,Allocators!$B$7:$F$19,5,FALSE)</f>
        <v>Gas</v>
      </c>
      <c r="R1688" s="737">
        <f>VLOOKUP($P1688,Allocators!$B$7:$F$19,2,FALSE)</f>
        <v>0</v>
      </c>
      <c r="S1688" s="737">
        <f>VLOOKUP($P1688,Allocators!$B$7:$F$19,3,FALSE)</f>
        <v>1</v>
      </c>
      <c r="T1688" s="737" t="str">
        <f t="shared" si="776"/>
        <v>0.0%</v>
      </c>
      <c r="U1688" s="2">
        <f t="shared" si="785"/>
        <v>0</v>
      </c>
      <c r="V1688" s="2">
        <f t="shared" si="786"/>
        <v>-16.86608</v>
      </c>
      <c r="W1688" s="2">
        <f t="shared" si="787"/>
        <v>0</v>
      </c>
      <c r="X1688" s="2">
        <f t="shared" si="781"/>
        <v>-16.86608</v>
      </c>
      <c r="Y1688" s="2">
        <f t="shared" si="788"/>
        <v>0</v>
      </c>
      <c r="Z1688" s="2">
        <f t="shared" si="789"/>
        <v>-16.86608</v>
      </c>
      <c r="AA1688" s="2">
        <f t="shared" si="790"/>
        <v>0</v>
      </c>
      <c r="AB1688" s="2">
        <f t="shared" si="782"/>
        <v>-16.86608</v>
      </c>
      <c r="AC1688" s="625">
        <v>-16.86608</v>
      </c>
      <c r="AD1688" s="625">
        <v>-16.86608</v>
      </c>
      <c r="AE1688" s="625">
        <v>-16.86608</v>
      </c>
      <c r="AF1688" s="625">
        <v>-16.86608</v>
      </c>
      <c r="AG1688" s="625">
        <v>-16.86608</v>
      </c>
      <c r="AH1688" s="625">
        <v>-16.86608</v>
      </c>
      <c r="AI1688" s="625">
        <v>-16.86608</v>
      </c>
      <c r="AJ1688" s="625">
        <v>-16.86608</v>
      </c>
      <c r="AK1688" s="625">
        <v>-16.86608</v>
      </c>
      <c r="AL1688" s="625">
        <v>-16.86608</v>
      </c>
      <c r="AM1688" s="625">
        <v>-16.86608</v>
      </c>
      <c r="AN1688" s="625">
        <v>-16.86608</v>
      </c>
      <c r="AO1688" s="625">
        <v>-16.86608</v>
      </c>
      <c r="AP1688" s="41" t="str">
        <f t="shared" si="778"/>
        <v>Def TaxR</v>
      </c>
      <c r="AQ1688" s="41" t="str">
        <f t="shared" si="779"/>
        <v>Def TaxRR11Restricted Stock</v>
      </c>
      <c r="AR1688" s="41" t="str">
        <f t="shared" si="780"/>
        <v>R11Restricted Stock</v>
      </c>
    </row>
    <row r="1689" spans="1:44" s="41" customFormat="1" ht="12.75" customHeight="1">
      <c r="A1689" s="442" t="s">
        <v>1590</v>
      </c>
      <c r="B1689" s="442" t="str">
        <f t="shared" si="775"/>
        <v>Def Tax190042BT010195</v>
      </c>
      <c r="C1689" s="736">
        <v>190042</v>
      </c>
      <c r="D1689" s="735"/>
      <c r="E1689" s="626" t="s">
        <v>1700</v>
      </c>
      <c r="F1689" s="626" t="str">
        <f t="shared" si="783"/>
        <v>ADIT - EEBEN - STATE - GAS</v>
      </c>
      <c r="G1689" s="626" t="s">
        <v>810</v>
      </c>
      <c r="H1689" s="736" t="s">
        <v>810</v>
      </c>
      <c r="I1689" s="442"/>
      <c r="J1689" s="442" t="str">
        <f t="shared" si="784"/>
        <v/>
      </c>
      <c r="K1689" s="442" t="str">
        <f t="shared" si="774"/>
        <v/>
      </c>
      <c r="L1689" s="736" t="s">
        <v>2421</v>
      </c>
      <c r="M1689" s="442" t="str">
        <f t="shared" si="777"/>
        <v>N</v>
      </c>
      <c r="N1689" s="442" t="str">
        <f>IF(L1689&lt;&gt;"",VLOOKUP(L1689,Categories!$B$2:$D$41,2,FALSE),IF(F1689&lt;&gt;"","No Cat",""))</f>
        <v>NRBASE</v>
      </c>
      <c r="O1689" s="442" t="str">
        <f>IF($L1689&lt;&gt;"",VLOOKUP($L1689,Categories!$B$2:$D$41,3,FALSE),IF($F1689&lt;&gt;"","No Cat",""))</f>
        <v>Direct Assign Items Not in RB</v>
      </c>
      <c r="P1689" s="736" t="s">
        <v>2468</v>
      </c>
      <c r="Q1689" s="442" t="str">
        <f>VLOOKUP($P1689,Allocators!$B$7:$F$19,5,FALSE)</f>
        <v>Not in Rate Base</v>
      </c>
      <c r="R1689" s="737">
        <f>VLOOKUP($P1689,Allocators!$B$7:$F$19,2,FALSE)</f>
        <v>0</v>
      </c>
      <c r="S1689" s="737">
        <f>VLOOKUP($P1689,Allocators!$B$7:$F$19,3,FALSE)</f>
        <v>0</v>
      </c>
      <c r="T1689" s="737">
        <f t="shared" si="776"/>
        <v>1</v>
      </c>
      <c r="U1689" s="2">
        <f t="shared" si="785"/>
        <v>0</v>
      </c>
      <c r="V1689" s="2">
        <f t="shared" si="786"/>
        <v>0</v>
      </c>
      <c r="W1689" s="2">
        <f t="shared" si="787"/>
        <v>8.9377516666666708</v>
      </c>
      <c r="X1689" s="2">
        <f t="shared" si="781"/>
        <v>8.9377516666666708</v>
      </c>
      <c r="Y1689" s="2">
        <f t="shared" si="788"/>
        <v>0</v>
      </c>
      <c r="Z1689" s="2">
        <f t="shared" si="789"/>
        <v>0</v>
      </c>
      <c r="AA1689" s="2">
        <f t="shared" si="790"/>
        <v>43.2682</v>
      </c>
      <c r="AB1689" s="2">
        <f t="shared" si="782"/>
        <v>43.2682</v>
      </c>
      <c r="AC1689" s="625">
        <v>20.973680000000002</v>
      </c>
      <c r="AD1689" s="625">
        <v>22.058959999999999</v>
      </c>
      <c r="AE1689" s="625">
        <v>23.14424</v>
      </c>
      <c r="AF1689" s="625">
        <v>9.7799800000000001</v>
      </c>
      <c r="AG1689" s="625">
        <v>10.865260000000001</v>
      </c>
      <c r="AH1689" s="625">
        <v>11.950530000000001</v>
      </c>
      <c r="AI1689" s="625">
        <v>2.6534800000000001</v>
      </c>
      <c r="AJ1689" s="625">
        <v>3.7387600000000001</v>
      </c>
      <c r="AK1689" s="625">
        <v>4.8240299999999996</v>
      </c>
      <c r="AL1689" s="625">
        <v>-5.7130000000000001</v>
      </c>
      <c r="AM1689" s="625">
        <v>-4.6277200000000001</v>
      </c>
      <c r="AN1689" s="625">
        <v>-3.54244</v>
      </c>
      <c r="AO1689" s="625">
        <v>43.2682</v>
      </c>
      <c r="AP1689" s="41" t="str">
        <f t="shared" si="778"/>
        <v>Def TaxN</v>
      </c>
      <c r="AQ1689" s="41" t="str">
        <f t="shared" si="779"/>
        <v>Def TaxNN2SERP</v>
      </c>
      <c r="AR1689" s="41" t="str">
        <f t="shared" si="780"/>
        <v>N2SERP</v>
      </c>
    </row>
    <row r="1690" spans="1:44" s="41" customFormat="1" ht="12.75" customHeight="1">
      <c r="A1690" s="25" t="s">
        <v>1590</v>
      </c>
      <c r="B1690" s="25" t="str">
        <f t="shared" si="775"/>
        <v>Def Tax190042BT010208</v>
      </c>
      <c r="C1690" s="736">
        <v>190042</v>
      </c>
      <c r="D1690" s="735"/>
      <c r="E1690" s="41" t="s">
        <v>1696</v>
      </c>
      <c r="F1690" s="41" t="str">
        <f t="shared" si="783"/>
        <v>ADIT - EEBEN - STATE - GAS</v>
      </c>
      <c r="G1690" s="41" t="s">
        <v>1877</v>
      </c>
      <c r="H1690" s="736" t="s">
        <v>1698</v>
      </c>
      <c r="I1690" s="25"/>
      <c r="J1690" s="25" t="str">
        <f t="shared" si="784"/>
        <v/>
      </c>
      <c r="K1690" s="442" t="str">
        <f t="shared" ref="K1690:K1753" si="791">IF(L1690="N3","Y","")</f>
        <v/>
      </c>
      <c r="L1690" s="736" t="s">
        <v>2443</v>
      </c>
      <c r="M1690" s="25" t="str">
        <f t="shared" si="777"/>
        <v>R</v>
      </c>
      <c r="N1690" s="25" t="str">
        <f>IF(L1690&lt;&gt;"",VLOOKUP(L1690,Categories!$B$2:$D$41,2,FALSE),IF(F1690&lt;&gt;"","No Cat",""))</f>
        <v>Rate Base</v>
      </c>
      <c r="O1690" s="25" t="str">
        <f>IF($L1690&lt;&gt;"",VLOOKUP($L1690,Categories!$B$2:$D$41,3,FALSE),IF($F1690&lt;&gt;"","No Cat",""))</f>
        <v>Deferred Income Taxes</v>
      </c>
      <c r="P1690" s="736" t="s">
        <v>2483</v>
      </c>
      <c r="Q1690" s="25" t="str">
        <f>VLOOKUP($P1690,Allocators!$B$7:$F$19,5,FALSE)</f>
        <v>Gas</v>
      </c>
      <c r="R1690" s="737">
        <f>VLOOKUP($P1690,Allocators!$B$7:$F$19,2,FALSE)</f>
        <v>0</v>
      </c>
      <c r="S1690" s="737">
        <f>VLOOKUP($P1690,Allocators!$B$7:$F$19,3,FALSE)</f>
        <v>1</v>
      </c>
      <c r="T1690" s="737" t="str">
        <f t="shared" si="776"/>
        <v>0.0%</v>
      </c>
      <c r="U1690" s="2">
        <f t="shared" si="785"/>
        <v>0</v>
      </c>
      <c r="V1690" s="2">
        <f t="shared" si="786"/>
        <v>-8.2739799999999999</v>
      </c>
      <c r="W1690" s="2">
        <f t="shared" si="787"/>
        <v>0</v>
      </c>
      <c r="X1690" s="2">
        <f t="shared" si="781"/>
        <v>-8.2739799999999999</v>
      </c>
      <c r="Y1690" s="2">
        <f t="shared" si="788"/>
        <v>0</v>
      </c>
      <c r="Z1690" s="2">
        <f t="shared" si="789"/>
        <v>-8.2739799999999999</v>
      </c>
      <c r="AA1690" s="2">
        <f t="shared" si="790"/>
        <v>0</v>
      </c>
      <c r="AB1690" s="2">
        <f t="shared" si="782"/>
        <v>-8.2739799999999999</v>
      </c>
      <c r="AC1690" s="625">
        <v>-8.2739799999999999</v>
      </c>
      <c r="AD1690" s="625">
        <v>-8.2739799999999999</v>
      </c>
      <c r="AE1690" s="625">
        <v>-8.2739799999999999</v>
      </c>
      <c r="AF1690" s="625">
        <v>-8.2739799999999999</v>
      </c>
      <c r="AG1690" s="625">
        <v>-8.2739799999999999</v>
      </c>
      <c r="AH1690" s="625">
        <v>-8.2739799999999999</v>
      </c>
      <c r="AI1690" s="625">
        <v>-8.2739799999999999</v>
      </c>
      <c r="AJ1690" s="625">
        <v>-8.2739799999999999</v>
      </c>
      <c r="AK1690" s="625">
        <v>-8.2739799999999999</v>
      </c>
      <c r="AL1690" s="625">
        <v>-8.2739799999999999</v>
      </c>
      <c r="AM1690" s="625">
        <v>-8.2739799999999999</v>
      </c>
      <c r="AN1690" s="625">
        <v>-8.2739799999999999</v>
      </c>
      <c r="AO1690" s="625">
        <v>-8.2739799999999999</v>
      </c>
      <c r="AP1690" s="41" t="str">
        <f t="shared" si="778"/>
        <v>Def TaxR</v>
      </c>
      <c r="AQ1690" s="41" t="str">
        <f t="shared" si="779"/>
        <v>Def TaxRR11Separation Accrual</v>
      </c>
      <c r="AR1690" s="41" t="str">
        <f t="shared" si="780"/>
        <v>R11Separation Accrual</v>
      </c>
    </row>
    <row r="1691" spans="1:44" s="41" customFormat="1" ht="12.75" customHeight="1">
      <c r="A1691" s="442" t="s">
        <v>1590</v>
      </c>
      <c r="B1691" s="442" t="str">
        <f t="shared" si="775"/>
        <v>Def Tax190042BT010211</v>
      </c>
      <c r="C1691" s="736">
        <v>190042</v>
      </c>
      <c r="D1691" s="735"/>
      <c r="E1691" s="626" t="s">
        <v>1703</v>
      </c>
      <c r="F1691" s="626" t="str">
        <f t="shared" si="783"/>
        <v>ADIT - EEBEN - STATE - GAS</v>
      </c>
      <c r="G1691" s="626" t="s">
        <v>1704</v>
      </c>
      <c r="H1691" s="736" t="s">
        <v>1705</v>
      </c>
      <c r="I1691" s="442"/>
      <c r="J1691" s="442" t="str">
        <f t="shared" si="784"/>
        <v/>
      </c>
      <c r="K1691" s="442" t="str">
        <f t="shared" si="791"/>
        <v/>
      </c>
      <c r="L1691" s="736" t="s">
        <v>2421</v>
      </c>
      <c r="M1691" s="442" t="str">
        <f t="shared" si="777"/>
        <v>N</v>
      </c>
      <c r="N1691" s="442" t="str">
        <f>IF(L1691&lt;&gt;"",VLOOKUP(L1691,Categories!$B$2:$D$41,2,FALSE),IF(F1691&lt;&gt;"","No Cat",""))</f>
        <v>NRBASE</v>
      </c>
      <c r="O1691" s="442" t="str">
        <f>IF($L1691&lt;&gt;"",VLOOKUP($L1691,Categories!$B$2:$D$41,3,FALSE),IF($F1691&lt;&gt;"","No Cat",""))</f>
        <v>Direct Assign Items Not in RB</v>
      </c>
      <c r="P1691" s="736" t="s">
        <v>2468</v>
      </c>
      <c r="Q1691" s="442" t="str">
        <f>VLOOKUP($P1691,Allocators!$B$7:$F$19,5,FALSE)</f>
        <v>Not in Rate Base</v>
      </c>
      <c r="R1691" s="737">
        <f>VLOOKUP($P1691,Allocators!$B$7:$F$19,2,FALSE)</f>
        <v>0</v>
      </c>
      <c r="S1691" s="737">
        <f>VLOOKUP($P1691,Allocators!$B$7:$F$19,3,FALSE)</f>
        <v>0</v>
      </c>
      <c r="T1691" s="737">
        <f t="shared" si="776"/>
        <v>1</v>
      </c>
      <c r="U1691" s="2" t="str">
        <f t="shared" si="785"/>
        <v/>
      </c>
      <c r="V1691" s="2" t="str">
        <f t="shared" si="786"/>
        <v/>
      </c>
      <c r="W1691" s="2" t="str">
        <f t="shared" si="787"/>
        <v/>
      </c>
      <c r="X1691" s="2">
        <f t="shared" si="781"/>
        <v>0</v>
      </c>
      <c r="Y1691" s="2" t="str">
        <f t="shared" si="788"/>
        <v/>
      </c>
      <c r="Z1691" s="2" t="str">
        <f t="shared" si="789"/>
        <v/>
      </c>
      <c r="AA1691" s="2" t="str">
        <f t="shared" si="790"/>
        <v/>
      </c>
      <c r="AB1691" s="2">
        <f t="shared" si="782"/>
        <v>0</v>
      </c>
      <c r="AC1691" s="625">
        <v>0</v>
      </c>
      <c r="AD1691" s="625">
        <v>0</v>
      </c>
      <c r="AE1691" s="625">
        <v>0</v>
      </c>
      <c r="AF1691" s="625">
        <v>0</v>
      </c>
      <c r="AG1691" s="625">
        <v>0</v>
      </c>
      <c r="AH1691" s="625">
        <v>0</v>
      </c>
      <c r="AI1691" s="625">
        <v>0</v>
      </c>
      <c r="AJ1691" s="625">
        <v>0</v>
      </c>
      <c r="AK1691" s="625">
        <v>0</v>
      </c>
      <c r="AL1691" s="625">
        <v>0</v>
      </c>
      <c r="AM1691" s="625">
        <v>0</v>
      </c>
      <c r="AN1691" s="625">
        <v>0</v>
      </c>
      <c r="AO1691" s="625">
        <v>0</v>
      </c>
      <c r="AP1691" s="41" t="str">
        <f t="shared" si="778"/>
        <v>Def TaxN</v>
      </c>
      <c r="AQ1691" s="41" t="str">
        <f t="shared" si="779"/>
        <v>Def TaxNN2Iberdrola Merger Severance</v>
      </c>
      <c r="AR1691" s="41" t="str">
        <f t="shared" si="780"/>
        <v>N2Iberdrola Merger Severance</v>
      </c>
    </row>
    <row r="1692" spans="1:44" s="41" customFormat="1" ht="12.75" customHeight="1">
      <c r="A1692" s="25" t="s">
        <v>1590</v>
      </c>
      <c r="B1692" s="25" t="str">
        <f t="shared" si="775"/>
        <v>Def Tax190042BT010220</v>
      </c>
      <c r="C1692" s="736">
        <v>190042</v>
      </c>
      <c r="D1692" s="735"/>
      <c r="E1692" s="41" t="s">
        <v>1710</v>
      </c>
      <c r="F1692" s="41" t="str">
        <f t="shared" si="783"/>
        <v>ADIT - EEBEN - STATE - GAS</v>
      </c>
      <c r="G1692" s="41" t="s">
        <v>1878</v>
      </c>
      <c r="H1692" s="736" t="s">
        <v>1712</v>
      </c>
      <c r="I1692" s="25"/>
      <c r="J1692" s="25" t="str">
        <f t="shared" si="784"/>
        <v/>
      </c>
      <c r="K1692" s="442" t="str">
        <f t="shared" si="791"/>
        <v/>
      </c>
      <c r="L1692" s="736" t="s">
        <v>2443</v>
      </c>
      <c r="M1692" s="25" t="str">
        <f t="shared" si="777"/>
        <v>R</v>
      </c>
      <c r="N1692" s="25" t="str">
        <f>IF(L1692&lt;&gt;"",VLOOKUP(L1692,Categories!$B$2:$D$41,2,FALSE),IF(F1692&lt;&gt;"","No Cat",""))</f>
        <v>Rate Base</v>
      </c>
      <c r="O1692" s="25" t="str">
        <f>IF($L1692&lt;&gt;"",VLOOKUP($L1692,Categories!$B$2:$D$41,3,FALSE),IF($F1692&lt;&gt;"","No Cat",""))</f>
        <v>Deferred Income Taxes</v>
      </c>
      <c r="P1692" s="736" t="s">
        <v>2483</v>
      </c>
      <c r="Q1692" s="25" t="str">
        <f>VLOOKUP($P1692,Allocators!$B$7:$F$19,5,FALSE)</f>
        <v>Gas</v>
      </c>
      <c r="R1692" s="737">
        <f>VLOOKUP($P1692,Allocators!$B$7:$F$19,2,FALSE)</f>
        <v>0</v>
      </c>
      <c r="S1692" s="737">
        <f>VLOOKUP($P1692,Allocators!$B$7:$F$19,3,FALSE)</f>
        <v>1</v>
      </c>
      <c r="T1692" s="737" t="str">
        <f t="shared" si="776"/>
        <v>0.0%</v>
      </c>
      <c r="U1692" s="2">
        <f t="shared" si="785"/>
        <v>0</v>
      </c>
      <c r="V1692" s="2">
        <f t="shared" si="786"/>
        <v>-13.961970000000001</v>
      </c>
      <c r="W1692" s="2">
        <f t="shared" si="787"/>
        <v>0</v>
      </c>
      <c r="X1692" s="2">
        <f t="shared" si="781"/>
        <v>-13.961970000000001</v>
      </c>
      <c r="Y1692" s="2">
        <f t="shared" si="788"/>
        <v>0</v>
      </c>
      <c r="Z1692" s="2">
        <f t="shared" si="789"/>
        <v>-13.961970000000001</v>
      </c>
      <c r="AA1692" s="2">
        <f t="shared" si="790"/>
        <v>0</v>
      </c>
      <c r="AB1692" s="2">
        <f t="shared" si="782"/>
        <v>-13.961969999999999</v>
      </c>
      <c r="AC1692" s="625">
        <v>-13.961969999999999</v>
      </c>
      <c r="AD1692" s="625">
        <v>-13.961969999999999</v>
      </c>
      <c r="AE1692" s="625">
        <v>-13.961969999999999</v>
      </c>
      <c r="AF1692" s="625">
        <v>-13.961969999999999</v>
      </c>
      <c r="AG1692" s="625">
        <v>-13.961969999999999</v>
      </c>
      <c r="AH1692" s="625">
        <v>-13.961969999999999</v>
      </c>
      <c r="AI1692" s="625">
        <v>-13.961969999999999</v>
      </c>
      <c r="AJ1692" s="625">
        <v>-13.961969999999999</v>
      </c>
      <c r="AK1692" s="625">
        <v>-13.961969999999999</v>
      </c>
      <c r="AL1692" s="625">
        <v>-13.961969999999999</v>
      </c>
      <c r="AM1692" s="625">
        <v>-13.961969999999999</v>
      </c>
      <c r="AN1692" s="625">
        <v>-13.961969999999999</v>
      </c>
      <c r="AO1692" s="625">
        <v>-13.961969999999999</v>
      </c>
      <c r="AP1692" s="41" t="str">
        <f t="shared" si="778"/>
        <v>Def TaxR</v>
      </c>
      <c r="AQ1692" s="41" t="str">
        <f t="shared" si="779"/>
        <v>Def TaxRR11Stock Options</v>
      </c>
      <c r="AR1692" s="41" t="str">
        <f t="shared" si="780"/>
        <v>R11Stock Options</v>
      </c>
    </row>
    <row r="1693" spans="1:44" s="41" customFormat="1" ht="12.75" customHeight="1">
      <c r="A1693" s="25" t="s">
        <v>1590</v>
      </c>
      <c r="B1693" s="25" t="str">
        <f t="shared" si="775"/>
        <v>Def Tax190042BT010244</v>
      </c>
      <c r="C1693" s="736">
        <v>190042</v>
      </c>
      <c r="D1693" s="735"/>
      <c r="E1693" s="41" t="s">
        <v>1722</v>
      </c>
      <c r="F1693" s="41" t="str">
        <f t="shared" si="783"/>
        <v>ADIT - EEBEN - STATE - GAS</v>
      </c>
      <c r="G1693" s="41" t="s">
        <v>1724</v>
      </c>
      <c r="H1693" s="736" t="s">
        <v>1724</v>
      </c>
      <c r="I1693" s="25"/>
      <c r="J1693" s="25" t="str">
        <f t="shared" si="784"/>
        <v/>
      </c>
      <c r="K1693" s="442" t="str">
        <f t="shared" si="791"/>
        <v/>
      </c>
      <c r="L1693" s="736" t="s">
        <v>2443</v>
      </c>
      <c r="M1693" s="25" t="str">
        <f t="shared" si="777"/>
        <v>R</v>
      </c>
      <c r="N1693" s="25" t="str">
        <f>IF(L1693&lt;&gt;"",VLOOKUP(L1693,Categories!$B$2:$D$41,2,FALSE),IF(F1693&lt;&gt;"","No Cat",""))</f>
        <v>Rate Base</v>
      </c>
      <c r="O1693" s="25" t="str">
        <f>IF($L1693&lt;&gt;"",VLOOKUP($L1693,Categories!$B$2:$D$41,3,FALSE),IF($F1693&lt;&gt;"","No Cat",""))</f>
        <v>Deferred Income Taxes</v>
      </c>
      <c r="P1693" s="736" t="s">
        <v>2483</v>
      </c>
      <c r="Q1693" s="25" t="str">
        <f>VLOOKUP($P1693,Allocators!$B$7:$F$19,5,FALSE)</f>
        <v>Gas</v>
      </c>
      <c r="R1693" s="737">
        <f>VLOOKUP($P1693,Allocators!$B$7:$F$19,2,FALSE)</f>
        <v>0</v>
      </c>
      <c r="S1693" s="737">
        <f>VLOOKUP($P1693,Allocators!$B$7:$F$19,3,FALSE)</f>
        <v>1</v>
      </c>
      <c r="T1693" s="737" t="str">
        <f t="shared" si="776"/>
        <v>0.0%</v>
      </c>
      <c r="U1693" s="2">
        <f t="shared" si="785"/>
        <v>0</v>
      </c>
      <c r="V1693" s="2">
        <f t="shared" si="786"/>
        <v>48.184939999999997</v>
      </c>
      <c r="W1693" s="2">
        <f t="shared" si="787"/>
        <v>0</v>
      </c>
      <c r="X1693" s="2">
        <f t="shared" si="781"/>
        <v>48.184939999999997</v>
      </c>
      <c r="Y1693" s="2">
        <f t="shared" si="788"/>
        <v>0</v>
      </c>
      <c r="Z1693" s="2">
        <f t="shared" si="789"/>
        <v>49.249940000000002</v>
      </c>
      <c r="AA1693" s="2">
        <f t="shared" si="790"/>
        <v>0</v>
      </c>
      <c r="AB1693" s="2">
        <f t="shared" si="782"/>
        <v>49.249940000000002</v>
      </c>
      <c r="AC1693" s="625">
        <v>47.545940000000002</v>
      </c>
      <c r="AD1693" s="625">
        <v>47.545940000000002</v>
      </c>
      <c r="AE1693" s="625">
        <v>47.545940000000002</v>
      </c>
      <c r="AF1693" s="625">
        <v>47.545940000000002</v>
      </c>
      <c r="AG1693" s="625">
        <v>47.545940000000002</v>
      </c>
      <c r="AH1693" s="625">
        <v>47.545940000000002</v>
      </c>
      <c r="AI1693" s="625">
        <v>47.545940000000002</v>
      </c>
      <c r="AJ1693" s="625">
        <v>47.545940000000002</v>
      </c>
      <c r="AK1693" s="625">
        <v>49.249940000000002</v>
      </c>
      <c r="AL1693" s="625">
        <v>49.249940000000002</v>
      </c>
      <c r="AM1693" s="625">
        <v>49.249940000000002</v>
      </c>
      <c r="AN1693" s="625">
        <v>49.249940000000002</v>
      </c>
      <c r="AO1693" s="625">
        <v>49.249940000000002</v>
      </c>
      <c r="AP1693" s="41" t="str">
        <f t="shared" si="778"/>
        <v>Def TaxR</v>
      </c>
      <c r="AQ1693" s="41" t="str">
        <f t="shared" si="779"/>
        <v>Def TaxRR11Workers Comp Reserve</v>
      </c>
      <c r="AR1693" s="41" t="str">
        <f t="shared" si="780"/>
        <v>R11Workers Comp Reserve</v>
      </c>
    </row>
    <row r="1694" spans="1:44" s="41" customFormat="1" ht="12.75" customHeight="1">
      <c r="A1694" s="442" t="s">
        <v>1590</v>
      </c>
      <c r="B1694" s="442" t="str">
        <f t="shared" si="775"/>
        <v>Def Tax190042BT010356</v>
      </c>
      <c r="C1694" s="736">
        <v>190042</v>
      </c>
      <c r="D1694" s="735"/>
      <c r="E1694" s="626" t="s">
        <v>1660</v>
      </c>
      <c r="F1694" s="626" t="str">
        <f t="shared" si="783"/>
        <v>ADIT - EEBEN - STATE - GAS</v>
      </c>
      <c r="G1694" s="626" t="s">
        <v>1661</v>
      </c>
      <c r="H1694" s="736" t="s">
        <v>1661</v>
      </c>
      <c r="I1694" s="442"/>
      <c r="J1694" s="442" t="str">
        <f t="shared" si="784"/>
        <v/>
      </c>
      <c r="K1694" s="442" t="str">
        <f t="shared" si="791"/>
        <v/>
      </c>
      <c r="L1694" s="736" t="s">
        <v>2421</v>
      </c>
      <c r="M1694" s="442" t="str">
        <f t="shared" si="777"/>
        <v>N</v>
      </c>
      <c r="N1694" s="442" t="str">
        <f>IF(L1694&lt;&gt;"",VLOOKUP(L1694,Categories!$B$2:$D$41,2,FALSE),IF(F1694&lt;&gt;"","No Cat",""))</f>
        <v>NRBASE</v>
      </c>
      <c r="O1694" s="442" t="str">
        <f>IF($L1694&lt;&gt;"",VLOOKUP($L1694,Categories!$B$2:$D$41,3,FALSE),IF($F1694&lt;&gt;"","No Cat",""))</f>
        <v>Direct Assign Items Not in RB</v>
      </c>
      <c r="P1694" s="736" t="s">
        <v>2468</v>
      </c>
      <c r="Q1694" s="442" t="str">
        <f>VLOOKUP($P1694,Allocators!$B$7:$F$19,5,FALSE)</f>
        <v>Not in Rate Base</v>
      </c>
      <c r="R1694" s="737">
        <f>VLOOKUP($P1694,Allocators!$B$7:$F$19,2,FALSE)</f>
        <v>0</v>
      </c>
      <c r="S1694" s="737">
        <f>VLOOKUP($P1694,Allocators!$B$7:$F$19,3,FALSE)</f>
        <v>0</v>
      </c>
      <c r="T1694" s="737">
        <f t="shared" si="776"/>
        <v>1</v>
      </c>
      <c r="U1694" s="2">
        <f t="shared" si="785"/>
        <v>0</v>
      </c>
      <c r="V1694" s="2">
        <f t="shared" si="786"/>
        <v>0</v>
      </c>
      <c r="W1694" s="2">
        <f t="shared" si="787"/>
        <v>20.719690833333299</v>
      </c>
      <c r="X1694" s="2">
        <f t="shared" si="781"/>
        <v>20.719690833333299</v>
      </c>
      <c r="Y1694" s="2">
        <f t="shared" si="788"/>
        <v>0</v>
      </c>
      <c r="Z1694" s="2">
        <f t="shared" si="789"/>
        <v>0</v>
      </c>
      <c r="AA1694" s="2">
        <f t="shared" si="790"/>
        <v>24.000430000000001</v>
      </c>
      <c r="AB1694" s="2">
        <f t="shared" si="782"/>
        <v>24.000430000000001</v>
      </c>
      <c r="AC1694" s="625">
        <v>20.464569999999998</v>
      </c>
      <c r="AD1694" s="625">
        <v>20.087240000000001</v>
      </c>
      <c r="AE1694" s="625">
        <v>20.524470000000001</v>
      </c>
      <c r="AF1694" s="625">
        <v>20.810939999999999</v>
      </c>
      <c r="AG1694" s="625">
        <v>20.873069999999998</v>
      </c>
      <c r="AH1694" s="625">
        <v>20.71181</v>
      </c>
      <c r="AI1694" s="625">
        <v>15.01036</v>
      </c>
      <c r="AJ1694" s="625">
        <v>21.580779999999997</v>
      </c>
      <c r="AK1694" s="625">
        <v>21.350009999999997</v>
      </c>
      <c r="AL1694" s="625">
        <v>20.916490000000003</v>
      </c>
      <c r="AM1694" s="625">
        <v>21.678339999999999</v>
      </c>
      <c r="AN1694" s="625">
        <v>22.860279999999999</v>
      </c>
      <c r="AO1694" s="625">
        <v>24.000430000000001</v>
      </c>
      <c r="AP1694" s="41" t="str">
        <f t="shared" si="778"/>
        <v>Def TaxN</v>
      </c>
      <c r="AQ1694" s="41" t="str">
        <f t="shared" si="779"/>
        <v>Def TaxNN2Long Term Executive Incentive Plan</v>
      </c>
      <c r="AR1694" s="41" t="str">
        <f t="shared" si="780"/>
        <v>N2Long Term Executive Incentive Plan</v>
      </c>
    </row>
    <row r="1695" spans="1:44" s="41" customFormat="1" ht="12.75" customHeight="1">
      <c r="A1695" s="25" t="s">
        <v>1590</v>
      </c>
      <c r="B1695" s="25" t="str">
        <f t="shared" ref="B1695:B1763" si="792">CONCATENATE(A1695,C1695,D1695,E1695)</f>
        <v>Def Tax190042BT010381</v>
      </c>
      <c r="C1695" s="736">
        <v>190042</v>
      </c>
      <c r="D1695" s="735"/>
      <c r="E1695" s="41" t="s">
        <v>1665</v>
      </c>
      <c r="F1695" s="41" t="str">
        <f t="shared" si="783"/>
        <v>ADIT - EEBEN - STATE - GAS</v>
      </c>
      <c r="G1695" s="41" t="s">
        <v>1879</v>
      </c>
      <c r="H1695" s="736" t="s">
        <v>1118</v>
      </c>
      <c r="I1695" s="25"/>
      <c r="J1695" s="25" t="str">
        <f t="shared" si="784"/>
        <v/>
      </c>
      <c r="K1695" s="442" t="str">
        <f t="shared" si="791"/>
        <v/>
      </c>
      <c r="L1695" s="736" t="s">
        <v>2443</v>
      </c>
      <c r="M1695" s="25" t="str">
        <f t="shared" si="777"/>
        <v>R</v>
      </c>
      <c r="N1695" s="25" t="str">
        <f>IF(L1695&lt;&gt;"",VLOOKUP(L1695,Categories!$B$2:$D$41,2,FALSE),IF(F1695&lt;&gt;"","No Cat",""))</f>
        <v>Rate Base</v>
      </c>
      <c r="O1695" s="25" t="str">
        <f>IF($L1695&lt;&gt;"",VLOOKUP($L1695,Categories!$B$2:$D$41,3,FALSE),IF($F1695&lt;&gt;"","No Cat",""))</f>
        <v>Deferred Income Taxes</v>
      </c>
      <c r="P1695" s="736" t="s">
        <v>2483</v>
      </c>
      <c r="Q1695" s="25" t="str">
        <f>VLOOKUP($P1695,Allocators!$B$7:$F$19,5,FALSE)</f>
        <v>Gas</v>
      </c>
      <c r="R1695" s="737">
        <f>VLOOKUP($P1695,Allocators!$B$7:$F$19,2,FALSE)</f>
        <v>0</v>
      </c>
      <c r="S1695" s="737">
        <f>VLOOKUP($P1695,Allocators!$B$7:$F$19,3,FALSE)</f>
        <v>1</v>
      </c>
      <c r="T1695" s="737" t="str">
        <f t="shared" si="776"/>
        <v>0.0%</v>
      </c>
      <c r="U1695" s="2">
        <f t="shared" si="785"/>
        <v>0</v>
      </c>
      <c r="V1695" s="2">
        <f t="shared" si="786"/>
        <v>4.8170000000000002</v>
      </c>
      <c r="W1695" s="2">
        <f t="shared" si="787"/>
        <v>0</v>
      </c>
      <c r="X1695" s="2">
        <f t="shared" si="781"/>
        <v>4.8170000000000002</v>
      </c>
      <c r="Y1695" s="2">
        <f t="shared" si="788"/>
        <v>0</v>
      </c>
      <c r="Z1695" s="2">
        <f t="shared" si="789"/>
        <v>4.8170000000000002</v>
      </c>
      <c r="AA1695" s="2">
        <f t="shared" si="790"/>
        <v>0</v>
      </c>
      <c r="AB1695" s="2">
        <f t="shared" si="782"/>
        <v>4.8170000000000002</v>
      </c>
      <c r="AC1695" s="625">
        <v>4.8170000000000002</v>
      </c>
      <c r="AD1695" s="625">
        <v>4.8170000000000002</v>
      </c>
      <c r="AE1695" s="625">
        <v>4.8170000000000002</v>
      </c>
      <c r="AF1695" s="625">
        <v>4.8170000000000002</v>
      </c>
      <c r="AG1695" s="625">
        <v>4.8170000000000002</v>
      </c>
      <c r="AH1695" s="625">
        <v>4.8170000000000002</v>
      </c>
      <c r="AI1695" s="625">
        <v>4.8170000000000002</v>
      </c>
      <c r="AJ1695" s="625">
        <v>4.8170000000000002</v>
      </c>
      <c r="AK1695" s="625">
        <v>4.8170000000000002</v>
      </c>
      <c r="AL1695" s="625">
        <v>4.8170000000000002</v>
      </c>
      <c r="AM1695" s="625">
        <v>4.8170000000000002</v>
      </c>
      <c r="AN1695" s="625">
        <v>4.8170000000000002</v>
      </c>
      <c r="AO1695" s="625">
        <v>4.8170000000000002</v>
      </c>
      <c r="AP1695" s="41" t="str">
        <f t="shared" si="778"/>
        <v>Def TaxR</v>
      </c>
      <c r="AQ1695" s="41" t="str">
        <f t="shared" si="779"/>
        <v>Def TaxRR11Medicare Part D</v>
      </c>
      <c r="AR1695" s="41" t="str">
        <f t="shared" si="780"/>
        <v>R11Medicare Part D</v>
      </c>
    </row>
    <row r="1696" spans="1:44" s="41" customFormat="1" ht="12.75" customHeight="1">
      <c r="A1696" s="25" t="s">
        <v>1590</v>
      </c>
      <c r="B1696" s="25" t="str">
        <f t="shared" si="792"/>
        <v>Def Tax190042BTHUNGDT</v>
      </c>
      <c r="C1696" s="736">
        <v>190042</v>
      </c>
      <c r="D1696" s="735"/>
      <c r="E1696" s="41" t="s">
        <v>1624</v>
      </c>
      <c r="F1696" s="41" t="str">
        <f t="shared" si="783"/>
        <v>ADIT - EEBEN - STATE - GAS</v>
      </c>
      <c r="G1696" s="41" t="s">
        <v>1880</v>
      </c>
      <c r="H1696" s="736" t="s">
        <v>1647</v>
      </c>
      <c r="I1696" s="25"/>
      <c r="J1696" s="25" t="str">
        <f t="shared" si="784"/>
        <v/>
      </c>
      <c r="K1696" s="442" t="str">
        <f t="shared" si="791"/>
        <v/>
      </c>
      <c r="L1696" s="736" t="s">
        <v>2443</v>
      </c>
      <c r="M1696" s="25" t="str">
        <f t="shared" si="777"/>
        <v>R</v>
      </c>
      <c r="N1696" s="25" t="str">
        <f>IF(L1696&lt;&gt;"",VLOOKUP(L1696,Categories!$B$2:$D$41,2,FALSE),IF(F1696&lt;&gt;"","No Cat",""))</f>
        <v>Rate Base</v>
      </c>
      <c r="O1696" s="25" t="str">
        <f>IF($L1696&lt;&gt;"",VLOOKUP($L1696,Categories!$B$2:$D$41,3,FALSE),IF($F1696&lt;&gt;"","No Cat",""))</f>
        <v>Deferred Income Taxes</v>
      </c>
      <c r="P1696" s="736" t="s">
        <v>2483</v>
      </c>
      <c r="Q1696" s="25" t="str">
        <f>VLOOKUP($P1696,Allocators!$B$7:$F$19,5,FALSE)</f>
        <v>Gas</v>
      </c>
      <c r="R1696" s="737">
        <f>VLOOKUP($P1696,Allocators!$B$7:$F$19,2,FALSE)</f>
        <v>0</v>
      </c>
      <c r="S1696" s="737">
        <f>VLOOKUP($P1696,Allocators!$B$7:$F$19,3,FALSE)</f>
        <v>1</v>
      </c>
      <c r="T1696" s="737" t="str">
        <f t="shared" si="776"/>
        <v>0.0%</v>
      </c>
      <c r="U1696" s="2" t="str">
        <f t="shared" si="785"/>
        <v/>
      </c>
      <c r="V1696" s="2" t="str">
        <f t="shared" si="786"/>
        <v/>
      </c>
      <c r="W1696" s="2" t="str">
        <f t="shared" si="787"/>
        <v/>
      </c>
      <c r="X1696" s="2">
        <f t="shared" si="781"/>
        <v>0</v>
      </c>
      <c r="Y1696" s="2" t="str">
        <f t="shared" si="788"/>
        <v/>
      </c>
      <c r="Z1696" s="2" t="str">
        <f t="shared" si="789"/>
        <v/>
      </c>
      <c r="AA1696" s="2" t="str">
        <f t="shared" si="790"/>
        <v/>
      </c>
      <c r="AB1696" s="2">
        <f t="shared" si="782"/>
        <v>0</v>
      </c>
      <c r="AC1696" s="625">
        <v>0</v>
      </c>
      <c r="AD1696" s="625">
        <v>0</v>
      </c>
      <c r="AE1696" s="625">
        <v>0</v>
      </c>
      <c r="AF1696" s="625">
        <v>0</v>
      </c>
      <c r="AG1696" s="625">
        <v>0</v>
      </c>
      <c r="AH1696" s="625">
        <v>0</v>
      </c>
      <c r="AI1696" s="625">
        <v>0</v>
      </c>
      <c r="AJ1696" s="625">
        <v>0</v>
      </c>
      <c r="AK1696" s="625">
        <v>0</v>
      </c>
      <c r="AL1696" s="625">
        <v>0</v>
      </c>
      <c r="AM1696" s="625">
        <v>0</v>
      </c>
      <c r="AN1696" s="625">
        <v>0</v>
      </c>
      <c r="AO1696" s="625">
        <v>0</v>
      </c>
      <c r="AP1696" s="41" t="str">
        <f t="shared" si="778"/>
        <v>Def TaxR</v>
      </c>
      <c r="AQ1696" s="41" t="str">
        <f t="shared" si="779"/>
        <v>Def TaxRR11Deferred Comp</v>
      </c>
      <c r="AR1696" s="41" t="str">
        <f t="shared" si="780"/>
        <v>R11Deferred Comp</v>
      </c>
    </row>
    <row r="1697" spans="1:44" s="41" customFormat="1" ht="12.75" customHeight="1">
      <c r="A1697" s="25" t="s">
        <v>1590</v>
      </c>
      <c r="B1697" s="25" t="str">
        <f t="shared" si="792"/>
        <v>Def Tax190046BT010090</v>
      </c>
      <c r="C1697" s="736">
        <v>190046</v>
      </c>
      <c r="D1697" s="735"/>
      <c r="E1697" s="41" t="s">
        <v>1728</v>
      </c>
      <c r="F1697" s="41" t="str">
        <f t="shared" si="783"/>
        <v>ADIT - EEBEN - STATE - CURRENT - ELECTRIC</v>
      </c>
      <c r="G1697" s="41" t="s">
        <v>1837</v>
      </c>
      <c r="H1697" s="736" t="s">
        <v>927</v>
      </c>
      <c r="I1697" s="25"/>
      <c r="J1697" s="25" t="str">
        <f t="shared" si="784"/>
        <v/>
      </c>
      <c r="K1697" s="442" t="str">
        <f t="shared" si="791"/>
        <v/>
      </c>
      <c r="L1697" s="736" t="s">
        <v>2443</v>
      </c>
      <c r="M1697" s="25" t="str">
        <f t="shared" si="777"/>
        <v>R</v>
      </c>
      <c r="N1697" s="25" t="str">
        <f>IF(L1697&lt;&gt;"",VLOOKUP(L1697,Categories!$B$2:$D$41,2,FALSE),IF(F1697&lt;&gt;"","No Cat",""))</f>
        <v>Rate Base</v>
      </c>
      <c r="O1697" s="25" t="str">
        <f>IF($L1697&lt;&gt;"",VLOOKUP($L1697,Categories!$B$2:$D$41,3,FALSE),IF($F1697&lt;&gt;"","No Cat",""))</f>
        <v>Deferred Income Taxes</v>
      </c>
      <c r="P1697" s="736" t="s">
        <v>2482</v>
      </c>
      <c r="Q1697" s="25" t="str">
        <f>VLOOKUP($P1697,Allocators!$B$7:$F$19,5,FALSE)</f>
        <v>Electric</v>
      </c>
      <c r="R1697" s="737">
        <f>VLOOKUP($P1697,Allocators!$B$7:$F$19,2,FALSE)</f>
        <v>1</v>
      </c>
      <c r="S1697" s="737">
        <f>VLOOKUP($P1697,Allocators!$B$7:$F$19,3,FALSE)</f>
        <v>0</v>
      </c>
      <c r="T1697" s="737" t="str">
        <f t="shared" si="776"/>
        <v>0.0%</v>
      </c>
      <c r="U1697" s="2">
        <f t="shared" si="785"/>
        <v>-728.02029875000005</v>
      </c>
      <c r="V1697" s="2">
        <f t="shared" si="786"/>
        <v>0</v>
      </c>
      <c r="W1697" s="2">
        <f t="shared" si="787"/>
        <v>0</v>
      </c>
      <c r="X1697" s="2">
        <f t="shared" si="781"/>
        <v>-728.02029875000005</v>
      </c>
      <c r="Y1697" s="2">
        <f t="shared" si="788"/>
        <v>-735.96624999999995</v>
      </c>
      <c r="Z1697" s="2">
        <f t="shared" si="789"/>
        <v>0</v>
      </c>
      <c r="AA1697" s="2">
        <f t="shared" si="790"/>
        <v>0</v>
      </c>
      <c r="AB1697" s="2">
        <f t="shared" si="782"/>
        <v>-735.96624999999995</v>
      </c>
      <c r="AC1697" s="625">
        <v>-672.39864</v>
      </c>
      <c r="AD1697" s="625">
        <v>-672.39864</v>
      </c>
      <c r="AE1697" s="625">
        <v>-735.96624999999995</v>
      </c>
      <c r="AF1697" s="625">
        <v>-735.96624999999995</v>
      </c>
      <c r="AG1697" s="625">
        <v>-735.96624999999995</v>
      </c>
      <c r="AH1697" s="625">
        <v>-735.96624999999995</v>
      </c>
      <c r="AI1697" s="625">
        <v>-735.96624999999995</v>
      </c>
      <c r="AJ1697" s="625">
        <v>-735.96624999999995</v>
      </c>
      <c r="AK1697" s="625">
        <v>-735.96624999999995</v>
      </c>
      <c r="AL1697" s="625">
        <v>-735.96624999999995</v>
      </c>
      <c r="AM1697" s="625">
        <v>-735.96624999999995</v>
      </c>
      <c r="AN1697" s="625">
        <v>-735.96624999999995</v>
      </c>
      <c r="AO1697" s="625">
        <v>-735.96624999999995</v>
      </c>
      <c r="AP1697" s="41" t="str">
        <f t="shared" si="778"/>
        <v>Def TaxR</v>
      </c>
      <c r="AQ1697" s="41" t="str">
        <f t="shared" si="779"/>
        <v>Def TaxRR11OPEB</v>
      </c>
      <c r="AR1697" s="41" t="str">
        <f t="shared" si="780"/>
        <v>R11OPEB</v>
      </c>
    </row>
    <row r="1698" spans="1:44" s="41" customFormat="1" ht="12.75" customHeight="1">
      <c r="A1698" s="25" t="s">
        <v>1590</v>
      </c>
      <c r="B1698" s="25" t="str">
        <f t="shared" si="792"/>
        <v>Def Tax190046BT010104</v>
      </c>
      <c r="C1698" s="736">
        <v>190046</v>
      </c>
      <c r="D1698" s="735"/>
      <c r="E1698" s="41" t="s">
        <v>1817</v>
      </c>
      <c r="F1698" s="41" t="str">
        <f t="shared" si="783"/>
        <v>ADIT - EEBEN - STATE - CURRENT - ELECTRIC</v>
      </c>
      <c r="G1698" s="41" t="s">
        <v>1885</v>
      </c>
      <c r="H1698" s="736" t="s">
        <v>1819</v>
      </c>
      <c r="I1698" s="25"/>
      <c r="J1698" s="25" t="str">
        <f t="shared" si="784"/>
        <v/>
      </c>
      <c r="K1698" s="442" t="str">
        <f t="shared" si="791"/>
        <v/>
      </c>
      <c r="L1698" s="736" t="s">
        <v>2443</v>
      </c>
      <c r="M1698" s="25" t="str">
        <f t="shared" si="777"/>
        <v>R</v>
      </c>
      <c r="N1698" s="25" t="str">
        <f>IF(L1698&lt;&gt;"",VLOOKUP(L1698,Categories!$B$2:$D$41,2,FALSE),IF(F1698&lt;&gt;"","No Cat",""))</f>
        <v>Rate Base</v>
      </c>
      <c r="O1698" s="25" t="str">
        <f>IF($L1698&lt;&gt;"",VLOOKUP($L1698,Categories!$B$2:$D$41,3,FALSE),IF($F1698&lt;&gt;"","No Cat",""))</f>
        <v>Deferred Income Taxes</v>
      </c>
      <c r="P1698" s="736" t="s">
        <v>2482</v>
      </c>
      <c r="Q1698" s="25" t="str">
        <f>VLOOKUP($P1698,Allocators!$B$7:$F$19,5,FALSE)</f>
        <v>Electric</v>
      </c>
      <c r="R1698" s="737">
        <f>VLOOKUP($P1698,Allocators!$B$7:$F$19,2,FALSE)</f>
        <v>1</v>
      </c>
      <c r="S1698" s="737">
        <f>VLOOKUP($P1698,Allocators!$B$7:$F$19,3,FALSE)</f>
        <v>0</v>
      </c>
      <c r="T1698" s="737" t="str">
        <f t="shared" si="776"/>
        <v>0.0%</v>
      </c>
      <c r="U1698" s="2">
        <f t="shared" si="785"/>
        <v>-116.0678125</v>
      </c>
      <c r="V1698" s="2">
        <f t="shared" si="786"/>
        <v>0</v>
      </c>
      <c r="W1698" s="2">
        <f t="shared" si="787"/>
        <v>0</v>
      </c>
      <c r="X1698" s="2">
        <f t="shared" si="781"/>
        <v>-116.0678125</v>
      </c>
      <c r="Y1698" s="2">
        <f t="shared" si="788"/>
        <v>-21.706209999999999</v>
      </c>
      <c r="Z1698" s="2">
        <f t="shared" si="789"/>
        <v>0</v>
      </c>
      <c r="AA1698" s="2">
        <f t="shared" si="790"/>
        <v>0</v>
      </c>
      <c r="AB1698" s="2">
        <f t="shared" si="782"/>
        <v>-21.706209999999999</v>
      </c>
      <c r="AC1698" s="625">
        <v>-154.92258999999999</v>
      </c>
      <c r="AD1698" s="625">
        <v>-154.92258999999999</v>
      </c>
      <c r="AE1698" s="625">
        <v>-154.92258999999999</v>
      </c>
      <c r="AF1698" s="625">
        <v>-154.92258999999999</v>
      </c>
      <c r="AG1698" s="625">
        <v>-154.92258999999999</v>
      </c>
      <c r="AH1698" s="625">
        <v>-154.92258999999999</v>
      </c>
      <c r="AI1698" s="625">
        <v>-154.92258999999999</v>
      </c>
      <c r="AJ1698" s="625">
        <v>-154.92258999999999</v>
      </c>
      <c r="AK1698" s="625">
        <v>-154.92258999999999</v>
      </c>
      <c r="AL1698" s="625">
        <v>-21.706209999999999</v>
      </c>
      <c r="AM1698" s="625">
        <v>-21.706209999999999</v>
      </c>
      <c r="AN1698" s="625">
        <v>-21.706209999999999</v>
      </c>
      <c r="AO1698" s="625">
        <v>-21.706209999999999</v>
      </c>
      <c r="AP1698" s="41" t="str">
        <f t="shared" si="778"/>
        <v>Def TaxR</v>
      </c>
      <c r="AQ1698" s="41" t="str">
        <f t="shared" si="779"/>
        <v>Def TaxRR11Performance Plus Plan</v>
      </c>
      <c r="AR1698" s="41" t="str">
        <f t="shared" si="780"/>
        <v>R11Performance Plus Plan</v>
      </c>
    </row>
    <row r="1699" spans="1:44" s="41" customFormat="1" ht="12.75" customHeight="1">
      <c r="A1699" s="25" t="s">
        <v>1590</v>
      </c>
      <c r="B1699" s="25" t="str">
        <f t="shared" si="792"/>
        <v>Def Tax190046BT010241</v>
      </c>
      <c r="C1699" s="736">
        <v>190046</v>
      </c>
      <c r="D1699" s="735"/>
      <c r="E1699" s="41" t="s">
        <v>1813</v>
      </c>
      <c r="F1699" s="41" t="str">
        <f t="shared" si="783"/>
        <v>ADIT - EEBEN - STATE - CURRENT - ELECTRIC</v>
      </c>
      <c r="G1699" s="41" t="s">
        <v>1887</v>
      </c>
      <c r="H1699" s="736" t="s">
        <v>1815</v>
      </c>
      <c r="I1699" s="25"/>
      <c r="J1699" s="25" t="str">
        <f t="shared" si="784"/>
        <v/>
      </c>
      <c r="K1699" s="442" t="str">
        <f t="shared" si="791"/>
        <v/>
      </c>
      <c r="L1699" s="736" t="s">
        <v>2443</v>
      </c>
      <c r="M1699" s="25" t="str">
        <f t="shared" si="777"/>
        <v>R</v>
      </c>
      <c r="N1699" s="25" t="str">
        <f>IF(L1699&lt;&gt;"",VLOOKUP(L1699,Categories!$B$2:$D$41,2,FALSE),IF(F1699&lt;&gt;"","No Cat",""))</f>
        <v>Rate Base</v>
      </c>
      <c r="O1699" s="25" t="str">
        <f>IF($L1699&lt;&gt;"",VLOOKUP($L1699,Categories!$B$2:$D$41,3,FALSE),IF($F1699&lt;&gt;"","No Cat",""))</f>
        <v>Deferred Income Taxes</v>
      </c>
      <c r="P1699" s="736" t="s">
        <v>2482</v>
      </c>
      <c r="Q1699" s="25" t="str">
        <f>VLOOKUP($P1699,Allocators!$B$7:$F$19,5,FALSE)</f>
        <v>Electric</v>
      </c>
      <c r="R1699" s="737">
        <f>VLOOKUP($P1699,Allocators!$B$7:$F$19,2,FALSE)</f>
        <v>1</v>
      </c>
      <c r="S1699" s="737">
        <f>VLOOKUP($P1699,Allocators!$B$7:$F$19,3,FALSE)</f>
        <v>0</v>
      </c>
      <c r="T1699" s="737" t="str">
        <f t="shared" si="776"/>
        <v>0.0%</v>
      </c>
      <c r="U1699" s="2">
        <f t="shared" si="785"/>
        <v>-279.52796999999998</v>
      </c>
      <c r="V1699" s="2">
        <f t="shared" si="786"/>
        <v>0</v>
      </c>
      <c r="W1699" s="2">
        <f t="shared" si="787"/>
        <v>0</v>
      </c>
      <c r="X1699" s="2">
        <f t="shared" si="781"/>
        <v>-279.52796999999998</v>
      </c>
      <c r="Y1699" s="2">
        <f t="shared" si="788"/>
        <v>-273.79471999999998</v>
      </c>
      <c r="Z1699" s="2">
        <f t="shared" si="789"/>
        <v>0</v>
      </c>
      <c r="AA1699" s="2">
        <f t="shared" si="790"/>
        <v>0</v>
      </c>
      <c r="AB1699" s="2">
        <f t="shared" si="782"/>
        <v>-273.79471999999998</v>
      </c>
      <c r="AC1699" s="625">
        <v>-281.88871999999998</v>
      </c>
      <c r="AD1699" s="625">
        <v>-281.88871999999998</v>
      </c>
      <c r="AE1699" s="625">
        <v>-281.88871999999998</v>
      </c>
      <c r="AF1699" s="625">
        <v>-281.88871999999998</v>
      </c>
      <c r="AG1699" s="625">
        <v>-281.88871999999998</v>
      </c>
      <c r="AH1699" s="625">
        <v>-281.88871999999998</v>
      </c>
      <c r="AI1699" s="625">
        <v>-281.88871999999998</v>
      </c>
      <c r="AJ1699" s="625">
        <v>-281.88871999999998</v>
      </c>
      <c r="AK1699" s="625">
        <v>-281.88871999999998</v>
      </c>
      <c r="AL1699" s="625">
        <v>-273.79471999999998</v>
      </c>
      <c r="AM1699" s="625">
        <v>-273.79471999999998</v>
      </c>
      <c r="AN1699" s="625">
        <v>-273.79471999999998</v>
      </c>
      <c r="AO1699" s="625">
        <v>-273.79471999999998</v>
      </c>
      <c r="AP1699" s="41" t="str">
        <f t="shared" si="778"/>
        <v>Def TaxR</v>
      </c>
      <c r="AQ1699" s="41" t="str">
        <f t="shared" si="779"/>
        <v>Def TaxRR11Vacation pay</v>
      </c>
      <c r="AR1699" s="41" t="str">
        <f t="shared" si="780"/>
        <v>R11Vacation pay</v>
      </c>
    </row>
    <row r="1700" spans="1:44" s="41" customFormat="1" ht="12.75" customHeight="1">
      <c r="A1700" s="442" t="s">
        <v>1590</v>
      </c>
      <c r="B1700" s="442" t="str">
        <f t="shared" si="792"/>
        <v>Def Tax190046BT010356</v>
      </c>
      <c r="C1700" s="736">
        <v>190046</v>
      </c>
      <c r="D1700" s="735"/>
      <c r="E1700" s="626" t="s">
        <v>1660</v>
      </c>
      <c r="F1700" s="626" t="str">
        <f t="shared" si="783"/>
        <v>ADIT - EEBEN - STATE - CURRENT - ELECTRIC</v>
      </c>
      <c r="G1700" s="626" t="s">
        <v>1661</v>
      </c>
      <c r="H1700" s="736" t="s">
        <v>1661</v>
      </c>
      <c r="I1700" s="442"/>
      <c r="J1700" s="442" t="str">
        <f t="shared" si="784"/>
        <v/>
      </c>
      <c r="K1700" s="442" t="str">
        <f t="shared" si="791"/>
        <v/>
      </c>
      <c r="L1700" s="736" t="s">
        <v>2421</v>
      </c>
      <c r="M1700" s="442" t="str">
        <f t="shared" si="777"/>
        <v>N</v>
      </c>
      <c r="N1700" s="442" t="str">
        <f>IF(L1700&lt;&gt;"",VLOOKUP(L1700,Categories!$B$2:$D$41,2,FALSE),IF(F1700&lt;&gt;"","No Cat",""))</f>
        <v>NRBASE</v>
      </c>
      <c r="O1700" s="442" t="str">
        <f>IF($L1700&lt;&gt;"",VLOOKUP($L1700,Categories!$B$2:$D$41,3,FALSE),IF($F1700&lt;&gt;"","No Cat",""))</f>
        <v>Direct Assign Items Not in RB</v>
      </c>
      <c r="P1700" s="736" t="s">
        <v>2468</v>
      </c>
      <c r="Q1700" s="442" t="str">
        <f>VLOOKUP($P1700,Allocators!$B$7:$F$19,5,FALSE)</f>
        <v>Not in Rate Base</v>
      </c>
      <c r="R1700" s="737">
        <f>VLOOKUP($P1700,Allocators!$B$7:$F$19,2,FALSE)</f>
        <v>0</v>
      </c>
      <c r="S1700" s="737">
        <f>VLOOKUP($P1700,Allocators!$B$7:$F$19,3,FALSE)</f>
        <v>0</v>
      </c>
      <c r="T1700" s="737">
        <f t="shared" si="776"/>
        <v>1</v>
      </c>
      <c r="U1700" s="2" t="str">
        <f t="shared" si="785"/>
        <v/>
      </c>
      <c r="V1700" s="2" t="str">
        <f t="shared" si="786"/>
        <v/>
      </c>
      <c r="W1700" s="2" t="str">
        <f t="shared" si="787"/>
        <v/>
      </c>
      <c r="X1700" s="2">
        <f t="shared" si="781"/>
        <v>0</v>
      </c>
      <c r="Y1700" s="2" t="str">
        <f t="shared" si="788"/>
        <v/>
      </c>
      <c r="Z1700" s="2" t="str">
        <f t="shared" si="789"/>
        <v/>
      </c>
      <c r="AA1700" s="2" t="str">
        <f t="shared" si="790"/>
        <v/>
      </c>
      <c r="AB1700" s="2">
        <f t="shared" si="782"/>
        <v>0</v>
      </c>
      <c r="AC1700" s="625">
        <v>0</v>
      </c>
      <c r="AD1700" s="625">
        <v>0</v>
      </c>
      <c r="AE1700" s="625">
        <v>0</v>
      </c>
      <c r="AF1700" s="625">
        <v>0</v>
      </c>
      <c r="AG1700" s="625">
        <v>0</v>
      </c>
      <c r="AH1700" s="625">
        <v>0</v>
      </c>
      <c r="AI1700" s="625">
        <v>0</v>
      </c>
      <c r="AJ1700" s="625">
        <v>0</v>
      </c>
      <c r="AK1700" s="625">
        <v>0</v>
      </c>
      <c r="AL1700" s="625">
        <v>0</v>
      </c>
      <c r="AM1700" s="625">
        <v>0</v>
      </c>
      <c r="AN1700" s="625">
        <v>0</v>
      </c>
      <c r="AO1700" s="625">
        <v>0</v>
      </c>
      <c r="AP1700" s="41" t="str">
        <f t="shared" si="778"/>
        <v>Def TaxN</v>
      </c>
      <c r="AQ1700" s="41" t="str">
        <f t="shared" si="779"/>
        <v>Def TaxNN2Long Term Executive Incentive Plan</v>
      </c>
      <c r="AR1700" s="41" t="str">
        <f t="shared" si="780"/>
        <v>N2Long Term Executive Incentive Plan</v>
      </c>
    </row>
    <row r="1701" spans="1:44" s="41" customFormat="1" ht="12.75" customHeight="1">
      <c r="A1701" s="25" t="s">
        <v>1590</v>
      </c>
      <c r="B1701" s="25" t="str">
        <f t="shared" si="792"/>
        <v>Def Tax190047BT010090</v>
      </c>
      <c r="C1701" s="736">
        <v>190047</v>
      </c>
      <c r="D1701" s="735"/>
      <c r="E1701" s="41" t="s">
        <v>1728</v>
      </c>
      <c r="F1701" s="41" t="str">
        <f t="shared" si="783"/>
        <v>ADIT - EEBEN - STATE - CURRENT - GAS</v>
      </c>
      <c r="G1701" s="41" t="s">
        <v>1837</v>
      </c>
      <c r="H1701" s="736" t="s">
        <v>927</v>
      </c>
      <c r="I1701" s="25"/>
      <c r="J1701" s="25" t="str">
        <f t="shared" si="784"/>
        <v/>
      </c>
      <c r="K1701" s="442" t="str">
        <f t="shared" si="791"/>
        <v/>
      </c>
      <c r="L1701" s="736" t="s">
        <v>2443</v>
      </c>
      <c r="M1701" s="25" t="str">
        <f t="shared" si="777"/>
        <v>R</v>
      </c>
      <c r="N1701" s="25" t="str">
        <f>IF(L1701&lt;&gt;"",VLOOKUP(L1701,Categories!$B$2:$D$41,2,FALSE),IF(F1701&lt;&gt;"","No Cat",""))</f>
        <v>Rate Base</v>
      </c>
      <c r="O1701" s="25" t="str">
        <f>IF($L1701&lt;&gt;"",VLOOKUP($L1701,Categories!$B$2:$D$41,3,FALSE),IF($F1701&lt;&gt;"","No Cat",""))</f>
        <v>Deferred Income Taxes</v>
      </c>
      <c r="P1701" s="736" t="s">
        <v>2483</v>
      </c>
      <c r="Q1701" s="25" t="str">
        <f>VLOOKUP($P1701,Allocators!$B$7:$F$19,5,FALSE)</f>
        <v>Gas</v>
      </c>
      <c r="R1701" s="737">
        <f>VLOOKUP($P1701,Allocators!$B$7:$F$19,2,FALSE)</f>
        <v>0</v>
      </c>
      <c r="S1701" s="737">
        <f>VLOOKUP($P1701,Allocators!$B$7:$F$19,3,FALSE)</f>
        <v>1</v>
      </c>
      <c r="T1701" s="737" t="str">
        <f t="shared" si="776"/>
        <v>0.0%</v>
      </c>
      <c r="U1701" s="2">
        <f t="shared" si="785"/>
        <v>0</v>
      </c>
      <c r="V1701" s="2">
        <f t="shared" si="786"/>
        <v>20.805910000000001</v>
      </c>
      <c r="W1701" s="2">
        <f t="shared" si="787"/>
        <v>0</v>
      </c>
      <c r="X1701" s="2">
        <f t="shared" si="781"/>
        <v>20.805910000000001</v>
      </c>
      <c r="Y1701" s="2">
        <f t="shared" si="788"/>
        <v>0</v>
      </c>
      <c r="Z1701" s="2">
        <f t="shared" si="789"/>
        <v>17.235990000000001</v>
      </c>
      <c r="AA1701" s="2">
        <f t="shared" si="790"/>
        <v>0</v>
      </c>
      <c r="AB1701" s="2">
        <f t="shared" si="782"/>
        <v>17.235990000000001</v>
      </c>
      <c r="AC1701" s="625">
        <v>45.795349999999999</v>
      </c>
      <c r="AD1701" s="625">
        <v>45.795349999999999</v>
      </c>
      <c r="AE1701" s="625">
        <v>17.235990000000001</v>
      </c>
      <c r="AF1701" s="625">
        <v>17.235990000000001</v>
      </c>
      <c r="AG1701" s="625">
        <v>17.235990000000001</v>
      </c>
      <c r="AH1701" s="625">
        <v>17.235990000000001</v>
      </c>
      <c r="AI1701" s="625">
        <v>17.235990000000001</v>
      </c>
      <c r="AJ1701" s="625">
        <v>17.235990000000001</v>
      </c>
      <c r="AK1701" s="625">
        <v>17.235990000000001</v>
      </c>
      <c r="AL1701" s="625">
        <v>17.235990000000001</v>
      </c>
      <c r="AM1701" s="625">
        <v>17.235990000000001</v>
      </c>
      <c r="AN1701" s="625">
        <v>17.235990000000001</v>
      </c>
      <c r="AO1701" s="625">
        <v>17.235990000000001</v>
      </c>
      <c r="AP1701" s="41" t="str">
        <f t="shared" si="778"/>
        <v>Def TaxR</v>
      </c>
      <c r="AQ1701" s="41" t="str">
        <f t="shared" si="779"/>
        <v>Def TaxRR11OPEB</v>
      </c>
      <c r="AR1701" s="41" t="str">
        <f t="shared" si="780"/>
        <v>R11OPEB</v>
      </c>
    </row>
    <row r="1702" spans="1:44" s="41" customFormat="1" ht="12.75" customHeight="1">
      <c r="A1702" s="25" t="s">
        <v>1590</v>
      </c>
      <c r="B1702" s="25" t="str">
        <f t="shared" si="792"/>
        <v>Def Tax190047BT010104</v>
      </c>
      <c r="C1702" s="736">
        <v>190047</v>
      </c>
      <c r="D1702" s="735"/>
      <c r="E1702" s="41" t="s">
        <v>1817</v>
      </c>
      <c r="F1702" s="41" t="str">
        <f t="shared" si="783"/>
        <v>ADIT - EEBEN - STATE - CURRENT - GAS</v>
      </c>
      <c r="G1702" s="41" t="s">
        <v>1885</v>
      </c>
      <c r="H1702" s="736" t="s">
        <v>1819</v>
      </c>
      <c r="I1702" s="25"/>
      <c r="J1702" s="25" t="str">
        <f t="shared" si="784"/>
        <v/>
      </c>
      <c r="K1702" s="442" t="str">
        <f t="shared" si="791"/>
        <v/>
      </c>
      <c r="L1702" s="736" t="s">
        <v>2443</v>
      </c>
      <c r="M1702" s="25" t="str">
        <f t="shared" si="777"/>
        <v>R</v>
      </c>
      <c r="N1702" s="25" t="str">
        <f>IF(L1702&lt;&gt;"",VLOOKUP(L1702,Categories!$B$2:$D$41,2,FALSE),IF(F1702&lt;&gt;"","No Cat",""))</f>
        <v>Rate Base</v>
      </c>
      <c r="O1702" s="25" t="str">
        <f>IF($L1702&lt;&gt;"",VLOOKUP($L1702,Categories!$B$2:$D$41,3,FALSE),IF($F1702&lt;&gt;"","No Cat",""))</f>
        <v>Deferred Income Taxes</v>
      </c>
      <c r="P1702" s="736" t="s">
        <v>2483</v>
      </c>
      <c r="Q1702" s="25" t="str">
        <f>VLOOKUP($P1702,Allocators!$B$7:$F$19,5,FALSE)</f>
        <v>Gas</v>
      </c>
      <c r="R1702" s="737">
        <f>VLOOKUP($P1702,Allocators!$B$7:$F$19,2,FALSE)</f>
        <v>0</v>
      </c>
      <c r="S1702" s="737">
        <f>VLOOKUP($P1702,Allocators!$B$7:$F$19,3,FALSE)</f>
        <v>1</v>
      </c>
      <c r="T1702" s="737" t="str">
        <f t="shared" si="776"/>
        <v>0.0%</v>
      </c>
      <c r="U1702" s="2">
        <f t="shared" si="785"/>
        <v>0</v>
      </c>
      <c r="V1702" s="2">
        <f t="shared" si="786"/>
        <v>-36.654154583333302</v>
      </c>
      <c r="W1702" s="2">
        <f t="shared" si="787"/>
        <v>0</v>
      </c>
      <c r="X1702" s="2">
        <f t="shared" si="781"/>
        <v>-36.654154583333302</v>
      </c>
      <c r="Y1702" s="2">
        <f t="shared" si="788"/>
        <v>0</v>
      </c>
      <c r="Z1702" s="2">
        <f t="shared" si="789"/>
        <v>-6.8557399999999999</v>
      </c>
      <c r="AA1702" s="2">
        <f t="shared" si="790"/>
        <v>0</v>
      </c>
      <c r="AB1702" s="2">
        <f t="shared" si="782"/>
        <v>-6.8557399999999999</v>
      </c>
      <c r="AC1702" s="625">
        <v>-48.92409</v>
      </c>
      <c r="AD1702" s="625">
        <v>-48.92409</v>
      </c>
      <c r="AE1702" s="625">
        <v>-48.92409</v>
      </c>
      <c r="AF1702" s="625">
        <v>-48.92409</v>
      </c>
      <c r="AG1702" s="625">
        <v>-48.92409</v>
      </c>
      <c r="AH1702" s="625">
        <v>-48.92409</v>
      </c>
      <c r="AI1702" s="625">
        <v>-48.92409</v>
      </c>
      <c r="AJ1702" s="625">
        <v>-48.92409</v>
      </c>
      <c r="AK1702" s="625">
        <v>-48.92409</v>
      </c>
      <c r="AL1702" s="625">
        <v>-6.8557399999999999</v>
      </c>
      <c r="AM1702" s="625">
        <v>-6.8557399999999999</v>
      </c>
      <c r="AN1702" s="625">
        <v>-6.8557399999999999</v>
      </c>
      <c r="AO1702" s="625">
        <v>-6.8557399999999999</v>
      </c>
      <c r="AP1702" s="41" t="str">
        <f t="shared" si="778"/>
        <v>Def TaxR</v>
      </c>
      <c r="AQ1702" s="41" t="str">
        <f t="shared" si="779"/>
        <v>Def TaxRR11Performance Plus Plan</v>
      </c>
      <c r="AR1702" s="41" t="str">
        <f t="shared" si="780"/>
        <v>R11Performance Plus Plan</v>
      </c>
    </row>
    <row r="1703" spans="1:44" s="41" customFormat="1" ht="12.75" customHeight="1">
      <c r="A1703" s="25" t="s">
        <v>1590</v>
      </c>
      <c r="B1703" s="25" t="str">
        <f t="shared" si="792"/>
        <v>Def Tax190047BT010241</v>
      </c>
      <c r="C1703" s="736">
        <v>190047</v>
      </c>
      <c r="D1703" s="735"/>
      <c r="E1703" s="41" t="s">
        <v>1813</v>
      </c>
      <c r="F1703" s="41" t="str">
        <f t="shared" si="783"/>
        <v>ADIT - EEBEN - STATE - CURRENT - GAS</v>
      </c>
      <c r="G1703" s="41" t="s">
        <v>1887</v>
      </c>
      <c r="H1703" s="736" t="s">
        <v>1815</v>
      </c>
      <c r="I1703" s="25"/>
      <c r="J1703" s="25" t="str">
        <f t="shared" si="784"/>
        <v/>
      </c>
      <c r="K1703" s="442" t="str">
        <f t="shared" si="791"/>
        <v/>
      </c>
      <c r="L1703" s="736" t="s">
        <v>2443</v>
      </c>
      <c r="M1703" s="25" t="str">
        <f t="shared" si="777"/>
        <v>R</v>
      </c>
      <c r="N1703" s="25" t="str">
        <f>IF(L1703&lt;&gt;"",VLOOKUP(L1703,Categories!$B$2:$D$41,2,FALSE),IF(F1703&lt;&gt;"","No Cat",""))</f>
        <v>Rate Base</v>
      </c>
      <c r="O1703" s="25" t="str">
        <f>IF($L1703&lt;&gt;"",VLOOKUP($L1703,Categories!$B$2:$D$41,3,FALSE),IF($F1703&lt;&gt;"","No Cat",""))</f>
        <v>Deferred Income Taxes</v>
      </c>
      <c r="P1703" s="736" t="s">
        <v>2483</v>
      </c>
      <c r="Q1703" s="25" t="str">
        <f>VLOOKUP($P1703,Allocators!$B$7:$F$19,5,FALSE)</f>
        <v>Gas</v>
      </c>
      <c r="R1703" s="737">
        <f>VLOOKUP($P1703,Allocators!$B$7:$F$19,2,FALSE)</f>
        <v>0</v>
      </c>
      <c r="S1703" s="737">
        <f>VLOOKUP($P1703,Allocators!$B$7:$F$19,3,FALSE)</f>
        <v>1</v>
      </c>
      <c r="T1703" s="737" t="str">
        <f t="shared" ref="T1703:T1779" si="793">IF(P1703="N",1,"0.0%")</f>
        <v>0.0%</v>
      </c>
      <c r="U1703" s="2">
        <f t="shared" si="785"/>
        <v>0</v>
      </c>
      <c r="V1703" s="2">
        <f t="shared" si="786"/>
        <v>-18.85426</v>
      </c>
      <c r="W1703" s="2">
        <f t="shared" si="787"/>
        <v>0</v>
      </c>
      <c r="X1703" s="2">
        <f t="shared" si="781"/>
        <v>-18.85426</v>
      </c>
      <c r="Y1703" s="2">
        <f t="shared" si="788"/>
        <v>0</v>
      </c>
      <c r="Z1703" s="2">
        <f t="shared" si="789"/>
        <v>-17.043759999999999</v>
      </c>
      <c r="AA1703" s="2">
        <f t="shared" si="790"/>
        <v>0</v>
      </c>
      <c r="AB1703" s="2">
        <f t="shared" si="782"/>
        <v>-17.043759999999999</v>
      </c>
      <c r="AC1703" s="625">
        <v>-19.59976</v>
      </c>
      <c r="AD1703" s="625">
        <v>-19.59976</v>
      </c>
      <c r="AE1703" s="625">
        <v>-19.59976</v>
      </c>
      <c r="AF1703" s="625">
        <v>-19.59976</v>
      </c>
      <c r="AG1703" s="625">
        <v>-19.59976</v>
      </c>
      <c r="AH1703" s="625">
        <v>-19.59976</v>
      </c>
      <c r="AI1703" s="625">
        <v>-19.59976</v>
      </c>
      <c r="AJ1703" s="625">
        <v>-19.59976</v>
      </c>
      <c r="AK1703" s="625">
        <v>-19.59976</v>
      </c>
      <c r="AL1703" s="625">
        <v>-17.043759999999999</v>
      </c>
      <c r="AM1703" s="625">
        <v>-17.043759999999999</v>
      </c>
      <c r="AN1703" s="625">
        <v>-17.043759999999999</v>
      </c>
      <c r="AO1703" s="625">
        <v>-17.043759999999999</v>
      </c>
      <c r="AP1703" s="41" t="str">
        <f t="shared" si="778"/>
        <v>Def TaxR</v>
      </c>
      <c r="AQ1703" s="41" t="str">
        <f t="shared" si="779"/>
        <v>Def TaxRR11Vacation pay</v>
      </c>
      <c r="AR1703" s="41" t="str">
        <f t="shared" si="780"/>
        <v>R11Vacation pay</v>
      </c>
    </row>
    <row r="1704" spans="1:44" s="41" customFormat="1" ht="12.75" customHeight="1">
      <c r="A1704" s="442" t="s">
        <v>1590</v>
      </c>
      <c r="B1704" s="442" t="str">
        <f t="shared" si="792"/>
        <v>Def Tax190047BT010356</v>
      </c>
      <c r="C1704" s="736">
        <v>190047</v>
      </c>
      <c r="D1704" s="735"/>
      <c r="E1704" s="626" t="s">
        <v>1660</v>
      </c>
      <c r="F1704" s="626" t="str">
        <f t="shared" si="783"/>
        <v>ADIT - EEBEN - STATE - CURRENT - GAS</v>
      </c>
      <c r="G1704" s="626" t="s">
        <v>1661</v>
      </c>
      <c r="H1704" s="736" t="s">
        <v>1661</v>
      </c>
      <c r="I1704" s="442"/>
      <c r="J1704" s="442" t="str">
        <f t="shared" si="784"/>
        <v/>
      </c>
      <c r="K1704" s="442" t="str">
        <f t="shared" si="791"/>
        <v/>
      </c>
      <c r="L1704" s="736" t="s">
        <v>2421</v>
      </c>
      <c r="M1704" s="442" t="str">
        <f t="shared" si="777"/>
        <v>N</v>
      </c>
      <c r="N1704" s="442" t="str">
        <f>IF(L1704&lt;&gt;"",VLOOKUP(L1704,Categories!$B$2:$D$41,2,FALSE),IF(F1704&lt;&gt;"","No Cat",""))</f>
        <v>NRBASE</v>
      </c>
      <c r="O1704" s="442" t="str">
        <f>IF($L1704&lt;&gt;"",VLOOKUP($L1704,Categories!$B$2:$D$41,3,FALSE),IF($F1704&lt;&gt;"","No Cat",""))</f>
        <v>Direct Assign Items Not in RB</v>
      </c>
      <c r="P1704" s="736" t="s">
        <v>2468</v>
      </c>
      <c r="Q1704" s="442" t="str">
        <f>VLOOKUP($P1704,Allocators!$B$7:$F$19,5,FALSE)</f>
        <v>Not in Rate Base</v>
      </c>
      <c r="R1704" s="737">
        <f>VLOOKUP($P1704,Allocators!$B$7:$F$19,2,FALSE)</f>
        <v>0</v>
      </c>
      <c r="S1704" s="737">
        <f>VLOOKUP($P1704,Allocators!$B$7:$F$19,3,FALSE)</f>
        <v>0</v>
      </c>
      <c r="T1704" s="737">
        <f t="shared" si="793"/>
        <v>1</v>
      </c>
      <c r="U1704" s="2" t="str">
        <f t="shared" si="785"/>
        <v/>
      </c>
      <c r="V1704" s="2" t="str">
        <f t="shared" si="786"/>
        <v/>
      </c>
      <c r="W1704" s="2" t="str">
        <f t="shared" si="787"/>
        <v/>
      </c>
      <c r="X1704" s="2">
        <f t="shared" si="781"/>
        <v>0</v>
      </c>
      <c r="Y1704" s="2" t="str">
        <f t="shared" si="788"/>
        <v/>
      </c>
      <c r="Z1704" s="2" t="str">
        <f t="shared" si="789"/>
        <v/>
      </c>
      <c r="AA1704" s="2" t="str">
        <f t="shared" si="790"/>
        <v/>
      </c>
      <c r="AB1704" s="2">
        <f t="shared" si="782"/>
        <v>0</v>
      </c>
      <c r="AC1704" s="625">
        <v>0</v>
      </c>
      <c r="AD1704" s="625">
        <v>0</v>
      </c>
      <c r="AE1704" s="625">
        <v>0</v>
      </c>
      <c r="AF1704" s="625">
        <v>0</v>
      </c>
      <c r="AG1704" s="625">
        <v>0</v>
      </c>
      <c r="AH1704" s="625">
        <v>0</v>
      </c>
      <c r="AI1704" s="625">
        <v>0</v>
      </c>
      <c r="AJ1704" s="625">
        <v>0</v>
      </c>
      <c r="AK1704" s="625">
        <v>0</v>
      </c>
      <c r="AL1704" s="625">
        <v>0</v>
      </c>
      <c r="AM1704" s="625">
        <v>0</v>
      </c>
      <c r="AN1704" s="625">
        <v>0</v>
      </c>
      <c r="AO1704" s="625">
        <v>0</v>
      </c>
      <c r="AP1704" s="41" t="str">
        <f t="shared" si="778"/>
        <v>Def TaxN</v>
      </c>
      <c r="AQ1704" s="41" t="str">
        <f t="shared" si="779"/>
        <v>Def TaxNN2Long Term Executive Incentive Plan</v>
      </c>
      <c r="AR1704" s="41" t="str">
        <f t="shared" si="780"/>
        <v>N2Long Term Executive Incentive Plan</v>
      </c>
    </row>
    <row r="1705" spans="1:44" s="41" customFormat="1" ht="12.75" customHeight="1">
      <c r="A1705" s="442" t="s">
        <v>1590</v>
      </c>
      <c r="B1705" s="442" t="str">
        <f t="shared" si="792"/>
        <v>Def Tax190161BT010109</v>
      </c>
      <c r="C1705" s="736">
        <v>190161</v>
      </c>
      <c r="D1705" s="735"/>
      <c r="E1705" s="626" t="s">
        <v>1934</v>
      </c>
      <c r="F1705" s="626" t="str">
        <f t="shared" si="783"/>
        <v>ACCUM DEFERRED INC TAXES-FAS 109-FEDERAL-ELECTRIC</v>
      </c>
      <c r="G1705" s="626"/>
      <c r="H1705" s="736" t="s">
        <v>8</v>
      </c>
      <c r="I1705" s="442"/>
      <c r="J1705" s="442"/>
      <c r="K1705" s="442" t="str">
        <f t="shared" si="791"/>
        <v>Y</v>
      </c>
      <c r="L1705" s="736" t="s">
        <v>2423</v>
      </c>
      <c r="M1705" s="442" t="str">
        <f t="shared" ref="M1705:M1706" si="794">LEFT(L1705,1)</f>
        <v>N</v>
      </c>
      <c r="N1705" s="442" t="str">
        <f>IF(L1705&lt;&gt;"",VLOOKUP(L1705,Categories!$B$2:$D$41,2,FALSE),IF(F1705&lt;&gt;"","No Cat",""))</f>
        <v>NRBASE</v>
      </c>
      <c r="O1705" s="442" t="str">
        <f>IF($L1705&lt;&gt;"",VLOOKUP($L1705,Categories!$B$2:$D$41,3,FALSE),IF($F1705&lt;&gt;"","No Cat",""))</f>
        <v>SFAS-109   (offsetting)</v>
      </c>
      <c r="P1705" s="736" t="s">
        <v>2468</v>
      </c>
      <c r="Q1705" s="442" t="str">
        <f>VLOOKUP($P1705,Allocators!$B$7:$F$19,5,FALSE)</f>
        <v>Not in Rate Base</v>
      </c>
      <c r="R1705" s="737">
        <f>VLOOKUP($P1705,Allocators!$B$7:$F$19,2,FALSE)</f>
        <v>0</v>
      </c>
      <c r="S1705" s="737">
        <f>VLOOKUP($P1705,Allocators!$B$7:$F$19,3,FALSE)</f>
        <v>0</v>
      </c>
      <c r="T1705" s="737">
        <f t="shared" si="793"/>
        <v>1</v>
      </c>
      <c r="U1705" s="2">
        <f t="shared" si="785"/>
        <v>0</v>
      </c>
      <c r="V1705" s="2">
        <f t="shared" si="786"/>
        <v>0</v>
      </c>
      <c r="W1705" s="2">
        <f t="shared" si="787"/>
        <v>998.67090583333299</v>
      </c>
      <c r="X1705" s="2">
        <f t="shared" si="781"/>
        <v>998.67090583333299</v>
      </c>
      <c r="Y1705" s="2" t="str">
        <f t="shared" si="788"/>
        <v/>
      </c>
      <c r="Z1705" s="2" t="str">
        <f t="shared" si="789"/>
        <v/>
      </c>
      <c r="AA1705" s="2" t="str">
        <f t="shared" si="790"/>
        <v/>
      </c>
      <c r="AB1705" s="2">
        <f t="shared" si="782"/>
        <v>0</v>
      </c>
      <c r="AC1705" s="625">
        <v>1042.0913800000001</v>
      </c>
      <c r="AD1705" s="625">
        <v>1042.0913800000001</v>
      </c>
      <c r="AE1705" s="625">
        <v>1042.0913800000001</v>
      </c>
      <c r="AF1705" s="625">
        <v>1042.0913800000001</v>
      </c>
      <c r="AG1705" s="625">
        <v>1042.0913800000001</v>
      </c>
      <c r="AH1705" s="625">
        <v>1042.0913800000001</v>
      </c>
      <c r="AI1705" s="625">
        <v>1042.0913800000001</v>
      </c>
      <c r="AJ1705" s="625">
        <v>1042.0913800000001</v>
      </c>
      <c r="AK1705" s="625">
        <v>1042.0913800000001</v>
      </c>
      <c r="AL1705" s="625">
        <v>1042.0913800000001</v>
      </c>
      <c r="AM1705" s="625">
        <v>1042.0913800000001</v>
      </c>
      <c r="AN1705" s="625">
        <v>1042.0913800000001</v>
      </c>
      <c r="AO1705" s="625">
        <v>0</v>
      </c>
      <c r="AP1705" s="41" t="str">
        <f t="shared" si="778"/>
        <v>Def TaxN</v>
      </c>
      <c r="AQ1705" s="41" t="str">
        <f t="shared" si="779"/>
        <v>Def TaxNN3SFAS 109</v>
      </c>
      <c r="AR1705" s="41" t="str">
        <f t="shared" si="780"/>
        <v>N3SFAS 109</v>
      </c>
    </row>
    <row r="1706" spans="1:44" s="41" customFormat="1" ht="12.75" customHeight="1">
      <c r="A1706" s="442" t="s">
        <v>1590</v>
      </c>
      <c r="B1706" s="442" t="str">
        <f t="shared" si="792"/>
        <v>Def Tax190162BT010109</v>
      </c>
      <c r="C1706" s="736">
        <v>190162</v>
      </c>
      <c r="D1706" s="735"/>
      <c r="E1706" s="626" t="s">
        <v>1934</v>
      </c>
      <c r="F1706" s="626" t="str">
        <f t="shared" si="783"/>
        <v>ACCUM DEFERRED INC TAXES-FAS 109-FEDERAL-GAS</v>
      </c>
      <c r="G1706" s="626"/>
      <c r="H1706" s="736" t="s">
        <v>8</v>
      </c>
      <c r="I1706" s="442"/>
      <c r="J1706" s="442"/>
      <c r="K1706" s="442" t="str">
        <f t="shared" si="791"/>
        <v>Y</v>
      </c>
      <c r="L1706" s="736" t="s">
        <v>2423</v>
      </c>
      <c r="M1706" s="442" t="str">
        <f t="shared" si="794"/>
        <v>N</v>
      </c>
      <c r="N1706" s="442" t="str">
        <f>IF(L1706&lt;&gt;"",VLOOKUP(L1706,Categories!$B$2:$D$41,2,FALSE),IF(F1706&lt;&gt;"","No Cat",""))</f>
        <v>NRBASE</v>
      </c>
      <c r="O1706" s="442" t="str">
        <f>IF($L1706&lt;&gt;"",VLOOKUP($L1706,Categories!$B$2:$D$41,3,FALSE),IF($F1706&lt;&gt;"","No Cat",""))</f>
        <v>SFAS-109   (offsetting)</v>
      </c>
      <c r="P1706" s="736" t="s">
        <v>2468</v>
      </c>
      <c r="Q1706" s="442" t="str">
        <f>VLOOKUP($P1706,Allocators!$B$7:$F$19,5,FALSE)</f>
        <v>Not in Rate Base</v>
      </c>
      <c r="R1706" s="737">
        <f>VLOOKUP($P1706,Allocators!$B$7:$F$19,2,FALSE)</f>
        <v>0</v>
      </c>
      <c r="S1706" s="737">
        <f>VLOOKUP($P1706,Allocators!$B$7:$F$19,3,FALSE)</f>
        <v>0</v>
      </c>
      <c r="T1706" s="737">
        <f t="shared" si="793"/>
        <v>1</v>
      </c>
      <c r="U1706" s="2">
        <f t="shared" si="785"/>
        <v>0</v>
      </c>
      <c r="V1706" s="2">
        <f t="shared" si="786"/>
        <v>0</v>
      </c>
      <c r="W1706" s="2">
        <f t="shared" si="787"/>
        <v>485.00195833333299</v>
      </c>
      <c r="X1706" s="2">
        <f t="shared" si="781"/>
        <v>485.00195833333299</v>
      </c>
      <c r="Y1706" s="2" t="str">
        <f t="shared" si="788"/>
        <v/>
      </c>
      <c r="Z1706" s="2" t="str">
        <f t="shared" si="789"/>
        <v/>
      </c>
      <c r="AA1706" s="2" t="str">
        <f t="shared" si="790"/>
        <v/>
      </c>
      <c r="AB1706" s="2">
        <f t="shared" si="782"/>
        <v>0</v>
      </c>
      <c r="AC1706" s="625">
        <v>506.089</v>
      </c>
      <c r="AD1706" s="625">
        <v>506.089</v>
      </c>
      <c r="AE1706" s="625">
        <v>506.089</v>
      </c>
      <c r="AF1706" s="625">
        <v>506.089</v>
      </c>
      <c r="AG1706" s="625">
        <v>506.089</v>
      </c>
      <c r="AH1706" s="625">
        <v>506.089</v>
      </c>
      <c r="AI1706" s="625">
        <v>506.089</v>
      </c>
      <c r="AJ1706" s="625">
        <v>506.089</v>
      </c>
      <c r="AK1706" s="625">
        <v>506.089</v>
      </c>
      <c r="AL1706" s="625">
        <v>506.089</v>
      </c>
      <c r="AM1706" s="625">
        <v>506.089</v>
      </c>
      <c r="AN1706" s="625">
        <v>506.089</v>
      </c>
      <c r="AO1706" s="625">
        <v>0</v>
      </c>
      <c r="AP1706" s="41" t="str">
        <f t="shared" si="778"/>
        <v>Def TaxN</v>
      </c>
      <c r="AQ1706" s="41" t="str">
        <f t="shared" si="779"/>
        <v>Def TaxNN3SFAS 109</v>
      </c>
      <c r="AR1706" s="41" t="str">
        <f t="shared" si="780"/>
        <v>N3SFAS 109</v>
      </c>
    </row>
    <row r="1707" spans="1:44" s="41" customFormat="1" ht="12.75" customHeight="1">
      <c r="A1707" s="25" t="s">
        <v>1590</v>
      </c>
      <c r="B1707" s="25" t="str">
        <f t="shared" si="792"/>
        <v>Def Tax190501283-049BE030427</v>
      </c>
      <c r="C1707" s="736">
        <v>190501</v>
      </c>
      <c r="D1707" s="735" t="s">
        <v>1888</v>
      </c>
      <c r="E1707" s="41" t="s">
        <v>1331</v>
      </c>
      <c r="F1707" s="41" t="str">
        <f t="shared" si="783"/>
        <v>ADIT-REG-FEDERAL-ELECTRIC</v>
      </c>
      <c r="G1707" s="41" t="s">
        <v>1889</v>
      </c>
      <c r="H1707" s="736" t="s">
        <v>1890</v>
      </c>
      <c r="I1707" s="25"/>
      <c r="J1707" s="25" t="str">
        <f t="shared" si="784"/>
        <v/>
      </c>
      <c r="K1707" s="442" t="str">
        <f t="shared" si="791"/>
        <v/>
      </c>
      <c r="L1707" s="736" t="s">
        <v>2443</v>
      </c>
      <c r="M1707" s="25" t="str">
        <f t="shared" si="777"/>
        <v>R</v>
      </c>
      <c r="N1707" s="25" t="str">
        <f>IF(L1707&lt;&gt;"",VLOOKUP(L1707,Categories!$B$2:$D$41,2,FALSE),IF(F1707&lt;&gt;"","No Cat",""))</f>
        <v>Rate Base</v>
      </c>
      <c r="O1707" s="25" t="str">
        <f>IF($L1707&lt;&gt;"",VLOOKUP($L1707,Categories!$B$2:$D$41,3,FALSE),IF($F1707&lt;&gt;"","No Cat",""))</f>
        <v>Deferred Income Taxes</v>
      </c>
      <c r="P1707" s="736" t="s">
        <v>2482</v>
      </c>
      <c r="Q1707" s="25" t="str">
        <f>VLOOKUP($P1707,Allocators!$B$7:$F$19,5,FALSE)</f>
        <v>Electric</v>
      </c>
      <c r="R1707" s="737">
        <f>VLOOKUP($P1707,Allocators!$B$7:$F$19,2,FALSE)</f>
        <v>1</v>
      </c>
      <c r="S1707" s="737">
        <f>VLOOKUP($P1707,Allocators!$B$7:$F$19,3,FALSE)</f>
        <v>0</v>
      </c>
      <c r="T1707" s="737" t="str">
        <f t="shared" si="793"/>
        <v>0.0%</v>
      </c>
      <c r="U1707" s="2">
        <f t="shared" si="785"/>
        <v>4531.0083699999996</v>
      </c>
      <c r="V1707" s="2">
        <f t="shared" si="786"/>
        <v>0</v>
      </c>
      <c r="W1707" s="2">
        <f t="shared" si="787"/>
        <v>0</v>
      </c>
      <c r="X1707" s="2">
        <f t="shared" si="781"/>
        <v>4531.0083699999996</v>
      </c>
      <c r="Y1707" s="2">
        <f t="shared" si="788"/>
        <v>4531.0083699999996</v>
      </c>
      <c r="Z1707" s="2">
        <f t="shared" si="789"/>
        <v>0</v>
      </c>
      <c r="AA1707" s="2">
        <f t="shared" si="790"/>
        <v>0</v>
      </c>
      <c r="AB1707" s="2">
        <f t="shared" si="782"/>
        <v>4531.0083700000005</v>
      </c>
      <c r="AC1707" s="625">
        <v>4531.0083700000005</v>
      </c>
      <c r="AD1707" s="625">
        <v>4531.0083700000005</v>
      </c>
      <c r="AE1707" s="625">
        <v>4531.0083700000005</v>
      </c>
      <c r="AF1707" s="625">
        <v>4531.0083700000005</v>
      </c>
      <c r="AG1707" s="625">
        <v>4531.0083700000005</v>
      </c>
      <c r="AH1707" s="625">
        <v>4531.0083700000005</v>
      </c>
      <c r="AI1707" s="625">
        <v>4531.0083700000005</v>
      </c>
      <c r="AJ1707" s="625">
        <v>4531.0083700000005</v>
      </c>
      <c r="AK1707" s="625">
        <v>4531.0083700000005</v>
      </c>
      <c r="AL1707" s="625">
        <v>4531.0083700000005</v>
      </c>
      <c r="AM1707" s="625">
        <v>4531.0083700000005</v>
      </c>
      <c r="AN1707" s="625">
        <v>4531.0083700000005</v>
      </c>
      <c r="AO1707" s="625">
        <v>4531.0083700000005</v>
      </c>
      <c r="AP1707" s="41" t="str">
        <f t="shared" si="778"/>
        <v>Def TaxR</v>
      </c>
      <c r="AQ1707" s="41" t="str">
        <f t="shared" si="779"/>
        <v>Def TaxRR11Beebee</v>
      </c>
      <c r="AR1707" s="41" t="str">
        <f t="shared" si="780"/>
        <v>R11Beebee</v>
      </c>
    </row>
    <row r="1708" spans="1:44" s="41" customFormat="1" ht="12.75" customHeight="1">
      <c r="A1708" s="25" t="s">
        <v>1590</v>
      </c>
      <c r="B1708" s="25" t="str">
        <f t="shared" si="792"/>
        <v>Def Tax190501283-071</v>
      </c>
      <c r="C1708" s="736">
        <v>190501</v>
      </c>
      <c r="D1708" s="735" t="s">
        <v>1891</v>
      </c>
      <c r="F1708" s="41" t="str">
        <f t="shared" si="783"/>
        <v>ADIT-REG-FEDERAL-ELECTRIC</v>
      </c>
      <c r="G1708" s="41" t="s">
        <v>1892</v>
      </c>
      <c r="H1708" s="736" t="s">
        <v>1893</v>
      </c>
      <c r="I1708" s="25"/>
      <c r="J1708" s="25" t="str">
        <f t="shared" si="784"/>
        <v/>
      </c>
      <c r="K1708" s="442" t="str">
        <f t="shared" si="791"/>
        <v/>
      </c>
      <c r="L1708" s="736" t="s">
        <v>2443</v>
      </c>
      <c r="M1708" s="25" t="str">
        <f t="shared" si="777"/>
        <v>R</v>
      </c>
      <c r="N1708" s="25" t="str">
        <f>IF(L1708&lt;&gt;"",VLOOKUP(L1708,Categories!$B$2:$D$41,2,FALSE),IF(F1708&lt;&gt;"","No Cat",""))</f>
        <v>Rate Base</v>
      </c>
      <c r="O1708" s="25" t="str">
        <f>IF($L1708&lt;&gt;"",VLOOKUP($L1708,Categories!$B$2:$D$41,3,FALSE),IF($F1708&lt;&gt;"","No Cat",""))</f>
        <v>Deferred Income Taxes</v>
      </c>
      <c r="P1708" s="736" t="s">
        <v>2482</v>
      </c>
      <c r="Q1708" s="25" t="str">
        <f>VLOOKUP($P1708,Allocators!$B$7:$F$19,5,FALSE)</f>
        <v>Electric</v>
      </c>
      <c r="R1708" s="737">
        <f>VLOOKUP($P1708,Allocators!$B$7:$F$19,2,FALSE)</f>
        <v>1</v>
      </c>
      <c r="S1708" s="737">
        <f>VLOOKUP($P1708,Allocators!$B$7:$F$19,3,FALSE)</f>
        <v>0</v>
      </c>
      <c r="T1708" s="737" t="str">
        <f t="shared" si="793"/>
        <v>0.0%</v>
      </c>
      <c r="U1708" s="2" t="str">
        <f t="shared" si="785"/>
        <v/>
      </c>
      <c r="V1708" s="2" t="str">
        <f t="shared" si="786"/>
        <v/>
      </c>
      <c r="W1708" s="2" t="str">
        <f t="shared" si="787"/>
        <v/>
      </c>
      <c r="X1708" s="2">
        <f t="shared" si="781"/>
        <v>0</v>
      </c>
      <c r="Y1708" s="2" t="str">
        <f t="shared" si="788"/>
        <v/>
      </c>
      <c r="Z1708" s="2" t="str">
        <f t="shared" si="789"/>
        <v/>
      </c>
      <c r="AA1708" s="2" t="str">
        <f t="shared" si="790"/>
        <v/>
      </c>
      <c r="AB1708" s="2">
        <f t="shared" si="782"/>
        <v>0</v>
      </c>
      <c r="AC1708" s="625">
        <v>0</v>
      </c>
      <c r="AD1708" s="625">
        <v>0</v>
      </c>
      <c r="AE1708" s="625">
        <v>0</v>
      </c>
      <c r="AF1708" s="625">
        <v>0</v>
      </c>
      <c r="AG1708" s="625">
        <v>0</v>
      </c>
      <c r="AH1708" s="625">
        <v>0</v>
      </c>
      <c r="AI1708" s="625">
        <v>0</v>
      </c>
      <c r="AJ1708" s="625">
        <v>0</v>
      </c>
      <c r="AK1708" s="625">
        <v>0</v>
      </c>
      <c r="AL1708" s="625">
        <v>0</v>
      </c>
      <c r="AM1708" s="625">
        <v>0</v>
      </c>
      <c r="AN1708" s="625">
        <v>0</v>
      </c>
      <c r="AO1708" s="625">
        <v>0</v>
      </c>
      <c r="AP1708" s="41" t="str">
        <f t="shared" si="778"/>
        <v>Def TaxR</v>
      </c>
      <c r="AQ1708" s="41" t="str">
        <f t="shared" si="779"/>
        <v>Def TaxRR112003 Blackout</v>
      </c>
      <c r="AR1708" s="41" t="str">
        <f t="shared" si="780"/>
        <v>R112003 Blackout</v>
      </c>
    </row>
    <row r="1709" spans="1:44" s="41" customFormat="1" ht="12.75" customHeight="1">
      <c r="A1709" s="25" t="s">
        <v>1590</v>
      </c>
      <c r="B1709" s="25" t="str">
        <f t="shared" si="792"/>
        <v>Def Tax190501283-071/
283-071-JPBTHUNGDT</v>
      </c>
      <c r="C1709" s="736">
        <v>190501</v>
      </c>
      <c r="D1709" s="735" t="s">
        <v>1894</v>
      </c>
      <c r="E1709" s="41" t="s">
        <v>1624</v>
      </c>
      <c r="F1709" s="41" t="str">
        <f t="shared" si="783"/>
        <v>ADIT-REG-FEDERAL-ELECTRIC</v>
      </c>
      <c r="G1709" s="41" t="s">
        <v>1895</v>
      </c>
      <c r="H1709" s="736" t="s">
        <v>1893</v>
      </c>
      <c r="I1709" s="25"/>
      <c r="J1709" s="25" t="str">
        <f t="shared" si="784"/>
        <v/>
      </c>
      <c r="K1709" s="442" t="str">
        <f t="shared" si="791"/>
        <v/>
      </c>
      <c r="L1709" s="736" t="s">
        <v>2443</v>
      </c>
      <c r="M1709" s="25" t="str">
        <f t="shared" si="777"/>
        <v>R</v>
      </c>
      <c r="N1709" s="25" t="str">
        <f>IF(L1709&lt;&gt;"",VLOOKUP(L1709,Categories!$B$2:$D$41,2,FALSE),IF(F1709&lt;&gt;"","No Cat",""))</f>
        <v>Rate Base</v>
      </c>
      <c r="O1709" s="25" t="str">
        <f>IF($L1709&lt;&gt;"",VLOOKUP($L1709,Categories!$B$2:$D$41,3,FALSE),IF($F1709&lt;&gt;"","No Cat",""))</f>
        <v>Deferred Income Taxes</v>
      </c>
      <c r="P1709" s="736" t="s">
        <v>2482</v>
      </c>
      <c r="Q1709" s="25" t="str">
        <f>VLOOKUP($P1709,Allocators!$B$7:$F$19,5,FALSE)</f>
        <v>Electric</v>
      </c>
      <c r="R1709" s="737">
        <f>VLOOKUP($P1709,Allocators!$B$7:$F$19,2,FALSE)</f>
        <v>1</v>
      </c>
      <c r="S1709" s="737">
        <f>VLOOKUP($P1709,Allocators!$B$7:$F$19,3,FALSE)</f>
        <v>0</v>
      </c>
      <c r="T1709" s="737" t="str">
        <f t="shared" si="793"/>
        <v>0.0%</v>
      </c>
      <c r="U1709" s="2" t="str">
        <f t="shared" si="785"/>
        <v/>
      </c>
      <c r="V1709" s="2" t="str">
        <f t="shared" si="786"/>
        <v/>
      </c>
      <c r="W1709" s="2" t="str">
        <f t="shared" si="787"/>
        <v/>
      </c>
      <c r="X1709" s="2">
        <f t="shared" si="781"/>
        <v>0</v>
      </c>
      <c r="Y1709" s="2" t="str">
        <f t="shared" si="788"/>
        <v/>
      </c>
      <c r="Z1709" s="2" t="str">
        <f t="shared" si="789"/>
        <v/>
      </c>
      <c r="AA1709" s="2" t="str">
        <f t="shared" si="790"/>
        <v/>
      </c>
      <c r="AB1709" s="2">
        <f t="shared" si="782"/>
        <v>0</v>
      </c>
      <c r="AC1709" s="625">
        <v>0</v>
      </c>
      <c r="AD1709" s="625">
        <v>0</v>
      </c>
      <c r="AE1709" s="625">
        <v>0</v>
      </c>
      <c r="AF1709" s="625">
        <v>0</v>
      </c>
      <c r="AG1709" s="625">
        <v>0</v>
      </c>
      <c r="AH1709" s="625">
        <v>0</v>
      </c>
      <c r="AI1709" s="625">
        <v>0</v>
      </c>
      <c r="AJ1709" s="625">
        <v>0</v>
      </c>
      <c r="AK1709" s="625">
        <v>0</v>
      </c>
      <c r="AL1709" s="625">
        <v>0</v>
      </c>
      <c r="AM1709" s="625">
        <v>0</v>
      </c>
      <c r="AN1709" s="625">
        <v>0</v>
      </c>
      <c r="AO1709" s="625">
        <v>0</v>
      </c>
      <c r="AP1709" s="41" t="str">
        <f t="shared" si="778"/>
        <v>Def TaxR</v>
      </c>
      <c r="AQ1709" s="41" t="str">
        <f t="shared" si="779"/>
        <v>Def TaxRR112003 Blackout</v>
      </c>
      <c r="AR1709" s="41" t="str">
        <f t="shared" si="780"/>
        <v>R112003 Blackout</v>
      </c>
    </row>
    <row r="1710" spans="1:44" s="41" customFormat="1" ht="12.75" customHeight="1">
      <c r="A1710" s="442" t="s">
        <v>1590</v>
      </c>
      <c r="B1710" s="442" t="str">
        <f t="shared" si="792"/>
        <v>Def Tax190501BE030579</v>
      </c>
      <c r="C1710" s="736">
        <v>190501</v>
      </c>
      <c r="D1710" s="735"/>
      <c r="E1710" s="626" t="s">
        <v>765</v>
      </c>
      <c r="F1710" s="626" t="str">
        <f t="shared" si="783"/>
        <v>ADIT-REG-FEDERAL-ELECTRIC</v>
      </c>
      <c r="G1710" s="626" t="s">
        <v>1896</v>
      </c>
      <c r="H1710" s="736" t="s">
        <v>1218</v>
      </c>
      <c r="I1710" s="442"/>
      <c r="J1710" s="442" t="str">
        <f t="shared" si="784"/>
        <v/>
      </c>
      <c r="K1710" s="442" t="str">
        <f t="shared" si="791"/>
        <v/>
      </c>
      <c r="L1710" s="736" t="s">
        <v>2421</v>
      </c>
      <c r="M1710" s="442" t="str">
        <f t="shared" si="777"/>
        <v>N</v>
      </c>
      <c r="N1710" s="442" t="str">
        <f>IF(L1710&lt;&gt;"",VLOOKUP(L1710,Categories!$B$2:$D$41,2,FALSE),IF(F1710&lt;&gt;"","No Cat",""))</f>
        <v>NRBASE</v>
      </c>
      <c r="O1710" s="442" t="str">
        <f>IF($L1710&lt;&gt;"",VLOOKUP($L1710,Categories!$B$2:$D$41,3,FALSE),IF($F1710&lt;&gt;"","No Cat",""))</f>
        <v>Direct Assign Items Not in RB</v>
      </c>
      <c r="P1710" s="736" t="s">
        <v>2468</v>
      </c>
      <c r="Q1710" s="442" t="str">
        <f>VLOOKUP($P1710,Allocators!$B$7:$F$19,5,FALSE)</f>
        <v>Not in Rate Base</v>
      </c>
      <c r="R1710" s="737">
        <f>VLOOKUP($P1710,Allocators!$B$7:$F$19,2,FALSE)</f>
        <v>0</v>
      </c>
      <c r="S1710" s="737">
        <f>VLOOKUP($P1710,Allocators!$B$7:$F$19,3,FALSE)</f>
        <v>0</v>
      </c>
      <c r="T1710" s="737">
        <f t="shared" si="793"/>
        <v>1</v>
      </c>
      <c r="U1710" s="2">
        <f t="shared" si="785"/>
        <v>0</v>
      </c>
      <c r="V1710" s="2">
        <f t="shared" si="786"/>
        <v>0</v>
      </c>
      <c r="W1710" s="2">
        <f t="shared" si="787"/>
        <v>3251.5</v>
      </c>
      <c r="X1710" s="2">
        <f t="shared" si="781"/>
        <v>3251.5</v>
      </c>
      <c r="Y1710" s="2">
        <f t="shared" si="788"/>
        <v>0</v>
      </c>
      <c r="Z1710" s="2">
        <f t="shared" si="789"/>
        <v>0</v>
      </c>
      <c r="AA1710" s="2">
        <f t="shared" si="790"/>
        <v>3251.5</v>
      </c>
      <c r="AB1710" s="2">
        <f t="shared" si="782"/>
        <v>3251.5</v>
      </c>
      <c r="AC1710" s="625">
        <v>3251.5</v>
      </c>
      <c r="AD1710" s="625">
        <v>3251.5</v>
      </c>
      <c r="AE1710" s="625">
        <v>3251.5</v>
      </c>
      <c r="AF1710" s="625">
        <v>3251.5</v>
      </c>
      <c r="AG1710" s="625">
        <v>3251.5</v>
      </c>
      <c r="AH1710" s="625">
        <v>3251.5</v>
      </c>
      <c r="AI1710" s="625">
        <v>3251.5</v>
      </c>
      <c r="AJ1710" s="625">
        <v>3251.5</v>
      </c>
      <c r="AK1710" s="625">
        <v>3251.5</v>
      </c>
      <c r="AL1710" s="625">
        <v>3251.5</v>
      </c>
      <c r="AM1710" s="625">
        <v>3251.5</v>
      </c>
      <c r="AN1710" s="625">
        <v>3251.5</v>
      </c>
      <c r="AO1710" s="625">
        <v>3251.5</v>
      </c>
      <c r="AP1710" s="41" t="str">
        <f t="shared" si="778"/>
        <v>Def TaxN</v>
      </c>
      <c r="AQ1710" s="41" t="str">
        <f t="shared" si="779"/>
        <v>Def TaxNN2CapEx Customer Credit</v>
      </c>
      <c r="AR1710" s="41" t="str">
        <f t="shared" si="780"/>
        <v>N2CapEx Customer Credit</v>
      </c>
    </row>
    <row r="1711" spans="1:44" s="41" customFormat="1" ht="12.75" customHeight="1">
      <c r="A1711" s="442" t="s">
        <v>1590</v>
      </c>
      <c r="B1711" s="442" t="str">
        <f t="shared" si="792"/>
        <v>Def Tax190501Clean AirBT010037</v>
      </c>
      <c r="C1711" s="736">
        <v>190501</v>
      </c>
      <c r="D1711" s="735" t="s">
        <v>1897</v>
      </c>
      <c r="E1711" s="626" t="s">
        <v>1782</v>
      </c>
      <c r="F1711" s="626" t="str">
        <f t="shared" si="783"/>
        <v>ADIT-REG-FEDERAL-ELECTRIC</v>
      </c>
      <c r="G1711" s="626" t="s">
        <v>1898</v>
      </c>
      <c r="H1711" s="736" t="s">
        <v>1784</v>
      </c>
      <c r="I1711" s="442"/>
      <c r="J1711" s="442" t="str">
        <f t="shared" si="784"/>
        <v/>
      </c>
      <c r="K1711" s="442" t="str">
        <f t="shared" si="791"/>
        <v/>
      </c>
      <c r="L1711" s="736" t="s">
        <v>2421</v>
      </c>
      <c r="M1711" s="442" t="str">
        <f t="shared" si="777"/>
        <v>N</v>
      </c>
      <c r="N1711" s="442" t="str">
        <f>IF(L1711&lt;&gt;"",VLOOKUP(L1711,Categories!$B$2:$D$41,2,FALSE),IF(F1711&lt;&gt;"","No Cat",""))</f>
        <v>NRBASE</v>
      </c>
      <c r="O1711" s="442" t="str">
        <f>IF($L1711&lt;&gt;"",VLOOKUP($L1711,Categories!$B$2:$D$41,3,FALSE),IF($F1711&lt;&gt;"","No Cat",""))</f>
        <v>Direct Assign Items Not in RB</v>
      </c>
      <c r="P1711" s="736" t="s">
        <v>2468</v>
      </c>
      <c r="Q1711" s="442" t="str">
        <f>VLOOKUP($P1711,Allocators!$B$7:$F$19,5,FALSE)</f>
        <v>Not in Rate Base</v>
      </c>
      <c r="R1711" s="737">
        <f>VLOOKUP($P1711,Allocators!$B$7:$F$19,2,FALSE)</f>
        <v>0</v>
      </c>
      <c r="S1711" s="737">
        <f>VLOOKUP($P1711,Allocators!$B$7:$F$19,3,FALSE)</f>
        <v>0</v>
      </c>
      <c r="T1711" s="737">
        <f t="shared" si="793"/>
        <v>1</v>
      </c>
      <c r="U1711" s="2">
        <f t="shared" si="785"/>
        <v>0</v>
      </c>
      <c r="V1711" s="2">
        <f t="shared" si="786"/>
        <v>0</v>
      </c>
      <c r="W1711" s="2">
        <f t="shared" si="787"/>
        <v>262.04269499999998</v>
      </c>
      <c r="X1711" s="2">
        <f t="shared" si="781"/>
        <v>262.04269499999998</v>
      </c>
      <c r="Y1711" s="2">
        <f t="shared" si="788"/>
        <v>0</v>
      </c>
      <c r="Z1711" s="2">
        <f t="shared" si="789"/>
        <v>0</v>
      </c>
      <c r="AA1711" s="2">
        <f t="shared" si="790"/>
        <v>262.05041999999997</v>
      </c>
      <c r="AB1711" s="2">
        <f t="shared" si="782"/>
        <v>262.05042000000003</v>
      </c>
      <c r="AC1711" s="625">
        <v>262.02982000000003</v>
      </c>
      <c r="AD1711" s="625">
        <v>262.02982000000003</v>
      </c>
      <c r="AE1711" s="625">
        <v>262.02982000000003</v>
      </c>
      <c r="AF1711" s="625">
        <v>262.02982000000003</v>
      </c>
      <c r="AG1711" s="625">
        <v>262.02982000000003</v>
      </c>
      <c r="AH1711" s="625">
        <v>262.05042000000003</v>
      </c>
      <c r="AI1711" s="625">
        <v>262.05042000000003</v>
      </c>
      <c r="AJ1711" s="625">
        <v>262.05042000000003</v>
      </c>
      <c r="AK1711" s="625">
        <v>262.05042000000003</v>
      </c>
      <c r="AL1711" s="625">
        <v>262.05042000000003</v>
      </c>
      <c r="AM1711" s="625">
        <v>262.05042000000003</v>
      </c>
      <c r="AN1711" s="625">
        <v>262.05042000000003</v>
      </c>
      <c r="AO1711" s="625">
        <v>262.05042000000003</v>
      </c>
      <c r="AP1711" s="41" t="str">
        <f t="shared" si="778"/>
        <v>Def TaxN</v>
      </c>
      <c r="AQ1711" s="41" t="str">
        <f t="shared" si="779"/>
        <v>Def TaxNN2Clean Air Act Allowance</v>
      </c>
      <c r="AR1711" s="41" t="str">
        <f t="shared" si="780"/>
        <v>N2Clean Air Act Allowance</v>
      </c>
    </row>
    <row r="1712" spans="1:44" s="41" customFormat="1" ht="12.75" customHeight="1">
      <c r="A1712" s="25" t="s">
        <v>1590</v>
      </c>
      <c r="B1712" s="25" t="str">
        <f t="shared" si="792"/>
        <v>Def Tax190501190-080BTHUNGDT</v>
      </c>
      <c r="C1712" s="736">
        <v>190501</v>
      </c>
      <c r="D1712" s="735" t="s">
        <v>1899</v>
      </c>
      <c r="E1712" s="41" t="s">
        <v>1624</v>
      </c>
      <c r="F1712" s="41" t="str">
        <f t="shared" si="783"/>
        <v>ADIT-REG-FEDERAL-ELECTRIC</v>
      </c>
      <c r="G1712" s="41" t="s">
        <v>1900</v>
      </c>
      <c r="H1712" s="736" t="s">
        <v>1901</v>
      </c>
      <c r="I1712" s="25"/>
      <c r="J1712" s="25" t="str">
        <f t="shared" si="784"/>
        <v/>
      </c>
      <c r="K1712" s="442" t="str">
        <f t="shared" si="791"/>
        <v/>
      </c>
      <c r="L1712" s="736" t="s">
        <v>2443</v>
      </c>
      <c r="M1712" s="25" t="str">
        <f t="shared" si="777"/>
        <v>R</v>
      </c>
      <c r="N1712" s="25" t="str">
        <f>IF(L1712&lt;&gt;"",VLOOKUP(L1712,Categories!$B$2:$D$41,2,FALSE),IF(F1712&lt;&gt;"","No Cat",""))</f>
        <v>Rate Base</v>
      </c>
      <c r="O1712" s="25" t="str">
        <f>IF($L1712&lt;&gt;"",VLOOKUP($L1712,Categories!$B$2:$D$41,3,FALSE),IF($F1712&lt;&gt;"","No Cat",""))</f>
        <v>Deferred Income Taxes</v>
      </c>
      <c r="P1712" s="736" t="s">
        <v>2482</v>
      </c>
      <c r="Q1712" s="25" t="str">
        <f>VLOOKUP($P1712,Allocators!$B$7:$F$19,5,FALSE)</f>
        <v>Electric</v>
      </c>
      <c r="R1712" s="737">
        <f>VLOOKUP($P1712,Allocators!$B$7:$F$19,2,FALSE)</f>
        <v>1</v>
      </c>
      <c r="S1712" s="737">
        <f>VLOOKUP($P1712,Allocators!$B$7:$F$19,3,FALSE)</f>
        <v>0</v>
      </c>
      <c r="T1712" s="737" t="str">
        <f t="shared" si="793"/>
        <v>0.0%</v>
      </c>
      <c r="U1712" s="2" t="str">
        <f t="shared" si="785"/>
        <v/>
      </c>
      <c r="V1712" s="2" t="str">
        <f t="shared" si="786"/>
        <v/>
      </c>
      <c r="W1712" s="2" t="str">
        <f t="shared" si="787"/>
        <v/>
      </c>
      <c r="X1712" s="2">
        <f t="shared" si="781"/>
        <v>0</v>
      </c>
      <c r="Y1712" s="2" t="str">
        <f t="shared" si="788"/>
        <v/>
      </c>
      <c r="Z1712" s="2" t="str">
        <f t="shared" si="789"/>
        <v/>
      </c>
      <c r="AA1712" s="2" t="str">
        <f t="shared" si="790"/>
        <v/>
      </c>
      <c r="AB1712" s="2">
        <f t="shared" si="782"/>
        <v>0</v>
      </c>
      <c r="AC1712" s="625">
        <v>0</v>
      </c>
      <c r="AD1712" s="625">
        <v>0</v>
      </c>
      <c r="AE1712" s="625">
        <v>0</v>
      </c>
      <c r="AF1712" s="625">
        <v>0</v>
      </c>
      <c r="AG1712" s="625">
        <v>0</v>
      </c>
      <c r="AH1712" s="625">
        <v>0</v>
      </c>
      <c r="AI1712" s="625">
        <v>0</v>
      </c>
      <c r="AJ1712" s="625">
        <v>0</v>
      </c>
      <c r="AK1712" s="625">
        <v>0</v>
      </c>
      <c r="AL1712" s="625">
        <v>0</v>
      </c>
      <c r="AM1712" s="625">
        <v>0</v>
      </c>
      <c r="AN1712" s="625">
        <v>0</v>
      </c>
      <c r="AO1712" s="625">
        <v>0</v>
      </c>
      <c r="AP1712" s="41" t="str">
        <f t="shared" si="778"/>
        <v>Def TaxR</v>
      </c>
      <c r="AQ1712" s="41" t="str">
        <f t="shared" si="779"/>
        <v>Def TaxRR11COB II Deferral</v>
      </c>
      <c r="AR1712" s="41" t="str">
        <f t="shared" si="780"/>
        <v>R11COB II Deferral</v>
      </c>
    </row>
    <row r="1713" spans="1:44" s="41" customFormat="1" ht="12.75" customHeight="1">
      <c r="A1713" s="442" t="s">
        <v>1590</v>
      </c>
      <c r="B1713" s="442" t="str">
        <f t="shared" si="792"/>
        <v>Def Tax190501Econ DevelopBT010069</v>
      </c>
      <c r="C1713" s="736">
        <v>190501</v>
      </c>
      <c r="D1713" s="735" t="s">
        <v>1902</v>
      </c>
      <c r="E1713" s="626" t="s">
        <v>1903</v>
      </c>
      <c r="F1713" s="626" t="str">
        <f t="shared" si="783"/>
        <v>ADIT-REG-FEDERAL-ELECTRIC</v>
      </c>
      <c r="G1713" s="626" t="s">
        <v>1904</v>
      </c>
      <c r="H1713" s="736" t="s">
        <v>1309</v>
      </c>
      <c r="I1713" s="442"/>
      <c r="J1713" s="442" t="str">
        <f t="shared" si="784"/>
        <v/>
      </c>
      <c r="K1713" s="442" t="str">
        <f t="shared" si="791"/>
        <v/>
      </c>
      <c r="L1713" s="736" t="s">
        <v>2421</v>
      </c>
      <c r="M1713" s="442" t="str">
        <f t="shared" si="777"/>
        <v>N</v>
      </c>
      <c r="N1713" s="442" t="str">
        <f>IF(L1713&lt;&gt;"",VLOOKUP(L1713,Categories!$B$2:$D$41,2,FALSE),IF(F1713&lt;&gt;"","No Cat",""))</f>
        <v>NRBASE</v>
      </c>
      <c r="O1713" s="442" t="str">
        <f>IF($L1713&lt;&gt;"",VLOOKUP($L1713,Categories!$B$2:$D$41,3,FALSE),IF($F1713&lt;&gt;"","No Cat",""))</f>
        <v>Direct Assign Items Not in RB</v>
      </c>
      <c r="P1713" s="736" t="s">
        <v>2468</v>
      </c>
      <c r="Q1713" s="442" t="str">
        <f>VLOOKUP($P1713,Allocators!$B$7:$F$19,5,FALSE)</f>
        <v>Not in Rate Base</v>
      </c>
      <c r="R1713" s="737">
        <f>VLOOKUP($P1713,Allocators!$B$7:$F$19,2,FALSE)</f>
        <v>0</v>
      </c>
      <c r="S1713" s="737">
        <f>VLOOKUP($P1713,Allocators!$B$7:$F$19,3,FALSE)</f>
        <v>0</v>
      </c>
      <c r="T1713" s="737">
        <f t="shared" si="793"/>
        <v>1</v>
      </c>
      <c r="U1713" s="2">
        <f t="shared" si="785"/>
        <v>0</v>
      </c>
      <c r="V1713" s="2">
        <f t="shared" si="786"/>
        <v>0</v>
      </c>
      <c r="W1713" s="2">
        <f t="shared" si="787"/>
        <v>4662.5129754166701</v>
      </c>
      <c r="X1713" s="2">
        <f t="shared" si="781"/>
        <v>4662.5129754166701</v>
      </c>
      <c r="Y1713" s="2">
        <f t="shared" si="788"/>
        <v>0</v>
      </c>
      <c r="Z1713" s="2">
        <f t="shared" si="789"/>
        <v>0</v>
      </c>
      <c r="AA1713" s="2">
        <f t="shared" si="790"/>
        <v>5086.6902200000004</v>
      </c>
      <c r="AB1713" s="2">
        <f t="shared" si="782"/>
        <v>5086.6902199999995</v>
      </c>
      <c r="AC1713" s="625">
        <v>4188.8835099999997</v>
      </c>
      <c r="AD1713" s="625">
        <v>4281.5694999999996</v>
      </c>
      <c r="AE1713" s="625">
        <v>4342.9946100000006</v>
      </c>
      <c r="AF1713" s="625">
        <v>4460.6710700000003</v>
      </c>
      <c r="AG1713" s="625">
        <v>4476.6401999999998</v>
      </c>
      <c r="AH1713" s="625">
        <v>4613.7395500000002</v>
      </c>
      <c r="AI1713" s="625">
        <v>4588.2767300000005</v>
      </c>
      <c r="AJ1713" s="625">
        <v>4723.2098599999999</v>
      </c>
      <c r="AK1713" s="625">
        <v>4861.7204499999998</v>
      </c>
      <c r="AL1713" s="625">
        <v>4932.0328200000004</v>
      </c>
      <c r="AM1713" s="625">
        <v>5068.1167000000005</v>
      </c>
      <c r="AN1713" s="625">
        <v>4963.3973499999993</v>
      </c>
      <c r="AO1713" s="625">
        <v>5086.6902199999995</v>
      </c>
      <c r="AP1713" s="41" t="str">
        <f t="shared" si="778"/>
        <v>Def TaxN</v>
      </c>
      <c r="AQ1713" s="41" t="str">
        <f t="shared" si="779"/>
        <v>Def TaxNN2Economic Development</v>
      </c>
      <c r="AR1713" s="41" t="str">
        <f t="shared" si="780"/>
        <v>N2Economic Development</v>
      </c>
    </row>
    <row r="1714" spans="1:44" s="41" customFormat="1" ht="12.75" customHeight="1">
      <c r="A1714" s="25" t="s">
        <v>1590</v>
      </c>
      <c r="B1714" s="25" t="str">
        <f t="shared" si="792"/>
        <v>Def Tax190501190-096-JPBT010074</v>
      </c>
      <c r="C1714" s="736">
        <v>190501</v>
      </c>
      <c r="D1714" s="735" t="s">
        <v>1905</v>
      </c>
      <c r="E1714" s="41" t="s">
        <v>1906</v>
      </c>
      <c r="F1714" s="41" t="str">
        <f t="shared" si="783"/>
        <v>ADIT-REG-FEDERAL-ELECTRIC</v>
      </c>
      <c r="G1714" s="41" t="s">
        <v>1907</v>
      </c>
      <c r="H1714" s="736" t="s">
        <v>1134</v>
      </c>
      <c r="I1714" s="25"/>
      <c r="J1714" s="25" t="str">
        <f t="shared" si="784"/>
        <v/>
      </c>
      <c r="K1714" s="442" t="str">
        <f t="shared" si="791"/>
        <v/>
      </c>
      <c r="L1714" s="736" t="s">
        <v>2421</v>
      </c>
      <c r="M1714" s="25" t="str">
        <f t="shared" si="777"/>
        <v>N</v>
      </c>
      <c r="N1714" s="25" t="str">
        <f>IF(L1714&lt;&gt;"",VLOOKUP(L1714,Categories!$B$2:$D$41,2,FALSE),IF(F1714&lt;&gt;"","No Cat",""))</f>
        <v>NRBASE</v>
      </c>
      <c r="O1714" s="25" t="str">
        <f>IF($L1714&lt;&gt;"",VLOOKUP($L1714,Categories!$B$2:$D$41,3,FALSE),IF($F1714&lt;&gt;"","No Cat",""))</f>
        <v>Direct Assign Items Not in RB</v>
      </c>
      <c r="P1714" s="736" t="s">
        <v>2468</v>
      </c>
      <c r="Q1714" s="25" t="str">
        <f>VLOOKUP($P1714,Allocators!$B$7:$F$19,5,FALSE)</f>
        <v>Not in Rate Base</v>
      </c>
      <c r="R1714" s="737">
        <f>VLOOKUP($P1714,Allocators!$B$7:$F$19,2,FALSE)</f>
        <v>0</v>
      </c>
      <c r="S1714" s="737">
        <f>VLOOKUP($P1714,Allocators!$B$7:$F$19,3,FALSE)</f>
        <v>0</v>
      </c>
      <c r="T1714" s="737">
        <f t="shared" si="793"/>
        <v>1</v>
      </c>
      <c r="U1714" s="2">
        <f t="shared" si="785"/>
        <v>0</v>
      </c>
      <c r="V1714" s="2">
        <f t="shared" si="786"/>
        <v>0</v>
      </c>
      <c r="W1714" s="2">
        <f t="shared" si="787"/>
        <v>1300.5999999999999</v>
      </c>
      <c r="X1714" s="2">
        <f t="shared" si="781"/>
        <v>1300.5999999999999</v>
      </c>
      <c r="Y1714" s="2">
        <f t="shared" si="788"/>
        <v>0</v>
      </c>
      <c r="Z1714" s="2">
        <f t="shared" si="789"/>
        <v>0</v>
      </c>
      <c r="AA1714" s="2">
        <f t="shared" si="790"/>
        <v>1300.5999999999999</v>
      </c>
      <c r="AB1714" s="2">
        <f t="shared" si="782"/>
        <v>1300.5999999999999</v>
      </c>
      <c r="AC1714" s="625">
        <v>1300.5999999999999</v>
      </c>
      <c r="AD1714" s="625">
        <v>1300.5999999999999</v>
      </c>
      <c r="AE1714" s="625">
        <v>1300.5999999999999</v>
      </c>
      <c r="AF1714" s="625">
        <v>1300.5999999999999</v>
      </c>
      <c r="AG1714" s="625">
        <v>1300.5999999999999</v>
      </c>
      <c r="AH1714" s="625">
        <v>1300.5999999999999</v>
      </c>
      <c r="AI1714" s="625">
        <v>1300.5999999999999</v>
      </c>
      <c r="AJ1714" s="625">
        <v>1300.5999999999999</v>
      </c>
      <c r="AK1714" s="625">
        <v>1300.5999999999999</v>
      </c>
      <c r="AL1714" s="625">
        <v>1300.5999999999999</v>
      </c>
      <c r="AM1714" s="625">
        <v>1300.5999999999999</v>
      </c>
      <c r="AN1714" s="625">
        <v>1300.5999999999999</v>
      </c>
      <c r="AO1714" s="625">
        <v>1300.5999999999999</v>
      </c>
      <c r="AP1714" s="41" t="str">
        <f t="shared" si="778"/>
        <v>Def TaxN</v>
      </c>
      <c r="AQ1714" s="41" t="str">
        <f t="shared" si="779"/>
        <v>Def TaxNN2Environmental</v>
      </c>
      <c r="AR1714" s="41" t="str">
        <f t="shared" si="780"/>
        <v>N2Environmental</v>
      </c>
    </row>
    <row r="1715" spans="1:44" s="41" customFormat="1" ht="12.75" customHeight="1">
      <c r="A1715" s="442" t="s">
        <v>1590</v>
      </c>
      <c r="B1715" s="442" t="str">
        <f t="shared" si="792"/>
        <v>Def Tax190501ExcessDIT-OffsetBT010079</v>
      </c>
      <c r="C1715" s="736">
        <v>190501</v>
      </c>
      <c r="D1715" s="735" t="s">
        <v>1908</v>
      </c>
      <c r="E1715" s="626" t="s">
        <v>1909</v>
      </c>
      <c r="F1715" s="626" t="str">
        <f t="shared" si="783"/>
        <v>ADIT-REG-FEDERAL-ELECTRIC</v>
      </c>
      <c r="G1715" s="626" t="s">
        <v>1910</v>
      </c>
      <c r="H1715" s="736">
        <v>0</v>
      </c>
      <c r="I1715" s="442"/>
      <c r="J1715" s="442" t="str">
        <f t="shared" si="784"/>
        <v/>
      </c>
      <c r="K1715" s="442" t="str">
        <f t="shared" si="791"/>
        <v/>
      </c>
      <c r="L1715" s="736" t="s">
        <v>2421</v>
      </c>
      <c r="M1715" s="442" t="str">
        <f t="shared" si="777"/>
        <v>N</v>
      </c>
      <c r="N1715" s="442" t="str">
        <f>IF(L1715&lt;&gt;"",VLOOKUP(L1715,Categories!$B$2:$D$41,2,FALSE),IF(F1715&lt;&gt;"","No Cat",""))</f>
        <v>NRBASE</v>
      </c>
      <c r="O1715" s="442" t="str">
        <f>IF($L1715&lt;&gt;"",VLOOKUP($L1715,Categories!$B$2:$D$41,3,FALSE),IF($F1715&lt;&gt;"","No Cat",""))</f>
        <v>Direct Assign Items Not in RB</v>
      </c>
      <c r="P1715" s="736" t="s">
        <v>2468</v>
      </c>
      <c r="Q1715" s="442" t="str">
        <f>VLOOKUP($P1715,Allocators!$B$7:$F$19,5,FALSE)</f>
        <v>Not in Rate Base</v>
      </c>
      <c r="R1715" s="737">
        <f>VLOOKUP($P1715,Allocators!$B$7:$F$19,2,FALSE)</f>
        <v>0</v>
      </c>
      <c r="S1715" s="737">
        <f>VLOOKUP($P1715,Allocators!$B$7:$F$19,3,FALSE)</f>
        <v>0</v>
      </c>
      <c r="T1715" s="737">
        <f t="shared" si="793"/>
        <v>1</v>
      </c>
      <c r="U1715" s="2">
        <f t="shared" si="785"/>
        <v>0</v>
      </c>
      <c r="V1715" s="2">
        <f t="shared" si="786"/>
        <v>0</v>
      </c>
      <c r="W1715" s="2">
        <f t="shared" si="787"/>
        <v>-415.26116999999999</v>
      </c>
      <c r="X1715" s="2">
        <f t="shared" si="781"/>
        <v>-415.26116999999999</v>
      </c>
      <c r="Y1715" s="2">
        <f t="shared" si="788"/>
        <v>0</v>
      </c>
      <c r="Z1715" s="2">
        <f t="shared" si="789"/>
        <v>0</v>
      </c>
      <c r="AA1715" s="2">
        <f t="shared" si="790"/>
        <v>-415.26116999999999</v>
      </c>
      <c r="AB1715" s="2">
        <f t="shared" si="782"/>
        <v>-415.26116999999999</v>
      </c>
      <c r="AC1715" s="625">
        <v>-415.26116999999999</v>
      </c>
      <c r="AD1715" s="625">
        <v>-415.26116999999999</v>
      </c>
      <c r="AE1715" s="625">
        <v>-415.26116999999999</v>
      </c>
      <c r="AF1715" s="625">
        <v>-415.26116999999999</v>
      </c>
      <c r="AG1715" s="625">
        <v>-415.26116999999999</v>
      </c>
      <c r="AH1715" s="625">
        <v>-415.26116999999999</v>
      </c>
      <c r="AI1715" s="625">
        <v>-415.26116999999999</v>
      </c>
      <c r="AJ1715" s="625">
        <v>-415.26116999999999</v>
      </c>
      <c r="AK1715" s="625">
        <v>-415.26116999999999</v>
      </c>
      <c r="AL1715" s="625">
        <v>-415.26116999999999</v>
      </c>
      <c r="AM1715" s="625">
        <v>-415.26116999999999</v>
      </c>
      <c r="AN1715" s="625">
        <v>-415.26116999999999</v>
      </c>
      <c r="AO1715" s="625">
        <v>-415.26116999999999</v>
      </c>
      <c r="AP1715" s="41" t="str">
        <f t="shared" si="778"/>
        <v>Def TaxN</v>
      </c>
      <c r="AQ1715" s="41" t="str">
        <f t="shared" si="779"/>
        <v>Def TaxNN20</v>
      </c>
      <c r="AR1715" s="41" t="str">
        <f t="shared" si="780"/>
        <v>N20</v>
      </c>
    </row>
    <row r="1716" spans="1:44" s="41" customFormat="1" ht="12.75" customHeight="1">
      <c r="A1716" s="25" t="s">
        <v>1590</v>
      </c>
      <c r="B1716" s="25" t="str">
        <f t="shared" si="792"/>
        <v>Def Tax190501EXCESS DITBT010078</v>
      </c>
      <c r="C1716" s="736">
        <v>190501</v>
      </c>
      <c r="D1716" s="735" t="s">
        <v>1911</v>
      </c>
      <c r="E1716" s="41" t="s">
        <v>1912</v>
      </c>
      <c r="F1716" s="41" t="str">
        <f t="shared" si="783"/>
        <v>ADIT-REG-FEDERAL-ELECTRIC</v>
      </c>
      <c r="G1716" s="41" t="s">
        <v>1913</v>
      </c>
      <c r="H1716" s="736" t="s">
        <v>1487</v>
      </c>
      <c r="I1716" s="25"/>
      <c r="J1716" s="25" t="str">
        <f t="shared" si="784"/>
        <v/>
      </c>
      <c r="K1716" s="442" t="str">
        <f t="shared" si="791"/>
        <v/>
      </c>
      <c r="L1716" s="736" t="s">
        <v>2443</v>
      </c>
      <c r="M1716" s="25" t="str">
        <f t="shared" si="777"/>
        <v>R</v>
      </c>
      <c r="N1716" s="25" t="str">
        <f>IF(L1716&lt;&gt;"",VLOOKUP(L1716,Categories!$B$2:$D$41,2,FALSE),IF(F1716&lt;&gt;"","No Cat",""))</f>
        <v>Rate Base</v>
      </c>
      <c r="O1716" s="25" t="str">
        <f>IF($L1716&lt;&gt;"",VLOOKUP($L1716,Categories!$B$2:$D$41,3,FALSE),IF($F1716&lt;&gt;"","No Cat",""))</f>
        <v>Deferred Income Taxes</v>
      </c>
      <c r="P1716" s="736" t="s">
        <v>2482</v>
      </c>
      <c r="Q1716" s="25" t="str">
        <f>VLOOKUP($P1716,Allocators!$B$7:$F$19,5,FALSE)</f>
        <v>Electric</v>
      </c>
      <c r="R1716" s="737">
        <f>VLOOKUP($P1716,Allocators!$B$7:$F$19,2,FALSE)</f>
        <v>1</v>
      </c>
      <c r="S1716" s="737">
        <f>VLOOKUP($P1716,Allocators!$B$7:$F$19,3,FALSE)</f>
        <v>0</v>
      </c>
      <c r="T1716" s="737" t="str">
        <f t="shared" si="793"/>
        <v>0.0%</v>
      </c>
      <c r="U1716" s="2" t="str">
        <f t="shared" si="785"/>
        <v/>
      </c>
      <c r="V1716" s="2" t="str">
        <f t="shared" si="786"/>
        <v/>
      </c>
      <c r="W1716" s="2" t="str">
        <f t="shared" si="787"/>
        <v/>
      </c>
      <c r="X1716" s="2">
        <f t="shared" si="781"/>
        <v>0</v>
      </c>
      <c r="Y1716" s="2" t="str">
        <f t="shared" si="788"/>
        <v/>
      </c>
      <c r="Z1716" s="2" t="str">
        <f t="shared" si="789"/>
        <v/>
      </c>
      <c r="AA1716" s="2" t="str">
        <f t="shared" si="790"/>
        <v/>
      </c>
      <c r="AB1716" s="2">
        <f t="shared" si="782"/>
        <v>0</v>
      </c>
      <c r="AC1716" s="625">
        <v>0</v>
      </c>
      <c r="AD1716" s="625">
        <v>0</v>
      </c>
      <c r="AE1716" s="625">
        <v>0</v>
      </c>
      <c r="AF1716" s="625">
        <v>0</v>
      </c>
      <c r="AG1716" s="625">
        <v>0</v>
      </c>
      <c r="AH1716" s="625">
        <v>0</v>
      </c>
      <c r="AI1716" s="625">
        <v>0</v>
      </c>
      <c r="AJ1716" s="625">
        <v>0</v>
      </c>
      <c r="AK1716" s="625">
        <v>0</v>
      </c>
      <c r="AL1716" s="625">
        <v>0</v>
      </c>
      <c r="AM1716" s="625">
        <v>0</v>
      </c>
      <c r="AN1716" s="625">
        <v>0</v>
      </c>
      <c r="AO1716" s="625">
        <v>0</v>
      </c>
      <c r="AP1716" s="41" t="str">
        <f t="shared" si="778"/>
        <v>Def TaxR</v>
      </c>
      <c r="AQ1716" s="41" t="str">
        <f t="shared" si="779"/>
        <v>Def TaxRR11Excess NYS DIT (to 7.1%)</v>
      </c>
      <c r="AR1716" s="41" t="str">
        <f t="shared" si="780"/>
        <v>R11Excess NYS DIT (to 7.1%)</v>
      </c>
    </row>
    <row r="1717" spans="1:44" s="41" customFormat="1" ht="12.75" customHeight="1">
      <c r="A1717" s="442" t="s">
        <v>1590</v>
      </c>
      <c r="B1717" s="442" t="str">
        <f t="shared" si="792"/>
        <v>Def Tax190501ExcessDIT-CurrBDEFAULT</v>
      </c>
      <c r="C1717" s="736">
        <v>190501</v>
      </c>
      <c r="D1717" s="735" t="s">
        <v>1914</v>
      </c>
      <c r="E1717" s="626" t="s">
        <v>1620</v>
      </c>
      <c r="F1717" s="626" t="str">
        <f t="shared" si="783"/>
        <v>ADIT-REG-FEDERAL-ELECTRIC</v>
      </c>
      <c r="G1717" s="626" t="s">
        <v>1915</v>
      </c>
      <c r="H1717" s="736">
        <v>0</v>
      </c>
      <c r="I1717" s="442"/>
      <c r="J1717" s="442" t="str">
        <f t="shared" si="784"/>
        <v/>
      </c>
      <c r="K1717" s="442" t="str">
        <f t="shared" si="791"/>
        <v/>
      </c>
      <c r="L1717" s="736" t="s">
        <v>2421</v>
      </c>
      <c r="M1717" s="442" t="str">
        <f t="shared" si="777"/>
        <v>N</v>
      </c>
      <c r="N1717" s="442" t="str">
        <f>IF(L1717&lt;&gt;"",VLOOKUP(L1717,Categories!$B$2:$D$41,2,FALSE),IF(F1717&lt;&gt;"","No Cat",""))</f>
        <v>NRBASE</v>
      </c>
      <c r="O1717" s="442" t="str">
        <f>IF($L1717&lt;&gt;"",VLOOKUP($L1717,Categories!$B$2:$D$41,3,FALSE),IF($F1717&lt;&gt;"","No Cat",""))</f>
        <v>Direct Assign Items Not in RB</v>
      </c>
      <c r="P1717" s="736" t="s">
        <v>2468</v>
      </c>
      <c r="Q1717" s="442" t="str">
        <f>VLOOKUP($P1717,Allocators!$B$7:$F$19,5,FALSE)</f>
        <v>Not in Rate Base</v>
      </c>
      <c r="R1717" s="737">
        <f>VLOOKUP($P1717,Allocators!$B$7:$F$19,2,FALSE)</f>
        <v>0</v>
      </c>
      <c r="S1717" s="737">
        <f>VLOOKUP($P1717,Allocators!$B$7:$F$19,3,FALSE)</f>
        <v>0</v>
      </c>
      <c r="T1717" s="737">
        <f t="shared" si="793"/>
        <v>1</v>
      </c>
      <c r="U1717" s="2" t="str">
        <f t="shared" si="785"/>
        <v/>
      </c>
      <c r="V1717" s="2" t="str">
        <f t="shared" si="786"/>
        <v/>
      </c>
      <c r="W1717" s="2" t="str">
        <f t="shared" si="787"/>
        <v/>
      </c>
      <c r="X1717" s="2">
        <f t="shared" si="781"/>
        <v>0</v>
      </c>
      <c r="Y1717" s="2" t="str">
        <f t="shared" si="788"/>
        <v/>
      </c>
      <c r="Z1717" s="2" t="str">
        <f t="shared" si="789"/>
        <v/>
      </c>
      <c r="AA1717" s="2" t="str">
        <f t="shared" si="790"/>
        <v/>
      </c>
      <c r="AB1717" s="2">
        <f t="shared" si="782"/>
        <v>0</v>
      </c>
      <c r="AC1717" s="625">
        <v>0</v>
      </c>
      <c r="AD1717" s="625">
        <v>0</v>
      </c>
      <c r="AE1717" s="625">
        <v>0</v>
      </c>
      <c r="AF1717" s="625">
        <v>0</v>
      </c>
      <c r="AG1717" s="625">
        <v>0</v>
      </c>
      <c r="AH1717" s="625">
        <v>0</v>
      </c>
      <c r="AI1717" s="625">
        <v>0</v>
      </c>
      <c r="AJ1717" s="625">
        <v>0</v>
      </c>
      <c r="AK1717" s="625">
        <v>0</v>
      </c>
      <c r="AL1717" s="625">
        <v>0</v>
      </c>
      <c r="AM1717" s="625">
        <v>0</v>
      </c>
      <c r="AN1717" s="625">
        <v>0</v>
      </c>
      <c r="AO1717" s="625">
        <v>0</v>
      </c>
      <c r="AP1717" s="41" t="str">
        <f t="shared" si="778"/>
        <v>Def TaxN</v>
      </c>
      <c r="AQ1717" s="41" t="str">
        <f t="shared" si="779"/>
        <v>Def TaxNN20</v>
      </c>
      <c r="AR1717" s="41" t="str">
        <f t="shared" si="780"/>
        <v>N20</v>
      </c>
    </row>
    <row r="1718" spans="1:44" s="41" customFormat="1" ht="12.75" customHeight="1">
      <c r="A1718" s="442" t="s">
        <v>1590</v>
      </c>
      <c r="B1718" s="442" t="str">
        <f t="shared" si="792"/>
        <v>Def Tax190501Bonus DepBT010085</v>
      </c>
      <c r="C1718" s="736">
        <v>190501</v>
      </c>
      <c r="D1718" s="735" t="s">
        <v>1916</v>
      </c>
      <c r="E1718" s="626" t="s">
        <v>1917</v>
      </c>
      <c r="F1718" s="626" t="str">
        <f t="shared" si="783"/>
        <v>ADIT-REG-FEDERAL-ELECTRIC</v>
      </c>
      <c r="G1718" s="626" t="s">
        <v>1918</v>
      </c>
      <c r="H1718" s="736" t="s">
        <v>1186</v>
      </c>
      <c r="I1718" s="442"/>
      <c r="J1718" s="442" t="str">
        <f t="shared" si="784"/>
        <v/>
      </c>
      <c r="K1718" s="442" t="str">
        <f t="shared" si="791"/>
        <v/>
      </c>
      <c r="L1718" s="736" t="s">
        <v>2421</v>
      </c>
      <c r="M1718" s="442" t="str">
        <f t="shared" si="777"/>
        <v>N</v>
      </c>
      <c r="N1718" s="442" t="str">
        <f>IF(L1718&lt;&gt;"",VLOOKUP(L1718,Categories!$B$2:$D$41,2,FALSE),IF(F1718&lt;&gt;"","No Cat",""))</f>
        <v>NRBASE</v>
      </c>
      <c r="O1718" s="442" t="str">
        <f>IF($L1718&lt;&gt;"",VLOOKUP($L1718,Categories!$B$2:$D$41,3,FALSE),IF($F1718&lt;&gt;"","No Cat",""))</f>
        <v>Direct Assign Items Not in RB</v>
      </c>
      <c r="P1718" s="736" t="s">
        <v>2468</v>
      </c>
      <c r="Q1718" s="442" t="str">
        <f>VLOOKUP($P1718,Allocators!$B$7:$F$19,5,FALSE)</f>
        <v>Not in Rate Base</v>
      </c>
      <c r="R1718" s="737">
        <f>VLOOKUP($P1718,Allocators!$B$7:$F$19,2,FALSE)</f>
        <v>0</v>
      </c>
      <c r="S1718" s="737">
        <f>VLOOKUP($P1718,Allocators!$B$7:$F$19,3,FALSE)</f>
        <v>0</v>
      </c>
      <c r="T1718" s="737">
        <f t="shared" si="793"/>
        <v>1</v>
      </c>
      <c r="U1718" s="2">
        <f t="shared" si="785"/>
        <v>0</v>
      </c>
      <c r="V1718" s="2">
        <f t="shared" si="786"/>
        <v>0</v>
      </c>
      <c r="W1718" s="2">
        <f t="shared" si="787"/>
        <v>7550.0722945833304</v>
      </c>
      <c r="X1718" s="2">
        <f t="shared" si="781"/>
        <v>7550.0722945833304</v>
      </c>
      <c r="Y1718" s="2">
        <f t="shared" si="788"/>
        <v>0</v>
      </c>
      <c r="Z1718" s="2">
        <f t="shared" si="789"/>
        <v>0</v>
      </c>
      <c r="AA1718" s="2">
        <f t="shared" si="790"/>
        <v>9231.0467499999995</v>
      </c>
      <c r="AB1718" s="2">
        <f t="shared" si="782"/>
        <v>9231.0467499999995</v>
      </c>
      <c r="AC1718" s="625">
        <v>5883.8412600000001</v>
      </c>
      <c r="AD1718" s="625">
        <v>6163.8663499999993</v>
      </c>
      <c r="AE1718" s="625">
        <v>6443.6354900000006</v>
      </c>
      <c r="AF1718" s="625">
        <v>6723.1472300000005</v>
      </c>
      <c r="AG1718" s="625">
        <v>7002.4001200000002</v>
      </c>
      <c r="AH1718" s="625">
        <v>7281.3926799999999</v>
      </c>
      <c r="AI1718" s="625">
        <v>7560.12345</v>
      </c>
      <c r="AJ1718" s="625">
        <v>7838.59094</v>
      </c>
      <c r="AK1718" s="625">
        <v>8116.7936600000003</v>
      </c>
      <c r="AL1718" s="625">
        <v>8362.4874199999995</v>
      </c>
      <c r="AM1718" s="625">
        <v>8637.9182600000004</v>
      </c>
      <c r="AN1718" s="625">
        <v>8913.0679299999993</v>
      </c>
      <c r="AO1718" s="625">
        <v>9231.0467499999995</v>
      </c>
      <c r="AP1718" s="41" t="str">
        <f t="shared" si="778"/>
        <v>Def TaxN</v>
      </c>
      <c r="AQ1718" s="41" t="str">
        <f t="shared" si="779"/>
        <v>Def TaxNN2Bonus Depreciation Deferral</v>
      </c>
      <c r="AR1718" s="41" t="str">
        <f t="shared" si="780"/>
        <v>N2Bonus Depreciation Deferral</v>
      </c>
    </row>
    <row r="1719" spans="1:44" s="41" customFormat="1" ht="12.75" customHeight="1">
      <c r="A1719" s="25" t="s">
        <v>1590</v>
      </c>
      <c r="B1719" s="25" t="str">
        <f t="shared" si="792"/>
        <v>Def Tax190501FAS 158 SFAS 106BT030562</v>
      </c>
      <c r="C1719" s="736">
        <v>190501</v>
      </c>
      <c r="D1719" s="735" t="s">
        <v>1919</v>
      </c>
      <c r="E1719" s="41" t="s">
        <v>1839</v>
      </c>
      <c r="F1719" s="41" t="str">
        <f t="shared" si="783"/>
        <v>ADIT-REG-FEDERAL-ELECTRIC</v>
      </c>
      <c r="G1719" s="41" t="s">
        <v>1920</v>
      </c>
      <c r="H1719" s="736" t="s">
        <v>927</v>
      </c>
      <c r="I1719" s="25"/>
      <c r="J1719" s="25" t="str">
        <f t="shared" si="784"/>
        <v/>
      </c>
      <c r="K1719" s="442" t="str">
        <f t="shared" si="791"/>
        <v/>
      </c>
      <c r="L1719" s="736" t="s">
        <v>2443</v>
      </c>
      <c r="M1719" s="25" t="str">
        <f t="shared" si="777"/>
        <v>R</v>
      </c>
      <c r="N1719" s="25" t="str">
        <f>IF(L1719&lt;&gt;"",VLOOKUP(L1719,Categories!$B$2:$D$41,2,FALSE),IF(F1719&lt;&gt;"","No Cat",""))</f>
        <v>Rate Base</v>
      </c>
      <c r="O1719" s="25" t="str">
        <f>IF($L1719&lt;&gt;"",VLOOKUP($L1719,Categories!$B$2:$D$41,3,FALSE),IF($F1719&lt;&gt;"","No Cat",""))</f>
        <v>Deferred Income Taxes</v>
      </c>
      <c r="P1719" s="736" t="s">
        <v>2482</v>
      </c>
      <c r="Q1719" s="25" t="str">
        <f>VLOOKUP($P1719,Allocators!$B$7:$F$19,5,FALSE)</f>
        <v>Electric</v>
      </c>
      <c r="R1719" s="737">
        <f>VLOOKUP($P1719,Allocators!$B$7:$F$19,2,FALSE)</f>
        <v>1</v>
      </c>
      <c r="S1719" s="737">
        <f>VLOOKUP($P1719,Allocators!$B$7:$F$19,3,FALSE)</f>
        <v>0</v>
      </c>
      <c r="T1719" s="737" t="str">
        <f t="shared" si="793"/>
        <v>0.0%</v>
      </c>
      <c r="U1719" s="2" t="str">
        <f t="shared" si="785"/>
        <v/>
      </c>
      <c r="V1719" s="2" t="str">
        <f t="shared" si="786"/>
        <v/>
      </c>
      <c r="W1719" s="2" t="str">
        <f t="shared" si="787"/>
        <v/>
      </c>
      <c r="X1719" s="2">
        <f t="shared" si="781"/>
        <v>0</v>
      </c>
      <c r="Y1719" s="2" t="str">
        <f t="shared" si="788"/>
        <v/>
      </c>
      <c r="Z1719" s="2" t="str">
        <f t="shared" si="789"/>
        <v/>
      </c>
      <c r="AA1719" s="2" t="str">
        <f t="shared" si="790"/>
        <v/>
      </c>
      <c r="AB1719" s="2">
        <f t="shared" si="782"/>
        <v>0</v>
      </c>
      <c r="AC1719" s="625">
        <v>0</v>
      </c>
      <c r="AD1719" s="625">
        <v>0</v>
      </c>
      <c r="AE1719" s="625">
        <v>0</v>
      </c>
      <c r="AF1719" s="625">
        <v>0</v>
      </c>
      <c r="AG1719" s="625">
        <v>0</v>
      </c>
      <c r="AH1719" s="625">
        <v>0</v>
      </c>
      <c r="AI1719" s="625">
        <v>0</v>
      </c>
      <c r="AJ1719" s="625">
        <v>0</v>
      </c>
      <c r="AK1719" s="625">
        <v>0</v>
      </c>
      <c r="AL1719" s="625">
        <v>0</v>
      </c>
      <c r="AM1719" s="625">
        <v>0</v>
      </c>
      <c r="AN1719" s="625">
        <v>0</v>
      </c>
      <c r="AO1719" s="625">
        <v>0</v>
      </c>
      <c r="AP1719" s="41" t="str">
        <f t="shared" si="778"/>
        <v>Def TaxR</v>
      </c>
      <c r="AQ1719" s="41" t="str">
        <f t="shared" si="779"/>
        <v>Def TaxRR11OPEB</v>
      </c>
      <c r="AR1719" s="41" t="str">
        <f t="shared" si="780"/>
        <v>R11OPEB</v>
      </c>
    </row>
    <row r="1720" spans="1:44" s="41" customFormat="1" ht="12.75" customHeight="1">
      <c r="A1720" s="442" t="s">
        <v>1590</v>
      </c>
      <c r="B1720" s="442" t="str">
        <f t="shared" si="792"/>
        <v>Def Tax190501190-111</v>
      </c>
      <c r="C1720" s="736">
        <v>190501</v>
      </c>
      <c r="D1720" s="735" t="s">
        <v>1921</v>
      </c>
      <c r="E1720" s="626"/>
      <c r="F1720" s="626" t="str">
        <f t="shared" si="783"/>
        <v>ADIT-REG-FEDERAL-ELECTRIC</v>
      </c>
      <c r="G1720" s="626" t="s">
        <v>1922</v>
      </c>
      <c r="H1720" s="736" t="s">
        <v>1923</v>
      </c>
      <c r="I1720" s="442"/>
      <c r="J1720" s="442" t="str">
        <f t="shared" si="784"/>
        <v/>
      </c>
      <c r="K1720" s="442" t="str">
        <f t="shared" si="791"/>
        <v/>
      </c>
      <c r="L1720" s="736" t="s">
        <v>2421</v>
      </c>
      <c r="M1720" s="442" t="str">
        <f t="shared" si="777"/>
        <v>N</v>
      </c>
      <c r="N1720" s="442" t="str">
        <f>IF(L1720&lt;&gt;"",VLOOKUP(L1720,Categories!$B$2:$D$41,2,FALSE),IF(F1720&lt;&gt;"","No Cat",""))</f>
        <v>NRBASE</v>
      </c>
      <c r="O1720" s="442" t="str">
        <f>IF($L1720&lt;&gt;"",VLOOKUP($L1720,Categories!$B$2:$D$41,3,FALSE),IF($F1720&lt;&gt;"","No Cat",""))</f>
        <v>Direct Assign Items Not in RB</v>
      </c>
      <c r="P1720" s="736" t="s">
        <v>2468</v>
      </c>
      <c r="Q1720" s="442" t="str">
        <f>VLOOKUP($P1720,Allocators!$B$7:$F$19,5,FALSE)</f>
        <v>Not in Rate Base</v>
      </c>
      <c r="R1720" s="737">
        <f>VLOOKUP($P1720,Allocators!$B$7:$F$19,2,FALSE)</f>
        <v>0</v>
      </c>
      <c r="S1720" s="737">
        <f>VLOOKUP($P1720,Allocators!$B$7:$F$19,3,FALSE)</f>
        <v>0</v>
      </c>
      <c r="T1720" s="737">
        <f t="shared" si="793"/>
        <v>1</v>
      </c>
      <c r="U1720" s="2" t="str">
        <f t="shared" si="785"/>
        <v/>
      </c>
      <c r="V1720" s="2" t="str">
        <f t="shared" si="786"/>
        <v/>
      </c>
      <c r="W1720" s="2" t="str">
        <f t="shared" si="787"/>
        <v/>
      </c>
      <c r="X1720" s="2">
        <f t="shared" si="781"/>
        <v>0</v>
      </c>
      <c r="Y1720" s="2" t="str">
        <f t="shared" si="788"/>
        <v/>
      </c>
      <c r="Z1720" s="2" t="str">
        <f t="shared" si="789"/>
        <v/>
      </c>
      <c r="AA1720" s="2" t="str">
        <f t="shared" si="790"/>
        <v/>
      </c>
      <c r="AB1720" s="2">
        <f t="shared" si="782"/>
        <v>0</v>
      </c>
      <c r="AC1720" s="625">
        <v>0</v>
      </c>
      <c r="AD1720" s="625">
        <v>0</v>
      </c>
      <c r="AE1720" s="625">
        <v>0</v>
      </c>
      <c r="AF1720" s="625">
        <v>0</v>
      </c>
      <c r="AG1720" s="625">
        <v>0</v>
      </c>
      <c r="AH1720" s="625">
        <v>0</v>
      </c>
      <c r="AI1720" s="625">
        <v>0</v>
      </c>
      <c r="AJ1720" s="625">
        <v>0</v>
      </c>
      <c r="AK1720" s="625">
        <v>0</v>
      </c>
      <c r="AL1720" s="625">
        <v>0</v>
      </c>
      <c r="AM1720" s="625">
        <v>0</v>
      </c>
      <c r="AN1720" s="625">
        <v>0</v>
      </c>
      <c r="AO1720" s="625">
        <v>0</v>
      </c>
      <c r="AP1720" s="41" t="str">
        <f t="shared" si="778"/>
        <v>Def TaxN</v>
      </c>
      <c r="AQ1720" s="41" t="str">
        <f t="shared" si="779"/>
        <v>Def TaxNN2Fuel Credit Deferral</v>
      </c>
      <c r="AR1720" s="41" t="str">
        <f t="shared" si="780"/>
        <v>N2Fuel Credit Deferral</v>
      </c>
    </row>
    <row r="1721" spans="1:44" s="41" customFormat="1" ht="12.75" customHeight="1">
      <c r="A1721" s="25" t="s">
        <v>1590</v>
      </c>
      <c r="B1721" s="25" t="str">
        <f t="shared" si="792"/>
        <v>Def Tax190501190-079</v>
      </c>
      <c r="C1721" s="736">
        <v>190501</v>
      </c>
      <c r="D1721" s="735" t="s">
        <v>1924</v>
      </c>
      <c r="F1721" s="41" t="str">
        <f t="shared" si="783"/>
        <v>ADIT-REG-FEDERAL-ELECTRIC</v>
      </c>
      <c r="G1721" s="41" t="s">
        <v>1925</v>
      </c>
      <c r="H1721" s="736" t="s">
        <v>1926</v>
      </c>
      <c r="I1721" s="25"/>
      <c r="J1721" s="25" t="str">
        <f t="shared" si="784"/>
        <v/>
      </c>
      <c r="K1721" s="442" t="str">
        <f t="shared" si="791"/>
        <v/>
      </c>
      <c r="L1721" s="736" t="s">
        <v>2443</v>
      </c>
      <c r="M1721" s="25" t="str">
        <f t="shared" si="777"/>
        <v>R</v>
      </c>
      <c r="N1721" s="25" t="str">
        <f>IF(L1721&lt;&gt;"",VLOOKUP(L1721,Categories!$B$2:$D$41,2,FALSE),IF(F1721&lt;&gt;"","No Cat",""))</f>
        <v>Rate Base</v>
      </c>
      <c r="O1721" s="25" t="str">
        <f>IF($L1721&lt;&gt;"",VLOOKUP($L1721,Categories!$B$2:$D$41,3,FALSE),IF($F1721&lt;&gt;"","No Cat",""))</f>
        <v>Deferred Income Taxes</v>
      </c>
      <c r="P1721" s="736" t="s">
        <v>2482</v>
      </c>
      <c r="Q1721" s="25" t="str">
        <f>VLOOKUP($P1721,Allocators!$B$7:$F$19,5,FALSE)</f>
        <v>Electric</v>
      </c>
      <c r="R1721" s="737">
        <f>VLOOKUP($P1721,Allocators!$B$7:$F$19,2,FALSE)</f>
        <v>1</v>
      </c>
      <c r="S1721" s="737">
        <f>VLOOKUP($P1721,Allocators!$B$7:$F$19,3,FALSE)</f>
        <v>0</v>
      </c>
      <c r="T1721" s="737" t="str">
        <f t="shared" si="793"/>
        <v>0.0%</v>
      </c>
      <c r="U1721" s="2" t="str">
        <f t="shared" si="785"/>
        <v/>
      </c>
      <c r="V1721" s="2" t="str">
        <f t="shared" si="786"/>
        <v/>
      </c>
      <c r="W1721" s="2" t="str">
        <f t="shared" si="787"/>
        <v/>
      </c>
      <c r="X1721" s="2">
        <f t="shared" si="781"/>
        <v>0</v>
      </c>
      <c r="Y1721" s="2" t="str">
        <f t="shared" si="788"/>
        <v/>
      </c>
      <c r="Z1721" s="2" t="str">
        <f t="shared" si="789"/>
        <v/>
      </c>
      <c r="AA1721" s="2" t="str">
        <f t="shared" si="790"/>
        <v/>
      </c>
      <c r="AB1721" s="2">
        <f t="shared" si="782"/>
        <v>0</v>
      </c>
      <c r="AC1721" s="625">
        <v>0</v>
      </c>
      <c r="AD1721" s="625">
        <v>0</v>
      </c>
      <c r="AE1721" s="625">
        <v>0</v>
      </c>
      <c r="AF1721" s="625">
        <v>0</v>
      </c>
      <c r="AG1721" s="625">
        <v>0</v>
      </c>
      <c r="AH1721" s="625">
        <v>0</v>
      </c>
      <c r="AI1721" s="625">
        <v>0</v>
      </c>
      <c r="AJ1721" s="625">
        <v>0</v>
      </c>
      <c r="AK1721" s="625">
        <v>0</v>
      </c>
      <c r="AL1721" s="625">
        <v>0</v>
      </c>
      <c r="AM1721" s="625">
        <v>0</v>
      </c>
      <c r="AN1721" s="625">
        <v>0</v>
      </c>
      <c r="AO1721" s="625">
        <v>0</v>
      </c>
      <c r="AP1721" s="41" t="str">
        <f t="shared" si="778"/>
        <v>Def TaxR</v>
      </c>
      <c r="AQ1721" s="41" t="str">
        <f t="shared" si="779"/>
        <v>Def TaxRR11Ginna Related</v>
      </c>
      <c r="AR1721" s="41" t="str">
        <f t="shared" si="780"/>
        <v>R11Ginna Related</v>
      </c>
    </row>
    <row r="1722" spans="1:44" s="41" customFormat="1" ht="12.75" customHeight="1">
      <c r="A1722" s="25" t="s">
        <v>1590</v>
      </c>
      <c r="B1722" s="25" t="str">
        <f t="shared" si="792"/>
        <v>Def Tax190501190-079/
190-079-JPBTHUNGDT</v>
      </c>
      <c r="C1722" s="736">
        <v>190501</v>
      </c>
      <c r="D1722" s="735" t="s">
        <v>1927</v>
      </c>
      <c r="E1722" s="41" t="s">
        <v>1624</v>
      </c>
      <c r="F1722" s="41" t="str">
        <f t="shared" si="783"/>
        <v>ADIT-REG-FEDERAL-ELECTRIC</v>
      </c>
      <c r="G1722" s="41" t="s">
        <v>1928</v>
      </c>
      <c r="H1722" s="736" t="s">
        <v>1926</v>
      </c>
      <c r="I1722" s="25"/>
      <c r="J1722" s="25" t="str">
        <f t="shared" si="784"/>
        <v/>
      </c>
      <c r="K1722" s="442" t="str">
        <f t="shared" si="791"/>
        <v/>
      </c>
      <c r="L1722" s="736" t="s">
        <v>2443</v>
      </c>
      <c r="M1722" s="25" t="str">
        <f t="shared" si="777"/>
        <v>R</v>
      </c>
      <c r="N1722" s="25" t="str">
        <f>IF(L1722&lt;&gt;"",VLOOKUP(L1722,Categories!$B$2:$D$41,2,FALSE),IF(F1722&lt;&gt;"","No Cat",""))</f>
        <v>Rate Base</v>
      </c>
      <c r="O1722" s="25" t="str">
        <f>IF($L1722&lt;&gt;"",VLOOKUP($L1722,Categories!$B$2:$D$41,3,FALSE),IF($F1722&lt;&gt;"","No Cat",""))</f>
        <v>Deferred Income Taxes</v>
      </c>
      <c r="P1722" s="736" t="s">
        <v>2482</v>
      </c>
      <c r="Q1722" s="25" t="str">
        <f>VLOOKUP($P1722,Allocators!$B$7:$F$19,5,FALSE)</f>
        <v>Electric</v>
      </c>
      <c r="R1722" s="737">
        <f>VLOOKUP($P1722,Allocators!$B$7:$F$19,2,FALSE)</f>
        <v>1</v>
      </c>
      <c r="S1722" s="737">
        <f>VLOOKUP($P1722,Allocators!$B$7:$F$19,3,FALSE)</f>
        <v>0</v>
      </c>
      <c r="T1722" s="737" t="str">
        <f t="shared" si="793"/>
        <v>0.0%</v>
      </c>
      <c r="U1722" s="2" t="str">
        <f t="shared" si="785"/>
        <v/>
      </c>
      <c r="V1722" s="2" t="str">
        <f t="shared" si="786"/>
        <v/>
      </c>
      <c r="W1722" s="2" t="str">
        <f t="shared" si="787"/>
        <v/>
      </c>
      <c r="X1722" s="2">
        <f t="shared" si="781"/>
        <v>0</v>
      </c>
      <c r="Y1722" s="2" t="str">
        <f t="shared" si="788"/>
        <v/>
      </c>
      <c r="Z1722" s="2" t="str">
        <f t="shared" si="789"/>
        <v/>
      </c>
      <c r="AA1722" s="2" t="str">
        <f t="shared" si="790"/>
        <v/>
      </c>
      <c r="AB1722" s="2">
        <f t="shared" si="782"/>
        <v>0</v>
      </c>
      <c r="AC1722" s="625">
        <v>0</v>
      </c>
      <c r="AD1722" s="625">
        <v>0</v>
      </c>
      <c r="AE1722" s="625">
        <v>0</v>
      </c>
      <c r="AF1722" s="625">
        <v>0</v>
      </c>
      <c r="AG1722" s="625">
        <v>0</v>
      </c>
      <c r="AH1722" s="625">
        <v>0</v>
      </c>
      <c r="AI1722" s="625">
        <v>0</v>
      </c>
      <c r="AJ1722" s="625">
        <v>0</v>
      </c>
      <c r="AK1722" s="625">
        <v>0</v>
      </c>
      <c r="AL1722" s="625">
        <v>0</v>
      </c>
      <c r="AM1722" s="625">
        <v>0</v>
      </c>
      <c r="AN1722" s="625">
        <v>0</v>
      </c>
      <c r="AO1722" s="625">
        <v>0</v>
      </c>
      <c r="AP1722" s="41" t="str">
        <f t="shared" si="778"/>
        <v>Def TaxR</v>
      </c>
      <c r="AQ1722" s="41" t="str">
        <f t="shared" si="779"/>
        <v>Def TaxRR11Ginna Related</v>
      </c>
      <c r="AR1722" s="41" t="str">
        <f t="shared" si="780"/>
        <v>R11Ginna Related</v>
      </c>
    </row>
    <row r="1723" spans="1:44" s="41" customFormat="1" ht="12.75" customHeight="1">
      <c r="A1723" s="442" t="s">
        <v>1590</v>
      </c>
      <c r="B1723" s="442" t="str">
        <f t="shared" si="792"/>
        <v>Def Tax190501Ginna Sale</v>
      </c>
      <c r="C1723" s="736">
        <v>190501</v>
      </c>
      <c r="D1723" s="735" t="s">
        <v>1830</v>
      </c>
      <c r="E1723" s="626"/>
      <c r="F1723" s="626" t="str">
        <f t="shared" si="783"/>
        <v>ADIT-REG-FEDERAL-ELECTRIC</v>
      </c>
      <c r="G1723" s="626" t="s">
        <v>1929</v>
      </c>
      <c r="H1723" s="736" t="s">
        <v>1330</v>
      </c>
      <c r="I1723" s="442"/>
      <c r="J1723" s="442" t="str">
        <f t="shared" si="784"/>
        <v/>
      </c>
      <c r="K1723" s="442" t="str">
        <f t="shared" si="791"/>
        <v/>
      </c>
      <c r="L1723" s="736" t="s">
        <v>2421</v>
      </c>
      <c r="M1723" s="442" t="str">
        <f t="shared" si="777"/>
        <v>N</v>
      </c>
      <c r="N1723" s="442" t="str">
        <f>IF(L1723&lt;&gt;"",VLOOKUP(L1723,Categories!$B$2:$D$41,2,FALSE),IF(F1723&lt;&gt;"","No Cat",""))</f>
        <v>NRBASE</v>
      </c>
      <c r="O1723" s="442" t="str">
        <f>IF($L1723&lt;&gt;"",VLOOKUP($L1723,Categories!$B$2:$D$41,3,FALSE),IF($F1723&lt;&gt;"","No Cat",""))</f>
        <v>Direct Assign Items Not in RB</v>
      </c>
      <c r="P1723" s="736" t="s">
        <v>2468</v>
      </c>
      <c r="Q1723" s="442" t="str">
        <f>VLOOKUP($P1723,Allocators!$B$7:$F$19,5,FALSE)</f>
        <v>Not in Rate Base</v>
      </c>
      <c r="R1723" s="737">
        <f>VLOOKUP($P1723,Allocators!$B$7:$F$19,2,FALSE)</f>
        <v>0</v>
      </c>
      <c r="S1723" s="737">
        <f>VLOOKUP($P1723,Allocators!$B$7:$F$19,3,FALSE)</f>
        <v>0</v>
      </c>
      <c r="T1723" s="737">
        <f t="shared" si="793"/>
        <v>1</v>
      </c>
      <c r="U1723" s="2" t="str">
        <f t="shared" si="785"/>
        <v/>
      </c>
      <c r="V1723" s="2" t="str">
        <f t="shared" si="786"/>
        <v/>
      </c>
      <c r="W1723" s="2" t="str">
        <f t="shared" si="787"/>
        <v/>
      </c>
      <c r="X1723" s="2">
        <f t="shared" si="781"/>
        <v>0</v>
      </c>
      <c r="Y1723" s="2" t="str">
        <f t="shared" si="788"/>
        <v/>
      </c>
      <c r="Z1723" s="2" t="str">
        <f t="shared" si="789"/>
        <v/>
      </c>
      <c r="AA1723" s="2" t="str">
        <f t="shared" si="790"/>
        <v/>
      </c>
      <c r="AB1723" s="2">
        <f t="shared" si="782"/>
        <v>0</v>
      </c>
      <c r="AC1723" s="625">
        <v>0</v>
      </c>
      <c r="AD1723" s="625">
        <v>0</v>
      </c>
      <c r="AE1723" s="625">
        <v>0</v>
      </c>
      <c r="AF1723" s="625">
        <v>0</v>
      </c>
      <c r="AG1723" s="625">
        <v>0</v>
      </c>
      <c r="AH1723" s="625">
        <v>0</v>
      </c>
      <c r="AI1723" s="625">
        <v>0</v>
      </c>
      <c r="AJ1723" s="625">
        <v>0</v>
      </c>
      <c r="AK1723" s="625">
        <v>0</v>
      </c>
      <c r="AL1723" s="625">
        <v>0</v>
      </c>
      <c r="AM1723" s="625">
        <v>0</v>
      </c>
      <c r="AN1723" s="625">
        <v>0</v>
      </c>
      <c r="AO1723" s="625">
        <v>0</v>
      </c>
      <c r="AP1723" s="41" t="str">
        <f t="shared" si="778"/>
        <v>Def TaxN</v>
      </c>
      <c r="AQ1723" s="41" t="str">
        <f t="shared" si="779"/>
        <v>Def TaxNN2ASGA</v>
      </c>
      <c r="AR1723" s="41" t="str">
        <f t="shared" si="780"/>
        <v>N2ASGA</v>
      </c>
    </row>
    <row r="1724" spans="1:44" s="41" customFormat="1" ht="12.75" customHeight="1">
      <c r="A1724" s="442" t="s">
        <v>1590</v>
      </c>
      <c r="B1724" s="442" t="str">
        <f t="shared" si="792"/>
        <v>Def Tax190501ASGA/
GINNA SALEBT010009</v>
      </c>
      <c r="C1724" s="736">
        <v>190501</v>
      </c>
      <c r="D1724" s="735" t="s">
        <v>1930</v>
      </c>
      <c r="E1724" s="626" t="s">
        <v>1477</v>
      </c>
      <c r="F1724" s="626" t="str">
        <f t="shared" si="783"/>
        <v>ADIT-REG-FEDERAL-ELECTRIC</v>
      </c>
      <c r="G1724" s="626" t="s">
        <v>1929</v>
      </c>
      <c r="H1724" s="736" t="s">
        <v>1330</v>
      </c>
      <c r="I1724" s="442"/>
      <c r="J1724" s="442" t="str">
        <f t="shared" si="784"/>
        <v/>
      </c>
      <c r="K1724" s="442" t="str">
        <f t="shared" si="791"/>
        <v/>
      </c>
      <c r="L1724" s="736" t="s">
        <v>2421</v>
      </c>
      <c r="M1724" s="442" t="str">
        <f t="shared" si="777"/>
        <v>N</v>
      </c>
      <c r="N1724" s="442" t="str">
        <f>IF(L1724&lt;&gt;"",VLOOKUP(L1724,Categories!$B$2:$D$41,2,FALSE),IF(F1724&lt;&gt;"","No Cat",""))</f>
        <v>NRBASE</v>
      </c>
      <c r="O1724" s="442" t="str">
        <f>IF($L1724&lt;&gt;"",VLOOKUP($L1724,Categories!$B$2:$D$41,3,FALSE),IF($F1724&lt;&gt;"","No Cat",""))</f>
        <v>Direct Assign Items Not in RB</v>
      </c>
      <c r="P1724" s="736" t="s">
        <v>2468</v>
      </c>
      <c r="Q1724" s="442" t="str">
        <f>VLOOKUP($P1724,Allocators!$B$7:$F$19,5,FALSE)</f>
        <v>Not in Rate Base</v>
      </c>
      <c r="R1724" s="737">
        <f>VLOOKUP($P1724,Allocators!$B$7:$F$19,2,FALSE)</f>
        <v>0</v>
      </c>
      <c r="S1724" s="737">
        <f>VLOOKUP($P1724,Allocators!$B$7:$F$19,3,FALSE)</f>
        <v>0</v>
      </c>
      <c r="T1724" s="737">
        <f t="shared" si="793"/>
        <v>1</v>
      </c>
      <c r="U1724" s="2">
        <f t="shared" si="785"/>
        <v>0</v>
      </c>
      <c r="V1724" s="2">
        <f t="shared" si="786"/>
        <v>0</v>
      </c>
      <c r="W1724" s="2">
        <f t="shared" si="787"/>
        <v>-1918.9957216666701</v>
      </c>
      <c r="X1724" s="2">
        <f t="shared" si="781"/>
        <v>-1918.9957216666701</v>
      </c>
      <c r="Y1724" s="2">
        <f t="shared" si="788"/>
        <v>0</v>
      </c>
      <c r="Z1724" s="2">
        <f t="shared" si="789"/>
        <v>0</v>
      </c>
      <c r="AA1724" s="2">
        <f t="shared" si="790"/>
        <v>-1553.5925400000001</v>
      </c>
      <c r="AB1724" s="2">
        <f t="shared" si="782"/>
        <v>-1553.5925400000001</v>
      </c>
      <c r="AC1724" s="625">
        <v>-3028.1422799999996</v>
      </c>
      <c r="AD1724" s="625">
        <v>-3786.4108200000001</v>
      </c>
      <c r="AE1724" s="625">
        <v>-1783.1568400000001</v>
      </c>
      <c r="AF1724" s="625">
        <v>-1766.3944799999999</v>
      </c>
      <c r="AG1724" s="625">
        <v>-1749.5371299999999</v>
      </c>
      <c r="AH1724" s="625">
        <v>-1732.5842399999999</v>
      </c>
      <c r="AI1724" s="625">
        <v>-1715.55468</v>
      </c>
      <c r="AJ1724" s="625">
        <v>-1698.4154799999999</v>
      </c>
      <c r="AK1724" s="625">
        <v>-1681.1728000000001</v>
      </c>
      <c r="AL1724" s="625">
        <v>-1663.83242</v>
      </c>
      <c r="AM1724" s="625">
        <v>-1588.7927299999999</v>
      </c>
      <c r="AN1724" s="625">
        <v>-1571.2296299999998</v>
      </c>
      <c r="AO1724" s="625">
        <v>-1553.5925400000001</v>
      </c>
      <c r="AP1724" s="41" t="str">
        <f t="shared" si="778"/>
        <v>Def TaxN</v>
      </c>
      <c r="AQ1724" s="41" t="str">
        <f t="shared" si="779"/>
        <v>Def TaxNN2ASGA</v>
      </c>
      <c r="AR1724" s="41" t="str">
        <f t="shared" si="780"/>
        <v>N2ASGA</v>
      </c>
    </row>
    <row r="1725" spans="1:44" s="41" customFormat="1" ht="12.75" customHeight="1">
      <c r="A1725" s="442" t="s">
        <v>1590</v>
      </c>
      <c r="B1725" s="442" t="str">
        <f t="shared" si="792"/>
        <v>Def Tax190501CROBE030599</v>
      </c>
      <c r="C1725" s="736">
        <v>190501</v>
      </c>
      <c r="D1725" s="735" t="s">
        <v>1931</v>
      </c>
      <c r="E1725" s="626" t="s">
        <v>1193</v>
      </c>
      <c r="F1725" s="626" t="str">
        <f t="shared" si="783"/>
        <v>ADIT-REG-FEDERAL-ELECTRIC</v>
      </c>
      <c r="G1725" s="626" t="s">
        <v>1932</v>
      </c>
      <c r="H1725" s="736" t="s">
        <v>1195</v>
      </c>
      <c r="I1725" s="442"/>
      <c r="J1725" s="442" t="s">
        <v>7</v>
      </c>
      <c r="K1725" s="442" t="str">
        <f t="shared" si="791"/>
        <v/>
      </c>
      <c r="L1725" s="736" t="s">
        <v>2436</v>
      </c>
      <c r="M1725" s="442" t="str">
        <f t="shared" ref="M1725:M1800" si="795">LEFT(L1725,1)</f>
        <v>N</v>
      </c>
      <c r="N1725" s="442" t="str">
        <f>IF(L1725&lt;&gt;"",VLOOKUP(L1725,Categories!$B$2:$D$41,2,FALSE),IF(F1725&lt;&gt;"","No Cat",""))</f>
        <v>NRBASE</v>
      </c>
      <c r="O1725" s="442" t="str">
        <f>IF($L1725&lt;&gt;"",VLOOKUP($L1725,Categories!$B$2:$D$41,3,FALSE),IF($F1725&lt;&gt;"","No Cat",""))</f>
        <v>Deferrals Accruing Non-Cash Return   (other than ASGA)</v>
      </c>
      <c r="P1725" s="736" t="s">
        <v>2468</v>
      </c>
      <c r="Q1725" s="442" t="str">
        <f>VLOOKUP($P1725,Allocators!$B$7:$F$19,5,FALSE)</f>
        <v>Not in Rate Base</v>
      </c>
      <c r="R1725" s="737">
        <f>VLOOKUP($P1725,Allocators!$B$7:$F$19,2,FALSE)</f>
        <v>0</v>
      </c>
      <c r="S1725" s="737">
        <f>VLOOKUP($P1725,Allocators!$B$7:$F$19,3,FALSE)</f>
        <v>0</v>
      </c>
      <c r="T1725" s="737">
        <f t="shared" si="793"/>
        <v>1</v>
      </c>
      <c r="U1725" s="2">
        <f t="shared" si="785"/>
        <v>0</v>
      </c>
      <c r="V1725" s="2">
        <f t="shared" si="786"/>
        <v>0</v>
      </c>
      <c r="W1725" s="2">
        <f t="shared" si="787"/>
        <v>166.5205575</v>
      </c>
      <c r="X1725" s="2">
        <f t="shared" si="781"/>
        <v>166.5205575</v>
      </c>
      <c r="Y1725" s="2" t="str">
        <f t="shared" si="788"/>
        <v/>
      </c>
      <c r="Z1725" s="2" t="str">
        <f t="shared" si="789"/>
        <v/>
      </c>
      <c r="AA1725" s="2" t="str">
        <f t="shared" si="790"/>
        <v/>
      </c>
      <c r="AB1725" s="2">
        <f t="shared" si="782"/>
        <v>0</v>
      </c>
      <c r="AC1725" s="625">
        <v>0</v>
      </c>
      <c r="AD1725" s="625">
        <v>70.35521</v>
      </c>
      <c r="AE1725" s="625">
        <v>125.67366</v>
      </c>
      <c r="AF1725" s="625">
        <v>168.32376000000002</v>
      </c>
      <c r="AG1725" s="625">
        <v>217.71856</v>
      </c>
      <c r="AH1725" s="625">
        <v>269.78980999999999</v>
      </c>
      <c r="AI1725" s="625">
        <v>264.92775</v>
      </c>
      <c r="AJ1725" s="625">
        <v>273.07015000000001</v>
      </c>
      <c r="AK1725" s="625">
        <v>262.3603</v>
      </c>
      <c r="AL1725" s="625">
        <v>181.08593999999999</v>
      </c>
      <c r="AM1725" s="625">
        <v>99.930070000000001</v>
      </c>
      <c r="AN1725" s="625">
        <v>65.011480000000006</v>
      </c>
      <c r="AO1725" s="625">
        <v>0</v>
      </c>
      <c r="AP1725" s="41" t="str">
        <f t="shared" si="778"/>
        <v>Def TaxN</v>
      </c>
      <c r="AQ1725" s="41" t="str">
        <f t="shared" si="779"/>
        <v>Def TaxNN10Incremental Maintenance</v>
      </c>
      <c r="AR1725" s="41" t="str">
        <f t="shared" si="780"/>
        <v>N10Incremental MaintenanceNCR</v>
      </c>
    </row>
    <row r="1726" spans="1:44" s="41" customFormat="1" ht="12.75" customHeight="1">
      <c r="A1726" s="442" t="s">
        <v>1590</v>
      </c>
      <c r="B1726" s="442" t="str">
        <f t="shared" si="792"/>
        <v>Def Tax190501ITCBT010109</v>
      </c>
      <c r="C1726" s="736">
        <v>190501</v>
      </c>
      <c r="D1726" s="735" t="s">
        <v>1933</v>
      </c>
      <c r="E1726" s="626" t="s">
        <v>1934</v>
      </c>
      <c r="F1726" s="626" t="str">
        <f t="shared" si="783"/>
        <v>ADIT-REG-FEDERAL-ELECTRIC</v>
      </c>
      <c r="G1726" s="626" t="s">
        <v>1935</v>
      </c>
      <c r="H1726" s="736" t="s">
        <v>8</v>
      </c>
      <c r="I1726" s="442"/>
      <c r="J1726" s="442" t="str">
        <f t="shared" si="784"/>
        <v/>
      </c>
      <c r="K1726" s="442" t="str">
        <f t="shared" si="791"/>
        <v>Y</v>
      </c>
      <c r="L1726" s="736" t="s">
        <v>2423</v>
      </c>
      <c r="M1726" s="442" t="str">
        <f t="shared" si="795"/>
        <v>N</v>
      </c>
      <c r="N1726" s="442" t="str">
        <f>IF(L1726&lt;&gt;"",VLOOKUP(L1726,Categories!$B$2:$D$41,2,FALSE),IF(F1726&lt;&gt;"","No Cat",""))</f>
        <v>NRBASE</v>
      </c>
      <c r="O1726" s="442" t="str">
        <f>IF($L1726&lt;&gt;"",VLOOKUP($L1726,Categories!$B$2:$D$41,3,FALSE),IF($F1726&lt;&gt;"","No Cat",""))</f>
        <v>SFAS-109   (offsetting)</v>
      </c>
      <c r="P1726" s="736" t="s">
        <v>2468</v>
      </c>
      <c r="Q1726" s="442" t="str">
        <f>VLOOKUP($P1726,Allocators!$B$7:$F$19,5,FALSE)</f>
        <v>Not in Rate Base</v>
      </c>
      <c r="R1726" s="737">
        <f>VLOOKUP($P1726,Allocators!$B$7:$F$19,2,FALSE)</f>
        <v>0</v>
      </c>
      <c r="S1726" s="737">
        <f>VLOOKUP($P1726,Allocators!$B$7:$F$19,3,FALSE)</f>
        <v>0</v>
      </c>
      <c r="T1726" s="737">
        <f t="shared" si="793"/>
        <v>1</v>
      </c>
      <c r="U1726" s="2" t="str">
        <f t="shared" si="785"/>
        <v/>
      </c>
      <c r="V1726" s="2" t="str">
        <f t="shared" si="786"/>
        <v/>
      </c>
      <c r="W1726" s="2" t="str">
        <f t="shared" si="787"/>
        <v/>
      </c>
      <c r="X1726" s="2">
        <f t="shared" si="781"/>
        <v>0</v>
      </c>
      <c r="Y1726" s="2" t="str">
        <f t="shared" si="788"/>
        <v/>
      </c>
      <c r="Z1726" s="2" t="str">
        <f t="shared" si="789"/>
        <v/>
      </c>
      <c r="AA1726" s="2" t="str">
        <f t="shared" si="790"/>
        <v/>
      </c>
      <c r="AB1726" s="2">
        <f t="shared" si="782"/>
        <v>0</v>
      </c>
      <c r="AC1726" s="625">
        <v>0</v>
      </c>
      <c r="AD1726" s="625">
        <v>0</v>
      </c>
      <c r="AE1726" s="625">
        <v>0</v>
      </c>
      <c r="AF1726" s="625">
        <v>0</v>
      </c>
      <c r="AG1726" s="625">
        <v>0</v>
      </c>
      <c r="AH1726" s="625">
        <v>0</v>
      </c>
      <c r="AI1726" s="625">
        <v>0</v>
      </c>
      <c r="AJ1726" s="625">
        <v>0</v>
      </c>
      <c r="AK1726" s="625">
        <v>0</v>
      </c>
      <c r="AL1726" s="625">
        <v>0</v>
      </c>
      <c r="AM1726" s="625">
        <v>0</v>
      </c>
      <c r="AN1726" s="625">
        <v>0</v>
      </c>
      <c r="AO1726" s="625">
        <v>0</v>
      </c>
      <c r="AP1726" s="41" t="str">
        <f t="shared" si="778"/>
        <v>Def TaxN</v>
      </c>
      <c r="AQ1726" s="41" t="str">
        <f t="shared" si="779"/>
        <v>Def TaxNN3SFAS 109</v>
      </c>
      <c r="AR1726" s="41" t="str">
        <f t="shared" si="780"/>
        <v>N3SFAS 109</v>
      </c>
    </row>
    <row r="1727" spans="1:44" s="41" customFormat="1" ht="12.75" customHeight="1">
      <c r="A1727" s="442" t="s">
        <v>1590</v>
      </c>
      <c r="B1727" s="442" t="str">
        <f t="shared" si="792"/>
        <v>Def Tax190501LIPBE030594</v>
      </c>
      <c r="C1727" s="736">
        <v>190501</v>
      </c>
      <c r="D1727" s="735" t="s">
        <v>1936</v>
      </c>
      <c r="E1727" s="626" t="s">
        <v>767</v>
      </c>
      <c r="F1727" s="626" t="str">
        <f t="shared" si="783"/>
        <v>ADIT-REG-FEDERAL-ELECTRIC</v>
      </c>
      <c r="G1727" s="626" t="s">
        <v>1937</v>
      </c>
      <c r="H1727" s="736" t="s">
        <v>821</v>
      </c>
      <c r="I1727" s="442"/>
      <c r="J1727" s="442" t="s">
        <v>7</v>
      </c>
      <c r="K1727" s="442" t="str">
        <f t="shared" si="791"/>
        <v/>
      </c>
      <c r="L1727" s="736" t="s">
        <v>2436</v>
      </c>
      <c r="M1727" s="442" t="str">
        <f t="shared" si="795"/>
        <v>N</v>
      </c>
      <c r="N1727" s="442" t="str">
        <f>IF(L1727&lt;&gt;"",VLOOKUP(L1727,Categories!$B$2:$D$41,2,FALSE),IF(F1727&lt;&gt;"","No Cat",""))</f>
        <v>NRBASE</v>
      </c>
      <c r="O1727" s="442" t="str">
        <f>IF($L1727&lt;&gt;"",VLOOKUP($L1727,Categories!$B$2:$D$41,3,FALSE),IF($F1727&lt;&gt;"","No Cat",""))</f>
        <v>Deferrals Accruing Non-Cash Return   (other than ASGA)</v>
      </c>
      <c r="P1727" s="736" t="s">
        <v>2468</v>
      </c>
      <c r="Q1727" s="442" t="str">
        <f>VLOOKUP($P1727,Allocators!$B$7:$F$19,5,FALSE)</f>
        <v>Not in Rate Base</v>
      </c>
      <c r="R1727" s="737">
        <f>VLOOKUP($P1727,Allocators!$B$7:$F$19,2,FALSE)</f>
        <v>0</v>
      </c>
      <c r="S1727" s="737">
        <f>VLOOKUP($P1727,Allocators!$B$7:$F$19,3,FALSE)</f>
        <v>0</v>
      </c>
      <c r="T1727" s="737">
        <f t="shared" si="793"/>
        <v>1</v>
      </c>
      <c r="U1727" s="2">
        <f t="shared" si="785"/>
        <v>0</v>
      </c>
      <c r="V1727" s="2">
        <f t="shared" si="786"/>
        <v>0</v>
      </c>
      <c r="W1727" s="2">
        <f t="shared" si="787"/>
        <v>1014.9309950000001</v>
      </c>
      <c r="X1727" s="2">
        <f t="shared" si="781"/>
        <v>1014.9309950000001</v>
      </c>
      <c r="Y1727" s="2">
        <f t="shared" si="788"/>
        <v>0</v>
      </c>
      <c r="Z1727" s="2">
        <f t="shared" si="789"/>
        <v>0</v>
      </c>
      <c r="AA1727" s="2">
        <f t="shared" si="790"/>
        <v>1150.8263199999999</v>
      </c>
      <c r="AB1727" s="2">
        <f t="shared" si="782"/>
        <v>1150.8263200000001</v>
      </c>
      <c r="AC1727" s="625">
        <v>911.92064000000005</v>
      </c>
      <c r="AD1727" s="625">
        <v>924.71947</v>
      </c>
      <c r="AE1727" s="625">
        <v>938.15786000000003</v>
      </c>
      <c r="AF1727" s="625">
        <v>953.59172999999998</v>
      </c>
      <c r="AG1727" s="625">
        <v>966.51038000000005</v>
      </c>
      <c r="AH1727" s="625">
        <v>980.24172999999996</v>
      </c>
      <c r="AI1727" s="625">
        <v>998.05968000000007</v>
      </c>
      <c r="AJ1727" s="625">
        <v>1031.7922599999999</v>
      </c>
      <c r="AK1727" s="625">
        <v>1057.2024899999999</v>
      </c>
      <c r="AL1727" s="625">
        <v>1083.6871599999999</v>
      </c>
      <c r="AM1727" s="625">
        <v>1092.4408500000002</v>
      </c>
      <c r="AN1727" s="625">
        <v>1121.3948500000001</v>
      </c>
      <c r="AO1727" s="625">
        <v>1150.8263200000001</v>
      </c>
      <c r="AP1727" s="41" t="str">
        <f t="shared" si="778"/>
        <v>Def TaxN</v>
      </c>
      <c r="AQ1727" s="41" t="str">
        <f t="shared" si="779"/>
        <v>Def TaxNN10Low Income</v>
      </c>
      <c r="AR1727" s="41" t="str">
        <f t="shared" si="780"/>
        <v>N10Low IncomeNCR</v>
      </c>
    </row>
    <row r="1728" spans="1:44" s="41" customFormat="1" ht="12.75" customHeight="1">
      <c r="A1728" s="25" t="s">
        <v>1590</v>
      </c>
      <c r="B1728" s="25" t="str">
        <f t="shared" si="792"/>
        <v>Def Tax190501190-107BT010124</v>
      </c>
      <c r="C1728" s="736">
        <v>190501</v>
      </c>
      <c r="D1728" s="735" t="s">
        <v>1768</v>
      </c>
      <c r="E1728" s="41" t="s">
        <v>1938</v>
      </c>
      <c r="F1728" s="41" t="str">
        <f t="shared" si="783"/>
        <v>ADIT-REG-FEDERAL-ELECTRIC</v>
      </c>
      <c r="G1728" s="41" t="s">
        <v>1769</v>
      </c>
      <c r="H1728" s="736" t="s">
        <v>1118</v>
      </c>
      <c r="I1728" s="25"/>
      <c r="J1728" s="25" t="str">
        <f t="shared" si="784"/>
        <v/>
      </c>
      <c r="K1728" s="442" t="str">
        <f t="shared" si="791"/>
        <v/>
      </c>
      <c r="L1728" s="736" t="s">
        <v>2443</v>
      </c>
      <c r="M1728" s="25" t="str">
        <f t="shared" si="795"/>
        <v>R</v>
      </c>
      <c r="N1728" s="25" t="str">
        <f>IF(L1728&lt;&gt;"",VLOOKUP(L1728,Categories!$B$2:$D$41,2,FALSE),IF(F1728&lt;&gt;"","No Cat",""))</f>
        <v>Rate Base</v>
      </c>
      <c r="O1728" s="25" t="str">
        <f>IF($L1728&lt;&gt;"",VLOOKUP($L1728,Categories!$B$2:$D$41,3,FALSE),IF($F1728&lt;&gt;"","No Cat",""))</f>
        <v>Deferred Income Taxes</v>
      </c>
      <c r="P1728" s="736" t="s">
        <v>2482</v>
      </c>
      <c r="Q1728" s="25" t="str">
        <f>VLOOKUP($P1728,Allocators!$B$7:$F$19,5,FALSE)</f>
        <v>Electric</v>
      </c>
      <c r="R1728" s="737">
        <f>VLOOKUP($P1728,Allocators!$B$7:$F$19,2,FALSE)</f>
        <v>1</v>
      </c>
      <c r="S1728" s="737">
        <f>VLOOKUP($P1728,Allocators!$B$7:$F$19,3,FALSE)</f>
        <v>0</v>
      </c>
      <c r="T1728" s="737" t="str">
        <f t="shared" si="793"/>
        <v>0.0%</v>
      </c>
      <c r="U1728" s="2" t="str">
        <f t="shared" si="785"/>
        <v/>
      </c>
      <c r="V1728" s="2" t="str">
        <f t="shared" si="786"/>
        <v/>
      </c>
      <c r="W1728" s="2" t="str">
        <f t="shared" si="787"/>
        <v/>
      </c>
      <c r="X1728" s="2">
        <f t="shared" si="781"/>
        <v>0</v>
      </c>
      <c r="Y1728" s="2" t="str">
        <f t="shared" si="788"/>
        <v/>
      </c>
      <c r="Z1728" s="2" t="str">
        <f t="shared" si="789"/>
        <v/>
      </c>
      <c r="AA1728" s="2" t="str">
        <f t="shared" si="790"/>
        <v/>
      </c>
      <c r="AB1728" s="2">
        <f t="shared" si="782"/>
        <v>0</v>
      </c>
      <c r="AC1728" s="625">
        <v>0</v>
      </c>
      <c r="AD1728" s="625">
        <v>0</v>
      </c>
      <c r="AE1728" s="625">
        <v>0</v>
      </c>
      <c r="AF1728" s="625">
        <v>0</v>
      </c>
      <c r="AG1728" s="625">
        <v>0</v>
      </c>
      <c r="AH1728" s="625">
        <v>0</v>
      </c>
      <c r="AI1728" s="625">
        <v>0</v>
      </c>
      <c r="AJ1728" s="625">
        <v>0</v>
      </c>
      <c r="AK1728" s="625">
        <v>0</v>
      </c>
      <c r="AL1728" s="625">
        <v>0</v>
      </c>
      <c r="AM1728" s="625">
        <v>0</v>
      </c>
      <c r="AN1728" s="625">
        <v>0</v>
      </c>
      <c r="AO1728" s="625">
        <v>0</v>
      </c>
      <c r="AP1728" s="41" t="str">
        <f t="shared" si="778"/>
        <v>Def TaxR</v>
      </c>
      <c r="AQ1728" s="41" t="str">
        <f t="shared" si="779"/>
        <v>Def TaxRR11Medicare Part D</v>
      </c>
      <c r="AR1728" s="41" t="str">
        <f t="shared" si="780"/>
        <v>R11Medicare Part D</v>
      </c>
    </row>
    <row r="1729" spans="1:44" s="41" customFormat="1" ht="12.75" customHeight="1">
      <c r="A1729" s="442" t="s">
        <v>1590</v>
      </c>
      <c r="B1729" s="442" t="str">
        <f t="shared" si="792"/>
        <v>Def Tax190501Mgt AuditBE030596</v>
      </c>
      <c r="C1729" s="736">
        <v>190501</v>
      </c>
      <c r="D1729" s="735" t="s">
        <v>1939</v>
      </c>
      <c r="E1729" s="626" t="s">
        <v>1190</v>
      </c>
      <c r="F1729" s="626" t="str">
        <f t="shared" si="783"/>
        <v>ADIT-REG-FEDERAL-ELECTRIC</v>
      </c>
      <c r="G1729" s="626" t="s">
        <v>1940</v>
      </c>
      <c r="H1729" s="736" t="s">
        <v>1192</v>
      </c>
      <c r="I1729" s="442"/>
      <c r="J1729" s="442" t="s">
        <v>7</v>
      </c>
      <c r="K1729" s="442" t="str">
        <f t="shared" si="791"/>
        <v/>
      </c>
      <c r="L1729" s="736" t="s">
        <v>2436</v>
      </c>
      <c r="M1729" s="442" t="str">
        <f t="shared" si="795"/>
        <v>N</v>
      </c>
      <c r="N1729" s="442" t="str">
        <f>IF(L1729&lt;&gt;"",VLOOKUP(L1729,Categories!$B$2:$D$41,2,FALSE),IF(F1729&lt;&gt;"","No Cat",""))</f>
        <v>NRBASE</v>
      </c>
      <c r="O1729" s="442" t="str">
        <f>IF($L1729&lt;&gt;"",VLOOKUP($L1729,Categories!$B$2:$D$41,3,FALSE),IF($F1729&lt;&gt;"","No Cat",""))</f>
        <v>Deferrals Accruing Non-Cash Return   (other than ASGA)</v>
      </c>
      <c r="P1729" s="736" t="s">
        <v>2468</v>
      </c>
      <c r="Q1729" s="442" t="str">
        <f>VLOOKUP($P1729,Allocators!$B$7:$F$19,5,FALSE)</f>
        <v>Not in Rate Base</v>
      </c>
      <c r="R1729" s="737">
        <f>VLOOKUP($P1729,Allocators!$B$7:$F$19,2,FALSE)</f>
        <v>0</v>
      </c>
      <c r="S1729" s="737">
        <f>VLOOKUP($P1729,Allocators!$B$7:$F$19,3,FALSE)</f>
        <v>0</v>
      </c>
      <c r="T1729" s="737">
        <f t="shared" si="793"/>
        <v>1</v>
      </c>
      <c r="U1729" s="2">
        <f t="shared" si="785"/>
        <v>0</v>
      </c>
      <c r="V1729" s="2">
        <f t="shared" si="786"/>
        <v>0</v>
      </c>
      <c r="W1729" s="2">
        <f t="shared" si="787"/>
        <v>36.057834999999997</v>
      </c>
      <c r="X1729" s="2">
        <f t="shared" si="781"/>
        <v>36.057834999999997</v>
      </c>
      <c r="Y1729" s="2">
        <f t="shared" si="788"/>
        <v>0</v>
      </c>
      <c r="Z1729" s="2">
        <f t="shared" si="789"/>
        <v>0</v>
      </c>
      <c r="AA1729" s="2">
        <f t="shared" si="790"/>
        <v>64.769300000000001</v>
      </c>
      <c r="AB1729" s="2">
        <f t="shared" si="782"/>
        <v>64.769300000000001</v>
      </c>
      <c r="AC1729" s="625">
        <v>7.3521599999999996</v>
      </c>
      <c r="AD1729" s="625">
        <v>12.1356</v>
      </c>
      <c r="AE1729" s="625">
        <v>16.919270000000001</v>
      </c>
      <c r="AF1729" s="625">
        <v>21.70318</v>
      </c>
      <c r="AG1729" s="625">
        <v>26.48733</v>
      </c>
      <c r="AH1729" s="625">
        <v>31.271729999999998</v>
      </c>
      <c r="AI1729" s="625">
        <v>36.056359999999998</v>
      </c>
      <c r="AJ1729" s="625">
        <v>40.841230000000003</v>
      </c>
      <c r="AK1729" s="625">
        <v>45.626349999999995</v>
      </c>
      <c r="AL1729" s="625">
        <v>50.411720000000003</v>
      </c>
      <c r="AM1729" s="625">
        <v>55.197330000000001</v>
      </c>
      <c r="AN1729" s="625">
        <v>59.98319</v>
      </c>
      <c r="AO1729" s="625">
        <v>64.769300000000001</v>
      </c>
      <c r="AP1729" s="41" t="str">
        <f t="shared" si="778"/>
        <v>Def TaxN</v>
      </c>
      <c r="AQ1729" s="41" t="str">
        <f t="shared" si="779"/>
        <v>Def TaxNN10Management Audit Deferral</v>
      </c>
      <c r="AR1729" s="41" t="str">
        <f t="shared" si="780"/>
        <v>N10Management Audit DeferralNCR</v>
      </c>
    </row>
    <row r="1730" spans="1:44" s="41" customFormat="1" ht="12.75" customHeight="1">
      <c r="A1730" s="442" t="s">
        <v>1590</v>
      </c>
      <c r="B1730" s="442" t="str">
        <f t="shared" si="792"/>
        <v>Def Tax190501190-113BE030416</v>
      </c>
      <c r="C1730" s="736">
        <v>190501</v>
      </c>
      <c r="D1730" s="735" t="s">
        <v>1941</v>
      </c>
      <c r="E1730" s="626" t="s">
        <v>759</v>
      </c>
      <c r="F1730" s="626" t="str">
        <f t="shared" si="783"/>
        <v>ADIT-REG-FEDERAL-ELECTRIC</v>
      </c>
      <c r="G1730" s="626" t="s">
        <v>1942</v>
      </c>
      <c r="H1730" s="736">
        <v>0</v>
      </c>
      <c r="I1730" s="442"/>
      <c r="J1730" s="442" t="str">
        <f t="shared" si="784"/>
        <v/>
      </c>
      <c r="K1730" s="442" t="str">
        <f t="shared" si="791"/>
        <v/>
      </c>
      <c r="L1730" s="736" t="s">
        <v>2421</v>
      </c>
      <c r="M1730" s="442" t="str">
        <f t="shared" si="795"/>
        <v>N</v>
      </c>
      <c r="N1730" s="442" t="str">
        <f>IF(L1730&lt;&gt;"",VLOOKUP(L1730,Categories!$B$2:$D$41,2,FALSE),IF(F1730&lt;&gt;"","No Cat",""))</f>
        <v>NRBASE</v>
      </c>
      <c r="O1730" s="442" t="str">
        <f>IF($L1730&lt;&gt;"",VLOOKUP($L1730,Categories!$B$2:$D$41,3,FALSE),IF($F1730&lt;&gt;"","No Cat",""))</f>
        <v>Direct Assign Items Not in RB</v>
      </c>
      <c r="P1730" s="736" t="s">
        <v>2468</v>
      </c>
      <c r="Q1730" s="442" t="str">
        <f>VLOOKUP($P1730,Allocators!$B$7:$F$19,5,FALSE)</f>
        <v>Not in Rate Base</v>
      </c>
      <c r="R1730" s="737">
        <f>VLOOKUP($P1730,Allocators!$B$7:$F$19,2,FALSE)</f>
        <v>0</v>
      </c>
      <c r="S1730" s="737">
        <f>VLOOKUP($P1730,Allocators!$B$7:$F$19,3,FALSE)</f>
        <v>0</v>
      </c>
      <c r="T1730" s="737">
        <f t="shared" si="793"/>
        <v>1</v>
      </c>
      <c r="U1730" s="2" t="str">
        <f t="shared" si="785"/>
        <v/>
      </c>
      <c r="V1730" s="2" t="str">
        <f t="shared" si="786"/>
        <v/>
      </c>
      <c r="W1730" s="2" t="str">
        <f t="shared" si="787"/>
        <v/>
      </c>
      <c r="X1730" s="2">
        <f t="shared" si="781"/>
        <v>0</v>
      </c>
      <c r="Y1730" s="2" t="str">
        <f t="shared" si="788"/>
        <v/>
      </c>
      <c r="Z1730" s="2" t="str">
        <f t="shared" si="789"/>
        <v/>
      </c>
      <c r="AA1730" s="2" t="str">
        <f t="shared" si="790"/>
        <v/>
      </c>
      <c r="AB1730" s="2">
        <f t="shared" si="782"/>
        <v>0</v>
      </c>
      <c r="AC1730" s="625">
        <v>0</v>
      </c>
      <c r="AD1730" s="625">
        <v>0</v>
      </c>
      <c r="AE1730" s="625">
        <v>0</v>
      </c>
      <c r="AF1730" s="625">
        <v>0</v>
      </c>
      <c r="AG1730" s="625">
        <v>0</v>
      </c>
      <c r="AH1730" s="625">
        <v>0</v>
      </c>
      <c r="AI1730" s="625">
        <v>0</v>
      </c>
      <c r="AJ1730" s="625">
        <v>0</v>
      </c>
      <c r="AK1730" s="625">
        <v>0</v>
      </c>
      <c r="AL1730" s="625">
        <v>0</v>
      </c>
      <c r="AM1730" s="625">
        <v>0</v>
      </c>
      <c r="AN1730" s="625">
        <v>0</v>
      </c>
      <c r="AO1730" s="625">
        <v>0</v>
      </c>
      <c r="AP1730" s="41" t="str">
        <f t="shared" si="778"/>
        <v>Def TaxN</v>
      </c>
      <c r="AQ1730" s="41" t="str">
        <f t="shared" si="779"/>
        <v>Def TaxNN20</v>
      </c>
      <c r="AR1730" s="41" t="str">
        <f t="shared" si="780"/>
        <v>N20</v>
      </c>
    </row>
    <row r="1731" spans="1:44" s="41" customFormat="1" ht="12.75" customHeight="1">
      <c r="A1731" s="442" t="s">
        <v>1590</v>
      </c>
      <c r="B1731" s="442" t="str">
        <f t="shared" si="792"/>
        <v>Def Tax190501BE030915</v>
      </c>
      <c r="C1731" s="736">
        <v>190501</v>
      </c>
      <c r="D1731" s="735"/>
      <c r="E1731" s="626" t="s">
        <v>1207</v>
      </c>
      <c r="F1731" s="626" t="str">
        <f t="shared" si="783"/>
        <v>ADIT-REG-FEDERAL-ELECTRIC</v>
      </c>
      <c r="G1731" s="626" t="s">
        <v>1943</v>
      </c>
      <c r="H1731" s="736" t="s">
        <v>1210</v>
      </c>
      <c r="I1731" s="442"/>
      <c r="J1731" s="442" t="s">
        <v>7</v>
      </c>
      <c r="K1731" s="442" t="str">
        <f t="shared" si="791"/>
        <v/>
      </c>
      <c r="L1731" s="736" t="s">
        <v>2436</v>
      </c>
      <c r="M1731" s="442" t="str">
        <f t="shared" si="795"/>
        <v>N</v>
      </c>
      <c r="N1731" s="442" t="str">
        <f>IF(L1731&lt;&gt;"",VLOOKUP(L1731,Categories!$B$2:$D$41,2,FALSE),IF(F1731&lt;&gt;"","No Cat",""))</f>
        <v>NRBASE</v>
      </c>
      <c r="O1731" s="442" t="str">
        <f>IF($L1731&lt;&gt;"",VLOOKUP($L1731,Categories!$B$2:$D$41,3,FALSE),IF($F1731&lt;&gt;"","No Cat",""))</f>
        <v>Deferrals Accruing Non-Cash Return   (other than ASGA)</v>
      </c>
      <c r="P1731" s="736" t="s">
        <v>2468</v>
      </c>
      <c r="Q1731" s="442" t="str">
        <f>VLOOKUP($P1731,Allocators!$B$7:$F$19,5,FALSE)</f>
        <v>Not in Rate Base</v>
      </c>
      <c r="R1731" s="737">
        <f>VLOOKUP($P1731,Allocators!$B$7:$F$19,2,FALSE)</f>
        <v>0</v>
      </c>
      <c r="S1731" s="737">
        <f>VLOOKUP($P1731,Allocators!$B$7:$F$19,3,FALSE)</f>
        <v>0</v>
      </c>
      <c r="T1731" s="737">
        <f t="shared" si="793"/>
        <v>1</v>
      </c>
      <c r="U1731" s="2" t="str">
        <f t="shared" si="785"/>
        <v/>
      </c>
      <c r="V1731" s="2" t="str">
        <f t="shared" si="786"/>
        <v/>
      </c>
      <c r="W1731" s="2" t="str">
        <f t="shared" si="787"/>
        <v/>
      </c>
      <c r="X1731" s="2">
        <f t="shared" si="781"/>
        <v>0</v>
      </c>
      <c r="Y1731" s="2" t="str">
        <f t="shared" si="788"/>
        <v/>
      </c>
      <c r="Z1731" s="2" t="str">
        <f t="shared" si="789"/>
        <v/>
      </c>
      <c r="AA1731" s="2" t="str">
        <f t="shared" si="790"/>
        <v/>
      </c>
      <c r="AB1731" s="2">
        <f t="shared" si="782"/>
        <v>0</v>
      </c>
      <c r="AC1731" s="625">
        <v>0</v>
      </c>
      <c r="AD1731" s="625">
        <v>0</v>
      </c>
      <c r="AE1731" s="625">
        <v>0</v>
      </c>
      <c r="AF1731" s="625">
        <v>0</v>
      </c>
      <c r="AG1731" s="625">
        <v>0</v>
      </c>
      <c r="AH1731" s="625">
        <v>0</v>
      </c>
      <c r="AI1731" s="625">
        <v>0</v>
      </c>
      <c r="AJ1731" s="625">
        <v>0</v>
      </c>
      <c r="AK1731" s="625">
        <v>0</v>
      </c>
      <c r="AL1731" s="625">
        <v>0</v>
      </c>
      <c r="AM1731" s="625">
        <v>0</v>
      </c>
      <c r="AN1731" s="625">
        <v>0</v>
      </c>
      <c r="AO1731" s="625">
        <v>0</v>
      </c>
      <c r="AP1731" s="41" t="str">
        <f t="shared" si="778"/>
        <v>Def TaxN</v>
      </c>
      <c r="AQ1731" s="41" t="str">
        <f t="shared" si="779"/>
        <v>Def TaxNN10SBC</v>
      </c>
      <c r="AR1731" s="41" t="str">
        <f t="shared" si="780"/>
        <v>N10SBCNCR</v>
      </c>
    </row>
    <row r="1732" spans="1:44" s="41" customFormat="1" ht="12.75" customHeight="1">
      <c r="A1732" s="442" t="s">
        <v>1590</v>
      </c>
      <c r="B1732" s="442" t="str">
        <f t="shared" si="792"/>
        <v>Def Tax190501BE030932</v>
      </c>
      <c r="C1732" s="736">
        <v>190501</v>
      </c>
      <c r="D1732" s="735"/>
      <c r="E1732" s="626" t="s">
        <v>4052</v>
      </c>
      <c r="F1732" s="626" t="str">
        <f>VLOOKUP(C1732,$C$7:$F$787,4,FALSE)</f>
        <v>ADIT-REG-FEDERAL-ELECTRIC</v>
      </c>
      <c r="G1732" s="740" t="s">
        <v>4051</v>
      </c>
      <c r="H1732" s="736" t="s">
        <v>4377</v>
      </c>
      <c r="I1732" s="442"/>
      <c r="J1732" s="442"/>
      <c r="K1732" s="442" t="str">
        <f t="shared" si="791"/>
        <v/>
      </c>
      <c r="L1732" s="736" t="s">
        <v>2443</v>
      </c>
      <c r="M1732" s="442" t="str">
        <f t="shared" si="795"/>
        <v>R</v>
      </c>
      <c r="N1732" s="442" t="str">
        <f>IF(L1732&lt;&gt;"",VLOOKUP(L1732,Categories!$B$2:$D$41,2,FALSE),IF(F1732&lt;&gt;"","No Cat",""))</f>
        <v>Rate Base</v>
      </c>
      <c r="O1732" s="442" t="str">
        <f>IF($L1732&lt;&gt;"",VLOOKUP($L1732,Categories!$B$2:$D$41,3,FALSE),IF($F1732&lt;&gt;"","No Cat",""))</f>
        <v>Deferred Income Taxes</v>
      </c>
      <c r="P1732" s="736" t="s">
        <v>2482</v>
      </c>
      <c r="Q1732" s="442" t="str">
        <f>VLOOKUP($P1732,Allocators!$B$7:$F$19,5,FALSE)</f>
        <v>Electric</v>
      </c>
      <c r="R1732" s="737">
        <f>VLOOKUP($P1732,Allocators!$B$7:$F$19,2,FALSE)</f>
        <v>1</v>
      </c>
      <c r="S1732" s="737">
        <f>VLOOKUP($P1732,Allocators!$B$7:$F$19,3,FALSE)</f>
        <v>0</v>
      </c>
      <c r="T1732" s="737" t="str">
        <f t="shared" si="793"/>
        <v>0.0%</v>
      </c>
      <c r="U1732" s="2">
        <f t="shared" si="785"/>
        <v>-9356.2359183333301</v>
      </c>
      <c r="V1732" s="2">
        <f t="shared" si="786"/>
        <v>0</v>
      </c>
      <c r="W1732" s="2">
        <f t="shared" si="787"/>
        <v>0</v>
      </c>
      <c r="X1732" s="2">
        <f t="shared" si="781"/>
        <v>-9356.2359183333301</v>
      </c>
      <c r="Y1732" s="2">
        <f t="shared" si="788"/>
        <v>-10806.64343</v>
      </c>
      <c r="Z1732" s="2">
        <f t="shared" si="789"/>
        <v>0</v>
      </c>
      <c r="AA1732" s="2">
        <f t="shared" si="790"/>
        <v>0</v>
      </c>
      <c r="AB1732" s="2">
        <f t="shared" si="782"/>
        <v>-10806.64343</v>
      </c>
      <c r="AC1732" s="625">
        <v>-8015.36319</v>
      </c>
      <c r="AD1732" s="625">
        <v>-8238.01217</v>
      </c>
      <c r="AE1732" s="625">
        <v>-8460.6611499999999</v>
      </c>
      <c r="AF1732" s="625">
        <v>-8683.3101300000017</v>
      </c>
      <c r="AG1732" s="625">
        <v>-8905.9591099999998</v>
      </c>
      <c r="AH1732" s="625">
        <v>-9128.6080899999997</v>
      </c>
      <c r="AI1732" s="625">
        <v>-9351.2570599999999</v>
      </c>
      <c r="AJ1732" s="625">
        <v>-9573.9060399999998</v>
      </c>
      <c r="AK1732" s="625">
        <v>-9796.5550199999998</v>
      </c>
      <c r="AL1732" s="625">
        <v>-10019.204</v>
      </c>
      <c r="AM1732" s="625">
        <v>-10241.85298</v>
      </c>
      <c r="AN1732" s="625">
        <v>-10464.501960000001</v>
      </c>
      <c r="AO1732" s="625">
        <v>-10806.64343</v>
      </c>
      <c r="AP1732" s="41" t="str">
        <f t="shared" si="778"/>
        <v>Def TaxR</v>
      </c>
      <c r="AQ1732" s="41" t="str">
        <f t="shared" si="779"/>
        <v>Def TaxRR11Funded DIT Tax True-up Deferral</v>
      </c>
      <c r="AR1732" s="41" t="str">
        <f t="shared" si="780"/>
        <v>R11Funded DIT Tax True-up Deferral</v>
      </c>
    </row>
    <row r="1733" spans="1:44" s="41" customFormat="1" ht="12.75" customHeight="1">
      <c r="A1733" s="442" t="s">
        <v>1590</v>
      </c>
      <c r="B1733" s="442" t="str">
        <f t="shared" ref="B1733" si="796">CONCATENATE(A1733,C1733,D1733,E1733)</f>
        <v>Def Tax190501BE030908</v>
      </c>
      <c r="C1733" s="736">
        <v>190501</v>
      </c>
      <c r="D1733" s="735"/>
      <c r="E1733" s="626" t="s">
        <v>2812</v>
      </c>
      <c r="F1733" s="626" t="str">
        <f>VLOOKUP(C1733,$C$7:$F$787,4,FALSE)</f>
        <v>ADIT-REG-FEDERAL-ELECTRIC</v>
      </c>
      <c r="G1733" s="740" t="s">
        <v>4053</v>
      </c>
      <c r="H1733" s="736" t="s">
        <v>2816</v>
      </c>
      <c r="I1733" s="442"/>
      <c r="J1733" s="442" t="s">
        <v>7</v>
      </c>
      <c r="K1733" s="442" t="str">
        <f t="shared" si="791"/>
        <v/>
      </c>
      <c r="L1733" s="736" t="s">
        <v>2421</v>
      </c>
      <c r="M1733" s="442" t="str">
        <f t="shared" ref="M1733:M1734" si="797">LEFT(L1733,1)</f>
        <v>N</v>
      </c>
      <c r="N1733" s="442" t="str">
        <f>IF(L1733&lt;&gt;"",VLOOKUP(L1733,Categories!$B$2:$D$41,2,FALSE),IF(F1733&lt;&gt;"","No Cat",""))</f>
        <v>NRBASE</v>
      </c>
      <c r="O1733" s="442" t="str">
        <f>IF($L1733&lt;&gt;"",VLOOKUP($L1733,Categories!$B$2:$D$41,3,FALSE),IF($F1733&lt;&gt;"","No Cat",""))</f>
        <v>Direct Assign Items Not in RB</v>
      </c>
      <c r="P1733" s="736" t="s">
        <v>2468</v>
      </c>
      <c r="Q1733" s="442" t="str">
        <f>VLOOKUP($P1733,Allocators!$B$7:$F$19,5,FALSE)</f>
        <v>Not in Rate Base</v>
      </c>
      <c r="R1733" s="737">
        <f>VLOOKUP($P1733,Allocators!$B$7:$F$19,2,FALSE)</f>
        <v>0</v>
      </c>
      <c r="S1733" s="737">
        <f>VLOOKUP($P1733,Allocators!$B$7:$F$19,3,FALSE)</f>
        <v>0</v>
      </c>
      <c r="T1733" s="737">
        <f t="shared" ref="T1733:T1734" si="798">IF(P1733="N",1,"0.0%")</f>
        <v>1</v>
      </c>
      <c r="U1733" s="2">
        <f t="shared" si="785"/>
        <v>0</v>
      </c>
      <c r="V1733" s="2">
        <f t="shared" si="786"/>
        <v>0</v>
      </c>
      <c r="W1733" s="2">
        <f t="shared" si="787"/>
        <v>959.00824583333304</v>
      </c>
      <c r="X1733" s="2">
        <f t="shared" si="781"/>
        <v>959.00824583333304</v>
      </c>
      <c r="Y1733" s="2">
        <f t="shared" si="788"/>
        <v>0</v>
      </c>
      <c r="Z1733" s="2">
        <f t="shared" si="789"/>
        <v>0</v>
      </c>
      <c r="AA1733" s="2">
        <f t="shared" si="790"/>
        <v>1239.8603599999999</v>
      </c>
      <c r="AB1733" s="2">
        <f t="shared" si="782"/>
        <v>1239.8603600000001</v>
      </c>
      <c r="AC1733" s="625">
        <v>684.39026000000001</v>
      </c>
      <c r="AD1733" s="625">
        <v>729.25427000000002</v>
      </c>
      <c r="AE1733" s="625">
        <v>774.37254000000007</v>
      </c>
      <c r="AF1733" s="625">
        <v>819.74649999999997</v>
      </c>
      <c r="AG1733" s="625">
        <v>865.37761</v>
      </c>
      <c r="AH1733" s="625">
        <v>911.26731999999993</v>
      </c>
      <c r="AI1733" s="625">
        <v>957.41710999999998</v>
      </c>
      <c r="AJ1733" s="625">
        <v>1003.82843</v>
      </c>
      <c r="AK1733" s="625">
        <v>1050.50278</v>
      </c>
      <c r="AL1733" s="625">
        <v>1097.44164</v>
      </c>
      <c r="AM1733" s="625">
        <v>1144.64652</v>
      </c>
      <c r="AN1733" s="625">
        <v>1192.1189199999999</v>
      </c>
      <c r="AO1733" s="625">
        <v>1239.8603600000001</v>
      </c>
      <c r="AP1733" s="41" t="str">
        <f t="shared" si="778"/>
        <v>Def TaxN</v>
      </c>
      <c r="AQ1733" s="41" t="str">
        <f t="shared" si="779"/>
        <v>Def TaxNN2Theoretical Reserve</v>
      </c>
      <c r="AR1733" s="41" t="str">
        <f t="shared" si="780"/>
        <v>N2Theoretical ReserveNCR</v>
      </c>
    </row>
    <row r="1734" spans="1:44" s="41" customFormat="1" ht="12.75" customHeight="1">
      <c r="A1734" s="442" t="s">
        <v>1590</v>
      </c>
      <c r="B1734" s="442" t="str">
        <f t="shared" ref="B1734" si="799">CONCATENATE(A1734,C1734,D1734,E1734)</f>
        <v>Def Tax190501BT010154</v>
      </c>
      <c r="C1734" s="736">
        <v>190501</v>
      </c>
      <c r="D1734" s="735"/>
      <c r="E1734" s="626" t="s">
        <v>4117</v>
      </c>
      <c r="F1734" s="626" t="str">
        <f>VLOOKUP(C1734,$C$7:$F$787,4,FALSE)</f>
        <v>ADIT-REG-FEDERAL-ELECTRIC</v>
      </c>
      <c r="G1734" s="740" t="s">
        <v>4103</v>
      </c>
      <c r="H1734" s="736" t="s">
        <v>4103</v>
      </c>
      <c r="I1734" s="25"/>
      <c r="J1734" s="25" t="str">
        <f t="shared" ref="J1734" si="800">IF(L1734="N10","Y",IF(L1734="N8","Y",""))</f>
        <v/>
      </c>
      <c r="K1734" s="442" t="str">
        <f t="shared" si="791"/>
        <v/>
      </c>
      <c r="L1734" s="736" t="s">
        <v>2443</v>
      </c>
      <c r="M1734" s="25" t="str">
        <f t="shared" si="797"/>
        <v>R</v>
      </c>
      <c r="N1734" s="25" t="str">
        <f>IF(L1734&lt;&gt;"",VLOOKUP(L1734,Categories!$B$2:$D$41,2,FALSE),IF(F1734&lt;&gt;"","No Cat",""))</f>
        <v>Rate Base</v>
      </c>
      <c r="O1734" s="25" t="str">
        <f>IF($L1734&lt;&gt;"",VLOOKUP($L1734,Categories!$B$2:$D$41,3,FALSE),IF($F1734&lt;&gt;"","No Cat",""))</f>
        <v>Deferred Income Taxes</v>
      </c>
      <c r="P1734" s="736" t="s">
        <v>2482</v>
      </c>
      <c r="Q1734" s="25" t="str">
        <f>VLOOKUP($P1734,Allocators!$B$7:$F$19,5,FALSE)</f>
        <v>Electric</v>
      </c>
      <c r="R1734" s="737">
        <f>VLOOKUP($P1734,Allocators!$B$7:$F$19,2,FALSE)</f>
        <v>1</v>
      </c>
      <c r="S1734" s="737">
        <f>VLOOKUP($P1734,Allocators!$B$7:$F$19,3,FALSE)</f>
        <v>0</v>
      </c>
      <c r="T1734" s="737" t="str">
        <f t="shared" si="798"/>
        <v>0.0%</v>
      </c>
      <c r="U1734" s="2">
        <f t="shared" si="785"/>
        <v>3138.8069099999998</v>
      </c>
      <c r="V1734" s="2">
        <f t="shared" si="786"/>
        <v>0</v>
      </c>
      <c r="W1734" s="2">
        <f t="shared" si="787"/>
        <v>0</v>
      </c>
      <c r="X1734" s="2">
        <f t="shared" si="781"/>
        <v>3138.8069099999998</v>
      </c>
      <c r="Y1734" s="2">
        <f t="shared" si="788"/>
        <v>3138.8069099999998</v>
      </c>
      <c r="Z1734" s="2">
        <f t="shared" si="789"/>
        <v>0</v>
      </c>
      <c r="AA1734" s="2">
        <f t="shared" si="790"/>
        <v>0</v>
      </c>
      <c r="AB1734" s="2">
        <f t="shared" si="782"/>
        <v>3138.8069100000002</v>
      </c>
      <c r="AC1734" s="625">
        <v>3138.8069100000002</v>
      </c>
      <c r="AD1734" s="625">
        <v>3138.8069100000002</v>
      </c>
      <c r="AE1734" s="625">
        <v>3138.8069100000002</v>
      </c>
      <c r="AF1734" s="625">
        <v>3138.8069100000002</v>
      </c>
      <c r="AG1734" s="625">
        <v>3138.8069100000002</v>
      </c>
      <c r="AH1734" s="625">
        <v>3138.8069100000002</v>
      </c>
      <c r="AI1734" s="625">
        <v>3138.8069100000002</v>
      </c>
      <c r="AJ1734" s="625">
        <v>3138.8069100000002</v>
      </c>
      <c r="AK1734" s="625">
        <v>3138.8069100000002</v>
      </c>
      <c r="AL1734" s="625">
        <v>3138.8069100000002</v>
      </c>
      <c r="AM1734" s="625">
        <v>3138.8069100000002</v>
      </c>
      <c r="AN1734" s="625">
        <v>3138.8069100000002</v>
      </c>
      <c r="AO1734" s="625">
        <v>3138.8069100000002</v>
      </c>
      <c r="AP1734" s="41" t="str">
        <f t="shared" si="778"/>
        <v>Def TaxR</v>
      </c>
      <c r="AQ1734" s="41" t="str">
        <f t="shared" si="779"/>
        <v>Def TaxRR11Net Plant Reconciliation</v>
      </c>
      <c r="AR1734" s="41" t="str">
        <f t="shared" si="780"/>
        <v>R11Net Plant Reconciliation</v>
      </c>
    </row>
    <row r="1735" spans="1:44" s="41" customFormat="1" ht="12.75" customHeight="1">
      <c r="A1735" s="25" t="s">
        <v>1590</v>
      </c>
      <c r="B1735" s="25" t="str">
        <f t="shared" si="792"/>
        <v>Def Tax190501190-042BE030272</v>
      </c>
      <c r="C1735" s="736">
        <v>190501</v>
      </c>
      <c r="D1735" s="735" t="s">
        <v>1944</v>
      </c>
      <c r="E1735" s="41" t="s">
        <v>992</v>
      </c>
      <c r="F1735" s="41" t="str">
        <f t="shared" si="783"/>
        <v>ADIT-REG-FEDERAL-ELECTRIC</v>
      </c>
      <c r="G1735" s="41" t="s">
        <v>1945</v>
      </c>
      <c r="H1735" s="736" t="s">
        <v>1946</v>
      </c>
      <c r="I1735" s="25"/>
      <c r="J1735" s="25" t="str">
        <f t="shared" si="784"/>
        <v/>
      </c>
      <c r="K1735" s="442" t="str">
        <f t="shared" si="791"/>
        <v/>
      </c>
      <c r="L1735" s="736" t="s">
        <v>2443</v>
      </c>
      <c r="M1735" s="25" t="str">
        <f t="shared" si="795"/>
        <v>R</v>
      </c>
      <c r="N1735" s="25" t="str">
        <f>IF(L1735&lt;&gt;"",VLOOKUP(L1735,Categories!$B$2:$D$41,2,FALSE),IF(F1735&lt;&gt;"","No Cat",""))</f>
        <v>Rate Base</v>
      </c>
      <c r="O1735" s="25" t="str">
        <f>IF($L1735&lt;&gt;"",VLOOKUP($L1735,Categories!$B$2:$D$41,3,FALSE),IF($F1735&lt;&gt;"","No Cat",""))</f>
        <v>Deferred Income Taxes</v>
      </c>
      <c r="P1735" s="736" t="s">
        <v>2482</v>
      </c>
      <c r="Q1735" s="25" t="str">
        <f>VLOOKUP($P1735,Allocators!$B$7:$F$19,5,FALSE)</f>
        <v>Electric</v>
      </c>
      <c r="R1735" s="737">
        <f>VLOOKUP($P1735,Allocators!$B$7:$F$19,2,FALSE)</f>
        <v>1</v>
      </c>
      <c r="S1735" s="737">
        <f>VLOOKUP($P1735,Allocators!$B$7:$F$19,3,FALSE)</f>
        <v>0</v>
      </c>
      <c r="T1735" s="737" t="str">
        <f t="shared" si="793"/>
        <v>0.0%</v>
      </c>
      <c r="U1735" s="2" t="str">
        <f t="shared" si="785"/>
        <v/>
      </c>
      <c r="V1735" s="2" t="str">
        <f t="shared" si="786"/>
        <v/>
      </c>
      <c r="W1735" s="2" t="str">
        <f t="shared" si="787"/>
        <v/>
      </c>
      <c r="X1735" s="2">
        <f t="shared" si="781"/>
        <v>0</v>
      </c>
      <c r="Y1735" s="2" t="str">
        <f t="shared" si="788"/>
        <v/>
      </c>
      <c r="Z1735" s="2" t="str">
        <f t="shared" si="789"/>
        <v/>
      </c>
      <c r="AA1735" s="2" t="str">
        <f t="shared" si="790"/>
        <v/>
      </c>
      <c r="AB1735" s="2">
        <f t="shared" si="782"/>
        <v>0</v>
      </c>
      <c r="AC1735" s="625">
        <v>0</v>
      </c>
      <c r="AD1735" s="625">
        <v>0</v>
      </c>
      <c r="AE1735" s="625">
        <v>0</v>
      </c>
      <c r="AF1735" s="625">
        <v>0</v>
      </c>
      <c r="AG1735" s="625">
        <v>0</v>
      </c>
      <c r="AH1735" s="625">
        <v>0</v>
      </c>
      <c r="AI1735" s="625">
        <v>0</v>
      </c>
      <c r="AJ1735" s="625">
        <v>0</v>
      </c>
      <c r="AK1735" s="625">
        <v>0</v>
      </c>
      <c r="AL1735" s="625">
        <v>0</v>
      </c>
      <c r="AM1735" s="625">
        <v>0</v>
      </c>
      <c r="AN1735" s="625">
        <v>0</v>
      </c>
      <c r="AO1735" s="625">
        <v>0</v>
      </c>
      <c r="AP1735" s="41" t="str">
        <f t="shared" si="778"/>
        <v>Def TaxR</v>
      </c>
      <c r="AQ1735" s="41" t="str">
        <f t="shared" si="779"/>
        <v>Def TaxRR11NM2 Related</v>
      </c>
      <c r="AR1735" s="41" t="str">
        <f t="shared" si="780"/>
        <v>R11NM2 Related</v>
      </c>
    </row>
    <row r="1736" spans="1:44" s="41" customFormat="1" ht="12.75" customHeight="1">
      <c r="A1736" s="25" t="s">
        <v>1590</v>
      </c>
      <c r="B1736" s="25" t="str">
        <f t="shared" si="792"/>
        <v>Def Tax190501TCCBE030276</v>
      </c>
      <c r="C1736" s="736">
        <v>190501</v>
      </c>
      <c r="D1736" s="735" t="s">
        <v>1947</v>
      </c>
      <c r="E1736" s="41" t="s">
        <v>993</v>
      </c>
      <c r="F1736" s="41" t="str">
        <f t="shared" si="783"/>
        <v>ADIT-REG-FEDERAL-ELECTRIC</v>
      </c>
      <c r="G1736" s="41" t="s">
        <v>1948</v>
      </c>
      <c r="H1736" s="736" t="s">
        <v>1145</v>
      </c>
      <c r="I1736" s="25"/>
      <c r="J1736" s="25" t="str">
        <f t="shared" si="784"/>
        <v/>
      </c>
      <c r="K1736" s="442" t="str">
        <f t="shared" si="791"/>
        <v/>
      </c>
      <c r="L1736" s="736" t="s">
        <v>2443</v>
      </c>
      <c r="M1736" s="25" t="str">
        <f t="shared" si="795"/>
        <v>R</v>
      </c>
      <c r="N1736" s="25" t="str">
        <f>IF(L1736&lt;&gt;"",VLOOKUP(L1736,Categories!$B$2:$D$41,2,FALSE),IF(F1736&lt;&gt;"","No Cat",""))</f>
        <v>Rate Base</v>
      </c>
      <c r="O1736" s="25" t="str">
        <f>IF($L1736&lt;&gt;"",VLOOKUP($L1736,Categories!$B$2:$D$41,3,FALSE),IF($F1736&lt;&gt;"","No Cat",""))</f>
        <v>Deferred Income Taxes</v>
      </c>
      <c r="P1736" s="736" t="s">
        <v>2482</v>
      </c>
      <c r="Q1736" s="25" t="str">
        <f>VLOOKUP($P1736,Allocators!$B$7:$F$19,5,FALSE)</f>
        <v>Electric</v>
      </c>
      <c r="R1736" s="737">
        <f>VLOOKUP($P1736,Allocators!$B$7:$F$19,2,FALSE)</f>
        <v>1</v>
      </c>
      <c r="S1736" s="737">
        <f>VLOOKUP($P1736,Allocators!$B$7:$F$19,3,FALSE)</f>
        <v>0</v>
      </c>
      <c r="T1736" s="737" t="str">
        <f t="shared" si="793"/>
        <v>0.0%</v>
      </c>
      <c r="U1736" s="2" t="str">
        <f t="shared" si="785"/>
        <v/>
      </c>
      <c r="V1736" s="2" t="str">
        <f t="shared" si="786"/>
        <v/>
      </c>
      <c r="W1736" s="2" t="str">
        <f t="shared" si="787"/>
        <v/>
      </c>
      <c r="X1736" s="2">
        <f t="shared" si="781"/>
        <v>0</v>
      </c>
      <c r="Y1736" s="2" t="str">
        <f t="shared" si="788"/>
        <v/>
      </c>
      <c r="Z1736" s="2" t="str">
        <f t="shared" si="789"/>
        <v/>
      </c>
      <c r="AA1736" s="2" t="str">
        <f t="shared" si="790"/>
        <v/>
      </c>
      <c r="AB1736" s="2">
        <f t="shared" si="782"/>
        <v>0</v>
      </c>
      <c r="AC1736" s="625">
        <v>0</v>
      </c>
      <c r="AD1736" s="625">
        <v>0</v>
      </c>
      <c r="AE1736" s="625">
        <v>0</v>
      </c>
      <c r="AF1736" s="625">
        <v>0</v>
      </c>
      <c r="AG1736" s="625">
        <v>0</v>
      </c>
      <c r="AH1736" s="625">
        <v>0</v>
      </c>
      <c r="AI1736" s="625">
        <v>0</v>
      </c>
      <c r="AJ1736" s="625">
        <v>0</v>
      </c>
      <c r="AK1736" s="625">
        <v>0</v>
      </c>
      <c r="AL1736" s="625">
        <v>0</v>
      </c>
      <c r="AM1736" s="625">
        <v>0</v>
      </c>
      <c r="AN1736" s="625">
        <v>0</v>
      </c>
      <c r="AO1736" s="625">
        <v>0</v>
      </c>
      <c r="AP1736" s="41" t="str">
        <f t="shared" ref="AP1736:AP1799" si="801">CONCATENATE(A1736,M1736)</f>
        <v>Def TaxR</v>
      </c>
      <c r="AQ1736" s="41" t="str">
        <f t="shared" ref="AQ1736:AQ1799" si="802">CONCATENATE(AP1736,L1736,H1736)</f>
        <v>Def TaxRR11NM2 Sale</v>
      </c>
      <c r="AR1736" s="41" t="str">
        <f t="shared" ref="AR1736:AR1799" si="803">CONCATENATE(L1736,H1736,J1736)</f>
        <v>R11NM2 Sale</v>
      </c>
    </row>
    <row r="1737" spans="1:44" s="41" customFormat="1" ht="12.75" customHeight="1">
      <c r="A1737" s="25" t="s">
        <v>1590</v>
      </c>
      <c r="B1737" s="25" t="str">
        <f t="shared" si="792"/>
        <v>Def Tax190501190-005BE030395</v>
      </c>
      <c r="C1737" s="736">
        <v>190501</v>
      </c>
      <c r="D1737" s="735" t="s">
        <v>1949</v>
      </c>
      <c r="E1737" s="41" t="s">
        <v>952</v>
      </c>
      <c r="F1737" s="41" t="str">
        <f t="shared" si="783"/>
        <v>ADIT-REG-FEDERAL-ELECTRIC</v>
      </c>
      <c r="G1737" s="41" t="s">
        <v>1950</v>
      </c>
      <c r="H1737" s="736" t="s">
        <v>1174</v>
      </c>
      <c r="I1737" s="25"/>
      <c r="J1737" s="25" t="str">
        <f t="shared" si="784"/>
        <v>Y</v>
      </c>
      <c r="K1737" s="442" t="str">
        <f t="shared" si="791"/>
        <v/>
      </c>
      <c r="L1737" s="736" t="s">
        <v>2436</v>
      </c>
      <c r="M1737" s="25" t="str">
        <f t="shared" si="795"/>
        <v>N</v>
      </c>
      <c r="N1737" s="25" t="str">
        <f>IF(L1737&lt;&gt;"",VLOOKUP(L1737,Categories!$B$2:$D$41,2,FALSE),IF(F1737&lt;&gt;"","No Cat",""))</f>
        <v>NRBASE</v>
      </c>
      <c r="O1737" s="25" t="str">
        <f>IF($L1737&lt;&gt;"",VLOOKUP($L1737,Categories!$B$2:$D$41,3,FALSE),IF($F1737&lt;&gt;"","No Cat",""))</f>
        <v>Deferrals Accruing Non-Cash Return   (other than ASGA)</v>
      </c>
      <c r="P1737" s="736" t="s">
        <v>2468</v>
      </c>
      <c r="Q1737" s="25" t="str">
        <f>VLOOKUP($P1737,Allocators!$B$7:$F$19,5,FALSE)</f>
        <v>Not in Rate Base</v>
      </c>
      <c r="R1737" s="737">
        <f>VLOOKUP($P1737,Allocators!$B$7:$F$19,2,FALSE)</f>
        <v>0</v>
      </c>
      <c r="S1737" s="737">
        <f>VLOOKUP($P1737,Allocators!$B$7:$F$19,3,FALSE)</f>
        <v>0</v>
      </c>
      <c r="T1737" s="737">
        <f t="shared" si="793"/>
        <v>1</v>
      </c>
      <c r="U1737" s="2">
        <f t="shared" si="785"/>
        <v>0</v>
      </c>
      <c r="V1737" s="2">
        <f t="shared" si="786"/>
        <v>0</v>
      </c>
      <c r="W1737" s="2">
        <f t="shared" si="787"/>
        <v>3713.7718450000002</v>
      </c>
      <c r="X1737" s="2">
        <f t="shared" si="781"/>
        <v>3713.7718450000002</v>
      </c>
      <c r="Y1737" s="2">
        <f t="shared" si="788"/>
        <v>0</v>
      </c>
      <c r="Z1737" s="2">
        <f t="shared" si="789"/>
        <v>0</v>
      </c>
      <c r="AA1737" s="2">
        <f t="shared" si="790"/>
        <v>3830.2153400000002</v>
      </c>
      <c r="AB1737" s="2">
        <f t="shared" si="782"/>
        <v>3830.2153399999997</v>
      </c>
      <c r="AC1737" s="625">
        <v>3027.51692</v>
      </c>
      <c r="AD1737" s="625">
        <v>3105.4262200000003</v>
      </c>
      <c r="AE1737" s="625">
        <v>3160.5797799999996</v>
      </c>
      <c r="AF1737" s="625">
        <v>3227.2194300000001</v>
      </c>
      <c r="AG1737" s="625">
        <v>3293.9317799999999</v>
      </c>
      <c r="AH1737" s="625">
        <v>3360.7172400000004</v>
      </c>
      <c r="AI1737" s="625">
        <v>75.288679999999999</v>
      </c>
      <c r="AJ1737" s="625">
        <v>3494.4269100000001</v>
      </c>
      <c r="AK1737" s="625">
        <v>3495.4204599999998</v>
      </c>
      <c r="AL1737" s="625">
        <v>7046.66093</v>
      </c>
      <c r="AM1737" s="625">
        <v>7113.81819</v>
      </c>
      <c r="AN1737" s="625">
        <v>3762.9063900000001</v>
      </c>
      <c r="AO1737" s="625">
        <v>3830.2153399999997</v>
      </c>
      <c r="AP1737" s="41" t="str">
        <f t="shared" si="801"/>
        <v>Def TaxN</v>
      </c>
      <c r="AQ1737" s="41" t="str">
        <f t="shared" si="802"/>
        <v>Def TaxNN10DOE Liability - True-up</v>
      </c>
      <c r="AR1737" s="41" t="str">
        <f t="shared" si="803"/>
        <v>N10DOE Liability - True-upY</v>
      </c>
    </row>
    <row r="1738" spans="1:44" s="41" customFormat="1" ht="12.75" customHeight="1">
      <c r="A1738" s="25" t="s">
        <v>1590</v>
      </c>
      <c r="B1738" s="25" t="str">
        <f t="shared" si="792"/>
        <v>Def Tax190501190-112BT010217</v>
      </c>
      <c r="C1738" s="736">
        <v>190501</v>
      </c>
      <c r="D1738" s="735" t="s">
        <v>1951</v>
      </c>
      <c r="E1738" s="41" t="s">
        <v>1952</v>
      </c>
      <c r="F1738" s="41" t="str">
        <f t="shared" si="783"/>
        <v>ADIT-REG-FEDERAL-ELECTRIC</v>
      </c>
      <c r="G1738" s="41" t="s">
        <v>1953</v>
      </c>
      <c r="H1738" s="736" t="s">
        <v>1125</v>
      </c>
      <c r="I1738" s="25"/>
      <c r="J1738" s="25" t="str">
        <f t="shared" si="784"/>
        <v/>
      </c>
      <c r="K1738" s="442" t="str">
        <f t="shared" si="791"/>
        <v/>
      </c>
      <c r="L1738" s="736" t="s">
        <v>2443</v>
      </c>
      <c r="M1738" s="25" t="str">
        <f t="shared" si="795"/>
        <v>R</v>
      </c>
      <c r="N1738" s="25" t="str">
        <f>IF(L1738&lt;&gt;"",VLOOKUP(L1738,Categories!$B$2:$D$41,2,FALSE),IF(F1738&lt;&gt;"","No Cat",""))</f>
        <v>Rate Base</v>
      </c>
      <c r="O1738" s="25" t="str">
        <f>IF($L1738&lt;&gt;"",VLOOKUP($L1738,Categories!$B$2:$D$41,3,FALSE),IF($F1738&lt;&gt;"","No Cat",""))</f>
        <v>Deferred Income Taxes</v>
      </c>
      <c r="P1738" s="736" t="s">
        <v>2482</v>
      </c>
      <c r="Q1738" s="25" t="str">
        <f>VLOOKUP($P1738,Allocators!$B$7:$F$19,5,FALSE)</f>
        <v>Electric</v>
      </c>
      <c r="R1738" s="737">
        <f>VLOOKUP($P1738,Allocators!$B$7:$F$19,2,FALSE)</f>
        <v>1</v>
      </c>
      <c r="S1738" s="737">
        <f>VLOOKUP($P1738,Allocators!$B$7:$F$19,3,FALSE)</f>
        <v>0</v>
      </c>
      <c r="T1738" s="737" t="str">
        <f t="shared" si="793"/>
        <v>0.0%</v>
      </c>
      <c r="U1738" s="2" t="str">
        <f t="shared" si="785"/>
        <v/>
      </c>
      <c r="V1738" s="2" t="str">
        <f t="shared" si="786"/>
        <v/>
      </c>
      <c r="W1738" s="2" t="str">
        <f t="shared" si="787"/>
        <v/>
      </c>
      <c r="X1738" s="2">
        <f t="shared" si="781"/>
        <v>0</v>
      </c>
      <c r="Y1738" s="2" t="str">
        <f t="shared" si="788"/>
        <v/>
      </c>
      <c r="Z1738" s="2" t="str">
        <f t="shared" si="789"/>
        <v/>
      </c>
      <c r="AA1738" s="2" t="str">
        <f t="shared" si="790"/>
        <v/>
      </c>
      <c r="AB1738" s="2">
        <f t="shared" si="782"/>
        <v>0</v>
      </c>
      <c r="AC1738" s="625">
        <v>0</v>
      </c>
      <c r="AD1738" s="625">
        <v>0</v>
      </c>
      <c r="AE1738" s="625">
        <v>0</v>
      </c>
      <c r="AF1738" s="625">
        <v>0</v>
      </c>
      <c r="AG1738" s="625">
        <v>0</v>
      </c>
      <c r="AH1738" s="625">
        <v>0</v>
      </c>
      <c r="AI1738" s="625">
        <v>0</v>
      </c>
      <c r="AJ1738" s="625">
        <v>0</v>
      </c>
      <c r="AK1738" s="625">
        <v>0</v>
      </c>
      <c r="AL1738" s="625">
        <v>0</v>
      </c>
      <c r="AM1738" s="625">
        <v>0</v>
      </c>
      <c r="AN1738" s="625">
        <v>0</v>
      </c>
      <c r="AO1738" s="625">
        <v>0</v>
      </c>
      <c r="AP1738" s="41" t="str">
        <f t="shared" si="801"/>
        <v>Def TaxR</v>
      </c>
      <c r="AQ1738" s="41" t="str">
        <f t="shared" si="802"/>
        <v>Def TaxRR11NYS Tax Rate to 7.1%</v>
      </c>
      <c r="AR1738" s="41" t="str">
        <f t="shared" si="803"/>
        <v>R11NYS Tax Rate to 7.1%</v>
      </c>
    </row>
    <row r="1739" spans="1:44" s="41" customFormat="1" ht="12.75" customHeight="1">
      <c r="A1739" s="25" t="s">
        <v>1590</v>
      </c>
      <c r="B1739" s="25" t="str">
        <f t="shared" si="792"/>
        <v>Def Tax190501PBABDEFAULT</v>
      </c>
      <c r="C1739" s="736">
        <v>190501</v>
      </c>
      <c r="D1739" s="735" t="s">
        <v>1954</v>
      </c>
      <c r="E1739" s="41" t="s">
        <v>1620</v>
      </c>
      <c r="F1739" s="41" t="str">
        <f t="shared" si="783"/>
        <v>ADIT-REG-FEDERAL-ELECTRIC</v>
      </c>
      <c r="G1739" s="41" t="s">
        <v>1955</v>
      </c>
      <c r="H1739" s="736" t="s">
        <v>1481</v>
      </c>
      <c r="I1739" s="25"/>
      <c r="J1739" s="25" t="str">
        <f t="shared" si="784"/>
        <v/>
      </c>
      <c r="K1739" s="442" t="str">
        <f t="shared" si="791"/>
        <v/>
      </c>
      <c r="L1739" s="736" t="s">
        <v>2443</v>
      </c>
      <c r="M1739" s="25" t="str">
        <f t="shared" si="795"/>
        <v>R</v>
      </c>
      <c r="N1739" s="25" t="str">
        <f>IF(L1739&lt;&gt;"",VLOOKUP(L1739,Categories!$B$2:$D$41,2,FALSE),IF(F1739&lt;&gt;"","No Cat",""))</f>
        <v>Rate Base</v>
      </c>
      <c r="O1739" s="25" t="str">
        <f>IF($L1739&lt;&gt;"",VLOOKUP($L1739,Categories!$B$2:$D$41,3,FALSE),IF($F1739&lt;&gt;"","No Cat",""))</f>
        <v>Deferred Income Taxes</v>
      </c>
      <c r="P1739" s="736" t="s">
        <v>2482</v>
      </c>
      <c r="Q1739" s="25" t="str">
        <f>VLOOKUP($P1739,Allocators!$B$7:$F$19,5,FALSE)</f>
        <v>Electric</v>
      </c>
      <c r="R1739" s="737">
        <f>VLOOKUP($P1739,Allocators!$B$7:$F$19,2,FALSE)</f>
        <v>1</v>
      </c>
      <c r="S1739" s="737">
        <f>VLOOKUP($P1739,Allocators!$B$7:$F$19,3,FALSE)</f>
        <v>0</v>
      </c>
      <c r="T1739" s="737" t="str">
        <f t="shared" si="793"/>
        <v>0.0%</v>
      </c>
      <c r="U1739" s="2">
        <f t="shared" si="785"/>
        <v>12307.900949999999</v>
      </c>
      <c r="V1739" s="2">
        <f t="shared" si="786"/>
        <v>0</v>
      </c>
      <c r="W1739" s="2">
        <f t="shared" si="787"/>
        <v>0</v>
      </c>
      <c r="X1739" s="2">
        <f t="shared" si="781"/>
        <v>12307.900949999999</v>
      </c>
      <c r="Y1739" s="2">
        <f t="shared" si="788"/>
        <v>12307.900949999999</v>
      </c>
      <c r="Z1739" s="2">
        <f t="shared" si="789"/>
        <v>0</v>
      </c>
      <c r="AA1739" s="2">
        <f t="shared" si="790"/>
        <v>0</v>
      </c>
      <c r="AB1739" s="2">
        <f t="shared" si="782"/>
        <v>12307.900949999999</v>
      </c>
      <c r="AC1739" s="625">
        <v>12307.900949999999</v>
      </c>
      <c r="AD1739" s="625">
        <v>12307.900949999999</v>
      </c>
      <c r="AE1739" s="625">
        <v>12307.900949999999</v>
      </c>
      <c r="AF1739" s="625">
        <v>12307.900949999999</v>
      </c>
      <c r="AG1739" s="625">
        <v>12307.900949999999</v>
      </c>
      <c r="AH1739" s="625">
        <v>12307.900949999999</v>
      </c>
      <c r="AI1739" s="625">
        <v>12307.900949999999</v>
      </c>
      <c r="AJ1739" s="625">
        <v>12307.900949999999</v>
      </c>
      <c r="AK1739" s="625">
        <v>12307.900949999999</v>
      </c>
      <c r="AL1739" s="625">
        <v>12307.900949999999</v>
      </c>
      <c r="AM1739" s="625">
        <v>12307.900949999999</v>
      </c>
      <c r="AN1739" s="625">
        <v>12307.900949999999</v>
      </c>
      <c r="AO1739" s="625">
        <v>12307.900949999999</v>
      </c>
      <c r="AP1739" s="41" t="str">
        <f t="shared" si="801"/>
        <v>Def TaxR</v>
      </c>
      <c r="AQ1739" s="41" t="str">
        <f t="shared" si="802"/>
        <v>Def TaxRR11Positive Benefit Adjustment</v>
      </c>
      <c r="AR1739" s="41" t="str">
        <f t="shared" si="803"/>
        <v>R11Positive Benefit Adjustment</v>
      </c>
    </row>
    <row r="1740" spans="1:44" s="41" customFormat="1" ht="12.75" customHeight="1">
      <c r="A1740" s="25" t="s">
        <v>1590</v>
      </c>
      <c r="B1740" s="25" t="str">
        <f t="shared" si="792"/>
        <v>Def Tax190501190-031BT010167</v>
      </c>
      <c r="C1740" s="736">
        <v>190501</v>
      </c>
      <c r="D1740" s="735" t="s">
        <v>1670</v>
      </c>
      <c r="E1740" s="41" t="s">
        <v>1671</v>
      </c>
      <c r="F1740" s="41" t="str">
        <f t="shared" si="783"/>
        <v>ADIT-REG-FEDERAL-ELECTRIC</v>
      </c>
      <c r="G1740" s="41" t="s">
        <v>1956</v>
      </c>
      <c r="H1740" s="736" t="s">
        <v>1673</v>
      </c>
      <c r="I1740" s="25"/>
      <c r="J1740" s="25" t="str">
        <f t="shared" si="784"/>
        <v/>
      </c>
      <c r="K1740" s="442" t="str">
        <f t="shared" si="791"/>
        <v/>
      </c>
      <c r="L1740" s="736" t="s">
        <v>2443</v>
      </c>
      <c r="M1740" s="25" t="str">
        <f t="shared" si="795"/>
        <v>R</v>
      </c>
      <c r="N1740" s="25" t="str">
        <f>IF(L1740&lt;&gt;"",VLOOKUP(L1740,Categories!$B$2:$D$41,2,FALSE),IF(F1740&lt;&gt;"","No Cat",""))</f>
        <v>Rate Base</v>
      </c>
      <c r="O1740" s="25" t="str">
        <f>IF($L1740&lt;&gt;"",VLOOKUP($L1740,Categories!$B$2:$D$41,3,FALSE),IF($F1740&lt;&gt;"","No Cat",""))</f>
        <v>Deferred Income Taxes</v>
      </c>
      <c r="P1740" s="736" t="s">
        <v>2482</v>
      </c>
      <c r="Q1740" s="25" t="str">
        <f>VLOOKUP($P1740,Allocators!$B$7:$F$19,5,FALSE)</f>
        <v>Electric</v>
      </c>
      <c r="R1740" s="737">
        <f>VLOOKUP($P1740,Allocators!$B$7:$F$19,2,FALSE)</f>
        <v>1</v>
      </c>
      <c r="S1740" s="737">
        <f>VLOOKUP($P1740,Allocators!$B$7:$F$19,3,FALSE)</f>
        <v>0</v>
      </c>
      <c r="T1740" s="737" t="str">
        <f t="shared" si="793"/>
        <v>0.0%</v>
      </c>
      <c r="U1740" s="2" t="str">
        <f t="shared" si="785"/>
        <v/>
      </c>
      <c r="V1740" s="2" t="str">
        <f t="shared" si="786"/>
        <v/>
      </c>
      <c r="W1740" s="2" t="str">
        <f t="shared" si="787"/>
        <v/>
      </c>
      <c r="X1740" s="2">
        <f t="shared" si="781"/>
        <v>0</v>
      </c>
      <c r="Y1740" s="2" t="str">
        <f t="shared" si="788"/>
        <v/>
      </c>
      <c r="Z1740" s="2" t="str">
        <f t="shared" si="789"/>
        <v/>
      </c>
      <c r="AA1740" s="2" t="str">
        <f t="shared" si="790"/>
        <v/>
      </c>
      <c r="AB1740" s="2">
        <f t="shared" si="782"/>
        <v>0</v>
      </c>
      <c r="AC1740" s="625">
        <v>0</v>
      </c>
      <c r="AD1740" s="625">
        <v>0</v>
      </c>
      <c r="AE1740" s="625">
        <v>0</v>
      </c>
      <c r="AF1740" s="625">
        <v>0</v>
      </c>
      <c r="AG1740" s="625">
        <v>0</v>
      </c>
      <c r="AH1740" s="625">
        <v>0</v>
      </c>
      <c r="AI1740" s="625">
        <v>0</v>
      </c>
      <c r="AJ1740" s="625">
        <v>0</v>
      </c>
      <c r="AK1740" s="625">
        <v>0</v>
      </c>
      <c r="AL1740" s="625">
        <v>0</v>
      </c>
      <c r="AM1740" s="625">
        <v>0</v>
      </c>
      <c r="AN1740" s="625">
        <v>0</v>
      </c>
      <c r="AO1740" s="625">
        <v>0</v>
      </c>
      <c r="AP1740" s="41" t="str">
        <f t="shared" si="801"/>
        <v>Def TaxR</v>
      </c>
      <c r="AQ1740" s="41" t="str">
        <f t="shared" si="802"/>
        <v>Def TaxRR11Pension</v>
      </c>
      <c r="AR1740" s="41" t="str">
        <f t="shared" si="803"/>
        <v>R11Pension</v>
      </c>
    </row>
    <row r="1741" spans="1:44" s="41" customFormat="1" ht="12.75" customHeight="1">
      <c r="A1741" s="25" t="s">
        <v>1590</v>
      </c>
      <c r="B1741" s="25" t="str">
        <f t="shared" si="792"/>
        <v>Def Tax190501190-031-SBT010167</v>
      </c>
      <c r="C1741" s="736">
        <v>190501</v>
      </c>
      <c r="D1741" s="735" t="s">
        <v>1741</v>
      </c>
      <c r="E1741" s="41" t="s">
        <v>1671</v>
      </c>
      <c r="F1741" s="41" t="str">
        <f t="shared" si="783"/>
        <v>ADIT-REG-FEDERAL-ELECTRIC</v>
      </c>
      <c r="G1741" s="41" t="s">
        <v>1956</v>
      </c>
      <c r="H1741" s="736" t="s">
        <v>1673</v>
      </c>
      <c r="I1741" s="25"/>
      <c r="J1741" s="25" t="str">
        <f t="shared" si="784"/>
        <v/>
      </c>
      <c r="K1741" s="442" t="str">
        <f t="shared" si="791"/>
        <v/>
      </c>
      <c r="L1741" s="736" t="s">
        <v>2443</v>
      </c>
      <c r="M1741" s="25" t="str">
        <f t="shared" si="795"/>
        <v>R</v>
      </c>
      <c r="N1741" s="25" t="str">
        <f>IF(L1741&lt;&gt;"",VLOOKUP(L1741,Categories!$B$2:$D$41,2,FALSE),IF(F1741&lt;&gt;"","No Cat",""))</f>
        <v>Rate Base</v>
      </c>
      <c r="O1741" s="25" t="str">
        <f>IF($L1741&lt;&gt;"",VLOOKUP($L1741,Categories!$B$2:$D$41,3,FALSE),IF($F1741&lt;&gt;"","No Cat",""))</f>
        <v>Deferred Income Taxes</v>
      </c>
      <c r="P1741" s="736" t="s">
        <v>2482</v>
      </c>
      <c r="Q1741" s="25" t="str">
        <f>VLOOKUP($P1741,Allocators!$B$7:$F$19,5,FALSE)</f>
        <v>Electric</v>
      </c>
      <c r="R1741" s="737">
        <f>VLOOKUP($P1741,Allocators!$B$7:$F$19,2,FALSE)</f>
        <v>1</v>
      </c>
      <c r="S1741" s="737">
        <f>VLOOKUP($P1741,Allocators!$B$7:$F$19,3,FALSE)</f>
        <v>0</v>
      </c>
      <c r="T1741" s="737" t="str">
        <f t="shared" si="793"/>
        <v>0.0%</v>
      </c>
      <c r="U1741" s="2" t="str">
        <f t="shared" si="785"/>
        <v/>
      </c>
      <c r="V1741" s="2" t="str">
        <f t="shared" si="786"/>
        <v/>
      </c>
      <c r="W1741" s="2" t="str">
        <f t="shared" si="787"/>
        <v/>
      </c>
      <c r="X1741" s="2">
        <f t="shared" si="781"/>
        <v>0</v>
      </c>
      <c r="Y1741" s="2" t="str">
        <f t="shared" si="788"/>
        <v/>
      </c>
      <c r="Z1741" s="2" t="str">
        <f t="shared" si="789"/>
        <v/>
      </c>
      <c r="AA1741" s="2" t="str">
        <f t="shared" si="790"/>
        <v/>
      </c>
      <c r="AB1741" s="2">
        <f t="shared" si="782"/>
        <v>0</v>
      </c>
      <c r="AC1741" s="625">
        <v>0</v>
      </c>
      <c r="AD1741" s="625">
        <v>0</v>
      </c>
      <c r="AE1741" s="625">
        <v>0</v>
      </c>
      <c r="AF1741" s="625">
        <v>0</v>
      </c>
      <c r="AG1741" s="625">
        <v>0</v>
      </c>
      <c r="AH1741" s="625">
        <v>0</v>
      </c>
      <c r="AI1741" s="625">
        <v>0</v>
      </c>
      <c r="AJ1741" s="625">
        <v>0</v>
      </c>
      <c r="AK1741" s="625">
        <v>0</v>
      </c>
      <c r="AL1741" s="625">
        <v>0</v>
      </c>
      <c r="AM1741" s="625">
        <v>0</v>
      </c>
      <c r="AN1741" s="625">
        <v>0</v>
      </c>
      <c r="AO1741" s="625">
        <v>0</v>
      </c>
      <c r="AP1741" s="41" t="str">
        <f t="shared" si="801"/>
        <v>Def TaxR</v>
      </c>
      <c r="AQ1741" s="41" t="str">
        <f t="shared" si="802"/>
        <v>Def TaxRR11Pension</v>
      </c>
      <c r="AR1741" s="41" t="str">
        <f t="shared" si="803"/>
        <v>R11Pension</v>
      </c>
    </row>
    <row r="1742" spans="1:44" s="41" customFormat="1" ht="12.75" customHeight="1">
      <c r="A1742" s="25" t="s">
        <v>1590</v>
      </c>
      <c r="B1742" s="25" t="str">
        <f t="shared" si="792"/>
        <v>Def Tax190501190-031-JPBT010166</v>
      </c>
      <c r="C1742" s="736">
        <v>190501</v>
      </c>
      <c r="D1742" s="735" t="s">
        <v>1742</v>
      </c>
      <c r="E1742" s="41" t="s">
        <v>1957</v>
      </c>
      <c r="F1742" s="41" t="str">
        <f t="shared" si="783"/>
        <v>ADIT-REG-FEDERAL-ELECTRIC</v>
      </c>
      <c r="G1742" s="41" t="s">
        <v>1958</v>
      </c>
      <c r="H1742" s="736" t="s">
        <v>1159</v>
      </c>
      <c r="I1742" s="25"/>
      <c r="J1742" s="25" t="s">
        <v>7</v>
      </c>
      <c r="K1742" s="442" t="str">
        <f t="shared" si="791"/>
        <v/>
      </c>
      <c r="L1742" s="736" t="s">
        <v>2421</v>
      </c>
      <c r="M1742" s="25" t="str">
        <f t="shared" si="795"/>
        <v>N</v>
      </c>
      <c r="N1742" s="25" t="str">
        <f>IF(L1742&lt;&gt;"",VLOOKUP(L1742,Categories!$B$2:$D$41,2,FALSE),IF(F1742&lt;&gt;"","No Cat",""))</f>
        <v>NRBASE</v>
      </c>
      <c r="O1742" s="25" t="str">
        <f>IF($L1742&lt;&gt;"",VLOOKUP($L1742,Categories!$B$2:$D$41,3,FALSE),IF($F1742&lt;&gt;"","No Cat",""))</f>
        <v>Direct Assign Items Not in RB</v>
      </c>
      <c r="P1742" s="736" t="s">
        <v>2468</v>
      </c>
      <c r="Q1742" s="25" t="str">
        <f>VLOOKUP($P1742,Allocators!$B$7:$F$19,5,FALSE)</f>
        <v>Not in Rate Base</v>
      </c>
      <c r="R1742" s="737">
        <f>VLOOKUP($P1742,Allocators!$B$7:$F$19,2,FALSE)</f>
        <v>0</v>
      </c>
      <c r="S1742" s="737">
        <f>VLOOKUP($P1742,Allocators!$B$7:$F$19,3,FALSE)</f>
        <v>0</v>
      </c>
      <c r="T1742" s="737">
        <f t="shared" si="793"/>
        <v>1</v>
      </c>
      <c r="U1742" s="2" t="str">
        <f t="shared" si="785"/>
        <v/>
      </c>
      <c r="V1742" s="2" t="str">
        <f t="shared" si="786"/>
        <v/>
      </c>
      <c r="W1742" s="2" t="str">
        <f t="shared" si="787"/>
        <v/>
      </c>
      <c r="X1742" s="2">
        <f t="shared" si="781"/>
        <v>0</v>
      </c>
      <c r="Y1742" s="2" t="str">
        <f t="shared" si="788"/>
        <v/>
      </c>
      <c r="Z1742" s="2" t="str">
        <f t="shared" si="789"/>
        <v/>
      </c>
      <c r="AA1742" s="2" t="str">
        <f t="shared" si="790"/>
        <v/>
      </c>
      <c r="AB1742" s="2">
        <f t="shared" si="782"/>
        <v>0</v>
      </c>
      <c r="AC1742" s="625">
        <v>0</v>
      </c>
      <c r="AD1742" s="625">
        <v>0</v>
      </c>
      <c r="AE1742" s="625">
        <v>0</v>
      </c>
      <c r="AF1742" s="625">
        <v>0</v>
      </c>
      <c r="AG1742" s="625">
        <v>0</v>
      </c>
      <c r="AH1742" s="625">
        <v>0</v>
      </c>
      <c r="AI1742" s="625">
        <v>0</v>
      </c>
      <c r="AJ1742" s="625">
        <v>0</v>
      </c>
      <c r="AK1742" s="625">
        <v>0</v>
      </c>
      <c r="AL1742" s="625">
        <v>0</v>
      </c>
      <c r="AM1742" s="625">
        <v>0</v>
      </c>
      <c r="AN1742" s="625">
        <v>0</v>
      </c>
      <c r="AO1742" s="625">
        <v>0</v>
      </c>
      <c r="AP1742" s="41" t="str">
        <f t="shared" si="801"/>
        <v>Def TaxN</v>
      </c>
      <c r="AQ1742" s="41" t="str">
        <f t="shared" si="802"/>
        <v>Def TaxNN2Pension True-up</v>
      </c>
      <c r="AR1742" s="41" t="str">
        <f t="shared" si="803"/>
        <v>N2Pension True-upNCR</v>
      </c>
    </row>
    <row r="1743" spans="1:44" s="41" customFormat="1" ht="12.75" customHeight="1">
      <c r="A1743" s="25" t="s">
        <v>1590</v>
      </c>
      <c r="B1743" s="25" t="str">
        <f t="shared" si="792"/>
        <v>Def Tax190501190-031-FAS 158 F</v>
      </c>
      <c r="C1743" s="736">
        <v>190501</v>
      </c>
      <c r="D1743" s="735" t="s">
        <v>1959</v>
      </c>
      <c r="F1743" s="41" t="str">
        <f t="shared" si="783"/>
        <v>ADIT-REG-FEDERAL-ELECTRIC</v>
      </c>
      <c r="G1743" s="41" t="s">
        <v>1960</v>
      </c>
      <c r="H1743" s="736" t="s">
        <v>1673</v>
      </c>
      <c r="I1743" s="25"/>
      <c r="J1743" s="25" t="str">
        <f t="shared" si="784"/>
        <v/>
      </c>
      <c r="K1743" s="442" t="str">
        <f t="shared" si="791"/>
        <v/>
      </c>
      <c r="L1743" s="736" t="s">
        <v>2443</v>
      </c>
      <c r="M1743" s="25" t="str">
        <f t="shared" si="795"/>
        <v>R</v>
      </c>
      <c r="N1743" s="25" t="str">
        <f>IF(L1743&lt;&gt;"",VLOOKUP(L1743,Categories!$B$2:$D$41,2,FALSE),IF(F1743&lt;&gt;"","No Cat",""))</f>
        <v>Rate Base</v>
      </c>
      <c r="O1743" s="25" t="str">
        <f>IF($L1743&lt;&gt;"",VLOOKUP($L1743,Categories!$B$2:$D$41,3,FALSE),IF($F1743&lt;&gt;"","No Cat",""))</f>
        <v>Deferred Income Taxes</v>
      </c>
      <c r="P1743" s="736" t="s">
        <v>2482</v>
      </c>
      <c r="Q1743" s="25" t="str">
        <f>VLOOKUP($P1743,Allocators!$B$7:$F$19,5,FALSE)</f>
        <v>Electric</v>
      </c>
      <c r="R1743" s="737">
        <f>VLOOKUP($P1743,Allocators!$B$7:$F$19,2,FALSE)</f>
        <v>1</v>
      </c>
      <c r="S1743" s="737">
        <f>VLOOKUP($P1743,Allocators!$B$7:$F$19,3,FALSE)</f>
        <v>0</v>
      </c>
      <c r="T1743" s="737" t="str">
        <f t="shared" si="793"/>
        <v>0.0%</v>
      </c>
      <c r="U1743" s="2" t="str">
        <f t="shared" si="785"/>
        <v/>
      </c>
      <c r="V1743" s="2" t="str">
        <f t="shared" si="786"/>
        <v/>
      </c>
      <c r="W1743" s="2" t="str">
        <f t="shared" si="787"/>
        <v/>
      </c>
      <c r="X1743" s="2">
        <f t="shared" si="781"/>
        <v>0</v>
      </c>
      <c r="Y1743" s="2" t="str">
        <f t="shared" si="788"/>
        <v/>
      </c>
      <c r="Z1743" s="2" t="str">
        <f t="shared" si="789"/>
        <v/>
      </c>
      <c r="AA1743" s="2" t="str">
        <f t="shared" si="790"/>
        <v/>
      </c>
      <c r="AB1743" s="2">
        <f t="shared" si="782"/>
        <v>0</v>
      </c>
      <c r="AC1743" s="625">
        <v>0</v>
      </c>
      <c r="AD1743" s="625">
        <v>0</v>
      </c>
      <c r="AE1743" s="625">
        <v>0</v>
      </c>
      <c r="AF1743" s="625">
        <v>0</v>
      </c>
      <c r="AG1743" s="625">
        <v>0</v>
      </c>
      <c r="AH1743" s="625">
        <v>0</v>
      </c>
      <c r="AI1743" s="625">
        <v>0</v>
      </c>
      <c r="AJ1743" s="625">
        <v>0</v>
      </c>
      <c r="AK1743" s="625">
        <v>0</v>
      </c>
      <c r="AL1743" s="625">
        <v>0</v>
      </c>
      <c r="AM1743" s="625">
        <v>0</v>
      </c>
      <c r="AN1743" s="625">
        <v>0</v>
      </c>
      <c r="AO1743" s="625">
        <v>0</v>
      </c>
      <c r="AP1743" s="41" t="str">
        <f t="shared" si="801"/>
        <v>Def TaxR</v>
      </c>
      <c r="AQ1743" s="41" t="str">
        <f t="shared" si="802"/>
        <v>Def TaxRR11Pension</v>
      </c>
      <c r="AR1743" s="41" t="str">
        <f t="shared" si="803"/>
        <v>R11Pension</v>
      </c>
    </row>
    <row r="1744" spans="1:44" s="41" customFormat="1" ht="12.75" customHeight="1">
      <c r="A1744" s="25" t="s">
        <v>1590</v>
      </c>
      <c r="B1744" s="25" t="str">
        <f t="shared" si="792"/>
        <v>Def Tax190501FAS 158 SFASBC030561</v>
      </c>
      <c r="C1744" s="736">
        <v>190501</v>
      </c>
      <c r="D1744" s="735" t="s">
        <v>1961</v>
      </c>
      <c r="E1744" s="41" t="s">
        <v>980</v>
      </c>
      <c r="F1744" s="41" t="str">
        <f t="shared" si="783"/>
        <v>ADIT-REG-FEDERAL-ELECTRIC</v>
      </c>
      <c r="G1744" s="41" t="s">
        <v>1962</v>
      </c>
      <c r="H1744" s="736" t="s">
        <v>1673</v>
      </c>
      <c r="I1744" s="25"/>
      <c r="J1744" s="25" t="str">
        <f t="shared" si="784"/>
        <v/>
      </c>
      <c r="K1744" s="442" t="str">
        <f t="shared" si="791"/>
        <v/>
      </c>
      <c r="L1744" s="736" t="s">
        <v>2443</v>
      </c>
      <c r="M1744" s="25" t="str">
        <f t="shared" si="795"/>
        <v>R</v>
      </c>
      <c r="N1744" s="25" t="str">
        <f>IF(L1744&lt;&gt;"",VLOOKUP(L1744,Categories!$B$2:$D$41,2,FALSE),IF(F1744&lt;&gt;"","No Cat",""))</f>
        <v>Rate Base</v>
      </c>
      <c r="O1744" s="25" t="str">
        <f>IF($L1744&lt;&gt;"",VLOOKUP($L1744,Categories!$B$2:$D$41,3,FALSE),IF($F1744&lt;&gt;"","No Cat",""))</f>
        <v>Deferred Income Taxes</v>
      </c>
      <c r="P1744" s="736" t="s">
        <v>2482</v>
      </c>
      <c r="Q1744" s="25" t="str">
        <f>VLOOKUP($P1744,Allocators!$B$7:$F$19,5,FALSE)</f>
        <v>Electric</v>
      </c>
      <c r="R1744" s="737">
        <f>VLOOKUP($P1744,Allocators!$B$7:$F$19,2,FALSE)</f>
        <v>1</v>
      </c>
      <c r="S1744" s="737">
        <f>VLOOKUP($P1744,Allocators!$B$7:$F$19,3,FALSE)</f>
        <v>0</v>
      </c>
      <c r="T1744" s="737" t="str">
        <f t="shared" si="793"/>
        <v>0.0%</v>
      </c>
      <c r="U1744" s="2" t="str">
        <f t="shared" si="785"/>
        <v/>
      </c>
      <c r="V1744" s="2" t="str">
        <f t="shared" si="786"/>
        <v/>
      </c>
      <c r="W1744" s="2" t="str">
        <f t="shared" si="787"/>
        <v/>
      </c>
      <c r="X1744" s="2">
        <f t="shared" ref="X1744:X1807" si="804">IF(ISERROR(ROUND((SUM(AC1744:AO1744)-((AC1744+AO1744))/2)/12,15)),"",ROUND((SUM(AC1744:AO1744)-((AC1744+AO1744))/2)/12,15))</f>
        <v>0</v>
      </c>
      <c r="Y1744" s="2" t="str">
        <f t="shared" si="788"/>
        <v/>
      </c>
      <c r="Z1744" s="2" t="str">
        <f t="shared" si="789"/>
        <v/>
      </c>
      <c r="AA1744" s="2" t="str">
        <f t="shared" si="790"/>
        <v/>
      </c>
      <c r="AB1744" s="2">
        <f t="shared" ref="AB1744:AB1807" si="805">IF(AO1744="",0,+AO1744)</f>
        <v>0</v>
      </c>
      <c r="AC1744" s="625">
        <v>0</v>
      </c>
      <c r="AD1744" s="625">
        <v>0</v>
      </c>
      <c r="AE1744" s="625">
        <v>0</v>
      </c>
      <c r="AF1744" s="625">
        <v>0</v>
      </c>
      <c r="AG1744" s="625">
        <v>0</v>
      </c>
      <c r="AH1744" s="625">
        <v>0</v>
      </c>
      <c r="AI1744" s="625">
        <v>0</v>
      </c>
      <c r="AJ1744" s="625">
        <v>0</v>
      </c>
      <c r="AK1744" s="625">
        <v>0</v>
      </c>
      <c r="AL1744" s="625">
        <v>0</v>
      </c>
      <c r="AM1744" s="625">
        <v>0</v>
      </c>
      <c r="AN1744" s="625">
        <v>0</v>
      </c>
      <c r="AO1744" s="625">
        <v>0</v>
      </c>
      <c r="AP1744" s="41" t="str">
        <f t="shared" si="801"/>
        <v>Def TaxR</v>
      </c>
      <c r="AQ1744" s="41" t="str">
        <f t="shared" si="802"/>
        <v>Def TaxRR11Pension</v>
      </c>
      <c r="AR1744" s="41" t="str">
        <f t="shared" si="803"/>
        <v>R11Pension</v>
      </c>
    </row>
    <row r="1745" spans="1:44" s="41" customFormat="1" ht="12.75" customHeight="1">
      <c r="A1745" s="25" t="s">
        <v>1590</v>
      </c>
      <c r="B1745" s="25" t="str">
        <f t="shared" si="792"/>
        <v>Def Tax190501190-015BT010089</v>
      </c>
      <c r="C1745" s="736">
        <v>190501</v>
      </c>
      <c r="D1745" s="735" t="s">
        <v>1678</v>
      </c>
      <c r="E1745" s="41" t="s">
        <v>1679</v>
      </c>
      <c r="F1745" s="41" t="str">
        <f t="shared" si="783"/>
        <v>ADIT-REG-FEDERAL-ELECTRIC</v>
      </c>
      <c r="G1745" s="41" t="s">
        <v>1680</v>
      </c>
      <c r="H1745" s="736" t="s">
        <v>927</v>
      </c>
      <c r="I1745" s="25"/>
      <c r="J1745" s="25" t="str">
        <f t="shared" si="784"/>
        <v/>
      </c>
      <c r="K1745" s="442" t="str">
        <f t="shared" si="791"/>
        <v/>
      </c>
      <c r="L1745" s="736" t="s">
        <v>2443</v>
      </c>
      <c r="M1745" s="25" t="str">
        <f t="shared" si="795"/>
        <v>R</v>
      </c>
      <c r="N1745" s="25" t="str">
        <f>IF(L1745&lt;&gt;"",VLOOKUP(L1745,Categories!$B$2:$D$41,2,FALSE),IF(F1745&lt;&gt;"","No Cat",""))</f>
        <v>Rate Base</v>
      </c>
      <c r="O1745" s="25" t="str">
        <f>IF($L1745&lt;&gt;"",VLOOKUP($L1745,Categories!$B$2:$D$41,3,FALSE),IF($F1745&lt;&gt;"","No Cat",""))</f>
        <v>Deferred Income Taxes</v>
      </c>
      <c r="P1745" s="736" t="s">
        <v>2482</v>
      </c>
      <c r="Q1745" s="25" t="str">
        <f>VLOOKUP($P1745,Allocators!$B$7:$F$19,5,FALSE)</f>
        <v>Electric</v>
      </c>
      <c r="R1745" s="737">
        <f>VLOOKUP($P1745,Allocators!$B$7:$F$19,2,FALSE)</f>
        <v>1</v>
      </c>
      <c r="S1745" s="737">
        <f>VLOOKUP($P1745,Allocators!$B$7:$F$19,3,FALSE)</f>
        <v>0</v>
      </c>
      <c r="T1745" s="737" t="str">
        <f t="shared" si="793"/>
        <v>0.0%</v>
      </c>
      <c r="U1745" s="2" t="str">
        <f t="shared" si="785"/>
        <v/>
      </c>
      <c r="V1745" s="2" t="str">
        <f t="shared" si="786"/>
        <v/>
      </c>
      <c r="W1745" s="2" t="str">
        <f t="shared" si="787"/>
        <v/>
      </c>
      <c r="X1745" s="2">
        <f t="shared" si="804"/>
        <v>0</v>
      </c>
      <c r="Y1745" s="2" t="str">
        <f t="shared" si="788"/>
        <v/>
      </c>
      <c r="Z1745" s="2" t="str">
        <f t="shared" si="789"/>
        <v/>
      </c>
      <c r="AA1745" s="2" t="str">
        <f t="shared" si="790"/>
        <v/>
      </c>
      <c r="AB1745" s="2">
        <f t="shared" si="805"/>
        <v>0</v>
      </c>
      <c r="AC1745" s="625">
        <v>0</v>
      </c>
      <c r="AD1745" s="625">
        <v>0</v>
      </c>
      <c r="AE1745" s="625">
        <v>0</v>
      </c>
      <c r="AF1745" s="625">
        <v>0</v>
      </c>
      <c r="AG1745" s="625">
        <v>0</v>
      </c>
      <c r="AH1745" s="625">
        <v>0</v>
      </c>
      <c r="AI1745" s="625">
        <v>0</v>
      </c>
      <c r="AJ1745" s="625">
        <v>0</v>
      </c>
      <c r="AK1745" s="625">
        <v>0</v>
      </c>
      <c r="AL1745" s="625">
        <v>0</v>
      </c>
      <c r="AM1745" s="625">
        <v>0</v>
      </c>
      <c r="AN1745" s="625">
        <v>0</v>
      </c>
      <c r="AO1745" s="625">
        <v>0</v>
      </c>
      <c r="AP1745" s="41" t="str">
        <f t="shared" si="801"/>
        <v>Def TaxR</v>
      </c>
      <c r="AQ1745" s="41" t="str">
        <f t="shared" si="802"/>
        <v>Def TaxRR11OPEB</v>
      </c>
      <c r="AR1745" s="41" t="str">
        <f t="shared" si="803"/>
        <v>R11OPEB</v>
      </c>
    </row>
    <row r="1746" spans="1:44" s="41" customFormat="1" ht="12.75" customHeight="1">
      <c r="A1746" s="25" t="s">
        <v>1590</v>
      </c>
      <c r="B1746" s="25" t="str">
        <f t="shared" si="792"/>
        <v>Def Tax190501190-015-JPBT010091</v>
      </c>
      <c r="C1746" s="736">
        <v>190501</v>
      </c>
      <c r="D1746" s="735" t="s">
        <v>1730</v>
      </c>
      <c r="E1746" s="41" t="s">
        <v>1859</v>
      </c>
      <c r="F1746" s="41" t="str">
        <f t="shared" si="783"/>
        <v>ADIT-REG-FEDERAL-ELECTRIC</v>
      </c>
      <c r="G1746" s="41" t="s">
        <v>1963</v>
      </c>
      <c r="H1746" s="736" t="s">
        <v>927</v>
      </c>
      <c r="I1746" s="25"/>
      <c r="J1746" s="25" t="str">
        <f t="shared" si="784"/>
        <v/>
      </c>
      <c r="K1746" s="442" t="str">
        <f t="shared" si="791"/>
        <v/>
      </c>
      <c r="L1746" s="736" t="s">
        <v>2443</v>
      </c>
      <c r="M1746" s="25" t="str">
        <f t="shared" si="795"/>
        <v>R</v>
      </c>
      <c r="N1746" s="25" t="str">
        <f>IF(L1746&lt;&gt;"",VLOOKUP(L1746,Categories!$B$2:$D$41,2,FALSE),IF(F1746&lt;&gt;"","No Cat",""))</f>
        <v>Rate Base</v>
      </c>
      <c r="O1746" s="25" t="str">
        <f>IF($L1746&lt;&gt;"",VLOOKUP($L1746,Categories!$B$2:$D$41,3,FALSE),IF($F1746&lt;&gt;"","No Cat",""))</f>
        <v>Deferred Income Taxes</v>
      </c>
      <c r="P1746" s="736" t="s">
        <v>2482</v>
      </c>
      <c r="Q1746" s="25" t="str">
        <f>VLOOKUP($P1746,Allocators!$B$7:$F$19,5,FALSE)</f>
        <v>Electric</v>
      </c>
      <c r="R1746" s="737">
        <f>VLOOKUP($P1746,Allocators!$B$7:$F$19,2,FALSE)</f>
        <v>1</v>
      </c>
      <c r="S1746" s="737">
        <f>VLOOKUP($P1746,Allocators!$B$7:$F$19,3,FALSE)</f>
        <v>0</v>
      </c>
      <c r="T1746" s="737" t="str">
        <f t="shared" si="793"/>
        <v>0.0%</v>
      </c>
      <c r="U1746" s="2" t="str">
        <f t="shared" si="785"/>
        <v/>
      </c>
      <c r="V1746" s="2" t="str">
        <f t="shared" si="786"/>
        <v/>
      </c>
      <c r="W1746" s="2" t="str">
        <f t="shared" si="787"/>
        <v/>
      </c>
      <c r="X1746" s="2">
        <f t="shared" si="804"/>
        <v>0</v>
      </c>
      <c r="Y1746" s="2" t="str">
        <f t="shared" si="788"/>
        <v/>
      </c>
      <c r="Z1746" s="2" t="str">
        <f t="shared" si="789"/>
        <v/>
      </c>
      <c r="AA1746" s="2" t="str">
        <f t="shared" si="790"/>
        <v/>
      </c>
      <c r="AB1746" s="2">
        <f t="shared" si="805"/>
        <v>0</v>
      </c>
      <c r="AC1746" s="625">
        <v>0</v>
      </c>
      <c r="AD1746" s="625">
        <v>0</v>
      </c>
      <c r="AE1746" s="625">
        <v>0</v>
      </c>
      <c r="AF1746" s="625">
        <v>0</v>
      </c>
      <c r="AG1746" s="625">
        <v>0</v>
      </c>
      <c r="AH1746" s="625">
        <v>0</v>
      </c>
      <c r="AI1746" s="625">
        <v>0</v>
      </c>
      <c r="AJ1746" s="625">
        <v>0</v>
      </c>
      <c r="AK1746" s="625">
        <v>0</v>
      </c>
      <c r="AL1746" s="625">
        <v>0</v>
      </c>
      <c r="AM1746" s="625">
        <v>0</v>
      </c>
      <c r="AN1746" s="625">
        <v>0</v>
      </c>
      <c r="AO1746" s="625">
        <v>0</v>
      </c>
      <c r="AP1746" s="41" t="str">
        <f t="shared" si="801"/>
        <v>Def TaxR</v>
      </c>
      <c r="AQ1746" s="41" t="str">
        <f t="shared" si="802"/>
        <v>Def TaxRR11OPEB</v>
      </c>
      <c r="AR1746" s="41" t="str">
        <f t="shared" si="803"/>
        <v>R11OPEB</v>
      </c>
    </row>
    <row r="1747" spans="1:44" s="41" customFormat="1" ht="12.75" customHeight="1">
      <c r="A1747" s="25" t="s">
        <v>1590</v>
      </c>
      <c r="B1747" s="25" t="str">
        <f t="shared" si="792"/>
        <v>Def Tax190501Pre-cap InstallBE030182</v>
      </c>
      <c r="C1747" s="736">
        <v>190501</v>
      </c>
      <c r="D1747" s="735" t="s">
        <v>1964</v>
      </c>
      <c r="E1747" s="41" t="s">
        <v>1196</v>
      </c>
      <c r="F1747" s="41" t="str">
        <f t="shared" si="783"/>
        <v>ADIT-REG-FEDERAL-ELECTRIC</v>
      </c>
      <c r="G1747" s="41" t="s">
        <v>1965</v>
      </c>
      <c r="H1747" s="736" t="s">
        <v>1199</v>
      </c>
      <c r="I1747" s="25"/>
      <c r="J1747" s="25" t="str">
        <f t="shared" si="784"/>
        <v/>
      </c>
      <c r="K1747" s="442" t="str">
        <f t="shared" si="791"/>
        <v/>
      </c>
      <c r="L1747" s="736" t="s">
        <v>2443</v>
      </c>
      <c r="M1747" s="25" t="str">
        <f t="shared" si="795"/>
        <v>R</v>
      </c>
      <c r="N1747" s="25" t="str">
        <f>IF(L1747&lt;&gt;"",VLOOKUP(L1747,Categories!$B$2:$D$41,2,FALSE),IF(F1747&lt;&gt;"","No Cat",""))</f>
        <v>Rate Base</v>
      </c>
      <c r="O1747" s="25" t="str">
        <f>IF($L1747&lt;&gt;"",VLOOKUP($L1747,Categories!$B$2:$D$41,3,FALSE),IF($F1747&lt;&gt;"","No Cat",""))</f>
        <v>Deferred Income Taxes</v>
      </c>
      <c r="P1747" s="736" t="s">
        <v>2482</v>
      </c>
      <c r="Q1747" s="25" t="str">
        <f>VLOOKUP($P1747,Allocators!$B$7:$F$19,5,FALSE)</f>
        <v>Electric</v>
      </c>
      <c r="R1747" s="737">
        <f>VLOOKUP($P1747,Allocators!$B$7:$F$19,2,FALSE)</f>
        <v>1</v>
      </c>
      <c r="S1747" s="737">
        <f>VLOOKUP($P1747,Allocators!$B$7:$F$19,3,FALSE)</f>
        <v>0</v>
      </c>
      <c r="T1747" s="737" t="str">
        <f t="shared" si="793"/>
        <v>0.0%</v>
      </c>
      <c r="U1747" s="2" t="str">
        <f t="shared" si="785"/>
        <v/>
      </c>
      <c r="V1747" s="2" t="str">
        <f t="shared" si="786"/>
        <v/>
      </c>
      <c r="W1747" s="2" t="str">
        <f t="shared" si="787"/>
        <v/>
      </c>
      <c r="X1747" s="2">
        <f t="shared" si="804"/>
        <v>0</v>
      </c>
      <c r="Y1747" s="2" t="str">
        <f t="shared" si="788"/>
        <v/>
      </c>
      <c r="Z1747" s="2" t="str">
        <f t="shared" si="789"/>
        <v/>
      </c>
      <c r="AA1747" s="2" t="str">
        <f t="shared" si="790"/>
        <v/>
      </c>
      <c r="AB1747" s="2">
        <f t="shared" si="805"/>
        <v>0</v>
      </c>
      <c r="AC1747" s="625">
        <v>0</v>
      </c>
      <c r="AD1747" s="625">
        <v>0</v>
      </c>
      <c r="AE1747" s="625">
        <v>0</v>
      </c>
      <c r="AF1747" s="625">
        <v>0</v>
      </c>
      <c r="AG1747" s="625">
        <v>0</v>
      </c>
      <c r="AH1747" s="625">
        <v>0</v>
      </c>
      <c r="AI1747" s="625">
        <v>0</v>
      </c>
      <c r="AJ1747" s="625">
        <v>0</v>
      </c>
      <c r="AK1747" s="625">
        <v>0</v>
      </c>
      <c r="AL1747" s="625">
        <v>0</v>
      </c>
      <c r="AM1747" s="625">
        <v>0</v>
      </c>
      <c r="AN1747" s="625">
        <v>0</v>
      </c>
      <c r="AO1747" s="625">
        <v>0</v>
      </c>
      <c r="AP1747" s="41" t="str">
        <f t="shared" si="801"/>
        <v>Def TaxR</v>
      </c>
      <c r="AQ1747" s="41" t="str">
        <f t="shared" si="802"/>
        <v>Def TaxRR11Pre-Capitalized Installation Costs</v>
      </c>
      <c r="AR1747" s="41" t="str">
        <f t="shared" si="803"/>
        <v>R11Pre-Capitalized Installation Costs</v>
      </c>
    </row>
    <row r="1748" spans="1:44" s="41" customFormat="1" ht="12.75" customHeight="1">
      <c r="A1748" s="25" t="s">
        <v>1590</v>
      </c>
      <c r="B1748" s="25" t="str">
        <f t="shared" si="792"/>
        <v>Def Tax190501190-110BT010268</v>
      </c>
      <c r="C1748" s="736">
        <v>190501</v>
      </c>
      <c r="D1748" s="735" t="s">
        <v>1966</v>
      </c>
      <c r="E1748" s="41" t="s">
        <v>1967</v>
      </c>
      <c r="F1748" s="41" t="str">
        <f t="shared" si="783"/>
        <v>ADIT-REG-FEDERAL-ELECTRIC</v>
      </c>
      <c r="G1748" s="41" t="s">
        <v>1968</v>
      </c>
      <c r="H1748" s="736" t="s">
        <v>1113</v>
      </c>
      <c r="I1748" s="25"/>
      <c r="J1748" s="25" t="str">
        <f t="shared" si="784"/>
        <v>Y</v>
      </c>
      <c r="K1748" s="442" t="str">
        <f t="shared" si="791"/>
        <v/>
      </c>
      <c r="L1748" s="736" t="s">
        <v>2436</v>
      </c>
      <c r="M1748" s="25" t="str">
        <f t="shared" si="795"/>
        <v>N</v>
      </c>
      <c r="N1748" s="25" t="str">
        <f>IF(L1748&lt;&gt;"",VLOOKUP(L1748,Categories!$B$2:$D$41,2,FALSE),IF(F1748&lt;&gt;"","No Cat",""))</f>
        <v>NRBASE</v>
      </c>
      <c r="O1748" s="25" t="str">
        <f>IF($L1748&lt;&gt;"",VLOOKUP($L1748,Categories!$B$2:$D$41,3,FALSE),IF($F1748&lt;&gt;"","No Cat",""))</f>
        <v>Deferrals Accruing Non-Cash Return   (other than ASGA)</v>
      </c>
      <c r="P1748" s="736" t="s">
        <v>2468</v>
      </c>
      <c r="Q1748" s="25" t="str">
        <f>VLOOKUP($P1748,Allocators!$B$7:$F$19,5,FALSE)</f>
        <v>Not in Rate Base</v>
      </c>
      <c r="R1748" s="737">
        <f>VLOOKUP($P1748,Allocators!$B$7:$F$19,2,FALSE)</f>
        <v>0</v>
      </c>
      <c r="S1748" s="737">
        <f>VLOOKUP($P1748,Allocators!$B$7:$F$19,3,FALSE)</f>
        <v>0</v>
      </c>
      <c r="T1748" s="737">
        <f t="shared" si="793"/>
        <v>1</v>
      </c>
      <c r="U1748" s="2">
        <f t="shared" si="785"/>
        <v>0</v>
      </c>
      <c r="V1748" s="2">
        <f t="shared" si="786"/>
        <v>0</v>
      </c>
      <c r="W1748" s="2">
        <f t="shared" si="787"/>
        <v>11638.407896250001</v>
      </c>
      <c r="X1748" s="2">
        <f t="shared" si="804"/>
        <v>11638.407896250001</v>
      </c>
      <c r="Y1748" s="2">
        <f t="shared" si="788"/>
        <v>0</v>
      </c>
      <c r="Z1748" s="2">
        <f t="shared" si="789"/>
        <v>0</v>
      </c>
      <c r="AA1748" s="2">
        <f t="shared" si="790"/>
        <v>13699.36217</v>
      </c>
      <c r="AB1748" s="2">
        <f t="shared" si="805"/>
        <v>13699.36217</v>
      </c>
      <c r="AC1748" s="625">
        <v>13530.522939999999</v>
      </c>
      <c r="AD1748" s="625">
        <v>14030.422640000001</v>
      </c>
      <c r="AE1748" s="625">
        <v>14527.90057</v>
      </c>
      <c r="AF1748" s="625">
        <v>14604.80831</v>
      </c>
      <c r="AG1748" s="625">
        <v>112.49066999999999</v>
      </c>
      <c r="AH1748" s="625">
        <v>10424.48179</v>
      </c>
      <c r="AI1748" s="625">
        <v>10901.655929999999</v>
      </c>
      <c r="AJ1748" s="625">
        <v>11387.753279999999</v>
      </c>
      <c r="AK1748" s="625">
        <v>11873.68448</v>
      </c>
      <c r="AL1748" s="625">
        <v>12284.289710000001</v>
      </c>
      <c r="AM1748" s="625">
        <v>12748.428599999999</v>
      </c>
      <c r="AN1748" s="625">
        <v>13150.03622</v>
      </c>
      <c r="AO1748" s="625">
        <v>13699.36217</v>
      </c>
      <c r="AP1748" s="41" t="str">
        <f t="shared" si="801"/>
        <v>Def TaxN</v>
      </c>
      <c r="AQ1748" s="41" t="str">
        <f t="shared" si="802"/>
        <v>Def TaxNN10Property Tax Deferral</v>
      </c>
      <c r="AR1748" s="41" t="str">
        <f t="shared" si="803"/>
        <v>N10Property Tax DeferralY</v>
      </c>
    </row>
    <row r="1749" spans="1:44" s="41" customFormat="1" ht="12.75" customHeight="1">
      <c r="A1749" s="25" t="s">
        <v>1590</v>
      </c>
      <c r="B1749" s="25" t="str">
        <f t="shared" si="792"/>
        <v>Def Tax190501190-081/
283-067BTMISCDT</v>
      </c>
      <c r="C1749" s="736">
        <v>190501</v>
      </c>
      <c r="D1749" s="735" t="s">
        <v>1970</v>
      </c>
      <c r="E1749" s="41" t="s">
        <v>1971</v>
      </c>
      <c r="F1749" s="41" t="str">
        <f t="shared" si="783"/>
        <v>ADIT-REG-FEDERAL-ELECTRIC</v>
      </c>
      <c r="G1749" s="41" t="s">
        <v>1972</v>
      </c>
      <c r="H1749" s="736" t="s">
        <v>1973</v>
      </c>
      <c r="I1749" s="25"/>
      <c r="J1749" s="25" t="str">
        <f t="shared" si="784"/>
        <v/>
      </c>
      <c r="K1749" s="442" t="str">
        <f t="shared" si="791"/>
        <v/>
      </c>
      <c r="L1749" s="736" t="s">
        <v>2443</v>
      </c>
      <c r="M1749" s="25" t="str">
        <f t="shared" si="795"/>
        <v>R</v>
      </c>
      <c r="N1749" s="25" t="str">
        <f>IF(L1749&lt;&gt;"",VLOOKUP(L1749,Categories!$B$2:$D$41,2,FALSE),IF(F1749&lt;&gt;"","No Cat",""))</f>
        <v>Rate Base</v>
      </c>
      <c r="O1749" s="25" t="str">
        <f>IF($L1749&lt;&gt;"",VLOOKUP($L1749,Categories!$B$2:$D$41,3,FALSE),IF($F1749&lt;&gt;"","No Cat",""))</f>
        <v>Deferred Income Taxes</v>
      </c>
      <c r="P1749" s="736" t="s">
        <v>2482</v>
      </c>
      <c r="Q1749" s="25" t="str">
        <f>VLOOKUP($P1749,Allocators!$B$7:$F$19,5,FALSE)</f>
        <v>Electric</v>
      </c>
      <c r="R1749" s="737">
        <f>VLOOKUP($P1749,Allocators!$B$7:$F$19,2,FALSE)</f>
        <v>1</v>
      </c>
      <c r="S1749" s="737">
        <f>VLOOKUP($P1749,Allocators!$B$7:$F$19,3,FALSE)</f>
        <v>0</v>
      </c>
      <c r="T1749" s="737" t="str">
        <f t="shared" si="793"/>
        <v>0.0%</v>
      </c>
      <c r="U1749" s="2" t="str">
        <f t="shared" si="785"/>
        <v/>
      </c>
      <c r="V1749" s="2" t="str">
        <f t="shared" si="786"/>
        <v/>
      </c>
      <c r="W1749" s="2" t="str">
        <f t="shared" si="787"/>
        <v/>
      </c>
      <c r="X1749" s="2">
        <f t="shared" si="804"/>
        <v>0</v>
      </c>
      <c r="Y1749" s="2" t="str">
        <f t="shared" si="788"/>
        <v/>
      </c>
      <c r="Z1749" s="2" t="str">
        <f t="shared" si="789"/>
        <v/>
      </c>
      <c r="AA1749" s="2" t="str">
        <f t="shared" si="790"/>
        <v/>
      </c>
      <c r="AB1749" s="2">
        <f t="shared" si="805"/>
        <v>0</v>
      </c>
      <c r="AC1749" s="625">
        <v>0</v>
      </c>
      <c r="AD1749" s="625">
        <v>0</v>
      </c>
      <c r="AE1749" s="625">
        <v>0</v>
      </c>
      <c r="AF1749" s="625">
        <v>0</v>
      </c>
      <c r="AG1749" s="625">
        <v>0</v>
      </c>
      <c r="AH1749" s="625">
        <v>0</v>
      </c>
      <c r="AI1749" s="625">
        <v>0</v>
      </c>
      <c r="AJ1749" s="625">
        <v>0</v>
      </c>
      <c r="AK1749" s="625">
        <v>0</v>
      </c>
      <c r="AL1749" s="625">
        <v>0</v>
      </c>
      <c r="AM1749" s="625">
        <v>0</v>
      </c>
      <c r="AN1749" s="625">
        <v>0</v>
      </c>
      <c r="AO1749" s="625">
        <v>0</v>
      </c>
      <c r="AP1749" s="41" t="str">
        <f t="shared" si="801"/>
        <v>Def TaxR</v>
      </c>
      <c r="AQ1749" s="41" t="str">
        <f t="shared" si="802"/>
        <v>Def TaxRR11Property Tax Audit</v>
      </c>
      <c r="AR1749" s="41" t="str">
        <f t="shared" si="803"/>
        <v>R11Property Tax Audit</v>
      </c>
    </row>
    <row r="1750" spans="1:44" s="41" customFormat="1" ht="12.75" customHeight="1">
      <c r="A1750" s="25" t="s">
        <v>1590</v>
      </c>
      <c r="B1750" s="25" t="str">
        <f t="shared" si="792"/>
        <v>Def Tax190501190-081/
283-067-aBTHUNGDT</v>
      </c>
      <c r="C1750" s="736">
        <v>190501</v>
      </c>
      <c r="D1750" s="735" t="s">
        <v>1974</v>
      </c>
      <c r="E1750" s="41" t="s">
        <v>1624</v>
      </c>
      <c r="F1750" s="41" t="str">
        <f t="shared" si="783"/>
        <v>ADIT-REG-FEDERAL-ELECTRIC</v>
      </c>
      <c r="G1750" s="41" t="s">
        <v>1975</v>
      </c>
      <c r="H1750" s="736" t="s">
        <v>1973</v>
      </c>
      <c r="I1750" s="25"/>
      <c r="J1750" s="25" t="str">
        <f t="shared" si="784"/>
        <v/>
      </c>
      <c r="K1750" s="442" t="str">
        <f t="shared" si="791"/>
        <v/>
      </c>
      <c r="L1750" s="736" t="s">
        <v>2443</v>
      </c>
      <c r="M1750" s="25" t="str">
        <f t="shared" si="795"/>
        <v>R</v>
      </c>
      <c r="N1750" s="25" t="str">
        <f>IF(L1750&lt;&gt;"",VLOOKUP(L1750,Categories!$B$2:$D$41,2,FALSE),IF(F1750&lt;&gt;"","No Cat",""))</f>
        <v>Rate Base</v>
      </c>
      <c r="O1750" s="25" t="str">
        <f>IF($L1750&lt;&gt;"",VLOOKUP($L1750,Categories!$B$2:$D$41,3,FALSE),IF($F1750&lt;&gt;"","No Cat",""))</f>
        <v>Deferred Income Taxes</v>
      </c>
      <c r="P1750" s="736" t="s">
        <v>2482</v>
      </c>
      <c r="Q1750" s="25" t="str">
        <f>VLOOKUP($P1750,Allocators!$B$7:$F$19,5,FALSE)</f>
        <v>Electric</v>
      </c>
      <c r="R1750" s="737">
        <f>VLOOKUP($P1750,Allocators!$B$7:$F$19,2,FALSE)</f>
        <v>1</v>
      </c>
      <c r="S1750" s="737">
        <f>VLOOKUP($P1750,Allocators!$B$7:$F$19,3,FALSE)</f>
        <v>0</v>
      </c>
      <c r="T1750" s="737" t="str">
        <f t="shared" si="793"/>
        <v>0.0%</v>
      </c>
      <c r="U1750" s="2" t="str">
        <f t="shared" si="785"/>
        <v/>
      </c>
      <c r="V1750" s="2" t="str">
        <f t="shared" si="786"/>
        <v/>
      </c>
      <c r="W1750" s="2" t="str">
        <f t="shared" si="787"/>
        <v/>
      </c>
      <c r="X1750" s="2">
        <f t="shared" si="804"/>
        <v>0</v>
      </c>
      <c r="Y1750" s="2" t="str">
        <f t="shared" si="788"/>
        <v/>
      </c>
      <c r="Z1750" s="2" t="str">
        <f t="shared" si="789"/>
        <v/>
      </c>
      <c r="AA1750" s="2" t="str">
        <f t="shared" si="790"/>
        <v/>
      </c>
      <c r="AB1750" s="2">
        <f t="shared" si="805"/>
        <v>0</v>
      </c>
      <c r="AC1750" s="625">
        <v>0</v>
      </c>
      <c r="AD1750" s="625">
        <v>0</v>
      </c>
      <c r="AE1750" s="625">
        <v>0</v>
      </c>
      <c r="AF1750" s="625">
        <v>0</v>
      </c>
      <c r="AG1750" s="625">
        <v>0</v>
      </c>
      <c r="AH1750" s="625">
        <v>0</v>
      </c>
      <c r="AI1750" s="625">
        <v>0</v>
      </c>
      <c r="AJ1750" s="625">
        <v>0</v>
      </c>
      <c r="AK1750" s="625">
        <v>0</v>
      </c>
      <c r="AL1750" s="625">
        <v>0</v>
      </c>
      <c r="AM1750" s="625">
        <v>0</v>
      </c>
      <c r="AN1750" s="625">
        <v>0</v>
      </c>
      <c r="AO1750" s="625">
        <v>0</v>
      </c>
      <c r="AP1750" s="41" t="str">
        <f t="shared" si="801"/>
        <v>Def TaxR</v>
      </c>
      <c r="AQ1750" s="41" t="str">
        <f t="shared" si="802"/>
        <v>Def TaxRR11Property Tax Audit</v>
      </c>
      <c r="AR1750" s="41" t="str">
        <f t="shared" si="803"/>
        <v>R11Property Tax Audit</v>
      </c>
    </row>
    <row r="1751" spans="1:44" s="41" customFormat="1" ht="12.75" customHeight="1">
      <c r="A1751" s="442" t="s">
        <v>1590</v>
      </c>
      <c r="B1751" s="442" t="str">
        <f t="shared" si="792"/>
        <v>Def Tax190501PORBT010176</v>
      </c>
      <c r="C1751" s="736">
        <v>190501</v>
      </c>
      <c r="D1751" s="735" t="s">
        <v>1976</v>
      </c>
      <c r="E1751" s="626" t="s">
        <v>1977</v>
      </c>
      <c r="F1751" s="626" t="str">
        <f t="shared" si="783"/>
        <v>ADIT-REG-FEDERAL-ELECTRIC</v>
      </c>
      <c r="G1751" s="626" t="s">
        <v>1245</v>
      </c>
      <c r="H1751" s="736" t="s">
        <v>1245</v>
      </c>
      <c r="I1751" s="442"/>
      <c r="J1751" s="442" t="str">
        <f t="shared" si="784"/>
        <v/>
      </c>
      <c r="K1751" s="442" t="str">
        <f t="shared" si="791"/>
        <v/>
      </c>
      <c r="L1751" s="736" t="s">
        <v>2421</v>
      </c>
      <c r="M1751" s="442" t="str">
        <f t="shared" si="795"/>
        <v>N</v>
      </c>
      <c r="N1751" s="442" t="str">
        <f>IF(L1751&lt;&gt;"",VLOOKUP(L1751,Categories!$B$2:$D$41,2,FALSE),IF(F1751&lt;&gt;"","No Cat",""))</f>
        <v>NRBASE</v>
      </c>
      <c r="O1751" s="442" t="str">
        <f>IF($L1751&lt;&gt;"",VLOOKUP($L1751,Categories!$B$2:$D$41,3,FALSE),IF($F1751&lt;&gt;"","No Cat",""))</f>
        <v>Direct Assign Items Not in RB</v>
      </c>
      <c r="P1751" s="736" t="s">
        <v>2468</v>
      </c>
      <c r="Q1751" s="442" t="str">
        <f>VLOOKUP($P1751,Allocators!$B$7:$F$19,5,FALSE)</f>
        <v>Not in Rate Base</v>
      </c>
      <c r="R1751" s="737">
        <f>VLOOKUP($P1751,Allocators!$B$7:$F$19,2,FALSE)</f>
        <v>0</v>
      </c>
      <c r="S1751" s="737">
        <f>VLOOKUP($P1751,Allocators!$B$7:$F$19,3,FALSE)</f>
        <v>0</v>
      </c>
      <c r="T1751" s="737">
        <f t="shared" si="793"/>
        <v>1</v>
      </c>
      <c r="U1751" s="2">
        <f t="shared" ref="U1751:U1816" si="806">IF(ABS(X1751)=0,"",IF($R1751="NO ALLOC","NO ALLOC",ROUND($R1751*X1751,15)))</f>
        <v>0</v>
      </c>
      <c r="V1751" s="2">
        <f t="shared" ref="V1751:V1816" si="807">IF(ABS(X1751)=0,"",IF($S1751="NO ALLOC","NO ALLOC",ROUND($S1751*X1751,15)))</f>
        <v>0</v>
      </c>
      <c r="W1751" s="2">
        <f t="shared" ref="W1751:W1816" si="808">IF(ABS(X1751)=0,"",IF($T1751="NO ALLOC","NO ALLOC",ROUND($T1751*X1751,15)))</f>
        <v>-8.3436325</v>
      </c>
      <c r="X1751" s="2">
        <f t="shared" si="804"/>
        <v>-8.3436325</v>
      </c>
      <c r="Y1751" s="2">
        <f t="shared" ref="Y1751:Y1816" si="809">IF(ABS(AB1751)=0,"",IF($R1751="NO ALLOC","NO ALLOC",ROUND($R1751*AB1751,15)))</f>
        <v>0</v>
      </c>
      <c r="Z1751" s="2">
        <f t="shared" ref="Z1751:Z1816" si="810">IF(ABS(AB1751)=0,"",IF($S1751="NO ALLOC","NO ALLOC",ROUND($S1751*AB1751,15)))</f>
        <v>0</v>
      </c>
      <c r="AA1751" s="2">
        <f t="shared" ref="AA1751:AA1816" si="811">IF(ABS(AB1751)=0,"",IF($T1751="NO ALLOC","NO ALLOC",ROUND($T1751*AB1751,15)))</f>
        <v>-21.243320000000001</v>
      </c>
      <c r="AB1751" s="2">
        <f t="shared" si="805"/>
        <v>-21.243320000000001</v>
      </c>
      <c r="AC1751" s="625">
        <v>-110.56674000000001</v>
      </c>
      <c r="AD1751" s="625">
        <v>-85.494429999999994</v>
      </c>
      <c r="AE1751" s="625">
        <v>-54.21913</v>
      </c>
      <c r="AF1751" s="625">
        <v>-19.574740000000002</v>
      </c>
      <c r="AG1751" s="625">
        <v>-4.3605700000000001</v>
      </c>
      <c r="AH1751" s="625">
        <v>2.9340000000000002</v>
      </c>
      <c r="AI1751" s="625">
        <v>12.879620000000001</v>
      </c>
      <c r="AJ1751" s="625">
        <v>31.009990000000002</v>
      </c>
      <c r="AK1751" s="625">
        <v>43.823639999999997</v>
      </c>
      <c r="AL1751" s="625">
        <v>30.65269</v>
      </c>
      <c r="AM1751" s="625">
        <v>15.15235</v>
      </c>
      <c r="AN1751" s="625">
        <v>-7.0219799999999992</v>
      </c>
      <c r="AO1751" s="625">
        <v>-21.243320000000001</v>
      </c>
      <c r="AP1751" s="41" t="str">
        <f t="shared" si="801"/>
        <v>Def TaxN</v>
      </c>
      <c r="AQ1751" s="41" t="str">
        <f t="shared" si="802"/>
        <v>Def TaxNN2Purchase of Receivables</v>
      </c>
      <c r="AR1751" s="41" t="str">
        <f t="shared" si="803"/>
        <v>N2Purchase of Receivables</v>
      </c>
    </row>
    <row r="1752" spans="1:44" s="41" customFormat="1" ht="12.75" customHeight="1">
      <c r="A1752" s="25" t="s">
        <v>1590</v>
      </c>
      <c r="B1752" s="25" t="str">
        <f t="shared" si="792"/>
        <v>Def Tax190501R&amp;D DeferralBT010177</v>
      </c>
      <c r="C1752" s="736">
        <v>190501</v>
      </c>
      <c r="D1752" s="735" t="s">
        <v>1683</v>
      </c>
      <c r="E1752" s="41" t="s">
        <v>1684</v>
      </c>
      <c r="F1752" s="41" t="str">
        <f t="shared" si="783"/>
        <v>ADIT-REG-FEDERAL-ELECTRIC</v>
      </c>
      <c r="G1752" s="41" t="s">
        <v>1978</v>
      </c>
      <c r="H1752" s="736" t="s">
        <v>1124</v>
      </c>
      <c r="I1752" s="25"/>
      <c r="J1752" s="25" t="str">
        <f t="shared" si="784"/>
        <v/>
      </c>
      <c r="K1752" s="442" t="str">
        <f t="shared" si="791"/>
        <v/>
      </c>
      <c r="L1752" s="736" t="s">
        <v>2443</v>
      </c>
      <c r="M1752" s="25" t="str">
        <f t="shared" si="795"/>
        <v>R</v>
      </c>
      <c r="N1752" s="25" t="str">
        <f>IF(L1752&lt;&gt;"",VLOOKUP(L1752,Categories!$B$2:$D$41,2,FALSE),IF(F1752&lt;&gt;"","No Cat",""))</f>
        <v>Rate Base</v>
      </c>
      <c r="O1752" s="25" t="str">
        <f>IF($L1752&lt;&gt;"",VLOOKUP($L1752,Categories!$B$2:$D$41,3,FALSE),IF($F1752&lt;&gt;"","No Cat",""))</f>
        <v>Deferred Income Taxes</v>
      </c>
      <c r="P1752" s="736" t="s">
        <v>2482</v>
      </c>
      <c r="Q1752" s="25" t="str">
        <f>VLOOKUP($P1752,Allocators!$B$7:$F$19,5,FALSE)</f>
        <v>Electric</v>
      </c>
      <c r="R1752" s="737">
        <f>VLOOKUP($P1752,Allocators!$B$7:$F$19,2,FALSE)</f>
        <v>1</v>
      </c>
      <c r="S1752" s="737">
        <f>VLOOKUP($P1752,Allocators!$B$7:$F$19,3,FALSE)</f>
        <v>0</v>
      </c>
      <c r="T1752" s="737" t="str">
        <f t="shared" si="793"/>
        <v>0.0%</v>
      </c>
      <c r="U1752" s="2">
        <f t="shared" si="806"/>
        <v>6.8685416666666999E-2</v>
      </c>
      <c r="V1752" s="2">
        <f t="shared" si="807"/>
        <v>0</v>
      </c>
      <c r="W1752" s="2">
        <f t="shared" si="808"/>
        <v>0</v>
      </c>
      <c r="X1752" s="2">
        <f t="shared" si="804"/>
        <v>6.8685416666666999E-2</v>
      </c>
      <c r="Y1752" s="2">
        <f t="shared" si="809"/>
        <v>-1.1E-4</v>
      </c>
      <c r="Z1752" s="2">
        <f t="shared" si="810"/>
        <v>0</v>
      </c>
      <c r="AA1752" s="2">
        <f t="shared" si="811"/>
        <v>0</v>
      </c>
      <c r="AB1752" s="2">
        <f t="shared" si="805"/>
        <v>-1.1E-4</v>
      </c>
      <c r="AC1752" s="625">
        <v>1.6509800000000001</v>
      </c>
      <c r="AD1752" s="625">
        <v>-1.1E-4</v>
      </c>
      <c r="AE1752" s="625">
        <v>-1.1E-4</v>
      </c>
      <c r="AF1752" s="625">
        <v>-1.1E-4</v>
      </c>
      <c r="AG1752" s="625">
        <v>-1.1E-4</v>
      </c>
      <c r="AH1752" s="625">
        <v>-1.1E-4</v>
      </c>
      <c r="AI1752" s="625">
        <v>-1.1E-4</v>
      </c>
      <c r="AJ1752" s="625">
        <v>-1.1E-4</v>
      </c>
      <c r="AK1752" s="625">
        <v>-1.1E-4</v>
      </c>
      <c r="AL1752" s="625">
        <v>-1.1E-4</v>
      </c>
      <c r="AM1752" s="625">
        <v>-1.1E-4</v>
      </c>
      <c r="AN1752" s="625">
        <v>-1.1E-4</v>
      </c>
      <c r="AO1752" s="625">
        <v>-1.1E-4</v>
      </c>
      <c r="AP1752" s="41" t="str">
        <f t="shared" si="801"/>
        <v>Def TaxR</v>
      </c>
      <c r="AQ1752" s="41" t="str">
        <f t="shared" si="802"/>
        <v>Def TaxRR11R&amp;D Tax Credit Deferral</v>
      </c>
      <c r="AR1752" s="41" t="str">
        <f t="shared" si="803"/>
        <v>R11R&amp;D Tax Credit Deferral</v>
      </c>
    </row>
    <row r="1753" spans="1:44" s="41" customFormat="1" ht="12.75" customHeight="1">
      <c r="A1753" s="442" t="s">
        <v>1590</v>
      </c>
      <c r="B1753" s="442" t="str">
        <f t="shared" si="792"/>
        <v>Def Tax190501BE030904</v>
      </c>
      <c r="C1753" s="736">
        <v>190501</v>
      </c>
      <c r="D1753" s="735"/>
      <c r="E1753" s="626" t="s">
        <v>769</v>
      </c>
      <c r="F1753" s="626" t="str">
        <f t="shared" si="783"/>
        <v>ADIT-REG-FEDERAL-ELECTRIC</v>
      </c>
      <c r="G1753" s="626" t="s">
        <v>1979</v>
      </c>
      <c r="H1753" s="736" t="s">
        <v>823</v>
      </c>
      <c r="I1753" s="442"/>
      <c r="J1753" s="442" t="s">
        <v>7</v>
      </c>
      <c r="K1753" s="442" t="str">
        <f t="shared" si="791"/>
        <v/>
      </c>
      <c r="L1753" s="736" t="s">
        <v>2436</v>
      </c>
      <c r="M1753" s="442" t="str">
        <f t="shared" si="795"/>
        <v>N</v>
      </c>
      <c r="N1753" s="442" t="str">
        <f>IF(L1753&lt;&gt;"",VLOOKUP(L1753,Categories!$B$2:$D$41,2,FALSE),IF(F1753&lt;&gt;"","No Cat",""))</f>
        <v>NRBASE</v>
      </c>
      <c r="O1753" s="442" t="str">
        <f>IF($L1753&lt;&gt;"",VLOOKUP($L1753,Categories!$B$2:$D$41,3,FALSE),IF($F1753&lt;&gt;"","No Cat",""))</f>
        <v>Deferrals Accruing Non-Cash Return   (other than ASGA)</v>
      </c>
      <c r="P1753" s="736" t="s">
        <v>2468</v>
      </c>
      <c r="Q1753" s="442" t="str">
        <f>VLOOKUP($P1753,Allocators!$B$7:$F$19,5,FALSE)</f>
        <v>Not in Rate Base</v>
      </c>
      <c r="R1753" s="737">
        <f>VLOOKUP($P1753,Allocators!$B$7:$F$19,2,FALSE)</f>
        <v>0</v>
      </c>
      <c r="S1753" s="737">
        <f>VLOOKUP($P1753,Allocators!$B$7:$F$19,3,FALSE)</f>
        <v>0</v>
      </c>
      <c r="T1753" s="737">
        <f t="shared" si="793"/>
        <v>1</v>
      </c>
      <c r="U1753" s="2">
        <f t="shared" si="806"/>
        <v>0</v>
      </c>
      <c r="V1753" s="2">
        <f t="shared" si="807"/>
        <v>0</v>
      </c>
      <c r="W1753" s="2">
        <f t="shared" si="808"/>
        <v>-1512.512485</v>
      </c>
      <c r="X1753" s="2">
        <f t="shared" si="804"/>
        <v>-1512.512485</v>
      </c>
      <c r="Y1753" s="2">
        <f t="shared" si="809"/>
        <v>0</v>
      </c>
      <c r="Z1753" s="2">
        <f t="shared" si="810"/>
        <v>0</v>
      </c>
      <c r="AA1753" s="2">
        <f t="shared" si="811"/>
        <v>-1877.78557</v>
      </c>
      <c r="AB1753" s="2">
        <f t="shared" si="805"/>
        <v>-1877.78557</v>
      </c>
      <c r="AC1753" s="625">
        <v>-1775.8136100000002</v>
      </c>
      <c r="AD1753" s="625">
        <v>-1373.9897800000001</v>
      </c>
      <c r="AE1753" s="625">
        <v>-1287.6592900000001</v>
      </c>
      <c r="AF1753" s="625">
        <v>-939.32371999999998</v>
      </c>
      <c r="AG1753" s="625">
        <v>-945.11696999999992</v>
      </c>
      <c r="AH1753" s="625">
        <v>-924.11990000000003</v>
      </c>
      <c r="AI1753" s="625">
        <v>-1095.8427099999999</v>
      </c>
      <c r="AJ1753" s="625">
        <v>-1569.04324</v>
      </c>
      <c r="AK1753" s="625">
        <v>-1973.4700500000001</v>
      </c>
      <c r="AL1753" s="625">
        <v>-1873.2257099999999</v>
      </c>
      <c r="AM1753" s="625">
        <v>-2311.2405400000002</v>
      </c>
      <c r="AN1753" s="625">
        <v>-2030.3183200000001</v>
      </c>
      <c r="AO1753" s="625">
        <v>-1877.78557</v>
      </c>
      <c r="AP1753" s="41" t="str">
        <f t="shared" si="801"/>
        <v>Def TaxN</v>
      </c>
      <c r="AQ1753" s="41" t="str">
        <f t="shared" si="802"/>
        <v>Def TaxNN10RDM</v>
      </c>
      <c r="AR1753" s="41" t="str">
        <f t="shared" si="803"/>
        <v>N10RDMNCR</v>
      </c>
    </row>
    <row r="1754" spans="1:44" s="41" customFormat="1" ht="12.75" customHeight="1">
      <c r="A1754" s="25" t="s">
        <v>1590</v>
      </c>
      <c r="B1754" s="25" t="str">
        <f t="shared" si="792"/>
        <v>Def Tax190501283-074-JPBT010096/
BT010242</v>
      </c>
      <c r="C1754" s="736">
        <v>190501</v>
      </c>
      <c r="D1754" s="735" t="s">
        <v>1980</v>
      </c>
      <c r="E1754" s="41" t="s">
        <v>1981</v>
      </c>
      <c r="F1754" s="41" t="str">
        <f t="shared" ref="F1754:F1830" si="812">VLOOKUP(C1754,$C$7:$F$787,4,FALSE)</f>
        <v>ADIT-REG-FEDERAL-ELECTRIC</v>
      </c>
      <c r="G1754" s="41" t="s">
        <v>1982</v>
      </c>
      <c r="H1754" s="736" t="s">
        <v>1775</v>
      </c>
      <c r="I1754" s="25"/>
      <c r="J1754" s="25" t="str">
        <f t="shared" si="784"/>
        <v/>
      </c>
      <c r="K1754" s="442" t="str">
        <f t="shared" ref="K1754:K1828" si="813">IF(L1754="N3","Y","")</f>
        <v/>
      </c>
      <c r="L1754" s="736" t="s">
        <v>2443</v>
      </c>
      <c r="M1754" s="25" t="str">
        <f t="shared" si="795"/>
        <v>R</v>
      </c>
      <c r="N1754" s="25" t="str">
        <f>IF(L1754&lt;&gt;"",VLOOKUP(L1754,Categories!$B$2:$D$41,2,FALSE),IF(F1754&lt;&gt;"","No Cat",""))</f>
        <v>Rate Base</v>
      </c>
      <c r="O1754" s="25" t="str">
        <f>IF($L1754&lt;&gt;"",VLOOKUP($L1754,Categories!$B$2:$D$41,3,FALSE),IF($F1754&lt;&gt;"","No Cat",""))</f>
        <v>Deferred Income Taxes</v>
      </c>
      <c r="P1754" s="736" t="s">
        <v>2482</v>
      </c>
      <c r="Q1754" s="25" t="str">
        <f>VLOOKUP($P1754,Allocators!$B$7:$F$19,5,FALSE)</f>
        <v>Electric</v>
      </c>
      <c r="R1754" s="737">
        <f>VLOOKUP($P1754,Allocators!$B$7:$F$19,2,FALSE)</f>
        <v>1</v>
      </c>
      <c r="S1754" s="737">
        <f>VLOOKUP($P1754,Allocators!$B$7:$F$19,3,FALSE)</f>
        <v>0</v>
      </c>
      <c r="T1754" s="737" t="str">
        <f t="shared" si="793"/>
        <v>0.0%</v>
      </c>
      <c r="U1754" s="2">
        <f t="shared" si="806"/>
        <v>17.553808333333301</v>
      </c>
      <c r="V1754" s="2">
        <f t="shared" si="807"/>
        <v>0</v>
      </c>
      <c r="W1754" s="2">
        <f t="shared" si="808"/>
        <v>0</v>
      </c>
      <c r="X1754" s="2">
        <f t="shared" si="804"/>
        <v>17.553808333333301</v>
      </c>
      <c r="Y1754" s="2">
        <f t="shared" si="809"/>
        <v>121.73042</v>
      </c>
      <c r="Z1754" s="2">
        <f t="shared" si="810"/>
        <v>0</v>
      </c>
      <c r="AA1754" s="2">
        <f t="shared" si="811"/>
        <v>0</v>
      </c>
      <c r="AB1754" s="2">
        <f t="shared" si="805"/>
        <v>121.73042</v>
      </c>
      <c r="AC1754" s="625">
        <v>0</v>
      </c>
      <c r="AD1754" s="625">
        <v>0</v>
      </c>
      <c r="AE1754" s="625">
        <v>0</v>
      </c>
      <c r="AF1754" s="625">
        <v>0</v>
      </c>
      <c r="AG1754" s="625">
        <v>0</v>
      </c>
      <c r="AH1754" s="625">
        <v>0</v>
      </c>
      <c r="AI1754" s="625">
        <v>0</v>
      </c>
      <c r="AJ1754" s="625">
        <v>0</v>
      </c>
      <c r="AK1754" s="625">
        <v>0</v>
      </c>
      <c r="AL1754" s="625">
        <v>0</v>
      </c>
      <c r="AM1754" s="625">
        <v>0</v>
      </c>
      <c r="AN1754" s="625">
        <v>149.78048999999999</v>
      </c>
      <c r="AO1754" s="625">
        <v>121.73042</v>
      </c>
      <c r="AP1754" s="41" t="str">
        <f t="shared" si="801"/>
        <v>Def TaxR</v>
      </c>
      <c r="AQ1754" s="41" t="str">
        <f t="shared" si="802"/>
        <v>Def TaxRR11Gain/Loss on Reacquired Debt</v>
      </c>
      <c r="AR1754" s="41" t="str">
        <f t="shared" si="803"/>
        <v>R11Gain/Loss on Reacquired Debt</v>
      </c>
    </row>
    <row r="1755" spans="1:44" s="41" customFormat="1" ht="12.75" customHeight="1">
      <c r="A1755" s="25" t="s">
        <v>1590</v>
      </c>
      <c r="B1755" s="25" t="str">
        <f t="shared" si="792"/>
        <v>Def Tax190501RussDecommBE030278</v>
      </c>
      <c r="C1755" s="736">
        <v>190501</v>
      </c>
      <c r="D1755" s="735" t="s">
        <v>1984</v>
      </c>
      <c r="E1755" s="41" t="s">
        <v>1985</v>
      </c>
      <c r="F1755" s="41" t="str">
        <f t="shared" si="812"/>
        <v>ADIT-REG-FEDERAL-ELECTRIC</v>
      </c>
      <c r="G1755" s="41" t="s">
        <v>1986</v>
      </c>
      <c r="H1755" s="736" t="s">
        <v>2694</v>
      </c>
      <c r="I1755" s="25"/>
      <c r="J1755" s="25" t="str">
        <f t="shared" ref="J1755:J1831" si="814">IF(L1755="N10","Y",IF(L1755="N8","Y",""))</f>
        <v/>
      </c>
      <c r="K1755" s="442" t="str">
        <f t="shared" si="813"/>
        <v/>
      </c>
      <c r="L1755" s="736" t="s">
        <v>2443</v>
      </c>
      <c r="M1755" s="25" t="str">
        <f t="shared" si="795"/>
        <v>R</v>
      </c>
      <c r="N1755" s="25" t="str">
        <f>IF(L1755&lt;&gt;"",VLOOKUP(L1755,Categories!$B$2:$D$41,2,FALSE),IF(F1755&lt;&gt;"","No Cat",""))</f>
        <v>Rate Base</v>
      </c>
      <c r="O1755" s="25" t="str">
        <f>IF($L1755&lt;&gt;"",VLOOKUP($L1755,Categories!$B$2:$D$41,3,FALSE),IF($F1755&lt;&gt;"","No Cat",""))</f>
        <v>Deferred Income Taxes</v>
      </c>
      <c r="P1755" s="736" t="s">
        <v>2482</v>
      </c>
      <c r="Q1755" s="25" t="str">
        <f>VLOOKUP($P1755,Allocators!$B$7:$F$19,5,FALSE)</f>
        <v>Electric</v>
      </c>
      <c r="R1755" s="737">
        <f>VLOOKUP($P1755,Allocators!$B$7:$F$19,2,FALSE)</f>
        <v>1</v>
      </c>
      <c r="S1755" s="737">
        <f>VLOOKUP($P1755,Allocators!$B$7:$F$19,3,FALSE)</f>
        <v>0</v>
      </c>
      <c r="T1755" s="737" t="str">
        <f t="shared" si="793"/>
        <v>0.0%</v>
      </c>
      <c r="U1755" s="2">
        <f t="shared" si="806"/>
        <v>122.393086666667</v>
      </c>
      <c r="V1755" s="2">
        <f t="shared" si="807"/>
        <v>0</v>
      </c>
      <c r="W1755" s="2">
        <f t="shared" si="808"/>
        <v>0</v>
      </c>
      <c r="X1755" s="2">
        <f t="shared" si="804"/>
        <v>122.393086666667</v>
      </c>
      <c r="Y1755" s="2">
        <f t="shared" si="809"/>
        <v>2937.43408</v>
      </c>
      <c r="Z1755" s="2">
        <f t="shared" si="810"/>
        <v>0</v>
      </c>
      <c r="AA1755" s="2">
        <f t="shared" si="811"/>
        <v>0</v>
      </c>
      <c r="AB1755" s="2">
        <f t="shared" si="805"/>
        <v>2937.43408</v>
      </c>
      <c r="AC1755" s="625">
        <v>0</v>
      </c>
      <c r="AD1755" s="625">
        <v>0</v>
      </c>
      <c r="AE1755" s="625">
        <v>0</v>
      </c>
      <c r="AF1755" s="625">
        <v>0</v>
      </c>
      <c r="AG1755" s="625">
        <v>0</v>
      </c>
      <c r="AH1755" s="625">
        <v>0</v>
      </c>
      <c r="AI1755" s="625">
        <v>0</v>
      </c>
      <c r="AJ1755" s="625">
        <v>0</v>
      </c>
      <c r="AK1755" s="625">
        <v>0</v>
      </c>
      <c r="AL1755" s="625">
        <v>0</v>
      </c>
      <c r="AM1755" s="625">
        <v>0</v>
      </c>
      <c r="AN1755" s="625">
        <v>0</v>
      </c>
      <c r="AO1755" s="625">
        <v>2937.43408</v>
      </c>
      <c r="AP1755" s="41" t="str">
        <f t="shared" si="801"/>
        <v>Def TaxR</v>
      </c>
      <c r="AQ1755" s="41" t="str">
        <f t="shared" si="802"/>
        <v>Def TaxRR11Russell Decommissioning Reserve</v>
      </c>
      <c r="AR1755" s="41" t="str">
        <f t="shared" si="803"/>
        <v>R11Russell Decommissioning Reserve</v>
      </c>
    </row>
    <row r="1756" spans="1:44" s="41" customFormat="1" ht="12.75" customHeight="1">
      <c r="A1756" s="442" t="s">
        <v>1590</v>
      </c>
      <c r="B1756" s="442" t="str">
        <f t="shared" si="792"/>
        <v>Def Tax190501SERP RegLia F/
SERP RegLiaSBT030561/
BT130561</v>
      </c>
      <c r="C1756" s="736">
        <v>190501</v>
      </c>
      <c r="D1756" s="735" t="s">
        <v>1987</v>
      </c>
      <c r="E1756" s="626" t="s">
        <v>1988</v>
      </c>
      <c r="F1756" s="626" t="str">
        <f t="shared" si="812"/>
        <v>ADIT-REG-FEDERAL-ELECTRIC</v>
      </c>
      <c r="G1756" s="626" t="s">
        <v>1989</v>
      </c>
      <c r="H1756" s="736" t="s">
        <v>810</v>
      </c>
      <c r="I1756" s="442"/>
      <c r="J1756" s="442" t="str">
        <f t="shared" si="814"/>
        <v/>
      </c>
      <c r="K1756" s="442" t="str">
        <f t="shared" si="813"/>
        <v/>
      </c>
      <c r="L1756" s="736" t="s">
        <v>2421</v>
      </c>
      <c r="M1756" s="442" t="str">
        <f t="shared" si="795"/>
        <v>N</v>
      </c>
      <c r="N1756" s="442" t="str">
        <f>IF(L1756&lt;&gt;"",VLOOKUP(L1756,Categories!$B$2:$D$41,2,FALSE),IF(F1756&lt;&gt;"","No Cat",""))</f>
        <v>NRBASE</v>
      </c>
      <c r="O1756" s="442" t="str">
        <f>IF($L1756&lt;&gt;"",VLOOKUP($L1756,Categories!$B$2:$D$41,3,FALSE),IF($F1756&lt;&gt;"","No Cat",""))</f>
        <v>Direct Assign Items Not in RB</v>
      </c>
      <c r="P1756" s="736" t="s">
        <v>2468</v>
      </c>
      <c r="Q1756" s="442" t="str">
        <f>VLOOKUP($P1756,Allocators!$B$7:$F$19,5,FALSE)</f>
        <v>Not in Rate Base</v>
      </c>
      <c r="R1756" s="737">
        <f>VLOOKUP($P1756,Allocators!$B$7:$F$19,2,FALSE)</f>
        <v>0</v>
      </c>
      <c r="S1756" s="737">
        <f>VLOOKUP($P1756,Allocators!$B$7:$F$19,3,FALSE)</f>
        <v>0</v>
      </c>
      <c r="T1756" s="737">
        <f t="shared" si="793"/>
        <v>1</v>
      </c>
      <c r="U1756" s="2" t="str">
        <f t="shared" si="806"/>
        <v/>
      </c>
      <c r="V1756" s="2" t="str">
        <f t="shared" si="807"/>
        <v/>
      </c>
      <c r="W1756" s="2" t="str">
        <f t="shared" si="808"/>
        <v/>
      </c>
      <c r="X1756" s="2">
        <f t="shared" si="804"/>
        <v>0</v>
      </c>
      <c r="Y1756" s="2" t="str">
        <f t="shared" si="809"/>
        <v/>
      </c>
      <c r="Z1756" s="2" t="str">
        <f t="shared" si="810"/>
        <v/>
      </c>
      <c r="AA1756" s="2" t="str">
        <f t="shared" si="811"/>
        <v/>
      </c>
      <c r="AB1756" s="2">
        <f t="shared" si="805"/>
        <v>0</v>
      </c>
      <c r="AC1756" s="625">
        <v>0</v>
      </c>
      <c r="AD1756" s="625">
        <v>0</v>
      </c>
      <c r="AE1756" s="625">
        <v>0</v>
      </c>
      <c r="AF1756" s="625">
        <v>0</v>
      </c>
      <c r="AG1756" s="625">
        <v>0</v>
      </c>
      <c r="AH1756" s="625">
        <v>0</v>
      </c>
      <c r="AI1756" s="625">
        <v>0</v>
      </c>
      <c r="AJ1756" s="625">
        <v>0</v>
      </c>
      <c r="AK1756" s="625">
        <v>0</v>
      </c>
      <c r="AL1756" s="625">
        <v>0</v>
      </c>
      <c r="AM1756" s="625">
        <v>0</v>
      </c>
      <c r="AN1756" s="625">
        <v>0</v>
      </c>
      <c r="AO1756" s="625">
        <v>0</v>
      </c>
      <c r="AP1756" s="41" t="str">
        <f t="shared" si="801"/>
        <v>Def TaxN</v>
      </c>
      <c r="AQ1756" s="41" t="str">
        <f t="shared" si="802"/>
        <v>Def TaxNN2SERP</v>
      </c>
      <c r="AR1756" s="41" t="str">
        <f t="shared" si="803"/>
        <v>N2SERP</v>
      </c>
    </row>
    <row r="1757" spans="1:44" s="41" customFormat="1" ht="12.75" customHeight="1">
      <c r="A1757" s="442" t="s">
        <v>1590</v>
      </c>
      <c r="B1757" s="442" t="str">
        <f t="shared" si="792"/>
        <v>Def Tax190501BT010209</v>
      </c>
      <c r="C1757" s="736">
        <v>190501</v>
      </c>
      <c r="D1757" s="735"/>
      <c r="E1757" s="626" t="s">
        <v>1990</v>
      </c>
      <c r="F1757" s="626" t="str">
        <f t="shared" si="812"/>
        <v>ADIT-REG-FEDERAL-ELECTRIC</v>
      </c>
      <c r="G1757" s="626" t="s">
        <v>1991</v>
      </c>
      <c r="H1757" s="736" t="s">
        <v>1122</v>
      </c>
      <c r="I1757" s="442"/>
      <c r="J1757" s="442" t="str">
        <f t="shared" si="814"/>
        <v/>
      </c>
      <c r="K1757" s="442" t="str">
        <f t="shared" si="813"/>
        <v/>
      </c>
      <c r="L1757" s="736" t="s">
        <v>2421</v>
      </c>
      <c r="M1757" s="442" t="str">
        <f t="shared" si="795"/>
        <v>N</v>
      </c>
      <c r="N1757" s="442" t="str">
        <f>IF(L1757&lt;&gt;"",VLOOKUP(L1757,Categories!$B$2:$D$41,2,FALSE),IF(F1757&lt;&gt;"","No Cat",""))</f>
        <v>NRBASE</v>
      </c>
      <c r="O1757" s="442" t="str">
        <f>IF($L1757&lt;&gt;"",VLOOKUP($L1757,Categories!$B$2:$D$41,3,FALSE),IF($F1757&lt;&gt;"","No Cat",""))</f>
        <v>Direct Assign Items Not in RB</v>
      </c>
      <c r="P1757" s="736" t="s">
        <v>2468</v>
      </c>
      <c r="Q1757" s="442" t="str">
        <f>VLOOKUP($P1757,Allocators!$B$7:$F$19,5,FALSE)</f>
        <v>Not in Rate Base</v>
      </c>
      <c r="R1757" s="737">
        <f>VLOOKUP($P1757,Allocators!$B$7:$F$19,2,FALSE)</f>
        <v>0</v>
      </c>
      <c r="S1757" s="737">
        <f>VLOOKUP($P1757,Allocators!$B$7:$F$19,3,FALSE)</f>
        <v>0</v>
      </c>
      <c r="T1757" s="737">
        <f t="shared" si="793"/>
        <v>1</v>
      </c>
      <c r="U1757" s="2" t="str">
        <f t="shared" si="806"/>
        <v/>
      </c>
      <c r="V1757" s="2" t="str">
        <f t="shared" si="807"/>
        <v/>
      </c>
      <c r="W1757" s="2" t="str">
        <f t="shared" si="808"/>
        <v/>
      </c>
      <c r="X1757" s="2">
        <f t="shared" si="804"/>
        <v>0</v>
      </c>
      <c r="Y1757" s="2" t="str">
        <f t="shared" si="809"/>
        <v/>
      </c>
      <c r="Z1757" s="2" t="str">
        <f t="shared" si="810"/>
        <v/>
      </c>
      <c r="AA1757" s="2" t="str">
        <f t="shared" si="811"/>
        <v/>
      </c>
      <c r="AB1757" s="2">
        <f t="shared" si="805"/>
        <v>0</v>
      </c>
      <c r="AC1757" s="625">
        <v>0</v>
      </c>
      <c r="AD1757" s="625">
        <v>0</v>
      </c>
      <c r="AE1757" s="625">
        <v>0</v>
      </c>
      <c r="AF1757" s="625">
        <v>0</v>
      </c>
      <c r="AG1757" s="625">
        <v>0</v>
      </c>
      <c r="AH1757" s="625">
        <v>0</v>
      </c>
      <c r="AI1757" s="625">
        <v>0</v>
      </c>
      <c r="AJ1757" s="625">
        <v>0</v>
      </c>
      <c r="AK1757" s="625">
        <v>0</v>
      </c>
      <c r="AL1757" s="625">
        <v>0</v>
      </c>
      <c r="AM1757" s="625">
        <v>0</v>
      </c>
      <c r="AN1757" s="625">
        <v>0</v>
      </c>
      <c r="AO1757" s="625">
        <v>0</v>
      </c>
      <c r="AP1757" s="41" t="str">
        <f t="shared" si="801"/>
        <v>Def TaxN</v>
      </c>
      <c r="AQ1757" s="41" t="str">
        <f t="shared" si="802"/>
        <v>Def TaxNN2Service Quality Performance</v>
      </c>
      <c r="AR1757" s="41" t="str">
        <f t="shared" si="803"/>
        <v>N2Service Quality Performance</v>
      </c>
    </row>
    <row r="1758" spans="1:44" s="41" customFormat="1" ht="12.75" customHeight="1">
      <c r="A1758" s="25" t="s">
        <v>1590</v>
      </c>
      <c r="B1758" s="25" t="str">
        <f t="shared" si="792"/>
        <v>Def Tax190501283-069BT010199</v>
      </c>
      <c r="C1758" s="736">
        <v>190501</v>
      </c>
      <c r="D1758" s="735" t="s">
        <v>1992</v>
      </c>
      <c r="E1758" s="41" t="s">
        <v>1993</v>
      </c>
      <c r="F1758" s="41" t="str">
        <f t="shared" si="812"/>
        <v>ADIT-REG-FEDERAL-ELECTRIC</v>
      </c>
      <c r="G1758" s="41" t="s">
        <v>1994</v>
      </c>
      <c r="H1758" s="736" t="s">
        <v>1995</v>
      </c>
      <c r="I1758" s="25"/>
      <c r="J1758" s="25" t="str">
        <f t="shared" si="814"/>
        <v/>
      </c>
      <c r="K1758" s="442" t="str">
        <f t="shared" si="813"/>
        <v/>
      </c>
      <c r="L1758" s="736" t="s">
        <v>2443</v>
      </c>
      <c r="M1758" s="25" t="str">
        <f t="shared" si="795"/>
        <v>R</v>
      </c>
      <c r="N1758" s="25" t="str">
        <f>IF(L1758&lt;&gt;"",VLOOKUP(L1758,Categories!$B$2:$D$41,2,FALSE),IF(F1758&lt;&gt;"","No Cat",""))</f>
        <v>Rate Base</v>
      </c>
      <c r="O1758" s="25" t="str">
        <f>IF($L1758&lt;&gt;"",VLOOKUP($L1758,Categories!$B$2:$D$41,3,FALSE),IF($F1758&lt;&gt;"","No Cat",""))</f>
        <v>Deferred Income Taxes</v>
      </c>
      <c r="P1758" s="736" t="s">
        <v>2482</v>
      </c>
      <c r="Q1758" s="25" t="str">
        <f>VLOOKUP($P1758,Allocators!$B$7:$F$19,5,FALSE)</f>
        <v>Electric</v>
      </c>
      <c r="R1758" s="737">
        <f>VLOOKUP($P1758,Allocators!$B$7:$F$19,2,FALSE)</f>
        <v>1</v>
      </c>
      <c r="S1758" s="737">
        <f>VLOOKUP($P1758,Allocators!$B$7:$F$19,3,FALSE)</f>
        <v>0</v>
      </c>
      <c r="T1758" s="737" t="str">
        <f t="shared" si="793"/>
        <v>0.0%</v>
      </c>
      <c r="U1758" s="2">
        <f t="shared" si="806"/>
        <v>-477.69655999999998</v>
      </c>
      <c r="V1758" s="2">
        <f t="shared" si="807"/>
        <v>0</v>
      </c>
      <c r="W1758" s="2">
        <f t="shared" si="808"/>
        <v>0</v>
      </c>
      <c r="X1758" s="2">
        <f t="shared" si="804"/>
        <v>-477.69655999999998</v>
      </c>
      <c r="Y1758" s="2">
        <f t="shared" si="809"/>
        <v>-477.69655999999998</v>
      </c>
      <c r="Z1758" s="2">
        <f t="shared" si="810"/>
        <v>0</v>
      </c>
      <c r="AA1758" s="2">
        <f t="shared" si="811"/>
        <v>0</v>
      </c>
      <c r="AB1758" s="2">
        <f t="shared" si="805"/>
        <v>-477.69655999999998</v>
      </c>
      <c r="AC1758" s="625">
        <v>-477.69655999999998</v>
      </c>
      <c r="AD1758" s="625">
        <v>-477.69655999999998</v>
      </c>
      <c r="AE1758" s="625">
        <v>-477.69655999999998</v>
      </c>
      <c r="AF1758" s="625">
        <v>-477.69655999999998</v>
      </c>
      <c r="AG1758" s="625">
        <v>-477.69655999999998</v>
      </c>
      <c r="AH1758" s="625">
        <v>-477.69655999999998</v>
      </c>
      <c r="AI1758" s="625">
        <v>-477.69655999999998</v>
      </c>
      <c r="AJ1758" s="625">
        <v>-477.69655999999998</v>
      </c>
      <c r="AK1758" s="625">
        <v>-477.69655999999998</v>
      </c>
      <c r="AL1758" s="625">
        <v>-477.69655999999998</v>
      </c>
      <c r="AM1758" s="625">
        <v>-477.69655999999998</v>
      </c>
      <c r="AN1758" s="625">
        <v>-477.69655999999998</v>
      </c>
      <c r="AO1758" s="625">
        <v>-477.69655999999998</v>
      </c>
      <c r="AP1758" s="41" t="str">
        <f t="shared" si="801"/>
        <v>Def TaxR</v>
      </c>
      <c r="AQ1758" s="41" t="str">
        <f t="shared" si="802"/>
        <v>Def TaxRR11NYS Income Tax / GRT Deferral</v>
      </c>
      <c r="AR1758" s="41" t="str">
        <f t="shared" si="803"/>
        <v>R11NYS Income Tax / GRT Deferral</v>
      </c>
    </row>
    <row r="1759" spans="1:44" s="41" customFormat="1" ht="12.75" customHeight="1">
      <c r="A1759" s="442" t="s">
        <v>1590</v>
      </c>
      <c r="B1759" s="442" t="str">
        <f t="shared" si="792"/>
        <v>Def Tax190501190-097-JPBT010222</v>
      </c>
      <c r="C1759" s="736">
        <v>190501</v>
      </c>
      <c r="D1759" s="735" t="s">
        <v>1996</v>
      </c>
      <c r="E1759" s="626" t="s">
        <v>1997</v>
      </c>
      <c r="F1759" s="626" t="str">
        <f t="shared" si="812"/>
        <v>ADIT-REG-FEDERAL-ELECTRIC</v>
      </c>
      <c r="G1759" s="626" t="s">
        <v>1998</v>
      </c>
      <c r="H1759" s="736" t="s">
        <v>1325</v>
      </c>
      <c r="I1759" s="442"/>
      <c r="J1759" s="442" t="str">
        <f t="shared" si="814"/>
        <v/>
      </c>
      <c r="K1759" s="442" t="str">
        <f t="shared" si="813"/>
        <v/>
      </c>
      <c r="L1759" s="736" t="s">
        <v>2421</v>
      </c>
      <c r="M1759" s="442" t="str">
        <f t="shared" si="795"/>
        <v>N</v>
      </c>
      <c r="N1759" s="442" t="str">
        <f>IF(L1759&lt;&gt;"",VLOOKUP(L1759,Categories!$B$2:$D$41,2,FALSE),IF(F1759&lt;&gt;"","No Cat",""))</f>
        <v>NRBASE</v>
      </c>
      <c r="O1759" s="442" t="str">
        <f>IF($L1759&lt;&gt;"",VLOOKUP($L1759,Categories!$B$2:$D$41,3,FALSE),IF($F1759&lt;&gt;"","No Cat",""))</f>
        <v>Direct Assign Items Not in RB</v>
      </c>
      <c r="P1759" s="736" t="s">
        <v>2468</v>
      </c>
      <c r="Q1759" s="442" t="str">
        <f>VLOOKUP($P1759,Allocators!$B$7:$F$19,5,FALSE)</f>
        <v>Not in Rate Base</v>
      </c>
      <c r="R1759" s="737">
        <f>VLOOKUP($P1759,Allocators!$B$7:$F$19,2,FALSE)</f>
        <v>0</v>
      </c>
      <c r="S1759" s="737">
        <f>VLOOKUP($P1759,Allocators!$B$7:$F$19,3,FALSE)</f>
        <v>0</v>
      </c>
      <c r="T1759" s="737">
        <f t="shared" si="793"/>
        <v>1</v>
      </c>
      <c r="U1759" s="2">
        <f t="shared" si="806"/>
        <v>0</v>
      </c>
      <c r="V1759" s="2">
        <f t="shared" si="807"/>
        <v>0</v>
      </c>
      <c r="W1759" s="2">
        <f t="shared" si="808"/>
        <v>401.693187916667</v>
      </c>
      <c r="X1759" s="2">
        <f t="shared" si="804"/>
        <v>401.693187916667</v>
      </c>
      <c r="Y1759" s="2">
        <f t="shared" si="809"/>
        <v>0</v>
      </c>
      <c r="Z1759" s="2">
        <f t="shared" si="810"/>
        <v>0</v>
      </c>
      <c r="AA1759" s="2">
        <f t="shared" si="811"/>
        <v>402.61336999999997</v>
      </c>
      <c r="AB1759" s="2">
        <f t="shared" si="805"/>
        <v>402.61336999999997</v>
      </c>
      <c r="AC1759" s="625">
        <v>209.5385</v>
      </c>
      <c r="AD1759" s="625">
        <v>146.75632000000002</v>
      </c>
      <c r="AE1759" s="625">
        <v>192.26027999999999</v>
      </c>
      <c r="AF1759" s="625">
        <v>261.31216000000001</v>
      </c>
      <c r="AG1759" s="625">
        <v>902.47528</v>
      </c>
      <c r="AH1759" s="625">
        <v>887.58055000000002</v>
      </c>
      <c r="AI1759" s="625">
        <v>682.23532999999998</v>
      </c>
      <c r="AJ1759" s="625">
        <v>655.67090000000007</v>
      </c>
      <c r="AK1759" s="625">
        <v>77.295919999999995</v>
      </c>
      <c r="AL1759" s="625">
        <v>173.10798</v>
      </c>
      <c r="AM1759" s="625">
        <v>233.49489000000003</v>
      </c>
      <c r="AN1759" s="625">
        <v>302.05271000000005</v>
      </c>
      <c r="AO1759" s="625">
        <v>402.61336999999997</v>
      </c>
      <c r="AP1759" s="41" t="str">
        <f t="shared" si="801"/>
        <v>Def TaxN</v>
      </c>
      <c r="AQ1759" s="41" t="str">
        <f t="shared" si="802"/>
        <v>Def TaxNN2Major Storm Reserve</v>
      </c>
      <c r="AR1759" s="41" t="str">
        <f t="shared" si="803"/>
        <v>N2Major Storm Reserve</v>
      </c>
    </row>
    <row r="1760" spans="1:44" s="41" customFormat="1" ht="12.75" customHeight="1">
      <c r="A1760" s="25" t="s">
        <v>1590</v>
      </c>
      <c r="B1760" s="25" t="str">
        <f t="shared" si="792"/>
        <v>Def Tax190501190-0830</v>
      </c>
      <c r="C1760" s="736">
        <v>190501</v>
      </c>
      <c r="D1760" s="735" t="s">
        <v>1999</v>
      </c>
      <c r="E1760" s="41">
        <v>0</v>
      </c>
      <c r="F1760" s="41" t="str">
        <f t="shared" si="812"/>
        <v>ADIT-REG-FEDERAL-ELECTRIC</v>
      </c>
      <c r="G1760" s="41" t="s">
        <v>2000</v>
      </c>
      <c r="H1760" s="736" t="s">
        <v>1210</v>
      </c>
      <c r="I1760" s="25"/>
      <c r="J1760" s="25" t="str">
        <f t="shared" si="814"/>
        <v/>
      </c>
      <c r="K1760" s="442" t="str">
        <f t="shared" si="813"/>
        <v/>
      </c>
      <c r="L1760" s="736" t="s">
        <v>2443</v>
      </c>
      <c r="M1760" s="25" t="str">
        <f t="shared" si="795"/>
        <v>R</v>
      </c>
      <c r="N1760" s="25" t="str">
        <f>IF(L1760&lt;&gt;"",VLOOKUP(L1760,Categories!$B$2:$D$41,2,FALSE),IF(F1760&lt;&gt;"","No Cat",""))</f>
        <v>Rate Base</v>
      </c>
      <c r="O1760" s="25" t="str">
        <f>IF($L1760&lt;&gt;"",VLOOKUP($L1760,Categories!$B$2:$D$41,3,FALSE),IF($F1760&lt;&gt;"","No Cat",""))</f>
        <v>Deferred Income Taxes</v>
      </c>
      <c r="P1760" s="736" t="s">
        <v>2482</v>
      </c>
      <c r="Q1760" s="25" t="str">
        <f>VLOOKUP($P1760,Allocators!$B$7:$F$19,5,FALSE)</f>
        <v>Electric</v>
      </c>
      <c r="R1760" s="737">
        <f>VLOOKUP($P1760,Allocators!$B$7:$F$19,2,FALSE)</f>
        <v>1</v>
      </c>
      <c r="S1760" s="737">
        <f>VLOOKUP($P1760,Allocators!$B$7:$F$19,3,FALSE)</f>
        <v>0</v>
      </c>
      <c r="T1760" s="737" t="str">
        <f t="shared" si="793"/>
        <v>0.0%</v>
      </c>
      <c r="U1760" s="2" t="str">
        <f t="shared" si="806"/>
        <v/>
      </c>
      <c r="V1760" s="2" t="str">
        <f t="shared" si="807"/>
        <v/>
      </c>
      <c r="W1760" s="2" t="str">
        <f t="shared" si="808"/>
        <v/>
      </c>
      <c r="X1760" s="2">
        <f t="shared" si="804"/>
        <v>0</v>
      </c>
      <c r="Y1760" s="2" t="str">
        <f t="shared" si="809"/>
        <v/>
      </c>
      <c r="Z1760" s="2" t="str">
        <f t="shared" si="810"/>
        <v/>
      </c>
      <c r="AA1760" s="2" t="str">
        <f t="shared" si="811"/>
        <v/>
      </c>
      <c r="AB1760" s="2">
        <f t="shared" si="805"/>
        <v>0</v>
      </c>
      <c r="AC1760" s="625">
        <v>0</v>
      </c>
      <c r="AD1760" s="625">
        <v>0</v>
      </c>
      <c r="AE1760" s="625">
        <v>0</v>
      </c>
      <c r="AF1760" s="625">
        <v>0</v>
      </c>
      <c r="AG1760" s="625">
        <v>0</v>
      </c>
      <c r="AH1760" s="625">
        <v>0</v>
      </c>
      <c r="AI1760" s="625">
        <v>0</v>
      </c>
      <c r="AJ1760" s="625">
        <v>0</v>
      </c>
      <c r="AK1760" s="625">
        <v>0</v>
      </c>
      <c r="AL1760" s="625">
        <v>0</v>
      </c>
      <c r="AM1760" s="625">
        <v>0</v>
      </c>
      <c r="AN1760" s="625">
        <v>0</v>
      </c>
      <c r="AO1760" s="625">
        <v>0</v>
      </c>
      <c r="AP1760" s="41" t="str">
        <f t="shared" si="801"/>
        <v>Def TaxR</v>
      </c>
      <c r="AQ1760" s="41" t="str">
        <f t="shared" si="802"/>
        <v>Def TaxRR11SBC</v>
      </c>
      <c r="AR1760" s="41" t="str">
        <f t="shared" si="803"/>
        <v>R11SBC</v>
      </c>
    </row>
    <row r="1761" spans="1:44" s="41" customFormat="1" ht="12.75" customHeight="1">
      <c r="A1761" s="25" t="s">
        <v>1590</v>
      </c>
      <c r="B1761" s="25" t="str">
        <f t="shared" si="792"/>
        <v>Def Tax190501283-033BE030241</v>
      </c>
      <c r="C1761" s="736">
        <v>190501</v>
      </c>
      <c r="D1761" s="735" t="s">
        <v>2001</v>
      </c>
      <c r="E1761" s="41" t="s">
        <v>2002</v>
      </c>
      <c r="F1761" s="41" t="str">
        <f t="shared" si="812"/>
        <v>ADIT-REG-FEDERAL-ELECTRIC</v>
      </c>
      <c r="G1761" s="41" t="s">
        <v>2003</v>
      </c>
      <c r="H1761" s="736" t="s">
        <v>2004</v>
      </c>
      <c r="I1761" s="25"/>
      <c r="J1761" s="25" t="str">
        <f t="shared" si="814"/>
        <v/>
      </c>
      <c r="K1761" s="442" t="str">
        <f t="shared" si="813"/>
        <v/>
      </c>
      <c r="L1761" s="736" t="s">
        <v>2443</v>
      </c>
      <c r="M1761" s="25" t="str">
        <f t="shared" si="795"/>
        <v>R</v>
      </c>
      <c r="N1761" s="25" t="str">
        <f>IF(L1761&lt;&gt;"",VLOOKUP(L1761,Categories!$B$2:$D$41,2,FALSE),IF(F1761&lt;&gt;"","No Cat",""))</f>
        <v>Rate Base</v>
      </c>
      <c r="O1761" s="25" t="str">
        <f>IF($L1761&lt;&gt;"",VLOOKUP($L1761,Categories!$B$2:$D$41,3,FALSE),IF($F1761&lt;&gt;"","No Cat",""))</f>
        <v>Deferred Income Taxes</v>
      </c>
      <c r="P1761" s="736" t="s">
        <v>2482</v>
      </c>
      <c r="Q1761" s="25" t="str">
        <f>VLOOKUP($P1761,Allocators!$B$7:$F$19,5,FALSE)</f>
        <v>Electric</v>
      </c>
      <c r="R1761" s="737">
        <f>VLOOKUP($P1761,Allocators!$B$7:$F$19,2,FALSE)</f>
        <v>1</v>
      </c>
      <c r="S1761" s="737">
        <f>VLOOKUP($P1761,Allocators!$B$7:$F$19,3,FALSE)</f>
        <v>0</v>
      </c>
      <c r="T1761" s="737" t="str">
        <f t="shared" si="793"/>
        <v>0.0%</v>
      </c>
      <c r="U1761" s="2">
        <f t="shared" si="806"/>
        <v>216.18628000000001</v>
      </c>
      <c r="V1761" s="2">
        <f t="shared" si="807"/>
        <v>0</v>
      </c>
      <c r="W1761" s="2">
        <f t="shared" si="808"/>
        <v>0</v>
      </c>
      <c r="X1761" s="2">
        <f t="shared" si="804"/>
        <v>216.18628000000001</v>
      </c>
      <c r="Y1761" s="2">
        <f t="shared" si="809"/>
        <v>216.18628000000001</v>
      </c>
      <c r="Z1761" s="2">
        <f t="shared" si="810"/>
        <v>0</v>
      </c>
      <c r="AA1761" s="2">
        <f t="shared" si="811"/>
        <v>0</v>
      </c>
      <c r="AB1761" s="2">
        <f t="shared" si="805"/>
        <v>216.18628000000001</v>
      </c>
      <c r="AC1761" s="625">
        <v>216.18628000000001</v>
      </c>
      <c r="AD1761" s="625">
        <v>216.18628000000001</v>
      </c>
      <c r="AE1761" s="625">
        <v>216.18628000000001</v>
      </c>
      <c r="AF1761" s="625">
        <v>216.18628000000001</v>
      </c>
      <c r="AG1761" s="625">
        <v>216.18628000000001</v>
      </c>
      <c r="AH1761" s="625">
        <v>216.18628000000001</v>
      </c>
      <c r="AI1761" s="625">
        <v>216.18628000000001</v>
      </c>
      <c r="AJ1761" s="625">
        <v>216.18628000000001</v>
      </c>
      <c r="AK1761" s="625">
        <v>216.18628000000001</v>
      </c>
      <c r="AL1761" s="625">
        <v>216.18628000000001</v>
      </c>
      <c r="AM1761" s="625">
        <v>216.18628000000001</v>
      </c>
      <c r="AN1761" s="625">
        <v>216.18628000000001</v>
      </c>
      <c r="AO1761" s="625">
        <v>216.18628000000001</v>
      </c>
      <c r="AP1761" s="41" t="str">
        <f t="shared" si="801"/>
        <v>Def TaxR</v>
      </c>
      <c r="AQ1761" s="41" t="str">
        <f t="shared" si="802"/>
        <v>Def TaxRR11Uranium Enrichment D&amp;D</v>
      </c>
      <c r="AR1761" s="41" t="str">
        <f t="shared" si="803"/>
        <v>R11Uranium Enrichment D&amp;D</v>
      </c>
    </row>
    <row r="1762" spans="1:44" s="41" customFormat="1" ht="12.75" customHeight="1">
      <c r="A1762" s="25" t="s">
        <v>1590</v>
      </c>
      <c r="B1762" s="25" t="str">
        <f t="shared" si="792"/>
        <v>Def Tax190501283-033-SBE030241</v>
      </c>
      <c r="C1762" s="736">
        <v>190501</v>
      </c>
      <c r="D1762" s="735" t="s">
        <v>2005</v>
      </c>
      <c r="E1762" s="41" t="s">
        <v>2002</v>
      </c>
      <c r="F1762" s="41" t="str">
        <f t="shared" si="812"/>
        <v>ADIT-REG-FEDERAL-ELECTRIC</v>
      </c>
      <c r="G1762" s="41" t="s">
        <v>2003</v>
      </c>
      <c r="H1762" s="736" t="s">
        <v>2004</v>
      </c>
      <c r="I1762" s="25"/>
      <c r="J1762" s="25" t="str">
        <f t="shared" si="814"/>
        <v/>
      </c>
      <c r="K1762" s="442" t="str">
        <f t="shared" si="813"/>
        <v/>
      </c>
      <c r="L1762" s="736" t="s">
        <v>2443</v>
      </c>
      <c r="M1762" s="25" t="str">
        <f t="shared" si="795"/>
        <v>R</v>
      </c>
      <c r="N1762" s="25" t="str">
        <f>IF(L1762&lt;&gt;"",VLOOKUP(L1762,Categories!$B$2:$D$41,2,FALSE),IF(F1762&lt;&gt;"","No Cat",""))</f>
        <v>Rate Base</v>
      </c>
      <c r="O1762" s="25" t="str">
        <f>IF($L1762&lt;&gt;"",VLOOKUP($L1762,Categories!$B$2:$D$41,3,FALSE),IF($F1762&lt;&gt;"","No Cat",""))</f>
        <v>Deferred Income Taxes</v>
      </c>
      <c r="P1762" s="736" t="s">
        <v>2482</v>
      </c>
      <c r="Q1762" s="25" t="str">
        <f>VLOOKUP($P1762,Allocators!$B$7:$F$19,5,FALSE)</f>
        <v>Electric</v>
      </c>
      <c r="R1762" s="737">
        <f>VLOOKUP($P1762,Allocators!$B$7:$F$19,2,FALSE)</f>
        <v>1</v>
      </c>
      <c r="S1762" s="737">
        <f>VLOOKUP($P1762,Allocators!$B$7:$F$19,3,FALSE)</f>
        <v>0</v>
      </c>
      <c r="T1762" s="737" t="str">
        <f t="shared" si="793"/>
        <v>0.0%</v>
      </c>
      <c r="U1762" s="2" t="str">
        <f t="shared" si="806"/>
        <v/>
      </c>
      <c r="V1762" s="2" t="str">
        <f t="shared" si="807"/>
        <v/>
      </c>
      <c r="W1762" s="2" t="str">
        <f t="shared" si="808"/>
        <v/>
      </c>
      <c r="X1762" s="2">
        <f t="shared" si="804"/>
        <v>0</v>
      </c>
      <c r="Y1762" s="2" t="str">
        <f t="shared" si="809"/>
        <v/>
      </c>
      <c r="Z1762" s="2" t="str">
        <f t="shared" si="810"/>
        <v/>
      </c>
      <c r="AA1762" s="2" t="str">
        <f t="shared" si="811"/>
        <v/>
      </c>
      <c r="AB1762" s="2">
        <f t="shared" si="805"/>
        <v>0</v>
      </c>
      <c r="AC1762" s="625">
        <v>0</v>
      </c>
      <c r="AD1762" s="625">
        <v>0</v>
      </c>
      <c r="AE1762" s="625">
        <v>0</v>
      </c>
      <c r="AF1762" s="625">
        <v>0</v>
      </c>
      <c r="AG1762" s="625">
        <v>0</v>
      </c>
      <c r="AH1762" s="625">
        <v>0</v>
      </c>
      <c r="AI1762" s="625">
        <v>0</v>
      </c>
      <c r="AJ1762" s="625">
        <v>0</v>
      </c>
      <c r="AK1762" s="625">
        <v>0</v>
      </c>
      <c r="AL1762" s="625">
        <v>0</v>
      </c>
      <c r="AM1762" s="625">
        <v>0</v>
      </c>
      <c r="AN1762" s="625">
        <v>0</v>
      </c>
      <c r="AO1762" s="625">
        <v>0</v>
      </c>
      <c r="AP1762" s="41" t="str">
        <f t="shared" si="801"/>
        <v>Def TaxR</v>
      </c>
      <c r="AQ1762" s="41" t="str">
        <f t="shared" si="802"/>
        <v>Def TaxRR11Uranium Enrichment D&amp;D</v>
      </c>
      <c r="AR1762" s="41" t="str">
        <f t="shared" si="803"/>
        <v>R11Uranium Enrichment D&amp;D</v>
      </c>
    </row>
    <row r="1763" spans="1:44" s="41" customFormat="1" ht="12.75" customHeight="1">
      <c r="A1763" s="442" t="s">
        <v>1590</v>
      </c>
      <c r="B1763" s="442" t="str">
        <f t="shared" si="792"/>
        <v>Def Tax190501Veg MgmtBE030595</v>
      </c>
      <c r="C1763" s="736">
        <v>190501</v>
      </c>
      <c r="D1763" s="735" t="s">
        <v>2006</v>
      </c>
      <c r="E1763" s="626" t="s">
        <v>1211</v>
      </c>
      <c r="F1763" s="626" t="str">
        <f t="shared" si="812"/>
        <v>ADIT-REG-FEDERAL-ELECTRIC</v>
      </c>
      <c r="G1763" s="626" t="s">
        <v>2006</v>
      </c>
      <c r="H1763" s="736" t="s">
        <v>1119</v>
      </c>
      <c r="I1763" s="442"/>
      <c r="J1763" s="442" t="s">
        <v>7</v>
      </c>
      <c r="K1763" s="442" t="str">
        <f t="shared" si="813"/>
        <v/>
      </c>
      <c r="L1763" s="736" t="s">
        <v>2436</v>
      </c>
      <c r="M1763" s="442" t="str">
        <f t="shared" si="795"/>
        <v>N</v>
      </c>
      <c r="N1763" s="442" t="str">
        <f>IF(L1763&lt;&gt;"",VLOOKUP(L1763,Categories!$B$2:$D$41,2,FALSE),IF(F1763&lt;&gt;"","No Cat",""))</f>
        <v>NRBASE</v>
      </c>
      <c r="O1763" s="442" t="str">
        <f>IF($L1763&lt;&gt;"",VLOOKUP($L1763,Categories!$B$2:$D$41,3,FALSE),IF($F1763&lt;&gt;"","No Cat",""))</f>
        <v>Deferrals Accruing Non-Cash Return   (other than ASGA)</v>
      </c>
      <c r="P1763" s="736" t="s">
        <v>2468</v>
      </c>
      <c r="Q1763" s="442" t="str">
        <f>VLOOKUP($P1763,Allocators!$B$7:$F$19,5,FALSE)</f>
        <v>Not in Rate Base</v>
      </c>
      <c r="R1763" s="737">
        <f>VLOOKUP($P1763,Allocators!$B$7:$F$19,2,FALSE)</f>
        <v>0</v>
      </c>
      <c r="S1763" s="737">
        <f>VLOOKUP($P1763,Allocators!$B$7:$F$19,3,FALSE)</f>
        <v>0</v>
      </c>
      <c r="T1763" s="737">
        <f t="shared" si="793"/>
        <v>1</v>
      </c>
      <c r="U1763" s="2">
        <f t="shared" si="806"/>
        <v>0</v>
      </c>
      <c r="V1763" s="2">
        <f t="shared" si="807"/>
        <v>0</v>
      </c>
      <c r="W1763" s="2">
        <f t="shared" si="808"/>
        <v>99.849616666666705</v>
      </c>
      <c r="X1763" s="2">
        <f t="shared" si="804"/>
        <v>99.849616666666705</v>
      </c>
      <c r="Y1763" s="2" t="str">
        <f t="shared" si="809"/>
        <v/>
      </c>
      <c r="Z1763" s="2" t="str">
        <f t="shared" si="810"/>
        <v/>
      </c>
      <c r="AA1763" s="2" t="str">
        <f t="shared" si="811"/>
        <v/>
      </c>
      <c r="AB1763" s="2">
        <f t="shared" si="805"/>
        <v>0</v>
      </c>
      <c r="AC1763" s="625">
        <v>0</v>
      </c>
      <c r="AD1763" s="625">
        <v>61.267040000000001</v>
      </c>
      <c r="AE1763" s="625">
        <v>89.025739999999999</v>
      </c>
      <c r="AF1763" s="625">
        <v>102.64891</v>
      </c>
      <c r="AG1763" s="625">
        <v>50.521850000000001</v>
      </c>
      <c r="AH1763" s="625">
        <v>101.19206</v>
      </c>
      <c r="AI1763" s="625">
        <v>131.86689000000001</v>
      </c>
      <c r="AJ1763" s="625">
        <v>128.98436000000001</v>
      </c>
      <c r="AK1763" s="625">
        <v>101.85352</v>
      </c>
      <c r="AL1763" s="625">
        <v>172.64473000000001</v>
      </c>
      <c r="AM1763" s="625">
        <v>163.97110000000001</v>
      </c>
      <c r="AN1763" s="625">
        <v>94.219200000000001</v>
      </c>
      <c r="AO1763" s="625">
        <v>0</v>
      </c>
      <c r="AP1763" s="41" t="str">
        <f t="shared" si="801"/>
        <v>Def TaxN</v>
      </c>
      <c r="AQ1763" s="41" t="str">
        <f t="shared" si="802"/>
        <v>Def TaxNN10Vegetation Management</v>
      </c>
      <c r="AR1763" s="41" t="str">
        <f t="shared" si="803"/>
        <v>N10Vegetation ManagementNCR</v>
      </c>
    </row>
    <row r="1764" spans="1:44" s="41" customFormat="1" ht="12.75" customHeight="1">
      <c r="A1764" s="442" t="s">
        <v>1590</v>
      </c>
      <c r="B1764" s="442" t="str">
        <f t="shared" ref="B1764" si="815">CONCATENATE(A1764,C1764,D1764,E1764)</f>
        <v>Def Tax190501BE030587</v>
      </c>
      <c r="C1764" s="736">
        <v>190501</v>
      </c>
      <c r="D1764" s="735"/>
      <c r="E1764" s="626" t="s">
        <v>4274</v>
      </c>
      <c r="F1764" s="626" t="str">
        <f t="shared" si="812"/>
        <v>ADIT-REG-FEDERAL-ELECTRIC</v>
      </c>
      <c r="G1764" s="626" t="s">
        <v>4273</v>
      </c>
      <c r="H1764" s="736" t="s">
        <v>818</v>
      </c>
      <c r="I1764" s="442"/>
      <c r="J1764" s="442" t="str">
        <f t="shared" ref="J1764" si="816">IF(L1764="N10","Y",IF(L1764="N8","Y",""))</f>
        <v/>
      </c>
      <c r="K1764" s="442" t="str">
        <f t="shared" si="813"/>
        <v/>
      </c>
      <c r="L1764" s="736" t="s">
        <v>2421</v>
      </c>
      <c r="M1764" s="442" t="str">
        <f t="shared" si="795"/>
        <v>N</v>
      </c>
      <c r="N1764" s="442" t="str">
        <f>IF(L1764&lt;&gt;"",VLOOKUP(L1764,Categories!$B$2:$D$41,2,FALSE),IF(F1764&lt;&gt;"","No Cat",""))</f>
        <v>NRBASE</v>
      </c>
      <c r="O1764" s="442" t="str">
        <f>IF($L1764&lt;&gt;"",VLOOKUP($L1764,Categories!$B$2:$D$41,3,FALSE),IF($F1764&lt;&gt;"","No Cat",""))</f>
        <v>Direct Assign Items Not in RB</v>
      </c>
      <c r="P1764" s="736" t="s">
        <v>2468</v>
      </c>
      <c r="Q1764" s="442" t="str">
        <f>VLOOKUP($P1764,Allocators!$B$7:$F$19,5,FALSE)</f>
        <v>Not in Rate Base</v>
      </c>
      <c r="R1764" s="737">
        <f>VLOOKUP($P1764,Allocators!$B$7:$F$19,2,FALSE)</f>
        <v>0</v>
      </c>
      <c r="S1764" s="737">
        <f>VLOOKUP($P1764,Allocators!$B$7:$F$19,3,FALSE)</f>
        <v>0</v>
      </c>
      <c r="T1764" s="737">
        <f t="shared" si="793"/>
        <v>1</v>
      </c>
      <c r="U1764" s="2">
        <f t="shared" si="806"/>
        <v>0</v>
      </c>
      <c r="V1764" s="2">
        <f t="shared" si="807"/>
        <v>0</v>
      </c>
      <c r="W1764" s="2">
        <f t="shared" si="808"/>
        <v>1.3201099999999999</v>
      </c>
      <c r="X1764" s="2">
        <f t="shared" si="804"/>
        <v>1.3201099999999999</v>
      </c>
      <c r="Y1764" s="2">
        <f t="shared" si="809"/>
        <v>0</v>
      </c>
      <c r="Z1764" s="2">
        <f t="shared" si="810"/>
        <v>0</v>
      </c>
      <c r="AA1764" s="2">
        <f t="shared" si="811"/>
        <v>1.3201099999999999</v>
      </c>
      <c r="AB1764" s="2">
        <f t="shared" si="805"/>
        <v>1.3201099999999999</v>
      </c>
      <c r="AC1764" s="625">
        <v>1.3201099999999999</v>
      </c>
      <c r="AD1764" s="625">
        <v>1.3201099999999999</v>
      </c>
      <c r="AE1764" s="625">
        <v>1.3201099999999999</v>
      </c>
      <c r="AF1764" s="625">
        <v>1.3201099999999999</v>
      </c>
      <c r="AG1764" s="625">
        <v>1.3201099999999999</v>
      </c>
      <c r="AH1764" s="625">
        <v>1.3201099999999999</v>
      </c>
      <c r="AI1764" s="625">
        <v>1.3201099999999999</v>
      </c>
      <c r="AJ1764" s="625">
        <v>1.3201099999999999</v>
      </c>
      <c r="AK1764" s="625">
        <v>1.3201099999999999</v>
      </c>
      <c r="AL1764" s="625">
        <v>1.3201099999999999</v>
      </c>
      <c r="AM1764" s="625">
        <v>1.3201099999999999</v>
      </c>
      <c r="AN1764" s="625">
        <v>1.3201099999999999</v>
      </c>
      <c r="AO1764" s="625">
        <v>1.3201099999999999</v>
      </c>
      <c r="AP1764" s="41" t="str">
        <f t="shared" si="801"/>
        <v>Def TaxN</v>
      </c>
      <c r="AQ1764" s="41" t="str">
        <f t="shared" si="802"/>
        <v>Def TaxNN2MHP Meter Deferral</v>
      </c>
      <c r="AR1764" s="41" t="str">
        <f t="shared" si="803"/>
        <v>N2MHP Meter Deferral</v>
      </c>
    </row>
    <row r="1765" spans="1:44" s="41" customFormat="1" ht="12.75" customHeight="1">
      <c r="A1765" s="25" t="s">
        <v>1590</v>
      </c>
      <c r="B1765" s="25" t="str">
        <f t="shared" ref="B1765:B1840" si="817">CONCATENATE(A1765,C1765,D1765,E1765)</f>
        <v>Def Tax190501283-044BTHUNGDT</v>
      </c>
      <c r="C1765" s="736">
        <v>190501</v>
      </c>
      <c r="D1765" s="735" t="s">
        <v>2007</v>
      </c>
      <c r="E1765" s="41" t="s">
        <v>1624</v>
      </c>
      <c r="F1765" s="41" t="str">
        <f t="shared" si="812"/>
        <v>ADIT-REG-FEDERAL-ELECTRIC</v>
      </c>
      <c r="G1765" s="41" t="s">
        <v>2008</v>
      </c>
      <c r="H1765" s="736" t="s">
        <v>2009</v>
      </c>
      <c r="I1765" s="25"/>
      <c r="J1765" s="25" t="str">
        <f t="shared" si="814"/>
        <v/>
      </c>
      <c r="K1765" s="442" t="str">
        <f t="shared" si="813"/>
        <v/>
      </c>
      <c r="L1765" s="736" t="s">
        <v>2443</v>
      </c>
      <c r="M1765" s="25" t="str">
        <f t="shared" si="795"/>
        <v>R</v>
      </c>
      <c r="N1765" s="25" t="str">
        <f>IF(L1765&lt;&gt;"",VLOOKUP(L1765,Categories!$B$2:$D$41,2,FALSE),IF(F1765&lt;&gt;"","No Cat",""))</f>
        <v>Rate Base</v>
      </c>
      <c r="O1765" s="25" t="str">
        <f>IF($L1765&lt;&gt;"",VLOOKUP($L1765,Categories!$B$2:$D$41,3,FALSE),IF($F1765&lt;&gt;"","No Cat",""))</f>
        <v>Deferred Income Taxes</v>
      </c>
      <c r="P1765" s="736" t="s">
        <v>2482</v>
      </c>
      <c r="Q1765" s="25" t="str">
        <f>VLOOKUP($P1765,Allocators!$B$7:$F$19,5,FALSE)</f>
        <v>Electric</v>
      </c>
      <c r="R1765" s="737">
        <f>VLOOKUP($P1765,Allocators!$B$7:$F$19,2,FALSE)</f>
        <v>1</v>
      </c>
      <c r="S1765" s="737">
        <f>VLOOKUP($P1765,Allocators!$B$7:$F$19,3,FALSE)</f>
        <v>0</v>
      </c>
      <c r="T1765" s="737" t="str">
        <f t="shared" si="793"/>
        <v>0.0%</v>
      </c>
      <c r="U1765" s="2" t="str">
        <f t="shared" si="806"/>
        <v/>
      </c>
      <c r="V1765" s="2" t="str">
        <f t="shared" si="807"/>
        <v/>
      </c>
      <c r="W1765" s="2" t="str">
        <f t="shared" si="808"/>
        <v/>
      </c>
      <c r="X1765" s="2">
        <f t="shared" si="804"/>
        <v>0</v>
      </c>
      <c r="Y1765" s="2" t="str">
        <f t="shared" si="809"/>
        <v/>
      </c>
      <c r="Z1765" s="2" t="str">
        <f t="shared" si="810"/>
        <v/>
      </c>
      <c r="AA1765" s="2" t="str">
        <f t="shared" si="811"/>
        <v/>
      </c>
      <c r="AB1765" s="2">
        <f t="shared" si="805"/>
        <v>0</v>
      </c>
      <c r="AC1765" s="625">
        <v>0</v>
      </c>
      <c r="AD1765" s="625">
        <v>0</v>
      </c>
      <c r="AE1765" s="625">
        <v>0</v>
      </c>
      <c r="AF1765" s="625">
        <v>0</v>
      </c>
      <c r="AG1765" s="625">
        <v>0</v>
      </c>
      <c r="AH1765" s="625">
        <v>0</v>
      </c>
      <c r="AI1765" s="625">
        <v>0</v>
      </c>
      <c r="AJ1765" s="625">
        <v>0</v>
      </c>
      <c r="AK1765" s="625">
        <v>0</v>
      </c>
      <c r="AL1765" s="625">
        <v>0</v>
      </c>
      <c r="AM1765" s="625">
        <v>0</v>
      </c>
      <c r="AN1765" s="625">
        <v>0</v>
      </c>
      <c r="AO1765" s="625">
        <v>0</v>
      </c>
      <c r="AP1765" s="41" t="str">
        <f t="shared" si="801"/>
        <v>Def TaxR</v>
      </c>
      <c r="AQ1765" s="41" t="str">
        <f t="shared" si="802"/>
        <v>Def TaxRR111998 Wind Storm</v>
      </c>
      <c r="AR1765" s="41" t="str">
        <f t="shared" si="803"/>
        <v>R111998 Wind Storm</v>
      </c>
    </row>
    <row r="1766" spans="1:44" s="41" customFormat="1" ht="12.75" customHeight="1">
      <c r="A1766" s="25" t="s">
        <v>1590</v>
      </c>
      <c r="B1766" s="25" t="str">
        <f t="shared" ref="B1766" si="818">CONCATENATE(A1766,C1766,D1766,E1766)</f>
        <v>Def Tax190501BE030223</v>
      </c>
      <c r="C1766" s="736">
        <v>190501</v>
      </c>
      <c r="D1766" s="735"/>
      <c r="E1766" s="41" t="s">
        <v>986</v>
      </c>
      <c r="F1766" s="41" t="str">
        <f t="shared" si="812"/>
        <v>ADIT-REG-FEDERAL-ELECTRIC</v>
      </c>
      <c r="G1766" s="41" t="s">
        <v>4364</v>
      </c>
      <c r="H1766" s="736" t="s">
        <v>4371</v>
      </c>
      <c r="I1766" s="25"/>
      <c r="J1766" s="25" t="s">
        <v>7</v>
      </c>
      <c r="K1766" s="442"/>
      <c r="L1766" s="736" t="s">
        <v>2436</v>
      </c>
      <c r="M1766" s="25" t="str">
        <f t="shared" si="795"/>
        <v>N</v>
      </c>
      <c r="N1766" s="25" t="str">
        <f>IF(L1766&lt;&gt;"",VLOOKUP(L1766,Categories!$B$2:$D$41,2,FALSE),IF(F1766&lt;&gt;"","No Cat",""))</f>
        <v>NRBASE</v>
      </c>
      <c r="O1766" s="25" t="str">
        <f>IF($L1766&lt;&gt;"",VLOOKUP($L1766,Categories!$B$2:$D$41,3,FALSE),IF($F1766&lt;&gt;"","No Cat",""))</f>
        <v>Deferrals Accruing Non-Cash Return   (other than ASGA)</v>
      </c>
      <c r="P1766" s="736" t="s">
        <v>2468</v>
      </c>
      <c r="Q1766" s="25" t="str">
        <f>VLOOKUP($P1766,Allocators!$B$7:$F$19,5,FALSE)</f>
        <v>Not in Rate Base</v>
      </c>
      <c r="R1766" s="737">
        <f>VLOOKUP($P1766,Allocators!$B$7:$F$19,2,FALSE)</f>
        <v>0</v>
      </c>
      <c r="S1766" s="737">
        <f>VLOOKUP($P1766,Allocators!$B$7:$F$19,3,FALSE)</f>
        <v>0</v>
      </c>
      <c r="T1766" s="737">
        <f t="shared" ref="T1766" si="819">IF(P1766="N",1,"0.0%")</f>
        <v>1</v>
      </c>
      <c r="U1766" s="2">
        <f t="shared" si="806"/>
        <v>0</v>
      </c>
      <c r="V1766" s="2">
        <f t="shared" si="807"/>
        <v>0</v>
      </c>
      <c r="W1766" s="2">
        <f t="shared" si="808"/>
        <v>-339.94552750000003</v>
      </c>
      <c r="X1766" s="2">
        <f t="shared" si="804"/>
        <v>-339.94552750000003</v>
      </c>
      <c r="Y1766" s="2">
        <f t="shared" si="809"/>
        <v>0</v>
      </c>
      <c r="Z1766" s="2">
        <f t="shared" si="810"/>
        <v>0</v>
      </c>
      <c r="AA1766" s="2">
        <f t="shared" si="811"/>
        <v>185.03336999999999</v>
      </c>
      <c r="AB1766" s="2">
        <f t="shared" si="805"/>
        <v>185.03336999999999</v>
      </c>
      <c r="AC1766" s="625">
        <v>-839.39093000000003</v>
      </c>
      <c r="AD1766" s="625">
        <v>-839.39093000000003</v>
      </c>
      <c r="AE1766" s="625">
        <v>-673.28098</v>
      </c>
      <c r="AF1766" s="625">
        <v>-589.51931000000002</v>
      </c>
      <c r="AG1766" s="625">
        <v>-505.28292999999996</v>
      </c>
      <c r="AH1766" s="625">
        <v>-421.52067999999997</v>
      </c>
      <c r="AI1766" s="625">
        <v>-336.33221000000003</v>
      </c>
      <c r="AJ1766" s="625">
        <v>-250.66095999999999</v>
      </c>
      <c r="AK1766" s="625">
        <v>-164.50418999999999</v>
      </c>
      <c r="AL1766" s="625">
        <v>-77.859139999999996</v>
      </c>
      <c r="AM1766" s="625">
        <v>9.2769399999999997</v>
      </c>
      <c r="AN1766" s="625">
        <v>96.906840000000003</v>
      </c>
      <c r="AO1766" s="625">
        <v>185.03336999999999</v>
      </c>
      <c r="AP1766" s="41" t="str">
        <f t="shared" si="801"/>
        <v>Def TaxN</v>
      </c>
      <c r="AQ1766" s="41" t="str">
        <f t="shared" si="802"/>
        <v>Def TaxNN10Allegany Sale Gain/Loss</v>
      </c>
      <c r="AR1766" s="41" t="str">
        <f t="shared" si="803"/>
        <v>N10Allegany Sale Gain/LossNCR</v>
      </c>
    </row>
    <row r="1767" spans="1:44" s="41" customFormat="1" ht="12.75" customHeight="1">
      <c r="A1767" s="25" t="s">
        <v>1590</v>
      </c>
      <c r="B1767" s="25" t="str">
        <f t="shared" ref="B1767" si="820">CONCATENATE(A1767,C1767,D1767,E1767)</f>
        <v>Def Tax190501BT010391</v>
      </c>
      <c r="C1767" s="736">
        <v>190501</v>
      </c>
      <c r="D1767" s="735"/>
      <c r="E1767" s="41" t="s">
        <v>4416</v>
      </c>
      <c r="F1767" s="41" t="str">
        <f t="shared" si="812"/>
        <v>ADIT-REG-FEDERAL-ELECTRIC</v>
      </c>
      <c r="G1767" s="41" t="s">
        <v>4415</v>
      </c>
      <c r="H1767" s="736" t="s">
        <v>4342</v>
      </c>
      <c r="I1767" s="25"/>
      <c r="J1767" s="25"/>
      <c r="K1767" s="442"/>
      <c r="L1767" s="736" t="s">
        <v>2443</v>
      </c>
      <c r="M1767" s="25" t="str">
        <f t="shared" si="795"/>
        <v>R</v>
      </c>
      <c r="N1767" s="25" t="str">
        <f>IF(L1767&lt;&gt;"",VLOOKUP(L1767,Categories!$B$2:$D$41,2,FALSE),IF(F1767&lt;&gt;"","No Cat",""))</f>
        <v>Rate Base</v>
      </c>
      <c r="O1767" s="25" t="str">
        <f>IF($L1767&lt;&gt;"",VLOOKUP($L1767,Categories!$B$2:$D$41,3,FALSE),IF($F1767&lt;&gt;"","No Cat",""))</f>
        <v>Deferred Income Taxes</v>
      </c>
      <c r="P1767" s="736" t="s">
        <v>2482</v>
      </c>
      <c r="Q1767" s="25" t="str">
        <f>VLOOKUP($P1767,Allocators!$B$7:$F$19,5,FALSE)</f>
        <v>Electric</v>
      </c>
      <c r="R1767" s="737">
        <f>VLOOKUP($P1767,Allocators!$B$7:$F$19,2,FALSE)</f>
        <v>1</v>
      </c>
      <c r="S1767" s="737">
        <f>VLOOKUP($P1767,Allocators!$B$7:$F$19,3,FALSE)</f>
        <v>0</v>
      </c>
      <c r="T1767" s="737" t="str">
        <f t="shared" ref="T1767" si="821">IF(P1767="N",1,"0.0%")</f>
        <v>0.0%</v>
      </c>
      <c r="U1767" s="2">
        <f t="shared" si="806"/>
        <v>3021.9757054166698</v>
      </c>
      <c r="V1767" s="2">
        <f t="shared" si="807"/>
        <v>0</v>
      </c>
      <c r="W1767" s="2">
        <f t="shared" si="808"/>
        <v>0</v>
      </c>
      <c r="X1767" s="2">
        <f t="shared" si="804"/>
        <v>3021.9757054166698</v>
      </c>
      <c r="Y1767" s="2">
        <f t="shared" si="809"/>
        <v>6129.0774899999997</v>
      </c>
      <c r="Z1767" s="2">
        <f t="shared" si="810"/>
        <v>0</v>
      </c>
      <c r="AA1767" s="2">
        <f t="shared" si="811"/>
        <v>0</v>
      </c>
      <c r="AB1767" s="2">
        <f t="shared" si="805"/>
        <v>6129.0774900000006</v>
      </c>
      <c r="AC1767" s="625"/>
      <c r="AD1767" s="625"/>
      <c r="AE1767" s="625">
        <v>1021.51291</v>
      </c>
      <c r="AF1767" s="625">
        <v>1532.2693700000002</v>
      </c>
      <c r="AG1767" s="625">
        <v>2043.02583</v>
      </c>
      <c r="AH1767" s="625">
        <v>2553.7822900000001</v>
      </c>
      <c r="AI1767" s="625">
        <v>3064.5387400000004</v>
      </c>
      <c r="AJ1767" s="625">
        <v>3575.2952</v>
      </c>
      <c r="AK1767" s="625">
        <v>4086.0516600000001</v>
      </c>
      <c r="AL1767" s="625">
        <v>4596.8081199999997</v>
      </c>
      <c r="AM1767" s="625">
        <v>5107.5645700000005</v>
      </c>
      <c r="AN1767" s="625">
        <v>5618.3210300000001</v>
      </c>
      <c r="AO1767" s="625">
        <v>6129.0774900000006</v>
      </c>
      <c r="AP1767" s="41" t="str">
        <f t="shared" si="801"/>
        <v>Def TaxR</v>
      </c>
      <c r="AQ1767" s="41" t="str">
        <f t="shared" si="802"/>
        <v>Def TaxRR11Continuation of Current Amorts (Until New Rates are Set)</v>
      </c>
      <c r="AR1767" s="41" t="str">
        <f t="shared" si="803"/>
        <v>R11Continuation of Current Amorts (Until New Rates are Set)</v>
      </c>
    </row>
    <row r="1768" spans="1:44" s="41" customFormat="1" ht="12.75" customHeight="1">
      <c r="A1768" s="25" t="s">
        <v>1590</v>
      </c>
      <c r="B1768" s="25" t="str">
        <f t="shared" ref="B1768" si="822">CONCATENATE(A1768,C1768,D1768,E1768)</f>
        <v>Def Tax190501BT010392</v>
      </c>
      <c r="C1768" s="736">
        <v>190501</v>
      </c>
      <c r="D1768" s="735"/>
      <c r="E1768" s="41" t="s">
        <v>4450</v>
      </c>
      <c r="F1768" s="41" t="str">
        <f t="shared" si="812"/>
        <v>ADIT-REG-FEDERAL-ELECTRIC</v>
      </c>
      <c r="G1768" s="41" t="s">
        <v>4451</v>
      </c>
      <c r="H1768" s="736" t="s">
        <v>4455</v>
      </c>
      <c r="I1768" s="25"/>
      <c r="J1768" s="25"/>
      <c r="K1768" s="442"/>
      <c r="L1768" s="736" t="s">
        <v>2443</v>
      </c>
      <c r="M1768" s="25" t="str">
        <f t="shared" ref="M1768:M1769" si="823">LEFT(L1768,1)</f>
        <v>R</v>
      </c>
      <c r="N1768" s="25" t="str">
        <f>IF(L1768&lt;&gt;"",VLOOKUP(L1768,Categories!$B$2:$D$41,2,FALSE),IF(F1768&lt;&gt;"","No Cat",""))</f>
        <v>Rate Base</v>
      </c>
      <c r="O1768" s="25" t="str">
        <f>IF($L1768&lt;&gt;"",VLOOKUP($L1768,Categories!$B$2:$D$41,3,FALSE),IF($F1768&lt;&gt;"","No Cat",""))</f>
        <v>Deferred Income Taxes</v>
      </c>
      <c r="P1768" s="736" t="s">
        <v>2482</v>
      </c>
      <c r="Q1768" s="25" t="str">
        <f>VLOOKUP($P1768,Allocators!$B$7:$F$19,5,FALSE)</f>
        <v>Electric</v>
      </c>
      <c r="R1768" s="737">
        <f>VLOOKUP($P1768,Allocators!$B$7:$F$19,2,FALSE)</f>
        <v>1</v>
      </c>
      <c r="S1768" s="737">
        <f>VLOOKUP($P1768,Allocators!$B$7:$F$19,3,FALSE)</f>
        <v>0</v>
      </c>
      <c r="T1768" s="737" t="str">
        <f t="shared" ref="T1768:T1769" si="824">IF(P1768="N",1,"0.0%")</f>
        <v>0.0%</v>
      </c>
      <c r="U1768" s="2">
        <f t="shared" si="806"/>
        <v>377.810752083333</v>
      </c>
      <c r="V1768" s="2">
        <f t="shared" si="807"/>
        <v>0</v>
      </c>
      <c r="W1768" s="2">
        <f t="shared" si="808"/>
        <v>0</v>
      </c>
      <c r="X1768" s="2">
        <f t="shared" si="804"/>
        <v>377.810752083333</v>
      </c>
      <c r="Y1768" s="2">
        <f t="shared" si="809"/>
        <v>493.90285</v>
      </c>
      <c r="Z1768" s="2">
        <f t="shared" si="810"/>
        <v>0</v>
      </c>
      <c r="AA1768" s="2">
        <f t="shared" si="811"/>
        <v>0</v>
      </c>
      <c r="AB1768" s="2">
        <f t="shared" si="805"/>
        <v>493.90285</v>
      </c>
      <c r="AC1768" s="625"/>
      <c r="AD1768" s="625"/>
      <c r="AE1768" s="625"/>
      <c r="AF1768" s="625"/>
      <c r="AG1768" s="625"/>
      <c r="AH1768" s="625"/>
      <c r="AI1768" s="625">
        <v>758.57494999999994</v>
      </c>
      <c r="AJ1768" s="625">
        <v>758.57494999999994</v>
      </c>
      <c r="AK1768" s="625">
        <v>758.57494999999994</v>
      </c>
      <c r="AL1768" s="625">
        <v>758.57494999999994</v>
      </c>
      <c r="AM1768" s="625">
        <v>758.57494999999994</v>
      </c>
      <c r="AN1768" s="625">
        <v>493.90285</v>
      </c>
      <c r="AO1768" s="625">
        <v>493.90285</v>
      </c>
      <c r="AP1768" s="41" t="str">
        <f t="shared" si="801"/>
        <v>Def TaxR</v>
      </c>
      <c r="AQ1768" s="41" t="str">
        <f t="shared" si="802"/>
        <v>Def TaxRR11Excess DIT - New York State Tax Rate change</v>
      </c>
      <c r="AR1768" s="41" t="str">
        <f t="shared" si="803"/>
        <v>R11Excess DIT - New York State Tax Rate change</v>
      </c>
    </row>
    <row r="1769" spans="1:44" s="41" customFormat="1" ht="12.75" customHeight="1">
      <c r="A1769" s="25" t="s">
        <v>1590</v>
      </c>
      <c r="B1769" s="25" t="str">
        <f t="shared" ref="B1769:B1771" si="825">CONCATENATE(A1769,C1769,D1769,E1769)</f>
        <v>Def Tax190501BE030583</v>
      </c>
      <c r="C1769" s="736">
        <v>190501</v>
      </c>
      <c r="D1769" s="735"/>
      <c r="E1769" s="41" t="s">
        <v>4493</v>
      </c>
      <c r="F1769" s="41" t="str">
        <f t="shared" si="812"/>
        <v>ADIT-REG-FEDERAL-ELECTRIC</v>
      </c>
      <c r="G1769" s="41" t="s">
        <v>4489</v>
      </c>
      <c r="H1769" s="736" t="s">
        <v>2700</v>
      </c>
      <c r="I1769" s="25"/>
      <c r="J1769" s="442" t="s">
        <v>7</v>
      </c>
      <c r="K1769" s="442"/>
      <c r="L1769" s="736" t="s">
        <v>2436</v>
      </c>
      <c r="M1769" s="25" t="str">
        <f t="shared" si="823"/>
        <v>N</v>
      </c>
      <c r="N1769" s="25" t="str">
        <f>IF(L1769&lt;&gt;"",VLOOKUP(L1769,Categories!$B$2:$D$41,2,FALSE),IF(F1769&lt;&gt;"","No Cat",""))</f>
        <v>NRBASE</v>
      </c>
      <c r="O1769" s="25" t="str">
        <f>IF($L1769&lt;&gt;"",VLOOKUP($L1769,Categories!$B$2:$D$41,3,FALSE),IF($F1769&lt;&gt;"","No Cat",""))</f>
        <v>Deferrals Accruing Non-Cash Return   (other than ASGA)</v>
      </c>
      <c r="P1769" s="736" t="s">
        <v>2468</v>
      </c>
      <c r="Q1769" s="25" t="str">
        <f>VLOOKUP($P1769,Allocators!$B$7:$F$19,5,FALSE)</f>
        <v>Not in Rate Base</v>
      </c>
      <c r="R1769" s="737">
        <f>VLOOKUP($P1769,Allocators!$B$7:$F$19,2,FALSE)</f>
        <v>0</v>
      </c>
      <c r="S1769" s="737">
        <f>VLOOKUP($P1769,Allocators!$B$7:$F$19,3,FALSE)</f>
        <v>0</v>
      </c>
      <c r="T1769" s="737">
        <f t="shared" si="824"/>
        <v>1</v>
      </c>
      <c r="U1769" s="2">
        <f t="shared" si="806"/>
        <v>0</v>
      </c>
      <c r="V1769" s="2">
        <f t="shared" si="807"/>
        <v>0</v>
      </c>
      <c r="W1769" s="2">
        <f t="shared" si="808"/>
        <v>15.0897054166667</v>
      </c>
      <c r="X1769" s="2">
        <f t="shared" si="804"/>
        <v>15.0897054166667</v>
      </c>
      <c r="Y1769" s="2">
        <f t="shared" si="809"/>
        <v>0</v>
      </c>
      <c r="Z1769" s="2">
        <f t="shared" si="810"/>
        <v>0</v>
      </c>
      <c r="AA1769" s="2">
        <f t="shared" si="811"/>
        <v>62.696269999999998</v>
      </c>
      <c r="AB1769" s="2">
        <f t="shared" si="805"/>
        <v>62.696269999999998</v>
      </c>
      <c r="AC1769" s="625"/>
      <c r="AD1769" s="625"/>
      <c r="AE1769" s="625"/>
      <c r="AF1769" s="625"/>
      <c r="AG1769" s="625"/>
      <c r="AH1769" s="625"/>
      <c r="AI1769" s="625"/>
      <c r="AJ1769" s="625"/>
      <c r="AK1769" s="625"/>
      <c r="AL1769" s="625">
        <v>60.847769999999997</v>
      </c>
      <c r="AM1769" s="625">
        <v>56.734439999999999</v>
      </c>
      <c r="AN1769" s="625">
        <v>32.146119999999996</v>
      </c>
      <c r="AO1769" s="625">
        <v>62.696269999999998</v>
      </c>
      <c r="AP1769" s="41" t="str">
        <f t="shared" si="801"/>
        <v>Def TaxN</v>
      </c>
      <c r="AQ1769" s="41" t="str">
        <f t="shared" si="802"/>
        <v>Def TaxNN10System Benefits Charge</v>
      </c>
      <c r="AR1769" s="41" t="str">
        <f t="shared" si="803"/>
        <v>N10System Benefits ChargeNCR</v>
      </c>
    </row>
    <row r="1770" spans="1:44" s="41" customFormat="1" ht="12.75" customHeight="1">
      <c r="A1770" s="25" t="s">
        <v>1590</v>
      </c>
      <c r="B1770" s="25" t="str">
        <f t="shared" si="825"/>
        <v>Def Tax190501BE030939</v>
      </c>
      <c r="C1770" s="736">
        <v>190501</v>
      </c>
      <c r="D1770" s="735"/>
      <c r="E1770" s="41" t="s">
        <v>4492</v>
      </c>
      <c r="F1770" s="41" t="str">
        <f t="shared" si="812"/>
        <v>ADIT-REG-FEDERAL-ELECTRIC</v>
      </c>
      <c r="G1770" s="41" t="s">
        <v>2699</v>
      </c>
      <c r="H1770" s="736" t="s">
        <v>2699</v>
      </c>
      <c r="I1770" s="25"/>
      <c r="J1770" s="25"/>
      <c r="K1770" s="442"/>
      <c r="L1770" s="736" t="s">
        <v>2443</v>
      </c>
      <c r="M1770" s="25" t="str">
        <f t="shared" ref="M1770" si="826">LEFT(L1770,1)</f>
        <v>R</v>
      </c>
      <c r="N1770" s="25" t="str">
        <f>IF(L1770&lt;&gt;"",VLOOKUP(L1770,Categories!$B$2:$D$41,2,FALSE),IF(F1770&lt;&gt;"","No Cat",""))</f>
        <v>Rate Base</v>
      </c>
      <c r="O1770" s="25" t="str">
        <f>IF($L1770&lt;&gt;"",VLOOKUP($L1770,Categories!$B$2:$D$41,3,FALSE),IF($F1770&lt;&gt;"","No Cat",""))</f>
        <v>Deferred Income Taxes</v>
      </c>
      <c r="P1770" s="736" t="s">
        <v>2482</v>
      </c>
      <c r="Q1770" s="25" t="str">
        <f>VLOOKUP($P1770,Allocators!$B$7:$F$19,5,FALSE)</f>
        <v>Electric</v>
      </c>
      <c r="R1770" s="737">
        <f>VLOOKUP($P1770,Allocators!$B$7:$F$19,2,FALSE)</f>
        <v>1</v>
      </c>
      <c r="S1770" s="737">
        <f>VLOOKUP($P1770,Allocators!$B$7:$F$19,3,FALSE)</f>
        <v>0</v>
      </c>
      <c r="T1770" s="737" t="str">
        <f t="shared" ref="T1770" si="827">IF(P1770="N",1,"0.0%")</f>
        <v>0.0%</v>
      </c>
      <c r="U1770" s="2">
        <f t="shared" si="806"/>
        <v>-18.873681250000001</v>
      </c>
      <c r="V1770" s="2">
        <f t="shared" si="807"/>
        <v>0</v>
      </c>
      <c r="W1770" s="2">
        <f t="shared" si="808"/>
        <v>0</v>
      </c>
      <c r="X1770" s="2">
        <f t="shared" si="804"/>
        <v>-18.873681250000001</v>
      </c>
      <c r="Y1770" s="2">
        <f t="shared" si="809"/>
        <v>-83.340209999999999</v>
      </c>
      <c r="Z1770" s="2">
        <f t="shared" si="810"/>
        <v>0</v>
      </c>
      <c r="AA1770" s="2">
        <f t="shared" si="811"/>
        <v>0</v>
      </c>
      <c r="AB1770" s="2">
        <f t="shared" si="805"/>
        <v>-83.340210000000013</v>
      </c>
      <c r="AC1770" s="625"/>
      <c r="AD1770" s="625"/>
      <c r="AE1770" s="625"/>
      <c r="AF1770" s="625"/>
      <c r="AG1770" s="625"/>
      <c r="AH1770" s="625"/>
      <c r="AI1770" s="625"/>
      <c r="AJ1770" s="625"/>
      <c r="AK1770" s="625"/>
      <c r="AL1770" s="625">
        <v>-14.080969999999999</v>
      </c>
      <c r="AM1770" s="625">
        <v>-67.471580000000003</v>
      </c>
      <c r="AN1770" s="625">
        <v>-103.26152</v>
      </c>
      <c r="AO1770" s="625">
        <v>-83.340210000000013</v>
      </c>
      <c r="AP1770" s="41" t="str">
        <f t="shared" si="801"/>
        <v>Def TaxR</v>
      </c>
      <c r="AQ1770" s="41" t="str">
        <f t="shared" si="802"/>
        <v>Def TaxRR11Renewable Portfolio Standard</v>
      </c>
      <c r="AR1770" s="41" t="str">
        <f t="shared" si="803"/>
        <v>R11Renewable Portfolio Standard</v>
      </c>
    </row>
    <row r="1771" spans="1:44" s="41" customFormat="1" ht="12.75" customHeight="1">
      <c r="A1771" s="25" t="s">
        <v>1590</v>
      </c>
      <c r="B1771" s="25" t="str">
        <f t="shared" si="825"/>
        <v>Def Tax190501BT010299</v>
      </c>
      <c r="C1771" s="736">
        <v>190501</v>
      </c>
      <c r="D1771" s="735"/>
      <c r="E1771" s="41" t="s">
        <v>4491</v>
      </c>
      <c r="F1771" s="41" t="str">
        <f t="shared" si="812"/>
        <v>ADIT-REG-FEDERAL-ELECTRIC</v>
      </c>
      <c r="G1771" s="41" t="s">
        <v>4490</v>
      </c>
      <c r="H1771" s="736" t="s">
        <v>1131</v>
      </c>
      <c r="I1771" s="25"/>
      <c r="J1771" s="442" t="s">
        <v>7</v>
      </c>
      <c r="K1771" s="442"/>
      <c r="L1771" s="736" t="s">
        <v>2436</v>
      </c>
      <c r="M1771" s="442" t="str">
        <f t="shared" ref="M1771:M1772" si="828">LEFT(L1771,1)</f>
        <v>N</v>
      </c>
      <c r="N1771" s="442" t="str">
        <f>IF(L1771&lt;&gt;"",VLOOKUP(L1771,Categories!$B$2:$D$41,2,FALSE),IF(F1771&lt;&gt;"","No Cat",""))</f>
        <v>NRBASE</v>
      </c>
      <c r="O1771" s="442" t="str">
        <f>IF($L1771&lt;&gt;"",VLOOKUP($L1771,Categories!$B$2:$D$41,3,FALSE),IF($F1771&lt;&gt;"","No Cat",""))</f>
        <v>Deferrals Accruing Non-Cash Return   (other than ASGA)</v>
      </c>
      <c r="P1771" s="736" t="s">
        <v>2468</v>
      </c>
      <c r="Q1771" s="442" t="str">
        <f>VLOOKUP($P1771,Allocators!$B$7:$F$19,5,FALSE)</f>
        <v>Not in Rate Base</v>
      </c>
      <c r="R1771" s="737">
        <f>VLOOKUP($P1771,Allocators!$B$7:$F$19,2,FALSE)</f>
        <v>0</v>
      </c>
      <c r="S1771" s="737">
        <f>VLOOKUP($P1771,Allocators!$B$7:$F$19,3,FALSE)</f>
        <v>0</v>
      </c>
      <c r="T1771" s="737">
        <f t="shared" ref="T1771:T1772" si="829">IF(P1771="N",1,"0.0%")</f>
        <v>1</v>
      </c>
      <c r="U1771" s="2">
        <f t="shared" si="806"/>
        <v>0</v>
      </c>
      <c r="V1771" s="2">
        <f t="shared" si="807"/>
        <v>0</v>
      </c>
      <c r="W1771" s="2">
        <f t="shared" si="808"/>
        <v>906.61538333333306</v>
      </c>
      <c r="X1771" s="2">
        <f t="shared" si="804"/>
        <v>906.61538333333306</v>
      </c>
      <c r="Y1771" s="2">
        <f t="shared" si="809"/>
        <v>0</v>
      </c>
      <c r="Z1771" s="2">
        <f t="shared" si="810"/>
        <v>0</v>
      </c>
      <c r="AA1771" s="2">
        <f t="shared" si="811"/>
        <v>2993.1377200000002</v>
      </c>
      <c r="AB1771" s="2">
        <f t="shared" si="805"/>
        <v>2993.1377200000002</v>
      </c>
      <c r="AC1771" s="625"/>
      <c r="AD1771" s="625"/>
      <c r="AE1771" s="625"/>
      <c r="AF1771" s="625"/>
      <c r="AG1771" s="625"/>
      <c r="AH1771" s="625"/>
      <c r="AI1771" s="625"/>
      <c r="AJ1771" s="625"/>
      <c r="AK1771" s="625"/>
      <c r="AL1771" s="625">
        <v>3116.7637300000001</v>
      </c>
      <c r="AM1771" s="625">
        <v>3169.1361400000001</v>
      </c>
      <c r="AN1771" s="625">
        <v>3096.9158700000003</v>
      </c>
      <c r="AO1771" s="625">
        <v>2993.1377200000002</v>
      </c>
      <c r="AP1771" s="41" t="str">
        <f t="shared" si="801"/>
        <v>Def TaxN</v>
      </c>
      <c r="AQ1771" s="41" t="str">
        <f t="shared" si="802"/>
        <v>Def TaxNN10Energy Efficiency Portfolio Standard</v>
      </c>
      <c r="AR1771" s="41" t="str">
        <f t="shared" si="803"/>
        <v>N10Energy Efficiency Portfolio StandardNCR</v>
      </c>
    </row>
    <row r="1772" spans="1:44" s="41" customFormat="1" ht="12.75" customHeight="1">
      <c r="A1772" s="25" t="s">
        <v>1590</v>
      </c>
      <c r="B1772" s="25" t="str">
        <f t="shared" ref="B1772" si="830">CONCATENATE(A1772,C1772,D1772,E1772)</f>
        <v>Def Tax190501BE010390</v>
      </c>
      <c r="C1772" s="736">
        <v>190501</v>
      </c>
      <c r="D1772" s="735"/>
      <c r="E1772" s="41" t="s">
        <v>4556</v>
      </c>
      <c r="F1772" s="41" t="str">
        <f t="shared" si="812"/>
        <v>ADIT-REG-FEDERAL-ELECTRIC</v>
      </c>
      <c r="G1772" s="41" t="s">
        <v>4557</v>
      </c>
      <c r="H1772" s="736" t="s">
        <v>2125</v>
      </c>
      <c r="I1772" s="25"/>
      <c r="J1772" s="442" t="s">
        <v>7</v>
      </c>
      <c r="K1772" s="442"/>
      <c r="L1772" s="736" t="s">
        <v>2436</v>
      </c>
      <c r="M1772" s="25" t="str">
        <f t="shared" si="828"/>
        <v>N</v>
      </c>
      <c r="N1772" s="25" t="str">
        <f>IF(L1772&lt;&gt;"",VLOOKUP(L1772,Categories!$B$2:$D$41,2,FALSE),IF(F1772&lt;&gt;"","No Cat",""))</f>
        <v>NRBASE</v>
      </c>
      <c r="O1772" s="25" t="str">
        <f>IF($L1772&lt;&gt;"",VLOOKUP($L1772,Categories!$B$2:$D$41,3,FALSE),IF($F1772&lt;&gt;"","No Cat",""))</f>
        <v>Deferrals Accruing Non-Cash Return   (other than ASGA)</v>
      </c>
      <c r="P1772" s="736" t="s">
        <v>2468</v>
      </c>
      <c r="Q1772" s="25" t="str">
        <f>VLOOKUP($P1772,Allocators!$B$7:$F$19,5,FALSE)</f>
        <v>Not in Rate Base</v>
      </c>
      <c r="R1772" s="737">
        <f>VLOOKUP($P1772,Allocators!$B$7:$F$19,2,FALSE)</f>
        <v>0</v>
      </c>
      <c r="S1772" s="737">
        <f>VLOOKUP($P1772,Allocators!$B$7:$F$19,3,FALSE)</f>
        <v>0</v>
      </c>
      <c r="T1772" s="737">
        <f t="shared" si="829"/>
        <v>1</v>
      </c>
      <c r="U1772" s="2">
        <f t="shared" si="806"/>
        <v>0</v>
      </c>
      <c r="V1772" s="2">
        <f t="shared" si="807"/>
        <v>0</v>
      </c>
      <c r="W1772" s="2">
        <f t="shared" si="808"/>
        <v>44.851242916666699</v>
      </c>
      <c r="X1772" s="2">
        <f t="shared" si="804"/>
        <v>44.851242916666699</v>
      </c>
      <c r="Y1772" s="2">
        <f t="shared" si="809"/>
        <v>0</v>
      </c>
      <c r="Z1772" s="2">
        <f t="shared" si="810"/>
        <v>0</v>
      </c>
      <c r="AA1772" s="2">
        <f t="shared" si="811"/>
        <v>387.65805</v>
      </c>
      <c r="AB1772" s="2">
        <f t="shared" si="805"/>
        <v>387.65805</v>
      </c>
      <c r="AC1772" s="625"/>
      <c r="AD1772" s="625"/>
      <c r="AE1772" s="625"/>
      <c r="AF1772" s="625"/>
      <c r="AG1772" s="625"/>
      <c r="AH1772" s="625"/>
      <c r="AI1772" s="625"/>
      <c r="AJ1772" s="625"/>
      <c r="AK1772" s="625"/>
      <c r="AL1772" s="625"/>
      <c r="AM1772" s="625"/>
      <c r="AN1772" s="625">
        <v>344.38589000000002</v>
      </c>
      <c r="AO1772" s="625">
        <v>387.65805</v>
      </c>
      <c r="AP1772" s="41" t="str">
        <f t="shared" si="801"/>
        <v>Def TaxN</v>
      </c>
      <c r="AQ1772" s="41" t="str">
        <f t="shared" si="802"/>
        <v>Def TaxNN10Mixed Use 263(a)</v>
      </c>
      <c r="AR1772" s="41" t="str">
        <f t="shared" si="803"/>
        <v>N10Mixed Use 263(a)NCR</v>
      </c>
    </row>
    <row r="1773" spans="1:44" s="41" customFormat="1" ht="12.75" customHeight="1">
      <c r="A1773" s="25" t="s">
        <v>1590</v>
      </c>
      <c r="B1773" s="25" t="str">
        <f t="shared" si="817"/>
        <v>Def Tax190501283-044-SBTHUNGDT</v>
      </c>
      <c r="C1773" s="736">
        <v>190501</v>
      </c>
      <c r="D1773" s="735" t="s">
        <v>2010</v>
      </c>
      <c r="E1773" s="41" t="s">
        <v>1624</v>
      </c>
      <c r="F1773" s="41" t="str">
        <f t="shared" si="812"/>
        <v>ADIT-REG-FEDERAL-ELECTRIC</v>
      </c>
      <c r="G1773" s="41" t="s">
        <v>2008</v>
      </c>
      <c r="H1773" s="736" t="s">
        <v>2009</v>
      </c>
      <c r="I1773" s="25"/>
      <c r="J1773" s="25" t="str">
        <f t="shared" si="814"/>
        <v/>
      </c>
      <c r="K1773" s="442" t="str">
        <f t="shared" si="813"/>
        <v/>
      </c>
      <c r="L1773" s="736" t="s">
        <v>2443</v>
      </c>
      <c r="M1773" s="25" t="str">
        <f t="shared" si="795"/>
        <v>R</v>
      </c>
      <c r="N1773" s="25" t="str">
        <f>IF(L1773&lt;&gt;"",VLOOKUP(L1773,Categories!$B$2:$D$41,2,FALSE),IF(F1773&lt;&gt;"","No Cat",""))</f>
        <v>Rate Base</v>
      </c>
      <c r="O1773" s="25" t="str">
        <f>IF($L1773&lt;&gt;"",VLOOKUP($L1773,Categories!$B$2:$D$41,3,FALSE),IF($F1773&lt;&gt;"","No Cat",""))</f>
        <v>Deferred Income Taxes</v>
      </c>
      <c r="P1773" s="736" t="s">
        <v>2482</v>
      </c>
      <c r="Q1773" s="25" t="str">
        <f>VLOOKUP($P1773,Allocators!$B$7:$F$19,5,FALSE)</f>
        <v>Electric</v>
      </c>
      <c r="R1773" s="737">
        <f>VLOOKUP($P1773,Allocators!$B$7:$F$19,2,FALSE)</f>
        <v>1</v>
      </c>
      <c r="S1773" s="737">
        <f>VLOOKUP($P1773,Allocators!$B$7:$F$19,3,FALSE)</f>
        <v>0</v>
      </c>
      <c r="T1773" s="737" t="str">
        <f t="shared" si="793"/>
        <v>0.0%</v>
      </c>
      <c r="U1773" s="2" t="str">
        <f t="shared" si="806"/>
        <v/>
      </c>
      <c r="V1773" s="2" t="str">
        <f t="shared" si="807"/>
        <v/>
      </c>
      <c r="W1773" s="2" t="str">
        <f t="shared" si="808"/>
        <v/>
      </c>
      <c r="X1773" s="2">
        <f t="shared" si="804"/>
        <v>0</v>
      </c>
      <c r="Y1773" s="2" t="str">
        <f t="shared" si="809"/>
        <v/>
      </c>
      <c r="Z1773" s="2" t="str">
        <f t="shared" si="810"/>
        <v/>
      </c>
      <c r="AA1773" s="2" t="str">
        <f t="shared" si="811"/>
        <v/>
      </c>
      <c r="AB1773" s="2">
        <f t="shared" si="805"/>
        <v>0</v>
      </c>
      <c r="AC1773" s="625">
        <v>0</v>
      </c>
      <c r="AD1773" s="625">
        <v>0</v>
      </c>
      <c r="AE1773" s="625">
        <v>0</v>
      </c>
      <c r="AF1773" s="625">
        <v>0</v>
      </c>
      <c r="AG1773" s="625">
        <v>0</v>
      </c>
      <c r="AH1773" s="625">
        <v>0</v>
      </c>
      <c r="AI1773" s="625">
        <v>0</v>
      </c>
      <c r="AJ1773" s="625">
        <v>0</v>
      </c>
      <c r="AK1773" s="625">
        <v>0</v>
      </c>
      <c r="AL1773" s="625">
        <v>0</v>
      </c>
      <c r="AM1773" s="625">
        <v>0</v>
      </c>
      <c r="AN1773" s="625">
        <v>0</v>
      </c>
      <c r="AO1773" s="625">
        <v>0</v>
      </c>
      <c r="AP1773" s="41" t="str">
        <f t="shared" si="801"/>
        <v>Def TaxR</v>
      </c>
      <c r="AQ1773" s="41" t="str">
        <f t="shared" si="802"/>
        <v>Def TaxRR111998 Wind Storm</v>
      </c>
      <c r="AR1773" s="41" t="str">
        <f t="shared" si="803"/>
        <v>R111998 Wind Storm</v>
      </c>
    </row>
    <row r="1774" spans="1:44" s="41" customFormat="1" ht="12.75" customHeight="1">
      <c r="A1774" s="442" t="s">
        <v>1590</v>
      </c>
      <c r="B1774" s="442" t="str">
        <f t="shared" si="817"/>
        <v>Def Tax190502SERP RegLiaSBT030561/
BT130561</v>
      </c>
      <c r="C1774" s="736">
        <v>190502</v>
      </c>
      <c r="D1774" s="735" t="s">
        <v>2011</v>
      </c>
      <c r="E1774" s="626" t="s">
        <v>1988</v>
      </c>
      <c r="F1774" s="626" t="str">
        <f t="shared" si="812"/>
        <v>ADIT-REG-FEDERAL-GAS</v>
      </c>
      <c r="G1774" s="626" t="s">
        <v>2012</v>
      </c>
      <c r="H1774" s="736" t="s">
        <v>810</v>
      </c>
      <c r="I1774" s="442"/>
      <c r="J1774" s="442" t="str">
        <f t="shared" si="814"/>
        <v/>
      </c>
      <c r="K1774" s="442" t="str">
        <f t="shared" si="813"/>
        <v/>
      </c>
      <c r="L1774" s="736" t="s">
        <v>2421</v>
      </c>
      <c r="M1774" s="442" t="str">
        <f t="shared" si="795"/>
        <v>N</v>
      </c>
      <c r="N1774" s="442" t="str">
        <f>IF(L1774&lt;&gt;"",VLOOKUP(L1774,Categories!$B$2:$D$41,2,FALSE),IF(F1774&lt;&gt;"","No Cat",""))</f>
        <v>NRBASE</v>
      </c>
      <c r="O1774" s="442" t="str">
        <f>IF($L1774&lt;&gt;"",VLOOKUP($L1774,Categories!$B$2:$D$41,3,FALSE),IF($F1774&lt;&gt;"","No Cat",""))</f>
        <v>Direct Assign Items Not in RB</v>
      </c>
      <c r="P1774" s="736" t="s">
        <v>2468</v>
      </c>
      <c r="Q1774" s="442" t="str">
        <f>VLOOKUP($P1774,Allocators!$B$7:$F$19,5,FALSE)</f>
        <v>Not in Rate Base</v>
      </c>
      <c r="R1774" s="737">
        <f>VLOOKUP($P1774,Allocators!$B$7:$F$19,2,FALSE)</f>
        <v>0</v>
      </c>
      <c r="S1774" s="737">
        <f>VLOOKUP($P1774,Allocators!$B$7:$F$19,3,FALSE)</f>
        <v>0</v>
      </c>
      <c r="T1774" s="737">
        <f t="shared" si="793"/>
        <v>1</v>
      </c>
      <c r="U1774" s="2" t="str">
        <f t="shared" si="806"/>
        <v/>
      </c>
      <c r="V1774" s="2" t="str">
        <f t="shared" si="807"/>
        <v/>
      </c>
      <c r="W1774" s="2" t="str">
        <f t="shared" si="808"/>
        <v/>
      </c>
      <c r="X1774" s="2">
        <f t="shared" si="804"/>
        <v>0</v>
      </c>
      <c r="Y1774" s="2" t="str">
        <f t="shared" si="809"/>
        <v/>
      </c>
      <c r="Z1774" s="2" t="str">
        <f t="shared" si="810"/>
        <v/>
      </c>
      <c r="AA1774" s="2" t="str">
        <f t="shared" si="811"/>
        <v/>
      </c>
      <c r="AB1774" s="2">
        <f t="shared" si="805"/>
        <v>0</v>
      </c>
      <c r="AC1774" s="625">
        <v>0</v>
      </c>
      <c r="AD1774" s="625">
        <v>0</v>
      </c>
      <c r="AE1774" s="625">
        <v>0</v>
      </c>
      <c r="AF1774" s="625">
        <v>0</v>
      </c>
      <c r="AG1774" s="625">
        <v>0</v>
      </c>
      <c r="AH1774" s="625">
        <v>0</v>
      </c>
      <c r="AI1774" s="625">
        <v>0</v>
      </c>
      <c r="AJ1774" s="625">
        <v>0</v>
      </c>
      <c r="AK1774" s="625">
        <v>0</v>
      </c>
      <c r="AL1774" s="625">
        <v>0</v>
      </c>
      <c r="AM1774" s="625">
        <v>0</v>
      </c>
      <c r="AN1774" s="625">
        <v>0</v>
      </c>
      <c r="AO1774" s="625">
        <v>0</v>
      </c>
      <c r="AP1774" s="41" t="str">
        <f t="shared" si="801"/>
        <v>Def TaxN</v>
      </c>
      <c r="AQ1774" s="41" t="str">
        <f t="shared" si="802"/>
        <v>Def TaxNN2SERP</v>
      </c>
      <c r="AR1774" s="41" t="str">
        <f t="shared" si="803"/>
        <v>N2SERP</v>
      </c>
    </row>
    <row r="1775" spans="1:44" s="41" customFormat="1" ht="12.75" customHeight="1">
      <c r="A1775" s="442" t="s">
        <v>1590</v>
      </c>
      <c r="B1775" s="442" t="str">
        <f t="shared" si="817"/>
        <v>Def Tax190502AROBT010303</v>
      </c>
      <c r="C1775" s="736">
        <v>190502</v>
      </c>
      <c r="D1775" s="735" t="s">
        <v>1613</v>
      </c>
      <c r="E1775" s="626" t="s">
        <v>1614</v>
      </c>
      <c r="F1775" s="626" t="str">
        <f t="shared" si="812"/>
        <v>ADIT-REG-FEDERAL-GAS</v>
      </c>
      <c r="G1775" s="626" t="s">
        <v>1615</v>
      </c>
      <c r="H1775" s="736" t="s">
        <v>1138</v>
      </c>
      <c r="I1775" s="442"/>
      <c r="J1775" s="442" t="str">
        <f t="shared" si="814"/>
        <v/>
      </c>
      <c r="K1775" s="442" t="str">
        <f t="shared" si="813"/>
        <v/>
      </c>
      <c r="L1775" s="736" t="s">
        <v>2421</v>
      </c>
      <c r="M1775" s="442" t="str">
        <f t="shared" si="795"/>
        <v>N</v>
      </c>
      <c r="N1775" s="442" t="str">
        <f>IF(L1775&lt;&gt;"",VLOOKUP(L1775,Categories!$B$2:$D$41,2,FALSE),IF(F1775&lt;&gt;"","No Cat",""))</f>
        <v>NRBASE</v>
      </c>
      <c r="O1775" s="442" t="str">
        <f>IF($L1775&lt;&gt;"",VLOOKUP($L1775,Categories!$B$2:$D$41,3,FALSE),IF($F1775&lt;&gt;"","No Cat",""))</f>
        <v>Direct Assign Items Not in RB</v>
      </c>
      <c r="P1775" s="736" t="s">
        <v>2468</v>
      </c>
      <c r="Q1775" s="442" t="str">
        <f>VLOOKUP($P1775,Allocators!$B$7:$F$19,5,FALSE)</f>
        <v>Not in Rate Base</v>
      </c>
      <c r="R1775" s="737">
        <f>VLOOKUP($P1775,Allocators!$B$7:$F$19,2,FALSE)</f>
        <v>0</v>
      </c>
      <c r="S1775" s="737">
        <f>VLOOKUP($P1775,Allocators!$B$7:$F$19,3,FALSE)</f>
        <v>0</v>
      </c>
      <c r="T1775" s="737">
        <f t="shared" si="793"/>
        <v>1</v>
      </c>
      <c r="U1775" s="2">
        <f t="shared" si="806"/>
        <v>0</v>
      </c>
      <c r="V1775" s="2">
        <f t="shared" si="807"/>
        <v>0</v>
      </c>
      <c r="W1775" s="2">
        <f t="shared" si="808"/>
        <v>439.948314583333</v>
      </c>
      <c r="X1775" s="2">
        <f t="shared" si="804"/>
        <v>439.948314583333</v>
      </c>
      <c r="Y1775" s="2">
        <f t="shared" si="809"/>
        <v>0</v>
      </c>
      <c r="Z1775" s="2">
        <f t="shared" si="810"/>
        <v>0</v>
      </c>
      <c r="AA1775" s="2">
        <f t="shared" si="811"/>
        <v>404.86293000000001</v>
      </c>
      <c r="AB1775" s="2">
        <f t="shared" si="805"/>
        <v>404.86293000000001</v>
      </c>
      <c r="AC1775" s="625">
        <v>449.71246000000002</v>
      </c>
      <c r="AD1775" s="625">
        <v>448.80182000000002</v>
      </c>
      <c r="AE1775" s="625">
        <v>447.88761</v>
      </c>
      <c r="AF1775" s="625">
        <v>446.96979999999996</v>
      </c>
      <c r="AG1775" s="625">
        <v>446.04838000000001</v>
      </c>
      <c r="AH1775" s="625">
        <v>445.12333000000001</v>
      </c>
      <c r="AI1775" s="625">
        <v>444.19463999999999</v>
      </c>
      <c r="AJ1775" s="625">
        <v>443.26229000000001</v>
      </c>
      <c r="AK1775" s="625">
        <v>442.32625999999999</v>
      </c>
      <c r="AL1775" s="625">
        <v>441.38655</v>
      </c>
      <c r="AM1775" s="625">
        <v>440.44312000000002</v>
      </c>
      <c r="AN1775" s="625">
        <v>405.64828</v>
      </c>
      <c r="AO1775" s="625">
        <v>404.86293000000001</v>
      </c>
      <c r="AP1775" s="41" t="str">
        <f t="shared" si="801"/>
        <v>Def TaxN</v>
      </c>
      <c r="AQ1775" s="41" t="str">
        <f t="shared" si="802"/>
        <v>Def TaxNN2Asset Retirement Obligation</v>
      </c>
      <c r="AR1775" s="41" t="str">
        <f t="shared" si="803"/>
        <v>N2Asset Retirement Obligation</v>
      </c>
    </row>
    <row r="1776" spans="1:44" s="41" customFormat="1" ht="12.75" customHeight="1">
      <c r="A1776" s="442" t="s">
        <v>1590</v>
      </c>
      <c r="B1776" s="442" t="str">
        <f t="shared" si="817"/>
        <v>Def Tax190502Econ DevelopBT010069</v>
      </c>
      <c r="C1776" s="736">
        <v>190502</v>
      </c>
      <c r="D1776" s="735" t="s">
        <v>1902</v>
      </c>
      <c r="E1776" s="626" t="s">
        <v>1903</v>
      </c>
      <c r="F1776" s="626" t="str">
        <f t="shared" si="812"/>
        <v>ADIT-REG-FEDERAL-GAS</v>
      </c>
      <c r="G1776" s="626" t="s">
        <v>1904</v>
      </c>
      <c r="H1776" s="736" t="s">
        <v>1309</v>
      </c>
      <c r="I1776" s="442"/>
      <c r="J1776" s="442" t="s">
        <v>7</v>
      </c>
      <c r="K1776" s="442" t="str">
        <f t="shared" si="813"/>
        <v/>
      </c>
      <c r="L1776" s="736" t="s">
        <v>2436</v>
      </c>
      <c r="M1776" s="442" t="str">
        <f t="shared" si="795"/>
        <v>N</v>
      </c>
      <c r="N1776" s="442" t="str">
        <f>IF(L1776&lt;&gt;"",VLOOKUP(L1776,Categories!$B$2:$D$41,2,FALSE),IF(F1776&lt;&gt;"","No Cat",""))</f>
        <v>NRBASE</v>
      </c>
      <c r="O1776" s="442" t="str">
        <f>IF($L1776&lt;&gt;"",VLOOKUP($L1776,Categories!$B$2:$D$41,3,FALSE),IF($F1776&lt;&gt;"","No Cat",""))</f>
        <v>Deferrals Accruing Non-Cash Return   (other than ASGA)</v>
      </c>
      <c r="P1776" s="736" t="s">
        <v>2468</v>
      </c>
      <c r="Q1776" s="442" t="str">
        <f>VLOOKUP($P1776,Allocators!$B$7:$F$19,5,FALSE)</f>
        <v>Not in Rate Base</v>
      </c>
      <c r="R1776" s="737">
        <f>VLOOKUP($P1776,Allocators!$B$7:$F$19,2,FALSE)</f>
        <v>0</v>
      </c>
      <c r="S1776" s="737">
        <f>VLOOKUP($P1776,Allocators!$B$7:$F$19,3,FALSE)</f>
        <v>0</v>
      </c>
      <c r="T1776" s="737">
        <f t="shared" si="793"/>
        <v>1</v>
      </c>
      <c r="U1776" s="2">
        <f t="shared" si="806"/>
        <v>0</v>
      </c>
      <c r="V1776" s="2">
        <f t="shared" si="807"/>
        <v>0</v>
      </c>
      <c r="W1776" s="2">
        <f t="shared" si="808"/>
        <v>258.92723791666702</v>
      </c>
      <c r="X1776" s="2">
        <f t="shared" si="804"/>
        <v>258.92723791666702</v>
      </c>
      <c r="Y1776" s="2">
        <f t="shared" si="809"/>
        <v>0</v>
      </c>
      <c r="Z1776" s="2">
        <f t="shared" si="810"/>
        <v>0</v>
      </c>
      <c r="AA1776" s="2">
        <f t="shared" si="811"/>
        <v>298.86308000000002</v>
      </c>
      <c r="AB1776" s="2">
        <f t="shared" si="805"/>
        <v>298.86308000000002</v>
      </c>
      <c r="AC1776" s="625">
        <v>221.36498999999998</v>
      </c>
      <c r="AD1776" s="625">
        <v>227.07286999999999</v>
      </c>
      <c r="AE1776" s="625">
        <v>232.74463</v>
      </c>
      <c r="AF1776" s="625">
        <v>238.43091000000001</v>
      </c>
      <c r="AG1776" s="625">
        <v>244.47615999999999</v>
      </c>
      <c r="AH1776" s="625">
        <v>251.10325</v>
      </c>
      <c r="AI1776" s="625">
        <v>257.99599000000001</v>
      </c>
      <c r="AJ1776" s="625">
        <v>265.02355999999997</v>
      </c>
      <c r="AK1776" s="625">
        <v>272.05551000000003</v>
      </c>
      <c r="AL1776" s="625">
        <v>279.11766999999998</v>
      </c>
      <c r="AM1776" s="625">
        <v>286.18728000000004</v>
      </c>
      <c r="AN1776" s="625">
        <v>292.80498999999998</v>
      </c>
      <c r="AO1776" s="625">
        <v>298.86308000000002</v>
      </c>
      <c r="AP1776" s="41" t="str">
        <f t="shared" si="801"/>
        <v>Def TaxN</v>
      </c>
      <c r="AQ1776" s="41" t="str">
        <f t="shared" si="802"/>
        <v>Def TaxNN10Economic Development</v>
      </c>
      <c r="AR1776" s="41" t="str">
        <f t="shared" si="803"/>
        <v>N10Economic DevelopmentNCR</v>
      </c>
    </row>
    <row r="1777" spans="1:44" s="41" customFormat="1" ht="12.75" customHeight="1">
      <c r="A1777" s="25" t="s">
        <v>1590</v>
      </c>
      <c r="B1777" s="25" t="str">
        <f t="shared" si="817"/>
        <v>Def Tax190502EXCESS DITBT010078</v>
      </c>
      <c r="C1777" s="736">
        <v>190502</v>
      </c>
      <c r="D1777" s="735" t="s">
        <v>1911</v>
      </c>
      <c r="E1777" s="41" t="s">
        <v>1912</v>
      </c>
      <c r="F1777" s="41" t="str">
        <f t="shared" si="812"/>
        <v>ADIT-REG-FEDERAL-GAS</v>
      </c>
      <c r="G1777" s="41" t="s">
        <v>1913</v>
      </c>
      <c r="H1777" s="736" t="s">
        <v>1487</v>
      </c>
      <c r="I1777" s="25"/>
      <c r="J1777" s="25" t="str">
        <f t="shared" si="814"/>
        <v/>
      </c>
      <c r="K1777" s="442" t="str">
        <f t="shared" si="813"/>
        <v/>
      </c>
      <c r="L1777" s="736" t="s">
        <v>2443</v>
      </c>
      <c r="M1777" s="25" t="str">
        <f t="shared" si="795"/>
        <v>R</v>
      </c>
      <c r="N1777" s="25" t="str">
        <f>IF(L1777&lt;&gt;"",VLOOKUP(L1777,Categories!$B$2:$D$41,2,FALSE),IF(F1777&lt;&gt;"","No Cat",""))</f>
        <v>Rate Base</v>
      </c>
      <c r="O1777" s="25" t="str">
        <f>IF($L1777&lt;&gt;"",VLOOKUP($L1777,Categories!$B$2:$D$41,3,FALSE),IF($F1777&lt;&gt;"","No Cat",""))</f>
        <v>Deferred Income Taxes</v>
      </c>
      <c r="P1777" s="736" t="s">
        <v>2483</v>
      </c>
      <c r="Q1777" s="25" t="str">
        <f>VLOOKUP($P1777,Allocators!$B$7:$F$19,5,FALSE)</f>
        <v>Gas</v>
      </c>
      <c r="R1777" s="737">
        <f>VLOOKUP($P1777,Allocators!$B$7:$F$19,2,FALSE)</f>
        <v>0</v>
      </c>
      <c r="S1777" s="737">
        <f>VLOOKUP($P1777,Allocators!$B$7:$F$19,3,FALSE)</f>
        <v>1</v>
      </c>
      <c r="T1777" s="737" t="str">
        <f t="shared" si="793"/>
        <v>0.0%</v>
      </c>
      <c r="U1777" s="2">
        <f t="shared" si="806"/>
        <v>0</v>
      </c>
      <c r="V1777" s="2">
        <f t="shared" si="807"/>
        <v>-73.465540000000004</v>
      </c>
      <c r="W1777" s="2">
        <f t="shared" si="808"/>
        <v>0</v>
      </c>
      <c r="X1777" s="2">
        <f t="shared" si="804"/>
        <v>-73.465540000000004</v>
      </c>
      <c r="Y1777" s="2">
        <f t="shared" si="809"/>
        <v>0</v>
      </c>
      <c r="Z1777" s="2">
        <f t="shared" si="810"/>
        <v>-73.465540000000004</v>
      </c>
      <c r="AA1777" s="2">
        <f t="shared" si="811"/>
        <v>0</v>
      </c>
      <c r="AB1777" s="2">
        <f t="shared" si="805"/>
        <v>-73.46553999999999</v>
      </c>
      <c r="AC1777" s="625">
        <v>-73.46553999999999</v>
      </c>
      <c r="AD1777" s="625">
        <v>-73.46553999999999</v>
      </c>
      <c r="AE1777" s="625">
        <v>-73.46553999999999</v>
      </c>
      <c r="AF1777" s="625">
        <v>-73.46553999999999</v>
      </c>
      <c r="AG1777" s="625">
        <v>-73.46553999999999</v>
      </c>
      <c r="AH1777" s="625">
        <v>-73.46553999999999</v>
      </c>
      <c r="AI1777" s="625">
        <v>-73.46553999999999</v>
      </c>
      <c r="AJ1777" s="625">
        <v>-73.46553999999999</v>
      </c>
      <c r="AK1777" s="625">
        <v>-73.46553999999999</v>
      </c>
      <c r="AL1777" s="625">
        <v>-73.46553999999999</v>
      </c>
      <c r="AM1777" s="625">
        <v>-73.46553999999999</v>
      </c>
      <c r="AN1777" s="625">
        <v>-73.46553999999999</v>
      </c>
      <c r="AO1777" s="625">
        <v>-73.46553999999999</v>
      </c>
      <c r="AP1777" s="41" t="str">
        <f t="shared" si="801"/>
        <v>Def TaxR</v>
      </c>
      <c r="AQ1777" s="41" t="str">
        <f t="shared" si="802"/>
        <v>Def TaxRR11Excess NYS DIT (to 7.1%)</v>
      </c>
      <c r="AR1777" s="41" t="str">
        <f t="shared" si="803"/>
        <v>R11Excess NYS DIT (to 7.1%)</v>
      </c>
    </row>
    <row r="1778" spans="1:44" s="41" customFormat="1" ht="12.75" customHeight="1">
      <c r="A1778" s="442" t="s">
        <v>1590</v>
      </c>
      <c r="B1778" s="442" t="str">
        <f t="shared" si="817"/>
        <v>Def Tax190502ExcessDIT-CurrBDEFAULT</v>
      </c>
      <c r="C1778" s="736">
        <v>190502</v>
      </c>
      <c r="D1778" s="735" t="s">
        <v>1914</v>
      </c>
      <c r="E1778" s="626" t="s">
        <v>1620</v>
      </c>
      <c r="F1778" s="626" t="str">
        <f t="shared" si="812"/>
        <v>ADIT-REG-FEDERAL-GAS</v>
      </c>
      <c r="G1778" s="626" t="s">
        <v>1915</v>
      </c>
      <c r="H1778" s="736">
        <v>0</v>
      </c>
      <c r="I1778" s="442"/>
      <c r="J1778" s="442" t="str">
        <f t="shared" si="814"/>
        <v/>
      </c>
      <c r="K1778" s="442" t="str">
        <f t="shared" si="813"/>
        <v/>
      </c>
      <c r="L1778" s="736" t="s">
        <v>2421</v>
      </c>
      <c r="M1778" s="442" t="str">
        <f t="shared" si="795"/>
        <v>N</v>
      </c>
      <c r="N1778" s="442" t="str">
        <f>IF(L1778&lt;&gt;"",VLOOKUP(L1778,Categories!$B$2:$D$41,2,FALSE),IF(F1778&lt;&gt;"","No Cat",""))</f>
        <v>NRBASE</v>
      </c>
      <c r="O1778" s="442" t="str">
        <f>IF($L1778&lt;&gt;"",VLOOKUP($L1778,Categories!$B$2:$D$41,3,FALSE),IF($F1778&lt;&gt;"","No Cat",""))</f>
        <v>Direct Assign Items Not in RB</v>
      </c>
      <c r="P1778" s="736" t="s">
        <v>2468</v>
      </c>
      <c r="Q1778" s="442" t="str">
        <f>VLOOKUP($P1778,Allocators!$B$7:$F$19,5,FALSE)</f>
        <v>Not in Rate Base</v>
      </c>
      <c r="R1778" s="737">
        <f>VLOOKUP($P1778,Allocators!$B$7:$F$19,2,FALSE)</f>
        <v>0</v>
      </c>
      <c r="S1778" s="737">
        <f>VLOOKUP($P1778,Allocators!$B$7:$F$19,3,FALSE)</f>
        <v>0</v>
      </c>
      <c r="T1778" s="737">
        <f t="shared" si="793"/>
        <v>1</v>
      </c>
      <c r="U1778" s="2" t="str">
        <f t="shared" si="806"/>
        <v/>
      </c>
      <c r="V1778" s="2" t="str">
        <f t="shared" si="807"/>
        <v/>
      </c>
      <c r="W1778" s="2" t="str">
        <f t="shared" si="808"/>
        <v/>
      </c>
      <c r="X1778" s="2">
        <f t="shared" si="804"/>
        <v>0</v>
      </c>
      <c r="Y1778" s="2" t="str">
        <f t="shared" si="809"/>
        <v/>
      </c>
      <c r="Z1778" s="2" t="str">
        <f t="shared" si="810"/>
        <v/>
      </c>
      <c r="AA1778" s="2" t="str">
        <f t="shared" si="811"/>
        <v/>
      </c>
      <c r="AB1778" s="2">
        <f t="shared" si="805"/>
        <v>0</v>
      </c>
      <c r="AC1778" s="625">
        <v>0</v>
      </c>
      <c r="AD1778" s="625">
        <v>0</v>
      </c>
      <c r="AE1778" s="625">
        <v>0</v>
      </c>
      <c r="AF1778" s="625">
        <v>0</v>
      </c>
      <c r="AG1778" s="625">
        <v>0</v>
      </c>
      <c r="AH1778" s="625">
        <v>0</v>
      </c>
      <c r="AI1778" s="625">
        <v>0</v>
      </c>
      <c r="AJ1778" s="625">
        <v>0</v>
      </c>
      <c r="AK1778" s="625">
        <v>0</v>
      </c>
      <c r="AL1778" s="625">
        <v>0</v>
      </c>
      <c r="AM1778" s="625">
        <v>0</v>
      </c>
      <c r="AN1778" s="625">
        <v>0</v>
      </c>
      <c r="AO1778" s="625">
        <v>0</v>
      </c>
      <c r="AP1778" s="41" t="str">
        <f t="shared" si="801"/>
        <v>Def TaxN</v>
      </c>
      <c r="AQ1778" s="41" t="str">
        <f t="shared" si="802"/>
        <v>Def TaxNN20</v>
      </c>
      <c r="AR1778" s="41" t="str">
        <f t="shared" si="803"/>
        <v>N20</v>
      </c>
    </row>
    <row r="1779" spans="1:44" s="41" customFormat="1" ht="12.75" customHeight="1">
      <c r="A1779" s="442" t="s">
        <v>1590</v>
      </c>
      <c r="B1779" s="442" t="str">
        <f t="shared" si="817"/>
        <v>Def Tax190502190-098-JP</v>
      </c>
      <c r="C1779" s="736">
        <v>190502</v>
      </c>
      <c r="D1779" s="735" t="s">
        <v>1758</v>
      </c>
      <c r="E1779" s="626"/>
      <c r="F1779" s="626" t="str">
        <f t="shared" si="812"/>
        <v>ADIT-REG-FEDERAL-GAS</v>
      </c>
      <c r="G1779" s="626" t="s">
        <v>2013</v>
      </c>
      <c r="H1779" s="736" t="s">
        <v>1760</v>
      </c>
      <c r="I1779" s="442"/>
      <c r="J1779" s="442" t="str">
        <f t="shared" si="814"/>
        <v/>
      </c>
      <c r="K1779" s="442" t="str">
        <f t="shared" si="813"/>
        <v/>
      </c>
      <c r="L1779" s="736" t="s">
        <v>2421</v>
      </c>
      <c r="M1779" s="442" t="str">
        <f t="shared" si="795"/>
        <v>N</v>
      </c>
      <c r="N1779" s="442" t="str">
        <f>IF(L1779&lt;&gt;"",VLOOKUP(L1779,Categories!$B$2:$D$41,2,FALSE),IF(F1779&lt;&gt;"","No Cat",""))</f>
        <v>NRBASE</v>
      </c>
      <c r="O1779" s="442" t="str">
        <f>IF($L1779&lt;&gt;"",VLOOKUP($L1779,Categories!$B$2:$D$41,3,FALSE),IF($F1779&lt;&gt;"","No Cat",""))</f>
        <v>Direct Assign Items Not in RB</v>
      </c>
      <c r="P1779" s="736" t="s">
        <v>2468</v>
      </c>
      <c r="Q1779" s="442" t="str">
        <f>VLOOKUP($P1779,Allocators!$B$7:$F$19,5,FALSE)</f>
        <v>Not in Rate Base</v>
      </c>
      <c r="R1779" s="737">
        <f>VLOOKUP($P1779,Allocators!$B$7:$F$19,2,FALSE)</f>
        <v>0</v>
      </c>
      <c r="S1779" s="737">
        <f>VLOOKUP($P1779,Allocators!$B$7:$F$19,3,FALSE)</f>
        <v>0</v>
      </c>
      <c r="T1779" s="737">
        <f t="shared" si="793"/>
        <v>1</v>
      </c>
      <c r="U1779" s="2" t="str">
        <f t="shared" si="806"/>
        <v/>
      </c>
      <c r="V1779" s="2" t="str">
        <f t="shared" si="807"/>
        <v/>
      </c>
      <c r="W1779" s="2" t="str">
        <f t="shared" si="808"/>
        <v/>
      </c>
      <c r="X1779" s="2">
        <f t="shared" si="804"/>
        <v>0</v>
      </c>
      <c r="Y1779" s="2" t="str">
        <f t="shared" si="809"/>
        <v/>
      </c>
      <c r="Z1779" s="2" t="str">
        <f t="shared" si="810"/>
        <v/>
      </c>
      <c r="AA1779" s="2" t="str">
        <f t="shared" si="811"/>
        <v/>
      </c>
      <c r="AB1779" s="2">
        <f t="shared" si="805"/>
        <v>0</v>
      </c>
      <c r="AC1779" s="625">
        <v>0</v>
      </c>
      <c r="AD1779" s="625">
        <v>0</v>
      </c>
      <c r="AE1779" s="625">
        <v>0</v>
      </c>
      <c r="AF1779" s="625">
        <v>0</v>
      </c>
      <c r="AG1779" s="625">
        <v>0</v>
      </c>
      <c r="AH1779" s="625">
        <v>0</v>
      </c>
      <c r="AI1779" s="625">
        <v>0</v>
      </c>
      <c r="AJ1779" s="625">
        <v>0</v>
      </c>
      <c r="AK1779" s="625">
        <v>0</v>
      </c>
      <c r="AL1779" s="625">
        <v>0</v>
      </c>
      <c r="AM1779" s="625">
        <v>0</v>
      </c>
      <c r="AN1779" s="625">
        <v>0</v>
      </c>
      <c r="AO1779" s="625">
        <v>0</v>
      </c>
      <c r="AP1779" s="41" t="str">
        <f t="shared" si="801"/>
        <v>Def TaxN</v>
      </c>
      <c r="AQ1779" s="41" t="str">
        <f t="shared" si="802"/>
        <v>Def TaxNN2Exogenous Costs</v>
      </c>
      <c r="AR1779" s="41" t="str">
        <f t="shared" si="803"/>
        <v>N2Exogenous Costs</v>
      </c>
    </row>
    <row r="1780" spans="1:44" s="41" customFormat="1" ht="12.75" customHeight="1">
      <c r="A1780" s="442" t="s">
        <v>1590</v>
      </c>
      <c r="B1780" s="442" t="str">
        <f t="shared" si="817"/>
        <v>Def Tax190502Bonus DepBT010085</v>
      </c>
      <c r="C1780" s="736">
        <v>190502</v>
      </c>
      <c r="D1780" s="735" t="s">
        <v>1916</v>
      </c>
      <c r="E1780" s="626" t="s">
        <v>1917</v>
      </c>
      <c r="F1780" s="626" t="str">
        <f t="shared" si="812"/>
        <v>ADIT-REG-FEDERAL-GAS</v>
      </c>
      <c r="G1780" s="626" t="s">
        <v>1918</v>
      </c>
      <c r="H1780" s="736" t="s">
        <v>1186</v>
      </c>
      <c r="I1780" s="442"/>
      <c r="J1780" s="442" t="str">
        <f t="shared" si="814"/>
        <v/>
      </c>
      <c r="K1780" s="442" t="str">
        <f t="shared" si="813"/>
        <v/>
      </c>
      <c r="L1780" s="736" t="s">
        <v>2421</v>
      </c>
      <c r="M1780" s="442" t="str">
        <f t="shared" si="795"/>
        <v>N</v>
      </c>
      <c r="N1780" s="442" t="str">
        <f>IF(L1780&lt;&gt;"",VLOOKUP(L1780,Categories!$B$2:$D$41,2,FALSE),IF(F1780&lt;&gt;"","No Cat",""))</f>
        <v>NRBASE</v>
      </c>
      <c r="O1780" s="442" t="str">
        <f>IF($L1780&lt;&gt;"",VLOOKUP($L1780,Categories!$B$2:$D$41,3,FALSE),IF($F1780&lt;&gt;"","No Cat",""))</f>
        <v>Direct Assign Items Not in RB</v>
      </c>
      <c r="P1780" s="736" t="s">
        <v>2468</v>
      </c>
      <c r="Q1780" s="442" t="str">
        <f>VLOOKUP($P1780,Allocators!$B$7:$F$19,5,FALSE)</f>
        <v>Not in Rate Base</v>
      </c>
      <c r="R1780" s="737">
        <f>VLOOKUP($P1780,Allocators!$B$7:$F$19,2,FALSE)</f>
        <v>0</v>
      </c>
      <c r="S1780" s="737">
        <f>VLOOKUP($P1780,Allocators!$B$7:$F$19,3,FALSE)</f>
        <v>0</v>
      </c>
      <c r="T1780" s="737">
        <f t="shared" ref="T1780:T1850" si="831">IF(P1780="N",1,"0.0%")</f>
        <v>1</v>
      </c>
      <c r="U1780" s="2">
        <f t="shared" si="806"/>
        <v>0</v>
      </c>
      <c r="V1780" s="2">
        <f t="shared" si="807"/>
        <v>0</v>
      </c>
      <c r="W1780" s="2">
        <f t="shared" si="808"/>
        <v>2626.3012591666702</v>
      </c>
      <c r="X1780" s="2">
        <f t="shared" si="804"/>
        <v>2626.3012591666702</v>
      </c>
      <c r="Y1780" s="2">
        <f t="shared" si="809"/>
        <v>0</v>
      </c>
      <c r="Z1780" s="2">
        <f t="shared" si="810"/>
        <v>0</v>
      </c>
      <c r="AA1780" s="2">
        <f t="shared" si="811"/>
        <v>3104.9593100000002</v>
      </c>
      <c r="AB1780" s="2">
        <f t="shared" si="805"/>
        <v>3104.9593100000002</v>
      </c>
      <c r="AC1780" s="625">
        <v>2153.1646499999997</v>
      </c>
      <c r="AD1780" s="625">
        <v>2233.05548</v>
      </c>
      <c r="AE1780" s="625">
        <v>2312.8751899999997</v>
      </c>
      <c r="AF1780" s="625">
        <v>2392.6235099999999</v>
      </c>
      <c r="AG1780" s="625">
        <v>2472.30017</v>
      </c>
      <c r="AH1780" s="625">
        <v>2551.9049100000002</v>
      </c>
      <c r="AI1780" s="625">
        <v>2631.4374500000004</v>
      </c>
      <c r="AJ1780" s="625">
        <v>2710.8975399999999</v>
      </c>
      <c r="AK1780" s="625">
        <v>2790.2848799999997</v>
      </c>
      <c r="AL1780" s="625">
        <v>2852.14417</v>
      </c>
      <c r="AM1780" s="625">
        <v>2930.4062799999997</v>
      </c>
      <c r="AN1780" s="625">
        <v>3008.6235499999998</v>
      </c>
      <c r="AO1780" s="625">
        <v>3104.9593100000002</v>
      </c>
      <c r="AP1780" s="41" t="str">
        <f t="shared" si="801"/>
        <v>Def TaxN</v>
      </c>
      <c r="AQ1780" s="41" t="str">
        <f t="shared" si="802"/>
        <v>Def TaxNN2Bonus Depreciation Deferral</v>
      </c>
      <c r="AR1780" s="41" t="str">
        <f t="shared" si="803"/>
        <v>N2Bonus Depreciation Deferral</v>
      </c>
    </row>
    <row r="1781" spans="1:44" s="41" customFormat="1" ht="12.75" customHeight="1">
      <c r="A1781" s="25" t="s">
        <v>1590</v>
      </c>
      <c r="B1781" s="25" t="str">
        <f t="shared" si="817"/>
        <v>Def Tax190502190-015BT010089</v>
      </c>
      <c r="C1781" s="736">
        <v>190502</v>
      </c>
      <c r="D1781" s="735" t="s">
        <v>1678</v>
      </c>
      <c r="E1781" s="41" t="s">
        <v>1679</v>
      </c>
      <c r="F1781" s="41" t="str">
        <f t="shared" si="812"/>
        <v>ADIT-REG-FEDERAL-GAS</v>
      </c>
      <c r="G1781" s="41" t="s">
        <v>2014</v>
      </c>
      <c r="H1781" s="736" t="s">
        <v>927</v>
      </c>
      <c r="I1781" s="25"/>
      <c r="J1781" s="25" t="str">
        <f t="shared" si="814"/>
        <v/>
      </c>
      <c r="K1781" s="442" t="str">
        <f t="shared" si="813"/>
        <v/>
      </c>
      <c r="L1781" s="736" t="s">
        <v>2443</v>
      </c>
      <c r="M1781" s="25" t="str">
        <f t="shared" si="795"/>
        <v>R</v>
      </c>
      <c r="N1781" s="25" t="str">
        <f>IF(L1781&lt;&gt;"",VLOOKUP(L1781,Categories!$B$2:$D$41,2,FALSE),IF(F1781&lt;&gt;"","No Cat",""))</f>
        <v>Rate Base</v>
      </c>
      <c r="O1781" s="25" t="str">
        <f>IF($L1781&lt;&gt;"",VLOOKUP($L1781,Categories!$B$2:$D$41,3,FALSE),IF($F1781&lt;&gt;"","No Cat",""))</f>
        <v>Deferred Income Taxes</v>
      </c>
      <c r="P1781" s="736" t="s">
        <v>2483</v>
      </c>
      <c r="Q1781" s="25" t="str">
        <f>VLOOKUP($P1781,Allocators!$B$7:$F$19,5,FALSE)</f>
        <v>Gas</v>
      </c>
      <c r="R1781" s="737">
        <f>VLOOKUP($P1781,Allocators!$B$7:$F$19,2,FALSE)</f>
        <v>0</v>
      </c>
      <c r="S1781" s="737">
        <f>VLOOKUP($P1781,Allocators!$B$7:$F$19,3,FALSE)</f>
        <v>1</v>
      </c>
      <c r="T1781" s="737" t="str">
        <f t="shared" si="831"/>
        <v>0.0%</v>
      </c>
      <c r="U1781" s="2" t="str">
        <f t="shared" si="806"/>
        <v/>
      </c>
      <c r="V1781" s="2" t="str">
        <f t="shared" si="807"/>
        <v/>
      </c>
      <c r="W1781" s="2" t="str">
        <f t="shared" si="808"/>
        <v/>
      </c>
      <c r="X1781" s="2">
        <f t="shared" si="804"/>
        <v>0</v>
      </c>
      <c r="Y1781" s="2" t="str">
        <f t="shared" si="809"/>
        <v/>
      </c>
      <c r="Z1781" s="2" t="str">
        <f t="shared" si="810"/>
        <v/>
      </c>
      <c r="AA1781" s="2" t="str">
        <f t="shared" si="811"/>
        <v/>
      </c>
      <c r="AB1781" s="2">
        <f t="shared" si="805"/>
        <v>0</v>
      </c>
      <c r="AC1781" s="625">
        <v>0</v>
      </c>
      <c r="AD1781" s="625">
        <v>0</v>
      </c>
      <c r="AE1781" s="625">
        <v>0</v>
      </c>
      <c r="AF1781" s="625">
        <v>0</v>
      </c>
      <c r="AG1781" s="625">
        <v>0</v>
      </c>
      <c r="AH1781" s="625">
        <v>0</v>
      </c>
      <c r="AI1781" s="625">
        <v>0</v>
      </c>
      <c r="AJ1781" s="625">
        <v>0</v>
      </c>
      <c r="AK1781" s="625">
        <v>0</v>
      </c>
      <c r="AL1781" s="625">
        <v>0</v>
      </c>
      <c r="AM1781" s="625">
        <v>0</v>
      </c>
      <c r="AN1781" s="625">
        <v>0</v>
      </c>
      <c r="AO1781" s="625">
        <v>0</v>
      </c>
      <c r="AP1781" s="41" t="str">
        <f t="shared" si="801"/>
        <v>Def TaxR</v>
      </c>
      <c r="AQ1781" s="41" t="str">
        <f t="shared" si="802"/>
        <v>Def TaxRR11OPEB</v>
      </c>
      <c r="AR1781" s="41" t="str">
        <f t="shared" si="803"/>
        <v>R11OPEB</v>
      </c>
    </row>
    <row r="1782" spans="1:44" s="41" customFormat="1" ht="12.75" customHeight="1">
      <c r="A1782" s="442" t="s">
        <v>1590</v>
      </c>
      <c r="B1782" s="442" t="str">
        <f t="shared" si="817"/>
        <v>Def Tax190502190-111</v>
      </c>
      <c r="C1782" s="736">
        <v>190502</v>
      </c>
      <c r="D1782" s="735" t="s">
        <v>1921</v>
      </c>
      <c r="E1782" s="626"/>
      <c r="F1782" s="626" t="str">
        <f t="shared" si="812"/>
        <v>ADIT-REG-FEDERAL-GAS</v>
      </c>
      <c r="G1782" s="626" t="s">
        <v>1922</v>
      </c>
      <c r="H1782" s="736" t="s">
        <v>1923</v>
      </c>
      <c r="I1782" s="442"/>
      <c r="J1782" s="442" t="str">
        <f t="shared" si="814"/>
        <v/>
      </c>
      <c r="K1782" s="442" t="str">
        <f t="shared" si="813"/>
        <v/>
      </c>
      <c r="L1782" s="736" t="s">
        <v>2421</v>
      </c>
      <c r="M1782" s="442" t="str">
        <f t="shared" si="795"/>
        <v>N</v>
      </c>
      <c r="N1782" s="442" t="str">
        <f>IF(L1782&lt;&gt;"",VLOOKUP(L1782,Categories!$B$2:$D$41,2,FALSE),IF(F1782&lt;&gt;"","No Cat",""))</f>
        <v>NRBASE</v>
      </c>
      <c r="O1782" s="442" t="str">
        <f>IF($L1782&lt;&gt;"",VLOOKUP($L1782,Categories!$B$2:$D$41,3,FALSE),IF($F1782&lt;&gt;"","No Cat",""))</f>
        <v>Direct Assign Items Not in RB</v>
      </c>
      <c r="P1782" s="736" t="s">
        <v>2468</v>
      </c>
      <c r="Q1782" s="442" t="str">
        <f>VLOOKUP($P1782,Allocators!$B$7:$F$19,5,FALSE)</f>
        <v>Not in Rate Base</v>
      </c>
      <c r="R1782" s="737">
        <f>VLOOKUP($P1782,Allocators!$B$7:$F$19,2,FALSE)</f>
        <v>0</v>
      </c>
      <c r="S1782" s="737">
        <f>VLOOKUP($P1782,Allocators!$B$7:$F$19,3,FALSE)</f>
        <v>0</v>
      </c>
      <c r="T1782" s="737">
        <f t="shared" si="831"/>
        <v>1</v>
      </c>
      <c r="U1782" s="2" t="str">
        <f t="shared" si="806"/>
        <v/>
      </c>
      <c r="V1782" s="2" t="str">
        <f t="shared" si="807"/>
        <v/>
      </c>
      <c r="W1782" s="2" t="str">
        <f t="shared" si="808"/>
        <v/>
      </c>
      <c r="X1782" s="2">
        <f t="shared" si="804"/>
        <v>0</v>
      </c>
      <c r="Y1782" s="2" t="str">
        <f t="shared" si="809"/>
        <v/>
      </c>
      <c r="Z1782" s="2" t="str">
        <f t="shared" si="810"/>
        <v/>
      </c>
      <c r="AA1782" s="2" t="str">
        <f t="shared" si="811"/>
        <v/>
      </c>
      <c r="AB1782" s="2">
        <f t="shared" si="805"/>
        <v>0</v>
      </c>
      <c r="AC1782" s="625">
        <v>0</v>
      </c>
      <c r="AD1782" s="625">
        <v>0</v>
      </c>
      <c r="AE1782" s="625">
        <v>0</v>
      </c>
      <c r="AF1782" s="625">
        <v>0</v>
      </c>
      <c r="AG1782" s="625">
        <v>0</v>
      </c>
      <c r="AH1782" s="625">
        <v>0</v>
      </c>
      <c r="AI1782" s="625">
        <v>0</v>
      </c>
      <c r="AJ1782" s="625">
        <v>0</v>
      </c>
      <c r="AK1782" s="625">
        <v>0</v>
      </c>
      <c r="AL1782" s="625">
        <v>0</v>
      </c>
      <c r="AM1782" s="625">
        <v>0</v>
      </c>
      <c r="AN1782" s="625">
        <v>0</v>
      </c>
      <c r="AO1782" s="625">
        <v>0</v>
      </c>
      <c r="AP1782" s="41" t="str">
        <f t="shared" si="801"/>
        <v>Def TaxN</v>
      </c>
      <c r="AQ1782" s="41" t="str">
        <f t="shared" si="802"/>
        <v>Def TaxNN2Fuel Credit Deferral</v>
      </c>
      <c r="AR1782" s="41" t="str">
        <f t="shared" si="803"/>
        <v>N2Fuel Credit Deferral</v>
      </c>
    </row>
    <row r="1783" spans="1:44" s="41" customFormat="1" ht="12.75" customHeight="1">
      <c r="A1783" s="442" t="s">
        <v>1590</v>
      </c>
      <c r="B1783" s="442" t="str">
        <f t="shared" si="817"/>
        <v>Def Tax190502BG030911</v>
      </c>
      <c r="C1783" s="736">
        <v>190502</v>
      </c>
      <c r="D1783" s="735"/>
      <c r="E1783" s="626" t="s">
        <v>1293</v>
      </c>
      <c r="F1783" s="626" t="str">
        <f t="shared" si="812"/>
        <v>ADIT-REG-FEDERAL-GAS</v>
      </c>
      <c r="G1783" s="626" t="s">
        <v>2015</v>
      </c>
      <c r="H1783" s="736" t="s">
        <v>1295</v>
      </c>
      <c r="I1783" s="442"/>
      <c r="J1783" s="442" t="s">
        <v>7</v>
      </c>
      <c r="K1783" s="442" t="str">
        <f t="shared" si="813"/>
        <v/>
      </c>
      <c r="L1783" s="736" t="s">
        <v>2436</v>
      </c>
      <c r="M1783" s="442" t="str">
        <f t="shared" si="795"/>
        <v>N</v>
      </c>
      <c r="N1783" s="442" t="str">
        <f>IF(L1783&lt;&gt;"",VLOOKUP(L1783,Categories!$B$2:$D$41,2,FALSE),IF(F1783&lt;&gt;"","No Cat",""))</f>
        <v>NRBASE</v>
      </c>
      <c r="O1783" s="442" t="str">
        <f>IF($L1783&lt;&gt;"",VLOOKUP($L1783,Categories!$B$2:$D$41,3,FALSE),IF($F1783&lt;&gt;"","No Cat",""))</f>
        <v>Deferrals Accruing Non-Cash Return   (other than ASGA)</v>
      </c>
      <c r="P1783" s="736" t="s">
        <v>2468</v>
      </c>
      <c r="Q1783" s="442" t="str">
        <f>VLOOKUP($P1783,Allocators!$B$7:$F$19,5,FALSE)</f>
        <v>Not in Rate Base</v>
      </c>
      <c r="R1783" s="737">
        <f>VLOOKUP($P1783,Allocators!$B$7:$F$19,2,FALSE)</f>
        <v>0</v>
      </c>
      <c r="S1783" s="737">
        <f>VLOOKUP($P1783,Allocators!$B$7:$F$19,3,FALSE)</f>
        <v>0</v>
      </c>
      <c r="T1783" s="737">
        <f t="shared" si="831"/>
        <v>1</v>
      </c>
      <c r="U1783" s="2">
        <f t="shared" si="806"/>
        <v>0</v>
      </c>
      <c r="V1783" s="2">
        <f t="shared" si="807"/>
        <v>0</v>
      </c>
      <c r="W1783" s="2">
        <f t="shared" si="808"/>
        <v>116.185026666667</v>
      </c>
      <c r="X1783" s="2">
        <f t="shared" si="804"/>
        <v>116.185026666667</v>
      </c>
      <c r="Y1783" s="2">
        <f t="shared" si="809"/>
        <v>0</v>
      </c>
      <c r="Z1783" s="2">
        <f t="shared" si="810"/>
        <v>0</v>
      </c>
      <c r="AA1783" s="2">
        <f t="shared" si="811"/>
        <v>37.554690000000001</v>
      </c>
      <c r="AB1783" s="2">
        <f t="shared" si="805"/>
        <v>37.554690000000001</v>
      </c>
      <c r="AC1783" s="625">
        <v>99.881749999999997</v>
      </c>
      <c r="AD1783" s="625">
        <v>122.12411</v>
      </c>
      <c r="AE1783" s="625">
        <v>144.36660000000001</v>
      </c>
      <c r="AF1783" s="625">
        <v>131.88934</v>
      </c>
      <c r="AG1783" s="625">
        <v>154.13210999999998</v>
      </c>
      <c r="AH1783" s="625">
        <v>176.37501</v>
      </c>
      <c r="AI1783" s="625">
        <v>87.604230000000001</v>
      </c>
      <c r="AJ1783" s="625">
        <v>110.40839</v>
      </c>
      <c r="AK1783" s="625">
        <v>133.21587</v>
      </c>
      <c r="AL1783" s="625">
        <v>65.646850000000001</v>
      </c>
      <c r="AM1783" s="625">
        <v>88.461020000000005</v>
      </c>
      <c r="AN1783" s="625">
        <v>111.27857</v>
      </c>
      <c r="AO1783" s="625">
        <v>37.554690000000001</v>
      </c>
      <c r="AP1783" s="41" t="str">
        <f t="shared" si="801"/>
        <v>Def TaxN</v>
      </c>
      <c r="AQ1783" s="41" t="str">
        <f t="shared" si="802"/>
        <v>Def TaxNN10R&amp;D Deferral - Gas</v>
      </c>
      <c r="AR1783" s="41" t="str">
        <f t="shared" si="803"/>
        <v>N10R&amp;D Deferral - GasNCR</v>
      </c>
    </row>
    <row r="1784" spans="1:44" s="41" customFormat="1" ht="12.75" customHeight="1">
      <c r="A1784" s="25" t="s">
        <v>1590</v>
      </c>
      <c r="B1784" s="25" t="str">
        <f t="shared" si="817"/>
        <v>Def Tax190502190-082BTHUNGDT</v>
      </c>
      <c r="C1784" s="736">
        <v>190502</v>
      </c>
      <c r="D1784" s="735" t="s">
        <v>1748</v>
      </c>
      <c r="E1784" s="41" t="s">
        <v>1624</v>
      </c>
      <c r="F1784" s="41" t="str">
        <f t="shared" si="812"/>
        <v>ADIT-REG-FEDERAL-GAS</v>
      </c>
      <c r="G1784" s="41" t="s">
        <v>1749</v>
      </c>
      <c r="H1784" s="736">
        <v>0</v>
      </c>
      <c r="I1784" s="25"/>
      <c r="J1784" s="25" t="str">
        <f t="shared" si="814"/>
        <v/>
      </c>
      <c r="K1784" s="442" t="str">
        <f t="shared" si="813"/>
        <v/>
      </c>
      <c r="L1784" s="736" t="s">
        <v>2443</v>
      </c>
      <c r="M1784" s="25" t="str">
        <f t="shared" si="795"/>
        <v>R</v>
      </c>
      <c r="N1784" s="25" t="str">
        <f>IF(L1784&lt;&gt;"",VLOOKUP(L1784,Categories!$B$2:$D$41,2,FALSE),IF(F1784&lt;&gt;"","No Cat",""))</f>
        <v>Rate Base</v>
      </c>
      <c r="O1784" s="25" t="str">
        <f>IF($L1784&lt;&gt;"",VLOOKUP($L1784,Categories!$B$2:$D$41,3,FALSE),IF($F1784&lt;&gt;"","No Cat",""))</f>
        <v>Deferred Income Taxes</v>
      </c>
      <c r="P1784" s="736" t="s">
        <v>2483</v>
      </c>
      <c r="Q1784" s="25" t="str">
        <f>VLOOKUP($P1784,Allocators!$B$7:$F$19,5,FALSE)</f>
        <v>Gas</v>
      </c>
      <c r="R1784" s="737">
        <f>VLOOKUP($P1784,Allocators!$B$7:$F$19,2,FALSE)</f>
        <v>0</v>
      </c>
      <c r="S1784" s="737">
        <f>VLOOKUP($P1784,Allocators!$B$7:$F$19,3,FALSE)</f>
        <v>1</v>
      </c>
      <c r="T1784" s="737" t="str">
        <f t="shared" si="831"/>
        <v>0.0%</v>
      </c>
      <c r="U1784" s="2" t="str">
        <f t="shared" si="806"/>
        <v/>
      </c>
      <c r="V1784" s="2" t="str">
        <f t="shared" si="807"/>
        <v/>
      </c>
      <c r="W1784" s="2" t="str">
        <f t="shared" si="808"/>
        <v/>
      </c>
      <c r="X1784" s="2">
        <f t="shared" si="804"/>
        <v>0</v>
      </c>
      <c r="Y1784" s="2" t="str">
        <f t="shared" si="809"/>
        <v/>
      </c>
      <c r="Z1784" s="2" t="str">
        <f t="shared" si="810"/>
        <v/>
      </c>
      <c r="AA1784" s="2" t="str">
        <f t="shared" si="811"/>
        <v/>
      </c>
      <c r="AB1784" s="2">
        <f t="shared" si="805"/>
        <v>0</v>
      </c>
      <c r="AC1784" s="625">
        <v>0</v>
      </c>
      <c r="AD1784" s="625">
        <v>0</v>
      </c>
      <c r="AE1784" s="625">
        <v>0</v>
      </c>
      <c r="AF1784" s="625">
        <v>0</v>
      </c>
      <c r="AG1784" s="625">
        <v>0</v>
      </c>
      <c r="AH1784" s="625">
        <v>0</v>
      </c>
      <c r="AI1784" s="625">
        <v>0</v>
      </c>
      <c r="AJ1784" s="625">
        <v>0</v>
      </c>
      <c r="AK1784" s="625">
        <v>0</v>
      </c>
      <c r="AL1784" s="625">
        <v>0</v>
      </c>
      <c r="AM1784" s="625">
        <v>0</v>
      </c>
      <c r="AN1784" s="625">
        <v>0</v>
      </c>
      <c r="AO1784" s="625">
        <v>0</v>
      </c>
      <c r="AP1784" s="41" t="str">
        <f t="shared" si="801"/>
        <v>Def TaxR</v>
      </c>
      <c r="AQ1784" s="41" t="str">
        <f t="shared" si="802"/>
        <v>Def TaxRR110</v>
      </c>
      <c r="AR1784" s="41" t="str">
        <f t="shared" si="803"/>
        <v>R110</v>
      </c>
    </row>
    <row r="1785" spans="1:44" s="41" customFormat="1" ht="12.75" customHeight="1">
      <c r="A1785" s="442" t="s">
        <v>1590</v>
      </c>
      <c r="B1785" s="442" t="str">
        <f t="shared" si="817"/>
        <v>Def Tax190502CROBG030599</v>
      </c>
      <c r="C1785" s="736">
        <v>190502</v>
      </c>
      <c r="D1785" s="735" t="s">
        <v>1931</v>
      </c>
      <c r="E1785" s="626" t="s">
        <v>1288</v>
      </c>
      <c r="F1785" s="626" t="str">
        <f t="shared" si="812"/>
        <v>ADIT-REG-FEDERAL-GAS</v>
      </c>
      <c r="G1785" s="626" t="s">
        <v>1932</v>
      </c>
      <c r="H1785" s="736" t="s">
        <v>1195</v>
      </c>
      <c r="I1785" s="442"/>
      <c r="J1785" s="442" t="s">
        <v>7</v>
      </c>
      <c r="K1785" s="442" t="str">
        <f t="shared" si="813"/>
        <v/>
      </c>
      <c r="L1785" s="736" t="s">
        <v>2436</v>
      </c>
      <c r="M1785" s="442" t="str">
        <f t="shared" si="795"/>
        <v>N</v>
      </c>
      <c r="N1785" s="442" t="str">
        <f>IF(L1785&lt;&gt;"",VLOOKUP(L1785,Categories!$B$2:$D$41,2,FALSE),IF(F1785&lt;&gt;"","No Cat",""))</f>
        <v>NRBASE</v>
      </c>
      <c r="O1785" s="442" t="str">
        <f>IF($L1785&lt;&gt;"",VLOOKUP($L1785,Categories!$B$2:$D$41,3,FALSE),IF($F1785&lt;&gt;"","No Cat",""))</f>
        <v>Deferrals Accruing Non-Cash Return   (other than ASGA)</v>
      </c>
      <c r="P1785" s="736" t="s">
        <v>2468</v>
      </c>
      <c r="Q1785" s="442" t="str">
        <f>VLOOKUP($P1785,Allocators!$B$7:$F$19,5,FALSE)</f>
        <v>Not in Rate Base</v>
      </c>
      <c r="R1785" s="737">
        <f>VLOOKUP($P1785,Allocators!$B$7:$F$19,2,FALSE)</f>
        <v>0</v>
      </c>
      <c r="S1785" s="737">
        <f>VLOOKUP($P1785,Allocators!$B$7:$F$19,3,FALSE)</f>
        <v>0</v>
      </c>
      <c r="T1785" s="737">
        <f t="shared" si="831"/>
        <v>1</v>
      </c>
      <c r="U1785" s="2">
        <f t="shared" si="806"/>
        <v>0</v>
      </c>
      <c r="V1785" s="2">
        <f t="shared" si="807"/>
        <v>0</v>
      </c>
      <c r="W1785" s="2">
        <f t="shared" si="808"/>
        <v>119.159567916667</v>
      </c>
      <c r="X1785" s="2">
        <f t="shared" si="804"/>
        <v>119.159567916667</v>
      </c>
      <c r="Y1785" s="2">
        <f t="shared" si="809"/>
        <v>0</v>
      </c>
      <c r="Z1785" s="2">
        <f t="shared" si="810"/>
        <v>0</v>
      </c>
      <c r="AA1785" s="2">
        <f t="shared" si="811"/>
        <v>79.592910000000003</v>
      </c>
      <c r="AB1785" s="2">
        <f t="shared" si="805"/>
        <v>79.592910000000003</v>
      </c>
      <c r="AC1785" s="625">
        <v>58.08352</v>
      </c>
      <c r="AD1785" s="625">
        <v>72.533820000000006</v>
      </c>
      <c r="AE1785" s="625">
        <v>101.38303999999999</v>
      </c>
      <c r="AF1785" s="625">
        <v>123.42261000000001</v>
      </c>
      <c r="AG1785" s="625">
        <v>142.97924</v>
      </c>
      <c r="AH1785" s="625">
        <v>166.8082</v>
      </c>
      <c r="AI1785" s="625">
        <v>151.32400000000001</v>
      </c>
      <c r="AJ1785" s="625">
        <v>168.03164000000001</v>
      </c>
      <c r="AK1785" s="625">
        <v>161.34769</v>
      </c>
      <c r="AL1785" s="625">
        <v>135.76811999999998</v>
      </c>
      <c r="AM1785" s="625">
        <v>75.669429999999991</v>
      </c>
      <c r="AN1785" s="625">
        <v>61.808810000000001</v>
      </c>
      <c r="AO1785" s="625">
        <v>79.592910000000003</v>
      </c>
      <c r="AP1785" s="41" t="str">
        <f t="shared" si="801"/>
        <v>Def TaxN</v>
      </c>
      <c r="AQ1785" s="41" t="str">
        <f t="shared" si="802"/>
        <v>Def TaxNN10Incremental Maintenance</v>
      </c>
      <c r="AR1785" s="41" t="str">
        <f t="shared" si="803"/>
        <v>N10Incremental MaintenanceNCR</v>
      </c>
    </row>
    <row r="1786" spans="1:44" s="41" customFormat="1" ht="12.75" customHeight="1">
      <c r="A1786" s="25" t="s">
        <v>1590</v>
      </c>
      <c r="B1786" s="25" t="str">
        <f t="shared" si="817"/>
        <v>Def Tax190502283-075BT010086</v>
      </c>
      <c r="C1786" s="736">
        <v>190502</v>
      </c>
      <c r="D1786" s="735" t="s">
        <v>2016</v>
      </c>
      <c r="E1786" s="41" t="s">
        <v>2017</v>
      </c>
      <c r="F1786" s="41" t="str">
        <f t="shared" si="812"/>
        <v>ADIT-REG-FEDERAL-GAS</v>
      </c>
      <c r="G1786" s="41" t="s">
        <v>2018</v>
      </c>
      <c r="H1786" s="736" t="s">
        <v>814</v>
      </c>
      <c r="I1786" s="25"/>
      <c r="J1786" s="25" t="str">
        <f t="shared" si="814"/>
        <v/>
      </c>
      <c r="K1786" s="442" t="str">
        <f t="shared" si="813"/>
        <v/>
      </c>
      <c r="L1786" s="736" t="s">
        <v>2443</v>
      </c>
      <c r="M1786" s="25" t="str">
        <f t="shared" si="795"/>
        <v>R</v>
      </c>
      <c r="N1786" s="25" t="str">
        <f>IF(L1786&lt;&gt;"",VLOOKUP(L1786,Categories!$B$2:$D$41,2,FALSE),IF(F1786&lt;&gt;"","No Cat",""))</f>
        <v>Rate Base</v>
      </c>
      <c r="O1786" s="25" t="str">
        <f>IF($L1786&lt;&gt;"",VLOOKUP($L1786,Categories!$B$2:$D$41,3,FALSE),IF($F1786&lt;&gt;"","No Cat",""))</f>
        <v>Deferred Income Taxes</v>
      </c>
      <c r="P1786" s="736" t="s">
        <v>2483</v>
      </c>
      <c r="Q1786" s="25" t="str">
        <f>VLOOKUP($P1786,Allocators!$B$7:$F$19,5,FALSE)</f>
        <v>Gas</v>
      </c>
      <c r="R1786" s="737">
        <f>VLOOKUP($P1786,Allocators!$B$7:$F$19,2,FALSE)</f>
        <v>0</v>
      </c>
      <c r="S1786" s="737">
        <f>VLOOKUP($P1786,Allocators!$B$7:$F$19,3,FALSE)</f>
        <v>1</v>
      </c>
      <c r="T1786" s="737" t="str">
        <f t="shared" si="831"/>
        <v>0.0%</v>
      </c>
      <c r="U1786" s="2">
        <f t="shared" si="806"/>
        <v>0</v>
      </c>
      <c r="V1786" s="2">
        <f t="shared" si="807"/>
        <v>62.783279999999998</v>
      </c>
      <c r="W1786" s="2">
        <f t="shared" si="808"/>
        <v>0</v>
      </c>
      <c r="X1786" s="2">
        <f t="shared" si="804"/>
        <v>62.783279999999998</v>
      </c>
      <c r="Y1786" s="2">
        <f t="shared" si="809"/>
        <v>0</v>
      </c>
      <c r="Z1786" s="2">
        <f t="shared" si="810"/>
        <v>62.783279999999998</v>
      </c>
      <c r="AA1786" s="2">
        <f t="shared" si="811"/>
        <v>0</v>
      </c>
      <c r="AB1786" s="2">
        <f t="shared" si="805"/>
        <v>62.783279999999998</v>
      </c>
      <c r="AC1786" s="625">
        <v>62.783279999999998</v>
      </c>
      <c r="AD1786" s="625">
        <v>62.783279999999998</v>
      </c>
      <c r="AE1786" s="625">
        <v>62.783279999999998</v>
      </c>
      <c r="AF1786" s="625">
        <v>62.783279999999998</v>
      </c>
      <c r="AG1786" s="625">
        <v>62.783279999999998</v>
      </c>
      <c r="AH1786" s="625">
        <v>62.783279999999998</v>
      </c>
      <c r="AI1786" s="625">
        <v>62.783279999999998</v>
      </c>
      <c r="AJ1786" s="625">
        <v>62.783279999999998</v>
      </c>
      <c r="AK1786" s="625">
        <v>62.783279999999998</v>
      </c>
      <c r="AL1786" s="625">
        <v>62.783279999999998</v>
      </c>
      <c r="AM1786" s="625">
        <v>62.783279999999998</v>
      </c>
      <c r="AN1786" s="625">
        <v>62.783279999999998</v>
      </c>
      <c r="AO1786" s="625">
        <v>62.783279999999998</v>
      </c>
      <c r="AP1786" s="41" t="str">
        <f t="shared" si="801"/>
        <v>Def TaxR</v>
      </c>
      <c r="AQ1786" s="41" t="str">
        <f t="shared" si="802"/>
        <v>Def TaxRR11IRS Audit - 1998-2001</v>
      </c>
      <c r="AR1786" s="41" t="str">
        <f t="shared" si="803"/>
        <v>R11IRS Audit - 1998-2001</v>
      </c>
    </row>
    <row r="1787" spans="1:44" s="41" customFormat="1" ht="12.75" customHeight="1">
      <c r="A1787" s="442" t="s">
        <v>1590</v>
      </c>
      <c r="B1787" s="442" t="str">
        <f t="shared" si="817"/>
        <v>Def Tax190502LIPBG030594</v>
      </c>
      <c r="C1787" s="736">
        <v>190502</v>
      </c>
      <c r="D1787" s="735" t="s">
        <v>1936</v>
      </c>
      <c r="E1787" s="626" t="s">
        <v>942</v>
      </c>
      <c r="F1787" s="626" t="str">
        <f t="shared" si="812"/>
        <v>ADIT-REG-FEDERAL-GAS</v>
      </c>
      <c r="G1787" s="626" t="s">
        <v>1937</v>
      </c>
      <c r="H1787" s="736" t="s">
        <v>821</v>
      </c>
      <c r="I1787" s="442"/>
      <c r="J1787" s="442" t="s">
        <v>7</v>
      </c>
      <c r="K1787" s="442" t="str">
        <f t="shared" si="813"/>
        <v/>
      </c>
      <c r="L1787" s="736" t="s">
        <v>2436</v>
      </c>
      <c r="M1787" s="442" t="str">
        <f t="shared" si="795"/>
        <v>N</v>
      </c>
      <c r="N1787" s="442" t="str">
        <f>IF(L1787&lt;&gt;"",VLOOKUP(L1787,Categories!$B$2:$D$41,2,FALSE),IF(F1787&lt;&gt;"","No Cat",""))</f>
        <v>NRBASE</v>
      </c>
      <c r="O1787" s="442" t="str">
        <f>IF($L1787&lt;&gt;"",VLOOKUP($L1787,Categories!$B$2:$D$41,3,FALSE),IF($F1787&lt;&gt;"","No Cat",""))</f>
        <v>Deferrals Accruing Non-Cash Return   (other than ASGA)</v>
      </c>
      <c r="P1787" s="736" t="s">
        <v>2468</v>
      </c>
      <c r="Q1787" s="442" t="str">
        <f>VLOOKUP($P1787,Allocators!$B$7:$F$19,5,FALSE)</f>
        <v>Not in Rate Base</v>
      </c>
      <c r="R1787" s="737">
        <f>VLOOKUP($P1787,Allocators!$B$7:$F$19,2,FALSE)</f>
        <v>0</v>
      </c>
      <c r="S1787" s="737">
        <f>VLOOKUP($P1787,Allocators!$B$7:$F$19,3,FALSE)</f>
        <v>0</v>
      </c>
      <c r="T1787" s="737">
        <f t="shared" si="831"/>
        <v>1</v>
      </c>
      <c r="U1787" s="2">
        <f t="shared" si="806"/>
        <v>0</v>
      </c>
      <c r="V1787" s="2">
        <f t="shared" si="807"/>
        <v>0</v>
      </c>
      <c r="W1787" s="2">
        <f t="shared" si="808"/>
        <v>275.49081041666699</v>
      </c>
      <c r="X1787" s="2">
        <f t="shared" si="804"/>
        <v>275.49081041666699</v>
      </c>
      <c r="Y1787" s="2">
        <f t="shared" si="809"/>
        <v>0</v>
      </c>
      <c r="Z1787" s="2">
        <f t="shared" si="810"/>
        <v>0</v>
      </c>
      <c r="AA1787" s="2">
        <f t="shared" si="811"/>
        <v>318.04271999999997</v>
      </c>
      <c r="AB1787" s="2">
        <f t="shared" si="805"/>
        <v>318.04271999999997</v>
      </c>
      <c r="AC1787" s="625">
        <v>260.55317000000002</v>
      </c>
      <c r="AD1787" s="625">
        <v>258.30279999999999</v>
      </c>
      <c r="AE1787" s="625">
        <v>257.23329999999999</v>
      </c>
      <c r="AF1787" s="625">
        <v>258.05267000000003</v>
      </c>
      <c r="AG1787" s="625">
        <v>258.53699</v>
      </c>
      <c r="AH1787" s="625">
        <v>260.50064000000003</v>
      </c>
      <c r="AI1787" s="625">
        <v>263.85167999999999</v>
      </c>
      <c r="AJ1787" s="625">
        <v>277.79106999999999</v>
      </c>
      <c r="AK1787" s="625">
        <v>286.23099999999999</v>
      </c>
      <c r="AL1787" s="625">
        <v>296.71358000000004</v>
      </c>
      <c r="AM1787" s="625">
        <v>293.68948</v>
      </c>
      <c r="AN1787" s="625">
        <v>305.68857000000003</v>
      </c>
      <c r="AO1787" s="625">
        <v>318.04271999999997</v>
      </c>
      <c r="AP1787" s="41" t="str">
        <f t="shared" si="801"/>
        <v>Def TaxN</v>
      </c>
      <c r="AQ1787" s="41" t="str">
        <f t="shared" si="802"/>
        <v>Def TaxNN10Low Income</v>
      </c>
      <c r="AR1787" s="41" t="str">
        <f t="shared" si="803"/>
        <v>N10Low IncomeNCR</v>
      </c>
    </row>
    <row r="1788" spans="1:44" s="41" customFormat="1" ht="12.75" customHeight="1">
      <c r="A1788" s="25" t="s">
        <v>1590</v>
      </c>
      <c r="B1788" s="25" t="str">
        <f t="shared" si="817"/>
        <v>Def Tax190502190-107BT010124</v>
      </c>
      <c r="C1788" s="736">
        <v>190502</v>
      </c>
      <c r="D1788" s="735" t="s">
        <v>1768</v>
      </c>
      <c r="E1788" s="41" t="s">
        <v>1938</v>
      </c>
      <c r="F1788" s="41" t="str">
        <f t="shared" si="812"/>
        <v>ADIT-REG-FEDERAL-GAS</v>
      </c>
      <c r="G1788" s="41" t="s">
        <v>1769</v>
      </c>
      <c r="H1788" s="736" t="s">
        <v>1118</v>
      </c>
      <c r="I1788" s="25"/>
      <c r="J1788" s="25" t="str">
        <f t="shared" si="814"/>
        <v/>
      </c>
      <c r="K1788" s="442" t="str">
        <f t="shared" si="813"/>
        <v/>
      </c>
      <c r="L1788" s="736" t="s">
        <v>2443</v>
      </c>
      <c r="M1788" s="25" t="str">
        <f t="shared" si="795"/>
        <v>R</v>
      </c>
      <c r="N1788" s="25" t="str">
        <f>IF(L1788&lt;&gt;"",VLOOKUP(L1788,Categories!$B$2:$D$41,2,FALSE),IF(F1788&lt;&gt;"","No Cat",""))</f>
        <v>Rate Base</v>
      </c>
      <c r="O1788" s="25" t="str">
        <f>IF($L1788&lt;&gt;"",VLOOKUP($L1788,Categories!$B$2:$D$41,3,FALSE),IF($F1788&lt;&gt;"","No Cat",""))</f>
        <v>Deferred Income Taxes</v>
      </c>
      <c r="P1788" s="736" t="s">
        <v>2483</v>
      </c>
      <c r="Q1788" s="25" t="str">
        <f>VLOOKUP($P1788,Allocators!$B$7:$F$19,5,FALSE)</f>
        <v>Gas</v>
      </c>
      <c r="R1788" s="737">
        <f>VLOOKUP($P1788,Allocators!$B$7:$F$19,2,FALSE)</f>
        <v>0</v>
      </c>
      <c r="S1788" s="737">
        <f>VLOOKUP($P1788,Allocators!$B$7:$F$19,3,FALSE)</f>
        <v>1</v>
      </c>
      <c r="T1788" s="737" t="str">
        <f t="shared" si="831"/>
        <v>0.0%</v>
      </c>
      <c r="U1788" s="2" t="str">
        <f t="shared" si="806"/>
        <v/>
      </c>
      <c r="V1788" s="2" t="str">
        <f t="shared" si="807"/>
        <v/>
      </c>
      <c r="W1788" s="2" t="str">
        <f t="shared" si="808"/>
        <v/>
      </c>
      <c r="X1788" s="2">
        <f t="shared" si="804"/>
        <v>0</v>
      </c>
      <c r="Y1788" s="2" t="str">
        <f t="shared" si="809"/>
        <v/>
      </c>
      <c r="Z1788" s="2" t="str">
        <f t="shared" si="810"/>
        <v/>
      </c>
      <c r="AA1788" s="2" t="str">
        <f t="shared" si="811"/>
        <v/>
      </c>
      <c r="AB1788" s="2">
        <f t="shared" si="805"/>
        <v>0</v>
      </c>
      <c r="AC1788" s="625">
        <v>0</v>
      </c>
      <c r="AD1788" s="625">
        <v>0</v>
      </c>
      <c r="AE1788" s="625">
        <v>0</v>
      </c>
      <c r="AF1788" s="625">
        <v>0</v>
      </c>
      <c r="AG1788" s="625">
        <v>0</v>
      </c>
      <c r="AH1788" s="625">
        <v>0</v>
      </c>
      <c r="AI1788" s="625">
        <v>0</v>
      </c>
      <c r="AJ1788" s="625">
        <v>0</v>
      </c>
      <c r="AK1788" s="625">
        <v>0</v>
      </c>
      <c r="AL1788" s="625">
        <v>0</v>
      </c>
      <c r="AM1788" s="625">
        <v>0</v>
      </c>
      <c r="AN1788" s="625">
        <v>0</v>
      </c>
      <c r="AO1788" s="625">
        <v>0</v>
      </c>
      <c r="AP1788" s="41" t="str">
        <f t="shared" si="801"/>
        <v>Def TaxR</v>
      </c>
      <c r="AQ1788" s="41" t="str">
        <f t="shared" si="802"/>
        <v>Def TaxRR11Medicare Part D</v>
      </c>
      <c r="AR1788" s="41" t="str">
        <f t="shared" si="803"/>
        <v>R11Medicare Part D</v>
      </c>
    </row>
    <row r="1789" spans="1:44" s="41" customFormat="1" ht="12.75" customHeight="1">
      <c r="A1789" s="25" t="s">
        <v>1590</v>
      </c>
      <c r="B1789" s="25" t="str">
        <f t="shared" si="817"/>
        <v>Def Tax190502190-073-JPBG030247</v>
      </c>
      <c r="C1789" s="736">
        <v>190502</v>
      </c>
      <c r="D1789" s="735" t="s">
        <v>2020</v>
      </c>
      <c r="E1789" s="41" t="s">
        <v>1231</v>
      </c>
      <c r="F1789" s="41" t="str">
        <f t="shared" si="812"/>
        <v>ADIT-REG-FEDERAL-GAS</v>
      </c>
      <c r="G1789" s="41" t="s">
        <v>2021</v>
      </c>
      <c r="H1789" s="736" t="s">
        <v>1234</v>
      </c>
      <c r="I1789" s="25"/>
      <c r="J1789" s="25" t="str">
        <f t="shared" si="814"/>
        <v/>
      </c>
      <c r="K1789" s="442" t="str">
        <f t="shared" si="813"/>
        <v/>
      </c>
      <c r="L1789" s="736" t="s">
        <v>2443</v>
      </c>
      <c r="M1789" s="25" t="str">
        <f t="shared" si="795"/>
        <v>R</v>
      </c>
      <c r="N1789" s="25" t="str">
        <f>IF(L1789&lt;&gt;"",VLOOKUP(L1789,Categories!$B$2:$D$41,2,FALSE),IF(F1789&lt;&gt;"","No Cat",""))</f>
        <v>Rate Base</v>
      </c>
      <c r="O1789" s="25" t="str">
        <f>IF($L1789&lt;&gt;"",VLOOKUP($L1789,Categories!$B$2:$D$41,3,FALSE),IF($F1789&lt;&gt;"","No Cat",""))</f>
        <v>Deferred Income Taxes</v>
      </c>
      <c r="P1789" s="736" t="s">
        <v>2483</v>
      </c>
      <c r="Q1789" s="25" t="str">
        <f>VLOOKUP($P1789,Allocators!$B$7:$F$19,5,FALSE)</f>
        <v>Gas</v>
      </c>
      <c r="R1789" s="737">
        <f>VLOOKUP($P1789,Allocators!$B$7:$F$19,2,FALSE)</f>
        <v>0</v>
      </c>
      <c r="S1789" s="737">
        <f>VLOOKUP($P1789,Allocators!$B$7:$F$19,3,FALSE)</f>
        <v>1</v>
      </c>
      <c r="T1789" s="737" t="str">
        <f t="shared" si="831"/>
        <v>0.0%</v>
      </c>
      <c r="U1789" s="2">
        <f t="shared" si="806"/>
        <v>0</v>
      </c>
      <c r="V1789" s="2">
        <f t="shared" si="807"/>
        <v>1067.3159804166701</v>
      </c>
      <c r="W1789" s="2">
        <f t="shared" si="808"/>
        <v>0</v>
      </c>
      <c r="X1789" s="2">
        <f t="shared" si="804"/>
        <v>1067.3159804166701</v>
      </c>
      <c r="Y1789" s="2">
        <f t="shared" si="809"/>
        <v>0</v>
      </c>
      <c r="Z1789" s="2">
        <f t="shared" si="810"/>
        <v>719.36104</v>
      </c>
      <c r="AA1789" s="2">
        <f t="shared" si="811"/>
        <v>0</v>
      </c>
      <c r="AB1789" s="2">
        <f t="shared" si="805"/>
        <v>719.36104</v>
      </c>
      <c r="AC1789" s="625">
        <v>894.97301000000004</v>
      </c>
      <c r="AD1789" s="625">
        <v>1124.2496699999999</v>
      </c>
      <c r="AE1789" s="625">
        <v>1298.8236299999999</v>
      </c>
      <c r="AF1789" s="625">
        <v>1461.98047</v>
      </c>
      <c r="AG1789" s="625">
        <v>1448.9182700000001</v>
      </c>
      <c r="AH1789" s="625">
        <v>1346.54709</v>
      </c>
      <c r="AI1789" s="625">
        <v>1211.3664899999999</v>
      </c>
      <c r="AJ1789" s="625">
        <v>1069.31691</v>
      </c>
      <c r="AK1789" s="625">
        <v>911.07038</v>
      </c>
      <c r="AL1789" s="625">
        <v>770.33225000000004</v>
      </c>
      <c r="AM1789" s="625">
        <v>667.00616000000002</v>
      </c>
      <c r="AN1789" s="625">
        <v>691.01342</v>
      </c>
      <c r="AO1789" s="625">
        <v>719.36104</v>
      </c>
      <c r="AP1789" s="41" t="str">
        <f t="shared" si="801"/>
        <v>Def TaxR</v>
      </c>
      <c r="AQ1789" s="41" t="str">
        <f t="shared" si="802"/>
        <v>Def TaxRR11Merchant Function Charge-Gas</v>
      </c>
      <c r="AR1789" s="41" t="str">
        <f t="shared" si="803"/>
        <v>R11Merchant Function Charge-Gas</v>
      </c>
    </row>
    <row r="1790" spans="1:44" s="41" customFormat="1" ht="12.75" customHeight="1">
      <c r="A1790" s="442" t="s">
        <v>1590</v>
      </c>
      <c r="B1790" s="442" t="str">
        <f t="shared" si="817"/>
        <v>Def Tax190502Mgt AuditBG030596</v>
      </c>
      <c r="C1790" s="736">
        <v>190502</v>
      </c>
      <c r="D1790" s="735" t="s">
        <v>1939</v>
      </c>
      <c r="E1790" s="626" t="s">
        <v>1286</v>
      </c>
      <c r="F1790" s="626" t="str">
        <f t="shared" si="812"/>
        <v>ADIT-REG-FEDERAL-GAS</v>
      </c>
      <c r="G1790" s="626" t="s">
        <v>1940</v>
      </c>
      <c r="H1790" s="736" t="s">
        <v>1192</v>
      </c>
      <c r="I1790" s="442"/>
      <c r="J1790" s="442" t="s">
        <v>7</v>
      </c>
      <c r="K1790" s="442" t="str">
        <f t="shared" si="813"/>
        <v/>
      </c>
      <c r="L1790" s="736" t="s">
        <v>2436</v>
      </c>
      <c r="M1790" s="442" t="str">
        <f t="shared" si="795"/>
        <v>N</v>
      </c>
      <c r="N1790" s="442" t="str">
        <f>IF(L1790&lt;&gt;"",VLOOKUP(L1790,Categories!$B$2:$D$41,2,FALSE),IF(F1790&lt;&gt;"","No Cat",""))</f>
        <v>NRBASE</v>
      </c>
      <c r="O1790" s="442" t="str">
        <f>IF($L1790&lt;&gt;"",VLOOKUP($L1790,Categories!$B$2:$D$41,3,FALSE),IF($F1790&lt;&gt;"","No Cat",""))</f>
        <v>Deferrals Accruing Non-Cash Return   (other than ASGA)</v>
      </c>
      <c r="P1790" s="736" t="s">
        <v>2468</v>
      </c>
      <c r="Q1790" s="442" t="str">
        <f>VLOOKUP($P1790,Allocators!$B$7:$F$19,5,FALSE)</f>
        <v>Not in Rate Base</v>
      </c>
      <c r="R1790" s="737">
        <f>VLOOKUP($P1790,Allocators!$B$7:$F$19,2,FALSE)</f>
        <v>0</v>
      </c>
      <c r="S1790" s="737">
        <f>VLOOKUP($P1790,Allocators!$B$7:$F$19,3,FALSE)</f>
        <v>0</v>
      </c>
      <c r="T1790" s="737">
        <f t="shared" si="831"/>
        <v>1</v>
      </c>
      <c r="U1790" s="2">
        <f t="shared" si="806"/>
        <v>0</v>
      </c>
      <c r="V1790" s="2">
        <f t="shared" si="807"/>
        <v>0</v>
      </c>
      <c r="W1790" s="2">
        <f t="shared" si="808"/>
        <v>-0.47512375000000001</v>
      </c>
      <c r="X1790" s="2">
        <f t="shared" si="804"/>
        <v>-0.47512375000000001</v>
      </c>
      <c r="Y1790" s="2">
        <f t="shared" si="809"/>
        <v>0</v>
      </c>
      <c r="Z1790" s="2">
        <f t="shared" si="810"/>
        <v>0</v>
      </c>
      <c r="AA1790" s="2">
        <f t="shared" si="811"/>
        <v>11.28363</v>
      </c>
      <c r="AB1790" s="2">
        <f t="shared" si="805"/>
        <v>11.283629999999999</v>
      </c>
      <c r="AC1790" s="625">
        <v>-12.24352</v>
      </c>
      <c r="AD1790" s="625">
        <v>-10.280719999999999</v>
      </c>
      <c r="AE1790" s="625">
        <v>-8.3183100000000003</v>
      </c>
      <c r="AF1790" s="625">
        <v>-6.3563000000000001</v>
      </c>
      <c r="AG1790" s="625">
        <v>-4.3946899999999998</v>
      </c>
      <c r="AH1790" s="625">
        <v>-2.4334699999999998</v>
      </c>
      <c r="AI1790" s="625">
        <v>-0.47266000000000002</v>
      </c>
      <c r="AJ1790" s="625">
        <v>1.4877400000000001</v>
      </c>
      <c r="AK1790" s="625">
        <v>3.4477399999999996</v>
      </c>
      <c r="AL1790" s="625">
        <v>5.4073400000000005</v>
      </c>
      <c r="AM1790" s="625">
        <v>7.3665099999999999</v>
      </c>
      <c r="AN1790" s="625">
        <v>9.3252800000000011</v>
      </c>
      <c r="AO1790" s="625">
        <v>11.283629999999999</v>
      </c>
      <c r="AP1790" s="41" t="str">
        <f t="shared" si="801"/>
        <v>Def TaxN</v>
      </c>
      <c r="AQ1790" s="41" t="str">
        <f t="shared" si="802"/>
        <v>Def TaxNN10Management Audit Deferral</v>
      </c>
      <c r="AR1790" s="41" t="str">
        <f t="shared" si="803"/>
        <v>N10Management Audit DeferralNCR</v>
      </c>
    </row>
    <row r="1791" spans="1:44" s="41" customFormat="1" ht="12.75" customHeight="1">
      <c r="A1791" s="442" t="s">
        <v>1590</v>
      </c>
      <c r="B1791" s="442" t="str">
        <f t="shared" ref="B1791:B1792" si="832">CONCATENATE(A1791,C1791,D1791,E1791)</f>
        <v>Def Tax190502BT010154</v>
      </c>
      <c r="C1791" s="736">
        <v>190502</v>
      </c>
      <c r="D1791" s="735"/>
      <c r="E1791" s="626" t="s">
        <v>4117</v>
      </c>
      <c r="F1791" s="626" t="str">
        <f t="shared" si="812"/>
        <v>ADIT-REG-FEDERAL-GAS</v>
      </c>
      <c r="G1791" s="626" t="s">
        <v>4103</v>
      </c>
      <c r="H1791" s="736" t="s">
        <v>4103</v>
      </c>
      <c r="I1791" s="442"/>
      <c r="J1791" s="442"/>
      <c r="K1791" s="442" t="str">
        <f t="shared" si="813"/>
        <v/>
      </c>
      <c r="L1791" s="736" t="s">
        <v>2443</v>
      </c>
      <c r="M1791" s="442" t="str">
        <f t="shared" ref="M1791" si="833">LEFT(L1791,1)</f>
        <v>R</v>
      </c>
      <c r="N1791" s="442" t="str">
        <f>IF(L1791&lt;&gt;"",VLOOKUP(L1791,Categories!$B$2:$D$41,2,FALSE),IF(F1791&lt;&gt;"","No Cat",""))</f>
        <v>Rate Base</v>
      </c>
      <c r="O1791" s="442" t="str">
        <f>IF($L1791&lt;&gt;"",VLOOKUP($L1791,Categories!$B$2:$D$41,3,FALSE),IF($F1791&lt;&gt;"","No Cat",""))</f>
        <v>Deferred Income Taxes</v>
      </c>
      <c r="P1791" s="736" t="s">
        <v>2483</v>
      </c>
      <c r="Q1791" s="442" t="str">
        <f>VLOOKUP($P1791,Allocators!$B$7:$F$19,5,FALSE)</f>
        <v>Gas</v>
      </c>
      <c r="R1791" s="737">
        <f>VLOOKUP($P1791,Allocators!$B$7:$F$19,2,FALSE)</f>
        <v>0</v>
      </c>
      <c r="S1791" s="737">
        <f>VLOOKUP($P1791,Allocators!$B$7:$F$19,3,FALSE)</f>
        <v>1</v>
      </c>
      <c r="T1791" s="737" t="str">
        <f t="shared" ref="T1791" si="834">IF(P1791="N",1,"0.0%")</f>
        <v>0.0%</v>
      </c>
      <c r="U1791" s="2">
        <f t="shared" si="806"/>
        <v>0</v>
      </c>
      <c r="V1791" s="2">
        <f t="shared" si="807"/>
        <v>21.722950000000001</v>
      </c>
      <c r="W1791" s="2">
        <f t="shared" si="808"/>
        <v>0</v>
      </c>
      <c r="X1791" s="2">
        <f t="shared" si="804"/>
        <v>21.722950000000001</v>
      </c>
      <c r="Y1791" s="2">
        <f t="shared" si="809"/>
        <v>0</v>
      </c>
      <c r="Z1791" s="2">
        <f t="shared" si="810"/>
        <v>21.722950000000001</v>
      </c>
      <c r="AA1791" s="2">
        <f t="shared" si="811"/>
        <v>0</v>
      </c>
      <c r="AB1791" s="2">
        <f t="shared" si="805"/>
        <v>21.722950000000001</v>
      </c>
      <c r="AC1791" s="625">
        <v>21.722950000000001</v>
      </c>
      <c r="AD1791" s="625">
        <v>21.722950000000001</v>
      </c>
      <c r="AE1791" s="625">
        <v>21.722950000000001</v>
      </c>
      <c r="AF1791" s="625">
        <v>21.722950000000001</v>
      </c>
      <c r="AG1791" s="625">
        <v>21.722950000000001</v>
      </c>
      <c r="AH1791" s="625">
        <v>21.722950000000001</v>
      </c>
      <c r="AI1791" s="625">
        <v>21.722950000000001</v>
      </c>
      <c r="AJ1791" s="625">
        <v>21.722950000000001</v>
      </c>
      <c r="AK1791" s="625">
        <v>21.722950000000001</v>
      </c>
      <c r="AL1791" s="625">
        <v>21.722950000000001</v>
      </c>
      <c r="AM1791" s="625">
        <v>21.722950000000001</v>
      </c>
      <c r="AN1791" s="625">
        <v>21.722950000000001</v>
      </c>
      <c r="AO1791" s="625">
        <v>21.722950000000001</v>
      </c>
      <c r="AP1791" s="41" t="str">
        <f t="shared" si="801"/>
        <v>Def TaxR</v>
      </c>
      <c r="AQ1791" s="41" t="str">
        <f t="shared" si="802"/>
        <v>Def TaxRR11Net Plant Reconciliation</v>
      </c>
      <c r="AR1791" s="41" t="str">
        <f t="shared" si="803"/>
        <v>R11Net Plant Reconciliation</v>
      </c>
    </row>
    <row r="1792" spans="1:44" s="41" customFormat="1" ht="12.75" customHeight="1">
      <c r="A1792" s="442" t="s">
        <v>1590</v>
      </c>
      <c r="B1792" s="442" t="str">
        <f t="shared" si="832"/>
        <v>Def Tax190502NY Rate ChangeBT010338</v>
      </c>
      <c r="C1792" s="736">
        <v>190502</v>
      </c>
      <c r="D1792" s="735" t="s">
        <v>2022</v>
      </c>
      <c r="E1792" s="41" t="s">
        <v>2023</v>
      </c>
      <c r="F1792" s="41" t="str">
        <f t="shared" si="812"/>
        <v>ADIT-REG-FEDERAL-GAS</v>
      </c>
      <c r="G1792" s="41" t="s">
        <v>2024</v>
      </c>
      <c r="H1792" s="736" t="s">
        <v>1125</v>
      </c>
      <c r="I1792" s="25"/>
      <c r="J1792" s="25" t="str">
        <f t="shared" si="814"/>
        <v/>
      </c>
      <c r="K1792" s="442" t="str">
        <f t="shared" si="813"/>
        <v/>
      </c>
      <c r="L1792" s="736" t="s">
        <v>2443</v>
      </c>
      <c r="M1792" s="25" t="str">
        <f t="shared" si="795"/>
        <v>R</v>
      </c>
      <c r="N1792" s="25" t="str">
        <f>IF(L1792&lt;&gt;"",VLOOKUP(L1792,Categories!$B$2:$D$41,2,FALSE),IF(F1792&lt;&gt;"","No Cat",""))</f>
        <v>Rate Base</v>
      </c>
      <c r="O1792" s="25" t="str">
        <f>IF($L1792&lt;&gt;"",VLOOKUP($L1792,Categories!$B$2:$D$41,3,FALSE),IF($F1792&lt;&gt;"","No Cat",""))</f>
        <v>Deferred Income Taxes</v>
      </c>
      <c r="P1792" s="736" t="s">
        <v>2483</v>
      </c>
      <c r="Q1792" s="25" t="str">
        <f>VLOOKUP($P1792,Allocators!$B$7:$F$19,5,FALSE)</f>
        <v>Gas</v>
      </c>
      <c r="R1792" s="737">
        <f>VLOOKUP($P1792,Allocators!$B$7:$F$19,2,FALSE)</f>
        <v>0</v>
      </c>
      <c r="S1792" s="737">
        <f>VLOOKUP($P1792,Allocators!$B$7:$F$19,3,FALSE)</f>
        <v>1</v>
      </c>
      <c r="T1792" s="737" t="str">
        <f t="shared" si="831"/>
        <v>0.0%</v>
      </c>
      <c r="U1792" s="2">
        <f t="shared" si="806"/>
        <v>0</v>
      </c>
      <c r="V1792" s="2">
        <f t="shared" si="807"/>
        <v>167.68401</v>
      </c>
      <c r="W1792" s="2">
        <f t="shared" si="808"/>
        <v>0</v>
      </c>
      <c r="X1792" s="2">
        <f t="shared" si="804"/>
        <v>167.68401</v>
      </c>
      <c r="Y1792" s="2">
        <f t="shared" si="809"/>
        <v>0</v>
      </c>
      <c r="Z1792" s="2">
        <f t="shared" si="810"/>
        <v>167.68401</v>
      </c>
      <c r="AA1792" s="2">
        <f t="shared" si="811"/>
        <v>0</v>
      </c>
      <c r="AB1792" s="2">
        <f t="shared" si="805"/>
        <v>167.68401</v>
      </c>
      <c r="AC1792" s="625">
        <v>167.68401</v>
      </c>
      <c r="AD1792" s="625">
        <v>167.68401</v>
      </c>
      <c r="AE1792" s="625">
        <v>167.68401</v>
      </c>
      <c r="AF1792" s="625">
        <v>167.68401</v>
      </c>
      <c r="AG1792" s="625">
        <v>167.68401</v>
      </c>
      <c r="AH1792" s="625">
        <v>167.68401</v>
      </c>
      <c r="AI1792" s="625">
        <v>167.68401</v>
      </c>
      <c r="AJ1792" s="625">
        <v>167.68401</v>
      </c>
      <c r="AK1792" s="625">
        <v>167.68401</v>
      </c>
      <c r="AL1792" s="625">
        <v>167.68401</v>
      </c>
      <c r="AM1792" s="625">
        <v>167.68401</v>
      </c>
      <c r="AN1792" s="625">
        <v>167.68401</v>
      </c>
      <c r="AO1792" s="625">
        <v>167.68401</v>
      </c>
      <c r="AP1792" s="41" t="str">
        <f t="shared" si="801"/>
        <v>Def TaxR</v>
      </c>
      <c r="AQ1792" s="41" t="str">
        <f t="shared" si="802"/>
        <v>Def TaxRR11NYS Tax Rate to 7.1%</v>
      </c>
      <c r="AR1792" s="41" t="str">
        <f t="shared" si="803"/>
        <v>R11NYS Tax Rate to 7.1%</v>
      </c>
    </row>
    <row r="1793" spans="1:44" s="41" customFormat="1" ht="12.75" customHeight="1">
      <c r="A1793" s="25" t="s">
        <v>1590</v>
      </c>
      <c r="B1793" s="25" t="str">
        <f t="shared" si="817"/>
        <v>Def Tax190502190-112</v>
      </c>
      <c r="C1793" s="736">
        <v>190502</v>
      </c>
      <c r="D1793" s="735" t="s">
        <v>1951</v>
      </c>
      <c r="F1793" s="41" t="str">
        <f t="shared" si="812"/>
        <v>ADIT-REG-FEDERAL-GAS</v>
      </c>
      <c r="G1793" s="41" t="s">
        <v>1953</v>
      </c>
      <c r="H1793" s="736" t="s">
        <v>1125</v>
      </c>
      <c r="I1793" s="25"/>
      <c r="J1793" s="25" t="str">
        <f t="shared" si="814"/>
        <v/>
      </c>
      <c r="K1793" s="442" t="str">
        <f t="shared" si="813"/>
        <v/>
      </c>
      <c r="L1793" s="736" t="s">
        <v>2443</v>
      </c>
      <c r="M1793" s="25" t="str">
        <f t="shared" si="795"/>
        <v>R</v>
      </c>
      <c r="N1793" s="25" t="str">
        <f>IF(L1793&lt;&gt;"",VLOOKUP(L1793,Categories!$B$2:$D$41,2,FALSE),IF(F1793&lt;&gt;"","No Cat",""))</f>
        <v>Rate Base</v>
      </c>
      <c r="O1793" s="25" t="str">
        <f>IF($L1793&lt;&gt;"",VLOOKUP($L1793,Categories!$B$2:$D$41,3,FALSE),IF($F1793&lt;&gt;"","No Cat",""))</f>
        <v>Deferred Income Taxes</v>
      </c>
      <c r="P1793" s="736" t="s">
        <v>2483</v>
      </c>
      <c r="Q1793" s="25" t="str">
        <f>VLOOKUP($P1793,Allocators!$B$7:$F$19,5,FALSE)</f>
        <v>Gas</v>
      </c>
      <c r="R1793" s="737">
        <f>VLOOKUP($P1793,Allocators!$B$7:$F$19,2,FALSE)</f>
        <v>0</v>
      </c>
      <c r="S1793" s="737">
        <f>VLOOKUP($P1793,Allocators!$B$7:$F$19,3,FALSE)</f>
        <v>1</v>
      </c>
      <c r="T1793" s="737" t="str">
        <f t="shared" si="831"/>
        <v>0.0%</v>
      </c>
      <c r="U1793" s="2" t="str">
        <f t="shared" si="806"/>
        <v/>
      </c>
      <c r="V1793" s="2" t="str">
        <f t="shared" si="807"/>
        <v/>
      </c>
      <c r="W1793" s="2" t="str">
        <f t="shared" si="808"/>
        <v/>
      </c>
      <c r="X1793" s="2">
        <f t="shared" si="804"/>
        <v>0</v>
      </c>
      <c r="Y1793" s="2" t="str">
        <f t="shared" si="809"/>
        <v/>
      </c>
      <c r="Z1793" s="2" t="str">
        <f t="shared" si="810"/>
        <v/>
      </c>
      <c r="AA1793" s="2" t="str">
        <f t="shared" si="811"/>
        <v/>
      </c>
      <c r="AB1793" s="2">
        <f t="shared" si="805"/>
        <v>0</v>
      </c>
      <c r="AC1793" s="625">
        <v>0</v>
      </c>
      <c r="AD1793" s="625">
        <v>0</v>
      </c>
      <c r="AE1793" s="625">
        <v>0</v>
      </c>
      <c r="AF1793" s="625">
        <v>0</v>
      </c>
      <c r="AG1793" s="625">
        <v>0</v>
      </c>
      <c r="AH1793" s="625">
        <v>0</v>
      </c>
      <c r="AI1793" s="625">
        <v>0</v>
      </c>
      <c r="AJ1793" s="625">
        <v>0</v>
      </c>
      <c r="AK1793" s="625">
        <v>0</v>
      </c>
      <c r="AL1793" s="625">
        <v>0</v>
      </c>
      <c r="AM1793" s="625">
        <v>0</v>
      </c>
      <c r="AN1793" s="625">
        <v>0</v>
      </c>
      <c r="AO1793" s="625">
        <v>0</v>
      </c>
      <c r="AP1793" s="41" t="str">
        <f t="shared" si="801"/>
        <v>Def TaxR</v>
      </c>
      <c r="AQ1793" s="41" t="str">
        <f t="shared" si="802"/>
        <v>Def TaxRR11NYS Tax Rate to 7.1%</v>
      </c>
      <c r="AR1793" s="41" t="str">
        <f t="shared" si="803"/>
        <v>R11NYS Tax Rate to 7.1%</v>
      </c>
    </row>
    <row r="1794" spans="1:44" s="41" customFormat="1" ht="12.75" customHeight="1">
      <c r="A1794" s="25" t="s">
        <v>1590</v>
      </c>
      <c r="B1794" s="25" t="str">
        <f t="shared" si="817"/>
        <v>Def Tax190502PBABDEFAULT</v>
      </c>
      <c r="C1794" s="736">
        <v>190502</v>
      </c>
      <c r="D1794" s="735" t="s">
        <v>1954</v>
      </c>
      <c r="E1794" s="41" t="s">
        <v>1620</v>
      </c>
      <c r="F1794" s="41" t="str">
        <f t="shared" si="812"/>
        <v>ADIT-REG-FEDERAL-GAS</v>
      </c>
      <c r="G1794" s="41" t="s">
        <v>1955</v>
      </c>
      <c r="H1794" s="736" t="s">
        <v>1481</v>
      </c>
      <c r="I1794" s="25"/>
      <c r="J1794" s="25" t="str">
        <f t="shared" si="814"/>
        <v/>
      </c>
      <c r="K1794" s="442" t="str">
        <f t="shared" si="813"/>
        <v/>
      </c>
      <c r="L1794" s="736" t="s">
        <v>2443</v>
      </c>
      <c r="M1794" s="25" t="str">
        <f t="shared" si="795"/>
        <v>R</v>
      </c>
      <c r="N1794" s="25" t="str">
        <f>IF(L1794&lt;&gt;"",VLOOKUP(L1794,Categories!$B$2:$D$41,2,FALSE),IF(F1794&lt;&gt;"","No Cat",""))</f>
        <v>Rate Base</v>
      </c>
      <c r="O1794" s="25" t="str">
        <f>IF($L1794&lt;&gt;"",VLOOKUP($L1794,Categories!$B$2:$D$41,3,FALSE),IF($F1794&lt;&gt;"","No Cat",""))</f>
        <v>Deferred Income Taxes</v>
      </c>
      <c r="P1794" s="736" t="s">
        <v>2483</v>
      </c>
      <c r="Q1794" s="25" t="str">
        <f>VLOOKUP($P1794,Allocators!$B$7:$F$19,5,FALSE)</f>
        <v>Gas</v>
      </c>
      <c r="R1794" s="737">
        <f>VLOOKUP($P1794,Allocators!$B$7:$F$19,2,FALSE)</f>
        <v>0</v>
      </c>
      <c r="S1794" s="737">
        <f>VLOOKUP($P1794,Allocators!$B$7:$F$19,3,FALSE)</f>
        <v>1</v>
      </c>
      <c r="T1794" s="737" t="str">
        <f t="shared" si="831"/>
        <v>0.0%</v>
      </c>
      <c r="U1794" s="2">
        <f t="shared" si="806"/>
        <v>0</v>
      </c>
      <c r="V1794" s="2">
        <f t="shared" si="807"/>
        <v>-113.26504</v>
      </c>
      <c r="W1794" s="2">
        <f t="shared" si="808"/>
        <v>0</v>
      </c>
      <c r="X1794" s="2">
        <f t="shared" si="804"/>
        <v>-113.26504</v>
      </c>
      <c r="Y1794" s="2">
        <f t="shared" si="809"/>
        <v>0</v>
      </c>
      <c r="Z1794" s="2">
        <f t="shared" si="810"/>
        <v>-113.26504</v>
      </c>
      <c r="AA1794" s="2">
        <f t="shared" si="811"/>
        <v>0</v>
      </c>
      <c r="AB1794" s="2">
        <f t="shared" si="805"/>
        <v>-113.26504</v>
      </c>
      <c r="AC1794" s="625">
        <v>-113.26504</v>
      </c>
      <c r="AD1794" s="625">
        <v>-113.26504</v>
      </c>
      <c r="AE1794" s="625">
        <v>-113.26504</v>
      </c>
      <c r="AF1794" s="625">
        <v>-113.26504</v>
      </c>
      <c r="AG1794" s="625">
        <v>-113.26504</v>
      </c>
      <c r="AH1794" s="625">
        <v>-113.26504</v>
      </c>
      <c r="AI1794" s="625">
        <v>-113.26504</v>
      </c>
      <c r="AJ1794" s="625">
        <v>-113.26504</v>
      </c>
      <c r="AK1794" s="625">
        <v>-113.26504</v>
      </c>
      <c r="AL1794" s="625">
        <v>-113.26504</v>
      </c>
      <c r="AM1794" s="625">
        <v>-113.26504</v>
      </c>
      <c r="AN1794" s="625">
        <v>-113.26504</v>
      </c>
      <c r="AO1794" s="625">
        <v>-113.26504</v>
      </c>
      <c r="AP1794" s="41" t="str">
        <f t="shared" si="801"/>
        <v>Def TaxR</v>
      </c>
      <c r="AQ1794" s="41" t="str">
        <f t="shared" si="802"/>
        <v>Def TaxRR11Positive Benefit Adjustment</v>
      </c>
      <c r="AR1794" s="41" t="str">
        <f t="shared" si="803"/>
        <v>R11Positive Benefit Adjustment</v>
      </c>
    </row>
    <row r="1795" spans="1:44" s="41" customFormat="1" ht="12.75" customHeight="1">
      <c r="A1795" s="25" t="s">
        <v>1590</v>
      </c>
      <c r="B1795" s="25" t="str">
        <f t="shared" si="817"/>
        <v>Def Tax190502190-031-JPBT010166</v>
      </c>
      <c r="C1795" s="736">
        <v>190502</v>
      </c>
      <c r="D1795" s="735" t="s">
        <v>1742</v>
      </c>
      <c r="E1795" s="41" t="s">
        <v>1957</v>
      </c>
      <c r="F1795" s="41" t="str">
        <f t="shared" si="812"/>
        <v>ADIT-REG-FEDERAL-GAS</v>
      </c>
      <c r="G1795" s="41" t="s">
        <v>1958</v>
      </c>
      <c r="H1795" s="736" t="s">
        <v>1159</v>
      </c>
      <c r="I1795" s="25"/>
      <c r="J1795" s="25" t="s">
        <v>7</v>
      </c>
      <c r="K1795" s="442" t="str">
        <f t="shared" si="813"/>
        <v/>
      </c>
      <c r="L1795" s="736" t="s">
        <v>2421</v>
      </c>
      <c r="M1795" s="25" t="str">
        <f t="shared" si="795"/>
        <v>N</v>
      </c>
      <c r="N1795" s="25" t="str">
        <f>IF(L1795&lt;&gt;"",VLOOKUP(L1795,Categories!$B$2:$D$41,2,FALSE),IF(F1795&lt;&gt;"","No Cat",""))</f>
        <v>NRBASE</v>
      </c>
      <c r="O1795" s="25" t="str">
        <f>IF($L1795&lt;&gt;"",VLOOKUP($L1795,Categories!$B$2:$D$41,3,FALSE),IF($F1795&lt;&gt;"","No Cat",""))</f>
        <v>Direct Assign Items Not in RB</v>
      </c>
      <c r="P1795" s="736" t="s">
        <v>2468</v>
      </c>
      <c r="Q1795" s="25" t="str">
        <f>VLOOKUP($P1795,Allocators!$B$7:$F$19,5,FALSE)</f>
        <v>Not in Rate Base</v>
      </c>
      <c r="R1795" s="737">
        <f>VLOOKUP($P1795,Allocators!$B$7:$F$19,2,FALSE)</f>
        <v>0</v>
      </c>
      <c r="S1795" s="737">
        <f>VLOOKUP($P1795,Allocators!$B$7:$F$19,3,FALSE)</f>
        <v>0</v>
      </c>
      <c r="T1795" s="737">
        <f t="shared" si="831"/>
        <v>1</v>
      </c>
      <c r="U1795" s="2" t="str">
        <f t="shared" si="806"/>
        <v/>
      </c>
      <c r="V1795" s="2" t="str">
        <f t="shared" si="807"/>
        <v/>
      </c>
      <c r="W1795" s="2" t="str">
        <f t="shared" si="808"/>
        <v/>
      </c>
      <c r="X1795" s="2">
        <f t="shared" si="804"/>
        <v>0</v>
      </c>
      <c r="Y1795" s="2" t="str">
        <f t="shared" si="809"/>
        <v/>
      </c>
      <c r="Z1795" s="2" t="str">
        <f t="shared" si="810"/>
        <v/>
      </c>
      <c r="AA1795" s="2" t="str">
        <f t="shared" si="811"/>
        <v/>
      </c>
      <c r="AB1795" s="2">
        <f t="shared" si="805"/>
        <v>0</v>
      </c>
      <c r="AC1795" s="625">
        <v>0</v>
      </c>
      <c r="AD1795" s="625">
        <v>0</v>
      </c>
      <c r="AE1795" s="625">
        <v>0</v>
      </c>
      <c r="AF1795" s="625">
        <v>0</v>
      </c>
      <c r="AG1795" s="625">
        <v>0</v>
      </c>
      <c r="AH1795" s="625">
        <v>0</v>
      </c>
      <c r="AI1795" s="625">
        <v>0</v>
      </c>
      <c r="AJ1795" s="625">
        <v>0</v>
      </c>
      <c r="AK1795" s="625">
        <v>0</v>
      </c>
      <c r="AL1795" s="625">
        <v>0</v>
      </c>
      <c r="AM1795" s="625">
        <v>0</v>
      </c>
      <c r="AN1795" s="625">
        <v>0</v>
      </c>
      <c r="AO1795" s="625">
        <v>0</v>
      </c>
      <c r="AP1795" s="41" t="str">
        <f t="shared" si="801"/>
        <v>Def TaxN</v>
      </c>
      <c r="AQ1795" s="41" t="str">
        <f t="shared" si="802"/>
        <v>Def TaxNN2Pension True-up</v>
      </c>
      <c r="AR1795" s="41" t="str">
        <f t="shared" si="803"/>
        <v>N2Pension True-upNCR</v>
      </c>
    </row>
    <row r="1796" spans="1:44" s="41" customFormat="1" ht="12.75" customHeight="1">
      <c r="A1796" s="25" t="s">
        <v>1590</v>
      </c>
      <c r="B1796" s="25" t="str">
        <f t="shared" si="817"/>
        <v>Def Tax190502190-031-FAS 158 FBC030561</v>
      </c>
      <c r="C1796" s="736">
        <v>190502</v>
      </c>
      <c r="D1796" s="735" t="s">
        <v>1959</v>
      </c>
      <c r="E1796" s="41" t="s">
        <v>980</v>
      </c>
      <c r="F1796" s="41" t="str">
        <f t="shared" si="812"/>
        <v>ADIT-REG-FEDERAL-GAS</v>
      </c>
      <c r="G1796" s="41" t="s">
        <v>1960</v>
      </c>
      <c r="H1796" s="736" t="s">
        <v>1673</v>
      </c>
      <c r="I1796" s="25"/>
      <c r="J1796" s="25" t="str">
        <f t="shared" si="814"/>
        <v/>
      </c>
      <c r="K1796" s="442" t="str">
        <f t="shared" si="813"/>
        <v/>
      </c>
      <c r="L1796" s="736" t="s">
        <v>2443</v>
      </c>
      <c r="M1796" s="25" t="str">
        <f t="shared" si="795"/>
        <v>R</v>
      </c>
      <c r="N1796" s="25" t="str">
        <f>IF(L1796&lt;&gt;"",VLOOKUP(L1796,Categories!$B$2:$D$41,2,FALSE),IF(F1796&lt;&gt;"","No Cat",""))</f>
        <v>Rate Base</v>
      </c>
      <c r="O1796" s="25" t="str">
        <f>IF($L1796&lt;&gt;"",VLOOKUP($L1796,Categories!$B$2:$D$41,3,FALSE),IF($F1796&lt;&gt;"","No Cat",""))</f>
        <v>Deferred Income Taxes</v>
      </c>
      <c r="P1796" s="736" t="s">
        <v>2483</v>
      </c>
      <c r="Q1796" s="25" t="str">
        <f>VLOOKUP($P1796,Allocators!$B$7:$F$19,5,FALSE)</f>
        <v>Gas</v>
      </c>
      <c r="R1796" s="737">
        <f>VLOOKUP($P1796,Allocators!$B$7:$F$19,2,FALSE)</f>
        <v>0</v>
      </c>
      <c r="S1796" s="737">
        <f>VLOOKUP($P1796,Allocators!$B$7:$F$19,3,FALSE)</f>
        <v>1</v>
      </c>
      <c r="T1796" s="737" t="str">
        <f t="shared" si="831"/>
        <v>0.0%</v>
      </c>
      <c r="U1796" s="2" t="str">
        <f t="shared" si="806"/>
        <v/>
      </c>
      <c r="V1796" s="2" t="str">
        <f t="shared" si="807"/>
        <v/>
      </c>
      <c r="W1796" s="2" t="str">
        <f t="shared" si="808"/>
        <v/>
      </c>
      <c r="X1796" s="2">
        <f t="shared" si="804"/>
        <v>0</v>
      </c>
      <c r="Y1796" s="2" t="str">
        <f t="shared" si="809"/>
        <v/>
      </c>
      <c r="Z1796" s="2" t="str">
        <f t="shared" si="810"/>
        <v/>
      </c>
      <c r="AA1796" s="2" t="str">
        <f t="shared" si="811"/>
        <v/>
      </c>
      <c r="AB1796" s="2">
        <f t="shared" si="805"/>
        <v>0</v>
      </c>
      <c r="AC1796" s="625">
        <v>0</v>
      </c>
      <c r="AD1796" s="625">
        <v>0</v>
      </c>
      <c r="AE1796" s="625">
        <v>0</v>
      </c>
      <c r="AF1796" s="625">
        <v>0</v>
      </c>
      <c r="AG1796" s="625">
        <v>0</v>
      </c>
      <c r="AH1796" s="625">
        <v>0</v>
      </c>
      <c r="AI1796" s="625">
        <v>0</v>
      </c>
      <c r="AJ1796" s="625">
        <v>0</v>
      </c>
      <c r="AK1796" s="625">
        <v>0</v>
      </c>
      <c r="AL1796" s="625">
        <v>0</v>
      </c>
      <c r="AM1796" s="625">
        <v>0</v>
      </c>
      <c r="AN1796" s="625">
        <v>0</v>
      </c>
      <c r="AO1796" s="625">
        <v>0</v>
      </c>
      <c r="AP1796" s="41" t="str">
        <f t="shared" si="801"/>
        <v>Def TaxR</v>
      </c>
      <c r="AQ1796" s="41" t="str">
        <f t="shared" si="802"/>
        <v>Def TaxRR11Pension</v>
      </c>
      <c r="AR1796" s="41" t="str">
        <f t="shared" si="803"/>
        <v>R11Pension</v>
      </c>
    </row>
    <row r="1797" spans="1:44" s="41" customFormat="1" ht="12.75" customHeight="1">
      <c r="A1797" s="25" t="s">
        <v>1590</v>
      </c>
      <c r="B1797" s="25" t="str">
        <f t="shared" si="817"/>
        <v>Def Tax190502190-031BT010167</v>
      </c>
      <c r="C1797" s="736">
        <v>190502</v>
      </c>
      <c r="D1797" s="735" t="s">
        <v>1670</v>
      </c>
      <c r="E1797" s="41" t="s">
        <v>1671</v>
      </c>
      <c r="F1797" s="41" t="str">
        <f t="shared" si="812"/>
        <v>ADIT-REG-FEDERAL-GAS</v>
      </c>
      <c r="G1797" s="41" t="s">
        <v>1875</v>
      </c>
      <c r="H1797" s="736" t="s">
        <v>1673</v>
      </c>
      <c r="I1797" s="25"/>
      <c r="J1797" s="25" t="str">
        <f t="shared" si="814"/>
        <v/>
      </c>
      <c r="K1797" s="442" t="str">
        <f t="shared" si="813"/>
        <v/>
      </c>
      <c r="L1797" s="736" t="s">
        <v>2443</v>
      </c>
      <c r="M1797" s="25" t="str">
        <f t="shared" si="795"/>
        <v>R</v>
      </c>
      <c r="N1797" s="25" t="str">
        <f>IF(L1797&lt;&gt;"",VLOOKUP(L1797,Categories!$B$2:$D$41,2,FALSE),IF(F1797&lt;&gt;"","No Cat",""))</f>
        <v>Rate Base</v>
      </c>
      <c r="O1797" s="25" t="str">
        <f>IF($L1797&lt;&gt;"",VLOOKUP($L1797,Categories!$B$2:$D$41,3,FALSE),IF($F1797&lt;&gt;"","No Cat",""))</f>
        <v>Deferred Income Taxes</v>
      </c>
      <c r="P1797" s="736" t="s">
        <v>2483</v>
      </c>
      <c r="Q1797" s="25" t="str">
        <f>VLOOKUP($P1797,Allocators!$B$7:$F$19,5,FALSE)</f>
        <v>Gas</v>
      </c>
      <c r="R1797" s="737">
        <f>VLOOKUP($P1797,Allocators!$B$7:$F$19,2,FALSE)</f>
        <v>0</v>
      </c>
      <c r="S1797" s="737">
        <f>VLOOKUP($P1797,Allocators!$B$7:$F$19,3,FALSE)</f>
        <v>1</v>
      </c>
      <c r="T1797" s="737" t="str">
        <f t="shared" si="831"/>
        <v>0.0%</v>
      </c>
      <c r="U1797" s="2" t="str">
        <f t="shared" si="806"/>
        <v/>
      </c>
      <c r="V1797" s="2" t="str">
        <f t="shared" si="807"/>
        <v/>
      </c>
      <c r="W1797" s="2" t="str">
        <f t="shared" si="808"/>
        <v/>
      </c>
      <c r="X1797" s="2">
        <f t="shared" si="804"/>
        <v>0</v>
      </c>
      <c r="Y1797" s="2" t="str">
        <f t="shared" si="809"/>
        <v/>
      </c>
      <c r="Z1797" s="2" t="str">
        <f t="shared" si="810"/>
        <v/>
      </c>
      <c r="AA1797" s="2" t="str">
        <f t="shared" si="811"/>
        <v/>
      </c>
      <c r="AB1797" s="2">
        <f t="shared" si="805"/>
        <v>0</v>
      </c>
      <c r="AC1797" s="625">
        <v>0</v>
      </c>
      <c r="AD1797" s="625">
        <v>0</v>
      </c>
      <c r="AE1797" s="625">
        <v>0</v>
      </c>
      <c r="AF1797" s="625">
        <v>0</v>
      </c>
      <c r="AG1797" s="625">
        <v>0</v>
      </c>
      <c r="AH1797" s="625">
        <v>0</v>
      </c>
      <c r="AI1797" s="625">
        <v>0</v>
      </c>
      <c r="AJ1797" s="625">
        <v>0</v>
      </c>
      <c r="AK1797" s="625">
        <v>0</v>
      </c>
      <c r="AL1797" s="625">
        <v>0</v>
      </c>
      <c r="AM1797" s="625">
        <v>0</v>
      </c>
      <c r="AN1797" s="625">
        <v>0</v>
      </c>
      <c r="AO1797" s="625">
        <v>0</v>
      </c>
      <c r="AP1797" s="41" t="str">
        <f t="shared" si="801"/>
        <v>Def TaxR</v>
      </c>
      <c r="AQ1797" s="41" t="str">
        <f t="shared" si="802"/>
        <v>Def TaxRR11Pension</v>
      </c>
      <c r="AR1797" s="41" t="str">
        <f t="shared" si="803"/>
        <v>R11Pension</v>
      </c>
    </row>
    <row r="1798" spans="1:44" s="41" customFormat="1" ht="12.75" customHeight="1">
      <c r="A1798" s="25" t="s">
        <v>1590</v>
      </c>
      <c r="B1798" s="25" t="str">
        <f t="shared" si="817"/>
        <v>Def Tax190502190-031-SBT010167</v>
      </c>
      <c r="C1798" s="736">
        <v>190502</v>
      </c>
      <c r="D1798" s="735" t="s">
        <v>1741</v>
      </c>
      <c r="E1798" s="41" t="s">
        <v>1671</v>
      </c>
      <c r="F1798" s="41" t="str">
        <f t="shared" si="812"/>
        <v>ADIT-REG-FEDERAL-GAS</v>
      </c>
      <c r="G1798" s="41" t="s">
        <v>1876</v>
      </c>
      <c r="H1798" s="736" t="s">
        <v>1673</v>
      </c>
      <c r="I1798" s="25"/>
      <c r="J1798" s="25" t="str">
        <f t="shared" si="814"/>
        <v/>
      </c>
      <c r="K1798" s="442" t="str">
        <f t="shared" si="813"/>
        <v/>
      </c>
      <c r="L1798" s="736" t="s">
        <v>2443</v>
      </c>
      <c r="M1798" s="25" t="str">
        <f t="shared" si="795"/>
        <v>R</v>
      </c>
      <c r="N1798" s="25" t="str">
        <f>IF(L1798&lt;&gt;"",VLOOKUP(L1798,Categories!$B$2:$D$41,2,FALSE),IF(F1798&lt;&gt;"","No Cat",""))</f>
        <v>Rate Base</v>
      </c>
      <c r="O1798" s="25" t="str">
        <f>IF($L1798&lt;&gt;"",VLOOKUP($L1798,Categories!$B$2:$D$41,3,FALSE),IF($F1798&lt;&gt;"","No Cat",""))</f>
        <v>Deferred Income Taxes</v>
      </c>
      <c r="P1798" s="736" t="s">
        <v>2483</v>
      </c>
      <c r="Q1798" s="25" t="str">
        <f>VLOOKUP($P1798,Allocators!$B$7:$F$19,5,FALSE)</f>
        <v>Gas</v>
      </c>
      <c r="R1798" s="737">
        <f>VLOOKUP($P1798,Allocators!$B$7:$F$19,2,FALSE)</f>
        <v>0</v>
      </c>
      <c r="S1798" s="737">
        <f>VLOOKUP($P1798,Allocators!$B$7:$F$19,3,FALSE)</f>
        <v>1</v>
      </c>
      <c r="T1798" s="737" t="str">
        <f t="shared" si="831"/>
        <v>0.0%</v>
      </c>
      <c r="U1798" s="2" t="str">
        <f t="shared" si="806"/>
        <v/>
      </c>
      <c r="V1798" s="2" t="str">
        <f t="shared" si="807"/>
        <v/>
      </c>
      <c r="W1798" s="2" t="str">
        <f t="shared" si="808"/>
        <v/>
      </c>
      <c r="X1798" s="2">
        <f t="shared" si="804"/>
        <v>0</v>
      </c>
      <c r="Y1798" s="2" t="str">
        <f t="shared" si="809"/>
        <v/>
      </c>
      <c r="Z1798" s="2" t="str">
        <f t="shared" si="810"/>
        <v/>
      </c>
      <c r="AA1798" s="2" t="str">
        <f t="shared" si="811"/>
        <v/>
      </c>
      <c r="AB1798" s="2">
        <f t="shared" si="805"/>
        <v>0</v>
      </c>
      <c r="AC1798" s="625">
        <v>0</v>
      </c>
      <c r="AD1798" s="625">
        <v>0</v>
      </c>
      <c r="AE1798" s="625">
        <v>0</v>
      </c>
      <c r="AF1798" s="625">
        <v>0</v>
      </c>
      <c r="AG1798" s="625">
        <v>0</v>
      </c>
      <c r="AH1798" s="625">
        <v>0</v>
      </c>
      <c r="AI1798" s="625">
        <v>0</v>
      </c>
      <c r="AJ1798" s="625">
        <v>0</v>
      </c>
      <c r="AK1798" s="625">
        <v>0</v>
      </c>
      <c r="AL1798" s="625">
        <v>0</v>
      </c>
      <c r="AM1798" s="625">
        <v>0</v>
      </c>
      <c r="AN1798" s="625">
        <v>0</v>
      </c>
      <c r="AO1798" s="625">
        <v>0</v>
      </c>
      <c r="AP1798" s="41" t="str">
        <f t="shared" si="801"/>
        <v>Def TaxR</v>
      </c>
      <c r="AQ1798" s="41" t="str">
        <f t="shared" si="802"/>
        <v>Def TaxRR11Pension</v>
      </c>
      <c r="AR1798" s="41" t="str">
        <f t="shared" si="803"/>
        <v>R11Pension</v>
      </c>
    </row>
    <row r="1799" spans="1:44" s="41" customFormat="1" ht="12.75" customHeight="1">
      <c r="A1799" s="25" t="s">
        <v>1590</v>
      </c>
      <c r="B1799" s="25" t="str">
        <f t="shared" si="817"/>
        <v>Def Tax190502190-015-JPBT010091</v>
      </c>
      <c r="C1799" s="736">
        <v>190502</v>
      </c>
      <c r="D1799" s="735" t="s">
        <v>1730</v>
      </c>
      <c r="E1799" s="41" t="s">
        <v>1859</v>
      </c>
      <c r="F1799" s="41" t="str">
        <f t="shared" si="812"/>
        <v>ADIT-REG-FEDERAL-GAS</v>
      </c>
      <c r="G1799" s="41" t="s">
        <v>1963</v>
      </c>
      <c r="H1799" s="736" t="s">
        <v>927</v>
      </c>
      <c r="I1799" s="25"/>
      <c r="J1799" s="25" t="str">
        <f t="shared" si="814"/>
        <v/>
      </c>
      <c r="K1799" s="442" t="str">
        <f t="shared" si="813"/>
        <v/>
      </c>
      <c r="L1799" s="736" t="s">
        <v>2443</v>
      </c>
      <c r="M1799" s="25" t="str">
        <f t="shared" si="795"/>
        <v>R</v>
      </c>
      <c r="N1799" s="25" t="str">
        <f>IF(L1799&lt;&gt;"",VLOOKUP(L1799,Categories!$B$2:$D$41,2,FALSE),IF(F1799&lt;&gt;"","No Cat",""))</f>
        <v>Rate Base</v>
      </c>
      <c r="O1799" s="25" t="str">
        <f>IF($L1799&lt;&gt;"",VLOOKUP($L1799,Categories!$B$2:$D$41,3,FALSE),IF($F1799&lt;&gt;"","No Cat",""))</f>
        <v>Deferred Income Taxes</v>
      </c>
      <c r="P1799" s="736" t="s">
        <v>2483</v>
      </c>
      <c r="Q1799" s="25" t="str">
        <f>VLOOKUP($P1799,Allocators!$B$7:$F$19,5,FALSE)</f>
        <v>Gas</v>
      </c>
      <c r="R1799" s="737">
        <f>VLOOKUP($P1799,Allocators!$B$7:$F$19,2,FALSE)</f>
        <v>0</v>
      </c>
      <c r="S1799" s="737">
        <f>VLOOKUP($P1799,Allocators!$B$7:$F$19,3,FALSE)</f>
        <v>1</v>
      </c>
      <c r="T1799" s="737" t="str">
        <f t="shared" si="831"/>
        <v>0.0%</v>
      </c>
      <c r="U1799" s="2" t="str">
        <f t="shared" si="806"/>
        <v/>
      </c>
      <c r="V1799" s="2" t="str">
        <f t="shared" si="807"/>
        <v/>
      </c>
      <c r="W1799" s="2" t="str">
        <f t="shared" si="808"/>
        <v/>
      </c>
      <c r="X1799" s="2">
        <f t="shared" si="804"/>
        <v>0</v>
      </c>
      <c r="Y1799" s="2" t="str">
        <f t="shared" si="809"/>
        <v/>
      </c>
      <c r="Z1799" s="2" t="str">
        <f t="shared" si="810"/>
        <v/>
      </c>
      <c r="AA1799" s="2" t="str">
        <f t="shared" si="811"/>
        <v/>
      </c>
      <c r="AB1799" s="2">
        <f t="shared" si="805"/>
        <v>0</v>
      </c>
      <c r="AC1799" s="625">
        <v>0</v>
      </c>
      <c r="AD1799" s="625">
        <v>0</v>
      </c>
      <c r="AE1799" s="625">
        <v>0</v>
      </c>
      <c r="AF1799" s="625">
        <v>0</v>
      </c>
      <c r="AG1799" s="625">
        <v>0</v>
      </c>
      <c r="AH1799" s="625">
        <v>0</v>
      </c>
      <c r="AI1799" s="625">
        <v>0</v>
      </c>
      <c r="AJ1799" s="625">
        <v>0</v>
      </c>
      <c r="AK1799" s="625">
        <v>0</v>
      </c>
      <c r="AL1799" s="625">
        <v>0</v>
      </c>
      <c r="AM1799" s="625">
        <v>0</v>
      </c>
      <c r="AN1799" s="625">
        <v>0</v>
      </c>
      <c r="AO1799" s="625">
        <v>0</v>
      </c>
      <c r="AP1799" s="41" t="str">
        <f t="shared" si="801"/>
        <v>Def TaxR</v>
      </c>
      <c r="AQ1799" s="41" t="str">
        <f t="shared" si="802"/>
        <v>Def TaxRR11OPEB</v>
      </c>
      <c r="AR1799" s="41" t="str">
        <f t="shared" si="803"/>
        <v>R11OPEB</v>
      </c>
    </row>
    <row r="1800" spans="1:44" s="41" customFormat="1" ht="12.75" customHeight="1">
      <c r="A1800" s="25" t="s">
        <v>1590</v>
      </c>
      <c r="B1800" s="25" t="str">
        <f t="shared" si="817"/>
        <v>Def Tax190502Pre-cap InstallBG030182</v>
      </c>
      <c r="C1800" s="736">
        <v>190502</v>
      </c>
      <c r="D1800" s="735" t="s">
        <v>1964</v>
      </c>
      <c r="E1800" s="41" t="s">
        <v>1290</v>
      </c>
      <c r="F1800" s="41" t="str">
        <f t="shared" si="812"/>
        <v>ADIT-REG-FEDERAL-GAS</v>
      </c>
      <c r="G1800" s="41" t="s">
        <v>1965</v>
      </c>
      <c r="H1800" s="736" t="s">
        <v>1199</v>
      </c>
      <c r="I1800" s="25"/>
      <c r="J1800" s="25" t="str">
        <f t="shared" si="814"/>
        <v/>
      </c>
      <c r="K1800" s="442" t="str">
        <f t="shared" si="813"/>
        <v/>
      </c>
      <c r="L1800" s="736" t="s">
        <v>2443</v>
      </c>
      <c r="M1800" s="25" t="str">
        <f t="shared" si="795"/>
        <v>R</v>
      </c>
      <c r="N1800" s="25" t="str">
        <f>IF(L1800&lt;&gt;"",VLOOKUP(L1800,Categories!$B$2:$D$41,2,FALSE),IF(F1800&lt;&gt;"","No Cat",""))</f>
        <v>Rate Base</v>
      </c>
      <c r="O1800" s="25" t="str">
        <f>IF($L1800&lt;&gt;"",VLOOKUP($L1800,Categories!$B$2:$D$41,3,FALSE),IF($F1800&lt;&gt;"","No Cat",""))</f>
        <v>Deferred Income Taxes</v>
      </c>
      <c r="P1800" s="736" t="s">
        <v>2483</v>
      </c>
      <c r="Q1800" s="25" t="str">
        <f>VLOOKUP($P1800,Allocators!$B$7:$F$19,5,FALSE)</f>
        <v>Gas</v>
      </c>
      <c r="R1800" s="737">
        <f>VLOOKUP($P1800,Allocators!$B$7:$F$19,2,FALSE)</f>
        <v>0</v>
      </c>
      <c r="S1800" s="737">
        <f>VLOOKUP($P1800,Allocators!$B$7:$F$19,3,FALSE)</f>
        <v>1</v>
      </c>
      <c r="T1800" s="737" t="str">
        <f t="shared" si="831"/>
        <v>0.0%</v>
      </c>
      <c r="U1800" s="2">
        <f t="shared" si="806"/>
        <v>0</v>
      </c>
      <c r="V1800" s="2">
        <f t="shared" si="807"/>
        <v>-3.875E-5</v>
      </c>
      <c r="W1800" s="2">
        <f t="shared" si="808"/>
        <v>0</v>
      </c>
      <c r="X1800" s="2">
        <f t="shared" si="804"/>
        <v>-3.875E-5</v>
      </c>
      <c r="Y1800" s="2">
        <f t="shared" si="809"/>
        <v>0</v>
      </c>
      <c r="Z1800" s="2">
        <f t="shared" si="810"/>
        <v>-4.0000000000000003E-5</v>
      </c>
      <c r="AA1800" s="2">
        <f t="shared" si="811"/>
        <v>0</v>
      </c>
      <c r="AB1800" s="2">
        <f t="shared" si="805"/>
        <v>-4.0000000000000003E-5</v>
      </c>
      <c r="AC1800" s="625">
        <v>-1.0000000000000001E-5</v>
      </c>
      <c r="AD1800" s="625">
        <v>-4.0000000000000003E-5</v>
      </c>
      <c r="AE1800" s="625">
        <v>-4.0000000000000003E-5</v>
      </c>
      <c r="AF1800" s="625">
        <v>-4.0000000000000003E-5</v>
      </c>
      <c r="AG1800" s="625">
        <v>-4.0000000000000003E-5</v>
      </c>
      <c r="AH1800" s="625">
        <v>-4.0000000000000003E-5</v>
      </c>
      <c r="AI1800" s="625">
        <v>-4.0000000000000003E-5</v>
      </c>
      <c r="AJ1800" s="625">
        <v>-4.0000000000000003E-5</v>
      </c>
      <c r="AK1800" s="625">
        <v>-4.0000000000000003E-5</v>
      </c>
      <c r="AL1800" s="625">
        <v>-4.0000000000000003E-5</v>
      </c>
      <c r="AM1800" s="625">
        <v>-4.0000000000000003E-5</v>
      </c>
      <c r="AN1800" s="625">
        <v>-4.0000000000000003E-5</v>
      </c>
      <c r="AO1800" s="625">
        <v>-4.0000000000000003E-5</v>
      </c>
      <c r="AP1800" s="41" t="str">
        <f t="shared" ref="AP1800:AP1863" si="835">CONCATENATE(A1800,M1800)</f>
        <v>Def TaxR</v>
      </c>
      <c r="AQ1800" s="41" t="str">
        <f t="shared" ref="AQ1800:AQ1863" si="836">CONCATENATE(AP1800,L1800,H1800)</f>
        <v>Def TaxRR11Pre-Capitalized Installation Costs</v>
      </c>
      <c r="AR1800" s="41" t="str">
        <f t="shared" ref="AR1800:AR1863" si="837">CONCATENATE(L1800,H1800,J1800)</f>
        <v>R11Pre-Capitalized Installation Costs</v>
      </c>
    </row>
    <row r="1801" spans="1:44" s="41" customFormat="1" ht="12.75" customHeight="1">
      <c r="A1801" s="25" t="s">
        <v>1590</v>
      </c>
      <c r="B1801" s="25" t="str">
        <f t="shared" si="817"/>
        <v>Def Tax190502190-094-JPBT010054/
BT010087/
BT010246</v>
      </c>
      <c r="C1801" s="736">
        <v>190502</v>
      </c>
      <c r="D1801" s="735" t="s">
        <v>1753</v>
      </c>
      <c r="E1801" s="41" t="s">
        <v>2025</v>
      </c>
      <c r="F1801" s="41" t="str">
        <f t="shared" si="812"/>
        <v>ADIT-REG-FEDERAL-GAS</v>
      </c>
      <c r="G1801" s="41" t="s">
        <v>1754</v>
      </c>
      <c r="H1801" s="736" t="s">
        <v>1755</v>
      </c>
      <c r="I1801" s="25"/>
      <c r="J1801" s="25" t="str">
        <f t="shared" si="814"/>
        <v/>
      </c>
      <c r="K1801" s="442" t="str">
        <f t="shared" si="813"/>
        <v/>
      </c>
      <c r="L1801" s="736" t="s">
        <v>2443</v>
      </c>
      <c r="M1801" s="25" t="str">
        <f t="shared" ref="M1801:M1878" si="838">LEFT(L1801,1)</f>
        <v>R</v>
      </c>
      <c r="N1801" s="25" t="str">
        <f>IF(L1801&lt;&gt;"",VLOOKUP(L1801,Categories!$B$2:$D$41,2,FALSE),IF(F1801&lt;&gt;"","No Cat",""))</f>
        <v>Rate Base</v>
      </c>
      <c r="O1801" s="25" t="str">
        <f>IF($L1801&lt;&gt;"",VLOOKUP($L1801,Categories!$B$2:$D$41,3,FALSE),IF($F1801&lt;&gt;"","No Cat",""))</f>
        <v>Deferred Income Taxes</v>
      </c>
      <c r="P1801" s="736" t="s">
        <v>2483</v>
      </c>
      <c r="Q1801" s="25" t="str">
        <f>VLOOKUP($P1801,Allocators!$B$7:$F$19,5,FALSE)</f>
        <v>Gas</v>
      </c>
      <c r="R1801" s="737">
        <f>VLOOKUP($P1801,Allocators!$B$7:$F$19,2,FALSE)</f>
        <v>0</v>
      </c>
      <c r="S1801" s="737">
        <f>VLOOKUP($P1801,Allocators!$B$7:$F$19,3,FALSE)</f>
        <v>1</v>
      </c>
      <c r="T1801" s="737" t="str">
        <f t="shared" si="831"/>
        <v>0.0%</v>
      </c>
      <c r="U1801" s="2" t="str">
        <f t="shared" si="806"/>
        <v/>
      </c>
      <c r="V1801" s="2" t="str">
        <f t="shared" si="807"/>
        <v/>
      </c>
      <c r="W1801" s="2" t="str">
        <f t="shared" si="808"/>
        <v/>
      </c>
      <c r="X1801" s="2">
        <f t="shared" si="804"/>
        <v>0</v>
      </c>
      <c r="Y1801" s="2" t="str">
        <f t="shared" si="809"/>
        <v/>
      </c>
      <c r="Z1801" s="2" t="str">
        <f t="shared" si="810"/>
        <v/>
      </c>
      <c r="AA1801" s="2" t="str">
        <f t="shared" si="811"/>
        <v/>
      </c>
      <c r="AB1801" s="2">
        <f t="shared" si="805"/>
        <v>0</v>
      </c>
      <c r="AC1801" s="625">
        <v>0</v>
      </c>
      <c r="AD1801" s="625">
        <v>0</v>
      </c>
      <c r="AE1801" s="625">
        <v>0</v>
      </c>
      <c r="AF1801" s="625">
        <v>0</v>
      </c>
      <c r="AG1801" s="625">
        <v>0</v>
      </c>
      <c r="AH1801" s="625">
        <v>0</v>
      </c>
      <c r="AI1801" s="625">
        <v>0</v>
      </c>
      <c r="AJ1801" s="625">
        <v>0</v>
      </c>
      <c r="AK1801" s="625">
        <v>0</v>
      </c>
      <c r="AL1801" s="625">
        <v>0</v>
      </c>
      <c r="AM1801" s="625">
        <v>0</v>
      </c>
      <c r="AN1801" s="625">
        <v>0</v>
      </c>
      <c r="AO1801" s="625">
        <v>0</v>
      </c>
      <c r="AP1801" s="41" t="str">
        <f t="shared" si="835"/>
        <v>Def TaxR</v>
      </c>
      <c r="AQ1801" s="41" t="str">
        <f t="shared" si="836"/>
        <v>Def TaxRR11Prepaid Property Tax</v>
      </c>
      <c r="AR1801" s="41" t="str">
        <f t="shared" si="837"/>
        <v>R11Prepaid Property Tax</v>
      </c>
    </row>
    <row r="1802" spans="1:44" s="41" customFormat="1" ht="12.75" customHeight="1">
      <c r="A1802" s="25" t="s">
        <v>1590</v>
      </c>
      <c r="B1802" s="25" t="str">
        <f t="shared" si="817"/>
        <v>Def Tax190502190-110BT010268</v>
      </c>
      <c r="C1802" s="736">
        <v>190502</v>
      </c>
      <c r="D1802" s="735" t="s">
        <v>1966</v>
      </c>
      <c r="E1802" s="41" t="s">
        <v>1967</v>
      </c>
      <c r="F1802" s="41" t="str">
        <f t="shared" si="812"/>
        <v>ADIT-REG-FEDERAL-GAS</v>
      </c>
      <c r="G1802" s="41" t="s">
        <v>1968</v>
      </c>
      <c r="H1802" s="736" t="s">
        <v>1113</v>
      </c>
      <c r="I1802" s="25"/>
      <c r="J1802" s="25" t="str">
        <f t="shared" si="814"/>
        <v>Y</v>
      </c>
      <c r="K1802" s="442" t="str">
        <f t="shared" si="813"/>
        <v/>
      </c>
      <c r="L1802" s="736" t="s">
        <v>2436</v>
      </c>
      <c r="M1802" s="25" t="str">
        <f t="shared" si="838"/>
        <v>N</v>
      </c>
      <c r="N1802" s="25" t="str">
        <f>IF(L1802&lt;&gt;"",VLOOKUP(L1802,Categories!$B$2:$D$41,2,FALSE),IF(F1802&lt;&gt;"","No Cat",""))</f>
        <v>NRBASE</v>
      </c>
      <c r="O1802" s="25" t="str">
        <f>IF($L1802&lt;&gt;"",VLOOKUP($L1802,Categories!$B$2:$D$41,3,FALSE),IF($F1802&lt;&gt;"","No Cat",""))</f>
        <v>Deferrals Accruing Non-Cash Return   (other than ASGA)</v>
      </c>
      <c r="P1802" s="736" t="s">
        <v>2468</v>
      </c>
      <c r="Q1802" s="25" t="str">
        <f>VLOOKUP($P1802,Allocators!$B$7:$F$19,5,FALSE)</f>
        <v>Not in Rate Base</v>
      </c>
      <c r="R1802" s="737">
        <f>VLOOKUP($P1802,Allocators!$B$7:$F$19,2,FALSE)</f>
        <v>0</v>
      </c>
      <c r="S1802" s="737">
        <f>VLOOKUP($P1802,Allocators!$B$7:$F$19,3,FALSE)</f>
        <v>0</v>
      </c>
      <c r="T1802" s="737">
        <f t="shared" si="831"/>
        <v>1</v>
      </c>
      <c r="U1802" s="2">
        <f t="shared" si="806"/>
        <v>0</v>
      </c>
      <c r="V1802" s="2">
        <f t="shared" si="807"/>
        <v>0</v>
      </c>
      <c r="W1802" s="2">
        <f t="shared" si="808"/>
        <v>3086.6482283333298</v>
      </c>
      <c r="X1802" s="2">
        <f t="shared" si="804"/>
        <v>3086.6482283333298</v>
      </c>
      <c r="Y1802" s="2">
        <f t="shared" si="809"/>
        <v>0</v>
      </c>
      <c r="Z1802" s="2">
        <f t="shared" si="810"/>
        <v>0</v>
      </c>
      <c r="AA1802" s="2">
        <f t="shared" si="811"/>
        <v>3201.4823799999999</v>
      </c>
      <c r="AB1802" s="2">
        <f t="shared" si="805"/>
        <v>3201.4823799999999</v>
      </c>
      <c r="AC1802" s="625">
        <v>5047.2562800000005</v>
      </c>
      <c r="AD1802" s="625">
        <v>5276.8254200000001</v>
      </c>
      <c r="AE1802" s="625">
        <v>5507.2563499999997</v>
      </c>
      <c r="AF1802" s="625">
        <v>5535.9034800000009</v>
      </c>
      <c r="AG1802" s="625">
        <v>49.214800000000004</v>
      </c>
      <c r="AH1802" s="625">
        <v>1724.5435500000001</v>
      </c>
      <c r="AI1802" s="625">
        <v>1954.5795900000001</v>
      </c>
      <c r="AJ1802" s="625">
        <v>2170.5562999999997</v>
      </c>
      <c r="AK1802" s="625">
        <v>2386.98108</v>
      </c>
      <c r="AL1802" s="625">
        <v>2574.6904199999999</v>
      </c>
      <c r="AM1802" s="625">
        <v>2781.5687200000002</v>
      </c>
      <c r="AN1802" s="625">
        <v>2953.2897000000003</v>
      </c>
      <c r="AO1802" s="625">
        <v>3201.4823799999999</v>
      </c>
      <c r="AP1802" s="41" t="str">
        <f t="shared" si="835"/>
        <v>Def TaxN</v>
      </c>
      <c r="AQ1802" s="41" t="str">
        <f t="shared" si="836"/>
        <v>Def TaxNN10Property Tax Deferral</v>
      </c>
      <c r="AR1802" s="41" t="str">
        <f t="shared" si="837"/>
        <v>N10Property Tax DeferralY</v>
      </c>
    </row>
    <row r="1803" spans="1:44" s="41" customFormat="1" ht="12.75" customHeight="1">
      <c r="A1803" s="25" t="s">
        <v>1590</v>
      </c>
      <c r="B1803" s="25" t="str">
        <f t="shared" si="817"/>
        <v>Def Tax190502PORBT010176</v>
      </c>
      <c r="C1803" s="736">
        <v>190502</v>
      </c>
      <c r="D1803" s="735" t="s">
        <v>1976</v>
      </c>
      <c r="E1803" s="41" t="s">
        <v>1977</v>
      </c>
      <c r="F1803" s="41" t="str">
        <f t="shared" si="812"/>
        <v>ADIT-REG-FEDERAL-GAS</v>
      </c>
      <c r="G1803" s="41" t="s">
        <v>1245</v>
      </c>
      <c r="H1803" s="736" t="s">
        <v>1245</v>
      </c>
      <c r="I1803" s="25"/>
      <c r="J1803" s="25" t="str">
        <f t="shared" si="814"/>
        <v/>
      </c>
      <c r="K1803" s="442" t="str">
        <f t="shared" si="813"/>
        <v/>
      </c>
      <c r="L1803" s="736" t="s">
        <v>2443</v>
      </c>
      <c r="M1803" s="25" t="str">
        <f t="shared" si="838"/>
        <v>R</v>
      </c>
      <c r="N1803" s="25" t="str">
        <f>IF(L1803&lt;&gt;"",VLOOKUP(L1803,Categories!$B$2:$D$41,2,FALSE),IF(F1803&lt;&gt;"","No Cat",""))</f>
        <v>Rate Base</v>
      </c>
      <c r="O1803" s="25" t="str">
        <f>IF($L1803&lt;&gt;"",VLOOKUP($L1803,Categories!$B$2:$D$41,3,FALSE),IF($F1803&lt;&gt;"","No Cat",""))</f>
        <v>Deferred Income Taxes</v>
      </c>
      <c r="P1803" s="736" t="s">
        <v>2483</v>
      </c>
      <c r="Q1803" s="25" t="str">
        <f>VLOOKUP($P1803,Allocators!$B$7:$F$19,5,FALSE)</f>
        <v>Gas</v>
      </c>
      <c r="R1803" s="737">
        <f>VLOOKUP($P1803,Allocators!$B$7:$F$19,2,FALSE)</f>
        <v>0</v>
      </c>
      <c r="S1803" s="737">
        <f>VLOOKUP($P1803,Allocators!$B$7:$F$19,3,FALSE)</f>
        <v>1</v>
      </c>
      <c r="T1803" s="737" t="str">
        <f t="shared" si="831"/>
        <v>0.0%</v>
      </c>
      <c r="U1803" s="2">
        <f t="shared" si="806"/>
        <v>0</v>
      </c>
      <c r="V1803" s="2">
        <f t="shared" si="807"/>
        <v>-1129.61484</v>
      </c>
      <c r="W1803" s="2">
        <f t="shared" si="808"/>
        <v>0</v>
      </c>
      <c r="X1803" s="2">
        <f t="shared" si="804"/>
        <v>-1129.61484</v>
      </c>
      <c r="Y1803" s="2">
        <f t="shared" si="809"/>
        <v>0</v>
      </c>
      <c r="Z1803" s="2">
        <f t="shared" si="810"/>
        <v>-989.80686000000003</v>
      </c>
      <c r="AA1803" s="2">
        <f t="shared" si="811"/>
        <v>0</v>
      </c>
      <c r="AB1803" s="2">
        <f t="shared" si="805"/>
        <v>-989.80686000000003</v>
      </c>
      <c r="AC1803" s="625">
        <v>-989.80686000000003</v>
      </c>
      <c r="AD1803" s="625">
        <v>-1384.06104</v>
      </c>
      <c r="AE1803" s="625">
        <v>-989.80686000000003</v>
      </c>
      <c r="AF1803" s="625">
        <v>-989.80686000000003</v>
      </c>
      <c r="AG1803" s="625">
        <v>-989.80686000000003</v>
      </c>
      <c r="AH1803" s="625">
        <v>-1273.28856</v>
      </c>
      <c r="AI1803" s="625">
        <v>-1285.49944</v>
      </c>
      <c r="AJ1803" s="625">
        <v>-1301.4450300000001</v>
      </c>
      <c r="AK1803" s="625">
        <v>-989.80686000000003</v>
      </c>
      <c r="AL1803" s="625">
        <v>-989.80686000000003</v>
      </c>
      <c r="AM1803" s="625">
        <v>-1363.88006</v>
      </c>
      <c r="AN1803" s="625">
        <v>-1008.36279</v>
      </c>
      <c r="AO1803" s="625">
        <v>-989.80686000000003</v>
      </c>
      <c r="AP1803" s="41" t="str">
        <f t="shared" si="835"/>
        <v>Def TaxR</v>
      </c>
      <c r="AQ1803" s="41" t="str">
        <f t="shared" si="836"/>
        <v>Def TaxRR11Purchase of Receivables</v>
      </c>
      <c r="AR1803" s="41" t="str">
        <f t="shared" si="837"/>
        <v>R11Purchase of Receivables</v>
      </c>
    </row>
    <row r="1804" spans="1:44" s="41" customFormat="1" ht="12.75" customHeight="1">
      <c r="A1804" s="25" t="s">
        <v>1590</v>
      </c>
      <c r="B1804" s="25" t="str">
        <f t="shared" si="817"/>
        <v>Def Tax190502283-081-JP</v>
      </c>
      <c r="C1804" s="736">
        <v>190502</v>
      </c>
      <c r="D1804" s="735" t="s">
        <v>2026</v>
      </c>
      <c r="F1804" s="41" t="str">
        <f t="shared" si="812"/>
        <v>ADIT-REG-FEDERAL-GAS</v>
      </c>
      <c r="G1804" s="41" t="s">
        <v>2027</v>
      </c>
      <c r="H1804" s="736" t="s">
        <v>1245</v>
      </c>
      <c r="I1804" s="25"/>
      <c r="J1804" s="25" t="str">
        <f t="shared" si="814"/>
        <v/>
      </c>
      <c r="K1804" s="442" t="str">
        <f t="shared" si="813"/>
        <v/>
      </c>
      <c r="L1804" s="736" t="s">
        <v>2443</v>
      </c>
      <c r="M1804" s="25" t="str">
        <f t="shared" si="838"/>
        <v>R</v>
      </c>
      <c r="N1804" s="25" t="str">
        <f>IF(L1804&lt;&gt;"",VLOOKUP(L1804,Categories!$B$2:$D$41,2,FALSE),IF(F1804&lt;&gt;"","No Cat",""))</f>
        <v>Rate Base</v>
      </c>
      <c r="O1804" s="25" t="str">
        <f>IF($L1804&lt;&gt;"",VLOOKUP($L1804,Categories!$B$2:$D$41,3,FALSE),IF($F1804&lt;&gt;"","No Cat",""))</f>
        <v>Deferred Income Taxes</v>
      </c>
      <c r="P1804" s="736" t="s">
        <v>2483</v>
      </c>
      <c r="Q1804" s="25" t="str">
        <f>VLOOKUP($P1804,Allocators!$B$7:$F$19,5,FALSE)</f>
        <v>Gas</v>
      </c>
      <c r="R1804" s="737">
        <f>VLOOKUP($P1804,Allocators!$B$7:$F$19,2,FALSE)</f>
        <v>0</v>
      </c>
      <c r="S1804" s="737">
        <f>VLOOKUP($P1804,Allocators!$B$7:$F$19,3,FALSE)</f>
        <v>1</v>
      </c>
      <c r="T1804" s="737" t="str">
        <f t="shared" si="831"/>
        <v>0.0%</v>
      </c>
      <c r="U1804" s="2" t="str">
        <f t="shared" si="806"/>
        <v/>
      </c>
      <c r="V1804" s="2" t="str">
        <f t="shared" si="807"/>
        <v/>
      </c>
      <c r="W1804" s="2" t="str">
        <f t="shared" si="808"/>
        <v/>
      </c>
      <c r="X1804" s="2">
        <f t="shared" si="804"/>
        <v>0</v>
      </c>
      <c r="Y1804" s="2" t="str">
        <f t="shared" si="809"/>
        <v/>
      </c>
      <c r="Z1804" s="2" t="str">
        <f t="shared" si="810"/>
        <v/>
      </c>
      <c r="AA1804" s="2" t="str">
        <f t="shared" si="811"/>
        <v/>
      </c>
      <c r="AB1804" s="2">
        <f t="shared" si="805"/>
        <v>0</v>
      </c>
      <c r="AC1804" s="625">
        <v>0</v>
      </c>
      <c r="AD1804" s="625">
        <v>0</v>
      </c>
      <c r="AE1804" s="625">
        <v>0</v>
      </c>
      <c r="AF1804" s="625">
        <v>0</v>
      </c>
      <c r="AG1804" s="625">
        <v>0</v>
      </c>
      <c r="AH1804" s="625">
        <v>0</v>
      </c>
      <c r="AI1804" s="625">
        <v>0</v>
      </c>
      <c r="AJ1804" s="625">
        <v>0</v>
      </c>
      <c r="AK1804" s="625">
        <v>0</v>
      </c>
      <c r="AL1804" s="625">
        <v>0</v>
      </c>
      <c r="AM1804" s="625">
        <v>0</v>
      </c>
      <c r="AN1804" s="625">
        <v>0</v>
      </c>
      <c r="AO1804" s="625">
        <v>0</v>
      </c>
      <c r="AP1804" s="41" t="str">
        <f t="shared" si="835"/>
        <v>Def TaxR</v>
      </c>
      <c r="AQ1804" s="41" t="str">
        <f t="shared" si="836"/>
        <v>Def TaxRR11Purchase of Receivables</v>
      </c>
      <c r="AR1804" s="41" t="str">
        <f t="shared" si="837"/>
        <v>R11Purchase of Receivables</v>
      </c>
    </row>
    <row r="1805" spans="1:44" s="41" customFormat="1" ht="12.75" customHeight="1">
      <c r="A1805" s="25" t="s">
        <v>1590</v>
      </c>
      <c r="B1805" s="25" t="str">
        <f t="shared" si="817"/>
        <v>Def Tax190502190-108</v>
      </c>
      <c r="C1805" s="736">
        <v>190502</v>
      </c>
      <c r="D1805" s="735" t="s">
        <v>1770</v>
      </c>
      <c r="F1805" s="41" t="str">
        <f t="shared" si="812"/>
        <v>ADIT-REG-FEDERAL-GAS</v>
      </c>
      <c r="G1805" s="41" t="s">
        <v>1771</v>
      </c>
      <c r="H1805" s="736" t="s">
        <v>1124</v>
      </c>
      <c r="I1805" s="25"/>
      <c r="J1805" s="25" t="str">
        <f t="shared" si="814"/>
        <v/>
      </c>
      <c r="K1805" s="442" t="str">
        <f t="shared" si="813"/>
        <v/>
      </c>
      <c r="L1805" s="736" t="s">
        <v>2443</v>
      </c>
      <c r="M1805" s="25" t="str">
        <f t="shared" si="838"/>
        <v>R</v>
      </c>
      <c r="N1805" s="25" t="str">
        <f>IF(L1805&lt;&gt;"",VLOOKUP(L1805,Categories!$B$2:$D$41,2,FALSE),IF(F1805&lt;&gt;"","No Cat",""))</f>
        <v>Rate Base</v>
      </c>
      <c r="O1805" s="25" t="str">
        <f>IF($L1805&lt;&gt;"",VLOOKUP($L1805,Categories!$B$2:$D$41,3,FALSE),IF($F1805&lt;&gt;"","No Cat",""))</f>
        <v>Deferred Income Taxes</v>
      </c>
      <c r="P1805" s="736" t="s">
        <v>2483</v>
      </c>
      <c r="Q1805" s="25" t="str">
        <f>VLOOKUP($P1805,Allocators!$B$7:$F$19,5,FALSE)</f>
        <v>Gas</v>
      </c>
      <c r="R1805" s="737">
        <f>VLOOKUP($P1805,Allocators!$B$7:$F$19,2,FALSE)</f>
        <v>0</v>
      </c>
      <c r="S1805" s="737">
        <f>VLOOKUP($P1805,Allocators!$B$7:$F$19,3,FALSE)</f>
        <v>1</v>
      </c>
      <c r="T1805" s="737" t="str">
        <f t="shared" si="831"/>
        <v>0.0%</v>
      </c>
      <c r="U1805" s="2" t="str">
        <f t="shared" si="806"/>
        <v/>
      </c>
      <c r="V1805" s="2" t="str">
        <f t="shared" si="807"/>
        <v/>
      </c>
      <c r="W1805" s="2" t="str">
        <f t="shared" si="808"/>
        <v/>
      </c>
      <c r="X1805" s="2">
        <f t="shared" si="804"/>
        <v>0</v>
      </c>
      <c r="Y1805" s="2" t="str">
        <f t="shared" si="809"/>
        <v/>
      </c>
      <c r="Z1805" s="2" t="str">
        <f t="shared" si="810"/>
        <v/>
      </c>
      <c r="AA1805" s="2" t="str">
        <f t="shared" si="811"/>
        <v/>
      </c>
      <c r="AB1805" s="2">
        <f t="shared" si="805"/>
        <v>0</v>
      </c>
      <c r="AC1805" s="625">
        <v>0</v>
      </c>
      <c r="AD1805" s="625">
        <v>0</v>
      </c>
      <c r="AE1805" s="625">
        <v>0</v>
      </c>
      <c r="AF1805" s="625">
        <v>0</v>
      </c>
      <c r="AG1805" s="625">
        <v>0</v>
      </c>
      <c r="AH1805" s="625">
        <v>0</v>
      </c>
      <c r="AI1805" s="625">
        <v>0</v>
      </c>
      <c r="AJ1805" s="625">
        <v>0</v>
      </c>
      <c r="AK1805" s="625">
        <v>0</v>
      </c>
      <c r="AL1805" s="625">
        <v>0</v>
      </c>
      <c r="AM1805" s="625">
        <v>0</v>
      </c>
      <c r="AN1805" s="625">
        <v>0</v>
      </c>
      <c r="AO1805" s="625">
        <v>0</v>
      </c>
      <c r="AP1805" s="41" t="str">
        <f t="shared" si="835"/>
        <v>Def TaxR</v>
      </c>
      <c r="AQ1805" s="41" t="str">
        <f t="shared" si="836"/>
        <v>Def TaxRR11R&amp;D Tax Credit Deferral</v>
      </c>
      <c r="AR1805" s="41" t="str">
        <f t="shared" si="837"/>
        <v>R11R&amp;D Tax Credit Deferral</v>
      </c>
    </row>
    <row r="1806" spans="1:44" s="41" customFormat="1" ht="12.75" customHeight="1">
      <c r="A1806" s="442" t="s">
        <v>1590</v>
      </c>
      <c r="B1806" s="442" t="str">
        <f t="shared" si="817"/>
        <v>Def Tax190502R&amp;D DeferralBT010177</v>
      </c>
      <c r="C1806" s="736">
        <v>190502</v>
      </c>
      <c r="D1806" s="735" t="s">
        <v>1683</v>
      </c>
      <c r="E1806" s="626" t="s">
        <v>1684</v>
      </c>
      <c r="F1806" s="626" t="str">
        <f t="shared" si="812"/>
        <v>ADIT-REG-FEDERAL-GAS</v>
      </c>
      <c r="G1806" s="626" t="s">
        <v>1683</v>
      </c>
      <c r="H1806" s="736" t="s">
        <v>1124</v>
      </c>
      <c r="I1806" s="442"/>
      <c r="J1806" s="442" t="str">
        <f t="shared" si="814"/>
        <v/>
      </c>
      <c r="K1806" s="442" t="str">
        <f t="shared" si="813"/>
        <v/>
      </c>
      <c r="L1806" s="736" t="s">
        <v>2443</v>
      </c>
      <c r="M1806" s="442" t="str">
        <f t="shared" si="838"/>
        <v>R</v>
      </c>
      <c r="N1806" s="442" t="str">
        <f>IF(L1806&lt;&gt;"",VLOOKUP(L1806,Categories!$B$2:$D$41,2,FALSE),IF(F1806&lt;&gt;"","No Cat",""))</f>
        <v>Rate Base</v>
      </c>
      <c r="O1806" s="442" t="str">
        <f>IF($L1806&lt;&gt;"",VLOOKUP($L1806,Categories!$B$2:$D$41,3,FALSE),IF($F1806&lt;&gt;"","No Cat",""))</f>
        <v>Deferred Income Taxes</v>
      </c>
      <c r="P1806" s="736" t="s">
        <v>2483</v>
      </c>
      <c r="Q1806" s="442" t="str">
        <f>VLOOKUP($P1806,Allocators!$B$7:$F$19,5,FALSE)</f>
        <v>Gas</v>
      </c>
      <c r="R1806" s="737">
        <f>VLOOKUP($P1806,Allocators!$B$7:$F$19,2,FALSE)</f>
        <v>0</v>
      </c>
      <c r="S1806" s="737">
        <f>VLOOKUP($P1806,Allocators!$B$7:$F$19,3,FALSE)</f>
        <v>1</v>
      </c>
      <c r="T1806" s="737" t="str">
        <f t="shared" si="831"/>
        <v>0.0%</v>
      </c>
      <c r="U1806" s="2">
        <f t="shared" si="806"/>
        <v>0</v>
      </c>
      <c r="V1806" s="2">
        <f t="shared" si="807"/>
        <v>37.620996666666699</v>
      </c>
      <c r="W1806" s="2">
        <f t="shared" si="808"/>
        <v>0</v>
      </c>
      <c r="X1806" s="2">
        <f t="shared" si="804"/>
        <v>37.620996666666699</v>
      </c>
      <c r="Y1806" s="2">
        <f t="shared" si="809"/>
        <v>0</v>
      </c>
      <c r="Z1806" s="2">
        <f t="shared" si="810"/>
        <v>52.303710000000002</v>
      </c>
      <c r="AA1806" s="2">
        <f t="shared" si="811"/>
        <v>0</v>
      </c>
      <c r="AB1806" s="2">
        <f t="shared" si="805"/>
        <v>52.303710000000002</v>
      </c>
      <c r="AC1806" s="625">
        <v>21.94021</v>
      </c>
      <c r="AD1806" s="625">
        <v>34.632739999999998</v>
      </c>
      <c r="AE1806" s="625">
        <v>34.244250000000001</v>
      </c>
      <c r="AF1806" s="625">
        <v>33.853559999999995</v>
      </c>
      <c r="AG1806" s="625">
        <v>33.460650000000001</v>
      </c>
      <c r="AH1806" s="625">
        <v>33.065510000000003</v>
      </c>
      <c r="AI1806" s="625">
        <v>35.410440000000001</v>
      </c>
      <c r="AJ1806" s="625">
        <v>35.010820000000002</v>
      </c>
      <c r="AK1806" s="625">
        <v>34.608930000000001</v>
      </c>
      <c r="AL1806" s="625">
        <v>34.20476</v>
      </c>
      <c r="AM1806" s="625">
        <v>53.123550000000002</v>
      </c>
      <c r="AN1806" s="625">
        <v>52.714790000000001</v>
      </c>
      <c r="AO1806" s="625">
        <v>52.303710000000002</v>
      </c>
      <c r="AP1806" s="41" t="str">
        <f t="shared" si="835"/>
        <v>Def TaxR</v>
      </c>
      <c r="AQ1806" s="41" t="str">
        <f t="shared" si="836"/>
        <v>Def TaxRR11R&amp;D Tax Credit Deferral</v>
      </c>
      <c r="AR1806" s="41" t="str">
        <f t="shared" si="837"/>
        <v>R11R&amp;D Tax Credit Deferral</v>
      </c>
    </row>
    <row r="1807" spans="1:44" s="41" customFormat="1" ht="12.75" customHeight="1">
      <c r="A1807" s="442" t="s">
        <v>1590</v>
      </c>
      <c r="B1807" s="442" t="str">
        <f t="shared" si="817"/>
        <v>Def Tax190502BG030904</v>
      </c>
      <c r="C1807" s="736">
        <v>190502</v>
      </c>
      <c r="D1807" s="735"/>
      <c r="E1807" s="626" t="s">
        <v>944</v>
      </c>
      <c r="F1807" s="626" t="str">
        <f t="shared" si="812"/>
        <v>ADIT-REG-FEDERAL-GAS</v>
      </c>
      <c r="G1807" s="626" t="s">
        <v>2028</v>
      </c>
      <c r="H1807" s="736" t="s">
        <v>823</v>
      </c>
      <c r="I1807" s="442"/>
      <c r="J1807" s="442" t="s">
        <v>7</v>
      </c>
      <c r="K1807" s="442" t="str">
        <f t="shared" si="813"/>
        <v/>
      </c>
      <c r="L1807" s="736" t="s">
        <v>2436</v>
      </c>
      <c r="M1807" s="442" t="str">
        <f t="shared" si="838"/>
        <v>N</v>
      </c>
      <c r="N1807" s="442" t="str">
        <f>IF(L1807&lt;&gt;"",VLOOKUP(L1807,Categories!$B$2:$D$41,2,FALSE),IF(F1807&lt;&gt;"","No Cat",""))</f>
        <v>NRBASE</v>
      </c>
      <c r="O1807" s="442" t="str">
        <f>IF($L1807&lt;&gt;"",VLOOKUP($L1807,Categories!$B$2:$D$41,3,FALSE),IF($F1807&lt;&gt;"","No Cat",""))</f>
        <v>Deferrals Accruing Non-Cash Return   (other than ASGA)</v>
      </c>
      <c r="P1807" s="736" t="s">
        <v>2468</v>
      </c>
      <c r="Q1807" s="442" t="str">
        <f>VLOOKUP($P1807,Allocators!$B$7:$F$19,5,FALSE)</f>
        <v>Not in Rate Base</v>
      </c>
      <c r="R1807" s="737">
        <f>VLOOKUP($P1807,Allocators!$B$7:$F$19,2,FALSE)</f>
        <v>0</v>
      </c>
      <c r="S1807" s="737">
        <f>VLOOKUP($P1807,Allocators!$B$7:$F$19,3,FALSE)</f>
        <v>0</v>
      </c>
      <c r="T1807" s="737">
        <f t="shared" si="831"/>
        <v>1</v>
      </c>
      <c r="U1807" s="2" t="str">
        <f t="shared" si="806"/>
        <v/>
      </c>
      <c r="V1807" s="2" t="str">
        <f t="shared" si="807"/>
        <v/>
      </c>
      <c r="W1807" s="2" t="str">
        <f t="shared" si="808"/>
        <v/>
      </c>
      <c r="X1807" s="2">
        <f t="shared" si="804"/>
        <v>0</v>
      </c>
      <c r="Y1807" s="2" t="str">
        <f t="shared" si="809"/>
        <v/>
      </c>
      <c r="Z1807" s="2" t="str">
        <f t="shared" si="810"/>
        <v/>
      </c>
      <c r="AA1807" s="2" t="str">
        <f t="shared" si="811"/>
        <v/>
      </c>
      <c r="AB1807" s="2">
        <f t="shared" si="805"/>
        <v>0</v>
      </c>
      <c r="AC1807" s="625">
        <v>0</v>
      </c>
      <c r="AD1807" s="625">
        <v>0</v>
      </c>
      <c r="AE1807" s="625">
        <v>0</v>
      </c>
      <c r="AF1807" s="625">
        <v>0</v>
      </c>
      <c r="AG1807" s="625">
        <v>0</v>
      </c>
      <c r="AH1807" s="625">
        <v>0</v>
      </c>
      <c r="AI1807" s="625">
        <v>0</v>
      </c>
      <c r="AJ1807" s="625">
        <v>0</v>
      </c>
      <c r="AK1807" s="625">
        <v>0</v>
      </c>
      <c r="AL1807" s="625">
        <v>0</v>
      </c>
      <c r="AM1807" s="625">
        <v>0</v>
      </c>
      <c r="AN1807" s="625">
        <v>0</v>
      </c>
      <c r="AO1807" s="625">
        <v>0</v>
      </c>
      <c r="AP1807" s="41" t="str">
        <f t="shared" si="835"/>
        <v>Def TaxN</v>
      </c>
      <c r="AQ1807" s="41" t="str">
        <f t="shared" si="836"/>
        <v>Def TaxNN10RDM</v>
      </c>
      <c r="AR1807" s="41" t="str">
        <f t="shared" si="837"/>
        <v>N10RDMNCR</v>
      </c>
    </row>
    <row r="1808" spans="1:44" s="41" customFormat="1" ht="12.75" customHeight="1">
      <c r="A1808" s="25" t="s">
        <v>1590</v>
      </c>
      <c r="B1808" s="25" t="str">
        <f t="shared" si="817"/>
        <v>Def Tax190502FAS 158-106 RA</v>
      </c>
      <c r="C1808" s="736">
        <v>190502</v>
      </c>
      <c r="D1808" s="735" t="s">
        <v>2029</v>
      </c>
      <c r="F1808" s="41" t="str">
        <f t="shared" si="812"/>
        <v>ADIT-REG-FEDERAL-GAS</v>
      </c>
      <c r="G1808" s="41" t="s">
        <v>2030</v>
      </c>
      <c r="H1808" s="736" t="s">
        <v>927</v>
      </c>
      <c r="I1808" s="25"/>
      <c r="J1808" s="25" t="str">
        <f t="shared" si="814"/>
        <v/>
      </c>
      <c r="K1808" s="442" t="str">
        <f t="shared" si="813"/>
        <v/>
      </c>
      <c r="L1808" s="736" t="s">
        <v>2443</v>
      </c>
      <c r="M1808" s="25" t="str">
        <f t="shared" si="838"/>
        <v>R</v>
      </c>
      <c r="N1808" s="25" t="str">
        <f>IF(L1808&lt;&gt;"",VLOOKUP(L1808,Categories!$B$2:$D$41,2,FALSE),IF(F1808&lt;&gt;"","No Cat",""))</f>
        <v>Rate Base</v>
      </c>
      <c r="O1808" s="25" t="str">
        <f>IF($L1808&lt;&gt;"",VLOOKUP($L1808,Categories!$B$2:$D$41,3,FALSE),IF($F1808&lt;&gt;"","No Cat",""))</f>
        <v>Deferred Income Taxes</v>
      </c>
      <c r="P1808" s="736" t="s">
        <v>2483</v>
      </c>
      <c r="Q1808" s="25" t="str">
        <f>VLOOKUP($P1808,Allocators!$B$7:$F$19,5,FALSE)</f>
        <v>Gas</v>
      </c>
      <c r="R1808" s="737">
        <f>VLOOKUP($P1808,Allocators!$B$7:$F$19,2,FALSE)</f>
        <v>0</v>
      </c>
      <c r="S1808" s="737">
        <f>VLOOKUP($P1808,Allocators!$B$7:$F$19,3,FALSE)</f>
        <v>1</v>
      </c>
      <c r="T1808" s="737" t="str">
        <f t="shared" si="831"/>
        <v>0.0%</v>
      </c>
      <c r="U1808" s="2" t="str">
        <f t="shared" si="806"/>
        <v/>
      </c>
      <c r="V1808" s="2" t="str">
        <f t="shared" si="807"/>
        <v/>
      </c>
      <c r="W1808" s="2" t="str">
        <f t="shared" si="808"/>
        <v/>
      </c>
      <c r="X1808" s="2">
        <f t="shared" ref="X1808:X1872" si="839">IF(ISERROR(ROUND((SUM(AC1808:AO1808)-((AC1808+AO1808))/2)/12,15)),"",ROUND((SUM(AC1808:AO1808)-((AC1808+AO1808))/2)/12,15))</f>
        <v>0</v>
      </c>
      <c r="Y1808" s="2" t="str">
        <f t="shared" si="809"/>
        <v/>
      </c>
      <c r="Z1808" s="2" t="str">
        <f t="shared" si="810"/>
        <v/>
      </c>
      <c r="AA1808" s="2" t="str">
        <f t="shared" si="811"/>
        <v/>
      </c>
      <c r="AB1808" s="2">
        <f t="shared" ref="AB1808:AB1872" si="840">IF(AO1808="",0,+AO1808)</f>
        <v>0</v>
      </c>
      <c r="AC1808" s="625">
        <v>0</v>
      </c>
      <c r="AD1808" s="625">
        <v>0</v>
      </c>
      <c r="AE1808" s="625">
        <v>0</v>
      </c>
      <c r="AF1808" s="625">
        <v>0</v>
      </c>
      <c r="AG1808" s="625">
        <v>0</v>
      </c>
      <c r="AH1808" s="625">
        <v>0</v>
      </c>
      <c r="AI1808" s="625">
        <v>0</v>
      </c>
      <c r="AJ1808" s="625">
        <v>0</v>
      </c>
      <c r="AK1808" s="625">
        <v>0</v>
      </c>
      <c r="AL1808" s="625">
        <v>0</v>
      </c>
      <c r="AM1808" s="625">
        <v>0</v>
      </c>
      <c r="AN1808" s="625">
        <v>0</v>
      </c>
      <c r="AO1808" s="625">
        <v>0</v>
      </c>
      <c r="AP1808" s="41" t="str">
        <f t="shared" si="835"/>
        <v>Def TaxR</v>
      </c>
      <c r="AQ1808" s="41" t="str">
        <f t="shared" si="836"/>
        <v>Def TaxRR11OPEB</v>
      </c>
      <c r="AR1808" s="41" t="str">
        <f t="shared" si="837"/>
        <v>R11OPEB</v>
      </c>
    </row>
    <row r="1809" spans="1:44" s="41" customFormat="1" ht="12.75" customHeight="1">
      <c r="A1809" s="25" t="s">
        <v>1590</v>
      </c>
      <c r="B1809" s="25" t="str">
        <f t="shared" si="817"/>
        <v>Def Tax190502FAS158 Reg AssetBT030562</v>
      </c>
      <c r="C1809" s="736">
        <v>190502</v>
      </c>
      <c r="D1809" s="735" t="s">
        <v>2031</v>
      </c>
      <c r="E1809" s="41" t="s">
        <v>1839</v>
      </c>
      <c r="F1809" s="41" t="str">
        <f t="shared" si="812"/>
        <v>ADIT-REG-FEDERAL-GAS</v>
      </c>
      <c r="G1809" s="41" t="s">
        <v>2030</v>
      </c>
      <c r="H1809" s="736" t="s">
        <v>1673</v>
      </c>
      <c r="I1809" s="25"/>
      <c r="J1809" s="25" t="str">
        <f t="shared" si="814"/>
        <v/>
      </c>
      <c r="K1809" s="442" t="str">
        <f t="shared" si="813"/>
        <v/>
      </c>
      <c r="L1809" s="736" t="s">
        <v>2443</v>
      </c>
      <c r="M1809" s="25" t="str">
        <f t="shared" si="838"/>
        <v>R</v>
      </c>
      <c r="N1809" s="25" t="str">
        <f>IF(L1809&lt;&gt;"",VLOOKUP(L1809,Categories!$B$2:$D$41,2,FALSE),IF(F1809&lt;&gt;"","No Cat",""))</f>
        <v>Rate Base</v>
      </c>
      <c r="O1809" s="25" t="str">
        <f>IF($L1809&lt;&gt;"",VLOOKUP($L1809,Categories!$B$2:$D$41,3,FALSE),IF($F1809&lt;&gt;"","No Cat",""))</f>
        <v>Deferred Income Taxes</v>
      </c>
      <c r="P1809" s="736" t="s">
        <v>2483</v>
      </c>
      <c r="Q1809" s="25" t="str">
        <f>VLOOKUP($P1809,Allocators!$B$7:$F$19,5,FALSE)</f>
        <v>Gas</v>
      </c>
      <c r="R1809" s="737">
        <f>VLOOKUP($P1809,Allocators!$B$7:$F$19,2,FALSE)</f>
        <v>0</v>
      </c>
      <c r="S1809" s="737">
        <f>VLOOKUP($P1809,Allocators!$B$7:$F$19,3,FALSE)</f>
        <v>1</v>
      </c>
      <c r="T1809" s="737" t="str">
        <f t="shared" si="831"/>
        <v>0.0%</v>
      </c>
      <c r="U1809" s="2" t="str">
        <f t="shared" si="806"/>
        <v/>
      </c>
      <c r="V1809" s="2" t="str">
        <f t="shared" si="807"/>
        <v/>
      </c>
      <c r="W1809" s="2" t="str">
        <f t="shared" si="808"/>
        <v/>
      </c>
      <c r="X1809" s="2">
        <f t="shared" si="839"/>
        <v>0</v>
      </c>
      <c r="Y1809" s="2" t="str">
        <f t="shared" si="809"/>
        <v/>
      </c>
      <c r="Z1809" s="2" t="str">
        <f t="shared" si="810"/>
        <v/>
      </c>
      <c r="AA1809" s="2" t="str">
        <f t="shared" si="811"/>
        <v/>
      </c>
      <c r="AB1809" s="2">
        <f t="shared" si="840"/>
        <v>0</v>
      </c>
      <c r="AC1809" s="625">
        <v>0</v>
      </c>
      <c r="AD1809" s="625">
        <v>0</v>
      </c>
      <c r="AE1809" s="625">
        <v>0</v>
      </c>
      <c r="AF1809" s="625">
        <v>0</v>
      </c>
      <c r="AG1809" s="625">
        <v>0</v>
      </c>
      <c r="AH1809" s="625">
        <v>0</v>
      </c>
      <c r="AI1809" s="625">
        <v>0</v>
      </c>
      <c r="AJ1809" s="625">
        <v>0</v>
      </c>
      <c r="AK1809" s="625">
        <v>0</v>
      </c>
      <c r="AL1809" s="625">
        <v>0</v>
      </c>
      <c r="AM1809" s="625">
        <v>0</v>
      </c>
      <c r="AN1809" s="625">
        <v>0</v>
      </c>
      <c r="AO1809" s="625">
        <v>0</v>
      </c>
      <c r="AP1809" s="41" t="str">
        <f t="shared" si="835"/>
        <v>Def TaxR</v>
      </c>
      <c r="AQ1809" s="41" t="str">
        <f t="shared" si="836"/>
        <v>Def TaxRR11Pension</v>
      </c>
      <c r="AR1809" s="41" t="str">
        <f t="shared" si="837"/>
        <v>R11Pension</v>
      </c>
    </row>
    <row r="1810" spans="1:44" s="41" customFormat="1" ht="12.75" customHeight="1">
      <c r="A1810" s="442" t="s">
        <v>1590</v>
      </c>
      <c r="B1810" s="442" t="str">
        <f t="shared" si="817"/>
        <v>Def Tax190502SQPPBT010209</v>
      </c>
      <c r="C1810" s="736">
        <v>190502</v>
      </c>
      <c r="D1810" s="735" t="s">
        <v>2032</v>
      </c>
      <c r="E1810" s="626" t="s">
        <v>1990</v>
      </c>
      <c r="F1810" s="626" t="str">
        <f t="shared" si="812"/>
        <v>ADIT-REG-FEDERAL-GAS</v>
      </c>
      <c r="G1810" s="626" t="s">
        <v>1991</v>
      </c>
      <c r="H1810" s="736" t="s">
        <v>1122</v>
      </c>
      <c r="I1810" s="442"/>
      <c r="J1810" s="442" t="str">
        <f t="shared" si="814"/>
        <v/>
      </c>
      <c r="K1810" s="442" t="str">
        <f t="shared" si="813"/>
        <v/>
      </c>
      <c r="L1810" s="736" t="s">
        <v>2421</v>
      </c>
      <c r="M1810" s="442" t="str">
        <f t="shared" si="838"/>
        <v>N</v>
      </c>
      <c r="N1810" s="442" t="str">
        <f>IF(L1810&lt;&gt;"",VLOOKUP(L1810,Categories!$B$2:$D$41,2,FALSE),IF(F1810&lt;&gt;"","No Cat",""))</f>
        <v>NRBASE</v>
      </c>
      <c r="O1810" s="442" t="str">
        <f>IF($L1810&lt;&gt;"",VLOOKUP($L1810,Categories!$B$2:$D$41,3,FALSE),IF($F1810&lt;&gt;"","No Cat",""))</f>
        <v>Direct Assign Items Not in RB</v>
      </c>
      <c r="P1810" s="736" t="s">
        <v>2468</v>
      </c>
      <c r="Q1810" s="442" t="str">
        <f>VLOOKUP($P1810,Allocators!$B$7:$F$19,5,FALSE)</f>
        <v>Not in Rate Base</v>
      </c>
      <c r="R1810" s="737">
        <f>VLOOKUP($P1810,Allocators!$B$7:$F$19,2,FALSE)</f>
        <v>0</v>
      </c>
      <c r="S1810" s="737">
        <f>VLOOKUP($P1810,Allocators!$B$7:$F$19,3,FALSE)</f>
        <v>0</v>
      </c>
      <c r="T1810" s="737">
        <f t="shared" si="831"/>
        <v>1</v>
      </c>
      <c r="U1810" s="2">
        <f t="shared" si="806"/>
        <v>0</v>
      </c>
      <c r="V1810" s="2">
        <f t="shared" si="807"/>
        <v>0</v>
      </c>
      <c r="W1810" s="2">
        <f t="shared" si="808"/>
        <v>36.284900416666702</v>
      </c>
      <c r="X1810" s="2">
        <f t="shared" si="839"/>
        <v>36.284900416666702</v>
      </c>
      <c r="Y1810" s="2">
        <f t="shared" si="809"/>
        <v>0</v>
      </c>
      <c r="Z1810" s="2">
        <f t="shared" si="810"/>
        <v>0</v>
      </c>
      <c r="AA1810" s="2">
        <f t="shared" si="811"/>
        <v>40.397100000000002</v>
      </c>
      <c r="AB1810" s="2">
        <f t="shared" si="840"/>
        <v>40.397100000000002</v>
      </c>
      <c r="AC1810" s="625">
        <v>32.26399</v>
      </c>
      <c r="AD1810" s="625">
        <v>32.920879999999997</v>
      </c>
      <c r="AE1810" s="625">
        <v>33.581489999999995</v>
      </c>
      <c r="AF1810" s="625">
        <v>34.245849999999997</v>
      </c>
      <c r="AG1810" s="625">
        <v>34.913980000000002</v>
      </c>
      <c r="AH1810" s="625">
        <v>35.585879999999996</v>
      </c>
      <c r="AI1810" s="625">
        <v>36.261600000000001</v>
      </c>
      <c r="AJ1810" s="625">
        <v>36.94115</v>
      </c>
      <c r="AK1810" s="625">
        <v>37.624550000000006</v>
      </c>
      <c r="AL1810" s="625">
        <v>38.311819999999997</v>
      </c>
      <c r="AM1810" s="625">
        <v>39.002989999999997</v>
      </c>
      <c r="AN1810" s="625">
        <v>39.698070000000001</v>
      </c>
      <c r="AO1810" s="625">
        <v>40.397100000000002</v>
      </c>
      <c r="AP1810" s="41" t="str">
        <f t="shared" si="835"/>
        <v>Def TaxN</v>
      </c>
      <c r="AQ1810" s="41" t="str">
        <f t="shared" si="836"/>
        <v>Def TaxNN2Service Quality Performance</v>
      </c>
      <c r="AR1810" s="41" t="str">
        <f t="shared" si="837"/>
        <v>N2Service Quality Performance</v>
      </c>
    </row>
    <row r="1811" spans="1:44" s="41" customFormat="1" ht="12.75" customHeight="1">
      <c r="A1811" s="25" t="s">
        <v>1590</v>
      </c>
      <c r="B1811" s="25" t="str">
        <f t="shared" si="817"/>
        <v>Def Tax190502283-069BT010199</v>
      </c>
      <c r="C1811" s="736">
        <v>190502</v>
      </c>
      <c r="D1811" s="735" t="s">
        <v>1992</v>
      </c>
      <c r="E1811" s="41" t="s">
        <v>1993</v>
      </c>
      <c r="F1811" s="41" t="str">
        <f t="shared" si="812"/>
        <v>ADIT-REG-FEDERAL-GAS</v>
      </c>
      <c r="G1811" s="41" t="s">
        <v>1994</v>
      </c>
      <c r="H1811" s="736" t="s">
        <v>1995</v>
      </c>
      <c r="I1811" s="25"/>
      <c r="J1811" s="25" t="str">
        <f t="shared" si="814"/>
        <v/>
      </c>
      <c r="K1811" s="442" t="str">
        <f t="shared" si="813"/>
        <v/>
      </c>
      <c r="L1811" s="736" t="s">
        <v>2443</v>
      </c>
      <c r="M1811" s="25" t="str">
        <f t="shared" si="838"/>
        <v>R</v>
      </c>
      <c r="N1811" s="25" t="str">
        <f>IF(L1811&lt;&gt;"",VLOOKUP(L1811,Categories!$B$2:$D$41,2,FALSE),IF(F1811&lt;&gt;"","No Cat",""))</f>
        <v>Rate Base</v>
      </c>
      <c r="O1811" s="25" t="str">
        <f>IF($L1811&lt;&gt;"",VLOOKUP($L1811,Categories!$B$2:$D$41,3,FALSE),IF($F1811&lt;&gt;"","No Cat",""))</f>
        <v>Deferred Income Taxes</v>
      </c>
      <c r="P1811" s="736" t="s">
        <v>2483</v>
      </c>
      <c r="Q1811" s="25" t="str">
        <f>VLOOKUP($P1811,Allocators!$B$7:$F$19,5,FALSE)</f>
        <v>Gas</v>
      </c>
      <c r="R1811" s="737">
        <f>VLOOKUP($P1811,Allocators!$B$7:$F$19,2,FALSE)</f>
        <v>0</v>
      </c>
      <c r="S1811" s="737">
        <f>VLOOKUP($P1811,Allocators!$B$7:$F$19,3,FALSE)</f>
        <v>1</v>
      </c>
      <c r="T1811" s="737" t="str">
        <f t="shared" si="831"/>
        <v>0.0%</v>
      </c>
      <c r="U1811" s="2">
        <f t="shared" si="806"/>
        <v>0</v>
      </c>
      <c r="V1811" s="2">
        <f t="shared" si="807"/>
        <v>-180.98137</v>
      </c>
      <c r="W1811" s="2">
        <f t="shared" si="808"/>
        <v>0</v>
      </c>
      <c r="X1811" s="2">
        <f t="shared" si="839"/>
        <v>-180.98137</v>
      </c>
      <c r="Y1811" s="2">
        <f t="shared" si="809"/>
        <v>0</v>
      </c>
      <c r="Z1811" s="2">
        <f t="shared" si="810"/>
        <v>-180.98137</v>
      </c>
      <c r="AA1811" s="2">
        <f t="shared" si="811"/>
        <v>0</v>
      </c>
      <c r="AB1811" s="2">
        <f t="shared" si="840"/>
        <v>-180.98137</v>
      </c>
      <c r="AC1811" s="625">
        <v>-180.98137</v>
      </c>
      <c r="AD1811" s="625">
        <v>-180.98137</v>
      </c>
      <c r="AE1811" s="625">
        <v>-180.98137</v>
      </c>
      <c r="AF1811" s="625">
        <v>-180.98137</v>
      </c>
      <c r="AG1811" s="625">
        <v>-180.98137</v>
      </c>
      <c r="AH1811" s="625">
        <v>-180.98137</v>
      </c>
      <c r="AI1811" s="625">
        <v>-180.98137</v>
      </c>
      <c r="AJ1811" s="625">
        <v>-180.98137</v>
      </c>
      <c r="AK1811" s="625">
        <v>-180.98137</v>
      </c>
      <c r="AL1811" s="625">
        <v>-180.98137</v>
      </c>
      <c r="AM1811" s="625">
        <v>-180.98137</v>
      </c>
      <c r="AN1811" s="625">
        <v>-180.98137</v>
      </c>
      <c r="AO1811" s="625">
        <v>-180.98137</v>
      </c>
      <c r="AP1811" s="41" t="str">
        <f t="shared" si="835"/>
        <v>Def TaxR</v>
      </c>
      <c r="AQ1811" s="41" t="str">
        <f t="shared" si="836"/>
        <v>Def TaxRR11NYS Income Tax / GRT Deferral</v>
      </c>
      <c r="AR1811" s="41" t="str">
        <f t="shared" si="837"/>
        <v>R11NYS Income Tax / GRT Deferral</v>
      </c>
    </row>
    <row r="1812" spans="1:44" s="41" customFormat="1" ht="12.75" customHeight="1">
      <c r="A1812" s="442" t="s">
        <v>1590</v>
      </c>
      <c r="B1812" s="442" t="str">
        <f t="shared" si="817"/>
        <v>Def Tax190502GSC RefundBG030586</v>
      </c>
      <c r="C1812" s="736">
        <v>190502</v>
      </c>
      <c r="D1812" s="735" t="s">
        <v>2033</v>
      </c>
      <c r="E1812" s="626" t="s">
        <v>1150</v>
      </c>
      <c r="F1812" s="626" t="str">
        <f t="shared" si="812"/>
        <v>ADIT-REG-FEDERAL-GAS</v>
      </c>
      <c r="G1812" s="626" t="s">
        <v>1509</v>
      </c>
      <c r="H1812" s="736" t="s">
        <v>1142</v>
      </c>
      <c r="I1812" s="442"/>
      <c r="J1812" s="442" t="s">
        <v>7</v>
      </c>
      <c r="K1812" s="442" t="str">
        <f t="shared" si="813"/>
        <v/>
      </c>
      <c r="L1812" s="736" t="s">
        <v>2436</v>
      </c>
      <c r="M1812" s="442" t="str">
        <f t="shared" si="838"/>
        <v>N</v>
      </c>
      <c r="N1812" s="442" t="str">
        <f>IF(L1812&lt;&gt;"",VLOOKUP(L1812,Categories!$B$2:$D$41,2,FALSE),IF(F1812&lt;&gt;"","No Cat",""))</f>
        <v>NRBASE</v>
      </c>
      <c r="O1812" s="442" t="str">
        <f>IF($L1812&lt;&gt;"",VLOOKUP($L1812,Categories!$B$2:$D$41,3,FALSE),IF($F1812&lt;&gt;"","No Cat",""))</f>
        <v>Deferrals Accruing Non-Cash Return   (other than ASGA)</v>
      </c>
      <c r="P1812" s="736" t="s">
        <v>2468</v>
      </c>
      <c r="Q1812" s="442" t="str">
        <f>VLOOKUP($P1812,Allocators!$B$7:$F$19,5,FALSE)</f>
        <v>Not in Rate Base</v>
      </c>
      <c r="R1812" s="737">
        <f>VLOOKUP($P1812,Allocators!$B$7:$F$19,2,FALSE)</f>
        <v>0</v>
      </c>
      <c r="S1812" s="737">
        <f>VLOOKUP($P1812,Allocators!$B$7:$F$19,3,FALSE)</f>
        <v>0</v>
      </c>
      <c r="T1812" s="737">
        <f t="shared" si="831"/>
        <v>1</v>
      </c>
      <c r="U1812" s="2">
        <f t="shared" si="806"/>
        <v>0</v>
      </c>
      <c r="V1812" s="2">
        <f t="shared" si="807"/>
        <v>0</v>
      </c>
      <c r="W1812" s="2">
        <f t="shared" si="808"/>
        <v>55.375628333333303</v>
      </c>
      <c r="X1812" s="2">
        <f t="shared" si="839"/>
        <v>55.375628333333303</v>
      </c>
      <c r="Y1812" s="2">
        <f t="shared" si="809"/>
        <v>0</v>
      </c>
      <c r="Z1812" s="2">
        <f t="shared" si="810"/>
        <v>0</v>
      </c>
      <c r="AA1812" s="2">
        <f t="shared" si="811"/>
        <v>42.321379999999998</v>
      </c>
      <c r="AB1812" s="2">
        <f t="shared" si="840"/>
        <v>42.321379999999998</v>
      </c>
      <c r="AC1812" s="625">
        <v>5.9999999999999995E-5</v>
      </c>
      <c r="AD1812" s="625">
        <v>5.9999999999999995E-5</v>
      </c>
      <c r="AE1812" s="625">
        <v>5.9999999999999995E-5</v>
      </c>
      <c r="AF1812" s="625">
        <v>77.77042999999999</v>
      </c>
      <c r="AG1812" s="625">
        <v>79.480720000000005</v>
      </c>
      <c r="AH1812" s="625">
        <v>76.430909999999997</v>
      </c>
      <c r="AI1812" s="625">
        <v>74.622669999999999</v>
      </c>
      <c r="AJ1812" s="625">
        <v>72.910389999999992</v>
      </c>
      <c r="AK1812" s="625">
        <v>71.863969999999995</v>
      </c>
      <c r="AL1812" s="625">
        <v>69.785210000000006</v>
      </c>
      <c r="AM1812" s="625">
        <v>65.487380000000002</v>
      </c>
      <c r="AN1812" s="625">
        <v>54.995019999999997</v>
      </c>
      <c r="AO1812" s="625">
        <v>42.321379999999998</v>
      </c>
      <c r="AP1812" s="41" t="str">
        <f t="shared" si="835"/>
        <v>Def TaxN</v>
      </c>
      <c r="AQ1812" s="41" t="str">
        <f t="shared" si="836"/>
        <v>Def TaxNN10Gas Costs Deferred</v>
      </c>
      <c r="AR1812" s="41" t="str">
        <f t="shared" si="837"/>
        <v>N10Gas Costs DeferredNCR</v>
      </c>
    </row>
    <row r="1813" spans="1:44" s="41" customFormat="1" ht="12.75" customHeight="1">
      <c r="A1813" s="442" t="s">
        <v>1590</v>
      </c>
      <c r="B1813" s="442" t="str">
        <f t="shared" ref="B1813" si="841">CONCATENATE(A1813,C1813,D1813,E1813)</f>
        <v>Def Tax190502BT 010392</v>
      </c>
      <c r="C1813" s="736">
        <v>190502</v>
      </c>
      <c r="D1813" s="735"/>
      <c r="E1813" s="626" t="s">
        <v>4452</v>
      </c>
      <c r="F1813" s="626" t="str">
        <f t="shared" si="812"/>
        <v>ADIT-REG-FEDERAL-GAS</v>
      </c>
      <c r="G1813" s="626" t="s">
        <v>4453</v>
      </c>
      <c r="H1813" s="736" t="s">
        <v>4455</v>
      </c>
      <c r="I1813" s="25"/>
      <c r="J1813" s="25"/>
      <c r="K1813" s="442"/>
      <c r="L1813" s="736" t="s">
        <v>2443</v>
      </c>
      <c r="M1813" s="25" t="str">
        <f t="shared" si="838"/>
        <v>R</v>
      </c>
      <c r="N1813" s="25" t="str">
        <f>IF(L1813&lt;&gt;"",VLOOKUP(L1813,Categories!$B$2:$D$41,2,FALSE),IF(F1813&lt;&gt;"","No Cat",""))</f>
        <v>Rate Base</v>
      </c>
      <c r="O1813" s="25" t="str">
        <f>IF($L1813&lt;&gt;"",VLOOKUP($L1813,Categories!$B$2:$D$41,3,FALSE),IF($F1813&lt;&gt;"","No Cat",""))</f>
        <v>Deferred Income Taxes</v>
      </c>
      <c r="P1813" s="736" t="s">
        <v>2483</v>
      </c>
      <c r="Q1813" s="25" t="str">
        <f>VLOOKUP($P1813,Allocators!$B$7:$F$19,5,FALSE)</f>
        <v>Gas</v>
      </c>
      <c r="R1813" s="737">
        <f>VLOOKUP($P1813,Allocators!$B$7:$F$19,2,FALSE)</f>
        <v>0</v>
      </c>
      <c r="S1813" s="737">
        <f>VLOOKUP($P1813,Allocators!$B$7:$F$19,3,FALSE)</f>
        <v>1</v>
      </c>
      <c r="T1813" s="737" t="str">
        <f t="shared" si="831"/>
        <v>0.0%</v>
      </c>
      <c r="U1813" s="2">
        <f t="shared" si="806"/>
        <v>0</v>
      </c>
      <c r="V1813" s="2">
        <f t="shared" si="807"/>
        <v>161.34213958333299</v>
      </c>
      <c r="W1813" s="2">
        <f t="shared" si="808"/>
        <v>0</v>
      </c>
      <c r="X1813" s="2">
        <f t="shared" si="839"/>
        <v>161.34213958333299</v>
      </c>
      <c r="Y1813" s="2">
        <f t="shared" si="809"/>
        <v>0</v>
      </c>
      <c r="Z1813" s="2">
        <f t="shared" si="810"/>
        <v>387.90395000000001</v>
      </c>
      <c r="AA1813" s="2">
        <f t="shared" si="811"/>
        <v>0</v>
      </c>
      <c r="AB1813" s="2">
        <f t="shared" si="840"/>
        <v>387.90395000000001</v>
      </c>
      <c r="AC1813" s="625"/>
      <c r="AD1813" s="625"/>
      <c r="AE1813" s="625"/>
      <c r="AF1813" s="625"/>
      <c r="AG1813" s="625"/>
      <c r="AH1813" s="625"/>
      <c r="AI1813" s="625">
        <v>270.84995000000004</v>
      </c>
      <c r="AJ1813" s="625">
        <v>270.84995000000004</v>
      </c>
      <c r="AK1813" s="625">
        <v>270.84995000000004</v>
      </c>
      <c r="AL1813" s="625">
        <v>270.84995000000004</v>
      </c>
      <c r="AM1813" s="625">
        <v>270.84995000000004</v>
      </c>
      <c r="AN1813" s="625">
        <v>387.90395000000001</v>
      </c>
      <c r="AO1813" s="625">
        <v>387.90395000000001</v>
      </c>
      <c r="AP1813" s="41" t="str">
        <f t="shared" si="835"/>
        <v>Def TaxR</v>
      </c>
      <c r="AQ1813" s="41" t="str">
        <f t="shared" si="836"/>
        <v>Def TaxRR11Excess DIT - New York State Tax Rate change</v>
      </c>
      <c r="AR1813" s="41" t="str">
        <f t="shared" si="837"/>
        <v>R11Excess DIT - New York State Tax Rate change</v>
      </c>
    </row>
    <row r="1814" spans="1:44" s="41" customFormat="1" ht="12.75" customHeight="1">
      <c r="A1814" s="442" t="s">
        <v>1590</v>
      </c>
      <c r="B1814" s="442" t="str">
        <f t="shared" ref="B1814" si="842">CONCATENATE(A1814,C1814,D1814,E1814)</f>
        <v>Def Tax190502BT010299</v>
      </c>
      <c r="C1814" s="736">
        <v>190502</v>
      </c>
      <c r="D1814" s="735"/>
      <c r="E1814" s="626" t="s">
        <v>4491</v>
      </c>
      <c r="F1814" s="626" t="str">
        <f t="shared" si="812"/>
        <v>ADIT-REG-FEDERAL-GAS</v>
      </c>
      <c r="G1814" s="626" t="s">
        <v>4490</v>
      </c>
      <c r="H1814" s="736" t="s">
        <v>1131</v>
      </c>
      <c r="I1814" s="25"/>
      <c r="J1814" s="442" t="s">
        <v>7</v>
      </c>
      <c r="K1814" s="442"/>
      <c r="L1814" s="736" t="s">
        <v>2436</v>
      </c>
      <c r="M1814" s="442" t="str">
        <f t="shared" si="838"/>
        <v>N</v>
      </c>
      <c r="N1814" s="442" t="str">
        <f>IF(L1814&lt;&gt;"",VLOOKUP(L1814,Categories!$B$2:$D$41,2,FALSE),IF(F1814&lt;&gt;"","No Cat",""))</f>
        <v>NRBASE</v>
      </c>
      <c r="O1814" s="442" t="str">
        <f>IF($L1814&lt;&gt;"",VLOOKUP($L1814,Categories!$B$2:$D$41,3,FALSE),IF($F1814&lt;&gt;"","No Cat",""))</f>
        <v>Deferrals Accruing Non-Cash Return   (other than ASGA)</v>
      </c>
      <c r="P1814" s="736" t="s">
        <v>2468</v>
      </c>
      <c r="Q1814" s="442" t="str">
        <f>VLOOKUP($P1814,Allocators!$B$7:$F$19,5,FALSE)</f>
        <v>Not in Rate Base</v>
      </c>
      <c r="R1814" s="737">
        <f>VLOOKUP($P1814,Allocators!$B$7:$F$19,2,FALSE)</f>
        <v>0</v>
      </c>
      <c r="S1814" s="737">
        <f>VLOOKUP($P1814,Allocators!$B$7:$F$19,3,FALSE)</f>
        <v>0</v>
      </c>
      <c r="T1814" s="737">
        <f t="shared" si="831"/>
        <v>1</v>
      </c>
      <c r="U1814" s="2">
        <f t="shared" si="806"/>
        <v>0</v>
      </c>
      <c r="V1814" s="2">
        <f t="shared" si="807"/>
        <v>0</v>
      </c>
      <c r="W1814" s="2">
        <f t="shared" si="808"/>
        <v>865.45864708333295</v>
      </c>
      <c r="X1814" s="2">
        <f t="shared" si="839"/>
        <v>865.45864708333295</v>
      </c>
      <c r="Y1814" s="2">
        <f t="shared" si="809"/>
        <v>0</v>
      </c>
      <c r="Z1814" s="2">
        <f t="shared" si="810"/>
        <v>0</v>
      </c>
      <c r="AA1814" s="2">
        <f t="shared" si="811"/>
        <v>3307.5655499999998</v>
      </c>
      <c r="AB1814" s="2">
        <f t="shared" si="840"/>
        <v>3307.5655499999998</v>
      </c>
      <c r="AC1814" s="625"/>
      <c r="AD1814" s="625"/>
      <c r="AE1814" s="625"/>
      <c r="AF1814" s="625"/>
      <c r="AG1814" s="625"/>
      <c r="AH1814" s="625"/>
      <c r="AI1814" s="625"/>
      <c r="AJ1814" s="625"/>
      <c r="AK1814" s="625"/>
      <c r="AL1814" s="625">
        <v>2839.0634799999998</v>
      </c>
      <c r="AM1814" s="625">
        <v>2850.1515600000002</v>
      </c>
      <c r="AN1814" s="625">
        <v>3042.5059500000002</v>
      </c>
      <c r="AO1814" s="625">
        <v>3307.5655499999998</v>
      </c>
      <c r="AP1814" s="41" t="str">
        <f t="shared" si="835"/>
        <v>Def TaxN</v>
      </c>
      <c r="AQ1814" s="41" t="str">
        <f t="shared" si="836"/>
        <v>Def TaxNN10Energy Efficiency Portfolio Standard</v>
      </c>
      <c r="AR1814" s="41" t="str">
        <f t="shared" si="837"/>
        <v>N10Energy Efficiency Portfolio StandardNCR</v>
      </c>
    </row>
    <row r="1815" spans="1:44" s="41" customFormat="1" ht="12.75" customHeight="1">
      <c r="A1815" s="442" t="s">
        <v>1590</v>
      </c>
      <c r="B1815" s="442" t="str">
        <f t="shared" ref="B1815" si="843">CONCATENATE(A1815,C1815,D1815,E1815)</f>
        <v>Def Tax190502BT010390</v>
      </c>
      <c r="C1815" s="736">
        <v>190502</v>
      </c>
      <c r="D1815" s="735"/>
      <c r="E1815" s="626" t="s">
        <v>2126</v>
      </c>
      <c r="F1815" s="626" t="str">
        <f t="shared" si="812"/>
        <v>ADIT-REG-FEDERAL-GAS</v>
      </c>
      <c r="G1815" s="626" t="s">
        <v>4557</v>
      </c>
      <c r="H1815" s="736" t="s">
        <v>2125</v>
      </c>
      <c r="I1815" s="25"/>
      <c r="J1815" s="442" t="s">
        <v>7</v>
      </c>
      <c r="K1815" s="442"/>
      <c r="L1815" s="736" t="s">
        <v>2436</v>
      </c>
      <c r="M1815" s="25" t="str">
        <f t="shared" si="838"/>
        <v>N</v>
      </c>
      <c r="N1815" s="25" t="str">
        <f>IF(L1815&lt;&gt;"",VLOOKUP(L1815,Categories!$B$2:$D$41,2,FALSE),IF(F1815&lt;&gt;"","No Cat",""))</f>
        <v>NRBASE</v>
      </c>
      <c r="O1815" s="25" t="str">
        <f>IF($L1815&lt;&gt;"",VLOOKUP($L1815,Categories!$B$2:$D$41,3,FALSE),IF($F1815&lt;&gt;"","No Cat",""))</f>
        <v>Deferrals Accruing Non-Cash Return   (other than ASGA)</v>
      </c>
      <c r="P1815" s="736" t="s">
        <v>2468</v>
      </c>
      <c r="Q1815" s="25" t="str">
        <f>VLOOKUP($P1815,Allocators!$B$7:$F$19,5,FALSE)</f>
        <v>Not in Rate Base</v>
      </c>
      <c r="R1815" s="737">
        <f>VLOOKUP($P1815,Allocators!$B$7:$F$19,2,FALSE)</f>
        <v>0</v>
      </c>
      <c r="S1815" s="737">
        <f>VLOOKUP($P1815,Allocators!$B$7:$F$19,3,FALSE)</f>
        <v>0</v>
      </c>
      <c r="T1815" s="737">
        <f t="shared" si="831"/>
        <v>1</v>
      </c>
      <c r="U1815" s="2">
        <f t="shared" si="806"/>
        <v>0</v>
      </c>
      <c r="V1815" s="2">
        <f t="shared" si="807"/>
        <v>0</v>
      </c>
      <c r="W1815" s="2">
        <f t="shared" si="808"/>
        <v>7.9242175000000001</v>
      </c>
      <c r="X1815" s="2">
        <f t="shared" si="839"/>
        <v>7.9242175000000001</v>
      </c>
      <c r="Y1815" s="2">
        <f t="shared" si="809"/>
        <v>0</v>
      </c>
      <c r="Z1815" s="2">
        <f t="shared" si="810"/>
        <v>0</v>
      </c>
      <c r="AA1815" s="2">
        <f t="shared" si="811"/>
        <v>190.18122</v>
      </c>
      <c r="AB1815" s="2">
        <f t="shared" si="840"/>
        <v>190.18122</v>
      </c>
      <c r="AC1815" s="625"/>
      <c r="AD1815" s="625"/>
      <c r="AE1815" s="625"/>
      <c r="AF1815" s="625"/>
      <c r="AG1815" s="625"/>
      <c r="AH1815" s="625"/>
      <c r="AI1815" s="625"/>
      <c r="AJ1815" s="625"/>
      <c r="AK1815" s="625"/>
      <c r="AL1815" s="625"/>
      <c r="AM1815" s="625"/>
      <c r="AN1815" s="625"/>
      <c r="AO1815" s="625">
        <v>190.18122</v>
      </c>
      <c r="AP1815" s="41" t="str">
        <f t="shared" si="835"/>
        <v>Def TaxN</v>
      </c>
      <c r="AQ1815" s="41" t="str">
        <f t="shared" si="836"/>
        <v>Def TaxNN10Mixed Use 263(a)</v>
      </c>
      <c r="AR1815" s="41" t="str">
        <f t="shared" si="837"/>
        <v>N10Mixed Use 263(a)NCR</v>
      </c>
    </row>
    <row r="1816" spans="1:44" s="41" customFormat="1" ht="12.75" customHeight="1">
      <c r="A1816" s="442" t="s">
        <v>1590</v>
      </c>
      <c r="B1816" s="442" t="str">
        <f t="shared" si="817"/>
        <v>Def Tax190502Tree TrimmingBG030595</v>
      </c>
      <c r="C1816" s="736">
        <v>190502</v>
      </c>
      <c r="D1816" s="735" t="s">
        <v>2034</v>
      </c>
      <c r="E1816" s="626" t="s">
        <v>1284</v>
      </c>
      <c r="F1816" s="626" t="str">
        <f t="shared" si="812"/>
        <v>ADIT-REG-FEDERAL-GAS</v>
      </c>
      <c r="G1816" s="626" t="s">
        <v>2006</v>
      </c>
      <c r="H1816" s="736" t="s">
        <v>1119</v>
      </c>
      <c r="I1816" s="442"/>
      <c r="J1816" s="442" t="s">
        <v>7</v>
      </c>
      <c r="K1816" s="442" t="str">
        <f t="shared" si="813"/>
        <v/>
      </c>
      <c r="L1816" s="736" t="s">
        <v>2436</v>
      </c>
      <c r="M1816" s="442" t="str">
        <f t="shared" si="838"/>
        <v>N</v>
      </c>
      <c r="N1816" s="442" t="str">
        <f>IF(L1816&lt;&gt;"",VLOOKUP(L1816,Categories!$B$2:$D$41,2,FALSE),IF(F1816&lt;&gt;"","No Cat",""))</f>
        <v>NRBASE</v>
      </c>
      <c r="O1816" s="442" t="str">
        <f>IF($L1816&lt;&gt;"",VLOOKUP($L1816,Categories!$B$2:$D$41,3,FALSE),IF($F1816&lt;&gt;"","No Cat",""))</f>
        <v>Deferrals Accruing Non-Cash Return   (other than ASGA)</v>
      </c>
      <c r="P1816" s="736" t="s">
        <v>2468</v>
      </c>
      <c r="Q1816" s="442" t="str">
        <f>VLOOKUP($P1816,Allocators!$B$7:$F$19,5,FALSE)</f>
        <v>Not in Rate Base</v>
      </c>
      <c r="R1816" s="737">
        <f>VLOOKUP($P1816,Allocators!$B$7:$F$19,2,FALSE)</f>
        <v>0</v>
      </c>
      <c r="S1816" s="737">
        <f>VLOOKUP($P1816,Allocators!$B$7:$F$19,3,FALSE)</f>
        <v>0</v>
      </c>
      <c r="T1816" s="737">
        <f t="shared" si="831"/>
        <v>1</v>
      </c>
      <c r="U1816" s="2">
        <f t="shared" si="806"/>
        <v>0</v>
      </c>
      <c r="V1816" s="2">
        <f t="shared" si="807"/>
        <v>0</v>
      </c>
      <c r="W1816" s="2">
        <f t="shared" si="808"/>
        <v>44.513132916666699</v>
      </c>
      <c r="X1816" s="2">
        <f t="shared" si="839"/>
        <v>44.513132916666699</v>
      </c>
      <c r="Y1816" s="2">
        <f t="shared" si="809"/>
        <v>0</v>
      </c>
      <c r="Z1816" s="2">
        <f t="shared" si="810"/>
        <v>0</v>
      </c>
      <c r="AA1816" s="2">
        <f t="shared" si="811"/>
        <v>68.57987</v>
      </c>
      <c r="AB1816" s="2">
        <f t="shared" si="840"/>
        <v>68.57987</v>
      </c>
      <c r="AC1816" s="625">
        <v>9.2980000000000007E-2</v>
      </c>
      <c r="AD1816" s="625">
        <v>6.6286700000000005</v>
      </c>
      <c r="AE1816" s="625">
        <v>15.557649999999999</v>
      </c>
      <c r="AF1816" s="625">
        <v>25.501819999999999</v>
      </c>
      <c r="AG1816" s="625">
        <v>35.445989999999995</v>
      </c>
      <c r="AH1816" s="625">
        <v>43.478070000000002</v>
      </c>
      <c r="AI1816" s="625">
        <v>50.755339999999997</v>
      </c>
      <c r="AJ1816" s="625">
        <v>59.540839999999996</v>
      </c>
      <c r="AK1816" s="625">
        <v>57.484989999999996</v>
      </c>
      <c r="AL1816" s="625">
        <v>61.189209999999996</v>
      </c>
      <c r="AM1816" s="625">
        <v>69.238420000000005</v>
      </c>
      <c r="AN1816" s="625">
        <v>75.000169999999997</v>
      </c>
      <c r="AO1816" s="625">
        <v>68.57987</v>
      </c>
      <c r="AP1816" s="41" t="str">
        <f t="shared" si="835"/>
        <v>Def TaxN</v>
      </c>
      <c r="AQ1816" s="41" t="str">
        <f t="shared" si="836"/>
        <v>Def TaxNN10Vegetation Management</v>
      </c>
      <c r="AR1816" s="41" t="str">
        <f t="shared" si="837"/>
        <v>N10Vegetation ManagementNCR</v>
      </c>
    </row>
    <row r="1817" spans="1:44" s="41" customFormat="1" ht="12.75" customHeight="1">
      <c r="A1817" s="442" t="s">
        <v>1590</v>
      </c>
      <c r="B1817" s="442" t="str">
        <f t="shared" si="817"/>
        <v>Def Tax190511SERP RegLiaSBT030561/
BT130561</v>
      </c>
      <c r="C1817" s="736">
        <v>190511</v>
      </c>
      <c r="D1817" s="735" t="s">
        <v>2011</v>
      </c>
      <c r="E1817" s="626" t="s">
        <v>1988</v>
      </c>
      <c r="F1817" s="626" t="str">
        <f t="shared" si="812"/>
        <v>ADIT-REG-STATE-ELECTRIC</v>
      </c>
      <c r="G1817" s="626" t="s">
        <v>2035</v>
      </c>
      <c r="H1817" s="736" t="s">
        <v>810</v>
      </c>
      <c r="I1817" s="442"/>
      <c r="J1817" s="442" t="str">
        <f t="shared" si="814"/>
        <v/>
      </c>
      <c r="K1817" s="442" t="str">
        <f t="shared" si="813"/>
        <v/>
      </c>
      <c r="L1817" s="736" t="s">
        <v>2421</v>
      </c>
      <c r="M1817" s="442" t="str">
        <f t="shared" si="838"/>
        <v>N</v>
      </c>
      <c r="N1817" s="442" t="str">
        <f>IF(L1817&lt;&gt;"",VLOOKUP(L1817,Categories!$B$2:$D$41,2,FALSE),IF(F1817&lt;&gt;"","No Cat",""))</f>
        <v>NRBASE</v>
      </c>
      <c r="O1817" s="442" t="str">
        <f>IF($L1817&lt;&gt;"",VLOOKUP($L1817,Categories!$B$2:$D$41,3,FALSE),IF($F1817&lt;&gt;"","No Cat",""))</f>
        <v>Direct Assign Items Not in RB</v>
      </c>
      <c r="P1817" s="736" t="s">
        <v>2468</v>
      </c>
      <c r="Q1817" s="442" t="str">
        <f>VLOOKUP($P1817,Allocators!$B$7:$F$19,5,FALSE)</f>
        <v>Not in Rate Base</v>
      </c>
      <c r="R1817" s="737">
        <f>VLOOKUP($P1817,Allocators!$B$7:$F$19,2,FALSE)</f>
        <v>0</v>
      </c>
      <c r="S1817" s="737">
        <f>VLOOKUP($P1817,Allocators!$B$7:$F$19,3,FALSE)</f>
        <v>0</v>
      </c>
      <c r="T1817" s="737">
        <f t="shared" si="831"/>
        <v>1</v>
      </c>
      <c r="U1817" s="2" t="str">
        <f t="shared" ref="U1817:U1880" si="844">IF(ABS(X1817)=0,"",IF($R1817="NO ALLOC","NO ALLOC",ROUND($R1817*X1817,15)))</f>
        <v/>
      </c>
      <c r="V1817" s="2" t="str">
        <f t="shared" ref="V1817:V1880" si="845">IF(ABS(X1817)=0,"",IF($S1817="NO ALLOC","NO ALLOC",ROUND($S1817*X1817,15)))</f>
        <v/>
      </c>
      <c r="W1817" s="2" t="str">
        <f t="shared" ref="W1817:W1880" si="846">IF(ABS(X1817)=0,"",IF($T1817="NO ALLOC","NO ALLOC",ROUND($T1817*X1817,15)))</f>
        <v/>
      </c>
      <c r="X1817" s="2">
        <f t="shared" si="839"/>
        <v>0</v>
      </c>
      <c r="Y1817" s="2" t="str">
        <f t="shared" ref="Y1817:Y1880" si="847">IF(ABS(AB1817)=0,"",IF($R1817="NO ALLOC","NO ALLOC",ROUND($R1817*AB1817,15)))</f>
        <v/>
      </c>
      <c r="Z1817" s="2" t="str">
        <f t="shared" ref="Z1817:Z1880" si="848">IF(ABS(AB1817)=0,"",IF($S1817="NO ALLOC","NO ALLOC",ROUND($S1817*AB1817,15)))</f>
        <v/>
      </c>
      <c r="AA1817" s="2" t="str">
        <f t="shared" ref="AA1817:AA1880" si="849">IF(ABS(AB1817)=0,"",IF($T1817="NO ALLOC","NO ALLOC",ROUND($T1817*AB1817,15)))</f>
        <v/>
      </c>
      <c r="AB1817" s="2">
        <f t="shared" si="840"/>
        <v>0</v>
      </c>
      <c r="AC1817" s="625">
        <v>0</v>
      </c>
      <c r="AD1817" s="625">
        <v>0</v>
      </c>
      <c r="AE1817" s="625">
        <v>0</v>
      </c>
      <c r="AF1817" s="625">
        <v>0</v>
      </c>
      <c r="AG1817" s="625">
        <v>0</v>
      </c>
      <c r="AH1817" s="625">
        <v>0</v>
      </c>
      <c r="AI1817" s="625">
        <v>0</v>
      </c>
      <c r="AJ1817" s="625">
        <v>0</v>
      </c>
      <c r="AK1817" s="625">
        <v>0</v>
      </c>
      <c r="AL1817" s="625">
        <v>0</v>
      </c>
      <c r="AM1817" s="625">
        <v>0</v>
      </c>
      <c r="AN1817" s="625">
        <v>0</v>
      </c>
      <c r="AO1817" s="625">
        <v>0</v>
      </c>
      <c r="AP1817" s="41" t="str">
        <f t="shared" si="835"/>
        <v>Def TaxN</v>
      </c>
      <c r="AQ1817" s="41" t="str">
        <f t="shared" si="836"/>
        <v>Def TaxNN2SERP</v>
      </c>
      <c r="AR1817" s="41" t="str">
        <f t="shared" si="837"/>
        <v>N2SERP</v>
      </c>
    </row>
    <row r="1818" spans="1:44" s="41" customFormat="1" ht="12.75" customHeight="1">
      <c r="A1818" s="25" t="s">
        <v>1590</v>
      </c>
      <c r="B1818" s="25" t="str">
        <f t="shared" si="817"/>
        <v>Def Tax190511283-049BE030427</v>
      </c>
      <c r="C1818" s="736">
        <v>190511</v>
      </c>
      <c r="D1818" s="735" t="s">
        <v>1888</v>
      </c>
      <c r="E1818" s="41" t="s">
        <v>1331</v>
      </c>
      <c r="F1818" s="41" t="str">
        <f t="shared" si="812"/>
        <v>ADIT-REG-STATE-ELECTRIC</v>
      </c>
      <c r="G1818" s="41" t="s">
        <v>1889</v>
      </c>
      <c r="H1818" s="736" t="s">
        <v>1890</v>
      </c>
      <c r="I1818" s="25"/>
      <c r="J1818" s="25" t="str">
        <f t="shared" si="814"/>
        <v/>
      </c>
      <c r="K1818" s="442" t="str">
        <f t="shared" si="813"/>
        <v/>
      </c>
      <c r="L1818" s="736" t="s">
        <v>2443</v>
      </c>
      <c r="M1818" s="25" t="str">
        <f t="shared" si="838"/>
        <v>R</v>
      </c>
      <c r="N1818" s="25" t="str">
        <f>IF(L1818&lt;&gt;"",VLOOKUP(L1818,Categories!$B$2:$D$41,2,FALSE),IF(F1818&lt;&gt;"","No Cat",""))</f>
        <v>Rate Base</v>
      </c>
      <c r="O1818" s="25" t="str">
        <f>IF($L1818&lt;&gt;"",VLOOKUP($L1818,Categories!$B$2:$D$41,3,FALSE),IF($F1818&lt;&gt;"","No Cat",""))</f>
        <v>Deferred Income Taxes</v>
      </c>
      <c r="P1818" s="736" t="s">
        <v>2482</v>
      </c>
      <c r="Q1818" s="25" t="str">
        <f>VLOOKUP($P1818,Allocators!$B$7:$F$19,5,FALSE)</f>
        <v>Electric</v>
      </c>
      <c r="R1818" s="737">
        <f>VLOOKUP($P1818,Allocators!$B$7:$F$19,2,FALSE)</f>
        <v>1</v>
      </c>
      <c r="S1818" s="737">
        <f>VLOOKUP($P1818,Allocators!$B$7:$F$19,3,FALSE)</f>
        <v>0</v>
      </c>
      <c r="T1818" s="737" t="str">
        <f t="shared" si="831"/>
        <v>0.0%</v>
      </c>
      <c r="U1818" s="2" t="str">
        <f t="shared" si="844"/>
        <v/>
      </c>
      <c r="V1818" s="2" t="str">
        <f t="shared" si="845"/>
        <v/>
      </c>
      <c r="W1818" s="2" t="str">
        <f t="shared" si="846"/>
        <v/>
      </c>
      <c r="X1818" s="2">
        <f t="shared" si="839"/>
        <v>0</v>
      </c>
      <c r="Y1818" s="2" t="str">
        <f t="shared" si="847"/>
        <v/>
      </c>
      <c r="Z1818" s="2" t="str">
        <f t="shared" si="848"/>
        <v/>
      </c>
      <c r="AA1818" s="2" t="str">
        <f t="shared" si="849"/>
        <v/>
      </c>
      <c r="AB1818" s="2">
        <f t="shared" si="840"/>
        <v>0</v>
      </c>
      <c r="AC1818" s="625">
        <v>0</v>
      </c>
      <c r="AD1818" s="625">
        <v>0</v>
      </c>
      <c r="AE1818" s="625">
        <v>0</v>
      </c>
      <c r="AF1818" s="625">
        <v>0</v>
      </c>
      <c r="AG1818" s="625">
        <v>0</v>
      </c>
      <c r="AH1818" s="625">
        <v>0</v>
      </c>
      <c r="AI1818" s="625">
        <v>0</v>
      </c>
      <c r="AJ1818" s="625">
        <v>0</v>
      </c>
      <c r="AK1818" s="625">
        <v>0</v>
      </c>
      <c r="AL1818" s="625">
        <v>0</v>
      </c>
      <c r="AM1818" s="625">
        <v>0</v>
      </c>
      <c r="AN1818" s="625">
        <v>0</v>
      </c>
      <c r="AO1818" s="625">
        <v>0</v>
      </c>
      <c r="AP1818" s="41" t="str">
        <f t="shared" si="835"/>
        <v>Def TaxR</v>
      </c>
      <c r="AQ1818" s="41" t="str">
        <f t="shared" si="836"/>
        <v>Def TaxRR11Beebee</v>
      </c>
      <c r="AR1818" s="41" t="str">
        <f t="shared" si="837"/>
        <v>R11Beebee</v>
      </c>
    </row>
    <row r="1819" spans="1:44" s="41" customFormat="1" ht="12.75" customHeight="1">
      <c r="A1819" s="25" t="s">
        <v>1590</v>
      </c>
      <c r="B1819" s="25" t="str">
        <f t="shared" si="817"/>
        <v>Def Tax190511283-071-JPBTHUNGDT</v>
      </c>
      <c r="C1819" s="736">
        <v>190511</v>
      </c>
      <c r="D1819" s="735" t="s">
        <v>2036</v>
      </c>
      <c r="E1819" s="41" t="s">
        <v>1624</v>
      </c>
      <c r="F1819" s="41" t="str">
        <f t="shared" si="812"/>
        <v>ADIT-REG-STATE-ELECTRIC</v>
      </c>
      <c r="G1819" s="41" t="s">
        <v>1895</v>
      </c>
      <c r="H1819" s="736" t="s">
        <v>1893</v>
      </c>
      <c r="I1819" s="25"/>
      <c r="J1819" s="25" t="str">
        <f t="shared" si="814"/>
        <v/>
      </c>
      <c r="K1819" s="442" t="str">
        <f t="shared" si="813"/>
        <v/>
      </c>
      <c r="L1819" s="736" t="s">
        <v>2443</v>
      </c>
      <c r="M1819" s="25" t="str">
        <f t="shared" si="838"/>
        <v>R</v>
      </c>
      <c r="N1819" s="25" t="str">
        <f>IF(L1819&lt;&gt;"",VLOOKUP(L1819,Categories!$B$2:$D$41,2,FALSE),IF(F1819&lt;&gt;"","No Cat",""))</f>
        <v>Rate Base</v>
      </c>
      <c r="O1819" s="25" t="str">
        <f>IF($L1819&lt;&gt;"",VLOOKUP($L1819,Categories!$B$2:$D$41,3,FALSE),IF($F1819&lt;&gt;"","No Cat",""))</f>
        <v>Deferred Income Taxes</v>
      </c>
      <c r="P1819" s="736" t="s">
        <v>2482</v>
      </c>
      <c r="Q1819" s="25" t="str">
        <f>VLOOKUP($P1819,Allocators!$B$7:$F$19,5,FALSE)</f>
        <v>Electric</v>
      </c>
      <c r="R1819" s="737">
        <f>VLOOKUP($P1819,Allocators!$B$7:$F$19,2,FALSE)</f>
        <v>1</v>
      </c>
      <c r="S1819" s="737">
        <f>VLOOKUP($P1819,Allocators!$B$7:$F$19,3,FALSE)</f>
        <v>0</v>
      </c>
      <c r="T1819" s="737" t="str">
        <f t="shared" si="831"/>
        <v>0.0%</v>
      </c>
      <c r="U1819" s="2" t="str">
        <f t="shared" si="844"/>
        <v/>
      </c>
      <c r="V1819" s="2" t="str">
        <f t="shared" si="845"/>
        <v/>
      </c>
      <c r="W1819" s="2" t="str">
        <f t="shared" si="846"/>
        <v/>
      </c>
      <c r="X1819" s="2">
        <f t="shared" si="839"/>
        <v>0</v>
      </c>
      <c r="Y1819" s="2" t="str">
        <f t="shared" si="847"/>
        <v/>
      </c>
      <c r="Z1819" s="2" t="str">
        <f t="shared" si="848"/>
        <v/>
      </c>
      <c r="AA1819" s="2" t="str">
        <f t="shared" si="849"/>
        <v/>
      </c>
      <c r="AB1819" s="2">
        <f t="shared" si="840"/>
        <v>0</v>
      </c>
      <c r="AC1819" s="625">
        <v>0</v>
      </c>
      <c r="AD1819" s="625">
        <v>0</v>
      </c>
      <c r="AE1819" s="625">
        <v>0</v>
      </c>
      <c r="AF1819" s="625">
        <v>0</v>
      </c>
      <c r="AG1819" s="625">
        <v>0</v>
      </c>
      <c r="AH1819" s="625">
        <v>0</v>
      </c>
      <c r="AI1819" s="625">
        <v>0</v>
      </c>
      <c r="AJ1819" s="625">
        <v>0</v>
      </c>
      <c r="AK1819" s="625">
        <v>0</v>
      </c>
      <c r="AL1819" s="625">
        <v>0</v>
      </c>
      <c r="AM1819" s="625">
        <v>0</v>
      </c>
      <c r="AN1819" s="625">
        <v>0</v>
      </c>
      <c r="AO1819" s="625">
        <v>0</v>
      </c>
      <c r="AP1819" s="41" t="str">
        <f t="shared" si="835"/>
        <v>Def TaxR</v>
      </c>
      <c r="AQ1819" s="41" t="str">
        <f t="shared" si="836"/>
        <v>Def TaxRR112003 Blackout</v>
      </c>
      <c r="AR1819" s="41" t="str">
        <f t="shared" si="837"/>
        <v>R112003 Blackout</v>
      </c>
    </row>
    <row r="1820" spans="1:44" s="41" customFormat="1" ht="12.75" customHeight="1">
      <c r="A1820" s="442" t="s">
        <v>1590</v>
      </c>
      <c r="B1820" s="442" t="str">
        <f t="shared" si="817"/>
        <v>Def Tax190511BE030579</v>
      </c>
      <c r="C1820" s="736">
        <v>190511</v>
      </c>
      <c r="D1820" s="735"/>
      <c r="E1820" s="626" t="s">
        <v>765</v>
      </c>
      <c r="F1820" s="626" t="str">
        <f t="shared" si="812"/>
        <v>ADIT-REG-STATE-ELECTRIC</v>
      </c>
      <c r="G1820" s="626" t="s">
        <v>1896</v>
      </c>
      <c r="H1820" s="736" t="s">
        <v>1218</v>
      </c>
      <c r="I1820" s="442"/>
      <c r="J1820" s="442" t="str">
        <f t="shared" si="814"/>
        <v/>
      </c>
      <c r="K1820" s="442" t="str">
        <f t="shared" si="813"/>
        <v/>
      </c>
      <c r="L1820" s="736" t="s">
        <v>2421</v>
      </c>
      <c r="M1820" s="442" t="str">
        <f t="shared" si="838"/>
        <v>N</v>
      </c>
      <c r="N1820" s="442" t="str">
        <f>IF(L1820&lt;&gt;"",VLOOKUP(L1820,Categories!$B$2:$D$41,2,FALSE),IF(F1820&lt;&gt;"","No Cat",""))</f>
        <v>NRBASE</v>
      </c>
      <c r="O1820" s="442" t="str">
        <f>IF($L1820&lt;&gt;"",VLOOKUP($L1820,Categories!$B$2:$D$41,3,FALSE),IF($F1820&lt;&gt;"","No Cat",""))</f>
        <v>Direct Assign Items Not in RB</v>
      </c>
      <c r="P1820" s="736" t="s">
        <v>2468</v>
      </c>
      <c r="Q1820" s="442" t="str">
        <f>VLOOKUP($P1820,Allocators!$B$7:$F$19,5,FALSE)</f>
        <v>Not in Rate Base</v>
      </c>
      <c r="R1820" s="737">
        <f>VLOOKUP($P1820,Allocators!$B$7:$F$19,2,FALSE)</f>
        <v>0</v>
      </c>
      <c r="S1820" s="737">
        <f>VLOOKUP($P1820,Allocators!$B$7:$F$19,3,FALSE)</f>
        <v>0</v>
      </c>
      <c r="T1820" s="737">
        <f t="shared" si="831"/>
        <v>1</v>
      </c>
      <c r="U1820" s="2">
        <f t="shared" si="844"/>
        <v>0</v>
      </c>
      <c r="V1820" s="2">
        <f t="shared" si="845"/>
        <v>0</v>
      </c>
      <c r="W1820" s="2">
        <f t="shared" si="846"/>
        <v>710</v>
      </c>
      <c r="X1820" s="2">
        <f t="shared" si="839"/>
        <v>710</v>
      </c>
      <c r="Y1820" s="2">
        <f t="shared" si="847"/>
        <v>0</v>
      </c>
      <c r="Z1820" s="2">
        <f t="shared" si="848"/>
        <v>0</v>
      </c>
      <c r="AA1820" s="2">
        <f t="shared" si="849"/>
        <v>710</v>
      </c>
      <c r="AB1820" s="2">
        <f t="shared" si="840"/>
        <v>710</v>
      </c>
      <c r="AC1820" s="625">
        <v>710</v>
      </c>
      <c r="AD1820" s="625">
        <v>710</v>
      </c>
      <c r="AE1820" s="625">
        <v>710</v>
      </c>
      <c r="AF1820" s="625">
        <v>710</v>
      </c>
      <c r="AG1820" s="625">
        <v>710</v>
      </c>
      <c r="AH1820" s="625">
        <v>710</v>
      </c>
      <c r="AI1820" s="625">
        <v>710</v>
      </c>
      <c r="AJ1820" s="625">
        <v>710</v>
      </c>
      <c r="AK1820" s="625">
        <v>710</v>
      </c>
      <c r="AL1820" s="625">
        <v>710</v>
      </c>
      <c r="AM1820" s="625">
        <v>710</v>
      </c>
      <c r="AN1820" s="625">
        <v>710</v>
      </c>
      <c r="AO1820" s="625">
        <v>710</v>
      </c>
      <c r="AP1820" s="41" t="str">
        <f t="shared" si="835"/>
        <v>Def TaxN</v>
      </c>
      <c r="AQ1820" s="41" t="str">
        <f t="shared" si="836"/>
        <v>Def TaxNN2CapEx Customer Credit</v>
      </c>
      <c r="AR1820" s="41" t="str">
        <f t="shared" si="837"/>
        <v>N2CapEx Customer Credit</v>
      </c>
    </row>
    <row r="1821" spans="1:44" s="41" customFormat="1" ht="12.75" customHeight="1">
      <c r="A1821" s="442" t="s">
        <v>1590</v>
      </c>
      <c r="B1821" s="442" t="str">
        <f t="shared" si="817"/>
        <v>Def Tax190511Clean AirBT010037</v>
      </c>
      <c r="C1821" s="736">
        <v>190511</v>
      </c>
      <c r="D1821" s="735" t="s">
        <v>1897</v>
      </c>
      <c r="E1821" s="626" t="s">
        <v>1782</v>
      </c>
      <c r="F1821" s="626" t="str">
        <f t="shared" si="812"/>
        <v>ADIT-REG-STATE-ELECTRIC</v>
      </c>
      <c r="G1821" s="626" t="s">
        <v>1898</v>
      </c>
      <c r="H1821" s="736" t="s">
        <v>1784</v>
      </c>
      <c r="I1821" s="442"/>
      <c r="J1821" s="442" t="str">
        <f t="shared" si="814"/>
        <v/>
      </c>
      <c r="K1821" s="442" t="str">
        <f t="shared" si="813"/>
        <v/>
      </c>
      <c r="L1821" s="736" t="s">
        <v>2421</v>
      </c>
      <c r="M1821" s="442" t="str">
        <f t="shared" si="838"/>
        <v>N</v>
      </c>
      <c r="N1821" s="442" t="str">
        <f>IF(L1821&lt;&gt;"",VLOOKUP(L1821,Categories!$B$2:$D$41,2,FALSE),IF(F1821&lt;&gt;"","No Cat",""))</f>
        <v>NRBASE</v>
      </c>
      <c r="O1821" s="442" t="str">
        <f>IF($L1821&lt;&gt;"",VLOOKUP($L1821,Categories!$B$2:$D$41,3,FALSE),IF($F1821&lt;&gt;"","No Cat",""))</f>
        <v>Direct Assign Items Not in RB</v>
      </c>
      <c r="P1821" s="736" t="s">
        <v>2468</v>
      </c>
      <c r="Q1821" s="442" t="str">
        <f>VLOOKUP($P1821,Allocators!$B$7:$F$19,5,FALSE)</f>
        <v>Not in Rate Base</v>
      </c>
      <c r="R1821" s="737">
        <f>VLOOKUP($P1821,Allocators!$B$7:$F$19,2,FALSE)</f>
        <v>0</v>
      </c>
      <c r="S1821" s="737">
        <f>VLOOKUP($P1821,Allocators!$B$7:$F$19,3,FALSE)</f>
        <v>0</v>
      </c>
      <c r="T1821" s="737">
        <f t="shared" si="831"/>
        <v>1</v>
      </c>
      <c r="U1821" s="2">
        <f t="shared" si="844"/>
        <v>0</v>
      </c>
      <c r="V1821" s="2">
        <f t="shared" si="845"/>
        <v>0</v>
      </c>
      <c r="W1821" s="2">
        <f t="shared" si="846"/>
        <v>48.524932499999998</v>
      </c>
      <c r="X1821" s="2">
        <f t="shared" si="839"/>
        <v>48.524932499999998</v>
      </c>
      <c r="Y1821" s="2">
        <f t="shared" si="847"/>
        <v>0</v>
      </c>
      <c r="Z1821" s="2">
        <f t="shared" si="848"/>
        <v>0</v>
      </c>
      <c r="AA1821" s="2">
        <f t="shared" si="849"/>
        <v>48.526620000000001</v>
      </c>
      <c r="AB1821" s="2">
        <f t="shared" si="840"/>
        <v>48.526620000000001</v>
      </c>
      <c r="AC1821" s="625">
        <v>48.522120000000001</v>
      </c>
      <c r="AD1821" s="625">
        <v>48.522120000000001</v>
      </c>
      <c r="AE1821" s="625">
        <v>48.522120000000001</v>
      </c>
      <c r="AF1821" s="625">
        <v>48.522120000000001</v>
      </c>
      <c r="AG1821" s="625">
        <v>48.522120000000001</v>
      </c>
      <c r="AH1821" s="625">
        <v>48.526620000000001</v>
      </c>
      <c r="AI1821" s="625">
        <v>48.526620000000001</v>
      </c>
      <c r="AJ1821" s="625">
        <v>48.526620000000001</v>
      </c>
      <c r="AK1821" s="625">
        <v>48.526620000000001</v>
      </c>
      <c r="AL1821" s="625">
        <v>48.526620000000001</v>
      </c>
      <c r="AM1821" s="625">
        <v>48.526620000000001</v>
      </c>
      <c r="AN1821" s="625">
        <v>48.526620000000001</v>
      </c>
      <c r="AO1821" s="625">
        <v>48.526620000000001</v>
      </c>
      <c r="AP1821" s="41" t="str">
        <f t="shared" si="835"/>
        <v>Def TaxN</v>
      </c>
      <c r="AQ1821" s="41" t="str">
        <f t="shared" si="836"/>
        <v>Def TaxNN2Clean Air Act Allowance</v>
      </c>
      <c r="AR1821" s="41" t="str">
        <f t="shared" si="837"/>
        <v>N2Clean Air Act Allowance</v>
      </c>
    </row>
    <row r="1822" spans="1:44" s="41" customFormat="1" ht="12.75" customHeight="1">
      <c r="A1822" s="442" t="s">
        <v>1590</v>
      </c>
      <c r="B1822" s="442" t="str">
        <f t="shared" si="817"/>
        <v>Def Tax190511Econ DevelopBT010069</v>
      </c>
      <c r="C1822" s="736">
        <v>190511</v>
      </c>
      <c r="D1822" s="735" t="s">
        <v>1902</v>
      </c>
      <c r="E1822" s="626" t="s">
        <v>1903</v>
      </c>
      <c r="F1822" s="626" t="str">
        <f t="shared" si="812"/>
        <v>ADIT-REG-STATE-ELECTRIC</v>
      </c>
      <c r="G1822" s="626" t="s">
        <v>1904</v>
      </c>
      <c r="H1822" s="736" t="s">
        <v>1309</v>
      </c>
      <c r="I1822" s="442"/>
      <c r="J1822" s="442" t="str">
        <f t="shared" si="814"/>
        <v/>
      </c>
      <c r="K1822" s="442" t="str">
        <f t="shared" si="813"/>
        <v/>
      </c>
      <c r="L1822" s="736" t="s">
        <v>2421</v>
      </c>
      <c r="M1822" s="442" t="str">
        <f t="shared" si="838"/>
        <v>N</v>
      </c>
      <c r="N1822" s="442" t="str">
        <f>IF(L1822&lt;&gt;"",VLOOKUP(L1822,Categories!$B$2:$D$41,2,FALSE),IF(F1822&lt;&gt;"","No Cat",""))</f>
        <v>NRBASE</v>
      </c>
      <c r="O1822" s="442" t="str">
        <f>IF($L1822&lt;&gt;"",VLOOKUP($L1822,Categories!$B$2:$D$41,3,FALSE),IF($F1822&lt;&gt;"","No Cat",""))</f>
        <v>Direct Assign Items Not in RB</v>
      </c>
      <c r="P1822" s="736" t="s">
        <v>2468</v>
      </c>
      <c r="Q1822" s="442" t="str">
        <f>VLOOKUP($P1822,Allocators!$B$7:$F$19,5,FALSE)</f>
        <v>Not in Rate Base</v>
      </c>
      <c r="R1822" s="737">
        <f>VLOOKUP($P1822,Allocators!$B$7:$F$19,2,FALSE)</f>
        <v>0</v>
      </c>
      <c r="S1822" s="737">
        <f>VLOOKUP($P1822,Allocators!$B$7:$F$19,3,FALSE)</f>
        <v>0</v>
      </c>
      <c r="T1822" s="737">
        <f t="shared" si="831"/>
        <v>1</v>
      </c>
      <c r="U1822" s="2">
        <f t="shared" si="844"/>
        <v>0</v>
      </c>
      <c r="V1822" s="2">
        <f t="shared" si="845"/>
        <v>0</v>
      </c>
      <c r="W1822" s="2">
        <f t="shared" si="846"/>
        <v>1018.10986958333</v>
      </c>
      <c r="X1822" s="2">
        <f t="shared" si="839"/>
        <v>1018.10986958333</v>
      </c>
      <c r="Y1822" s="2">
        <f t="shared" si="847"/>
        <v>0</v>
      </c>
      <c r="Z1822" s="2">
        <f t="shared" si="848"/>
        <v>0</v>
      </c>
      <c r="AA1822" s="2">
        <f t="shared" si="849"/>
        <v>1110.73353</v>
      </c>
      <c r="AB1822" s="2">
        <f t="shared" si="840"/>
        <v>1110.73353</v>
      </c>
      <c r="AC1822" s="625">
        <v>914.68777999999998</v>
      </c>
      <c r="AD1822" s="625">
        <v>934.92676000000006</v>
      </c>
      <c r="AE1822" s="625">
        <v>948.33960000000002</v>
      </c>
      <c r="AF1822" s="625">
        <v>974.03552000000002</v>
      </c>
      <c r="AG1822" s="625">
        <v>977.52255000000002</v>
      </c>
      <c r="AH1822" s="625">
        <v>1007.4596700000001</v>
      </c>
      <c r="AI1822" s="625">
        <v>1001.89959</v>
      </c>
      <c r="AJ1822" s="625">
        <v>1031.3636899999999</v>
      </c>
      <c r="AK1822" s="625">
        <v>1061.60896</v>
      </c>
      <c r="AL1822" s="625">
        <v>1076.9624199999998</v>
      </c>
      <c r="AM1822" s="625">
        <v>1106.6778100000001</v>
      </c>
      <c r="AN1822" s="625">
        <v>1083.8112100000001</v>
      </c>
      <c r="AO1822" s="625">
        <v>1110.73353</v>
      </c>
      <c r="AP1822" s="41" t="str">
        <f t="shared" si="835"/>
        <v>Def TaxN</v>
      </c>
      <c r="AQ1822" s="41" t="str">
        <f t="shared" si="836"/>
        <v>Def TaxNN2Economic Development</v>
      </c>
      <c r="AR1822" s="41" t="str">
        <f t="shared" si="837"/>
        <v>N2Economic Development</v>
      </c>
    </row>
    <row r="1823" spans="1:44" s="41" customFormat="1" ht="12.75" customHeight="1">
      <c r="A1823" s="25" t="s">
        <v>1590</v>
      </c>
      <c r="B1823" s="25" t="str">
        <f t="shared" si="817"/>
        <v>Def Tax190511190-096-JPBT010074</v>
      </c>
      <c r="C1823" s="736">
        <v>190511</v>
      </c>
      <c r="D1823" s="735" t="s">
        <v>1905</v>
      </c>
      <c r="E1823" s="41" t="s">
        <v>1906</v>
      </c>
      <c r="F1823" s="41" t="str">
        <f t="shared" si="812"/>
        <v>ADIT-REG-STATE-ELECTRIC</v>
      </c>
      <c r="G1823" s="41" t="s">
        <v>1907</v>
      </c>
      <c r="H1823" s="736" t="s">
        <v>1134</v>
      </c>
      <c r="I1823" s="25"/>
      <c r="J1823" s="25" t="str">
        <f t="shared" si="814"/>
        <v/>
      </c>
      <c r="K1823" s="442" t="str">
        <f t="shared" si="813"/>
        <v/>
      </c>
      <c r="L1823" s="736" t="s">
        <v>2421</v>
      </c>
      <c r="M1823" s="25" t="str">
        <f t="shared" si="838"/>
        <v>N</v>
      </c>
      <c r="N1823" s="25" t="str">
        <f>IF(L1823&lt;&gt;"",VLOOKUP(L1823,Categories!$B$2:$D$41,2,FALSE),IF(F1823&lt;&gt;"","No Cat",""))</f>
        <v>NRBASE</v>
      </c>
      <c r="O1823" s="25" t="str">
        <f>IF($L1823&lt;&gt;"",VLOOKUP($L1823,Categories!$B$2:$D$41,3,FALSE),IF($F1823&lt;&gt;"","No Cat",""))</f>
        <v>Direct Assign Items Not in RB</v>
      </c>
      <c r="P1823" s="736" t="s">
        <v>2468</v>
      </c>
      <c r="Q1823" s="25" t="str">
        <f>VLOOKUP($P1823,Allocators!$B$7:$F$19,5,FALSE)</f>
        <v>Not in Rate Base</v>
      </c>
      <c r="R1823" s="737">
        <f>VLOOKUP($P1823,Allocators!$B$7:$F$19,2,FALSE)</f>
        <v>0</v>
      </c>
      <c r="S1823" s="737">
        <f>VLOOKUP($P1823,Allocators!$B$7:$F$19,3,FALSE)</f>
        <v>0</v>
      </c>
      <c r="T1823" s="737">
        <f t="shared" si="831"/>
        <v>1</v>
      </c>
      <c r="U1823" s="2">
        <f t="shared" si="844"/>
        <v>0</v>
      </c>
      <c r="V1823" s="2">
        <f t="shared" si="845"/>
        <v>0</v>
      </c>
      <c r="W1823" s="2">
        <f t="shared" si="846"/>
        <v>284</v>
      </c>
      <c r="X1823" s="2">
        <f t="shared" si="839"/>
        <v>284</v>
      </c>
      <c r="Y1823" s="2">
        <f t="shared" si="847"/>
        <v>0</v>
      </c>
      <c r="Z1823" s="2">
        <f t="shared" si="848"/>
        <v>0</v>
      </c>
      <c r="AA1823" s="2">
        <f t="shared" si="849"/>
        <v>284</v>
      </c>
      <c r="AB1823" s="2">
        <f t="shared" si="840"/>
        <v>284</v>
      </c>
      <c r="AC1823" s="625">
        <v>284</v>
      </c>
      <c r="AD1823" s="625">
        <v>284</v>
      </c>
      <c r="AE1823" s="625">
        <v>284</v>
      </c>
      <c r="AF1823" s="625">
        <v>284</v>
      </c>
      <c r="AG1823" s="625">
        <v>284</v>
      </c>
      <c r="AH1823" s="625">
        <v>284</v>
      </c>
      <c r="AI1823" s="625">
        <v>284</v>
      </c>
      <c r="AJ1823" s="625">
        <v>284</v>
      </c>
      <c r="AK1823" s="625">
        <v>284</v>
      </c>
      <c r="AL1823" s="625">
        <v>284</v>
      </c>
      <c r="AM1823" s="625">
        <v>284</v>
      </c>
      <c r="AN1823" s="625">
        <v>284</v>
      </c>
      <c r="AO1823" s="625">
        <v>284</v>
      </c>
      <c r="AP1823" s="41" t="str">
        <f t="shared" si="835"/>
        <v>Def TaxN</v>
      </c>
      <c r="AQ1823" s="41" t="str">
        <f t="shared" si="836"/>
        <v>Def TaxNN2Environmental</v>
      </c>
      <c r="AR1823" s="41" t="str">
        <f t="shared" si="837"/>
        <v>N2Environmental</v>
      </c>
    </row>
    <row r="1824" spans="1:44" s="41" customFormat="1" ht="12.75" customHeight="1">
      <c r="A1824" s="442" t="s">
        <v>1590</v>
      </c>
      <c r="B1824" s="442" t="str">
        <f t="shared" si="817"/>
        <v>Def Tax190511ExcessDIT-OffsetBT010079</v>
      </c>
      <c r="C1824" s="736">
        <v>190511</v>
      </c>
      <c r="D1824" s="735" t="s">
        <v>1908</v>
      </c>
      <c r="E1824" s="626" t="s">
        <v>1909</v>
      </c>
      <c r="F1824" s="626" t="str">
        <f t="shared" si="812"/>
        <v>ADIT-REG-STATE-ELECTRIC</v>
      </c>
      <c r="G1824" s="626" t="s">
        <v>1910</v>
      </c>
      <c r="H1824" s="736">
        <v>0</v>
      </c>
      <c r="I1824" s="442"/>
      <c r="J1824" s="442" t="str">
        <f t="shared" si="814"/>
        <v/>
      </c>
      <c r="K1824" s="442" t="str">
        <f t="shared" si="813"/>
        <v/>
      </c>
      <c r="L1824" s="736" t="s">
        <v>2421</v>
      </c>
      <c r="M1824" s="442" t="str">
        <f t="shared" si="838"/>
        <v>N</v>
      </c>
      <c r="N1824" s="442" t="str">
        <f>IF(L1824&lt;&gt;"",VLOOKUP(L1824,Categories!$B$2:$D$41,2,FALSE),IF(F1824&lt;&gt;"","No Cat",""))</f>
        <v>NRBASE</v>
      </c>
      <c r="O1824" s="442" t="str">
        <f>IF($L1824&lt;&gt;"",VLOOKUP($L1824,Categories!$B$2:$D$41,3,FALSE),IF($F1824&lt;&gt;"","No Cat",""))</f>
        <v>Direct Assign Items Not in RB</v>
      </c>
      <c r="P1824" s="736" t="s">
        <v>2468</v>
      </c>
      <c r="Q1824" s="442" t="str">
        <f>VLOOKUP($P1824,Allocators!$B$7:$F$19,5,FALSE)</f>
        <v>Not in Rate Base</v>
      </c>
      <c r="R1824" s="737">
        <f>VLOOKUP($P1824,Allocators!$B$7:$F$19,2,FALSE)</f>
        <v>0</v>
      </c>
      <c r="S1824" s="737">
        <f>VLOOKUP($P1824,Allocators!$B$7:$F$19,3,FALSE)</f>
        <v>0</v>
      </c>
      <c r="T1824" s="737">
        <f t="shared" si="831"/>
        <v>1</v>
      </c>
      <c r="U1824" s="2" t="str">
        <f t="shared" si="844"/>
        <v/>
      </c>
      <c r="V1824" s="2" t="str">
        <f t="shared" si="845"/>
        <v/>
      </c>
      <c r="W1824" s="2" t="str">
        <f t="shared" si="846"/>
        <v/>
      </c>
      <c r="X1824" s="2">
        <f t="shared" si="839"/>
        <v>0</v>
      </c>
      <c r="Y1824" s="2" t="str">
        <f t="shared" si="847"/>
        <v/>
      </c>
      <c r="Z1824" s="2" t="str">
        <f t="shared" si="848"/>
        <v/>
      </c>
      <c r="AA1824" s="2" t="str">
        <f t="shared" si="849"/>
        <v/>
      </c>
      <c r="AB1824" s="2">
        <f t="shared" si="840"/>
        <v>0</v>
      </c>
      <c r="AC1824" s="625">
        <v>0</v>
      </c>
      <c r="AD1824" s="625">
        <v>0</v>
      </c>
      <c r="AE1824" s="625">
        <v>0</v>
      </c>
      <c r="AF1824" s="625">
        <v>0</v>
      </c>
      <c r="AG1824" s="625">
        <v>0</v>
      </c>
      <c r="AH1824" s="625">
        <v>0</v>
      </c>
      <c r="AI1824" s="625">
        <v>0</v>
      </c>
      <c r="AJ1824" s="625">
        <v>0</v>
      </c>
      <c r="AK1824" s="625">
        <v>0</v>
      </c>
      <c r="AL1824" s="625">
        <v>0</v>
      </c>
      <c r="AM1824" s="625">
        <v>0</v>
      </c>
      <c r="AN1824" s="625">
        <v>0</v>
      </c>
      <c r="AO1824" s="625">
        <v>0</v>
      </c>
      <c r="AP1824" s="41" t="str">
        <f t="shared" si="835"/>
        <v>Def TaxN</v>
      </c>
      <c r="AQ1824" s="41" t="str">
        <f t="shared" si="836"/>
        <v>Def TaxNN20</v>
      </c>
      <c r="AR1824" s="41" t="str">
        <f t="shared" si="837"/>
        <v>N20</v>
      </c>
    </row>
    <row r="1825" spans="1:44" s="41" customFormat="1" ht="12.75" customHeight="1">
      <c r="A1825" s="25" t="s">
        <v>1590</v>
      </c>
      <c r="B1825" s="25" t="str">
        <f t="shared" si="817"/>
        <v>Def Tax190511EXCESS DITBT010078</v>
      </c>
      <c r="C1825" s="736">
        <v>190511</v>
      </c>
      <c r="D1825" s="735" t="s">
        <v>1911</v>
      </c>
      <c r="E1825" s="41" t="s">
        <v>1912</v>
      </c>
      <c r="F1825" s="41" t="str">
        <f t="shared" si="812"/>
        <v>ADIT-REG-STATE-ELECTRIC</v>
      </c>
      <c r="G1825" s="41" t="s">
        <v>1913</v>
      </c>
      <c r="H1825" s="736" t="s">
        <v>1487</v>
      </c>
      <c r="I1825" s="25"/>
      <c r="J1825" s="25" t="str">
        <f t="shared" si="814"/>
        <v/>
      </c>
      <c r="K1825" s="442" t="str">
        <f t="shared" si="813"/>
        <v/>
      </c>
      <c r="L1825" s="736" t="s">
        <v>2443</v>
      </c>
      <c r="M1825" s="25" t="str">
        <f t="shared" si="838"/>
        <v>R</v>
      </c>
      <c r="N1825" s="25" t="str">
        <f>IF(L1825&lt;&gt;"",VLOOKUP(L1825,Categories!$B$2:$D$41,2,FALSE),IF(F1825&lt;&gt;"","No Cat",""))</f>
        <v>Rate Base</v>
      </c>
      <c r="O1825" s="25" t="str">
        <f>IF($L1825&lt;&gt;"",VLOOKUP($L1825,Categories!$B$2:$D$41,3,FALSE),IF($F1825&lt;&gt;"","No Cat",""))</f>
        <v>Deferred Income Taxes</v>
      </c>
      <c r="P1825" s="736" t="s">
        <v>2482</v>
      </c>
      <c r="Q1825" s="25" t="str">
        <f>VLOOKUP($P1825,Allocators!$B$7:$F$19,5,FALSE)</f>
        <v>Electric</v>
      </c>
      <c r="R1825" s="737">
        <f>VLOOKUP($P1825,Allocators!$B$7:$F$19,2,FALSE)</f>
        <v>1</v>
      </c>
      <c r="S1825" s="737">
        <f>VLOOKUP($P1825,Allocators!$B$7:$F$19,3,FALSE)</f>
        <v>0</v>
      </c>
      <c r="T1825" s="737" t="str">
        <f t="shared" si="831"/>
        <v>0.0%</v>
      </c>
      <c r="U1825" s="2">
        <f t="shared" si="844"/>
        <v>509.85547000000003</v>
      </c>
      <c r="V1825" s="2">
        <f t="shared" si="845"/>
        <v>0</v>
      </c>
      <c r="W1825" s="2">
        <f t="shared" si="846"/>
        <v>0</v>
      </c>
      <c r="X1825" s="2">
        <f t="shared" si="839"/>
        <v>509.85547000000003</v>
      </c>
      <c r="Y1825" s="2">
        <f t="shared" si="847"/>
        <v>509.85547000000003</v>
      </c>
      <c r="Z1825" s="2">
        <f t="shared" si="848"/>
        <v>0</v>
      </c>
      <c r="AA1825" s="2">
        <f t="shared" si="849"/>
        <v>0</v>
      </c>
      <c r="AB1825" s="2">
        <f t="shared" si="840"/>
        <v>509.85546999999997</v>
      </c>
      <c r="AC1825" s="625">
        <v>509.85546999999997</v>
      </c>
      <c r="AD1825" s="625">
        <v>509.85546999999997</v>
      </c>
      <c r="AE1825" s="625">
        <v>509.85546999999997</v>
      </c>
      <c r="AF1825" s="625">
        <v>509.85546999999997</v>
      </c>
      <c r="AG1825" s="625">
        <v>509.85546999999997</v>
      </c>
      <c r="AH1825" s="625">
        <v>509.85546999999997</v>
      </c>
      <c r="AI1825" s="625">
        <v>509.85546999999997</v>
      </c>
      <c r="AJ1825" s="625">
        <v>509.85546999999997</v>
      </c>
      <c r="AK1825" s="625">
        <v>509.85546999999997</v>
      </c>
      <c r="AL1825" s="625">
        <v>509.85546999999997</v>
      </c>
      <c r="AM1825" s="625">
        <v>509.85546999999997</v>
      </c>
      <c r="AN1825" s="625">
        <v>509.85546999999997</v>
      </c>
      <c r="AO1825" s="625">
        <v>509.85546999999997</v>
      </c>
      <c r="AP1825" s="41" t="str">
        <f t="shared" si="835"/>
        <v>Def TaxR</v>
      </c>
      <c r="AQ1825" s="41" t="str">
        <f t="shared" si="836"/>
        <v>Def TaxRR11Excess NYS DIT (to 7.1%)</v>
      </c>
      <c r="AR1825" s="41" t="str">
        <f t="shared" si="837"/>
        <v>R11Excess NYS DIT (to 7.1%)</v>
      </c>
    </row>
    <row r="1826" spans="1:44" s="41" customFormat="1" ht="12.75" customHeight="1">
      <c r="A1826" s="442" t="s">
        <v>1590</v>
      </c>
      <c r="B1826" s="442" t="str">
        <f t="shared" si="817"/>
        <v>Def Tax190511ExcessDIT-CurrBDEFAULT</v>
      </c>
      <c r="C1826" s="736">
        <v>190511</v>
      </c>
      <c r="D1826" s="735" t="s">
        <v>1914</v>
      </c>
      <c r="E1826" s="626" t="s">
        <v>1620</v>
      </c>
      <c r="F1826" s="626" t="str">
        <f t="shared" si="812"/>
        <v>ADIT-REG-STATE-ELECTRIC</v>
      </c>
      <c r="G1826" s="626" t="s">
        <v>1915</v>
      </c>
      <c r="H1826" s="736">
        <v>0</v>
      </c>
      <c r="I1826" s="442"/>
      <c r="J1826" s="442" t="str">
        <f t="shared" si="814"/>
        <v/>
      </c>
      <c r="K1826" s="442" t="str">
        <f t="shared" si="813"/>
        <v/>
      </c>
      <c r="L1826" s="736" t="s">
        <v>2421</v>
      </c>
      <c r="M1826" s="442" t="str">
        <f t="shared" si="838"/>
        <v>N</v>
      </c>
      <c r="N1826" s="442" t="str">
        <f>IF(L1826&lt;&gt;"",VLOOKUP(L1826,Categories!$B$2:$D$41,2,FALSE),IF(F1826&lt;&gt;"","No Cat",""))</f>
        <v>NRBASE</v>
      </c>
      <c r="O1826" s="442" t="str">
        <f>IF($L1826&lt;&gt;"",VLOOKUP($L1826,Categories!$B$2:$D$41,3,FALSE),IF($F1826&lt;&gt;"","No Cat",""))</f>
        <v>Direct Assign Items Not in RB</v>
      </c>
      <c r="P1826" s="736" t="s">
        <v>2468</v>
      </c>
      <c r="Q1826" s="442" t="str">
        <f>VLOOKUP($P1826,Allocators!$B$7:$F$19,5,FALSE)</f>
        <v>Not in Rate Base</v>
      </c>
      <c r="R1826" s="737">
        <f>VLOOKUP($P1826,Allocators!$B$7:$F$19,2,FALSE)</f>
        <v>0</v>
      </c>
      <c r="S1826" s="737">
        <f>VLOOKUP($P1826,Allocators!$B$7:$F$19,3,FALSE)</f>
        <v>0</v>
      </c>
      <c r="T1826" s="737">
        <f t="shared" si="831"/>
        <v>1</v>
      </c>
      <c r="U1826" s="2" t="str">
        <f t="shared" si="844"/>
        <v/>
      </c>
      <c r="V1826" s="2" t="str">
        <f t="shared" si="845"/>
        <v/>
      </c>
      <c r="W1826" s="2" t="str">
        <f t="shared" si="846"/>
        <v/>
      </c>
      <c r="X1826" s="2">
        <f t="shared" si="839"/>
        <v>0</v>
      </c>
      <c r="Y1826" s="2" t="str">
        <f t="shared" si="847"/>
        <v/>
      </c>
      <c r="Z1826" s="2" t="str">
        <f t="shared" si="848"/>
        <v/>
      </c>
      <c r="AA1826" s="2" t="str">
        <f t="shared" si="849"/>
        <v/>
      </c>
      <c r="AB1826" s="2">
        <f t="shared" si="840"/>
        <v>0</v>
      </c>
      <c r="AC1826" s="625">
        <v>0</v>
      </c>
      <c r="AD1826" s="625">
        <v>0</v>
      </c>
      <c r="AE1826" s="625">
        <v>0</v>
      </c>
      <c r="AF1826" s="625">
        <v>0</v>
      </c>
      <c r="AG1826" s="625">
        <v>0</v>
      </c>
      <c r="AH1826" s="625">
        <v>0</v>
      </c>
      <c r="AI1826" s="625">
        <v>0</v>
      </c>
      <c r="AJ1826" s="625">
        <v>0</v>
      </c>
      <c r="AK1826" s="625">
        <v>0</v>
      </c>
      <c r="AL1826" s="625">
        <v>0</v>
      </c>
      <c r="AM1826" s="625">
        <v>0</v>
      </c>
      <c r="AN1826" s="625">
        <v>0</v>
      </c>
      <c r="AO1826" s="625">
        <v>0</v>
      </c>
      <c r="AP1826" s="41" t="str">
        <f t="shared" si="835"/>
        <v>Def TaxN</v>
      </c>
      <c r="AQ1826" s="41" t="str">
        <f t="shared" si="836"/>
        <v>Def TaxNN20</v>
      </c>
      <c r="AR1826" s="41" t="str">
        <f t="shared" si="837"/>
        <v>N20</v>
      </c>
    </row>
    <row r="1827" spans="1:44" s="41" customFormat="1" ht="12.75" customHeight="1">
      <c r="A1827" s="442" t="s">
        <v>1590</v>
      </c>
      <c r="B1827" s="442" t="str">
        <f t="shared" si="817"/>
        <v>Def Tax190511Bonus DepBT010085</v>
      </c>
      <c r="C1827" s="736">
        <v>190511</v>
      </c>
      <c r="D1827" s="735" t="s">
        <v>1916</v>
      </c>
      <c r="E1827" s="626" t="s">
        <v>1917</v>
      </c>
      <c r="F1827" s="626" t="str">
        <f t="shared" si="812"/>
        <v>ADIT-REG-STATE-ELECTRIC</v>
      </c>
      <c r="G1827" s="626" t="s">
        <v>1918</v>
      </c>
      <c r="H1827" s="736" t="s">
        <v>1186</v>
      </c>
      <c r="I1827" s="442"/>
      <c r="J1827" s="442" t="str">
        <f t="shared" si="814"/>
        <v/>
      </c>
      <c r="K1827" s="442" t="str">
        <f t="shared" si="813"/>
        <v/>
      </c>
      <c r="L1827" s="736" t="s">
        <v>2421</v>
      </c>
      <c r="M1827" s="442" t="str">
        <f t="shared" si="838"/>
        <v>N</v>
      </c>
      <c r="N1827" s="442" t="str">
        <f>IF(L1827&lt;&gt;"",VLOOKUP(L1827,Categories!$B$2:$D$41,2,FALSE),IF(F1827&lt;&gt;"","No Cat",""))</f>
        <v>NRBASE</v>
      </c>
      <c r="O1827" s="442" t="str">
        <f>IF($L1827&lt;&gt;"",VLOOKUP($L1827,Categories!$B$2:$D$41,3,FALSE),IF($F1827&lt;&gt;"","No Cat",""))</f>
        <v>Direct Assign Items Not in RB</v>
      </c>
      <c r="P1827" s="736" t="s">
        <v>2468</v>
      </c>
      <c r="Q1827" s="442" t="str">
        <f>VLOOKUP($P1827,Allocators!$B$7:$F$19,5,FALSE)</f>
        <v>Not in Rate Base</v>
      </c>
      <c r="R1827" s="737">
        <f>VLOOKUP($P1827,Allocators!$B$7:$F$19,2,FALSE)</f>
        <v>0</v>
      </c>
      <c r="S1827" s="737">
        <f>VLOOKUP($P1827,Allocators!$B$7:$F$19,3,FALSE)</f>
        <v>0</v>
      </c>
      <c r="T1827" s="737">
        <f t="shared" si="831"/>
        <v>1</v>
      </c>
      <c r="U1827" s="2">
        <f t="shared" si="844"/>
        <v>0</v>
      </c>
      <c r="V1827" s="2">
        <f t="shared" si="845"/>
        <v>0</v>
      </c>
      <c r="W1827" s="2">
        <f t="shared" si="846"/>
        <v>1648.63950083333</v>
      </c>
      <c r="X1827" s="2">
        <f t="shared" si="839"/>
        <v>1648.63950083333</v>
      </c>
      <c r="Y1827" s="2">
        <f t="shared" si="847"/>
        <v>0</v>
      </c>
      <c r="Z1827" s="2">
        <f t="shared" si="848"/>
        <v>0</v>
      </c>
      <c r="AA1827" s="2">
        <f t="shared" si="849"/>
        <v>2015.6983499999999</v>
      </c>
      <c r="AB1827" s="2">
        <f t="shared" si="840"/>
        <v>2015.6983500000001</v>
      </c>
      <c r="AC1827" s="625">
        <v>1284.8000300000001</v>
      </c>
      <c r="AD1827" s="625">
        <v>1345.94652</v>
      </c>
      <c r="AE1827" s="625">
        <v>1407.0371200000002</v>
      </c>
      <c r="AF1827" s="625">
        <v>1468.07152</v>
      </c>
      <c r="AG1827" s="625">
        <v>1529.0493899999999</v>
      </c>
      <c r="AH1827" s="625">
        <v>1589.9704199999999</v>
      </c>
      <c r="AI1827" s="625">
        <v>1650.83428</v>
      </c>
      <c r="AJ1827" s="625">
        <v>1711.6406499999998</v>
      </c>
      <c r="AK1827" s="625">
        <v>1772.38921</v>
      </c>
      <c r="AL1827" s="625">
        <v>1826.03908</v>
      </c>
      <c r="AM1827" s="625">
        <v>1886.1823700000002</v>
      </c>
      <c r="AN1827" s="625">
        <v>1946.2642599999999</v>
      </c>
      <c r="AO1827" s="625">
        <v>2015.6983500000001</v>
      </c>
      <c r="AP1827" s="41" t="str">
        <f t="shared" si="835"/>
        <v>Def TaxN</v>
      </c>
      <c r="AQ1827" s="41" t="str">
        <f t="shared" si="836"/>
        <v>Def TaxNN2Bonus Depreciation Deferral</v>
      </c>
      <c r="AR1827" s="41" t="str">
        <f t="shared" si="837"/>
        <v>N2Bonus Depreciation Deferral</v>
      </c>
    </row>
    <row r="1828" spans="1:44" s="41" customFormat="1" ht="12.75" customHeight="1">
      <c r="A1828" s="25" t="s">
        <v>1590</v>
      </c>
      <c r="B1828" s="25" t="str">
        <f t="shared" si="817"/>
        <v>Def Tax190511190-015BT010089</v>
      </c>
      <c r="C1828" s="736">
        <v>190511</v>
      </c>
      <c r="D1828" s="735" t="s">
        <v>1678</v>
      </c>
      <c r="E1828" s="41" t="s">
        <v>1679</v>
      </c>
      <c r="F1828" s="41" t="str">
        <f t="shared" si="812"/>
        <v>ADIT-REG-STATE-ELECTRIC</v>
      </c>
      <c r="G1828" s="41" t="s">
        <v>2014</v>
      </c>
      <c r="H1828" s="736" t="s">
        <v>927</v>
      </c>
      <c r="I1828" s="25"/>
      <c r="J1828" s="25" t="str">
        <f t="shared" si="814"/>
        <v/>
      </c>
      <c r="K1828" s="442" t="str">
        <f t="shared" si="813"/>
        <v/>
      </c>
      <c r="L1828" s="736" t="s">
        <v>2443</v>
      </c>
      <c r="M1828" s="25" t="str">
        <f t="shared" si="838"/>
        <v>R</v>
      </c>
      <c r="N1828" s="25" t="str">
        <f>IF(L1828&lt;&gt;"",VLOOKUP(L1828,Categories!$B$2:$D$41,2,FALSE),IF(F1828&lt;&gt;"","No Cat",""))</f>
        <v>Rate Base</v>
      </c>
      <c r="O1828" s="25" t="str">
        <f>IF($L1828&lt;&gt;"",VLOOKUP($L1828,Categories!$B$2:$D$41,3,FALSE),IF($F1828&lt;&gt;"","No Cat",""))</f>
        <v>Deferred Income Taxes</v>
      </c>
      <c r="P1828" s="736" t="s">
        <v>2482</v>
      </c>
      <c r="Q1828" s="25" t="str">
        <f>VLOOKUP($P1828,Allocators!$B$7:$F$19,5,FALSE)</f>
        <v>Electric</v>
      </c>
      <c r="R1828" s="737">
        <f>VLOOKUP($P1828,Allocators!$B$7:$F$19,2,FALSE)</f>
        <v>1</v>
      </c>
      <c r="S1828" s="737">
        <f>VLOOKUP($P1828,Allocators!$B$7:$F$19,3,FALSE)</f>
        <v>0</v>
      </c>
      <c r="T1828" s="737" t="str">
        <f t="shared" si="831"/>
        <v>0.0%</v>
      </c>
      <c r="U1828" s="2">
        <f t="shared" si="844"/>
        <v>9.7937512499999997</v>
      </c>
      <c r="V1828" s="2">
        <f t="shared" si="845"/>
        <v>0</v>
      </c>
      <c r="W1828" s="2">
        <f t="shared" si="846"/>
        <v>0</v>
      </c>
      <c r="X1828" s="2">
        <f t="shared" si="839"/>
        <v>9.7937512499999997</v>
      </c>
      <c r="Y1828" s="2">
        <f t="shared" si="847"/>
        <v>84.64931</v>
      </c>
      <c r="Z1828" s="2">
        <f t="shared" si="848"/>
        <v>0</v>
      </c>
      <c r="AA1828" s="2">
        <f t="shared" si="849"/>
        <v>0</v>
      </c>
      <c r="AB1828" s="2">
        <f t="shared" si="840"/>
        <v>84.64931</v>
      </c>
      <c r="AC1828" s="625">
        <v>0</v>
      </c>
      <c r="AD1828" s="625">
        <v>0</v>
      </c>
      <c r="AE1828" s="625">
        <v>0</v>
      </c>
      <c r="AF1828" s="625">
        <v>0</v>
      </c>
      <c r="AG1828" s="625">
        <v>0</v>
      </c>
      <c r="AH1828" s="625">
        <v>0</v>
      </c>
      <c r="AI1828" s="625">
        <v>0</v>
      </c>
      <c r="AJ1828" s="625">
        <v>0</v>
      </c>
      <c r="AK1828" s="625">
        <v>0</v>
      </c>
      <c r="AL1828" s="625">
        <v>0</v>
      </c>
      <c r="AM1828" s="625">
        <v>0</v>
      </c>
      <c r="AN1828" s="625">
        <v>75.200360000000003</v>
      </c>
      <c r="AO1828" s="625">
        <v>84.64931</v>
      </c>
      <c r="AP1828" s="41" t="str">
        <f t="shared" si="835"/>
        <v>Def TaxR</v>
      </c>
      <c r="AQ1828" s="41" t="str">
        <f t="shared" si="836"/>
        <v>Def TaxRR11OPEB</v>
      </c>
      <c r="AR1828" s="41" t="str">
        <f t="shared" si="837"/>
        <v>R11OPEB</v>
      </c>
    </row>
    <row r="1829" spans="1:44" s="41" customFormat="1" ht="12.75" customHeight="1">
      <c r="A1829" s="25" t="s">
        <v>1590</v>
      </c>
      <c r="B1829" s="25" t="str">
        <f t="shared" ref="B1829" si="850">CONCATENATE(A1829,C1829,D1829,E1829)</f>
        <v>Def Tax190511SERP RegLiaSBT030561/BT130561</v>
      </c>
      <c r="C1829" s="736">
        <v>190511</v>
      </c>
      <c r="D1829" s="735" t="s">
        <v>2011</v>
      </c>
      <c r="E1829" s="41" t="s">
        <v>4118</v>
      </c>
      <c r="F1829" s="41" t="str">
        <f t="shared" si="812"/>
        <v>ADIT-REG-STATE-ELECTRIC</v>
      </c>
      <c r="G1829" s="41" t="s">
        <v>1989</v>
      </c>
      <c r="H1829" s="736" t="s">
        <v>810</v>
      </c>
      <c r="I1829" s="25"/>
      <c r="J1829" s="25" t="str">
        <f t="shared" ref="J1829" si="851">IF(L1829="N10","Y",IF(L1829="N8","Y",""))</f>
        <v/>
      </c>
      <c r="K1829" s="442" t="str">
        <f t="shared" ref="K1829:K1899" si="852">IF(L1829="N3","Y","")</f>
        <v/>
      </c>
      <c r="L1829" s="736" t="s">
        <v>2421</v>
      </c>
      <c r="M1829" s="442" t="str">
        <f t="shared" ref="M1829" si="853">LEFT(L1829,1)</f>
        <v>N</v>
      </c>
      <c r="N1829" s="442" t="str">
        <f>IF(L1829&lt;&gt;"",VLOOKUP(L1829,Categories!$B$2:$D$41,2,FALSE),IF(F1829&lt;&gt;"","No Cat",""))</f>
        <v>NRBASE</v>
      </c>
      <c r="O1829" s="442" t="str">
        <f>IF($L1829&lt;&gt;"",VLOOKUP($L1829,Categories!$B$2:$D$41,3,FALSE),IF($F1829&lt;&gt;"","No Cat",""))</f>
        <v>Direct Assign Items Not in RB</v>
      </c>
      <c r="P1829" s="736" t="s">
        <v>2468</v>
      </c>
      <c r="Q1829" s="442" t="str">
        <f>VLOOKUP($P1829,Allocators!$B$7:$F$19,5,FALSE)</f>
        <v>Not in Rate Base</v>
      </c>
      <c r="R1829" s="737">
        <f>VLOOKUP($P1829,Allocators!$B$7:$F$19,2,FALSE)</f>
        <v>0</v>
      </c>
      <c r="S1829" s="737">
        <f>VLOOKUP($P1829,Allocators!$B$7:$F$19,3,FALSE)</f>
        <v>0</v>
      </c>
      <c r="T1829" s="737">
        <f t="shared" ref="T1829" si="854">IF(P1829="N",1,"0.0%")</f>
        <v>1</v>
      </c>
      <c r="U1829" s="2" t="str">
        <f t="shared" si="844"/>
        <v/>
      </c>
      <c r="V1829" s="2" t="str">
        <f t="shared" si="845"/>
        <v/>
      </c>
      <c r="W1829" s="2" t="str">
        <f t="shared" si="846"/>
        <v/>
      </c>
      <c r="X1829" s="2">
        <f t="shared" si="839"/>
        <v>0</v>
      </c>
      <c r="Y1829" s="2" t="str">
        <f t="shared" si="847"/>
        <v/>
      </c>
      <c r="Z1829" s="2" t="str">
        <f t="shared" si="848"/>
        <v/>
      </c>
      <c r="AA1829" s="2" t="str">
        <f t="shared" si="849"/>
        <v/>
      </c>
      <c r="AB1829" s="2">
        <f t="shared" si="840"/>
        <v>0</v>
      </c>
      <c r="AC1829" s="625">
        <v>0</v>
      </c>
      <c r="AD1829" s="625">
        <v>0</v>
      </c>
      <c r="AE1829" s="625">
        <v>0</v>
      </c>
      <c r="AF1829" s="625">
        <v>0</v>
      </c>
      <c r="AG1829" s="625">
        <v>0</v>
      </c>
      <c r="AH1829" s="625">
        <v>0</v>
      </c>
      <c r="AI1829" s="625">
        <v>0</v>
      </c>
      <c r="AJ1829" s="625">
        <v>0</v>
      </c>
      <c r="AK1829" s="625">
        <v>0</v>
      </c>
      <c r="AL1829" s="625">
        <v>0</v>
      </c>
      <c r="AM1829" s="625">
        <v>0</v>
      </c>
      <c r="AN1829" s="625">
        <v>0</v>
      </c>
      <c r="AO1829" s="625">
        <v>0</v>
      </c>
      <c r="AP1829" s="41" t="str">
        <f t="shared" si="835"/>
        <v>Def TaxN</v>
      </c>
      <c r="AQ1829" s="41" t="str">
        <f t="shared" si="836"/>
        <v>Def TaxNN2SERP</v>
      </c>
      <c r="AR1829" s="41" t="str">
        <f t="shared" si="837"/>
        <v>N2SERP</v>
      </c>
    </row>
    <row r="1830" spans="1:44" s="41" customFormat="1" ht="12.75" customHeight="1">
      <c r="A1830" s="442" t="s">
        <v>1590</v>
      </c>
      <c r="B1830" s="442" t="str">
        <f t="shared" si="817"/>
        <v>Def Tax190511190-111</v>
      </c>
      <c r="C1830" s="736">
        <v>190511</v>
      </c>
      <c r="D1830" s="735" t="s">
        <v>1921</v>
      </c>
      <c r="E1830" s="626"/>
      <c r="F1830" s="626" t="str">
        <f t="shared" si="812"/>
        <v>ADIT-REG-STATE-ELECTRIC</v>
      </c>
      <c r="G1830" s="626" t="s">
        <v>1922</v>
      </c>
      <c r="H1830" s="736" t="s">
        <v>1923</v>
      </c>
      <c r="I1830" s="442"/>
      <c r="J1830" s="442" t="str">
        <f t="shared" si="814"/>
        <v/>
      </c>
      <c r="K1830" s="442" t="str">
        <f t="shared" si="852"/>
        <v/>
      </c>
      <c r="L1830" s="736" t="s">
        <v>2421</v>
      </c>
      <c r="M1830" s="442" t="str">
        <f t="shared" si="838"/>
        <v>N</v>
      </c>
      <c r="N1830" s="442" t="str">
        <f>IF(L1830&lt;&gt;"",VLOOKUP(L1830,Categories!$B$2:$D$41,2,FALSE),IF(F1830&lt;&gt;"","No Cat",""))</f>
        <v>NRBASE</v>
      </c>
      <c r="O1830" s="442" t="str">
        <f>IF($L1830&lt;&gt;"",VLOOKUP($L1830,Categories!$B$2:$D$41,3,FALSE),IF($F1830&lt;&gt;"","No Cat",""))</f>
        <v>Direct Assign Items Not in RB</v>
      </c>
      <c r="P1830" s="736" t="s">
        <v>2468</v>
      </c>
      <c r="Q1830" s="442" t="str">
        <f>VLOOKUP($P1830,Allocators!$B$7:$F$19,5,FALSE)</f>
        <v>Not in Rate Base</v>
      </c>
      <c r="R1830" s="737">
        <f>VLOOKUP($P1830,Allocators!$B$7:$F$19,2,FALSE)</f>
        <v>0</v>
      </c>
      <c r="S1830" s="737">
        <f>VLOOKUP($P1830,Allocators!$B$7:$F$19,3,FALSE)</f>
        <v>0</v>
      </c>
      <c r="T1830" s="737">
        <f t="shared" si="831"/>
        <v>1</v>
      </c>
      <c r="U1830" s="2" t="str">
        <f t="shared" si="844"/>
        <v/>
      </c>
      <c r="V1830" s="2" t="str">
        <f t="shared" si="845"/>
        <v/>
      </c>
      <c r="W1830" s="2" t="str">
        <f t="shared" si="846"/>
        <v/>
      </c>
      <c r="X1830" s="2">
        <f t="shared" si="839"/>
        <v>0</v>
      </c>
      <c r="Y1830" s="2" t="str">
        <f t="shared" si="847"/>
        <v/>
      </c>
      <c r="Z1830" s="2" t="str">
        <f t="shared" si="848"/>
        <v/>
      </c>
      <c r="AA1830" s="2" t="str">
        <f t="shared" si="849"/>
        <v/>
      </c>
      <c r="AB1830" s="2">
        <f t="shared" si="840"/>
        <v>0</v>
      </c>
      <c r="AC1830" s="625">
        <v>0</v>
      </c>
      <c r="AD1830" s="625">
        <v>0</v>
      </c>
      <c r="AE1830" s="625">
        <v>0</v>
      </c>
      <c r="AF1830" s="625">
        <v>0</v>
      </c>
      <c r="AG1830" s="625">
        <v>0</v>
      </c>
      <c r="AH1830" s="625">
        <v>0</v>
      </c>
      <c r="AI1830" s="625">
        <v>0</v>
      </c>
      <c r="AJ1830" s="625">
        <v>0</v>
      </c>
      <c r="AK1830" s="625">
        <v>0</v>
      </c>
      <c r="AL1830" s="625">
        <v>0</v>
      </c>
      <c r="AM1830" s="625">
        <v>0</v>
      </c>
      <c r="AN1830" s="625">
        <v>0</v>
      </c>
      <c r="AO1830" s="625">
        <v>0</v>
      </c>
      <c r="AP1830" s="41" t="str">
        <f t="shared" si="835"/>
        <v>Def TaxN</v>
      </c>
      <c r="AQ1830" s="41" t="str">
        <f t="shared" si="836"/>
        <v>Def TaxNN2Fuel Credit Deferral</v>
      </c>
      <c r="AR1830" s="41" t="str">
        <f t="shared" si="837"/>
        <v>N2Fuel Credit Deferral</v>
      </c>
    </row>
    <row r="1831" spans="1:44" s="41" customFormat="1" ht="12.75" customHeight="1">
      <c r="A1831" s="25" t="s">
        <v>1590</v>
      </c>
      <c r="B1831" s="25" t="str">
        <f t="shared" si="817"/>
        <v>Def Tax190511190-079BTHUNGDT</v>
      </c>
      <c r="C1831" s="736">
        <v>190511</v>
      </c>
      <c r="D1831" s="735" t="s">
        <v>1924</v>
      </c>
      <c r="E1831" s="41" t="s">
        <v>1624</v>
      </c>
      <c r="F1831" s="41" t="str">
        <f t="shared" ref="F1831:F1905" si="855">VLOOKUP(C1831,$C$7:$F$787,4,FALSE)</f>
        <v>ADIT-REG-STATE-ELECTRIC</v>
      </c>
      <c r="G1831" s="41" t="s">
        <v>1925</v>
      </c>
      <c r="H1831" s="736" t="s">
        <v>1926</v>
      </c>
      <c r="I1831" s="25"/>
      <c r="J1831" s="25" t="str">
        <f t="shared" si="814"/>
        <v/>
      </c>
      <c r="K1831" s="442" t="str">
        <f t="shared" si="852"/>
        <v/>
      </c>
      <c r="L1831" s="736" t="s">
        <v>2443</v>
      </c>
      <c r="M1831" s="25" t="str">
        <f t="shared" si="838"/>
        <v>R</v>
      </c>
      <c r="N1831" s="25" t="str">
        <f>IF(L1831&lt;&gt;"",VLOOKUP(L1831,Categories!$B$2:$D$41,2,FALSE),IF(F1831&lt;&gt;"","No Cat",""))</f>
        <v>Rate Base</v>
      </c>
      <c r="O1831" s="25" t="str">
        <f>IF($L1831&lt;&gt;"",VLOOKUP($L1831,Categories!$B$2:$D$41,3,FALSE),IF($F1831&lt;&gt;"","No Cat",""))</f>
        <v>Deferred Income Taxes</v>
      </c>
      <c r="P1831" s="736" t="s">
        <v>2482</v>
      </c>
      <c r="Q1831" s="25" t="str">
        <f>VLOOKUP($P1831,Allocators!$B$7:$F$19,5,FALSE)</f>
        <v>Electric</v>
      </c>
      <c r="R1831" s="737">
        <f>VLOOKUP($P1831,Allocators!$B$7:$F$19,2,FALSE)</f>
        <v>1</v>
      </c>
      <c r="S1831" s="737">
        <f>VLOOKUP($P1831,Allocators!$B$7:$F$19,3,FALSE)</f>
        <v>0</v>
      </c>
      <c r="T1831" s="737" t="str">
        <f t="shared" si="831"/>
        <v>0.0%</v>
      </c>
      <c r="U1831" s="2" t="str">
        <f t="shared" si="844"/>
        <v/>
      </c>
      <c r="V1831" s="2" t="str">
        <f t="shared" si="845"/>
        <v/>
      </c>
      <c r="W1831" s="2" t="str">
        <f t="shared" si="846"/>
        <v/>
      </c>
      <c r="X1831" s="2">
        <f t="shared" si="839"/>
        <v>0</v>
      </c>
      <c r="Y1831" s="2" t="str">
        <f t="shared" si="847"/>
        <v/>
      </c>
      <c r="Z1831" s="2" t="str">
        <f t="shared" si="848"/>
        <v/>
      </c>
      <c r="AA1831" s="2" t="str">
        <f t="shared" si="849"/>
        <v/>
      </c>
      <c r="AB1831" s="2">
        <f t="shared" si="840"/>
        <v>0</v>
      </c>
      <c r="AC1831" s="625">
        <v>0</v>
      </c>
      <c r="AD1831" s="625">
        <v>0</v>
      </c>
      <c r="AE1831" s="625">
        <v>0</v>
      </c>
      <c r="AF1831" s="625">
        <v>0</v>
      </c>
      <c r="AG1831" s="625">
        <v>0</v>
      </c>
      <c r="AH1831" s="625">
        <v>0</v>
      </c>
      <c r="AI1831" s="625">
        <v>0</v>
      </c>
      <c r="AJ1831" s="625">
        <v>0</v>
      </c>
      <c r="AK1831" s="625">
        <v>0</v>
      </c>
      <c r="AL1831" s="625">
        <v>0</v>
      </c>
      <c r="AM1831" s="625">
        <v>0</v>
      </c>
      <c r="AN1831" s="625">
        <v>0</v>
      </c>
      <c r="AO1831" s="625">
        <v>0</v>
      </c>
      <c r="AP1831" s="41" t="str">
        <f t="shared" si="835"/>
        <v>Def TaxR</v>
      </c>
      <c r="AQ1831" s="41" t="str">
        <f t="shared" si="836"/>
        <v>Def TaxRR11Ginna Related</v>
      </c>
      <c r="AR1831" s="41" t="str">
        <f t="shared" si="837"/>
        <v>R11Ginna Related</v>
      </c>
    </row>
    <row r="1832" spans="1:44" s="41" customFormat="1" ht="12.75" customHeight="1">
      <c r="A1832" s="25" t="s">
        <v>1590</v>
      </c>
      <c r="B1832" s="25" t="str">
        <f t="shared" si="817"/>
        <v>Def Tax190511190-079-JP</v>
      </c>
      <c r="C1832" s="736">
        <v>190511</v>
      </c>
      <c r="D1832" s="735" t="s">
        <v>2037</v>
      </c>
      <c r="F1832" s="41" t="str">
        <f t="shared" si="855"/>
        <v>ADIT-REG-STATE-ELECTRIC</v>
      </c>
      <c r="G1832" s="41" t="s">
        <v>1928</v>
      </c>
      <c r="H1832" s="736" t="s">
        <v>1926</v>
      </c>
      <c r="I1832" s="25"/>
      <c r="J1832" s="25" t="str">
        <f t="shared" ref="J1832:J1906" si="856">IF(L1832="N10","Y",IF(L1832="N8","Y",""))</f>
        <v/>
      </c>
      <c r="K1832" s="442" t="str">
        <f t="shared" si="852"/>
        <v/>
      </c>
      <c r="L1832" s="736" t="s">
        <v>2443</v>
      </c>
      <c r="M1832" s="25" t="str">
        <f t="shared" si="838"/>
        <v>R</v>
      </c>
      <c r="N1832" s="25" t="str">
        <f>IF(L1832&lt;&gt;"",VLOOKUP(L1832,Categories!$B$2:$D$41,2,FALSE),IF(F1832&lt;&gt;"","No Cat",""))</f>
        <v>Rate Base</v>
      </c>
      <c r="O1832" s="25" t="str">
        <f>IF($L1832&lt;&gt;"",VLOOKUP($L1832,Categories!$B$2:$D$41,3,FALSE),IF($F1832&lt;&gt;"","No Cat",""))</f>
        <v>Deferred Income Taxes</v>
      </c>
      <c r="P1832" s="736" t="s">
        <v>2482</v>
      </c>
      <c r="Q1832" s="25" t="str">
        <f>VLOOKUP($P1832,Allocators!$B$7:$F$19,5,FALSE)</f>
        <v>Electric</v>
      </c>
      <c r="R1832" s="737">
        <f>VLOOKUP($P1832,Allocators!$B$7:$F$19,2,FALSE)</f>
        <v>1</v>
      </c>
      <c r="S1832" s="737">
        <f>VLOOKUP($P1832,Allocators!$B$7:$F$19,3,FALSE)</f>
        <v>0</v>
      </c>
      <c r="T1832" s="737" t="str">
        <f t="shared" si="831"/>
        <v>0.0%</v>
      </c>
      <c r="U1832" s="2" t="str">
        <f t="shared" si="844"/>
        <v/>
      </c>
      <c r="V1832" s="2" t="str">
        <f t="shared" si="845"/>
        <v/>
      </c>
      <c r="W1832" s="2" t="str">
        <f t="shared" si="846"/>
        <v/>
      </c>
      <c r="X1832" s="2">
        <f t="shared" si="839"/>
        <v>0</v>
      </c>
      <c r="Y1832" s="2" t="str">
        <f t="shared" si="847"/>
        <v/>
      </c>
      <c r="Z1832" s="2" t="str">
        <f t="shared" si="848"/>
        <v/>
      </c>
      <c r="AA1832" s="2" t="str">
        <f t="shared" si="849"/>
        <v/>
      </c>
      <c r="AB1832" s="2">
        <f t="shared" si="840"/>
        <v>0</v>
      </c>
      <c r="AC1832" s="625">
        <v>0</v>
      </c>
      <c r="AD1832" s="625">
        <v>0</v>
      </c>
      <c r="AE1832" s="625">
        <v>0</v>
      </c>
      <c r="AF1832" s="625">
        <v>0</v>
      </c>
      <c r="AG1832" s="625">
        <v>0</v>
      </c>
      <c r="AH1832" s="625">
        <v>0</v>
      </c>
      <c r="AI1832" s="625">
        <v>0</v>
      </c>
      <c r="AJ1832" s="625">
        <v>0</v>
      </c>
      <c r="AK1832" s="625">
        <v>0</v>
      </c>
      <c r="AL1832" s="625">
        <v>0</v>
      </c>
      <c r="AM1832" s="625">
        <v>0</v>
      </c>
      <c r="AN1832" s="625">
        <v>0</v>
      </c>
      <c r="AO1832" s="625">
        <v>0</v>
      </c>
      <c r="AP1832" s="41" t="str">
        <f t="shared" si="835"/>
        <v>Def TaxR</v>
      </c>
      <c r="AQ1832" s="41" t="str">
        <f t="shared" si="836"/>
        <v>Def TaxRR11Ginna Related</v>
      </c>
      <c r="AR1832" s="41" t="str">
        <f t="shared" si="837"/>
        <v>R11Ginna Related</v>
      </c>
    </row>
    <row r="1833" spans="1:44" s="41" customFormat="1" ht="12.75" customHeight="1">
      <c r="A1833" s="442" t="s">
        <v>1590</v>
      </c>
      <c r="B1833" s="442" t="str">
        <f t="shared" si="817"/>
        <v>Def Tax190511Ginna SaleBT010009</v>
      </c>
      <c r="C1833" s="736">
        <v>190511</v>
      </c>
      <c r="D1833" s="735" t="s">
        <v>1830</v>
      </c>
      <c r="E1833" s="626" t="s">
        <v>1477</v>
      </c>
      <c r="F1833" s="626" t="str">
        <f t="shared" si="855"/>
        <v>ADIT-REG-STATE-ELECTRIC</v>
      </c>
      <c r="G1833" s="626" t="s">
        <v>1929</v>
      </c>
      <c r="H1833" s="736" t="s">
        <v>1330</v>
      </c>
      <c r="I1833" s="442"/>
      <c r="J1833" s="442" t="str">
        <f t="shared" si="856"/>
        <v/>
      </c>
      <c r="K1833" s="442" t="str">
        <f t="shared" si="852"/>
        <v/>
      </c>
      <c r="L1833" s="736" t="s">
        <v>2421</v>
      </c>
      <c r="M1833" s="442" t="str">
        <f t="shared" si="838"/>
        <v>N</v>
      </c>
      <c r="N1833" s="442" t="str">
        <f>IF(L1833&lt;&gt;"",VLOOKUP(L1833,Categories!$B$2:$D$41,2,FALSE),IF(F1833&lt;&gt;"","No Cat",""))</f>
        <v>NRBASE</v>
      </c>
      <c r="O1833" s="442" t="str">
        <f>IF($L1833&lt;&gt;"",VLOOKUP($L1833,Categories!$B$2:$D$41,3,FALSE),IF($F1833&lt;&gt;"","No Cat",""))</f>
        <v>Direct Assign Items Not in RB</v>
      </c>
      <c r="P1833" s="736" t="s">
        <v>2468</v>
      </c>
      <c r="Q1833" s="442" t="str">
        <f>VLOOKUP($P1833,Allocators!$B$7:$F$19,5,FALSE)</f>
        <v>Not in Rate Base</v>
      </c>
      <c r="R1833" s="737">
        <f>VLOOKUP($P1833,Allocators!$B$7:$F$19,2,FALSE)</f>
        <v>0</v>
      </c>
      <c r="S1833" s="737">
        <f>VLOOKUP($P1833,Allocators!$B$7:$F$19,3,FALSE)</f>
        <v>0</v>
      </c>
      <c r="T1833" s="737">
        <f t="shared" si="831"/>
        <v>1</v>
      </c>
      <c r="U1833" s="2">
        <f t="shared" si="844"/>
        <v>0</v>
      </c>
      <c r="V1833" s="2">
        <f t="shared" si="845"/>
        <v>0</v>
      </c>
      <c r="W1833" s="2">
        <f t="shared" si="846"/>
        <v>-419.03338916666701</v>
      </c>
      <c r="X1833" s="2">
        <f t="shared" si="839"/>
        <v>-419.03338916666701</v>
      </c>
      <c r="Y1833" s="2">
        <f t="shared" si="847"/>
        <v>0</v>
      </c>
      <c r="Z1833" s="2">
        <f t="shared" si="848"/>
        <v>0</v>
      </c>
      <c r="AA1833" s="2">
        <f t="shared" si="849"/>
        <v>-339.24367000000001</v>
      </c>
      <c r="AB1833" s="2">
        <f t="shared" si="840"/>
        <v>-339.24367000000001</v>
      </c>
      <c r="AC1833" s="625">
        <v>-661.22746999999993</v>
      </c>
      <c r="AD1833" s="625">
        <v>-826.80356000000006</v>
      </c>
      <c r="AE1833" s="625">
        <v>-389.37151</v>
      </c>
      <c r="AF1833" s="625">
        <v>-385.71127000000001</v>
      </c>
      <c r="AG1833" s="625">
        <v>-382.03028</v>
      </c>
      <c r="AH1833" s="625">
        <v>-378.32844</v>
      </c>
      <c r="AI1833" s="625">
        <v>-374.60984999999999</v>
      </c>
      <c r="AJ1833" s="625">
        <v>-370.86732000000001</v>
      </c>
      <c r="AK1833" s="625">
        <v>-367.10220000000004</v>
      </c>
      <c r="AL1833" s="625">
        <v>-363.31574000000001</v>
      </c>
      <c r="AM1833" s="625">
        <v>-346.93000999999998</v>
      </c>
      <c r="AN1833" s="625">
        <v>-343.09492</v>
      </c>
      <c r="AO1833" s="625">
        <v>-339.24367000000001</v>
      </c>
      <c r="AP1833" s="41" t="str">
        <f t="shared" si="835"/>
        <v>Def TaxN</v>
      </c>
      <c r="AQ1833" s="41" t="str">
        <f t="shared" si="836"/>
        <v>Def TaxNN2ASGA</v>
      </c>
      <c r="AR1833" s="41" t="str">
        <f t="shared" si="837"/>
        <v>N2ASGA</v>
      </c>
    </row>
    <row r="1834" spans="1:44" s="41" customFormat="1" ht="12.75" customHeight="1">
      <c r="A1834" s="442" t="s">
        <v>1590</v>
      </c>
      <c r="B1834" s="442" t="str">
        <f t="shared" si="817"/>
        <v>Def Tax190511GINNA SALE</v>
      </c>
      <c r="C1834" s="736">
        <v>190511</v>
      </c>
      <c r="D1834" s="735" t="s">
        <v>2038</v>
      </c>
      <c r="E1834" s="626"/>
      <c r="F1834" s="626" t="str">
        <f t="shared" si="855"/>
        <v>ADIT-REG-STATE-ELECTRIC</v>
      </c>
      <c r="G1834" s="626" t="s">
        <v>1929</v>
      </c>
      <c r="H1834" s="736" t="s">
        <v>1330</v>
      </c>
      <c r="I1834" s="442"/>
      <c r="J1834" s="442" t="str">
        <f t="shared" si="856"/>
        <v/>
      </c>
      <c r="K1834" s="442" t="str">
        <f t="shared" si="852"/>
        <v/>
      </c>
      <c r="L1834" s="736" t="s">
        <v>2421</v>
      </c>
      <c r="M1834" s="442" t="str">
        <f t="shared" si="838"/>
        <v>N</v>
      </c>
      <c r="N1834" s="442" t="str">
        <f>IF(L1834&lt;&gt;"",VLOOKUP(L1834,Categories!$B$2:$D$41,2,FALSE),IF(F1834&lt;&gt;"","No Cat",""))</f>
        <v>NRBASE</v>
      </c>
      <c r="O1834" s="442" t="str">
        <f>IF($L1834&lt;&gt;"",VLOOKUP($L1834,Categories!$B$2:$D$41,3,FALSE),IF($F1834&lt;&gt;"","No Cat",""))</f>
        <v>Direct Assign Items Not in RB</v>
      </c>
      <c r="P1834" s="736" t="s">
        <v>2468</v>
      </c>
      <c r="Q1834" s="442" t="str">
        <f>VLOOKUP($P1834,Allocators!$B$7:$F$19,5,FALSE)</f>
        <v>Not in Rate Base</v>
      </c>
      <c r="R1834" s="737">
        <f>VLOOKUP($P1834,Allocators!$B$7:$F$19,2,FALSE)</f>
        <v>0</v>
      </c>
      <c r="S1834" s="737">
        <f>VLOOKUP($P1834,Allocators!$B$7:$F$19,3,FALSE)</f>
        <v>0</v>
      </c>
      <c r="T1834" s="737">
        <f t="shared" si="831"/>
        <v>1</v>
      </c>
      <c r="U1834" s="2" t="str">
        <f t="shared" si="844"/>
        <v/>
      </c>
      <c r="V1834" s="2" t="str">
        <f t="shared" si="845"/>
        <v/>
      </c>
      <c r="W1834" s="2" t="str">
        <f t="shared" si="846"/>
        <v/>
      </c>
      <c r="X1834" s="2">
        <f t="shared" si="839"/>
        <v>0</v>
      </c>
      <c r="Y1834" s="2" t="str">
        <f t="shared" si="847"/>
        <v/>
      </c>
      <c r="Z1834" s="2" t="str">
        <f t="shared" si="848"/>
        <v/>
      </c>
      <c r="AA1834" s="2" t="str">
        <f t="shared" si="849"/>
        <v/>
      </c>
      <c r="AB1834" s="2">
        <f t="shared" si="840"/>
        <v>0</v>
      </c>
      <c r="AC1834" s="625">
        <v>0</v>
      </c>
      <c r="AD1834" s="625">
        <v>0</v>
      </c>
      <c r="AE1834" s="625">
        <v>0</v>
      </c>
      <c r="AF1834" s="625">
        <v>0</v>
      </c>
      <c r="AG1834" s="625">
        <v>0</v>
      </c>
      <c r="AH1834" s="625">
        <v>0</v>
      </c>
      <c r="AI1834" s="625">
        <v>0</v>
      </c>
      <c r="AJ1834" s="625">
        <v>0</v>
      </c>
      <c r="AK1834" s="625">
        <v>0</v>
      </c>
      <c r="AL1834" s="625">
        <v>0</v>
      </c>
      <c r="AM1834" s="625">
        <v>0</v>
      </c>
      <c r="AN1834" s="625">
        <v>0</v>
      </c>
      <c r="AO1834" s="625">
        <v>0</v>
      </c>
      <c r="AP1834" s="41" t="str">
        <f t="shared" si="835"/>
        <v>Def TaxN</v>
      </c>
      <c r="AQ1834" s="41" t="str">
        <f t="shared" si="836"/>
        <v>Def TaxNN2ASGA</v>
      </c>
      <c r="AR1834" s="41" t="str">
        <f t="shared" si="837"/>
        <v>N2ASGA</v>
      </c>
    </row>
    <row r="1835" spans="1:44" s="41" customFormat="1" ht="12.75" customHeight="1">
      <c r="A1835" s="442" t="s">
        <v>1590</v>
      </c>
      <c r="B1835" s="442" t="str">
        <f t="shared" si="817"/>
        <v>Def Tax190511CROBE030599</v>
      </c>
      <c r="C1835" s="736">
        <v>190511</v>
      </c>
      <c r="D1835" s="735" t="s">
        <v>1931</v>
      </c>
      <c r="E1835" s="626" t="s">
        <v>1193</v>
      </c>
      <c r="F1835" s="626" t="str">
        <f t="shared" si="855"/>
        <v>ADIT-REG-STATE-ELECTRIC</v>
      </c>
      <c r="G1835" s="626" t="s">
        <v>1932</v>
      </c>
      <c r="H1835" s="736" t="s">
        <v>1195</v>
      </c>
      <c r="I1835" s="442"/>
      <c r="J1835" s="442" t="s">
        <v>7</v>
      </c>
      <c r="K1835" s="442" t="str">
        <f t="shared" si="852"/>
        <v/>
      </c>
      <c r="L1835" s="736" t="s">
        <v>2436</v>
      </c>
      <c r="M1835" s="442" t="str">
        <f t="shared" si="838"/>
        <v>N</v>
      </c>
      <c r="N1835" s="442" t="str">
        <f>IF(L1835&lt;&gt;"",VLOOKUP(L1835,Categories!$B$2:$D$41,2,FALSE),IF(F1835&lt;&gt;"","No Cat",""))</f>
        <v>NRBASE</v>
      </c>
      <c r="O1835" s="442" t="str">
        <f>IF($L1835&lt;&gt;"",VLOOKUP($L1835,Categories!$B$2:$D$41,3,FALSE),IF($F1835&lt;&gt;"","No Cat",""))</f>
        <v>Deferrals Accruing Non-Cash Return   (other than ASGA)</v>
      </c>
      <c r="P1835" s="736" t="s">
        <v>2468</v>
      </c>
      <c r="Q1835" s="442" t="str">
        <f>VLOOKUP($P1835,Allocators!$B$7:$F$19,5,FALSE)</f>
        <v>Not in Rate Base</v>
      </c>
      <c r="R1835" s="737">
        <f>VLOOKUP($P1835,Allocators!$B$7:$F$19,2,FALSE)</f>
        <v>0</v>
      </c>
      <c r="S1835" s="737">
        <f>VLOOKUP($P1835,Allocators!$B$7:$F$19,3,FALSE)</f>
        <v>0</v>
      </c>
      <c r="T1835" s="737">
        <f t="shared" si="831"/>
        <v>1</v>
      </c>
      <c r="U1835" s="2">
        <f t="shared" si="844"/>
        <v>0</v>
      </c>
      <c r="V1835" s="2">
        <f t="shared" si="845"/>
        <v>0</v>
      </c>
      <c r="W1835" s="2">
        <f t="shared" si="846"/>
        <v>36.361555833333298</v>
      </c>
      <c r="X1835" s="2">
        <f t="shared" si="839"/>
        <v>36.361555833333298</v>
      </c>
      <c r="Y1835" s="2" t="str">
        <f t="shared" si="847"/>
        <v/>
      </c>
      <c r="Z1835" s="2" t="str">
        <f t="shared" si="848"/>
        <v/>
      </c>
      <c r="AA1835" s="2" t="str">
        <f t="shared" si="849"/>
        <v/>
      </c>
      <c r="AB1835" s="2">
        <f t="shared" si="840"/>
        <v>0</v>
      </c>
      <c r="AC1835" s="625">
        <v>0</v>
      </c>
      <c r="AD1835" s="625">
        <v>15.362819999999999</v>
      </c>
      <c r="AE1835" s="625">
        <v>27.4422</v>
      </c>
      <c r="AF1835" s="625">
        <v>36.755300000000005</v>
      </c>
      <c r="AG1835" s="625">
        <v>47.54119</v>
      </c>
      <c r="AH1835" s="625">
        <v>58.91151</v>
      </c>
      <c r="AI1835" s="625">
        <v>57.849820000000001</v>
      </c>
      <c r="AJ1835" s="625">
        <v>59.627809999999997</v>
      </c>
      <c r="AK1835" s="625">
        <v>57.289190000000005</v>
      </c>
      <c r="AL1835" s="625">
        <v>39.542059999999999</v>
      </c>
      <c r="AM1835" s="625">
        <v>21.820810000000002</v>
      </c>
      <c r="AN1835" s="625">
        <v>14.195959999999999</v>
      </c>
      <c r="AO1835" s="625">
        <v>0</v>
      </c>
      <c r="AP1835" s="41" t="str">
        <f t="shared" si="835"/>
        <v>Def TaxN</v>
      </c>
      <c r="AQ1835" s="41" t="str">
        <f t="shared" si="836"/>
        <v>Def TaxNN10Incremental Maintenance</v>
      </c>
      <c r="AR1835" s="41" t="str">
        <f t="shared" si="837"/>
        <v>N10Incremental MaintenanceNCR</v>
      </c>
    </row>
    <row r="1836" spans="1:44" s="41" customFormat="1" ht="12.75" customHeight="1">
      <c r="A1836" s="25" t="s">
        <v>1590</v>
      </c>
      <c r="B1836" s="25" t="str">
        <f t="shared" si="817"/>
        <v>Def Tax190511283-075</v>
      </c>
      <c r="C1836" s="736">
        <v>190511</v>
      </c>
      <c r="D1836" s="735" t="s">
        <v>2016</v>
      </c>
      <c r="F1836" s="41" t="str">
        <f t="shared" si="855"/>
        <v>ADIT-REG-STATE-ELECTRIC</v>
      </c>
      <c r="G1836" s="41" t="s">
        <v>2018</v>
      </c>
      <c r="H1836" s="736" t="s">
        <v>2019</v>
      </c>
      <c r="I1836" s="25"/>
      <c r="J1836" s="25" t="str">
        <f t="shared" si="856"/>
        <v/>
      </c>
      <c r="K1836" s="442" t="str">
        <f t="shared" si="852"/>
        <v/>
      </c>
      <c r="L1836" s="736" t="s">
        <v>2443</v>
      </c>
      <c r="M1836" s="25" t="str">
        <f t="shared" si="838"/>
        <v>R</v>
      </c>
      <c r="N1836" s="25" t="str">
        <f>IF(L1836&lt;&gt;"",VLOOKUP(L1836,Categories!$B$2:$D$41,2,FALSE),IF(F1836&lt;&gt;"","No Cat",""))</f>
        <v>Rate Base</v>
      </c>
      <c r="O1836" s="25" t="str">
        <f>IF($L1836&lt;&gt;"",VLOOKUP($L1836,Categories!$B$2:$D$41,3,FALSE),IF($F1836&lt;&gt;"","No Cat",""))</f>
        <v>Deferred Income Taxes</v>
      </c>
      <c r="P1836" s="736" t="s">
        <v>2482</v>
      </c>
      <c r="Q1836" s="25" t="str">
        <f>VLOOKUP($P1836,Allocators!$B$7:$F$19,5,FALSE)</f>
        <v>Electric</v>
      </c>
      <c r="R1836" s="737">
        <f>VLOOKUP($P1836,Allocators!$B$7:$F$19,2,FALSE)</f>
        <v>1</v>
      </c>
      <c r="S1836" s="737">
        <f>VLOOKUP($P1836,Allocators!$B$7:$F$19,3,FALSE)</f>
        <v>0</v>
      </c>
      <c r="T1836" s="737" t="str">
        <f t="shared" si="831"/>
        <v>0.0%</v>
      </c>
      <c r="U1836" s="2" t="str">
        <f t="shared" si="844"/>
        <v/>
      </c>
      <c r="V1836" s="2" t="str">
        <f t="shared" si="845"/>
        <v/>
      </c>
      <c r="W1836" s="2" t="str">
        <f t="shared" si="846"/>
        <v/>
      </c>
      <c r="X1836" s="2">
        <f t="shared" si="839"/>
        <v>0</v>
      </c>
      <c r="Y1836" s="2" t="str">
        <f t="shared" si="847"/>
        <v/>
      </c>
      <c r="Z1836" s="2" t="str">
        <f t="shared" si="848"/>
        <v/>
      </c>
      <c r="AA1836" s="2" t="str">
        <f t="shared" si="849"/>
        <v/>
      </c>
      <c r="AB1836" s="2">
        <f t="shared" si="840"/>
        <v>0</v>
      </c>
      <c r="AC1836" s="625">
        <v>0</v>
      </c>
      <c r="AD1836" s="625">
        <v>0</v>
      </c>
      <c r="AE1836" s="625">
        <v>0</v>
      </c>
      <c r="AF1836" s="625">
        <v>0</v>
      </c>
      <c r="AG1836" s="625">
        <v>0</v>
      </c>
      <c r="AH1836" s="625">
        <v>0</v>
      </c>
      <c r="AI1836" s="625">
        <v>0</v>
      </c>
      <c r="AJ1836" s="625">
        <v>0</v>
      </c>
      <c r="AK1836" s="625">
        <v>0</v>
      </c>
      <c r="AL1836" s="625">
        <v>0</v>
      </c>
      <c r="AM1836" s="625">
        <v>0</v>
      </c>
      <c r="AN1836" s="625">
        <v>0</v>
      </c>
      <c r="AO1836" s="625">
        <v>0</v>
      </c>
      <c r="AP1836" s="41" t="str">
        <f t="shared" si="835"/>
        <v>Def TaxR</v>
      </c>
      <c r="AQ1836" s="41" t="str">
        <f t="shared" si="836"/>
        <v>Def TaxRR1198 - '01 IRS Audit</v>
      </c>
      <c r="AR1836" s="41" t="str">
        <f t="shared" si="837"/>
        <v>R1198 - '01 IRS Audit</v>
      </c>
    </row>
    <row r="1837" spans="1:44" s="41" customFormat="1" ht="12.75" customHeight="1">
      <c r="A1837" s="442" t="s">
        <v>1590</v>
      </c>
      <c r="B1837" s="442" t="str">
        <f t="shared" si="817"/>
        <v>Def Tax190511LIPBE030594</v>
      </c>
      <c r="C1837" s="736">
        <v>190511</v>
      </c>
      <c r="D1837" s="735" t="s">
        <v>1936</v>
      </c>
      <c r="E1837" s="626" t="s">
        <v>767</v>
      </c>
      <c r="F1837" s="626" t="str">
        <f t="shared" si="855"/>
        <v>ADIT-REG-STATE-ELECTRIC</v>
      </c>
      <c r="G1837" s="626" t="s">
        <v>1937</v>
      </c>
      <c r="H1837" s="736" t="s">
        <v>821</v>
      </c>
      <c r="I1837" s="442"/>
      <c r="J1837" s="442" t="s">
        <v>7</v>
      </c>
      <c r="K1837" s="442" t="str">
        <f t="shared" si="852"/>
        <v/>
      </c>
      <c r="L1837" s="736" t="s">
        <v>2436</v>
      </c>
      <c r="M1837" s="442" t="str">
        <f t="shared" si="838"/>
        <v>N</v>
      </c>
      <c r="N1837" s="442" t="str">
        <f>IF(L1837&lt;&gt;"",VLOOKUP(L1837,Categories!$B$2:$D$41,2,FALSE),IF(F1837&lt;&gt;"","No Cat",""))</f>
        <v>NRBASE</v>
      </c>
      <c r="O1837" s="442" t="str">
        <f>IF($L1837&lt;&gt;"",VLOOKUP($L1837,Categories!$B$2:$D$41,3,FALSE),IF($F1837&lt;&gt;"","No Cat",""))</f>
        <v>Deferrals Accruing Non-Cash Return   (other than ASGA)</v>
      </c>
      <c r="P1837" s="736" t="s">
        <v>2468</v>
      </c>
      <c r="Q1837" s="442" t="str">
        <f>VLOOKUP($P1837,Allocators!$B$7:$F$19,5,FALSE)</f>
        <v>Not in Rate Base</v>
      </c>
      <c r="R1837" s="737">
        <f>VLOOKUP($P1837,Allocators!$B$7:$F$19,2,FALSE)</f>
        <v>0</v>
      </c>
      <c r="S1837" s="737">
        <f>VLOOKUP($P1837,Allocators!$B$7:$F$19,3,FALSE)</f>
        <v>0</v>
      </c>
      <c r="T1837" s="737">
        <f t="shared" si="831"/>
        <v>1</v>
      </c>
      <c r="U1837" s="2">
        <f t="shared" si="844"/>
        <v>0</v>
      </c>
      <c r="V1837" s="2">
        <f t="shared" si="845"/>
        <v>0</v>
      </c>
      <c r="W1837" s="2">
        <f t="shared" si="846"/>
        <v>221.62110000000001</v>
      </c>
      <c r="X1837" s="2">
        <f t="shared" si="839"/>
        <v>221.62110000000001</v>
      </c>
      <c r="Y1837" s="2">
        <f t="shared" si="847"/>
        <v>0</v>
      </c>
      <c r="Z1837" s="2">
        <f t="shared" si="848"/>
        <v>0</v>
      </c>
      <c r="AA1837" s="2">
        <f t="shared" si="849"/>
        <v>251.2953</v>
      </c>
      <c r="AB1837" s="2">
        <f t="shared" si="840"/>
        <v>251.2953</v>
      </c>
      <c r="AC1837" s="625">
        <v>199.12768</v>
      </c>
      <c r="AD1837" s="625">
        <v>201.92243999999999</v>
      </c>
      <c r="AE1837" s="625">
        <v>204.85685999999998</v>
      </c>
      <c r="AF1837" s="625">
        <v>208.22701000000001</v>
      </c>
      <c r="AG1837" s="625">
        <v>211.04794000000001</v>
      </c>
      <c r="AH1837" s="625">
        <v>214.04632000000001</v>
      </c>
      <c r="AI1837" s="625">
        <v>217.93707000000001</v>
      </c>
      <c r="AJ1837" s="625">
        <v>225.30294000000001</v>
      </c>
      <c r="AK1837" s="625">
        <v>230.85154</v>
      </c>
      <c r="AL1837" s="625">
        <v>236.63475</v>
      </c>
      <c r="AM1837" s="625">
        <v>238.54621</v>
      </c>
      <c r="AN1837" s="625">
        <v>244.86863</v>
      </c>
      <c r="AO1837" s="625">
        <v>251.2953</v>
      </c>
      <c r="AP1837" s="41" t="str">
        <f t="shared" si="835"/>
        <v>Def TaxN</v>
      </c>
      <c r="AQ1837" s="41" t="str">
        <f t="shared" si="836"/>
        <v>Def TaxNN10Low Income</v>
      </c>
      <c r="AR1837" s="41" t="str">
        <f t="shared" si="837"/>
        <v>N10Low IncomeNCR</v>
      </c>
    </row>
    <row r="1838" spans="1:44" s="41" customFormat="1" ht="12.75" customHeight="1">
      <c r="A1838" s="25" t="s">
        <v>1590</v>
      </c>
      <c r="B1838" s="25" t="str">
        <f t="shared" si="817"/>
        <v>Def Tax190511190-107BT010124</v>
      </c>
      <c r="C1838" s="736">
        <v>190511</v>
      </c>
      <c r="D1838" s="735" t="s">
        <v>1768</v>
      </c>
      <c r="E1838" s="41" t="s">
        <v>1938</v>
      </c>
      <c r="F1838" s="41" t="str">
        <f t="shared" si="855"/>
        <v>ADIT-REG-STATE-ELECTRIC</v>
      </c>
      <c r="G1838" s="41" t="s">
        <v>1769</v>
      </c>
      <c r="H1838" s="736" t="s">
        <v>1118</v>
      </c>
      <c r="I1838" s="25"/>
      <c r="J1838" s="25" t="str">
        <f t="shared" si="856"/>
        <v/>
      </c>
      <c r="K1838" s="442" t="str">
        <f t="shared" si="852"/>
        <v/>
      </c>
      <c r="L1838" s="736" t="s">
        <v>2443</v>
      </c>
      <c r="M1838" s="25" t="str">
        <f t="shared" si="838"/>
        <v>R</v>
      </c>
      <c r="N1838" s="25" t="str">
        <f>IF(L1838&lt;&gt;"",VLOOKUP(L1838,Categories!$B$2:$D$41,2,FALSE),IF(F1838&lt;&gt;"","No Cat",""))</f>
        <v>Rate Base</v>
      </c>
      <c r="O1838" s="25" t="str">
        <f>IF($L1838&lt;&gt;"",VLOOKUP($L1838,Categories!$B$2:$D$41,3,FALSE),IF($F1838&lt;&gt;"","No Cat",""))</f>
        <v>Deferred Income Taxes</v>
      </c>
      <c r="P1838" s="736" t="s">
        <v>2482</v>
      </c>
      <c r="Q1838" s="25" t="str">
        <f>VLOOKUP($P1838,Allocators!$B$7:$F$19,5,FALSE)</f>
        <v>Electric</v>
      </c>
      <c r="R1838" s="737">
        <f>VLOOKUP($P1838,Allocators!$B$7:$F$19,2,FALSE)</f>
        <v>1</v>
      </c>
      <c r="S1838" s="737">
        <f>VLOOKUP($P1838,Allocators!$B$7:$F$19,3,FALSE)</f>
        <v>0</v>
      </c>
      <c r="T1838" s="737" t="str">
        <f t="shared" si="831"/>
        <v>0.0%</v>
      </c>
      <c r="U1838" s="2" t="str">
        <f t="shared" si="844"/>
        <v/>
      </c>
      <c r="V1838" s="2" t="str">
        <f t="shared" si="845"/>
        <v/>
      </c>
      <c r="W1838" s="2" t="str">
        <f t="shared" si="846"/>
        <v/>
      </c>
      <c r="X1838" s="2">
        <f t="shared" si="839"/>
        <v>0</v>
      </c>
      <c r="Y1838" s="2" t="str">
        <f t="shared" si="847"/>
        <v/>
      </c>
      <c r="Z1838" s="2" t="str">
        <f t="shared" si="848"/>
        <v/>
      </c>
      <c r="AA1838" s="2" t="str">
        <f t="shared" si="849"/>
        <v/>
      </c>
      <c r="AB1838" s="2">
        <f t="shared" si="840"/>
        <v>0</v>
      </c>
      <c r="AC1838" s="625">
        <v>0</v>
      </c>
      <c r="AD1838" s="625">
        <v>0</v>
      </c>
      <c r="AE1838" s="625">
        <v>0</v>
      </c>
      <c r="AF1838" s="625">
        <v>0</v>
      </c>
      <c r="AG1838" s="625">
        <v>0</v>
      </c>
      <c r="AH1838" s="625">
        <v>0</v>
      </c>
      <c r="AI1838" s="625">
        <v>0</v>
      </c>
      <c r="AJ1838" s="625">
        <v>0</v>
      </c>
      <c r="AK1838" s="625">
        <v>0</v>
      </c>
      <c r="AL1838" s="625">
        <v>0</v>
      </c>
      <c r="AM1838" s="625">
        <v>0</v>
      </c>
      <c r="AN1838" s="625">
        <v>0</v>
      </c>
      <c r="AO1838" s="625">
        <v>0</v>
      </c>
      <c r="AP1838" s="41" t="str">
        <f t="shared" si="835"/>
        <v>Def TaxR</v>
      </c>
      <c r="AQ1838" s="41" t="str">
        <f t="shared" si="836"/>
        <v>Def TaxRR11Medicare Part D</v>
      </c>
      <c r="AR1838" s="41" t="str">
        <f t="shared" si="837"/>
        <v>R11Medicare Part D</v>
      </c>
    </row>
    <row r="1839" spans="1:44" s="41" customFormat="1" ht="12.75" customHeight="1">
      <c r="A1839" s="442" t="s">
        <v>1590</v>
      </c>
      <c r="B1839" s="442" t="str">
        <f t="shared" si="817"/>
        <v>Def Tax190511Mgt AuditBE030596</v>
      </c>
      <c r="C1839" s="736">
        <v>190511</v>
      </c>
      <c r="D1839" s="735" t="s">
        <v>1939</v>
      </c>
      <c r="E1839" s="626" t="s">
        <v>1190</v>
      </c>
      <c r="F1839" s="626" t="str">
        <f t="shared" si="855"/>
        <v>ADIT-REG-STATE-ELECTRIC</v>
      </c>
      <c r="G1839" s="626" t="s">
        <v>1940</v>
      </c>
      <c r="H1839" s="736" t="s">
        <v>1192</v>
      </c>
      <c r="I1839" s="442"/>
      <c r="J1839" s="442" t="s">
        <v>7</v>
      </c>
      <c r="K1839" s="442" t="str">
        <f t="shared" si="852"/>
        <v/>
      </c>
      <c r="L1839" s="736" t="s">
        <v>2436</v>
      </c>
      <c r="M1839" s="442" t="str">
        <f t="shared" si="838"/>
        <v>N</v>
      </c>
      <c r="N1839" s="442" t="str">
        <f>IF(L1839&lt;&gt;"",VLOOKUP(L1839,Categories!$B$2:$D$41,2,FALSE),IF(F1839&lt;&gt;"","No Cat",""))</f>
        <v>NRBASE</v>
      </c>
      <c r="O1839" s="442" t="str">
        <f>IF($L1839&lt;&gt;"",VLOOKUP($L1839,Categories!$B$2:$D$41,3,FALSE),IF($F1839&lt;&gt;"","No Cat",""))</f>
        <v>Deferrals Accruing Non-Cash Return   (other than ASGA)</v>
      </c>
      <c r="P1839" s="736" t="s">
        <v>2468</v>
      </c>
      <c r="Q1839" s="442" t="str">
        <f>VLOOKUP($P1839,Allocators!$B$7:$F$19,5,FALSE)</f>
        <v>Not in Rate Base</v>
      </c>
      <c r="R1839" s="737">
        <f>VLOOKUP($P1839,Allocators!$B$7:$F$19,2,FALSE)</f>
        <v>0</v>
      </c>
      <c r="S1839" s="737">
        <f>VLOOKUP($P1839,Allocators!$B$7:$F$19,3,FALSE)</f>
        <v>0</v>
      </c>
      <c r="T1839" s="737">
        <f t="shared" si="831"/>
        <v>1</v>
      </c>
      <c r="U1839" s="2">
        <f t="shared" si="844"/>
        <v>0</v>
      </c>
      <c r="V1839" s="2">
        <f t="shared" si="845"/>
        <v>0</v>
      </c>
      <c r="W1839" s="2">
        <f t="shared" si="846"/>
        <v>7.8736229166666698</v>
      </c>
      <c r="X1839" s="2">
        <f t="shared" si="839"/>
        <v>7.8736229166666698</v>
      </c>
      <c r="Y1839" s="2">
        <f t="shared" si="847"/>
        <v>0</v>
      </c>
      <c r="Z1839" s="2">
        <f t="shared" si="848"/>
        <v>0</v>
      </c>
      <c r="AA1839" s="2">
        <f t="shared" si="849"/>
        <v>14.143079999999999</v>
      </c>
      <c r="AB1839" s="2">
        <f t="shared" si="840"/>
        <v>14.143079999999999</v>
      </c>
      <c r="AC1839" s="625">
        <v>1.6054300000000001</v>
      </c>
      <c r="AD1839" s="625">
        <v>2.64995</v>
      </c>
      <c r="AE1839" s="625">
        <v>3.6945100000000002</v>
      </c>
      <c r="AF1839" s="625">
        <v>4.7391300000000003</v>
      </c>
      <c r="AG1839" s="625">
        <v>5.7838000000000003</v>
      </c>
      <c r="AH1839" s="625">
        <v>6.8285200000000001</v>
      </c>
      <c r="AI1839" s="625">
        <v>7.8733000000000004</v>
      </c>
      <c r="AJ1839" s="625">
        <v>8.9181299999999997</v>
      </c>
      <c r="AK1839" s="625">
        <v>9.9630100000000006</v>
      </c>
      <c r="AL1839" s="625">
        <v>11.007950000000001</v>
      </c>
      <c r="AM1839" s="625">
        <v>12.052940000000001</v>
      </c>
      <c r="AN1839" s="625">
        <v>13.09798</v>
      </c>
      <c r="AO1839" s="625">
        <v>14.143079999999999</v>
      </c>
      <c r="AP1839" s="41" t="str">
        <f t="shared" si="835"/>
        <v>Def TaxN</v>
      </c>
      <c r="AQ1839" s="41" t="str">
        <f t="shared" si="836"/>
        <v>Def TaxNN10Management Audit Deferral</v>
      </c>
      <c r="AR1839" s="41" t="str">
        <f t="shared" si="837"/>
        <v>N10Management Audit DeferralNCR</v>
      </c>
    </row>
    <row r="1840" spans="1:44" s="41" customFormat="1" ht="12.75" customHeight="1">
      <c r="A1840" s="442" t="s">
        <v>1590</v>
      </c>
      <c r="B1840" s="442" t="str">
        <f t="shared" si="817"/>
        <v>Def Tax190511190-113BE030416</v>
      </c>
      <c r="C1840" s="736">
        <v>190511</v>
      </c>
      <c r="D1840" s="735" t="s">
        <v>1941</v>
      </c>
      <c r="E1840" s="626" t="s">
        <v>759</v>
      </c>
      <c r="F1840" s="626" t="str">
        <f t="shared" si="855"/>
        <v>ADIT-REG-STATE-ELECTRIC</v>
      </c>
      <c r="G1840" s="626" t="s">
        <v>1942</v>
      </c>
      <c r="H1840" s="736">
        <v>0</v>
      </c>
      <c r="I1840" s="442"/>
      <c r="J1840" s="442" t="str">
        <f t="shared" si="856"/>
        <v/>
      </c>
      <c r="K1840" s="442" t="str">
        <f t="shared" si="852"/>
        <v/>
      </c>
      <c r="L1840" s="736" t="s">
        <v>2421</v>
      </c>
      <c r="M1840" s="442" t="str">
        <f t="shared" si="838"/>
        <v>N</v>
      </c>
      <c r="N1840" s="442" t="str">
        <f>IF(L1840&lt;&gt;"",VLOOKUP(L1840,Categories!$B$2:$D$41,2,FALSE),IF(F1840&lt;&gt;"","No Cat",""))</f>
        <v>NRBASE</v>
      </c>
      <c r="O1840" s="442" t="str">
        <f>IF($L1840&lt;&gt;"",VLOOKUP($L1840,Categories!$B$2:$D$41,3,FALSE),IF($F1840&lt;&gt;"","No Cat",""))</f>
        <v>Direct Assign Items Not in RB</v>
      </c>
      <c r="P1840" s="736" t="s">
        <v>2468</v>
      </c>
      <c r="Q1840" s="442" t="str">
        <f>VLOOKUP($P1840,Allocators!$B$7:$F$19,5,FALSE)</f>
        <v>Not in Rate Base</v>
      </c>
      <c r="R1840" s="737">
        <f>VLOOKUP($P1840,Allocators!$B$7:$F$19,2,FALSE)</f>
        <v>0</v>
      </c>
      <c r="S1840" s="737">
        <f>VLOOKUP($P1840,Allocators!$B$7:$F$19,3,FALSE)</f>
        <v>0</v>
      </c>
      <c r="T1840" s="737">
        <f t="shared" si="831"/>
        <v>1</v>
      </c>
      <c r="U1840" s="2" t="str">
        <f t="shared" si="844"/>
        <v/>
      </c>
      <c r="V1840" s="2" t="str">
        <f t="shared" si="845"/>
        <v/>
      </c>
      <c r="W1840" s="2" t="str">
        <f t="shared" si="846"/>
        <v/>
      </c>
      <c r="X1840" s="2">
        <f t="shared" si="839"/>
        <v>0</v>
      </c>
      <c r="Y1840" s="2" t="str">
        <f t="shared" si="847"/>
        <v/>
      </c>
      <c r="Z1840" s="2" t="str">
        <f t="shared" si="848"/>
        <v/>
      </c>
      <c r="AA1840" s="2" t="str">
        <f t="shared" si="849"/>
        <v/>
      </c>
      <c r="AB1840" s="2">
        <f t="shared" si="840"/>
        <v>0</v>
      </c>
      <c r="AC1840" s="625">
        <v>0</v>
      </c>
      <c r="AD1840" s="625">
        <v>0</v>
      </c>
      <c r="AE1840" s="625">
        <v>0</v>
      </c>
      <c r="AF1840" s="625">
        <v>0</v>
      </c>
      <c r="AG1840" s="625">
        <v>0</v>
      </c>
      <c r="AH1840" s="625">
        <v>0</v>
      </c>
      <c r="AI1840" s="625">
        <v>0</v>
      </c>
      <c r="AJ1840" s="625">
        <v>0</v>
      </c>
      <c r="AK1840" s="625">
        <v>0</v>
      </c>
      <c r="AL1840" s="625">
        <v>0</v>
      </c>
      <c r="AM1840" s="625">
        <v>0</v>
      </c>
      <c r="AN1840" s="625">
        <v>0</v>
      </c>
      <c r="AO1840" s="625">
        <v>0</v>
      </c>
      <c r="AP1840" s="41" t="str">
        <f t="shared" si="835"/>
        <v>Def TaxN</v>
      </c>
      <c r="AQ1840" s="41" t="str">
        <f t="shared" si="836"/>
        <v>Def TaxNN20</v>
      </c>
      <c r="AR1840" s="41" t="str">
        <f t="shared" si="837"/>
        <v>N20</v>
      </c>
    </row>
    <row r="1841" spans="1:44" s="41" customFormat="1" ht="12.75" customHeight="1">
      <c r="A1841" s="442" t="s">
        <v>1590</v>
      </c>
      <c r="B1841" s="442" t="str">
        <f t="shared" ref="B1841:B1918" si="857">CONCATENATE(A1841,C1841,D1841,E1841)</f>
        <v>Def Tax190511BE030915</v>
      </c>
      <c r="C1841" s="736">
        <v>190511</v>
      </c>
      <c r="D1841" s="735"/>
      <c r="E1841" s="626" t="s">
        <v>1207</v>
      </c>
      <c r="F1841" s="626" t="str">
        <f t="shared" si="855"/>
        <v>ADIT-REG-STATE-ELECTRIC</v>
      </c>
      <c r="G1841" s="626" t="s">
        <v>1943</v>
      </c>
      <c r="H1841" s="736" t="s">
        <v>1210</v>
      </c>
      <c r="I1841" s="442"/>
      <c r="J1841" s="442" t="s">
        <v>7</v>
      </c>
      <c r="K1841" s="442" t="str">
        <f t="shared" si="852"/>
        <v/>
      </c>
      <c r="L1841" s="736" t="s">
        <v>2436</v>
      </c>
      <c r="M1841" s="442" t="str">
        <f t="shared" si="838"/>
        <v>N</v>
      </c>
      <c r="N1841" s="442" t="str">
        <f>IF(L1841&lt;&gt;"",VLOOKUP(L1841,Categories!$B$2:$D$41,2,FALSE),IF(F1841&lt;&gt;"","No Cat",""))</f>
        <v>NRBASE</v>
      </c>
      <c r="O1841" s="442" t="str">
        <f>IF($L1841&lt;&gt;"",VLOOKUP($L1841,Categories!$B$2:$D$41,3,FALSE),IF($F1841&lt;&gt;"","No Cat",""))</f>
        <v>Deferrals Accruing Non-Cash Return   (other than ASGA)</v>
      </c>
      <c r="P1841" s="736" t="s">
        <v>2468</v>
      </c>
      <c r="Q1841" s="442" t="str">
        <f>VLOOKUP($P1841,Allocators!$B$7:$F$19,5,FALSE)</f>
        <v>Not in Rate Base</v>
      </c>
      <c r="R1841" s="737">
        <f>VLOOKUP($P1841,Allocators!$B$7:$F$19,2,FALSE)</f>
        <v>0</v>
      </c>
      <c r="S1841" s="737">
        <f>VLOOKUP($P1841,Allocators!$B$7:$F$19,3,FALSE)</f>
        <v>0</v>
      </c>
      <c r="T1841" s="737">
        <f t="shared" si="831"/>
        <v>1</v>
      </c>
      <c r="U1841" s="2" t="str">
        <f t="shared" si="844"/>
        <v/>
      </c>
      <c r="V1841" s="2" t="str">
        <f t="shared" si="845"/>
        <v/>
      </c>
      <c r="W1841" s="2" t="str">
        <f t="shared" si="846"/>
        <v/>
      </c>
      <c r="X1841" s="2">
        <f t="shared" si="839"/>
        <v>0</v>
      </c>
      <c r="Y1841" s="2" t="str">
        <f t="shared" si="847"/>
        <v/>
      </c>
      <c r="Z1841" s="2" t="str">
        <f t="shared" si="848"/>
        <v/>
      </c>
      <c r="AA1841" s="2" t="str">
        <f t="shared" si="849"/>
        <v/>
      </c>
      <c r="AB1841" s="2">
        <f t="shared" si="840"/>
        <v>0</v>
      </c>
      <c r="AC1841" s="625">
        <v>0</v>
      </c>
      <c r="AD1841" s="625">
        <v>0</v>
      </c>
      <c r="AE1841" s="625">
        <v>0</v>
      </c>
      <c r="AF1841" s="625">
        <v>0</v>
      </c>
      <c r="AG1841" s="625">
        <v>0</v>
      </c>
      <c r="AH1841" s="625">
        <v>0</v>
      </c>
      <c r="AI1841" s="625">
        <v>0</v>
      </c>
      <c r="AJ1841" s="625">
        <v>0</v>
      </c>
      <c r="AK1841" s="625">
        <v>0</v>
      </c>
      <c r="AL1841" s="625">
        <v>0</v>
      </c>
      <c r="AM1841" s="625">
        <v>0</v>
      </c>
      <c r="AN1841" s="625">
        <v>0</v>
      </c>
      <c r="AO1841" s="625">
        <v>0</v>
      </c>
      <c r="AP1841" s="41" t="str">
        <f t="shared" si="835"/>
        <v>Def TaxN</v>
      </c>
      <c r="AQ1841" s="41" t="str">
        <f t="shared" si="836"/>
        <v>Def TaxNN10SBC</v>
      </c>
      <c r="AR1841" s="41" t="str">
        <f t="shared" si="837"/>
        <v>N10SBCNCR</v>
      </c>
    </row>
    <row r="1842" spans="1:44" s="41" customFormat="1" ht="12.75" customHeight="1">
      <c r="A1842" s="442" t="s">
        <v>1590</v>
      </c>
      <c r="B1842" s="442" t="str">
        <f t="shared" si="857"/>
        <v>Def Tax190511BE030932</v>
      </c>
      <c r="C1842" s="736">
        <v>190511</v>
      </c>
      <c r="D1842" s="735"/>
      <c r="E1842" s="626" t="s">
        <v>4052</v>
      </c>
      <c r="F1842" s="626" t="str">
        <f>VLOOKUP(C1842,$C$7:$F$787,4,FALSE)</f>
        <v>ADIT-REG-STATE-ELECTRIC</v>
      </c>
      <c r="G1842" s="740" t="s">
        <v>4051</v>
      </c>
      <c r="H1842" s="736" t="s">
        <v>4377</v>
      </c>
      <c r="I1842" s="442"/>
      <c r="J1842" s="442"/>
      <c r="K1842" s="442" t="str">
        <f t="shared" si="852"/>
        <v/>
      </c>
      <c r="L1842" s="736" t="s">
        <v>2443</v>
      </c>
      <c r="M1842" s="442" t="str">
        <f t="shared" si="838"/>
        <v>R</v>
      </c>
      <c r="N1842" s="442" t="str">
        <f>IF(L1842&lt;&gt;"",VLOOKUP(L1842,Categories!$B$2:$D$41,2,FALSE),IF(F1842&lt;&gt;"","No Cat",""))</f>
        <v>Rate Base</v>
      </c>
      <c r="O1842" s="442" t="str">
        <f>IF($L1842&lt;&gt;"",VLOOKUP($L1842,Categories!$B$2:$D$41,3,FALSE),IF($F1842&lt;&gt;"","No Cat",""))</f>
        <v>Deferred Income Taxes</v>
      </c>
      <c r="P1842" s="736" t="s">
        <v>2482</v>
      </c>
      <c r="Q1842" s="442" t="str">
        <f>VLOOKUP($P1842,Allocators!$B$7:$F$19,5,FALSE)</f>
        <v>Electric</v>
      </c>
      <c r="R1842" s="737">
        <f>VLOOKUP($P1842,Allocators!$B$7:$F$19,2,FALSE)</f>
        <v>1</v>
      </c>
      <c r="S1842" s="737">
        <f>VLOOKUP($P1842,Allocators!$B$7:$F$19,3,FALSE)</f>
        <v>0</v>
      </c>
      <c r="T1842" s="737" t="str">
        <f t="shared" si="831"/>
        <v>0.0%</v>
      </c>
      <c r="U1842" s="2">
        <f t="shared" si="844"/>
        <v>-2043.0347554166699</v>
      </c>
      <c r="V1842" s="2">
        <f t="shared" si="845"/>
        <v>0</v>
      </c>
      <c r="W1842" s="2">
        <f t="shared" si="846"/>
        <v>0</v>
      </c>
      <c r="X1842" s="2">
        <f t="shared" si="839"/>
        <v>-2043.0347554166699</v>
      </c>
      <c r="Y1842" s="2">
        <f t="shared" si="847"/>
        <v>-2359.7468399999998</v>
      </c>
      <c r="Z1842" s="2">
        <f t="shared" si="848"/>
        <v>0</v>
      </c>
      <c r="AA1842" s="2">
        <f t="shared" si="849"/>
        <v>0</v>
      </c>
      <c r="AB1842" s="2">
        <f t="shared" si="840"/>
        <v>-2359.7468399999998</v>
      </c>
      <c r="AC1842" s="625">
        <v>-1750.2407700000001</v>
      </c>
      <c r="AD1842" s="625">
        <v>-1798.8585700000001</v>
      </c>
      <c r="AE1842" s="625">
        <v>-1847.4763700000001</v>
      </c>
      <c r="AF1842" s="625">
        <v>-1896.0941699999998</v>
      </c>
      <c r="AG1842" s="625">
        <v>-1944.7119700000001</v>
      </c>
      <c r="AH1842" s="625">
        <v>-1993.3297700000001</v>
      </c>
      <c r="AI1842" s="625">
        <v>-2041.94757</v>
      </c>
      <c r="AJ1842" s="625">
        <v>-2090.5653700000003</v>
      </c>
      <c r="AK1842" s="625">
        <v>-2139.1831699999998</v>
      </c>
      <c r="AL1842" s="625">
        <v>-2187.8009700000002</v>
      </c>
      <c r="AM1842" s="625">
        <v>-2236.4187700000002</v>
      </c>
      <c r="AN1842" s="625">
        <v>-2285.03656</v>
      </c>
      <c r="AO1842" s="625">
        <v>-2359.7468399999998</v>
      </c>
      <c r="AP1842" s="41" t="str">
        <f t="shared" si="835"/>
        <v>Def TaxR</v>
      </c>
      <c r="AQ1842" s="41" t="str">
        <f t="shared" si="836"/>
        <v>Def TaxRR11Funded DIT Tax True-up Deferral</v>
      </c>
      <c r="AR1842" s="41" t="str">
        <f t="shared" si="837"/>
        <v>R11Funded DIT Tax True-up Deferral</v>
      </c>
    </row>
    <row r="1843" spans="1:44" s="41" customFormat="1" ht="12.75" customHeight="1">
      <c r="A1843" s="442" t="s">
        <v>1590</v>
      </c>
      <c r="B1843" s="442" t="str">
        <f t="shared" ref="B1843" si="858">CONCATENATE(A1843,C1843,D1843,E1843)</f>
        <v>Def Tax190511BT010154</v>
      </c>
      <c r="C1843" s="736">
        <v>190511</v>
      </c>
      <c r="D1843" s="735"/>
      <c r="E1843" s="626" t="s">
        <v>4117</v>
      </c>
      <c r="F1843" s="626" t="str">
        <f>VLOOKUP(C1843,$C$7:$F$787,4,FALSE)</f>
        <v>ADIT-REG-STATE-ELECTRIC</v>
      </c>
      <c r="G1843" s="740" t="s">
        <v>4103</v>
      </c>
      <c r="H1843" s="736" t="s">
        <v>4103</v>
      </c>
      <c r="I1843" s="442"/>
      <c r="J1843" s="442"/>
      <c r="K1843" s="442" t="str">
        <f t="shared" si="852"/>
        <v/>
      </c>
      <c r="L1843" s="736" t="s">
        <v>2443</v>
      </c>
      <c r="M1843" s="442" t="str">
        <f t="shared" ref="M1843" si="859">LEFT(L1843,1)</f>
        <v>R</v>
      </c>
      <c r="N1843" s="442" t="str">
        <f>IF(L1843&lt;&gt;"",VLOOKUP(L1843,Categories!$B$2:$D$41,2,FALSE),IF(F1843&lt;&gt;"","No Cat",""))</f>
        <v>Rate Base</v>
      </c>
      <c r="O1843" s="442" t="str">
        <f>IF($L1843&lt;&gt;"",VLOOKUP($L1843,Categories!$B$2:$D$41,3,FALSE),IF($F1843&lt;&gt;"","No Cat",""))</f>
        <v>Deferred Income Taxes</v>
      </c>
      <c r="P1843" s="736" t="s">
        <v>2482</v>
      </c>
      <c r="Q1843" s="442" t="str">
        <f>VLOOKUP($P1843,Allocators!$B$7:$F$19,5,FALSE)</f>
        <v>Electric</v>
      </c>
      <c r="R1843" s="737">
        <f>VLOOKUP($P1843,Allocators!$B$7:$F$19,2,FALSE)</f>
        <v>1</v>
      </c>
      <c r="S1843" s="737">
        <f>VLOOKUP($P1843,Allocators!$B$7:$F$19,3,FALSE)</f>
        <v>0</v>
      </c>
      <c r="T1843" s="737" t="str">
        <f t="shared" ref="T1843" si="860">IF(P1843="N",1,"0.0%")</f>
        <v>0.0%</v>
      </c>
      <c r="U1843" s="2">
        <f t="shared" si="844"/>
        <v>685.39224999999999</v>
      </c>
      <c r="V1843" s="2">
        <f t="shared" si="845"/>
        <v>0</v>
      </c>
      <c r="W1843" s="2">
        <f t="shared" si="846"/>
        <v>0</v>
      </c>
      <c r="X1843" s="2">
        <f t="shared" si="839"/>
        <v>685.39224999999999</v>
      </c>
      <c r="Y1843" s="2">
        <f t="shared" si="847"/>
        <v>685.39224999999999</v>
      </c>
      <c r="Z1843" s="2">
        <f t="shared" si="848"/>
        <v>0</v>
      </c>
      <c r="AA1843" s="2">
        <f t="shared" si="849"/>
        <v>0</v>
      </c>
      <c r="AB1843" s="2">
        <f t="shared" si="840"/>
        <v>685.39224999999999</v>
      </c>
      <c r="AC1843" s="625">
        <v>685.39224999999999</v>
      </c>
      <c r="AD1843" s="625">
        <v>685.39224999999999</v>
      </c>
      <c r="AE1843" s="625">
        <v>685.39224999999999</v>
      </c>
      <c r="AF1843" s="625">
        <v>685.39224999999999</v>
      </c>
      <c r="AG1843" s="625">
        <v>685.39224999999999</v>
      </c>
      <c r="AH1843" s="625">
        <v>685.39224999999999</v>
      </c>
      <c r="AI1843" s="625">
        <v>685.39224999999999</v>
      </c>
      <c r="AJ1843" s="625">
        <v>685.39224999999999</v>
      </c>
      <c r="AK1843" s="625">
        <v>685.39224999999999</v>
      </c>
      <c r="AL1843" s="625">
        <v>685.39224999999999</v>
      </c>
      <c r="AM1843" s="625">
        <v>685.39224999999999</v>
      </c>
      <c r="AN1843" s="625">
        <v>685.39224999999999</v>
      </c>
      <c r="AO1843" s="625">
        <v>685.39224999999999</v>
      </c>
      <c r="AP1843" s="41" t="str">
        <f t="shared" si="835"/>
        <v>Def TaxR</v>
      </c>
      <c r="AQ1843" s="41" t="str">
        <f t="shared" si="836"/>
        <v>Def TaxRR11Net Plant Reconciliation</v>
      </c>
      <c r="AR1843" s="41" t="str">
        <f t="shared" si="837"/>
        <v>R11Net Plant Reconciliation</v>
      </c>
    </row>
    <row r="1844" spans="1:44" s="41" customFormat="1" ht="12.75" customHeight="1">
      <c r="A1844" s="25" t="s">
        <v>1590</v>
      </c>
      <c r="B1844" s="25" t="str">
        <f t="shared" si="857"/>
        <v>Def Tax190511190-042BE030272</v>
      </c>
      <c r="C1844" s="736">
        <v>190511</v>
      </c>
      <c r="D1844" s="735" t="s">
        <v>1944</v>
      </c>
      <c r="E1844" s="41" t="s">
        <v>992</v>
      </c>
      <c r="F1844" s="41" t="str">
        <f t="shared" si="855"/>
        <v>ADIT-REG-STATE-ELECTRIC</v>
      </c>
      <c r="G1844" s="41" t="s">
        <v>1945</v>
      </c>
      <c r="H1844" s="736" t="s">
        <v>1946</v>
      </c>
      <c r="I1844" s="25"/>
      <c r="J1844" s="25" t="str">
        <f t="shared" si="856"/>
        <v/>
      </c>
      <c r="K1844" s="442" t="str">
        <f t="shared" si="852"/>
        <v/>
      </c>
      <c r="L1844" s="736" t="s">
        <v>2443</v>
      </c>
      <c r="M1844" s="25" t="str">
        <f t="shared" si="838"/>
        <v>R</v>
      </c>
      <c r="N1844" s="25" t="str">
        <f>IF(L1844&lt;&gt;"",VLOOKUP(L1844,Categories!$B$2:$D$41,2,FALSE),IF(F1844&lt;&gt;"","No Cat",""))</f>
        <v>Rate Base</v>
      </c>
      <c r="O1844" s="25" t="str">
        <f>IF($L1844&lt;&gt;"",VLOOKUP($L1844,Categories!$B$2:$D$41,3,FALSE),IF($F1844&lt;&gt;"","No Cat",""))</f>
        <v>Deferred Income Taxes</v>
      </c>
      <c r="P1844" s="736" t="s">
        <v>2482</v>
      </c>
      <c r="Q1844" s="25" t="str">
        <f>VLOOKUP($P1844,Allocators!$B$7:$F$19,5,FALSE)</f>
        <v>Electric</v>
      </c>
      <c r="R1844" s="737">
        <f>VLOOKUP($P1844,Allocators!$B$7:$F$19,2,FALSE)</f>
        <v>1</v>
      </c>
      <c r="S1844" s="737">
        <f>VLOOKUP($P1844,Allocators!$B$7:$F$19,3,FALSE)</f>
        <v>0</v>
      </c>
      <c r="T1844" s="737" t="str">
        <f t="shared" si="831"/>
        <v>0.0%</v>
      </c>
      <c r="U1844" s="2" t="str">
        <f t="shared" si="844"/>
        <v/>
      </c>
      <c r="V1844" s="2" t="str">
        <f t="shared" si="845"/>
        <v/>
      </c>
      <c r="W1844" s="2" t="str">
        <f t="shared" si="846"/>
        <v/>
      </c>
      <c r="X1844" s="2">
        <f t="shared" si="839"/>
        <v>0</v>
      </c>
      <c r="Y1844" s="2" t="str">
        <f t="shared" si="847"/>
        <v/>
      </c>
      <c r="Z1844" s="2" t="str">
        <f t="shared" si="848"/>
        <v/>
      </c>
      <c r="AA1844" s="2" t="str">
        <f t="shared" si="849"/>
        <v/>
      </c>
      <c r="AB1844" s="2">
        <f t="shared" si="840"/>
        <v>0</v>
      </c>
      <c r="AC1844" s="625">
        <v>0</v>
      </c>
      <c r="AD1844" s="625">
        <v>0</v>
      </c>
      <c r="AE1844" s="625">
        <v>0</v>
      </c>
      <c r="AF1844" s="625">
        <v>0</v>
      </c>
      <c r="AG1844" s="625">
        <v>0</v>
      </c>
      <c r="AH1844" s="625">
        <v>0</v>
      </c>
      <c r="AI1844" s="625">
        <v>0</v>
      </c>
      <c r="AJ1844" s="625">
        <v>0</v>
      </c>
      <c r="AK1844" s="625">
        <v>0</v>
      </c>
      <c r="AL1844" s="625">
        <v>0</v>
      </c>
      <c r="AM1844" s="625">
        <v>0</v>
      </c>
      <c r="AN1844" s="625">
        <v>0</v>
      </c>
      <c r="AO1844" s="625">
        <v>0</v>
      </c>
      <c r="AP1844" s="41" t="str">
        <f t="shared" si="835"/>
        <v>Def TaxR</v>
      </c>
      <c r="AQ1844" s="41" t="str">
        <f t="shared" si="836"/>
        <v>Def TaxRR11NM2 Related</v>
      </c>
      <c r="AR1844" s="41" t="str">
        <f t="shared" si="837"/>
        <v>R11NM2 Related</v>
      </c>
    </row>
    <row r="1845" spans="1:44" s="41" customFormat="1" ht="12.75" customHeight="1">
      <c r="A1845" s="25" t="s">
        <v>1590</v>
      </c>
      <c r="B1845" s="25" t="str">
        <f t="shared" si="857"/>
        <v>Def Tax190511283-057BT010189/
BE030276/
BTHUNGDT</v>
      </c>
      <c r="C1845" s="736">
        <v>190511</v>
      </c>
      <c r="D1845" s="735" t="s">
        <v>2039</v>
      </c>
      <c r="E1845" s="41" t="s">
        <v>2040</v>
      </c>
      <c r="F1845" s="41" t="str">
        <f t="shared" si="855"/>
        <v>ADIT-REG-STATE-ELECTRIC</v>
      </c>
      <c r="G1845" s="41" t="s">
        <v>2041</v>
      </c>
      <c r="H1845" s="736" t="s">
        <v>1946</v>
      </c>
      <c r="I1845" s="25"/>
      <c r="J1845" s="25" t="str">
        <f t="shared" si="856"/>
        <v/>
      </c>
      <c r="K1845" s="442" t="str">
        <f t="shared" si="852"/>
        <v/>
      </c>
      <c r="L1845" s="736" t="s">
        <v>2443</v>
      </c>
      <c r="M1845" s="25" t="str">
        <f t="shared" si="838"/>
        <v>R</v>
      </c>
      <c r="N1845" s="25" t="str">
        <f>IF(L1845&lt;&gt;"",VLOOKUP(L1845,Categories!$B$2:$D$41,2,FALSE),IF(F1845&lt;&gt;"","No Cat",""))</f>
        <v>Rate Base</v>
      </c>
      <c r="O1845" s="25" t="str">
        <f>IF($L1845&lt;&gt;"",VLOOKUP($L1845,Categories!$B$2:$D$41,3,FALSE),IF($F1845&lt;&gt;"","No Cat",""))</f>
        <v>Deferred Income Taxes</v>
      </c>
      <c r="P1845" s="736" t="s">
        <v>2482</v>
      </c>
      <c r="Q1845" s="25" t="str">
        <f>VLOOKUP($P1845,Allocators!$B$7:$F$19,5,FALSE)</f>
        <v>Electric</v>
      </c>
      <c r="R1845" s="737">
        <f>VLOOKUP($P1845,Allocators!$B$7:$F$19,2,FALSE)</f>
        <v>1</v>
      </c>
      <c r="S1845" s="737">
        <f>VLOOKUP($P1845,Allocators!$B$7:$F$19,3,FALSE)</f>
        <v>0</v>
      </c>
      <c r="T1845" s="737" t="str">
        <f t="shared" si="831"/>
        <v>0.0%</v>
      </c>
      <c r="U1845" s="2" t="str">
        <f t="shared" si="844"/>
        <v/>
      </c>
      <c r="V1845" s="2" t="str">
        <f t="shared" si="845"/>
        <v/>
      </c>
      <c r="W1845" s="2" t="str">
        <f t="shared" si="846"/>
        <v/>
      </c>
      <c r="X1845" s="2">
        <f t="shared" si="839"/>
        <v>0</v>
      </c>
      <c r="Y1845" s="2" t="str">
        <f t="shared" si="847"/>
        <v/>
      </c>
      <c r="Z1845" s="2" t="str">
        <f t="shared" si="848"/>
        <v/>
      </c>
      <c r="AA1845" s="2" t="str">
        <f t="shared" si="849"/>
        <v/>
      </c>
      <c r="AB1845" s="2">
        <f t="shared" si="840"/>
        <v>0</v>
      </c>
      <c r="AC1845" s="625">
        <v>0</v>
      </c>
      <c r="AD1845" s="625">
        <v>0</v>
      </c>
      <c r="AE1845" s="625">
        <v>0</v>
      </c>
      <c r="AF1845" s="625">
        <v>0</v>
      </c>
      <c r="AG1845" s="625">
        <v>0</v>
      </c>
      <c r="AH1845" s="625">
        <v>0</v>
      </c>
      <c r="AI1845" s="625">
        <v>0</v>
      </c>
      <c r="AJ1845" s="625">
        <v>0</v>
      </c>
      <c r="AK1845" s="625">
        <v>0</v>
      </c>
      <c r="AL1845" s="625">
        <v>0</v>
      </c>
      <c r="AM1845" s="625">
        <v>0</v>
      </c>
      <c r="AN1845" s="625">
        <v>0</v>
      </c>
      <c r="AO1845" s="625">
        <v>0</v>
      </c>
      <c r="AP1845" s="41" t="str">
        <f t="shared" si="835"/>
        <v>Def TaxR</v>
      </c>
      <c r="AQ1845" s="41" t="str">
        <f t="shared" si="836"/>
        <v>Def TaxRR11NM2 Related</v>
      </c>
      <c r="AR1845" s="41" t="str">
        <f t="shared" si="837"/>
        <v>R11NM2 Related</v>
      </c>
    </row>
    <row r="1846" spans="1:44" s="41" customFormat="1" ht="12.75" customHeight="1">
      <c r="A1846" s="25" t="s">
        <v>1590</v>
      </c>
      <c r="B1846" s="25" t="str">
        <f t="shared" si="857"/>
        <v>Def Tax190511190-005BT030395</v>
      </c>
      <c r="C1846" s="736">
        <v>190511</v>
      </c>
      <c r="D1846" s="735" t="s">
        <v>1949</v>
      </c>
      <c r="E1846" s="41" t="s">
        <v>2042</v>
      </c>
      <c r="F1846" s="41" t="str">
        <f t="shared" si="855"/>
        <v>ADIT-REG-STATE-ELECTRIC</v>
      </c>
      <c r="G1846" s="41" t="s">
        <v>1950</v>
      </c>
      <c r="H1846" s="736" t="s">
        <v>1174</v>
      </c>
      <c r="I1846" s="25"/>
      <c r="J1846" s="25" t="str">
        <f t="shared" si="856"/>
        <v>Y</v>
      </c>
      <c r="K1846" s="442" t="str">
        <f t="shared" si="852"/>
        <v/>
      </c>
      <c r="L1846" s="736" t="s">
        <v>2436</v>
      </c>
      <c r="M1846" s="25" t="str">
        <f t="shared" si="838"/>
        <v>N</v>
      </c>
      <c r="N1846" s="25" t="str">
        <f>IF(L1846&lt;&gt;"",VLOOKUP(L1846,Categories!$B$2:$D$41,2,FALSE),IF(F1846&lt;&gt;"","No Cat",""))</f>
        <v>NRBASE</v>
      </c>
      <c r="O1846" s="25" t="str">
        <f>IF($L1846&lt;&gt;"",VLOOKUP($L1846,Categories!$B$2:$D$41,3,FALSE),IF($F1846&lt;&gt;"","No Cat",""))</f>
        <v>Deferrals Accruing Non-Cash Return   (other than ASGA)</v>
      </c>
      <c r="P1846" s="736" t="s">
        <v>2468</v>
      </c>
      <c r="Q1846" s="25" t="str">
        <f>VLOOKUP($P1846,Allocators!$B$7:$F$19,5,FALSE)</f>
        <v>Not in Rate Base</v>
      </c>
      <c r="R1846" s="737">
        <f>VLOOKUP($P1846,Allocators!$B$7:$F$19,2,FALSE)</f>
        <v>0</v>
      </c>
      <c r="S1846" s="737">
        <f>VLOOKUP($P1846,Allocators!$B$7:$F$19,3,FALSE)</f>
        <v>0</v>
      </c>
      <c r="T1846" s="737">
        <f t="shared" si="831"/>
        <v>1</v>
      </c>
      <c r="U1846" s="2">
        <f t="shared" si="844"/>
        <v>0</v>
      </c>
      <c r="V1846" s="2">
        <f t="shared" si="845"/>
        <v>0</v>
      </c>
      <c r="W1846" s="2">
        <f t="shared" si="846"/>
        <v>697.03192458333297</v>
      </c>
      <c r="X1846" s="2">
        <f t="shared" si="839"/>
        <v>697.03192458333297</v>
      </c>
      <c r="Y1846" s="2">
        <f t="shared" si="847"/>
        <v>0</v>
      </c>
      <c r="Z1846" s="2">
        <f t="shared" si="848"/>
        <v>0</v>
      </c>
      <c r="AA1846" s="2">
        <f t="shared" si="849"/>
        <v>722.45861000000002</v>
      </c>
      <c r="AB1846" s="2">
        <f t="shared" si="840"/>
        <v>722.45861000000002</v>
      </c>
      <c r="AC1846" s="625">
        <v>547.18078000000003</v>
      </c>
      <c r="AD1846" s="625">
        <v>564.19310999999993</v>
      </c>
      <c r="AE1846" s="625">
        <v>576.23649</v>
      </c>
      <c r="AF1846" s="625">
        <v>590.78796999999997</v>
      </c>
      <c r="AG1846" s="625">
        <v>605.35532999999998</v>
      </c>
      <c r="AH1846" s="625">
        <v>619.93865000000005</v>
      </c>
      <c r="AI1846" s="625">
        <v>-97.470009999999988</v>
      </c>
      <c r="AJ1846" s="625">
        <v>649.13559999999995</v>
      </c>
      <c r="AK1846" s="625">
        <v>649.35255000000006</v>
      </c>
      <c r="AL1846" s="625">
        <v>1424.80411</v>
      </c>
      <c r="AM1846" s="625">
        <v>1439.4686200000001</v>
      </c>
      <c r="AN1846" s="625">
        <v>707.76098000000002</v>
      </c>
      <c r="AO1846" s="625">
        <v>722.45861000000002</v>
      </c>
      <c r="AP1846" s="41" t="str">
        <f t="shared" si="835"/>
        <v>Def TaxN</v>
      </c>
      <c r="AQ1846" s="41" t="str">
        <f t="shared" si="836"/>
        <v>Def TaxNN10DOE Liability - True-up</v>
      </c>
      <c r="AR1846" s="41" t="str">
        <f t="shared" si="837"/>
        <v>N10DOE Liability - True-upY</v>
      </c>
    </row>
    <row r="1847" spans="1:44" s="41" customFormat="1" ht="12.75" customHeight="1">
      <c r="A1847" s="25" t="s">
        <v>1590</v>
      </c>
      <c r="B1847" s="25" t="str">
        <f t="shared" si="857"/>
        <v>Def Tax190511190-112BT010217</v>
      </c>
      <c r="C1847" s="736">
        <v>190511</v>
      </c>
      <c r="D1847" s="735" t="s">
        <v>1951</v>
      </c>
      <c r="E1847" s="41" t="s">
        <v>1952</v>
      </c>
      <c r="F1847" s="41" t="str">
        <f t="shared" si="855"/>
        <v>ADIT-REG-STATE-ELECTRIC</v>
      </c>
      <c r="G1847" s="41" t="s">
        <v>1953</v>
      </c>
      <c r="H1847" s="736" t="s">
        <v>1125</v>
      </c>
      <c r="I1847" s="25"/>
      <c r="J1847" s="25" t="str">
        <f t="shared" si="856"/>
        <v/>
      </c>
      <c r="K1847" s="442" t="str">
        <f t="shared" si="852"/>
        <v/>
      </c>
      <c r="L1847" s="736" t="s">
        <v>2443</v>
      </c>
      <c r="M1847" s="25" t="str">
        <f t="shared" si="838"/>
        <v>R</v>
      </c>
      <c r="N1847" s="25" t="str">
        <f>IF(L1847&lt;&gt;"",VLOOKUP(L1847,Categories!$B$2:$D$41,2,FALSE),IF(F1847&lt;&gt;"","No Cat",""))</f>
        <v>Rate Base</v>
      </c>
      <c r="O1847" s="25" t="str">
        <f>IF($L1847&lt;&gt;"",VLOOKUP($L1847,Categories!$B$2:$D$41,3,FALSE),IF($F1847&lt;&gt;"","No Cat",""))</f>
        <v>Deferred Income Taxes</v>
      </c>
      <c r="P1847" s="736" t="s">
        <v>2482</v>
      </c>
      <c r="Q1847" s="25" t="str">
        <f>VLOOKUP($P1847,Allocators!$B$7:$F$19,5,FALSE)</f>
        <v>Electric</v>
      </c>
      <c r="R1847" s="737">
        <f>VLOOKUP($P1847,Allocators!$B$7:$F$19,2,FALSE)</f>
        <v>1</v>
      </c>
      <c r="S1847" s="737">
        <f>VLOOKUP($P1847,Allocators!$B$7:$F$19,3,FALSE)</f>
        <v>0</v>
      </c>
      <c r="T1847" s="737" t="str">
        <f t="shared" si="831"/>
        <v>0.0%</v>
      </c>
      <c r="U1847" s="2" t="str">
        <f t="shared" si="844"/>
        <v/>
      </c>
      <c r="V1847" s="2" t="str">
        <f t="shared" si="845"/>
        <v/>
      </c>
      <c r="W1847" s="2" t="str">
        <f t="shared" si="846"/>
        <v/>
      </c>
      <c r="X1847" s="2">
        <f t="shared" si="839"/>
        <v>0</v>
      </c>
      <c r="Y1847" s="2" t="str">
        <f t="shared" si="847"/>
        <v/>
      </c>
      <c r="Z1847" s="2" t="str">
        <f t="shared" si="848"/>
        <v/>
      </c>
      <c r="AA1847" s="2" t="str">
        <f t="shared" si="849"/>
        <v/>
      </c>
      <c r="AB1847" s="2">
        <f t="shared" si="840"/>
        <v>0</v>
      </c>
      <c r="AC1847" s="625">
        <v>0</v>
      </c>
      <c r="AD1847" s="625">
        <v>0</v>
      </c>
      <c r="AE1847" s="625">
        <v>0</v>
      </c>
      <c r="AF1847" s="625">
        <v>0</v>
      </c>
      <c r="AG1847" s="625">
        <v>0</v>
      </c>
      <c r="AH1847" s="625">
        <v>0</v>
      </c>
      <c r="AI1847" s="625">
        <v>0</v>
      </c>
      <c r="AJ1847" s="625">
        <v>0</v>
      </c>
      <c r="AK1847" s="625">
        <v>0</v>
      </c>
      <c r="AL1847" s="625">
        <v>0</v>
      </c>
      <c r="AM1847" s="625">
        <v>0</v>
      </c>
      <c r="AN1847" s="625">
        <v>0</v>
      </c>
      <c r="AO1847" s="625">
        <v>0</v>
      </c>
      <c r="AP1847" s="41" t="str">
        <f t="shared" si="835"/>
        <v>Def TaxR</v>
      </c>
      <c r="AQ1847" s="41" t="str">
        <f t="shared" si="836"/>
        <v>Def TaxRR11NYS Tax Rate to 7.1%</v>
      </c>
      <c r="AR1847" s="41" t="str">
        <f t="shared" si="837"/>
        <v>R11NYS Tax Rate to 7.1%</v>
      </c>
    </row>
    <row r="1848" spans="1:44" s="41" customFormat="1" ht="12.75" customHeight="1">
      <c r="A1848" s="25" t="s">
        <v>1590</v>
      </c>
      <c r="B1848" s="25" t="str">
        <f t="shared" si="857"/>
        <v>Def Tax190511PBABDEFAULT</v>
      </c>
      <c r="C1848" s="736">
        <v>190511</v>
      </c>
      <c r="D1848" s="735" t="s">
        <v>1954</v>
      </c>
      <c r="E1848" s="41" t="s">
        <v>1620</v>
      </c>
      <c r="F1848" s="41" t="str">
        <f t="shared" si="855"/>
        <v>ADIT-REG-STATE-ELECTRIC</v>
      </c>
      <c r="G1848" s="41" t="s">
        <v>1955</v>
      </c>
      <c r="H1848" s="736" t="s">
        <v>1481</v>
      </c>
      <c r="I1848" s="25"/>
      <c r="J1848" s="25" t="str">
        <f t="shared" si="856"/>
        <v/>
      </c>
      <c r="K1848" s="442" t="str">
        <f t="shared" si="852"/>
        <v/>
      </c>
      <c r="L1848" s="736" t="s">
        <v>2443</v>
      </c>
      <c r="M1848" s="25" t="str">
        <f t="shared" si="838"/>
        <v>R</v>
      </c>
      <c r="N1848" s="25" t="str">
        <f>IF(L1848&lt;&gt;"",VLOOKUP(L1848,Categories!$B$2:$D$41,2,FALSE),IF(F1848&lt;&gt;"","No Cat",""))</f>
        <v>Rate Base</v>
      </c>
      <c r="O1848" s="25" t="str">
        <f>IF($L1848&lt;&gt;"",VLOOKUP($L1848,Categories!$B$2:$D$41,3,FALSE),IF($F1848&lt;&gt;"","No Cat",""))</f>
        <v>Deferred Income Taxes</v>
      </c>
      <c r="P1848" s="736" t="s">
        <v>2482</v>
      </c>
      <c r="Q1848" s="25" t="str">
        <f>VLOOKUP($P1848,Allocators!$B$7:$F$19,5,FALSE)</f>
        <v>Electric</v>
      </c>
      <c r="R1848" s="737">
        <f>VLOOKUP($P1848,Allocators!$B$7:$F$19,2,FALSE)</f>
        <v>1</v>
      </c>
      <c r="S1848" s="737">
        <f>VLOOKUP($P1848,Allocators!$B$7:$F$19,3,FALSE)</f>
        <v>0</v>
      </c>
      <c r="T1848" s="737" t="str">
        <f t="shared" si="831"/>
        <v>0.0%</v>
      </c>
      <c r="U1848" s="2">
        <f t="shared" si="844"/>
        <v>2687.5625599999998</v>
      </c>
      <c r="V1848" s="2">
        <f t="shared" si="845"/>
        <v>0</v>
      </c>
      <c r="W1848" s="2">
        <f t="shared" si="846"/>
        <v>0</v>
      </c>
      <c r="X1848" s="2">
        <f t="shared" si="839"/>
        <v>2687.5625599999998</v>
      </c>
      <c r="Y1848" s="2">
        <f t="shared" si="847"/>
        <v>2687.5625599999998</v>
      </c>
      <c r="Z1848" s="2">
        <f t="shared" si="848"/>
        <v>0</v>
      </c>
      <c r="AA1848" s="2">
        <f t="shared" si="849"/>
        <v>0</v>
      </c>
      <c r="AB1848" s="2">
        <f t="shared" si="840"/>
        <v>2687.5625599999998</v>
      </c>
      <c r="AC1848" s="625">
        <v>2687.5625599999998</v>
      </c>
      <c r="AD1848" s="625">
        <v>2687.5625599999998</v>
      </c>
      <c r="AE1848" s="625">
        <v>2687.5625599999998</v>
      </c>
      <c r="AF1848" s="625">
        <v>2687.5625599999998</v>
      </c>
      <c r="AG1848" s="625">
        <v>2687.5625599999998</v>
      </c>
      <c r="AH1848" s="625">
        <v>2687.5625599999998</v>
      </c>
      <c r="AI1848" s="625">
        <v>2687.5625599999998</v>
      </c>
      <c r="AJ1848" s="625">
        <v>2687.5625599999998</v>
      </c>
      <c r="AK1848" s="625">
        <v>2687.5625599999998</v>
      </c>
      <c r="AL1848" s="625">
        <v>2687.5625599999998</v>
      </c>
      <c r="AM1848" s="625">
        <v>2687.5625599999998</v>
      </c>
      <c r="AN1848" s="625">
        <v>2687.5625599999998</v>
      </c>
      <c r="AO1848" s="625">
        <v>2687.5625599999998</v>
      </c>
      <c r="AP1848" s="41" t="str">
        <f t="shared" si="835"/>
        <v>Def TaxR</v>
      </c>
      <c r="AQ1848" s="41" t="str">
        <f t="shared" si="836"/>
        <v>Def TaxRR11Positive Benefit Adjustment</v>
      </c>
      <c r="AR1848" s="41" t="str">
        <f t="shared" si="837"/>
        <v>R11Positive Benefit Adjustment</v>
      </c>
    </row>
    <row r="1849" spans="1:44" s="41" customFormat="1" ht="12.75" customHeight="1">
      <c r="A1849" s="25" t="s">
        <v>1590</v>
      </c>
      <c r="B1849" s="25" t="str">
        <f t="shared" si="857"/>
        <v>Def Tax190511190-031-JPBT010166</v>
      </c>
      <c r="C1849" s="736">
        <v>190511</v>
      </c>
      <c r="D1849" s="735" t="s">
        <v>1742</v>
      </c>
      <c r="E1849" s="41" t="s">
        <v>1957</v>
      </c>
      <c r="F1849" s="41" t="str">
        <f t="shared" si="855"/>
        <v>ADIT-REG-STATE-ELECTRIC</v>
      </c>
      <c r="G1849" s="41" t="s">
        <v>1958</v>
      </c>
      <c r="H1849" s="736" t="s">
        <v>1159</v>
      </c>
      <c r="I1849" s="25"/>
      <c r="J1849" s="25" t="s">
        <v>7</v>
      </c>
      <c r="K1849" s="442" t="str">
        <f t="shared" si="852"/>
        <v/>
      </c>
      <c r="L1849" s="736" t="s">
        <v>2421</v>
      </c>
      <c r="M1849" s="25" t="str">
        <f t="shared" si="838"/>
        <v>N</v>
      </c>
      <c r="N1849" s="25" t="str">
        <f>IF(L1849&lt;&gt;"",VLOOKUP(L1849,Categories!$B$2:$D$41,2,FALSE),IF(F1849&lt;&gt;"","No Cat",""))</f>
        <v>NRBASE</v>
      </c>
      <c r="O1849" s="25" t="str">
        <f>IF($L1849&lt;&gt;"",VLOOKUP($L1849,Categories!$B$2:$D$41,3,FALSE),IF($F1849&lt;&gt;"","No Cat",""))</f>
        <v>Direct Assign Items Not in RB</v>
      </c>
      <c r="P1849" s="736" t="s">
        <v>2468</v>
      </c>
      <c r="Q1849" s="25" t="str">
        <f>VLOOKUP($P1849,Allocators!$B$7:$F$19,5,FALSE)</f>
        <v>Not in Rate Base</v>
      </c>
      <c r="R1849" s="737">
        <f>VLOOKUP($P1849,Allocators!$B$7:$F$19,2,FALSE)</f>
        <v>0</v>
      </c>
      <c r="S1849" s="737">
        <f>VLOOKUP($P1849,Allocators!$B$7:$F$19,3,FALSE)</f>
        <v>0</v>
      </c>
      <c r="T1849" s="737">
        <f t="shared" si="831"/>
        <v>1</v>
      </c>
      <c r="U1849" s="2" t="str">
        <f t="shared" si="844"/>
        <v/>
      </c>
      <c r="V1849" s="2" t="str">
        <f t="shared" si="845"/>
        <v/>
      </c>
      <c r="W1849" s="2" t="str">
        <f t="shared" si="846"/>
        <v/>
      </c>
      <c r="X1849" s="2">
        <f t="shared" si="839"/>
        <v>0</v>
      </c>
      <c r="Y1849" s="2" t="str">
        <f t="shared" si="847"/>
        <v/>
      </c>
      <c r="Z1849" s="2" t="str">
        <f t="shared" si="848"/>
        <v/>
      </c>
      <c r="AA1849" s="2" t="str">
        <f t="shared" si="849"/>
        <v/>
      </c>
      <c r="AB1849" s="2">
        <f t="shared" si="840"/>
        <v>0</v>
      </c>
      <c r="AC1849" s="625">
        <v>0</v>
      </c>
      <c r="AD1849" s="625">
        <v>0</v>
      </c>
      <c r="AE1849" s="625">
        <v>0</v>
      </c>
      <c r="AF1849" s="625">
        <v>0</v>
      </c>
      <c r="AG1849" s="625">
        <v>0</v>
      </c>
      <c r="AH1849" s="625">
        <v>0</v>
      </c>
      <c r="AI1849" s="625">
        <v>0</v>
      </c>
      <c r="AJ1849" s="625">
        <v>0</v>
      </c>
      <c r="AK1849" s="625">
        <v>0</v>
      </c>
      <c r="AL1849" s="625">
        <v>0</v>
      </c>
      <c r="AM1849" s="625">
        <v>0</v>
      </c>
      <c r="AN1849" s="625">
        <v>0</v>
      </c>
      <c r="AO1849" s="625">
        <v>0</v>
      </c>
      <c r="AP1849" s="41" t="str">
        <f t="shared" si="835"/>
        <v>Def TaxN</v>
      </c>
      <c r="AQ1849" s="41" t="str">
        <f t="shared" si="836"/>
        <v>Def TaxNN2Pension True-up</v>
      </c>
      <c r="AR1849" s="41" t="str">
        <f t="shared" si="837"/>
        <v>N2Pension True-upNCR</v>
      </c>
    </row>
    <row r="1850" spans="1:44" s="41" customFormat="1" ht="12.75" customHeight="1">
      <c r="A1850" s="25" t="s">
        <v>1590</v>
      </c>
      <c r="B1850" s="25" t="str">
        <f t="shared" si="857"/>
        <v>Def Tax190511190-031-FAS 158 SBC030561</v>
      </c>
      <c r="C1850" s="736">
        <v>190511</v>
      </c>
      <c r="D1850" s="735" t="s">
        <v>2043</v>
      </c>
      <c r="E1850" s="41" t="s">
        <v>980</v>
      </c>
      <c r="F1850" s="41" t="str">
        <f t="shared" si="855"/>
        <v>ADIT-REG-STATE-ELECTRIC</v>
      </c>
      <c r="G1850" s="41" t="s">
        <v>1960</v>
      </c>
      <c r="H1850" s="736" t="s">
        <v>1673</v>
      </c>
      <c r="I1850" s="25"/>
      <c r="J1850" s="25" t="str">
        <f t="shared" si="856"/>
        <v/>
      </c>
      <c r="K1850" s="442" t="str">
        <f t="shared" si="852"/>
        <v/>
      </c>
      <c r="L1850" s="736" t="s">
        <v>2443</v>
      </c>
      <c r="M1850" s="25" t="str">
        <f t="shared" si="838"/>
        <v>R</v>
      </c>
      <c r="N1850" s="25" t="str">
        <f>IF(L1850&lt;&gt;"",VLOOKUP(L1850,Categories!$B$2:$D$41,2,FALSE),IF(F1850&lt;&gt;"","No Cat",""))</f>
        <v>Rate Base</v>
      </c>
      <c r="O1850" s="25" t="str">
        <f>IF($L1850&lt;&gt;"",VLOOKUP($L1850,Categories!$B$2:$D$41,3,FALSE),IF($F1850&lt;&gt;"","No Cat",""))</f>
        <v>Deferred Income Taxes</v>
      </c>
      <c r="P1850" s="736" t="s">
        <v>2482</v>
      </c>
      <c r="Q1850" s="25" t="str">
        <f>VLOOKUP($P1850,Allocators!$B$7:$F$19,5,FALSE)</f>
        <v>Electric</v>
      </c>
      <c r="R1850" s="737">
        <f>VLOOKUP($P1850,Allocators!$B$7:$F$19,2,FALSE)</f>
        <v>1</v>
      </c>
      <c r="S1850" s="737">
        <f>VLOOKUP($P1850,Allocators!$B$7:$F$19,3,FALSE)</f>
        <v>0</v>
      </c>
      <c r="T1850" s="737" t="str">
        <f t="shared" si="831"/>
        <v>0.0%</v>
      </c>
      <c r="U1850" s="2" t="str">
        <f t="shared" si="844"/>
        <v/>
      </c>
      <c r="V1850" s="2" t="str">
        <f t="shared" si="845"/>
        <v/>
      </c>
      <c r="W1850" s="2" t="str">
        <f t="shared" si="846"/>
        <v/>
      </c>
      <c r="X1850" s="2">
        <f t="shared" si="839"/>
        <v>0</v>
      </c>
      <c r="Y1850" s="2" t="str">
        <f t="shared" si="847"/>
        <v/>
      </c>
      <c r="Z1850" s="2" t="str">
        <f t="shared" si="848"/>
        <v/>
      </c>
      <c r="AA1850" s="2" t="str">
        <f t="shared" si="849"/>
        <v/>
      </c>
      <c r="AB1850" s="2">
        <f t="shared" si="840"/>
        <v>0</v>
      </c>
      <c r="AC1850" s="625">
        <v>0</v>
      </c>
      <c r="AD1850" s="625">
        <v>0</v>
      </c>
      <c r="AE1850" s="625">
        <v>0</v>
      </c>
      <c r="AF1850" s="625">
        <v>0</v>
      </c>
      <c r="AG1850" s="625">
        <v>0</v>
      </c>
      <c r="AH1850" s="625">
        <v>0</v>
      </c>
      <c r="AI1850" s="625">
        <v>0</v>
      </c>
      <c r="AJ1850" s="625">
        <v>0</v>
      </c>
      <c r="AK1850" s="625">
        <v>0</v>
      </c>
      <c r="AL1850" s="625">
        <v>0</v>
      </c>
      <c r="AM1850" s="625">
        <v>0</v>
      </c>
      <c r="AN1850" s="625">
        <v>0</v>
      </c>
      <c r="AO1850" s="625">
        <v>0</v>
      </c>
      <c r="AP1850" s="41" t="str">
        <f t="shared" si="835"/>
        <v>Def TaxR</v>
      </c>
      <c r="AQ1850" s="41" t="str">
        <f t="shared" si="836"/>
        <v>Def TaxRR11Pension</v>
      </c>
      <c r="AR1850" s="41" t="str">
        <f t="shared" si="837"/>
        <v>R11Pension</v>
      </c>
    </row>
    <row r="1851" spans="1:44" s="41" customFormat="1" ht="12.75" customHeight="1">
      <c r="A1851" s="25" t="s">
        <v>1590</v>
      </c>
      <c r="B1851" s="25" t="str">
        <f t="shared" si="857"/>
        <v>Def Tax190511190-031BT010167</v>
      </c>
      <c r="C1851" s="736">
        <v>190511</v>
      </c>
      <c r="D1851" s="735" t="s">
        <v>1670</v>
      </c>
      <c r="E1851" s="41" t="s">
        <v>1671</v>
      </c>
      <c r="F1851" s="41" t="str">
        <f t="shared" si="855"/>
        <v>ADIT-REG-STATE-ELECTRIC</v>
      </c>
      <c r="G1851" s="41" t="s">
        <v>1876</v>
      </c>
      <c r="H1851" s="736" t="s">
        <v>1673</v>
      </c>
      <c r="I1851" s="25"/>
      <c r="J1851" s="25" t="str">
        <f t="shared" si="856"/>
        <v/>
      </c>
      <c r="K1851" s="442" t="str">
        <f t="shared" si="852"/>
        <v/>
      </c>
      <c r="L1851" s="736" t="s">
        <v>2443</v>
      </c>
      <c r="M1851" s="25" t="str">
        <f t="shared" si="838"/>
        <v>R</v>
      </c>
      <c r="N1851" s="25" t="str">
        <f>IF(L1851&lt;&gt;"",VLOOKUP(L1851,Categories!$B$2:$D$41,2,FALSE),IF(F1851&lt;&gt;"","No Cat",""))</f>
        <v>Rate Base</v>
      </c>
      <c r="O1851" s="25" t="str">
        <f>IF($L1851&lt;&gt;"",VLOOKUP($L1851,Categories!$B$2:$D$41,3,FALSE),IF($F1851&lt;&gt;"","No Cat",""))</f>
        <v>Deferred Income Taxes</v>
      </c>
      <c r="P1851" s="736" t="s">
        <v>2482</v>
      </c>
      <c r="Q1851" s="25" t="str">
        <f>VLOOKUP($P1851,Allocators!$B$7:$F$19,5,FALSE)</f>
        <v>Electric</v>
      </c>
      <c r="R1851" s="737">
        <f>VLOOKUP($P1851,Allocators!$B$7:$F$19,2,FALSE)</f>
        <v>1</v>
      </c>
      <c r="S1851" s="737">
        <f>VLOOKUP($P1851,Allocators!$B$7:$F$19,3,FALSE)</f>
        <v>0</v>
      </c>
      <c r="T1851" s="737" t="str">
        <f t="shared" ref="T1851:T1926" si="861">IF(P1851="N",1,"0.0%")</f>
        <v>0.0%</v>
      </c>
      <c r="U1851" s="2">
        <f t="shared" si="844"/>
        <v>0.79642500000000005</v>
      </c>
      <c r="V1851" s="2">
        <f t="shared" si="845"/>
        <v>0</v>
      </c>
      <c r="W1851" s="2">
        <f t="shared" si="846"/>
        <v>0</v>
      </c>
      <c r="X1851" s="2">
        <f t="shared" si="839"/>
        <v>0.79642500000000005</v>
      </c>
      <c r="Y1851" s="2" t="str">
        <f t="shared" si="847"/>
        <v/>
      </c>
      <c r="Z1851" s="2" t="str">
        <f t="shared" si="848"/>
        <v/>
      </c>
      <c r="AA1851" s="2" t="str">
        <f t="shared" si="849"/>
        <v/>
      </c>
      <c r="AB1851" s="2">
        <f t="shared" si="840"/>
        <v>0</v>
      </c>
      <c r="AC1851" s="625">
        <v>0</v>
      </c>
      <c r="AD1851" s="625">
        <v>0</v>
      </c>
      <c r="AE1851" s="625">
        <v>0</v>
      </c>
      <c r="AF1851" s="625">
        <v>0</v>
      </c>
      <c r="AG1851" s="625">
        <v>0</v>
      </c>
      <c r="AH1851" s="625">
        <v>1.5928499999999999</v>
      </c>
      <c r="AI1851" s="625">
        <v>1.5928499999999999</v>
      </c>
      <c r="AJ1851" s="625">
        <v>1.5928499999999999</v>
      </c>
      <c r="AK1851" s="625">
        <v>1.5928499999999999</v>
      </c>
      <c r="AL1851" s="625">
        <v>1.5928499999999999</v>
      </c>
      <c r="AM1851" s="625">
        <v>1.5928499999999999</v>
      </c>
      <c r="AN1851" s="625">
        <v>0</v>
      </c>
      <c r="AO1851" s="625">
        <v>0</v>
      </c>
      <c r="AP1851" s="41" t="str">
        <f t="shared" si="835"/>
        <v>Def TaxR</v>
      </c>
      <c r="AQ1851" s="41" t="str">
        <f t="shared" si="836"/>
        <v>Def TaxRR11Pension</v>
      </c>
      <c r="AR1851" s="41" t="str">
        <f t="shared" si="837"/>
        <v>R11Pension</v>
      </c>
    </row>
    <row r="1852" spans="1:44" s="41" customFormat="1" ht="12.75" customHeight="1">
      <c r="A1852" s="25" t="s">
        <v>1590</v>
      </c>
      <c r="B1852" s="25" t="str">
        <f t="shared" si="857"/>
        <v>Def Tax190511190-015-JPBT010091</v>
      </c>
      <c r="C1852" s="736">
        <v>190511</v>
      </c>
      <c r="D1852" s="735" t="s">
        <v>1730</v>
      </c>
      <c r="E1852" s="41" t="s">
        <v>1859</v>
      </c>
      <c r="F1852" s="41" t="str">
        <f t="shared" si="855"/>
        <v>ADIT-REG-STATE-ELECTRIC</v>
      </c>
      <c r="G1852" s="41" t="s">
        <v>1963</v>
      </c>
      <c r="H1852" s="736" t="s">
        <v>927</v>
      </c>
      <c r="I1852" s="25"/>
      <c r="J1852" s="25" t="str">
        <f t="shared" si="856"/>
        <v/>
      </c>
      <c r="K1852" s="442" t="str">
        <f t="shared" si="852"/>
        <v/>
      </c>
      <c r="L1852" s="736" t="s">
        <v>2443</v>
      </c>
      <c r="M1852" s="25" t="str">
        <f t="shared" si="838"/>
        <v>R</v>
      </c>
      <c r="N1852" s="25" t="str">
        <f>IF(L1852&lt;&gt;"",VLOOKUP(L1852,Categories!$B$2:$D$41,2,FALSE),IF(F1852&lt;&gt;"","No Cat",""))</f>
        <v>Rate Base</v>
      </c>
      <c r="O1852" s="25" t="str">
        <f>IF($L1852&lt;&gt;"",VLOOKUP($L1852,Categories!$B$2:$D$41,3,FALSE),IF($F1852&lt;&gt;"","No Cat",""))</f>
        <v>Deferred Income Taxes</v>
      </c>
      <c r="P1852" s="736" t="s">
        <v>2482</v>
      </c>
      <c r="Q1852" s="25" t="str">
        <f>VLOOKUP($P1852,Allocators!$B$7:$F$19,5,FALSE)</f>
        <v>Electric</v>
      </c>
      <c r="R1852" s="737">
        <f>VLOOKUP($P1852,Allocators!$B$7:$F$19,2,FALSE)</f>
        <v>1</v>
      </c>
      <c r="S1852" s="737">
        <f>VLOOKUP($P1852,Allocators!$B$7:$F$19,3,FALSE)</f>
        <v>0</v>
      </c>
      <c r="T1852" s="737" t="str">
        <f t="shared" si="861"/>
        <v>0.0%</v>
      </c>
      <c r="U1852" s="2" t="str">
        <f t="shared" si="844"/>
        <v/>
      </c>
      <c r="V1852" s="2" t="str">
        <f t="shared" si="845"/>
        <v/>
      </c>
      <c r="W1852" s="2" t="str">
        <f t="shared" si="846"/>
        <v/>
      </c>
      <c r="X1852" s="2">
        <f t="shared" si="839"/>
        <v>0</v>
      </c>
      <c r="Y1852" s="2" t="str">
        <f t="shared" si="847"/>
        <v/>
      </c>
      <c r="Z1852" s="2" t="str">
        <f t="shared" si="848"/>
        <v/>
      </c>
      <c r="AA1852" s="2" t="str">
        <f t="shared" si="849"/>
        <v/>
      </c>
      <c r="AB1852" s="2">
        <f t="shared" si="840"/>
        <v>0</v>
      </c>
      <c r="AC1852" s="625">
        <v>0</v>
      </c>
      <c r="AD1852" s="625">
        <v>0</v>
      </c>
      <c r="AE1852" s="625">
        <v>0</v>
      </c>
      <c r="AF1852" s="625">
        <v>0</v>
      </c>
      <c r="AG1852" s="625">
        <v>0</v>
      </c>
      <c r="AH1852" s="625">
        <v>0</v>
      </c>
      <c r="AI1852" s="625">
        <v>0</v>
      </c>
      <c r="AJ1852" s="625">
        <v>0</v>
      </c>
      <c r="AK1852" s="625">
        <v>0</v>
      </c>
      <c r="AL1852" s="625">
        <v>0</v>
      </c>
      <c r="AM1852" s="625">
        <v>0</v>
      </c>
      <c r="AN1852" s="625">
        <v>0</v>
      </c>
      <c r="AO1852" s="625">
        <v>0</v>
      </c>
      <c r="AP1852" s="41" t="str">
        <f t="shared" si="835"/>
        <v>Def TaxR</v>
      </c>
      <c r="AQ1852" s="41" t="str">
        <f t="shared" si="836"/>
        <v>Def TaxRR11OPEB</v>
      </c>
      <c r="AR1852" s="41" t="str">
        <f t="shared" si="837"/>
        <v>R11OPEB</v>
      </c>
    </row>
    <row r="1853" spans="1:44" s="41" customFormat="1" ht="12.75" customHeight="1">
      <c r="A1853" s="25" t="s">
        <v>1590</v>
      </c>
      <c r="B1853" s="25" t="str">
        <f t="shared" si="857"/>
        <v>Def Tax190511190-081</v>
      </c>
      <c r="C1853" s="736">
        <v>190511</v>
      </c>
      <c r="D1853" s="735" t="s">
        <v>2044</v>
      </c>
      <c r="F1853" s="41" t="str">
        <f t="shared" si="855"/>
        <v>ADIT-REG-STATE-ELECTRIC</v>
      </c>
      <c r="G1853" s="41" t="s">
        <v>1968</v>
      </c>
      <c r="H1853" s="736" t="s">
        <v>1181</v>
      </c>
      <c r="I1853" s="25"/>
      <c r="J1853" s="25" t="str">
        <f t="shared" si="856"/>
        <v/>
      </c>
      <c r="K1853" s="442" t="str">
        <f t="shared" si="852"/>
        <v/>
      </c>
      <c r="L1853" s="736" t="s">
        <v>2443</v>
      </c>
      <c r="M1853" s="25" t="str">
        <f t="shared" si="838"/>
        <v>R</v>
      </c>
      <c r="N1853" s="25" t="str">
        <f>IF(L1853&lt;&gt;"",VLOOKUP(L1853,Categories!$B$2:$D$41,2,FALSE),IF(F1853&lt;&gt;"","No Cat",""))</f>
        <v>Rate Base</v>
      </c>
      <c r="O1853" s="25" t="str">
        <f>IF($L1853&lt;&gt;"",VLOOKUP($L1853,Categories!$B$2:$D$41,3,FALSE),IF($F1853&lt;&gt;"","No Cat",""))</f>
        <v>Deferred Income Taxes</v>
      </c>
      <c r="P1853" s="736" t="s">
        <v>2482</v>
      </c>
      <c r="Q1853" s="25" t="str">
        <f>VLOOKUP($P1853,Allocators!$B$7:$F$19,5,FALSE)</f>
        <v>Electric</v>
      </c>
      <c r="R1853" s="737">
        <f>VLOOKUP($P1853,Allocators!$B$7:$F$19,2,FALSE)</f>
        <v>1</v>
      </c>
      <c r="S1853" s="737">
        <f>VLOOKUP($P1853,Allocators!$B$7:$F$19,3,FALSE)</f>
        <v>0</v>
      </c>
      <c r="T1853" s="737" t="str">
        <f t="shared" si="861"/>
        <v>0.0%</v>
      </c>
      <c r="U1853" s="2" t="str">
        <f t="shared" si="844"/>
        <v/>
      </c>
      <c r="V1853" s="2" t="str">
        <f t="shared" si="845"/>
        <v/>
      </c>
      <c r="W1853" s="2" t="str">
        <f t="shared" si="846"/>
        <v/>
      </c>
      <c r="X1853" s="2">
        <f t="shared" si="839"/>
        <v>0</v>
      </c>
      <c r="Y1853" s="2" t="str">
        <f t="shared" si="847"/>
        <v/>
      </c>
      <c r="Z1853" s="2" t="str">
        <f t="shared" si="848"/>
        <v/>
      </c>
      <c r="AA1853" s="2" t="str">
        <f t="shared" si="849"/>
        <v/>
      </c>
      <c r="AB1853" s="2">
        <f t="shared" si="840"/>
        <v>0</v>
      </c>
      <c r="AC1853" s="625">
        <v>0</v>
      </c>
      <c r="AD1853" s="625">
        <v>0</v>
      </c>
      <c r="AE1853" s="625">
        <v>0</v>
      </c>
      <c r="AF1853" s="625">
        <v>0</v>
      </c>
      <c r="AG1853" s="625">
        <v>0</v>
      </c>
      <c r="AH1853" s="625">
        <v>0</v>
      </c>
      <c r="AI1853" s="625">
        <v>0</v>
      </c>
      <c r="AJ1853" s="625">
        <v>0</v>
      </c>
      <c r="AK1853" s="625">
        <v>0</v>
      </c>
      <c r="AL1853" s="625">
        <v>0</v>
      </c>
      <c r="AM1853" s="625">
        <v>0</v>
      </c>
      <c r="AN1853" s="625">
        <v>0</v>
      </c>
      <c r="AO1853" s="625">
        <v>0</v>
      </c>
      <c r="AP1853" s="41" t="str">
        <f t="shared" si="835"/>
        <v>Def TaxR</v>
      </c>
      <c r="AQ1853" s="41" t="str">
        <f t="shared" si="836"/>
        <v>Def TaxRR11Property Tax 481(a)</v>
      </c>
      <c r="AR1853" s="41" t="str">
        <f t="shared" si="837"/>
        <v>R11Property Tax 481(a)</v>
      </c>
    </row>
    <row r="1854" spans="1:44" s="41" customFormat="1" ht="12.75" customHeight="1">
      <c r="A1854" s="25" t="s">
        <v>1590</v>
      </c>
      <c r="B1854" s="25" t="str">
        <f t="shared" si="857"/>
        <v>Def Tax190511190-110BT010268</v>
      </c>
      <c r="C1854" s="736">
        <v>190511</v>
      </c>
      <c r="D1854" s="735" t="s">
        <v>1966</v>
      </c>
      <c r="E1854" s="41" t="s">
        <v>1967</v>
      </c>
      <c r="F1854" s="41" t="str">
        <f t="shared" si="855"/>
        <v>ADIT-REG-STATE-ELECTRIC</v>
      </c>
      <c r="G1854" s="41" t="s">
        <v>1968</v>
      </c>
      <c r="H1854" s="736" t="s">
        <v>1113</v>
      </c>
      <c r="I1854" s="25"/>
      <c r="J1854" s="25" t="str">
        <f t="shared" si="856"/>
        <v>Y</v>
      </c>
      <c r="K1854" s="442" t="str">
        <f t="shared" si="852"/>
        <v/>
      </c>
      <c r="L1854" s="736" t="s">
        <v>2436</v>
      </c>
      <c r="M1854" s="25" t="str">
        <f t="shared" si="838"/>
        <v>N</v>
      </c>
      <c r="N1854" s="25" t="str">
        <f>IF(L1854&lt;&gt;"",VLOOKUP(L1854,Categories!$B$2:$D$41,2,FALSE),IF(F1854&lt;&gt;"","No Cat",""))</f>
        <v>NRBASE</v>
      </c>
      <c r="O1854" s="25" t="str">
        <f>IF($L1854&lt;&gt;"",VLOOKUP($L1854,Categories!$B$2:$D$41,3,FALSE),IF($F1854&lt;&gt;"","No Cat",""))</f>
        <v>Deferrals Accruing Non-Cash Return   (other than ASGA)</v>
      </c>
      <c r="P1854" s="736" t="s">
        <v>2468</v>
      </c>
      <c r="Q1854" s="25" t="str">
        <f>VLOOKUP($P1854,Allocators!$B$7:$F$19,5,FALSE)</f>
        <v>Not in Rate Base</v>
      </c>
      <c r="R1854" s="737">
        <f>VLOOKUP($P1854,Allocators!$B$7:$F$19,2,FALSE)</f>
        <v>0</v>
      </c>
      <c r="S1854" s="737">
        <f>VLOOKUP($P1854,Allocators!$B$7:$F$19,3,FALSE)</f>
        <v>0</v>
      </c>
      <c r="T1854" s="737">
        <f t="shared" si="861"/>
        <v>1</v>
      </c>
      <c r="U1854" s="2">
        <f t="shared" si="844"/>
        <v>0</v>
      </c>
      <c r="V1854" s="2">
        <f t="shared" si="845"/>
        <v>0</v>
      </c>
      <c r="W1854" s="2">
        <f t="shared" si="846"/>
        <v>2541.3719775</v>
      </c>
      <c r="X1854" s="2">
        <f t="shared" si="839"/>
        <v>2541.3719775</v>
      </c>
      <c r="Y1854" s="2">
        <f t="shared" si="847"/>
        <v>0</v>
      </c>
      <c r="Z1854" s="2">
        <f t="shared" si="848"/>
        <v>0</v>
      </c>
      <c r="AA1854" s="2">
        <f t="shared" si="849"/>
        <v>2991.4035100000001</v>
      </c>
      <c r="AB1854" s="2">
        <f t="shared" si="840"/>
        <v>2991.4035099999996</v>
      </c>
      <c r="AC1854" s="625">
        <v>2954.5356499999998</v>
      </c>
      <c r="AD1854" s="625">
        <v>3063.6941299999999</v>
      </c>
      <c r="AE1854" s="625">
        <v>3172.3237799999997</v>
      </c>
      <c r="AF1854" s="625">
        <v>3189.11742</v>
      </c>
      <c r="AG1854" s="625">
        <v>24.563970000000001</v>
      </c>
      <c r="AH1854" s="625">
        <v>2276.2981500000001</v>
      </c>
      <c r="AI1854" s="625">
        <v>2380.4942599999999</v>
      </c>
      <c r="AJ1854" s="625">
        <v>2486.6388500000003</v>
      </c>
      <c r="AK1854" s="625">
        <v>2592.7471499999997</v>
      </c>
      <c r="AL1854" s="625">
        <v>2682.4072200000001</v>
      </c>
      <c r="AM1854" s="625">
        <v>2783.7569399999998</v>
      </c>
      <c r="AN1854" s="625">
        <v>2871.45228</v>
      </c>
      <c r="AO1854" s="625">
        <v>2991.4035099999996</v>
      </c>
      <c r="AP1854" s="41" t="str">
        <f t="shared" si="835"/>
        <v>Def TaxN</v>
      </c>
      <c r="AQ1854" s="41" t="str">
        <f t="shared" si="836"/>
        <v>Def TaxNN10Property Tax Deferral</v>
      </c>
      <c r="AR1854" s="41" t="str">
        <f t="shared" si="837"/>
        <v>N10Property Tax DeferralY</v>
      </c>
    </row>
    <row r="1855" spans="1:44" s="41" customFormat="1" ht="12.75" customHeight="1">
      <c r="A1855" s="25" t="s">
        <v>1590</v>
      </c>
      <c r="B1855" s="25" t="str">
        <f t="shared" si="857"/>
        <v>Def Tax190511283-067BTMISCDT</v>
      </c>
      <c r="C1855" s="736">
        <v>190511</v>
      </c>
      <c r="D1855" s="735" t="s">
        <v>2045</v>
      </c>
      <c r="E1855" s="41" t="s">
        <v>1971</v>
      </c>
      <c r="F1855" s="41" t="str">
        <f t="shared" si="855"/>
        <v>ADIT-REG-STATE-ELECTRIC</v>
      </c>
      <c r="G1855" s="41" t="s">
        <v>2046</v>
      </c>
      <c r="H1855" s="736" t="s">
        <v>1973</v>
      </c>
      <c r="I1855" s="25"/>
      <c r="J1855" s="25" t="str">
        <f t="shared" si="856"/>
        <v/>
      </c>
      <c r="K1855" s="442" t="str">
        <f t="shared" si="852"/>
        <v/>
      </c>
      <c r="L1855" s="736" t="s">
        <v>2443</v>
      </c>
      <c r="M1855" s="25" t="str">
        <f t="shared" si="838"/>
        <v>R</v>
      </c>
      <c r="N1855" s="25" t="str">
        <f>IF(L1855&lt;&gt;"",VLOOKUP(L1855,Categories!$B$2:$D$41,2,FALSE),IF(F1855&lt;&gt;"","No Cat",""))</f>
        <v>Rate Base</v>
      </c>
      <c r="O1855" s="25" t="str">
        <f>IF($L1855&lt;&gt;"",VLOOKUP($L1855,Categories!$B$2:$D$41,3,FALSE),IF($F1855&lt;&gt;"","No Cat",""))</f>
        <v>Deferred Income Taxes</v>
      </c>
      <c r="P1855" s="736" t="s">
        <v>2482</v>
      </c>
      <c r="Q1855" s="25" t="str">
        <f>VLOOKUP($P1855,Allocators!$B$7:$F$19,5,FALSE)</f>
        <v>Electric</v>
      </c>
      <c r="R1855" s="737">
        <f>VLOOKUP($P1855,Allocators!$B$7:$F$19,2,FALSE)</f>
        <v>1</v>
      </c>
      <c r="S1855" s="737">
        <f>VLOOKUP($P1855,Allocators!$B$7:$F$19,3,FALSE)</f>
        <v>0</v>
      </c>
      <c r="T1855" s="737" t="str">
        <f t="shared" si="861"/>
        <v>0.0%</v>
      </c>
      <c r="U1855" s="2" t="str">
        <f t="shared" si="844"/>
        <v/>
      </c>
      <c r="V1855" s="2" t="str">
        <f t="shared" si="845"/>
        <v/>
      </c>
      <c r="W1855" s="2" t="str">
        <f t="shared" si="846"/>
        <v/>
      </c>
      <c r="X1855" s="2">
        <f t="shared" si="839"/>
        <v>0</v>
      </c>
      <c r="Y1855" s="2" t="str">
        <f t="shared" si="847"/>
        <v/>
      </c>
      <c r="Z1855" s="2" t="str">
        <f t="shared" si="848"/>
        <v/>
      </c>
      <c r="AA1855" s="2" t="str">
        <f t="shared" si="849"/>
        <v/>
      </c>
      <c r="AB1855" s="2">
        <f t="shared" si="840"/>
        <v>0</v>
      </c>
      <c r="AC1855" s="625">
        <v>0</v>
      </c>
      <c r="AD1855" s="625">
        <v>0</v>
      </c>
      <c r="AE1855" s="625">
        <v>0</v>
      </c>
      <c r="AF1855" s="625">
        <v>0</v>
      </c>
      <c r="AG1855" s="625">
        <v>0</v>
      </c>
      <c r="AH1855" s="625">
        <v>0</v>
      </c>
      <c r="AI1855" s="625">
        <v>0</v>
      </c>
      <c r="AJ1855" s="625">
        <v>0</v>
      </c>
      <c r="AK1855" s="625">
        <v>0</v>
      </c>
      <c r="AL1855" s="625">
        <v>0</v>
      </c>
      <c r="AM1855" s="625">
        <v>0</v>
      </c>
      <c r="AN1855" s="625">
        <v>0</v>
      </c>
      <c r="AO1855" s="625">
        <v>0</v>
      </c>
      <c r="AP1855" s="41" t="str">
        <f t="shared" si="835"/>
        <v>Def TaxR</v>
      </c>
      <c r="AQ1855" s="41" t="str">
        <f t="shared" si="836"/>
        <v>Def TaxRR11Property Tax Audit</v>
      </c>
      <c r="AR1855" s="41" t="str">
        <f t="shared" si="837"/>
        <v>R11Property Tax Audit</v>
      </c>
    </row>
    <row r="1856" spans="1:44" s="41" customFormat="1" ht="12.75" customHeight="1">
      <c r="A1856" s="442" t="s">
        <v>1590</v>
      </c>
      <c r="B1856" s="442" t="str">
        <f t="shared" si="857"/>
        <v>Def Tax190511PORBT010176</v>
      </c>
      <c r="C1856" s="736">
        <v>190511</v>
      </c>
      <c r="D1856" s="735" t="s">
        <v>1976</v>
      </c>
      <c r="E1856" s="626" t="s">
        <v>1977</v>
      </c>
      <c r="F1856" s="626" t="str">
        <f t="shared" si="855"/>
        <v>ADIT-REG-STATE-ELECTRIC</v>
      </c>
      <c r="G1856" s="626" t="s">
        <v>1245</v>
      </c>
      <c r="H1856" s="736" t="s">
        <v>1245</v>
      </c>
      <c r="I1856" s="442"/>
      <c r="J1856" s="442" t="str">
        <f t="shared" si="856"/>
        <v/>
      </c>
      <c r="K1856" s="442" t="str">
        <f t="shared" si="852"/>
        <v/>
      </c>
      <c r="L1856" s="736" t="s">
        <v>2421</v>
      </c>
      <c r="M1856" s="442" t="str">
        <f t="shared" si="838"/>
        <v>N</v>
      </c>
      <c r="N1856" s="442" t="str">
        <f>IF(L1856&lt;&gt;"",VLOOKUP(L1856,Categories!$B$2:$D$41,2,FALSE),IF(F1856&lt;&gt;"","No Cat",""))</f>
        <v>NRBASE</v>
      </c>
      <c r="O1856" s="442" t="str">
        <f>IF($L1856&lt;&gt;"",VLOOKUP($L1856,Categories!$B$2:$D$41,3,FALSE),IF($F1856&lt;&gt;"","No Cat",""))</f>
        <v>Direct Assign Items Not in RB</v>
      </c>
      <c r="P1856" s="736" t="s">
        <v>2468</v>
      </c>
      <c r="Q1856" s="442" t="str">
        <f>VLOOKUP($P1856,Allocators!$B$7:$F$19,5,FALSE)</f>
        <v>Not in Rate Base</v>
      </c>
      <c r="R1856" s="737">
        <f>VLOOKUP($P1856,Allocators!$B$7:$F$19,2,FALSE)</f>
        <v>0</v>
      </c>
      <c r="S1856" s="737">
        <f>VLOOKUP($P1856,Allocators!$B$7:$F$19,3,FALSE)</f>
        <v>0</v>
      </c>
      <c r="T1856" s="737">
        <f t="shared" si="861"/>
        <v>1</v>
      </c>
      <c r="U1856" s="2">
        <f t="shared" si="844"/>
        <v>0</v>
      </c>
      <c r="V1856" s="2">
        <f t="shared" si="845"/>
        <v>0</v>
      </c>
      <c r="W1856" s="2">
        <f t="shared" si="846"/>
        <v>-2.6181395833333299</v>
      </c>
      <c r="X1856" s="2">
        <f t="shared" si="839"/>
        <v>-2.6181395833333299</v>
      </c>
      <c r="Y1856" s="2">
        <f t="shared" si="847"/>
        <v>0</v>
      </c>
      <c r="Z1856" s="2">
        <f t="shared" si="848"/>
        <v>0</v>
      </c>
      <c r="AA1856" s="2">
        <f t="shared" si="849"/>
        <v>-4.6384999999999996</v>
      </c>
      <c r="AB1856" s="2">
        <f t="shared" si="840"/>
        <v>-4.6384999999999996</v>
      </c>
      <c r="AC1856" s="625">
        <v>-24.143229999999999</v>
      </c>
      <c r="AD1856" s="625">
        <v>-18.668419999999998</v>
      </c>
      <c r="AE1856" s="625">
        <v>-11.839120000000001</v>
      </c>
      <c r="AF1856" s="625">
        <v>-4.2741499999999997</v>
      </c>
      <c r="AG1856" s="625">
        <v>-0.95196999999999998</v>
      </c>
      <c r="AH1856" s="625">
        <v>-0.95196999999999998</v>
      </c>
      <c r="AI1856" s="625">
        <v>1.21976</v>
      </c>
      <c r="AJ1856" s="625">
        <v>5.1787200000000002</v>
      </c>
      <c r="AK1856" s="625">
        <v>7.9767200000000003</v>
      </c>
      <c r="AL1856" s="625">
        <v>5.1006999999999998</v>
      </c>
      <c r="AM1856" s="625">
        <v>1.71604</v>
      </c>
      <c r="AN1856" s="625">
        <v>-1.5331199999999998</v>
      </c>
      <c r="AO1856" s="625">
        <v>-4.6384999999999996</v>
      </c>
      <c r="AP1856" s="41" t="str">
        <f t="shared" si="835"/>
        <v>Def TaxN</v>
      </c>
      <c r="AQ1856" s="41" t="str">
        <f t="shared" si="836"/>
        <v>Def TaxNN2Purchase of Receivables</v>
      </c>
      <c r="AR1856" s="41" t="str">
        <f t="shared" si="837"/>
        <v>N2Purchase of Receivables</v>
      </c>
    </row>
    <row r="1857" spans="1:44" s="41" customFormat="1" ht="12.75" customHeight="1">
      <c r="A1857" s="25" t="s">
        <v>1590</v>
      </c>
      <c r="B1857" s="25" t="str">
        <f t="shared" si="857"/>
        <v>Def Tax190511R&amp;D DeferralBT010177</v>
      </c>
      <c r="C1857" s="736">
        <v>190511</v>
      </c>
      <c r="D1857" s="735" t="s">
        <v>1683</v>
      </c>
      <c r="E1857" s="41" t="s">
        <v>1684</v>
      </c>
      <c r="F1857" s="41" t="str">
        <f t="shared" si="855"/>
        <v>ADIT-REG-STATE-ELECTRIC</v>
      </c>
      <c r="G1857" s="41" t="s">
        <v>1978</v>
      </c>
      <c r="H1857" s="736" t="s">
        <v>1124</v>
      </c>
      <c r="I1857" s="25"/>
      <c r="J1857" s="25" t="str">
        <f t="shared" si="856"/>
        <v/>
      </c>
      <c r="K1857" s="442" t="str">
        <f t="shared" si="852"/>
        <v/>
      </c>
      <c r="L1857" s="736" t="s">
        <v>2443</v>
      </c>
      <c r="M1857" s="25" t="str">
        <f t="shared" si="838"/>
        <v>R</v>
      </c>
      <c r="N1857" s="25" t="str">
        <f>IF(L1857&lt;&gt;"",VLOOKUP(L1857,Categories!$B$2:$D$41,2,FALSE),IF(F1857&lt;&gt;"","No Cat",""))</f>
        <v>Rate Base</v>
      </c>
      <c r="O1857" s="25" t="str">
        <f>IF($L1857&lt;&gt;"",VLOOKUP($L1857,Categories!$B$2:$D$41,3,FALSE),IF($F1857&lt;&gt;"","No Cat",""))</f>
        <v>Deferred Income Taxes</v>
      </c>
      <c r="P1857" s="736" t="s">
        <v>2482</v>
      </c>
      <c r="Q1857" s="25" t="str">
        <f>VLOOKUP($P1857,Allocators!$B$7:$F$19,5,FALSE)</f>
        <v>Electric</v>
      </c>
      <c r="R1857" s="737">
        <f>VLOOKUP($P1857,Allocators!$B$7:$F$19,2,FALSE)</f>
        <v>1</v>
      </c>
      <c r="S1857" s="737">
        <f>VLOOKUP($P1857,Allocators!$B$7:$F$19,3,FALSE)</f>
        <v>0</v>
      </c>
      <c r="T1857" s="737" t="str">
        <f t="shared" si="861"/>
        <v>0.0%</v>
      </c>
      <c r="U1857" s="2">
        <f t="shared" si="844"/>
        <v>1.4998333333332999E-2</v>
      </c>
      <c r="V1857" s="2">
        <f t="shared" si="845"/>
        <v>0</v>
      </c>
      <c r="W1857" s="2">
        <f t="shared" si="846"/>
        <v>0</v>
      </c>
      <c r="X1857" s="2">
        <f t="shared" si="839"/>
        <v>1.4998333333332999E-2</v>
      </c>
      <c r="Y1857" s="2" t="str">
        <f t="shared" si="847"/>
        <v/>
      </c>
      <c r="Z1857" s="2" t="str">
        <f t="shared" si="848"/>
        <v/>
      </c>
      <c r="AA1857" s="2" t="str">
        <f t="shared" si="849"/>
        <v/>
      </c>
      <c r="AB1857" s="2">
        <f t="shared" si="840"/>
        <v>0</v>
      </c>
      <c r="AC1857" s="625">
        <v>0.36049999999999999</v>
      </c>
      <c r="AD1857" s="625">
        <v>-2.9999999999999997E-5</v>
      </c>
      <c r="AE1857" s="625">
        <v>-5.9999999999999995E-5</v>
      </c>
      <c r="AF1857" s="625">
        <v>-1.7999999999999998E-4</v>
      </c>
      <c r="AG1857" s="625">
        <v>0</v>
      </c>
      <c r="AH1857" s="625">
        <v>0</v>
      </c>
      <c r="AI1857" s="625">
        <v>0</v>
      </c>
      <c r="AJ1857" s="625">
        <v>0</v>
      </c>
      <c r="AK1857" s="625">
        <v>0</v>
      </c>
      <c r="AL1857" s="625">
        <v>0</v>
      </c>
      <c r="AM1857" s="625">
        <v>0</v>
      </c>
      <c r="AN1857" s="625">
        <v>0</v>
      </c>
      <c r="AO1857" s="625">
        <v>0</v>
      </c>
      <c r="AP1857" s="41" t="str">
        <f t="shared" si="835"/>
        <v>Def TaxR</v>
      </c>
      <c r="AQ1857" s="41" t="str">
        <f t="shared" si="836"/>
        <v>Def TaxRR11R&amp;D Tax Credit Deferral</v>
      </c>
      <c r="AR1857" s="41" t="str">
        <f t="shared" si="837"/>
        <v>R11R&amp;D Tax Credit Deferral</v>
      </c>
    </row>
    <row r="1858" spans="1:44" s="41" customFormat="1" ht="12.75" customHeight="1">
      <c r="A1858" s="442" t="s">
        <v>1590</v>
      </c>
      <c r="B1858" s="442" t="str">
        <f t="shared" si="857"/>
        <v>Def Tax190511BE030904</v>
      </c>
      <c r="C1858" s="736">
        <v>190511</v>
      </c>
      <c r="D1858" s="735"/>
      <c r="E1858" s="626" t="s">
        <v>769</v>
      </c>
      <c r="F1858" s="626" t="str">
        <f t="shared" si="855"/>
        <v>ADIT-REG-STATE-ELECTRIC</v>
      </c>
      <c r="G1858" s="626" t="s">
        <v>1979</v>
      </c>
      <c r="H1858" s="736" t="s">
        <v>823</v>
      </c>
      <c r="I1858" s="442"/>
      <c r="J1858" s="442" t="s">
        <v>7</v>
      </c>
      <c r="K1858" s="442" t="str">
        <f t="shared" si="852"/>
        <v/>
      </c>
      <c r="L1858" s="736" t="s">
        <v>2436</v>
      </c>
      <c r="M1858" s="442" t="str">
        <f t="shared" si="838"/>
        <v>N</v>
      </c>
      <c r="N1858" s="442" t="str">
        <f>IF(L1858&lt;&gt;"",VLOOKUP(L1858,Categories!$B$2:$D$41,2,FALSE),IF(F1858&lt;&gt;"","No Cat",""))</f>
        <v>NRBASE</v>
      </c>
      <c r="O1858" s="442" t="str">
        <f>IF($L1858&lt;&gt;"",VLOOKUP($L1858,Categories!$B$2:$D$41,3,FALSE),IF($F1858&lt;&gt;"","No Cat",""))</f>
        <v>Deferrals Accruing Non-Cash Return   (other than ASGA)</v>
      </c>
      <c r="P1858" s="736" t="s">
        <v>2468</v>
      </c>
      <c r="Q1858" s="442" t="str">
        <f>VLOOKUP($P1858,Allocators!$B$7:$F$19,5,FALSE)</f>
        <v>Not in Rate Base</v>
      </c>
      <c r="R1858" s="737">
        <f>VLOOKUP($P1858,Allocators!$B$7:$F$19,2,FALSE)</f>
        <v>0</v>
      </c>
      <c r="S1858" s="737">
        <f>VLOOKUP($P1858,Allocators!$B$7:$F$19,3,FALSE)</f>
        <v>0</v>
      </c>
      <c r="T1858" s="737">
        <f t="shared" si="861"/>
        <v>1</v>
      </c>
      <c r="U1858" s="2">
        <f t="shared" si="844"/>
        <v>0</v>
      </c>
      <c r="V1858" s="2">
        <f t="shared" si="845"/>
        <v>0</v>
      </c>
      <c r="W1858" s="2">
        <f t="shared" si="846"/>
        <v>-330.27336541666699</v>
      </c>
      <c r="X1858" s="2">
        <f t="shared" si="839"/>
        <v>-330.27336541666699</v>
      </c>
      <c r="Y1858" s="2">
        <f t="shared" si="847"/>
        <v>0</v>
      </c>
      <c r="Z1858" s="2">
        <f t="shared" si="848"/>
        <v>0</v>
      </c>
      <c r="AA1858" s="2">
        <f t="shared" si="849"/>
        <v>-410.03467000000001</v>
      </c>
      <c r="AB1858" s="2">
        <f t="shared" si="840"/>
        <v>-410.03467000000001</v>
      </c>
      <c r="AC1858" s="625">
        <v>-387.76799999999997</v>
      </c>
      <c r="AD1858" s="625">
        <v>-300.02544</v>
      </c>
      <c r="AE1858" s="625">
        <v>-281.17424999999997</v>
      </c>
      <c r="AF1858" s="625">
        <v>-205.11142999999998</v>
      </c>
      <c r="AG1858" s="625">
        <v>-206.37645000000001</v>
      </c>
      <c r="AH1858" s="625">
        <v>-201.79151999999999</v>
      </c>
      <c r="AI1858" s="625">
        <v>-239.28904</v>
      </c>
      <c r="AJ1858" s="625">
        <v>-342.61745999999999</v>
      </c>
      <c r="AK1858" s="625">
        <v>-430.92840999999999</v>
      </c>
      <c r="AL1858" s="625">
        <v>-409.03897999999998</v>
      </c>
      <c r="AM1858" s="625">
        <v>-504.68422999999996</v>
      </c>
      <c r="AN1858" s="625">
        <v>-443.34184000000005</v>
      </c>
      <c r="AO1858" s="625">
        <v>-410.03467000000001</v>
      </c>
      <c r="AP1858" s="41" t="str">
        <f t="shared" si="835"/>
        <v>Def TaxN</v>
      </c>
      <c r="AQ1858" s="41" t="str">
        <f t="shared" si="836"/>
        <v>Def TaxNN10RDM</v>
      </c>
      <c r="AR1858" s="41" t="str">
        <f t="shared" si="837"/>
        <v>N10RDMNCR</v>
      </c>
    </row>
    <row r="1859" spans="1:44" s="41" customFormat="1" ht="12.75" customHeight="1">
      <c r="A1859" s="442" t="s">
        <v>1590</v>
      </c>
      <c r="B1859" s="442" t="str">
        <f t="shared" ref="B1859" si="862">CONCATENATE(A1859,C1859,D1859,E1859)</f>
        <v>Def Tax190511BE030908</v>
      </c>
      <c r="C1859" s="736">
        <v>190511</v>
      </c>
      <c r="D1859" s="735"/>
      <c r="E1859" s="626" t="s">
        <v>2812</v>
      </c>
      <c r="F1859" s="626" t="str">
        <f>VLOOKUP(C1859,$C$7:$F$787,4,FALSE)</f>
        <v>ADIT-REG-STATE-ELECTRIC</v>
      </c>
      <c r="G1859" s="740" t="s">
        <v>4053</v>
      </c>
      <c r="H1859" s="736" t="s">
        <v>2816</v>
      </c>
      <c r="I1859" s="442"/>
      <c r="J1859" s="442" t="s">
        <v>7</v>
      </c>
      <c r="K1859" s="442" t="str">
        <f t="shared" si="852"/>
        <v/>
      </c>
      <c r="L1859" s="736" t="s">
        <v>2421</v>
      </c>
      <c r="M1859" s="442" t="str">
        <f t="shared" ref="M1859" si="863">LEFT(L1859,1)</f>
        <v>N</v>
      </c>
      <c r="N1859" s="442" t="str">
        <f>IF(L1859&lt;&gt;"",VLOOKUP(L1859,Categories!$B$2:$D$41,2,FALSE),IF(F1859&lt;&gt;"","No Cat",""))</f>
        <v>NRBASE</v>
      </c>
      <c r="O1859" s="442" t="str">
        <f>IF($L1859&lt;&gt;"",VLOOKUP($L1859,Categories!$B$2:$D$41,3,FALSE),IF($F1859&lt;&gt;"","No Cat",""))</f>
        <v>Direct Assign Items Not in RB</v>
      </c>
      <c r="P1859" s="736" t="s">
        <v>2468</v>
      </c>
      <c r="Q1859" s="442" t="str">
        <f>VLOOKUP($P1859,Allocators!$B$7:$F$19,5,FALSE)</f>
        <v>Not in Rate Base</v>
      </c>
      <c r="R1859" s="737">
        <f>VLOOKUP($P1859,Allocators!$B$7:$F$19,2,FALSE)</f>
        <v>0</v>
      </c>
      <c r="S1859" s="737">
        <f>VLOOKUP($P1859,Allocators!$B$7:$F$19,3,FALSE)</f>
        <v>0</v>
      </c>
      <c r="T1859" s="737">
        <f t="shared" si="861"/>
        <v>1</v>
      </c>
      <c r="U1859" s="2">
        <f t="shared" si="844"/>
        <v>0</v>
      </c>
      <c r="V1859" s="2">
        <f t="shared" si="845"/>
        <v>0</v>
      </c>
      <c r="W1859" s="2">
        <f t="shared" si="846"/>
        <v>209.40977125000001</v>
      </c>
      <c r="X1859" s="2">
        <f t="shared" si="839"/>
        <v>209.40977125000001</v>
      </c>
      <c r="Y1859" s="2">
        <f t="shared" si="847"/>
        <v>0</v>
      </c>
      <c r="Z1859" s="2">
        <f t="shared" si="848"/>
        <v>0</v>
      </c>
      <c r="AA1859" s="2">
        <f t="shared" si="849"/>
        <v>270.73685</v>
      </c>
      <c r="AB1859" s="2">
        <f t="shared" si="840"/>
        <v>270.73685</v>
      </c>
      <c r="AC1859" s="625">
        <v>149.44398000000001</v>
      </c>
      <c r="AD1859" s="625">
        <v>159.24052</v>
      </c>
      <c r="AE1859" s="625">
        <v>169.09258</v>
      </c>
      <c r="AF1859" s="625">
        <v>179.00047000000001</v>
      </c>
      <c r="AG1859" s="625">
        <v>188.96451000000002</v>
      </c>
      <c r="AH1859" s="625">
        <v>198.98502999999999</v>
      </c>
      <c r="AI1859" s="625">
        <v>209.06232999999997</v>
      </c>
      <c r="AJ1859" s="625">
        <v>219.19673999999998</v>
      </c>
      <c r="AK1859" s="625">
        <v>229.38858999999999</v>
      </c>
      <c r="AL1859" s="625">
        <v>239.63819000000001</v>
      </c>
      <c r="AM1859" s="625">
        <v>249.94589000000002</v>
      </c>
      <c r="AN1859" s="625">
        <v>260.31198999999998</v>
      </c>
      <c r="AO1859" s="625">
        <v>270.73685</v>
      </c>
      <c r="AP1859" s="41" t="str">
        <f t="shared" si="835"/>
        <v>Def TaxN</v>
      </c>
      <c r="AQ1859" s="41" t="str">
        <f t="shared" si="836"/>
        <v>Def TaxNN2Theoretical Reserve</v>
      </c>
      <c r="AR1859" s="41" t="str">
        <f t="shared" si="837"/>
        <v>N2Theoretical ReserveNCR</v>
      </c>
    </row>
    <row r="1860" spans="1:44" s="41" customFormat="1" ht="12.75" customHeight="1">
      <c r="A1860" s="25" t="s">
        <v>1590</v>
      </c>
      <c r="B1860" s="25" t="str">
        <f t="shared" si="857"/>
        <v>Def Tax190511283-074-JPBT010242</v>
      </c>
      <c r="C1860" s="736">
        <v>190511</v>
      </c>
      <c r="D1860" s="735" t="s">
        <v>1980</v>
      </c>
      <c r="E1860" s="41" t="s">
        <v>1718</v>
      </c>
      <c r="F1860" s="41" t="str">
        <f t="shared" si="855"/>
        <v>ADIT-REG-STATE-ELECTRIC</v>
      </c>
      <c r="G1860" s="41" t="s">
        <v>1982</v>
      </c>
      <c r="H1860" s="736" t="s">
        <v>1775</v>
      </c>
      <c r="I1860" s="25"/>
      <c r="J1860" s="25" t="str">
        <f t="shared" si="856"/>
        <v/>
      </c>
      <c r="K1860" s="442" t="str">
        <f t="shared" si="852"/>
        <v/>
      </c>
      <c r="L1860" s="736" t="s">
        <v>2443</v>
      </c>
      <c r="M1860" s="25" t="str">
        <f t="shared" si="838"/>
        <v>R</v>
      </c>
      <c r="N1860" s="25" t="str">
        <f>IF(L1860&lt;&gt;"",VLOOKUP(L1860,Categories!$B$2:$D$41,2,FALSE),IF(F1860&lt;&gt;"","No Cat",""))</f>
        <v>Rate Base</v>
      </c>
      <c r="O1860" s="25" t="str">
        <f>IF($L1860&lt;&gt;"",VLOOKUP($L1860,Categories!$B$2:$D$41,3,FALSE),IF($F1860&lt;&gt;"","No Cat",""))</f>
        <v>Deferred Income Taxes</v>
      </c>
      <c r="P1860" s="736" t="s">
        <v>2482</v>
      </c>
      <c r="Q1860" s="25" t="str">
        <f>VLOOKUP($P1860,Allocators!$B$7:$F$19,5,FALSE)</f>
        <v>Electric</v>
      </c>
      <c r="R1860" s="737">
        <f>VLOOKUP($P1860,Allocators!$B$7:$F$19,2,FALSE)</f>
        <v>1</v>
      </c>
      <c r="S1860" s="737">
        <f>VLOOKUP($P1860,Allocators!$B$7:$F$19,3,FALSE)</f>
        <v>0</v>
      </c>
      <c r="T1860" s="737" t="str">
        <f t="shared" si="861"/>
        <v>0.0%</v>
      </c>
      <c r="U1860" s="2">
        <f t="shared" si="844"/>
        <v>3.8330629166666701</v>
      </c>
      <c r="V1860" s="2">
        <f t="shared" si="845"/>
        <v>0</v>
      </c>
      <c r="W1860" s="2">
        <f t="shared" si="846"/>
        <v>0</v>
      </c>
      <c r="X1860" s="2">
        <f t="shared" si="839"/>
        <v>3.8330629166666701</v>
      </c>
      <c r="Y1860" s="2">
        <f t="shared" si="847"/>
        <v>26.581150000000001</v>
      </c>
      <c r="Z1860" s="2">
        <f t="shared" si="848"/>
        <v>0</v>
      </c>
      <c r="AA1860" s="2">
        <f t="shared" si="849"/>
        <v>0</v>
      </c>
      <c r="AB1860" s="2">
        <f t="shared" si="840"/>
        <v>26.581150000000001</v>
      </c>
      <c r="AC1860" s="625">
        <v>0</v>
      </c>
      <c r="AD1860" s="625">
        <v>0</v>
      </c>
      <c r="AE1860" s="625">
        <v>0</v>
      </c>
      <c r="AF1860" s="625">
        <v>0</v>
      </c>
      <c r="AG1860" s="625">
        <v>0</v>
      </c>
      <c r="AH1860" s="625">
        <v>0</v>
      </c>
      <c r="AI1860" s="625">
        <v>0</v>
      </c>
      <c r="AJ1860" s="625">
        <v>0</v>
      </c>
      <c r="AK1860" s="625">
        <v>0</v>
      </c>
      <c r="AL1860" s="625">
        <v>0</v>
      </c>
      <c r="AM1860" s="625">
        <v>0</v>
      </c>
      <c r="AN1860" s="625">
        <v>32.706180000000003</v>
      </c>
      <c r="AO1860" s="625">
        <v>26.581150000000001</v>
      </c>
      <c r="AP1860" s="41" t="str">
        <f t="shared" si="835"/>
        <v>Def TaxR</v>
      </c>
      <c r="AQ1860" s="41" t="str">
        <f t="shared" si="836"/>
        <v>Def TaxRR11Gain/Loss on Reacquired Debt</v>
      </c>
      <c r="AR1860" s="41" t="str">
        <f t="shared" si="837"/>
        <v>R11Gain/Loss on Reacquired Debt</v>
      </c>
    </row>
    <row r="1861" spans="1:44" s="41" customFormat="1" ht="12.75" customHeight="1">
      <c r="A1861" s="25" t="s">
        <v>1590</v>
      </c>
      <c r="B1861" s="25" t="str">
        <f t="shared" si="857"/>
        <v>Def Tax190511FAS 158 Reg A</v>
      </c>
      <c r="C1861" s="736">
        <v>190511</v>
      </c>
      <c r="D1861" s="735" t="s">
        <v>2047</v>
      </c>
      <c r="F1861" s="41" t="str">
        <f t="shared" si="855"/>
        <v>ADIT-REG-STATE-ELECTRIC</v>
      </c>
      <c r="G1861" s="41" t="s">
        <v>2048</v>
      </c>
      <c r="H1861" s="736" t="s">
        <v>1673</v>
      </c>
      <c r="I1861" s="25"/>
      <c r="J1861" s="25" t="str">
        <f t="shared" si="856"/>
        <v/>
      </c>
      <c r="K1861" s="442" t="str">
        <f t="shared" si="852"/>
        <v/>
      </c>
      <c r="L1861" s="736" t="s">
        <v>2443</v>
      </c>
      <c r="M1861" s="25" t="str">
        <f t="shared" si="838"/>
        <v>R</v>
      </c>
      <c r="N1861" s="25" t="str">
        <f>IF(L1861&lt;&gt;"",VLOOKUP(L1861,Categories!$B$2:$D$41,2,FALSE),IF(F1861&lt;&gt;"","No Cat",""))</f>
        <v>Rate Base</v>
      </c>
      <c r="O1861" s="25" t="str">
        <f>IF($L1861&lt;&gt;"",VLOOKUP($L1861,Categories!$B$2:$D$41,3,FALSE),IF($F1861&lt;&gt;"","No Cat",""))</f>
        <v>Deferred Income Taxes</v>
      </c>
      <c r="P1861" s="736" t="s">
        <v>2482</v>
      </c>
      <c r="Q1861" s="25" t="str">
        <f>VLOOKUP($P1861,Allocators!$B$7:$F$19,5,FALSE)</f>
        <v>Electric</v>
      </c>
      <c r="R1861" s="737">
        <f>VLOOKUP($P1861,Allocators!$B$7:$F$19,2,FALSE)</f>
        <v>1</v>
      </c>
      <c r="S1861" s="737">
        <f>VLOOKUP($P1861,Allocators!$B$7:$F$19,3,FALSE)</f>
        <v>0</v>
      </c>
      <c r="T1861" s="737" t="str">
        <f t="shared" si="861"/>
        <v>0.0%</v>
      </c>
      <c r="U1861" s="2" t="str">
        <f t="shared" si="844"/>
        <v/>
      </c>
      <c r="V1861" s="2" t="str">
        <f t="shared" si="845"/>
        <v/>
      </c>
      <c r="W1861" s="2" t="str">
        <f t="shared" si="846"/>
        <v/>
      </c>
      <c r="X1861" s="2">
        <f t="shared" si="839"/>
        <v>0</v>
      </c>
      <c r="Y1861" s="2" t="str">
        <f t="shared" si="847"/>
        <v/>
      </c>
      <c r="Z1861" s="2" t="str">
        <f t="shared" si="848"/>
        <v/>
      </c>
      <c r="AA1861" s="2" t="str">
        <f t="shared" si="849"/>
        <v/>
      </c>
      <c r="AB1861" s="2">
        <f t="shared" si="840"/>
        <v>0</v>
      </c>
      <c r="AC1861" s="625">
        <v>0</v>
      </c>
      <c r="AD1861" s="625">
        <v>0</v>
      </c>
      <c r="AE1861" s="625">
        <v>0</v>
      </c>
      <c r="AF1861" s="625">
        <v>0</v>
      </c>
      <c r="AG1861" s="625">
        <v>0</v>
      </c>
      <c r="AH1861" s="625">
        <v>0</v>
      </c>
      <c r="AI1861" s="625">
        <v>0</v>
      </c>
      <c r="AJ1861" s="625">
        <v>0</v>
      </c>
      <c r="AK1861" s="625">
        <v>0</v>
      </c>
      <c r="AL1861" s="625">
        <v>0</v>
      </c>
      <c r="AM1861" s="625">
        <v>0</v>
      </c>
      <c r="AN1861" s="625">
        <v>0</v>
      </c>
      <c r="AO1861" s="625">
        <v>0</v>
      </c>
      <c r="AP1861" s="41" t="str">
        <f t="shared" si="835"/>
        <v>Def TaxR</v>
      </c>
      <c r="AQ1861" s="41" t="str">
        <f t="shared" si="836"/>
        <v>Def TaxRR11Pension</v>
      </c>
      <c r="AR1861" s="41" t="str">
        <f t="shared" si="837"/>
        <v>R11Pension</v>
      </c>
    </row>
    <row r="1862" spans="1:44" s="41" customFormat="1" ht="12.75" customHeight="1">
      <c r="A1862" s="25" t="s">
        <v>1590</v>
      </c>
      <c r="B1862" s="25" t="str">
        <f t="shared" si="857"/>
        <v>Def Tax190511FAS 158 SFASBT030562</v>
      </c>
      <c r="C1862" s="736">
        <v>190511</v>
      </c>
      <c r="D1862" s="735" t="s">
        <v>1961</v>
      </c>
      <c r="E1862" s="41" t="s">
        <v>1839</v>
      </c>
      <c r="F1862" s="41" t="str">
        <f t="shared" si="855"/>
        <v>ADIT-REG-STATE-ELECTRIC</v>
      </c>
      <c r="G1862" s="41" t="s">
        <v>2048</v>
      </c>
      <c r="H1862" s="736" t="s">
        <v>927</v>
      </c>
      <c r="I1862" s="25"/>
      <c r="J1862" s="25" t="str">
        <f t="shared" si="856"/>
        <v/>
      </c>
      <c r="K1862" s="442" t="str">
        <f t="shared" si="852"/>
        <v/>
      </c>
      <c r="L1862" s="736" t="s">
        <v>2443</v>
      </c>
      <c r="M1862" s="25" t="str">
        <f t="shared" si="838"/>
        <v>R</v>
      </c>
      <c r="N1862" s="25" t="str">
        <f>IF(L1862&lt;&gt;"",VLOOKUP(L1862,Categories!$B$2:$D$41,2,FALSE),IF(F1862&lt;&gt;"","No Cat",""))</f>
        <v>Rate Base</v>
      </c>
      <c r="O1862" s="25" t="str">
        <f>IF($L1862&lt;&gt;"",VLOOKUP($L1862,Categories!$B$2:$D$41,3,FALSE),IF($F1862&lt;&gt;"","No Cat",""))</f>
        <v>Deferred Income Taxes</v>
      </c>
      <c r="P1862" s="736" t="s">
        <v>2482</v>
      </c>
      <c r="Q1862" s="25" t="str">
        <f>VLOOKUP($P1862,Allocators!$B$7:$F$19,5,FALSE)</f>
        <v>Electric</v>
      </c>
      <c r="R1862" s="737">
        <f>VLOOKUP($P1862,Allocators!$B$7:$F$19,2,FALSE)</f>
        <v>1</v>
      </c>
      <c r="S1862" s="737">
        <f>VLOOKUP($P1862,Allocators!$B$7:$F$19,3,FALSE)</f>
        <v>0</v>
      </c>
      <c r="T1862" s="737" t="str">
        <f t="shared" si="861"/>
        <v>0.0%</v>
      </c>
      <c r="U1862" s="2" t="str">
        <f t="shared" si="844"/>
        <v/>
      </c>
      <c r="V1862" s="2" t="str">
        <f t="shared" si="845"/>
        <v/>
      </c>
      <c r="W1862" s="2" t="str">
        <f t="shared" si="846"/>
        <v/>
      </c>
      <c r="X1862" s="2">
        <f t="shared" si="839"/>
        <v>0</v>
      </c>
      <c r="Y1862" s="2" t="str">
        <f t="shared" si="847"/>
        <v/>
      </c>
      <c r="Z1862" s="2" t="str">
        <f t="shared" si="848"/>
        <v/>
      </c>
      <c r="AA1862" s="2" t="str">
        <f t="shared" si="849"/>
        <v/>
      </c>
      <c r="AB1862" s="2">
        <f t="shared" si="840"/>
        <v>0</v>
      </c>
      <c r="AC1862" s="625">
        <v>0</v>
      </c>
      <c r="AD1862" s="625">
        <v>0</v>
      </c>
      <c r="AE1862" s="625">
        <v>0</v>
      </c>
      <c r="AF1862" s="625">
        <v>0</v>
      </c>
      <c r="AG1862" s="625">
        <v>0</v>
      </c>
      <c r="AH1862" s="625">
        <v>0</v>
      </c>
      <c r="AI1862" s="625">
        <v>0</v>
      </c>
      <c r="AJ1862" s="625">
        <v>0</v>
      </c>
      <c r="AK1862" s="625">
        <v>0</v>
      </c>
      <c r="AL1862" s="625">
        <v>0</v>
      </c>
      <c r="AM1862" s="625">
        <v>0</v>
      </c>
      <c r="AN1862" s="625">
        <v>0</v>
      </c>
      <c r="AO1862" s="625">
        <v>0</v>
      </c>
      <c r="AP1862" s="41" t="str">
        <f t="shared" si="835"/>
        <v>Def TaxR</v>
      </c>
      <c r="AQ1862" s="41" t="str">
        <f t="shared" si="836"/>
        <v>Def TaxRR11OPEB</v>
      </c>
      <c r="AR1862" s="41" t="str">
        <f t="shared" si="837"/>
        <v>R11OPEB</v>
      </c>
    </row>
    <row r="1863" spans="1:44" s="41" customFormat="1" ht="12.75" customHeight="1">
      <c r="A1863" s="25" t="s">
        <v>1590</v>
      </c>
      <c r="B1863" s="25" t="str">
        <f t="shared" si="857"/>
        <v>Def Tax190511RussDecommBE030278</v>
      </c>
      <c r="C1863" s="736">
        <v>190511</v>
      </c>
      <c r="D1863" s="735" t="s">
        <v>1984</v>
      </c>
      <c r="E1863" s="41" t="s">
        <v>1985</v>
      </c>
      <c r="F1863" s="41" t="str">
        <f t="shared" si="855"/>
        <v>ADIT-REG-STATE-ELECTRIC</v>
      </c>
      <c r="G1863" s="41" t="s">
        <v>1986</v>
      </c>
      <c r="H1863" s="736" t="s">
        <v>2694</v>
      </c>
      <c r="I1863" s="25"/>
      <c r="J1863" s="25" t="str">
        <f t="shared" si="856"/>
        <v/>
      </c>
      <c r="K1863" s="442" t="str">
        <f t="shared" si="852"/>
        <v/>
      </c>
      <c r="L1863" s="736" t="s">
        <v>2443</v>
      </c>
      <c r="M1863" s="25" t="str">
        <f t="shared" si="838"/>
        <v>R</v>
      </c>
      <c r="N1863" s="25" t="str">
        <f>IF(L1863&lt;&gt;"",VLOOKUP(L1863,Categories!$B$2:$D$41,2,FALSE),IF(F1863&lt;&gt;"","No Cat",""))</f>
        <v>Rate Base</v>
      </c>
      <c r="O1863" s="25" t="str">
        <f>IF($L1863&lt;&gt;"",VLOOKUP($L1863,Categories!$B$2:$D$41,3,FALSE),IF($F1863&lt;&gt;"","No Cat",""))</f>
        <v>Deferred Income Taxes</v>
      </c>
      <c r="P1863" s="736" t="s">
        <v>2482</v>
      </c>
      <c r="Q1863" s="25" t="str">
        <f>VLOOKUP($P1863,Allocators!$B$7:$F$19,5,FALSE)</f>
        <v>Electric</v>
      </c>
      <c r="R1863" s="737">
        <f>VLOOKUP($P1863,Allocators!$B$7:$F$19,2,FALSE)</f>
        <v>1</v>
      </c>
      <c r="S1863" s="737">
        <f>VLOOKUP($P1863,Allocators!$B$7:$F$19,3,FALSE)</f>
        <v>0</v>
      </c>
      <c r="T1863" s="737" t="str">
        <f t="shared" si="861"/>
        <v>0.0%</v>
      </c>
      <c r="U1863" s="2">
        <f t="shared" si="844"/>
        <v>26.725840000000002</v>
      </c>
      <c r="V1863" s="2">
        <f t="shared" si="845"/>
        <v>0</v>
      </c>
      <c r="W1863" s="2">
        <f t="shared" si="846"/>
        <v>0</v>
      </c>
      <c r="X1863" s="2">
        <f t="shared" si="839"/>
        <v>26.725840000000002</v>
      </c>
      <c r="Y1863" s="2">
        <f t="shared" si="847"/>
        <v>641.42016000000001</v>
      </c>
      <c r="Z1863" s="2">
        <f t="shared" si="848"/>
        <v>0</v>
      </c>
      <c r="AA1863" s="2">
        <f t="shared" si="849"/>
        <v>0</v>
      </c>
      <c r="AB1863" s="2">
        <f t="shared" si="840"/>
        <v>641.42016000000001</v>
      </c>
      <c r="AC1863" s="625">
        <v>0</v>
      </c>
      <c r="AD1863" s="625">
        <v>0</v>
      </c>
      <c r="AE1863" s="625">
        <v>0</v>
      </c>
      <c r="AF1863" s="625">
        <v>0</v>
      </c>
      <c r="AG1863" s="625">
        <v>0</v>
      </c>
      <c r="AH1863" s="625">
        <v>0</v>
      </c>
      <c r="AI1863" s="625">
        <v>0</v>
      </c>
      <c r="AJ1863" s="625">
        <v>0</v>
      </c>
      <c r="AK1863" s="625">
        <v>0</v>
      </c>
      <c r="AL1863" s="625">
        <v>0</v>
      </c>
      <c r="AM1863" s="625">
        <v>0</v>
      </c>
      <c r="AN1863" s="625">
        <v>0</v>
      </c>
      <c r="AO1863" s="625">
        <v>641.42016000000001</v>
      </c>
      <c r="AP1863" s="41" t="str">
        <f t="shared" si="835"/>
        <v>Def TaxR</v>
      </c>
      <c r="AQ1863" s="41" t="str">
        <f t="shared" si="836"/>
        <v>Def TaxRR11Russell Decommissioning Reserve</v>
      </c>
      <c r="AR1863" s="41" t="str">
        <f t="shared" si="837"/>
        <v>R11Russell Decommissioning Reserve</v>
      </c>
    </row>
    <row r="1864" spans="1:44" s="41" customFormat="1" ht="12.75" customHeight="1">
      <c r="A1864" s="442" t="s">
        <v>1590</v>
      </c>
      <c r="B1864" s="442" t="str">
        <f t="shared" si="857"/>
        <v>Def Tax190511BT010209</v>
      </c>
      <c r="C1864" s="736">
        <v>190511</v>
      </c>
      <c r="D1864" s="735"/>
      <c r="E1864" s="626" t="s">
        <v>1990</v>
      </c>
      <c r="F1864" s="626" t="str">
        <f t="shared" si="855"/>
        <v>ADIT-REG-STATE-ELECTRIC</v>
      </c>
      <c r="G1864" s="626" t="s">
        <v>1991</v>
      </c>
      <c r="H1864" s="736" t="s">
        <v>1122</v>
      </c>
      <c r="I1864" s="442"/>
      <c r="J1864" s="442" t="str">
        <f t="shared" si="856"/>
        <v/>
      </c>
      <c r="K1864" s="442" t="str">
        <f t="shared" si="852"/>
        <v/>
      </c>
      <c r="L1864" s="736" t="s">
        <v>2421</v>
      </c>
      <c r="M1864" s="442" t="str">
        <f t="shared" si="838"/>
        <v>N</v>
      </c>
      <c r="N1864" s="442" t="str">
        <f>IF(L1864&lt;&gt;"",VLOOKUP(L1864,Categories!$B$2:$D$41,2,FALSE),IF(F1864&lt;&gt;"","No Cat",""))</f>
        <v>NRBASE</v>
      </c>
      <c r="O1864" s="442" t="str">
        <f>IF($L1864&lt;&gt;"",VLOOKUP($L1864,Categories!$B$2:$D$41,3,FALSE),IF($F1864&lt;&gt;"","No Cat",""))</f>
        <v>Direct Assign Items Not in RB</v>
      </c>
      <c r="P1864" s="736" t="s">
        <v>2468</v>
      </c>
      <c r="Q1864" s="442" t="str">
        <f>VLOOKUP($P1864,Allocators!$B$7:$F$19,5,FALSE)</f>
        <v>Not in Rate Base</v>
      </c>
      <c r="R1864" s="737">
        <f>VLOOKUP($P1864,Allocators!$B$7:$F$19,2,FALSE)</f>
        <v>0</v>
      </c>
      <c r="S1864" s="737">
        <f>VLOOKUP($P1864,Allocators!$B$7:$F$19,3,FALSE)</f>
        <v>0</v>
      </c>
      <c r="T1864" s="737">
        <f t="shared" si="861"/>
        <v>1</v>
      </c>
      <c r="U1864" s="2" t="str">
        <f t="shared" si="844"/>
        <v/>
      </c>
      <c r="V1864" s="2" t="str">
        <f t="shared" si="845"/>
        <v/>
      </c>
      <c r="W1864" s="2" t="str">
        <f t="shared" si="846"/>
        <v/>
      </c>
      <c r="X1864" s="2">
        <f t="shared" si="839"/>
        <v>0</v>
      </c>
      <c r="Y1864" s="2" t="str">
        <f t="shared" si="847"/>
        <v/>
      </c>
      <c r="Z1864" s="2" t="str">
        <f t="shared" si="848"/>
        <v/>
      </c>
      <c r="AA1864" s="2" t="str">
        <f t="shared" si="849"/>
        <v/>
      </c>
      <c r="AB1864" s="2">
        <f t="shared" si="840"/>
        <v>0</v>
      </c>
      <c r="AC1864" s="625">
        <v>0</v>
      </c>
      <c r="AD1864" s="625">
        <v>0</v>
      </c>
      <c r="AE1864" s="625">
        <v>0</v>
      </c>
      <c r="AF1864" s="625">
        <v>0</v>
      </c>
      <c r="AG1864" s="625">
        <v>0</v>
      </c>
      <c r="AH1864" s="625">
        <v>0</v>
      </c>
      <c r="AI1864" s="625">
        <v>0</v>
      </c>
      <c r="AJ1864" s="625">
        <v>0</v>
      </c>
      <c r="AK1864" s="625">
        <v>0</v>
      </c>
      <c r="AL1864" s="625">
        <v>0</v>
      </c>
      <c r="AM1864" s="625">
        <v>0</v>
      </c>
      <c r="AN1864" s="625">
        <v>0</v>
      </c>
      <c r="AO1864" s="625">
        <v>0</v>
      </c>
      <c r="AP1864" s="41" t="str">
        <f t="shared" ref="AP1864:AP1927" si="864">CONCATENATE(A1864,M1864)</f>
        <v>Def TaxN</v>
      </c>
      <c r="AQ1864" s="41" t="str">
        <f t="shared" ref="AQ1864:AQ1927" si="865">CONCATENATE(AP1864,L1864,H1864)</f>
        <v>Def TaxNN2Service Quality Performance</v>
      </c>
      <c r="AR1864" s="41" t="str">
        <f t="shared" ref="AR1864:AR1927" si="866">CONCATENATE(L1864,H1864,J1864)</f>
        <v>N2Service Quality Performance</v>
      </c>
    </row>
    <row r="1865" spans="1:44" s="41" customFormat="1" ht="12.75" customHeight="1">
      <c r="A1865" s="25" t="s">
        <v>1590</v>
      </c>
      <c r="B1865" s="25" t="str">
        <f t="shared" si="857"/>
        <v>Def Tax190511283-069BT010199</v>
      </c>
      <c r="C1865" s="736">
        <v>190511</v>
      </c>
      <c r="D1865" s="735" t="s">
        <v>1992</v>
      </c>
      <c r="E1865" s="41" t="s">
        <v>1993</v>
      </c>
      <c r="F1865" s="41" t="str">
        <f t="shared" si="855"/>
        <v>ADIT-REG-STATE-ELECTRIC</v>
      </c>
      <c r="G1865" s="41" t="s">
        <v>1994</v>
      </c>
      <c r="H1865" s="736" t="s">
        <v>1995</v>
      </c>
      <c r="I1865" s="25"/>
      <c r="J1865" s="25" t="str">
        <f t="shared" si="856"/>
        <v/>
      </c>
      <c r="K1865" s="442" t="str">
        <f t="shared" si="852"/>
        <v/>
      </c>
      <c r="L1865" s="736" t="s">
        <v>2443</v>
      </c>
      <c r="M1865" s="25" t="str">
        <f t="shared" si="838"/>
        <v>R</v>
      </c>
      <c r="N1865" s="25" t="str">
        <f>IF(L1865&lt;&gt;"",VLOOKUP(L1865,Categories!$B$2:$D$41,2,FALSE),IF(F1865&lt;&gt;"","No Cat",""))</f>
        <v>Rate Base</v>
      </c>
      <c r="O1865" s="25" t="str">
        <f>IF($L1865&lt;&gt;"",VLOOKUP($L1865,Categories!$B$2:$D$41,3,FALSE),IF($F1865&lt;&gt;"","No Cat",""))</f>
        <v>Deferred Income Taxes</v>
      </c>
      <c r="P1865" s="736" t="s">
        <v>2482</v>
      </c>
      <c r="Q1865" s="25" t="str">
        <f>VLOOKUP($P1865,Allocators!$B$7:$F$19,5,FALSE)</f>
        <v>Electric</v>
      </c>
      <c r="R1865" s="737">
        <f>VLOOKUP($P1865,Allocators!$B$7:$F$19,2,FALSE)</f>
        <v>1</v>
      </c>
      <c r="S1865" s="737">
        <f>VLOOKUP($P1865,Allocators!$B$7:$F$19,3,FALSE)</f>
        <v>0</v>
      </c>
      <c r="T1865" s="737" t="str">
        <f t="shared" si="861"/>
        <v>0.0%</v>
      </c>
      <c r="U1865" s="2">
        <f t="shared" si="844"/>
        <v>-104.31184</v>
      </c>
      <c r="V1865" s="2">
        <f t="shared" si="845"/>
        <v>0</v>
      </c>
      <c r="W1865" s="2">
        <f t="shared" si="846"/>
        <v>0</v>
      </c>
      <c r="X1865" s="2">
        <f t="shared" si="839"/>
        <v>-104.31184</v>
      </c>
      <c r="Y1865" s="2">
        <f t="shared" si="847"/>
        <v>-104.31184</v>
      </c>
      <c r="Z1865" s="2">
        <f t="shared" si="848"/>
        <v>0</v>
      </c>
      <c r="AA1865" s="2">
        <f t="shared" si="849"/>
        <v>0</v>
      </c>
      <c r="AB1865" s="2">
        <f t="shared" si="840"/>
        <v>-104.31183999999999</v>
      </c>
      <c r="AC1865" s="625">
        <v>-104.31183999999999</v>
      </c>
      <c r="AD1865" s="625">
        <v>-104.31183999999999</v>
      </c>
      <c r="AE1865" s="625">
        <v>-104.31183999999999</v>
      </c>
      <c r="AF1865" s="625">
        <v>-104.31183999999999</v>
      </c>
      <c r="AG1865" s="625">
        <v>-104.31183999999999</v>
      </c>
      <c r="AH1865" s="625">
        <v>-104.31183999999999</v>
      </c>
      <c r="AI1865" s="625">
        <v>-104.31183999999999</v>
      </c>
      <c r="AJ1865" s="625">
        <v>-104.31183999999999</v>
      </c>
      <c r="AK1865" s="625">
        <v>-104.31183999999999</v>
      </c>
      <c r="AL1865" s="625">
        <v>-104.31183999999999</v>
      </c>
      <c r="AM1865" s="625">
        <v>-104.31183999999999</v>
      </c>
      <c r="AN1865" s="625">
        <v>-104.31183999999999</v>
      </c>
      <c r="AO1865" s="625">
        <v>-104.31183999999999</v>
      </c>
      <c r="AP1865" s="41" t="str">
        <f t="shared" si="864"/>
        <v>Def TaxR</v>
      </c>
      <c r="AQ1865" s="41" t="str">
        <f t="shared" si="865"/>
        <v>Def TaxRR11NYS Income Tax / GRT Deferral</v>
      </c>
      <c r="AR1865" s="41" t="str">
        <f t="shared" si="866"/>
        <v>R11NYS Income Tax / GRT Deferral</v>
      </c>
    </row>
    <row r="1866" spans="1:44" s="41" customFormat="1" ht="12.75" customHeight="1">
      <c r="A1866" s="442" t="s">
        <v>1590</v>
      </c>
      <c r="B1866" s="442" t="str">
        <f t="shared" si="857"/>
        <v>Def Tax190511190-097-JPBT010222</v>
      </c>
      <c r="C1866" s="736">
        <v>190511</v>
      </c>
      <c r="D1866" s="735" t="s">
        <v>1996</v>
      </c>
      <c r="E1866" s="626" t="s">
        <v>1997</v>
      </c>
      <c r="F1866" s="626" t="str">
        <f t="shared" si="855"/>
        <v>ADIT-REG-STATE-ELECTRIC</v>
      </c>
      <c r="G1866" s="626" t="s">
        <v>1998</v>
      </c>
      <c r="H1866" s="736" t="s">
        <v>1325</v>
      </c>
      <c r="I1866" s="442"/>
      <c r="J1866" s="442" t="str">
        <f t="shared" si="856"/>
        <v/>
      </c>
      <c r="K1866" s="442" t="str">
        <f t="shared" si="852"/>
        <v/>
      </c>
      <c r="L1866" s="736" t="s">
        <v>2421</v>
      </c>
      <c r="M1866" s="442" t="str">
        <f t="shared" si="838"/>
        <v>N</v>
      </c>
      <c r="N1866" s="442" t="str">
        <f>IF(L1866&lt;&gt;"",VLOOKUP(L1866,Categories!$B$2:$D$41,2,FALSE),IF(F1866&lt;&gt;"","No Cat",""))</f>
        <v>NRBASE</v>
      </c>
      <c r="O1866" s="442" t="str">
        <f>IF($L1866&lt;&gt;"",VLOOKUP($L1866,Categories!$B$2:$D$41,3,FALSE),IF($F1866&lt;&gt;"","No Cat",""))</f>
        <v>Direct Assign Items Not in RB</v>
      </c>
      <c r="P1866" s="736" t="s">
        <v>2468</v>
      </c>
      <c r="Q1866" s="442" t="str">
        <f>VLOOKUP($P1866,Allocators!$B$7:$F$19,5,FALSE)</f>
        <v>Not in Rate Base</v>
      </c>
      <c r="R1866" s="737">
        <f>VLOOKUP($P1866,Allocators!$B$7:$F$19,2,FALSE)</f>
        <v>0</v>
      </c>
      <c r="S1866" s="737">
        <f>VLOOKUP($P1866,Allocators!$B$7:$F$19,3,FALSE)</f>
        <v>0</v>
      </c>
      <c r="T1866" s="737">
        <f t="shared" si="861"/>
        <v>1</v>
      </c>
      <c r="U1866" s="2">
        <f t="shared" si="844"/>
        <v>0</v>
      </c>
      <c r="V1866" s="2">
        <f t="shared" si="845"/>
        <v>0</v>
      </c>
      <c r="W1866" s="2">
        <f t="shared" si="846"/>
        <v>87.712932916666702</v>
      </c>
      <c r="X1866" s="2">
        <f t="shared" si="839"/>
        <v>87.712932916666702</v>
      </c>
      <c r="Y1866" s="2">
        <f t="shared" si="847"/>
        <v>0</v>
      </c>
      <c r="Z1866" s="2">
        <f t="shared" si="848"/>
        <v>0</v>
      </c>
      <c r="AA1866" s="2">
        <f t="shared" si="849"/>
        <v>87.91386</v>
      </c>
      <c r="AB1866" s="2">
        <f t="shared" si="840"/>
        <v>87.91386</v>
      </c>
      <c r="AC1866" s="625">
        <v>45.753889999999998</v>
      </c>
      <c r="AD1866" s="625">
        <v>32.044730000000001</v>
      </c>
      <c r="AE1866" s="625">
        <v>41.981000000000002</v>
      </c>
      <c r="AF1866" s="625">
        <v>57.059230000000007</v>
      </c>
      <c r="AG1866" s="625">
        <v>197.06408999999999</v>
      </c>
      <c r="AH1866" s="625">
        <v>193.81166000000002</v>
      </c>
      <c r="AI1866" s="625">
        <v>148.97233</v>
      </c>
      <c r="AJ1866" s="625">
        <v>143.17170000000002</v>
      </c>
      <c r="AK1866" s="625">
        <v>16.877299999999998</v>
      </c>
      <c r="AL1866" s="625">
        <v>37.79889</v>
      </c>
      <c r="AM1866" s="625">
        <v>50.985030000000002</v>
      </c>
      <c r="AN1866" s="625">
        <v>65.955359999999999</v>
      </c>
      <c r="AO1866" s="625">
        <v>87.91386</v>
      </c>
      <c r="AP1866" s="41" t="str">
        <f t="shared" si="864"/>
        <v>Def TaxN</v>
      </c>
      <c r="AQ1866" s="41" t="str">
        <f t="shared" si="865"/>
        <v>Def TaxNN2Major Storm Reserve</v>
      </c>
      <c r="AR1866" s="41" t="str">
        <f t="shared" si="866"/>
        <v>N2Major Storm Reserve</v>
      </c>
    </row>
    <row r="1867" spans="1:44" s="41" customFormat="1" ht="12.75" customHeight="1">
      <c r="A1867" s="25" t="s">
        <v>1590</v>
      </c>
      <c r="B1867" s="25" t="str">
        <f t="shared" si="857"/>
        <v>Def Tax190511190-0830</v>
      </c>
      <c r="C1867" s="736">
        <v>190511</v>
      </c>
      <c r="D1867" s="735" t="s">
        <v>1999</v>
      </c>
      <c r="E1867" s="626">
        <v>0</v>
      </c>
      <c r="F1867" s="41" t="str">
        <f t="shared" si="855"/>
        <v>ADIT-REG-STATE-ELECTRIC</v>
      </c>
      <c r="G1867" s="41" t="s">
        <v>2000</v>
      </c>
      <c r="H1867" s="736" t="s">
        <v>1210</v>
      </c>
      <c r="I1867" s="25"/>
      <c r="J1867" s="25" t="str">
        <f t="shared" si="856"/>
        <v/>
      </c>
      <c r="K1867" s="442" t="str">
        <f t="shared" si="852"/>
        <v/>
      </c>
      <c r="L1867" s="736" t="s">
        <v>2443</v>
      </c>
      <c r="M1867" s="25" t="str">
        <f t="shared" si="838"/>
        <v>R</v>
      </c>
      <c r="N1867" s="25" t="str">
        <f>IF(L1867&lt;&gt;"",VLOOKUP(L1867,Categories!$B$2:$D$41,2,FALSE),IF(F1867&lt;&gt;"","No Cat",""))</f>
        <v>Rate Base</v>
      </c>
      <c r="O1867" s="25" t="str">
        <f>IF($L1867&lt;&gt;"",VLOOKUP($L1867,Categories!$B$2:$D$41,3,FALSE),IF($F1867&lt;&gt;"","No Cat",""))</f>
        <v>Deferred Income Taxes</v>
      </c>
      <c r="P1867" s="736" t="s">
        <v>2482</v>
      </c>
      <c r="Q1867" s="25" t="str">
        <f>VLOOKUP($P1867,Allocators!$B$7:$F$19,5,FALSE)</f>
        <v>Electric</v>
      </c>
      <c r="R1867" s="737">
        <f>VLOOKUP($P1867,Allocators!$B$7:$F$19,2,FALSE)</f>
        <v>1</v>
      </c>
      <c r="S1867" s="737">
        <f>VLOOKUP($P1867,Allocators!$B$7:$F$19,3,FALSE)</f>
        <v>0</v>
      </c>
      <c r="T1867" s="737" t="str">
        <f t="shared" si="861"/>
        <v>0.0%</v>
      </c>
      <c r="U1867" s="2" t="str">
        <f t="shared" si="844"/>
        <v/>
      </c>
      <c r="V1867" s="2" t="str">
        <f t="shared" si="845"/>
        <v/>
      </c>
      <c r="W1867" s="2" t="str">
        <f t="shared" si="846"/>
        <v/>
      </c>
      <c r="X1867" s="2">
        <f t="shared" si="839"/>
        <v>0</v>
      </c>
      <c r="Y1867" s="2" t="str">
        <f t="shared" si="847"/>
        <v/>
      </c>
      <c r="Z1867" s="2" t="str">
        <f t="shared" si="848"/>
        <v/>
      </c>
      <c r="AA1867" s="2" t="str">
        <f t="shared" si="849"/>
        <v/>
      </c>
      <c r="AB1867" s="2">
        <f t="shared" si="840"/>
        <v>0</v>
      </c>
      <c r="AC1867" s="625">
        <v>0</v>
      </c>
      <c r="AD1867" s="625">
        <v>0</v>
      </c>
      <c r="AE1867" s="625">
        <v>0</v>
      </c>
      <c r="AF1867" s="625">
        <v>0</v>
      </c>
      <c r="AG1867" s="625">
        <v>0</v>
      </c>
      <c r="AH1867" s="625">
        <v>0</v>
      </c>
      <c r="AI1867" s="625">
        <v>0</v>
      </c>
      <c r="AJ1867" s="625">
        <v>0</v>
      </c>
      <c r="AK1867" s="625">
        <v>0</v>
      </c>
      <c r="AL1867" s="625">
        <v>0</v>
      </c>
      <c r="AM1867" s="625">
        <v>0</v>
      </c>
      <c r="AN1867" s="625">
        <v>0</v>
      </c>
      <c r="AO1867" s="625">
        <v>0</v>
      </c>
      <c r="AP1867" s="41" t="str">
        <f t="shared" si="864"/>
        <v>Def TaxR</v>
      </c>
      <c r="AQ1867" s="41" t="str">
        <f t="shared" si="865"/>
        <v>Def TaxRR11SBC</v>
      </c>
      <c r="AR1867" s="41" t="str">
        <f t="shared" si="866"/>
        <v>R11SBC</v>
      </c>
    </row>
    <row r="1868" spans="1:44" s="41" customFormat="1" ht="12.75" customHeight="1">
      <c r="A1868" s="25" t="s">
        <v>1590</v>
      </c>
      <c r="B1868" s="25" t="str">
        <f t="shared" si="857"/>
        <v>Def Tax190511283-033BE030241</v>
      </c>
      <c r="C1868" s="736">
        <v>190511</v>
      </c>
      <c r="D1868" s="735" t="s">
        <v>2001</v>
      </c>
      <c r="E1868" s="41" t="s">
        <v>2002</v>
      </c>
      <c r="F1868" s="41" t="str">
        <f t="shared" si="855"/>
        <v>ADIT-REG-STATE-ELECTRIC</v>
      </c>
      <c r="G1868" s="41" t="s">
        <v>2003</v>
      </c>
      <c r="H1868" s="736" t="s">
        <v>2004</v>
      </c>
      <c r="I1868" s="25"/>
      <c r="J1868" s="25" t="str">
        <f t="shared" si="856"/>
        <v/>
      </c>
      <c r="K1868" s="442" t="str">
        <f t="shared" si="852"/>
        <v/>
      </c>
      <c r="L1868" s="736" t="s">
        <v>2443</v>
      </c>
      <c r="M1868" s="25" t="str">
        <f t="shared" si="838"/>
        <v>R</v>
      </c>
      <c r="N1868" s="25" t="str">
        <f>IF(L1868&lt;&gt;"",VLOOKUP(L1868,Categories!$B$2:$D$41,2,FALSE),IF(F1868&lt;&gt;"","No Cat",""))</f>
        <v>Rate Base</v>
      </c>
      <c r="O1868" s="25" t="str">
        <f>IF($L1868&lt;&gt;"",VLOOKUP($L1868,Categories!$B$2:$D$41,3,FALSE),IF($F1868&lt;&gt;"","No Cat",""))</f>
        <v>Deferred Income Taxes</v>
      </c>
      <c r="P1868" s="736" t="s">
        <v>2482</v>
      </c>
      <c r="Q1868" s="25" t="str">
        <f>VLOOKUP($P1868,Allocators!$B$7:$F$19,5,FALSE)</f>
        <v>Electric</v>
      </c>
      <c r="R1868" s="737">
        <f>VLOOKUP($P1868,Allocators!$B$7:$F$19,2,FALSE)</f>
        <v>1</v>
      </c>
      <c r="S1868" s="737">
        <f>VLOOKUP($P1868,Allocators!$B$7:$F$19,3,FALSE)</f>
        <v>0</v>
      </c>
      <c r="T1868" s="737" t="str">
        <f t="shared" si="861"/>
        <v>0.0%</v>
      </c>
      <c r="U1868" s="2">
        <f t="shared" si="844"/>
        <v>149.66788</v>
      </c>
      <c r="V1868" s="2">
        <f t="shared" si="845"/>
        <v>0</v>
      </c>
      <c r="W1868" s="2">
        <f t="shared" si="846"/>
        <v>0</v>
      </c>
      <c r="X1868" s="2">
        <f t="shared" si="839"/>
        <v>149.66788</v>
      </c>
      <c r="Y1868" s="2">
        <f t="shared" si="847"/>
        <v>162.96305000000001</v>
      </c>
      <c r="Z1868" s="2">
        <f t="shared" si="848"/>
        <v>0</v>
      </c>
      <c r="AA1868" s="2">
        <f t="shared" si="849"/>
        <v>0</v>
      </c>
      <c r="AB1868" s="2">
        <f t="shared" si="840"/>
        <v>162.96304999999998</v>
      </c>
      <c r="AC1868" s="625">
        <v>147.76857000000001</v>
      </c>
      <c r="AD1868" s="625">
        <v>147.76857000000001</v>
      </c>
      <c r="AE1868" s="625">
        <v>147.76857000000001</v>
      </c>
      <c r="AF1868" s="625">
        <v>147.76857000000001</v>
      </c>
      <c r="AG1868" s="625">
        <v>147.76857000000001</v>
      </c>
      <c r="AH1868" s="625">
        <v>147.76857000000001</v>
      </c>
      <c r="AI1868" s="625">
        <v>147.76857000000001</v>
      </c>
      <c r="AJ1868" s="625">
        <v>147.76857000000001</v>
      </c>
      <c r="AK1868" s="625">
        <v>147.76857000000001</v>
      </c>
      <c r="AL1868" s="625">
        <v>147.76857000000001</v>
      </c>
      <c r="AM1868" s="625">
        <v>147.76857000000001</v>
      </c>
      <c r="AN1868" s="625">
        <v>162.96304999999998</v>
      </c>
      <c r="AO1868" s="625">
        <v>162.96304999999998</v>
      </c>
      <c r="AP1868" s="41" t="str">
        <f t="shared" si="864"/>
        <v>Def TaxR</v>
      </c>
      <c r="AQ1868" s="41" t="str">
        <f t="shared" si="865"/>
        <v>Def TaxRR11Uranium Enrichment D&amp;D</v>
      </c>
      <c r="AR1868" s="41" t="str">
        <f t="shared" si="866"/>
        <v>R11Uranium Enrichment D&amp;D</v>
      </c>
    </row>
    <row r="1869" spans="1:44" s="41" customFormat="1" ht="12.75" customHeight="1">
      <c r="A1869" s="442" t="s">
        <v>1590</v>
      </c>
      <c r="B1869" s="442" t="str">
        <f t="shared" si="857"/>
        <v>Def Tax190511Veg MgmtBE030595</v>
      </c>
      <c r="C1869" s="736">
        <v>190511</v>
      </c>
      <c r="D1869" s="735" t="s">
        <v>2006</v>
      </c>
      <c r="E1869" s="626" t="s">
        <v>1211</v>
      </c>
      <c r="F1869" s="626" t="str">
        <f t="shared" si="855"/>
        <v>ADIT-REG-STATE-ELECTRIC</v>
      </c>
      <c r="G1869" s="626" t="s">
        <v>2006</v>
      </c>
      <c r="H1869" s="736" t="s">
        <v>1119</v>
      </c>
      <c r="I1869" s="442"/>
      <c r="J1869" s="442" t="s">
        <v>7</v>
      </c>
      <c r="K1869" s="442" t="str">
        <f t="shared" si="852"/>
        <v/>
      </c>
      <c r="L1869" s="736" t="s">
        <v>2436</v>
      </c>
      <c r="M1869" s="442" t="str">
        <f t="shared" si="838"/>
        <v>N</v>
      </c>
      <c r="N1869" s="442" t="str">
        <f>IF(L1869&lt;&gt;"",VLOOKUP(L1869,Categories!$B$2:$D$41,2,FALSE),IF(F1869&lt;&gt;"","No Cat",""))</f>
        <v>NRBASE</v>
      </c>
      <c r="O1869" s="442" t="str">
        <f>IF($L1869&lt;&gt;"",VLOOKUP($L1869,Categories!$B$2:$D$41,3,FALSE),IF($F1869&lt;&gt;"","No Cat",""))</f>
        <v>Deferrals Accruing Non-Cash Return   (other than ASGA)</v>
      </c>
      <c r="P1869" s="736" t="s">
        <v>2468</v>
      </c>
      <c r="Q1869" s="442" t="str">
        <f>VLOOKUP($P1869,Allocators!$B$7:$F$19,5,FALSE)</f>
        <v>Not in Rate Base</v>
      </c>
      <c r="R1869" s="737">
        <f>VLOOKUP($P1869,Allocators!$B$7:$F$19,2,FALSE)</f>
        <v>0</v>
      </c>
      <c r="S1869" s="737">
        <f>VLOOKUP($P1869,Allocators!$B$7:$F$19,3,FALSE)</f>
        <v>0</v>
      </c>
      <c r="T1869" s="737">
        <f t="shared" si="861"/>
        <v>1</v>
      </c>
      <c r="U1869" s="2">
        <f t="shared" si="844"/>
        <v>0</v>
      </c>
      <c r="V1869" s="2">
        <f t="shared" si="845"/>
        <v>0</v>
      </c>
      <c r="W1869" s="2">
        <f t="shared" si="846"/>
        <v>21.803236666666699</v>
      </c>
      <c r="X1869" s="2">
        <f t="shared" si="839"/>
        <v>21.803236666666699</v>
      </c>
      <c r="Y1869" s="2" t="str">
        <f t="shared" si="847"/>
        <v/>
      </c>
      <c r="Z1869" s="2" t="str">
        <f t="shared" si="848"/>
        <v/>
      </c>
      <c r="AA1869" s="2" t="str">
        <f t="shared" si="849"/>
        <v/>
      </c>
      <c r="AB1869" s="2">
        <f t="shared" si="840"/>
        <v>0</v>
      </c>
      <c r="AC1869" s="625">
        <v>0</v>
      </c>
      <c r="AD1869" s="625">
        <v>13.37832</v>
      </c>
      <c r="AE1869" s="625">
        <v>19.439730000000001</v>
      </c>
      <c r="AF1869" s="625">
        <v>22.414490000000001</v>
      </c>
      <c r="AG1869" s="625">
        <v>11.03199</v>
      </c>
      <c r="AH1869" s="625">
        <v>22.09637</v>
      </c>
      <c r="AI1869" s="625">
        <v>28.794550000000001</v>
      </c>
      <c r="AJ1869" s="625">
        <v>28.165119999999998</v>
      </c>
      <c r="AK1869" s="625">
        <v>22.24081</v>
      </c>
      <c r="AL1869" s="625">
        <v>37.698830000000001</v>
      </c>
      <c r="AM1869" s="625">
        <v>35.804850000000002</v>
      </c>
      <c r="AN1869" s="625">
        <v>20.573779999999999</v>
      </c>
      <c r="AO1869" s="625">
        <v>0</v>
      </c>
      <c r="AP1869" s="41" t="str">
        <f t="shared" si="864"/>
        <v>Def TaxN</v>
      </c>
      <c r="AQ1869" s="41" t="str">
        <f t="shared" si="865"/>
        <v>Def TaxNN10Vegetation Management</v>
      </c>
      <c r="AR1869" s="41" t="str">
        <f t="shared" si="866"/>
        <v>N10Vegetation ManagementNCR</v>
      </c>
    </row>
    <row r="1870" spans="1:44" s="41" customFormat="1" ht="12.75" customHeight="1">
      <c r="A1870" s="442" t="s">
        <v>1590</v>
      </c>
      <c r="B1870" s="442" t="str">
        <f t="shared" ref="B1870" si="867">CONCATENATE(A1870,C1870,D1870,E1870)</f>
        <v>Def Tax190511BE030587</v>
      </c>
      <c r="C1870" s="736">
        <v>190511</v>
      </c>
      <c r="D1870" s="735"/>
      <c r="E1870" s="626" t="s">
        <v>4274</v>
      </c>
      <c r="F1870" s="626" t="str">
        <f t="shared" si="855"/>
        <v>ADIT-REG-STATE-ELECTRIC</v>
      </c>
      <c r="G1870" s="626" t="s">
        <v>4273</v>
      </c>
      <c r="H1870" s="736" t="s">
        <v>818</v>
      </c>
      <c r="I1870" s="442"/>
      <c r="J1870" s="442" t="str">
        <f t="shared" ref="J1870" si="868">IF(L1870="N10","Y",IF(L1870="N8","Y",""))</f>
        <v/>
      </c>
      <c r="K1870" s="442" t="str">
        <f t="shared" si="852"/>
        <v/>
      </c>
      <c r="L1870" s="736" t="s">
        <v>2421</v>
      </c>
      <c r="M1870" s="442" t="str">
        <f t="shared" si="838"/>
        <v>N</v>
      </c>
      <c r="N1870" s="442" t="str">
        <f>IF(L1870&lt;&gt;"",VLOOKUP(L1870,Categories!$B$2:$D$41,2,FALSE),IF(F1870&lt;&gt;"","No Cat",""))</f>
        <v>NRBASE</v>
      </c>
      <c r="O1870" s="442" t="str">
        <f>IF($L1870&lt;&gt;"",VLOOKUP($L1870,Categories!$B$2:$D$41,3,FALSE),IF($F1870&lt;&gt;"","No Cat",""))</f>
        <v>Direct Assign Items Not in RB</v>
      </c>
      <c r="P1870" s="736" t="s">
        <v>2468</v>
      </c>
      <c r="Q1870" s="442" t="str">
        <f>VLOOKUP($P1870,Allocators!$B$7:$F$19,5,FALSE)</f>
        <v>Not in Rate Base</v>
      </c>
      <c r="R1870" s="737">
        <f>VLOOKUP($P1870,Allocators!$B$7:$F$19,2,FALSE)</f>
        <v>0</v>
      </c>
      <c r="S1870" s="737">
        <f>VLOOKUP($P1870,Allocators!$B$7:$F$19,3,FALSE)</f>
        <v>0</v>
      </c>
      <c r="T1870" s="737">
        <f t="shared" si="861"/>
        <v>1</v>
      </c>
      <c r="U1870" s="2">
        <f t="shared" si="844"/>
        <v>0</v>
      </c>
      <c r="V1870" s="2">
        <f t="shared" si="845"/>
        <v>0</v>
      </c>
      <c r="W1870" s="2">
        <f t="shared" si="846"/>
        <v>0.28826000000000002</v>
      </c>
      <c r="X1870" s="2">
        <f t="shared" si="839"/>
        <v>0.28826000000000002</v>
      </c>
      <c r="Y1870" s="2">
        <f t="shared" si="847"/>
        <v>0</v>
      </c>
      <c r="Z1870" s="2">
        <f t="shared" si="848"/>
        <v>0</v>
      </c>
      <c r="AA1870" s="2">
        <f t="shared" si="849"/>
        <v>0.28826000000000002</v>
      </c>
      <c r="AB1870" s="2">
        <f t="shared" si="840"/>
        <v>0.28826000000000002</v>
      </c>
      <c r="AC1870" s="625">
        <v>0.28826000000000002</v>
      </c>
      <c r="AD1870" s="625">
        <v>0.28826000000000002</v>
      </c>
      <c r="AE1870" s="625">
        <v>0.28826000000000002</v>
      </c>
      <c r="AF1870" s="625">
        <v>0.28826000000000002</v>
      </c>
      <c r="AG1870" s="625">
        <v>0.28826000000000002</v>
      </c>
      <c r="AH1870" s="625">
        <v>0.28826000000000002</v>
      </c>
      <c r="AI1870" s="625">
        <v>0.28826000000000002</v>
      </c>
      <c r="AJ1870" s="625">
        <v>0.28826000000000002</v>
      </c>
      <c r="AK1870" s="625">
        <v>0.28826000000000002</v>
      </c>
      <c r="AL1870" s="625">
        <v>0.28826000000000002</v>
      </c>
      <c r="AM1870" s="625">
        <v>0.28826000000000002</v>
      </c>
      <c r="AN1870" s="625">
        <v>0.28826000000000002</v>
      </c>
      <c r="AO1870" s="625">
        <v>0.28826000000000002</v>
      </c>
      <c r="AP1870" s="41" t="str">
        <f t="shared" si="864"/>
        <v>Def TaxN</v>
      </c>
      <c r="AQ1870" s="41" t="str">
        <f t="shared" si="865"/>
        <v>Def TaxNN2MHP Meter Deferral</v>
      </c>
      <c r="AR1870" s="41" t="str">
        <f t="shared" si="866"/>
        <v>N2MHP Meter Deferral</v>
      </c>
    </row>
    <row r="1871" spans="1:44" s="41" customFormat="1" ht="12.75" customHeight="1">
      <c r="A1871" s="442" t="s">
        <v>1590</v>
      </c>
      <c r="B1871" s="442" t="str">
        <f t="shared" ref="B1871" si="869">CONCATENATE(A1871,C1871,D1871,E1871)</f>
        <v>Def Tax190511BE030223</v>
      </c>
      <c r="C1871" s="736">
        <v>190511</v>
      </c>
      <c r="D1871" s="735"/>
      <c r="E1871" s="626" t="s">
        <v>986</v>
      </c>
      <c r="F1871" s="626" t="str">
        <f t="shared" si="855"/>
        <v>ADIT-REG-STATE-ELECTRIC</v>
      </c>
      <c r="G1871" s="626" t="s">
        <v>4364</v>
      </c>
      <c r="H1871" s="736" t="s">
        <v>4371</v>
      </c>
      <c r="I1871" s="442"/>
      <c r="J1871" s="442" t="s">
        <v>7</v>
      </c>
      <c r="K1871" s="442"/>
      <c r="L1871" s="736" t="s">
        <v>2436</v>
      </c>
      <c r="M1871" s="442" t="str">
        <f t="shared" si="838"/>
        <v>N</v>
      </c>
      <c r="N1871" s="442" t="str">
        <f>IF(L1871&lt;&gt;"",VLOOKUP(L1871,Categories!$B$2:$D$41,2,FALSE),IF(F1871&lt;&gt;"","No Cat",""))</f>
        <v>NRBASE</v>
      </c>
      <c r="O1871" s="442" t="str">
        <f>IF($L1871&lt;&gt;"",VLOOKUP($L1871,Categories!$B$2:$D$41,3,FALSE),IF($F1871&lt;&gt;"","No Cat",""))</f>
        <v>Deferrals Accruing Non-Cash Return   (other than ASGA)</v>
      </c>
      <c r="P1871" s="736" t="s">
        <v>2468</v>
      </c>
      <c r="Q1871" s="442" t="str">
        <f>VLOOKUP($P1871,Allocators!$B$7:$F$19,5,FALSE)</f>
        <v>Not in Rate Base</v>
      </c>
      <c r="R1871" s="737">
        <f>VLOOKUP($P1871,Allocators!$B$7:$F$19,2,FALSE)</f>
        <v>0</v>
      </c>
      <c r="S1871" s="737">
        <f>VLOOKUP($P1871,Allocators!$B$7:$F$19,3,FALSE)</f>
        <v>0</v>
      </c>
      <c r="T1871" s="737">
        <f t="shared" ref="T1871:T1874" si="870">IF(P1871="N",1,"0.0%")</f>
        <v>1</v>
      </c>
      <c r="U1871" s="2">
        <f t="shared" si="844"/>
        <v>0</v>
      </c>
      <c r="V1871" s="2">
        <f t="shared" si="845"/>
        <v>0</v>
      </c>
      <c r="W1871" s="2">
        <f t="shared" si="846"/>
        <v>-60.908593750000001</v>
      </c>
      <c r="X1871" s="2">
        <f t="shared" si="839"/>
        <v>-60.908593750000001</v>
      </c>
      <c r="Y1871" s="2">
        <f t="shared" si="847"/>
        <v>0</v>
      </c>
      <c r="Z1871" s="2">
        <f t="shared" si="848"/>
        <v>0</v>
      </c>
      <c r="AA1871" s="2">
        <f t="shared" si="849"/>
        <v>40.43103</v>
      </c>
      <c r="AB1871" s="2">
        <f t="shared" si="840"/>
        <v>40.43103</v>
      </c>
      <c r="AC1871" s="625">
        <v>-168.06855999999999</v>
      </c>
      <c r="AD1871" s="625">
        <v>-168.06855999999999</v>
      </c>
      <c r="AE1871" s="625">
        <v>-131.79667000000001</v>
      </c>
      <c r="AF1871" s="625">
        <v>-113.5064</v>
      </c>
      <c r="AG1871" s="625">
        <v>-95.112479999999991</v>
      </c>
      <c r="AH1871" s="625">
        <v>-76.822100000000006</v>
      </c>
      <c r="AI1871" s="625">
        <v>-58.220279999999995</v>
      </c>
      <c r="AJ1871" s="625">
        <v>-39.513040000000004</v>
      </c>
      <c r="AK1871" s="625">
        <v>-20.699780000000001</v>
      </c>
      <c r="AL1871" s="625">
        <v>-1.7799</v>
      </c>
      <c r="AM1871" s="625">
        <v>17.247199999999999</v>
      </c>
      <c r="AN1871" s="625">
        <v>21.187650000000001</v>
      </c>
      <c r="AO1871" s="625">
        <v>40.43103</v>
      </c>
      <c r="AP1871" s="41" t="str">
        <f t="shared" si="864"/>
        <v>Def TaxN</v>
      </c>
      <c r="AQ1871" s="41" t="str">
        <f t="shared" si="865"/>
        <v>Def TaxNN10Allegany Sale Gain/Loss</v>
      </c>
      <c r="AR1871" s="41" t="str">
        <f t="shared" si="866"/>
        <v>N10Allegany Sale Gain/LossNCR</v>
      </c>
    </row>
    <row r="1872" spans="1:44" s="41" customFormat="1" ht="12.75" customHeight="1">
      <c r="A1872" s="442" t="s">
        <v>1590</v>
      </c>
      <c r="B1872" s="442" t="str">
        <f t="shared" ref="B1872" si="871">CONCATENATE(A1872,C1872,D1872,E1872)</f>
        <v>Def Tax190511BT010391</v>
      </c>
      <c r="C1872" s="736">
        <v>190511</v>
      </c>
      <c r="D1872" s="735"/>
      <c r="E1872" s="626" t="s">
        <v>4416</v>
      </c>
      <c r="F1872" s="626" t="str">
        <f t="shared" si="855"/>
        <v>ADIT-REG-STATE-ELECTRIC</v>
      </c>
      <c r="G1872" s="626" t="s">
        <v>4415</v>
      </c>
      <c r="H1872" s="736" t="s">
        <v>4342</v>
      </c>
      <c r="I1872" s="442"/>
      <c r="J1872" s="442"/>
      <c r="K1872" s="442"/>
      <c r="L1872" s="736" t="s">
        <v>2443</v>
      </c>
      <c r="M1872" s="25" t="str">
        <f t="shared" si="838"/>
        <v>R</v>
      </c>
      <c r="N1872" s="25" t="str">
        <f>IF(L1872&lt;&gt;"",VLOOKUP(L1872,Categories!$B$2:$D$41,2,FALSE),IF(F1872&lt;&gt;"","No Cat",""))</f>
        <v>Rate Base</v>
      </c>
      <c r="O1872" s="25" t="str">
        <f>IF($L1872&lt;&gt;"",VLOOKUP($L1872,Categories!$B$2:$D$41,3,FALSE),IF($F1872&lt;&gt;"","No Cat",""))</f>
        <v>Deferred Income Taxes</v>
      </c>
      <c r="P1872" s="736" t="s">
        <v>2482</v>
      </c>
      <c r="Q1872" s="25" t="str">
        <f>VLOOKUP($P1872,Allocators!$B$7:$F$19,5,FALSE)</f>
        <v>Electric</v>
      </c>
      <c r="R1872" s="737">
        <f>VLOOKUP($P1872,Allocators!$B$7:$F$19,2,FALSE)</f>
        <v>1</v>
      </c>
      <c r="S1872" s="737">
        <f>VLOOKUP($P1872,Allocators!$B$7:$F$19,3,FALSE)</f>
        <v>0</v>
      </c>
      <c r="T1872" s="737" t="str">
        <f t="shared" si="870"/>
        <v>0.0%</v>
      </c>
      <c r="U1872" s="2">
        <f t="shared" si="844"/>
        <v>659.880901666667</v>
      </c>
      <c r="V1872" s="2">
        <f t="shared" si="845"/>
        <v>0</v>
      </c>
      <c r="W1872" s="2">
        <f t="shared" si="846"/>
        <v>0</v>
      </c>
      <c r="X1872" s="2">
        <f t="shared" si="839"/>
        <v>659.880901666667</v>
      </c>
      <c r="Y1872" s="2">
        <f t="shared" si="847"/>
        <v>1338.35</v>
      </c>
      <c r="Z1872" s="2">
        <f t="shared" si="848"/>
        <v>0</v>
      </c>
      <c r="AA1872" s="2">
        <f t="shared" si="849"/>
        <v>0</v>
      </c>
      <c r="AB1872" s="2">
        <f t="shared" si="840"/>
        <v>1338.35</v>
      </c>
      <c r="AC1872" s="625"/>
      <c r="AD1872" s="625"/>
      <c r="AE1872" s="625">
        <v>223.05832999999998</v>
      </c>
      <c r="AF1872" s="625">
        <v>334.58749999999998</v>
      </c>
      <c r="AG1872" s="625">
        <v>446.11667</v>
      </c>
      <c r="AH1872" s="625">
        <v>557.64582999999993</v>
      </c>
      <c r="AI1872" s="625">
        <v>669.17499999999995</v>
      </c>
      <c r="AJ1872" s="625">
        <v>780.70417000000009</v>
      </c>
      <c r="AK1872" s="625">
        <v>892.23332999999991</v>
      </c>
      <c r="AL1872" s="625">
        <v>1003.7625</v>
      </c>
      <c r="AM1872" s="625">
        <v>1115.2916599999999</v>
      </c>
      <c r="AN1872" s="625">
        <v>1226.8208300000001</v>
      </c>
      <c r="AO1872" s="625">
        <v>1338.35</v>
      </c>
      <c r="AP1872" s="41" t="str">
        <f t="shared" si="864"/>
        <v>Def TaxR</v>
      </c>
      <c r="AQ1872" s="41" t="str">
        <f t="shared" si="865"/>
        <v>Def TaxRR11Continuation of Current Amorts (Until New Rates are Set)</v>
      </c>
      <c r="AR1872" s="41" t="str">
        <f t="shared" si="866"/>
        <v>R11Continuation of Current Amorts (Until New Rates are Set)</v>
      </c>
    </row>
    <row r="1873" spans="1:44" s="41" customFormat="1" ht="12.75" customHeight="1">
      <c r="A1873" s="442" t="s">
        <v>1590</v>
      </c>
      <c r="B1873" s="442" t="str">
        <f t="shared" ref="B1873" si="872">CONCATENATE(A1873,C1873,D1873,E1873)</f>
        <v>Def Tax190511BT010392</v>
      </c>
      <c r="C1873" s="736">
        <v>190511</v>
      </c>
      <c r="D1873" s="735"/>
      <c r="E1873" s="626" t="s">
        <v>4450</v>
      </c>
      <c r="F1873" s="626" t="str">
        <f t="shared" si="855"/>
        <v>ADIT-REG-STATE-ELECTRIC</v>
      </c>
      <c r="G1873" s="626" t="s">
        <v>4453</v>
      </c>
      <c r="H1873" s="736" t="s">
        <v>4455</v>
      </c>
      <c r="I1873" s="25"/>
      <c r="J1873" s="25"/>
      <c r="K1873" s="442"/>
      <c r="L1873" s="736" t="s">
        <v>2443</v>
      </c>
      <c r="M1873" s="25" t="str">
        <f t="shared" ref="M1873:M1874" si="873">LEFT(L1873,1)</f>
        <v>R</v>
      </c>
      <c r="N1873" s="25" t="str">
        <f>IF(L1873&lt;&gt;"",VLOOKUP(L1873,Categories!$B$2:$D$41,2,FALSE),IF(F1873&lt;&gt;"","No Cat",""))</f>
        <v>Rate Base</v>
      </c>
      <c r="O1873" s="25" t="str">
        <f>IF($L1873&lt;&gt;"",VLOOKUP($L1873,Categories!$B$2:$D$41,3,FALSE),IF($F1873&lt;&gt;"","No Cat",""))</f>
        <v>Deferred Income Taxes</v>
      </c>
      <c r="P1873" s="736" t="s">
        <v>2482</v>
      </c>
      <c r="Q1873" s="25" t="str">
        <f>VLOOKUP($P1873,Allocators!$B$7:$F$19,5,FALSE)</f>
        <v>Electric</v>
      </c>
      <c r="R1873" s="737">
        <f>VLOOKUP($P1873,Allocators!$B$7:$F$19,2,FALSE)</f>
        <v>1</v>
      </c>
      <c r="S1873" s="737">
        <f>VLOOKUP($P1873,Allocators!$B$7:$F$19,3,FALSE)</f>
        <v>0</v>
      </c>
      <c r="T1873" s="737" t="str">
        <f t="shared" si="870"/>
        <v>0.0%</v>
      </c>
      <c r="U1873" s="2">
        <f t="shared" si="844"/>
        <v>82.499041666666699</v>
      </c>
      <c r="V1873" s="2">
        <f t="shared" si="845"/>
        <v>0</v>
      </c>
      <c r="W1873" s="2">
        <f t="shared" si="846"/>
        <v>0</v>
      </c>
      <c r="X1873" s="2">
        <f t="shared" ref="X1873:X1937" si="874">IF(ISERROR(ROUND((SUM(AC1873:AO1873)-((AC1873+AO1873))/2)/12,15)),"",ROUND((SUM(AC1873:AO1873)-((AC1873+AO1873))/2)/12,15))</f>
        <v>82.499041666666699</v>
      </c>
      <c r="Y1873" s="2">
        <f t="shared" si="847"/>
        <v>107.849</v>
      </c>
      <c r="Z1873" s="2">
        <f t="shared" si="848"/>
        <v>0</v>
      </c>
      <c r="AA1873" s="2">
        <f t="shared" si="849"/>
        <v>0</v>
      </c>
      <c r="AB1873" s="2">
        <f t="shared" ref="AB1873:AB1937" si="875">IF(AO1873="",0,+AO1873)</f>
        <v>107.849</v>
      </c>
      <c r="AC1873" s="625"/>
      <c r="AD1873" s="625"/>
      <c r="AE1873" s="625"/>
      <c r="AF1873" s="625"/>
      <c r="AG1873" s="625"/>
      <c r="AH1873" s="625"/>
      <c r="AI1873" s="625">
        <v>165.643</v>
      </c>
      <c r="AJ1873" s="625">
        <v>165.643</v>
      </c>
      <c r="AK1873" s="625">
        <v>165.643</v>
      </c>
      <c r="AL1873" s="625">
        <v>165.643</v>
      </c>
      <c r="AM1873" s="625">
        <v>165.643</v>
      </c>
      <c r="AN1873" s="625">
        <v>107.849</v>
      </c>
      <c r="AO1873" s="625">
        <v>107.849</v>
      </c>
      <c r="AP1873" s="41" t="str">
        <f t="shared" si="864"/>
        <v>Def TaxR</v>
      </c>
      <c r="AQ1873" s="41" t="str">
        <f t="shared" si="865"/>
        <v>Def TaxRR11Excess DIT - New York State Tax Rate change</v>
      </c>
      <c r="AR1873" s="41" t="str">
        <f t="shared" si="866"/>
        <v>R11Excess DIT - New York State Tax Rate change</v>
      </c>
    </row>
    <row r="1874" spans="1:44" s="41" customFormat="1" ht="12.75" customHeight="1">
      <c r="A1874" s="442" t="s">
        <v>1590</v>
      </c>
      <c r="B1874" s="442" t="str">
        <f t="shared" ref="B1874:B1876" si="876">CONCATENATE(A1874,C1874,D1874,E1874)</f>
        <v>Def Tax190511BE030583</v>
      </c>
      <c r="C1874" s="736">
        <v>190511</v>
      </c>
      <c r="D1874" s="735"/>
      <c r="E1874" s="626" t="s">
        <v>4493</v>
      </c>
      <c r="F1874" s="626" t="str">
        <f t="shared" si="855"/>
        <v>ADIT-REG-STATE-ELECTRIC</v>
      </c>
      <c r="G1874" s="626" t="s">
        <v>4489</v>
      </c>
      <c r="H1874" s="736" t="s">
        <v>2700</v>
      </c>
      <c r="I1874" s="25"/>
      <c r="J1874" s="442" t="s">
        <v>7</v>
      </c>
      <c r="K1874" s="442"/>
      <c r="L1874" s="736" t="s">
        <v>2436</v>
      </c>
      <c r="M1874" s="25" t="str">
        <f t="shared" si="873"/>
        <v>N</v>
      </c>
      <c r="N1874" s="25" t="str">
        <f>IF(L1874&lt;&gt;"",VLOOKUP(L1874,Categories!$B$2:$D$41,2,FALSE),IF(F1874&lt;&gt;"","No Cat",""))</f>
        <v>NRBASE</v>
      </c>
      <c r="O1874" s="25" t="str">
        <f>IF($L1874&lt;&gt;"",VLOOKUP($L1874,Categories!$B$2:$D$41,3,FALSE),IF($F1874&lt;&gt;"","No Cat",""))</f>
        <v>Deferrals Accruing Non-Cash Return   (other than ASGA)</v>
      </c>
      <c r="P1874" s="736" t="s">
        <v>2468</v>
      </c>
      <c r="Q1874" s="25" t="str">
        <f>VLOOKUP($P1874,Allocators!$B$7:$F$19,5,FALSE)</f>
        <v>Not in Rate Base</v>
      </c>
      <c r="R1874" s="737">
        <f>VLOOKUP($P1874,Allocators!$B$7:$F$19,2,FALSE)</f>
        <v>0</v>
      </c>
      <c r="S1874" s="737">
        <f>VLOOKUP($P1874,Allocators!$B$7:$F$19,3,FALSE)</f>
        <v>0</v>
      </c>
      <c r="T1874" s="737">
        <f t="shared" si="870"/>
        <v>1</v>
      </c>
      <c r="U1874" s="2">
        <f t="shared" si="844"/>
        <v>0</v>
      </c>
      <c r="V1874" s="2">
        <f t="shared" si="845"/>
        <v>0</v>
      </c>
      <c r="W1874" s="2">
        <f t="shared" si="846"/>
        <v>3.2949995833333299</v>
      </c>
      <c r="X1874" s="2">
        <f t="shared" si="874"/>
        <v>3.2949995833333299</v>
      </c>
      <c r="Y1874" s="2">
        <f t="shared" si="847"/>
        <v>0</v>
      </c>
      <c r="Z1874" s="2">
        <f t="shared" si="848"/>
        <v>0</v>
      </c>
      <c r="AA1874" s="2">
        <f t="shared" si="849"/>
        <v>13.69041</v>
      </c>
      <c r="AB1874" s="2">
        <f t="shared" si="875"/>
        <v>13.69041</v>
      </c>
      <c r="AC1874" s="625"/>
      <c r="AD1874" s="625"/>
      <c r="AE1874" s="625"/>
      <c r="AF1874" s="625"/>
      <c r="AG1874" s="625"/>
      <c r="AH1874" s="625"/>
      <c r="AI1874" s="625"/>
      <c r="AJ1874" s="625"/>
      <c r="AK1874" s="625"/>
      <c r="AL1874" s="625">
        <v>13.286760000000001</v>
      </c>
      <c r="AM1874" s="625">
        <v>12.388579999999999</v>
      </c>
      <c r="AN1874" s="625">
        <v>7.01945</v>
      </c>
      <c r="AO1874" s="625">
        <v>13.69041</v>
      </c>
      <c r="AP1874" s="41" t="str">
        <f t="shared" si="864"/>
        <v>Def TaxN</v>
      </c>
      <c r="AQ1874" s="41" t="str">
        <f t="shared" si="865"/>
        <v>Def TaxNN10System Benefits Charge</v>
      </c>
      <c r="AR1874" s="41" t="str">
        <f t="shared" si="866"/>
        <v>N10System Benefits ChargeNCR</v>
      </c>
    </row>
    <row r="1875" spans="1:44" s="41" customFormat="1" ht="12.75" customHeight="1">
      <c r="A1875" s="442" t="s">
        <v>1590</v>
      </c>
      <c r="B1875" s="442" t="str">
        <f t="shared" si="876"/>
        <v>Def Tax190511BE030939</v>
      </c>
      <c r="C1875" s="736">
        <v>190511</v>
      </c>
      <c r="D1875" s="735"/>
      <c r="E1875" s="626" t="s">
        <v>4492</v>
      </c>
      <c r="F1875" s="626" t="str">
        <f t="shared" si="855"/>
        <v>ADIT-REG-STATE-ELECTRIC</v>
      </c>
      <c r="G1875" s="626" t="s">
        <v>2699</v>
      </c>
      <c r="H1875" s="736" t="s">
        <v>2699</v>
      </c>
      <c r="I1875" s="25"/>
      <c r="J1875" s="25"/>
      <c r="K1875" s="442"/>
      <c r="L1875" s="736" t="s">
        <v>2443</v>
      </c>
      <c r="M1875" s="25" t="str">
        <f t="shared" ref="M1875" si="877">LEFT(L1875,1)</f>
        <v>R</v>
      </c>
      <c r="N1875" s="25" t="str">
        <f>IF(L1875&lt;&gt;"",VLOOKUP(L1875,Categories!$B$2:$D$41,2,FALSE),IF(F1875&lt;&gt;"","No Cat",""))</f>
        <v>Rate Base</v>
      </c>
      <c r="O1875" s="25" t="str">
        <f>IF($L1875&lt;&gt;"",VLOOKUP($L1875,Categories!$B$2:$D$41,3,FALSE),IF($F1875&lt;&gt;"","No Cat",""))</f>
        <v>Deferred Income Taxes</v>
      </c>
      <c r="P1875" s="736" t="s">
        <v>2482</v>
      </c>
      <c r="Q1875" s="25" t="str">
        <f>VLOOKUP($P1875,Allocators!$B$7:$F$19,5,FALSE)</f>
        <v>Electric</v>
      </c>
      <c r="R1875" s="737">
        <f>VLOOKUP($P1875,Allocators!$B$7:$F$19,2,FALSE)</f>
        <v>1</v>
      </c>
      <c r="S1875" s="737">
        <f>VLOOKUP($P1875,Allocators!$B$7:$F$19,3,FALSE)</f>
        <v>0</v>
      </c>
      <c r="T1875" s="737" t="str">
        <f t="shared" ref="T1875" si="878">IF(P1875="N",1,"0.0%")</f>
        <v>0.0%</v>
      </c>
      <c r="U1875" s="2">
        <f t="shared" si="844"/>
        <v>-4.12127041666667</v>
      </c>
      <c r="V1875" s="2">
        <f t="shared" si="845"/>
        <v>0</v>
      </c>
      <c r="W1875" s="2">
        <f t="shared" si="846"/>
        <v>0</v>
      </c>
      <c r="X1875" s="2">
        <f t="shared" si="874"/>
        <v>-4.12127041666667</v>
      </c>
      <c r="Y1875" s="2">
        <f t="shared" si="847"/>
        <v>-18.198229999999999</v>
      </c>
      <c r="Z1875" s="2">
        <f t="shared" si="848"/>
        <v>0</v>
      </c>
      <c r="AA1875" s="2">
        <f t="shared" si="849"/>
        <v>0</v>
      </c>
      <c r="AB1875" s="2">
        <f t="shared" si="875"/>
        <v>-18.198229999999999</v>
      </c>
      <c r="AC1875" s="625"/>
      <c r="AD1875" s="625"/>
      <c r="AE1875" s="625"/>
      <c r="AF1875" s="625"/>
      <c r="AG1875" s="625"/>
      <c r="AH1875" s="625"/>
      <c r="AI1875" s="625"/>
      <c r="AJ1875" s="625"/>
      <c r="AK1875" s="625"/>
      <c r="AL1875" s="625">
        <v>-3.0747300000000002</v>
      </c>
      <c r="AM1875" s="625">
        <v>-14.733139999999999</v>
      </c>
      <c r="AN1875" s="625">
        <v>-22.548259999999999</v>
      </c>
      <c r="AO1875" s="625">
        <v>-18.198229999999999</v>
      </c>
      <c r="AP1875" s="41" t="str">
        <f t="shared" si="864"/>
        <v>Def TaxR</v>
      </c>
      <c r="AQ1875" s="41" t="str">
        <f t="shared" si="865"/>
        <v>Def TaxRR11Renewable Portfolio Standard</v>
      </c>
      <c r="AR1875" s="41" t="str">
        <f t="shared" si="866"/>
        <v>R11Renewable Portfolio Standard</v>
      </c>
    </row>
    <row r="1876" spans="1:44" s="41" customFormat="1" ht="12.75" customHeight="1">
      <c r="A1876" s="442" t="s">
        <v>1590</v>
      </c>
      <c r="B1876" s="442" t="str">
        <f t="shared" si="876"/>
        <v>Def Tax190511BT010299</v>
      </c>
      <c r="C1876" s="736">
        <v>190511</v>
      </c>
      <c r="D1876" s="735"/>
      <c r="E1876" s="626" t="s">
        <v>4491</v>
      </c>
      <c r="F1876" s="626" t="str">
        <f t="shared" si="855"/>
        <v>ADIT-REG-STATE-ELECTRIC</v>
      </c>
      <c r="G1876" s="626" t="s">
        <v>4490</v>
      </c>
      <c r="H1876" s="736" t="s">
        <v>1131</v>
      </c>
      <c r="I1876" s="25"/>
      <c r="J1876" s="442" t="s">
        <v>7</v>
      </c>
      <c r="K1876" s="442"/>
      <c r="L1876" s="736" t="s">
        <v>2436</v>
      </c>
      <c r="M1876" s="442" t="str">
        <f t="shared" ref="M1876" si="879">LEFT(L1876,1)</f>
        <v>N</v>
      </c>
      <c r="N1876" s="442" t="str">
        <f>IF(L1876&lt;&gt;"",VLOOKUP(L1876,Categories!$B$2:$D$41,2,FALSE),IF(F1876&lt;&gt;"","No Cat",""))</f>
        <v>NRBASE</v>
      </c>
      <c r="O1876" s="442" t="str">
        <f>IF($L1876&lt;&gt;"",VLOOKUP($L1876,Categories!$B$2:$D$41,3,FALSE),IF($F1876&lt;&gt;"","No Cat",""))</f>
        <v>Deferrals Accruing Non-Cash Return   (other than ASGA)</v>
      </c>
      <c r="P1876" s="736" t="s">
        <v>2468</v>
      </c>
      <c r="Q1876" s="442" t="str">
        <f>VLOOKUP($P1876,Allocators!$B$7:$F$19,5,FALSE)</f>
        <v>Not in Rate Base</v>
      </c>
      <c r="R1876" s="737">
        <f>VLOOKUP($P1876,Allocators!$B$7:$F$19,2,FALSE)</f>
        <v>0</v>
      </c>
      <c r="S1876" s="737">
        <f>VLOOKUP($P1876,Allocators!$B$7:$F$19,3,FALSE)</f>
        <v>0</v>
      </c>
      <c r="T1876" s="737">
        <f t="shared" ref="T1876" si="880">IF(P1876="N",1,"0.0%")</f>
        <v>1</v>
      </c>
      <c r="U1876" s="2">
        <f t="shared" si="844"/>
        <v>0</v>
      </c>
      <c r="V1876" s="2">
        <f t="shared" si="845"/>
        <v>0</v>
      </c>
      <c r="W1876" s="2">
        <f t="shared" si="846"/>
        <v>197.969220833333</v>
      </c>
      <c r="X1876" s="2">
        <f t="shared" si="874"/>
        <v>197.969220833333</v>
      </c>
      <c r="Y1876" s="2">
        <f t="shared" si="847"/>
        <v>0</v>
      </c>
      <c r="Z1876" s="2">
        <f t="shared" si="848"/>
        <v>0</v>
      </c>
      <c r="AA1876" s="2">
        <f t="shared" si="849"/>
        <v>653.58381999999995</v>
      </c>
      <c r="AB1876" s="2">
        <f t="shared" si="875"/>
        <v>653.58381999999995</v>
      </c>
      <c r="AC1876" s="625"/>
      <c r="AD1876" s="625"/>
      <c r="AE1876" s="625"/>
      <c r="AF1876" s="625"/>
      <c r="AG1876" s="625"/>
      <c r="AH1876" s="625"/>
      <c r="AI1876" s="625"/>
      <c r="AJ1876" s="625"/>
      <c r="AK1876" s="625"/>
      <c r="AL1876" s="625">
        <v>680.57889</v>
      </c>
      <c r="AM1876" s="625">
        <v>692.01495999999997</v>
      </c>
      <c r="AN1876" s="625">
        <v>676.24489000000005</v>
      </c>
      <c r="AO1876" s="625">
        <v>653.58381999999995</v>
      </c>
      <c r="AP1876" s="41" t="str">
        <f t="shared" si="864"/>
        <v>Def TaxN</v>
      </c>
      <c r="AQ1876" s="41" t="str">
        <f t="shared" si="865"/>
        <v>Def TaxNN10Energy Efficiency Portfolio Standard</v>
      </c>
      <c r="AR1876" s="41" t="str">
        <f t="shared" si="866"/>
        <v>N10Energy Efficiency Portfolio StandardNCR</v>
      </c>
    </row>
    <row r="1877" spans="1:44" s="41" customFormat="1" ht="12.75" customHeight="1">
      <c r="A1877" s="25" t="s">
        <v>1590</v>
      </c>
      <c r="B1877" s="25" t="str">
        <f t="shared" si="857"/>
        <v>Def Tax190511283-044BTMISCDT</v>
      </c>
      <c r="C1877" s="736">
        <v>190511</v>
      </c>
      <c r="D1877" s="735" t="s">
        <v>2007</v>
      </c>
      <c r="E1877" s="41" t="s">
        <v>1971</v>
      </c>
      <c r="F1877" s="41" t="str">
        <f t="shared" si="855"/>
        <v>ADIT-REG-STATE-ELECTRIC</v>
      </c>
      <c r="G1877" s="41" t="s">
        <v>2008</v>
      </c>
      <c r="H1877" s="736" t="s">
        <v>2009</v>
      </c>
      <c r="I1877" s="25"/>
      <c r="J1877" s="25" t="str">
        <f t="shared" si="856"/>
        <v/>
      </c>
      <c r="K1877" s="442" t="str">
        <f t="shared" si="852"/>
        <v/>
      </c>
      <c r="L1877" s="736" t="s">
        <v>2443</v>
      </c>
      <c r="M1877" s="25" t="str">
        <f t="shared" si="838"/>
        <v>R</v>
      </c>
      <c r="N1877" s="25" t="str">
        <f>IF(L1877&lt;&gt;"",VLOOKUP(L1877,Categories!$B$2:$D$41,2,FALSE),IF(F1877&lt;&gt;"","No Cat",""))</f>
        <v>Rate Base</v>
      </c>
      <c r="O1877" s="25" t="str">
        <f>IF($L1877&lt;&gt;"",VLOOKUP($L1877,Categories!$B$2:$D$41,3,FALSE),IF($F1877&lt;&gt;"","No Cat",""))</f>
        <v>Deferred Income Taxes</v>
      </c>
      <c r="P1877" s="736" t="s">
        <v>2482</v>
      </c>
      <c r="Q1877" s="25" t="str">
        <f>VLOOKUP($P1877,Allocators!$B$7:$F$19,5,FALSE)</f>
        <v>Electric</v>
      </c>
      <c r="R1877" s="737">
        <f>VLOOKUP($P1877,Allocators!$B$7:$F$19,2,FALSE)</f>
        <v>1</v>
      </c>
      <c r="S1877" s="737">
        <f>VLOOKUP($P1877,Allocators!$B$7:$F$19,3,FALSE)</f>
        <v>0</v>
      </c>
      <c r="T1877" s="737" t="str">
        <f t="shared" si="861"/>
        <v>0.0%</v>
      </c>
      <c r="U1877" s="2" t="str">
        <f t="shared" si="844"/>
        <v/>
      </c>
      <c r="V1877" s="2" t="str">
        <f t="shared" si="845"/>
        <v/>
      </c>
      <c r="W1877" s="2" t="str">
        <f t="shared" si="846"/>
        <v/>
      </c>
      <c r="X1877" s="2">
        <f t="shared" si="874"/>
        <v>0</v>
      </c>
      <c r="Y1877" s="2" t="str">
        <f t="shared" si="847"/>
        <v/>
      </c>
      <c r="Z1877" s="2" t="str">
        <f t="shared" si="848"/>
        <v/>
      </c>
      <c r="AA1877" s="2" t="str">
        <f t="shared" si="849"/>
        <v/>
      </c>
      <c r="AB1877" s="2">
        <f t="shared" si="875"/>
        <v>0</v>
      </c>
      <c r="AC1877" s="625">
        <v>0</v>
      </c>
      <c r="AD1877" s="625">
        <v>0</v>
      </c>
      <c r="AE1877" s="625">
        <v>0</v>
      </c>
      <c r="AF1877" s="625">
        <v>0</v>
      </c>
      <c r="AG1877" s="625">
        <v>0</v>
      </c>
      <c r="AH1877" s="625">
        <v>0</v>
      </c>
      <c r="AI1877" s="625">
        <v>0</v>
      </c>
      <c r="AJ1877" s="625">
        <v>0</v>
      </c>
      <c r="AK1877" s="625">
        <v>0</v>
      </c>
      <c r="AL1877" s="625">
        <v>0</v>
      </c>
      <c r="AM1877" s="625">
        <v>0</v>
      </c>
      <c r="AN1877" s="625">
        <v>0</v>
      </c>
      <c r="AO1877" s="625">
        <v>0</v>
      </c>
      <c r="AP1877" s="41" t="str">
        <f t="shared" si="864"/>
        <v>Def TaxR</v>
      </c>
      <c r="AQ1877" s="41" t="str">
        <f t="shared" si="865"/>
        <v>Def TaxRR111998 Wind Storm</v>
      </c>
      <c r="AR1877" s="41" t="str">
        <f t="shared" si="866"/>
        <v>R111998 Wind Storm</v>
      </c>
    </row>
    <row r="1878" spans="1:44" s="41" customFormat="1" ht="12.75" customHeight="1">
      <c r="A1878" s="442" t="s">
        <v>1590</v>
      </c>
      <c r="B1878" s="442" t="str">
        <f t="shared" si="857"/>
        <v>Def Tax190512SERP RegLiaSBT030561/
BT130561</v>
      </c>
      <c r="C1878" s="736">
        <v>190512</v>
      </c>
      <c r="D1878" s="735" t="s">
        <v>2011</v>
      </c>
      <c r="E1878" s="626" t="s">
        <v>1988</v>
      </c>
      <c r="F1878" s="626" t="str">
        <f t="shared" si="855"/>
        <v>ADIT-REG-STATE-GAS</v>
      </c>
      <c r="G1878" s="626" t="s">
        <v>2049</v>
      </c>
      <c r="H1878" s="736" t="s">
        <v>810</v>
      </c>
      <c r="I1878" s="442"/>
      <c r="J1878" s="442" t="str">
        <f t="shared" si="856"/>
        <v/>
      </c>
      <c r="K1878" s="442" t="str">
        <f t="shared" si="852"/>
        <v/>
      </c>
      <c r="L1878" s="736" t="s">
        <v>2421</v>
      </c>
      <c r="M1878" s="442" t="str">
        <f t="shared" si="838"/>
        <v>N</v>
      </c>
      <c r="N1878" s="442" t="str">
        <f>IF(L1878&lt;&gt;"",VLOOKUP(L1878,Categories!$B$2:$D$41,2,FALSE),IF(F1878&lt;&gt;"","No Cat",""))</f>
        <v>NRBASE</v>
      </c>
      <c r="O1878" s="442" t="str">
        <f>IF($L1878&lt;&gt;"",VLOOKUP($L1878,Categories!$B$2:$D$41,3,FALSE),IF($F1878&lt;&gt;"","No Cat",""))</f>
        <v>Direct Assign Items Not in RB</v>
      </c>
      <c r="P1878" s="736" t="s">
        <v>2468</v>
      </c>
      <c r="Q1878" s="442" t="str">
        <f>VLOOKUP($P1878,Allocators!$B$7:$F$19,5,FALSE)</f>
        <v>Not in Rate Base</v>
      </c>
      <c r="R1878" s="737">
        <f>VLOOKUP($P1878,Allocators!$B$7:$F$19,2,FALSE)</f>
        <v>0</v>
      </c>
      <c r="S1878" s="737">
        <f>VLOOKUP($P1878,Allocators!$B$7:$F$19,3,FALSE)</f>
        <v>0</v>
      </c>
      <c r="T1878" s="737">
        <f t="shared" si="861"/>
        <v>1</v>
      </c>
      <c r="U1878" s="2" t="str">
        <f t="shared" si="844"/>
        <v/>
      </c>
      <c r="V1878" s="2" t="str">
        <f t="shared" si="845"/>
        <v/>
      </c>
      <c r="W1878" s="2" t="str">
        <f t="shared" si="846"/>
        <v/>
      </c>
      <c r="X1878" s="2">
        <f t="shared" si="874"/>
        <v>0</v>
      </c>
      <c r="Y1878" s="2" t="str">
        <f t="shared" si="847"/>
        <v/>
      </c>
      <c r="Z1878" s="2" t="str">
        <f t="shared" si="848"/>
        <v/>
      </c>
      <c r="AA1878" s="2" t="str">
        <f t="shared" si="849"/>
        <v/>
      </c>
      <c r="AB1878" s="2">
        <f t="shared" si="875"/>
        <v>0</v>
      </c>
      <c r="AC1878" s="625">
        <v>0</v>
      </c>
      <c r="AD1878" s="625">
        <v>0</v>
      </c>
      <c r="AE1878" s="625">
        <v>0</v>
      </c>
      <c r="AF1878" s="625">
        <v>0</v>
      </c>
      <c r="AG1878" s="625">
        <v>0</v>
      </c>
      <c r="AH1878" s="625">
        <v>0</v>
      </c>
      <c r="AI1878" s="625">
        <v>0</v>
      </c>
      <c r="AJ1878" s="625">
        <v>0</v>
      </c>
      <c r="AK1878" s="625">
        <v>0</v>
      </c>
      <c r="AL1878" s="625">
        <v>0</v>
      </c>
      <c r="AM1878" s="625">
        <v>0</v>
      </c>
      <c r="AN1878" s="625">
        <v>0</v>
      </c>
      <c r="AO1878" s="625">
        <v>0</v>
      </c>
      <c r="AP1878" s="41" t="str">
        <f t="shared" si="864"/>
        <v>Def TaxN</v>
      </c>
      <c r="AQ1878" s="41" t="str">
        <f t="shared" si="865"/>
        <v>Def TaxNN2SERP</v>
      </c>
      <c r="AR1878" s="41" t="str">
        <f t="shared" si="866"/>
        <v>N2SERP</v>
      </c>
    </row>
    <row r="1879" spans="1:44" s="41" customFormat="1" ht="12.75" customHeight="1">
      <c r="A1879" s="442" t="s">
        <v>1590</v>
      </c>
      <c r="B1879" s="442" t="str">
        <f t="shared" si="857"/>
        <v>Def Tax190512AROBT010303</v>
      </c>
      <c r="C1879" s="736">
        <v>190512</v>
      </c>
      <c r="D1879" s="735" t="s">
        <v>1613</v>
      </c>
      <c r="E1879" s="626" t="s">
        <v>1614</v>
      </c>
      <c r="F1879" s="626" t="str">
        <f t="shared" si="855"/>
        <v>ADIT-REG-STATE-GAS</v>
      </c>
      <c r="G1879" s="626" t="s">
        <v>1615</v>
      </c>
      <c r="H1879" s="736" t="s">
        <v>1138</v>
      </c>
      <c r="I1879" s="442"/>
      <c r="J1879" s="442" t="str">
        <f t="shared" si="856"/>
        <v/>
      </c>
      <c r="K1879" s="442" t="str">
        <f t="shared" si="852"/>
        <v/>
      </c>
      <c r="L1879" s="736" t="s">
        <v>2421</v>
      </c>
      <c r="M1879" s="442" t="str">
        <f t="shared" ref="M1879:M1946" si="881">LEFT(L1879,1)</f>
        <v>N</v>
      </c>
      <c r="N1879" s="442" t="str">
        <f>IF(L1879&lt;&gt;"",VLOOKUP(L1879,Categories!$B$2:$D$41,2,FALSE),IF(F1879&lt;&gt;"","No Cat",""))</f>
        <v>NRBASE</v>
      </c>
      <c r="O1879" s="442" t="str">
        <f>IF($L1879&lt;&gt;"",VLOOKUP($L1879,Categories!$B$2:$D$41,3,FALSE),IF($F1879&lt;&gt;"","No Cat",""))</f>
        <v>Direct Assign Items Not in RB</v>
      </c>
      <c r="P1879" s="736" t="s">
        <v>2468</v>
      </c>
      <c r="Q1879" s="442" t="str">
        <f>VLOOKUP($P1879,Allocators!$B$7:$F$19,5,FALSE)</f>
        <v>Not in Rate Base</v>
      </c>
      <c r="R1879" s="737">
        <f>VLOOKUP($P1879,Allocators!$B$7:$F$19,2,FALSE)</f>
        <v>0</v>
      </c>
      <c r="S1879" s="737">
        <f>VLOOKUP($P1879,Allocators!$B$7:$F$19,3,FALSE)</f>
        <v>0</v>
      </c>
      <c r="T1879" s="737">
        <f t="shared" si="861"/>
        <v>1</v>
      </c>
      <c r="U1879" s="2">
        <f t="shared" si="844"/>
        <v>0</v>
      </c>
      <c r="V1879" s="2">
        <f t="shared" si="845"/>
        <v>0</v>
      </c>
      <c r="W1879" s="2">
        <f t="shared" si="846"/>
        <v>96.067442499999999</v>
      </c>
      <c r="X1879" s="2">
        <f t="shared" si="874"/>
        <v>96.067442499999999</v>
      </c>
      <c r="Y1879" s="2">
        <f t="shared" si="847"/>
        <v>0</v>
      </c>
      <c r="Z1879" s="2">
        <f t="shared" si="848"/>
        <v>0</v>
      </c>
      <c r="AA1879" s="2">
        <f t="shared" si="849"/>
        <v>88.406170000000003</v>
      </c>
      <c r="AB1879" s="2">
        <f t="shared" si="875"/>
        <v>88.406170000000003</v>
      </c>
      <c r="AC1879" s="625">
        <v>98.199550000000002</v>
      </c>
      <c r="AD1879" s="625">
        <v>98.000699999999995</v>
      </c>
      <c r="AE1879" s="625">
        <v>97.80107000000001</v>
      </c>
      <c r="AF1879" s="625">
        <v>97.600660000000005</v>
      </c>
      <c r="AG1879" s="625">
        <v>97.399460000000005</v>
      </c>
      <c r="AH1879" s="625">
        <v>97.197460000000007</v>
      </c>
      <c r="AI1879" s="625">
        <v>96.994669999999999</v>
      </c>
      <c r="AJ1879" s="625">
        <v>96.791089999999997</v>
      </c>
      <c r="AK1879" s="625">
        <v>96.586690000000004</v>
      </c>
      <c r="AL1879" s="625">
        <v>96.381500000000003</v>
      </c>
      <c r="AM1879" s="625">
        <v>96.175490000000011</v>
      </c>
      <c r="AN1879" s="625">
        <v>88.577660000000009</v>
      </c>
      <c r="AO1879" s="625">
        <v>88.406170000000003</v>
      </c>
      <c r="AP1879" s="41" t="str">
        <f t="shared" si="864"/>
        <v>Def TaxN</v>
      </c>
      <c r="AQ1879" s="41" t="str">
        <f t="shared" si="865"/>
        <v>Def TaxNN2Asset Retirement Obligation</v>
      </c>
      <c r="AR1879" s="41" t="str">
        <f t="shared" si="866"/>
        <v>N2Asset Retirement Obligation</v>
      </c>
    </row>
    <row r="1880" spans="1:44" s="41" customFormat="1" ht="12.75" customHeight="1">
      <c r="A1880" s="442" t="s">
        <v>1590</v>
      </c>
      <c r="B1880" s="442" t="str">
        <f t="shared" si="857"/>
        <v>Def Tax190512Econ DevelopBT010069</v>
      </c>
      <c r="C1880" s="736">
        <v>190512</v>
      </c>
      <c r="D1880" s="735" t="s">
        <v>1902</v>
      </c>
      <c r="E1880" s="626" t="s">
        <v>1903</v>
      </c>
      <c r="F1880" s="626" t="str">
        <f t="shared" si="855"/>
        <v>ADIT-REG-STATE-GAS</v>
      </c>
      <c r="G1880" s="626" t="s">
        <v>1904</v>
      </c>
      <c r="H1880" s="736" t="s">
        <v>1309</v>
      </c>
      <c r="I1880" s="442"/>
      <c r="J1880" s="442" t="s">
        <v>7</v>
      </c>
      <c r="K1880" s="442" t="str">
        <f t="shared" si="852"/>
        <v/>
      </c>
      <c r="L1880" s="736" t="s">
        <v>2436</v>
      </c>
      <c r="M1880" s="442" t="str">
        <f t="shared" si="881"/>
        <v>N</v>
      </c>
      <c r="N1880" s="442" t="str">
        <f>IF(L1880&lt;&gt;"",VLOOKUP(L1880,Categories!$B$2:$D$41,2,FALSE),IF(F1880&lt;&gt;"","No Cat",""))</f>
        <v>NRBASE</v>
      </c>
      <c r="O1880" s="442" t="str">
        <f>IF($L1880&lt;&gt;"",VLOOKUP($L1880,Categories!$B$2:$D$41,3,FALSE),IF($F1880&lt;&gt;"","No Cat",""))</f>
        <v>Deferrals Accruing Non-Cash Return   (other than ASGA)</v>
      </c>
      <c r="P1880" s="736" t="s">
        <v>2468</v>
      </c>
      <c r="Q1880" s="442" t="str">
        <f>VLOOKUP($P1880,Allocators!$B$7:$F$19,5,FALSE)</f>
        <v>Not in Rate Base</v>
      </c>
      <c r="R1880" s="737">
        <f>VLOOKUP($P1880,Allocators!$B$7:$F$19,2,FALSE)</f>
        <v>0</v>
      </c>
      <c r="S1880" s="737">
        <f>VLOOKUP($P1880,Allocators!$B$7:$F$19,3,FALSE)</f>
        <v>0</v>
      </c>
      <c r="T1880" s="737">
        <f t="shared" si="861"/>
        <v>1</v>
      </c>
      <c r="U1880" s="2">
        <f t="shared" si="844"/>
        <v>0</v>
      </c>
      <c r="V1880" s="2">
        <f t="shared" si="845"/>
        <v>0</v>
      </c>
      <c r="W1880" s="2">
        <f t="shared" si="846"/>
        <v>56.5395416666667</v>
      </c>
      <c r="X1880" s="2">
        <f t="shared" si="874"/>
        <v>56.5395416666667</v>
      </c>
      <c r="Y1880" s="2">
        <f t="shared" si="847"/>
        <v>0</v>
      </c>
      <c r="Z1880" s="2">
        <f t="shared" si="848"/>
        <v>0</v>
      </c>
      <c r="AA1880" s="2">
        <f t="shared" si="849"/>
        <v>65.259960000000007</v>
      </c>
      <c r="AB1880" s="2">
        <f t="shared" si="875"/>
        <v>65.259959999999992</v>
      </c>
      <c r="AC1880" s="625">
        <v>48.337420000000002</v>
      </c>
      <c r="AD1880" s="625">
        <v>49.583800000000004</v>
      </c>
      <c r="AE1880" s="625">
        <v>50.822290000000002</v>
      </c>
      <c r="AF1880" s="625">
        <v>52.063949999999998</v>
      </c>
      <c r="AG1880" s="625">
        <v>53.383989999999997</v>
      </c>
      <c r="AH1880" s="625">
        <v>54.831089999999996</v>
      </c>
      <c r="AI1880" s="625">
        <v>56.336190000000002</v>
      </c>
      <c r="AJ1880" s="625">
        <v>57.870739999999998</v>
      </c>
      <c r="AK1880" s="625">
        <v>59.406239999999997</v>
      </c>
      <c r="AL1880" s="625">
        <v>60.948339999999995</v>
      </c>
      <c r="AM1880" s="625">
        <v>62.492069999999998</v>
      </c>
      <c r="AN1880" s="625">
        <v>63.937110000000004</v>
      </c>
      <c r="AO1880" s="625">
        <v>65.259959999999992</v>
      </c>
      <c r="AP1880" s="41" t="str">
        <f t="shared" si="864"/>
        <v>Def TaxN</v>
      </c>
      <c r="AQ1880" s="41" t="str">
        <f t="shared" si="865"/>
        <v>Def TaxNN10Economic Development</v>
      </c>
      <c r="AR1880" s="41" t="str">
        <f t="shared" si="866"/>
        <v>N10Economic DevelopmentNCR</v>
      </c>
    </row>
    <row r="1881" spans="1:44" s="41" customFormat="1" ht="12.75" customHeight="1">
      <c r="A1881" s="25" t="s">
        <v>1590</v>
      </c>
      <c r="B1881" s="25" t="str">
        <f t="shared" si="857"/>
        <v>Def Tax190512EXCESS DITBT010078</v>
      </c>
      <c r="C1881" s="736">
        <v>190512</v>
      </c>
      <c r="D1881" s="735" t="s">
        <v>1911</v>
      </c>
      <c r="E1881" s="41" t="s">
        <v>1912</v>
      </c>
      <c r="F1881" s="41" t="str">
        <f t="shared" si="855"/>
        <v>ADIT-REG-STATE-GAS</v>
      </c>
      <c r="G1881" s="41" t="s">
        <v>1913</v>
      </c>
      <c r="H1881" s="736" t="s">
        <v>1487</v>
      </c>
      <c r="I1881" s="25"/>
      <c r="J1881" s="25" t="str">
        <f t="shared" si="856"/>
        <v/>
      </c>
      <c r="K1881" s="442" t="str">
        <f t="shared" si="852"/>
        <v/>
      </c>
      <c r="L1881" s="736" t="s">
        <v>2443</v>
      </c>
      <c r="M1881" s="25" t="str">
        <f t="shared" si="881"/>
        <v>R</v>
      </c>
      <c r="N1881" s="25" t="str">
        <f>IF(L1881&lt;&gt;"",VLOOKUP(L1881,Categories!$B$2:$D$41,2,FALSE),IF(F1881&lt;&gt;"","No Cat",""))</f>
        <v>Rate Base</v>
      </c>
      <c r="O1881" s="25" t="str">
        <f>IF($L1881&lt;&gt;"",VLOOKUP($L1881,Categories!$B$2:$D$41,3,FALSE),IF($F1881&lt;&gt;"","No Cat",""))</f>
        <v>Deferred Income Taxes</v>
      </c>
      <c r="P1881" s="736" t="s">
        <v>2483</v>
      </c>
      <c r="Q1881" s="25" t="str">
        <f>VLOOKUP($P1881,Allocators!$B$7:$F$19,5,FALSE)</f>
        <v>Gas</v>
      </c>
      <c r="R1881" s="737">
        <f>VLOOKUP($P1881,Allocators!$B$7:$F$19,2,FALSE)</f>
        <v>0</v>
      </c>
      <c r="S1881" s="737">
        <f>VLOOKUP($P1881,Allocators!$B$7:$F$19,3,FALSE)</f>
        <v>1</v>
      </c>
      <c r="T1881" s="737" t="str">
        <f t="shared" si="861"/>
        <v>0.0%</v>
      </c>
      <c r="U1881" s="2">
        <f t="shared" ref="U1881:U1945" si="882">IF(ABS(X1881)=0,"",IF($R1881="NO ALLOC","NO ALLOC",ROUND($R1881*X1881,15)))</f>
        <v>0</v>
      </c>
      <c r="V1881" s="2">
        <f t="shared" ref="V1881:V1945" si="883">IF(ABS(X1881)=0,"",IF($S1881="NO ALLOC","NO ALLOC",ROUND($S1881*X1881,15)))</f>
        <v>-67.057151250000004</v>
      </c>
      <c r="W1881" s="2">
        <f t="shared" ref="W1881:W1945" si="884">IF(ABS(X1881)=0,"",IF($T1881="NO ALLOC","NO ALLOC",ROUND($T1881*X1881,15)))</f>
        <v>0</v>
      </c>
      <c r="X1881" s="2">
        <f t="shared" si="874"/>
        <v>-67.057151250000004</v>
      </c>
      <c r="Y1881" s="2">
        <f t="shared" ref="Y1881:Y1945" si="885">IF(ABS(AB1881)=0,"",IF($R1881="NO ALLOC","NO ALLOC",ROUND($R1881*AB1881,15)))</f>
        <v>0</v>
      </c>
      <c r="Z1881" s="2">
        <f t="shared" ref="Z1881:Z1945" si="886">IF(ABS(AB1881)=0,"",IF($S1881="NO ALLOC","NO ALLOC",ROUND($S1881*AB1881,15)))</f>
        <v>-67.057159999999996</v>
      </c>
      <c r="AA1881" s="2">
        <f t="shared" ref="AA1881:AA1945" si="887">IF(ABS(AB1881)=0,"",IF($T1881="NO ALLOC","NO ALLOC",ROUND($T1881*AB1881,15)))</f>
        <v>0</v>
      </c>
      <c r="AB1881" s="2">
        <f t="shared" si="875"/>
        <v>-67.05716000000001</v>
      </c>
      <c r="AC1881" s="625">
        <v>-67.057149999999993</v>
      </c>
      <c r="AD1881" s="625">
        <v>-67.057149999999993</v>
      </c>
      <c r="AE1881" s="625">
        <v>-67.057149999999993</v>
      </c>
      <c r="AF1881" s="625">
        <v>-67.057149999999993</v>
      </c>
      <c r="AG1881" s="625">
        <v>-67.057149999999993</v>
      </c>
      <c r="AH1881" s="625">
        <v>-67.057149999999993</v>
      </c>
      <c r="AI1881" s="625">
        <v>-67.057149999999993</v>
      </c>
      <c r="AJ1881" s="625">
        <v>-67.057149999999993</v>
      </c>
      <c r="AK1881" s="625">
        <v>-67.057149999999993</v>
      </c>
      <c r="AL1881" s="625">
        <v>-67.057149999999993</v>
      </c>
      <c r="AM1881" s="625">
        <v>-67.057149999999993</v>
      </c>
      <c r="AN1881" s="625">
        <v>-67.05716000000001</v>
      </c>
      <c r="AO1881" s="625">
        <v>-67.05716000000001</v>
      </c>
      <c r="AP1881" s="41" t="str">
        <f t="shared" si="864"/>
        <v>Def TaxR</v>
      </c>
      <c r="AQ1881" s="41" t="str">
        <f t="shared" si="865"/>
        <v>Def TaxRR11Excess NYS DIT (to 7.1%)</v>
      </c>
      <c r="AR1881" s="41" t="str">
        <f t="shared" si="866"/>
        <v>R11Excess NYS DIT (to 7.1%)</v>
      </c>
    </row>
    <row r="1882" spans="1:44" s="41" customFormat="1" ht="12.75" customHeight="1">
      <c r="A1882" s="442" t="s">
        <v>1590</v>
      </c>
      <c r="B1882" s="442" t="str">
        <f t="shared" si="857"/>
        <v>Def Tax190512ExcessDIT-CurrBDEFAULT</v>
      </c>
      <c r="C1882" s="736">
        <v>190512</v>
      </c>
      <c r="D1882" s="735" t="s">
        <v>1914</v>
      </c>
      <c r="E1882" s="626" t="s">
        <v>1620</v>
      </c>
      <c r="F1882" s="626" t="str">
        <f t="shared" si="855"/>
        <v>ADIT-REG-STATE-GAS</v>
      </c>
      <c r="G1882" s="626" t="s">
        <v>1915</v>
      </c>
      <c r="H1882" s="736">
        <v>0</v>
      </c>
      <c r="I1882" s="442"/>
      <c r="J1882" s="442" t="str">
        <f t="shared" si="856"/>
        <v/>
      </c>
      <c r="K1882" s="442" t="str">
        <f t="shared" si="852"/>
        <v/>
      </c>
      <c r="L1882" s="736" t="s">
        <v>2421</v>
      </c>
      <c r="M1882" s="442" t="str">
        <f t="shared" si="881"/>
        <v>N</v>
      </c>
      <c r="N1882" s="442" t="str">
        <f>IF(L1882&lt;&gt;"",VLOOKUP(L1882,Categories!$B$2:$D$41,2,FALSE),IF(F1882&lt;&gt;"","No Cat",""))</f>
        <v>NRBASE</v>
      </c>
      <c r="O1882" s="442" t="str">
        <f>IF($L1882&lt;&gt;"",VLOOKUP($L1882,Categories!$B$2:$D$41,3,FALSE),IF($F1882&lt;&gt;"","No Cat",""))</f>
        <v>Direct Assign Items Not in RB</v>
      </c>
      <c r="P1882" s="736" t="s">
        <v>2468</v>
      </c>
      <c r="Q1882" s="442" t="str">
        <f>VLOOKUP($P1882,Allocators!$B$7:$F$19,5,FALSE)</f>
        <v>Not in Rate Base</v>
      </c>
      <c r="R1882" s="737">
        <f>VLOOKUP($P1882,Allocators!$B$7:$F$19,2,FALSE)</f>
        <v>0</v>
      </c>
      <c r="S1882" s="737">
        <f>VLOOKUP($P1882,Allocators!$B$7:$F$19,3,FALSE)</f>
        <v>0</v>
      </c>
      <c r="T1882" s="737">
        <f t="shared" si="861"/>
        <v>1</v>
      </c>
      <c r="U1882" s="2" t="str">
        <f t="shared" si="882"/>
        <v/>
      </c>
      <c r="V1882" s="2" t="str">
        <f t="shared" si="883"/>
        <v/>
      </c>
      <c r="W1882" s="2" t="str">
        <f t="shared" si="884"/>
        <v/>
      </c>
      <c r="X1882" s="2">
        <f t="shared" si="874"/>
        <v>0</v>
      </c>
      <c r="Y1882" s="2" t="str">
        <f t="shared" si="885"/>
        <v/>
      </c>
      <c r="Z1882" s="2" t="str">
        <f t="shared" si="886"/>
        <v/>
      </c>
      <c r="AA1882" s="2" t="str">
        <f t="shared" si="887"/>
        <v/>
      </c>
      <c r="AB1882" s="2">
        <f t="shared" si="875"/>
        <v>0</v>
      </c>
      <c r="AC1882" s="625">
        <v>0</v>
      </c>
      <c r="AD1882" s="625">
        <v>0</v>
      </c>
      <c r="AE1882" s="625">
        <v>0</v>
      </c>
      <c r="AF1882" s="625">
        <v>0</v>
      </c>
      <c r="AG1882" s="625">
        <v>0</v>
      </c>
      <c r="AH1882" s="625">
        <v>0</v>
      </c>
      <c r="AI1882" s="625">
        <v>0</v>
      </c>
      <c r="AJ1882" s="625">
        <v>0</v>
      </c>
      <c r="AK1882" s="625">
        <v>0</v>
      </c>
      <c r="AL1882" s="625">
        <v>0</v>
      </c>
      <c r="AM1882" s="625">
        <v>0</v>
      </c>
      <c r="AN1882" s="625">
        <v>0</v>
      </c>
      <c r="AO1882" s="625">
        <v>0</v>
      </c>
      <c r="AP1882" s="41" t="str">
        <f t="shared" si="864"/>
        <v>Def TaxN</v>
      </c>
      <c r="AQ1882" s="41" t="str">
        <f t="shared" si="865"/>
        <v>Def TaxNN20</v>
      </c>
      <c r="AR1882" s="41" t="str">
        <f t="shared" si="866"/>
        <v>N20</v>
      </c>
    </row>
    <row r="1883" spans="1:44" s="41" customFormat="1" ht="12.75" customHeight="1">
      <c r="A1883" s="442" t="s">
        <v>1590</v>
      </c>
      <c r="B1883" s="442" t="str">
        <f t="shared" si="857"/>
        <v>Def Tax190512190-098-JP</v>
      </c>
      <c r="C1883" s="736">
        <v>190512</v>
      </c>
      <c r="D1883" s="735" t="s">
        <v>1758</v>
      </c>
      <c r="E1883" s="626"/>
      <c r="F1883" s="626" t="str">
        <f t="shared" si="855"/>
        <v>ADIT-REG-STATE-GAS</v>
      </c>
      <c r="G1883" s="626" t="s">
        <v>2013</v>
      </c>
      <c r="H1883" s="736" t="s">
        <v>1760</v>
      </c>
      <c r="I1883" s="442"/>
      <c r="J1883" s="442" t="str">
        <f t="shared" si="856"/>
        <v/>
      </c>
      <c r="K1883" s="442" t="str">
        <f t="shared" si="852"/>
        <v/>
      </c>
      <c r="L1883" s="736" t="s">
        <v>2421</v>
      </c>
      <c r="M1883" s="442" t="str">
        <f t="shared" si="881"/>
        <v>N</v>
      </c>
      <c r="N1883" s="442" t="str">
        <f>IF(L1883&lt;&gt;"",VLOOKUP(L1883,Categories!$B$2:$D$41,2,FALSE),IF(F1883&lt;&gt;"","No Cat",""))</f>
        <v>NRBASE</v>
      </c>
      <c r="O1883" s="442" t="str">
        <f>IF($L1883&lt;&gt;"",VLOOKUP($L1883,Categories!$B$2:$D$41,3,FALSE),IF($F1883&lt;&gt;"","No Cat",""))</f>
        <v>Direct Assign Items Not in RB</v>
      </c>
      <c r="P1883" s="736" t="s">
        <v>2468</v>
      </c>
      <c r="Q1883" s="442" t="str">
        <f>VLOOKUP($P1883,Allocators!$B$7:$F$19,5,FALSE)</f>
        <v>Not in Rate Base</v>
      </c>
      <c r="R1883" s="737">
        <f>VLOOKUP($P1883,Allocators!$B$7:$F$19,2,FALSE)</f>
        <v>0</v>
      </c>
      <c r="S1883" s="737">
        <f>VLOOKUP($P1883,Allocators!$B$7:$F$19,3,FALSE)</f>
        <v>0</v>
      </c>
      <c r="T1883" s="737">
        <f t="shared" si="861"/>
        <v>1</v>
      </c>
      <c r="U1883" s="2" t="str">
        <f t="shared" si="882"/>
        <v/>
      </c>
      <c r="V1883" s="2" t="str">
        <f t="shared" si="883"/>
        <v/>
      </c>
      <c r="W1883" s="2" t="str">
        <f t="shared" si="884"/>
        <v/>
      </c>
      <c r="X1883" s="2">
        <f t="shared" si="874"/>
        <v>0</v>
      </c>
      <c r="Y1883" s="2" t="str">
        <f t="shared" si="885"/>
        <v/>
      </c>
      <c r="Z1883" s="2" t="str">
        <f t="shared" si="886"/>
        <v/>
      </c>
      <c r="AA1883" s="2" t="str">
        <f t="shared" si="887"/>
        <v/>
      </c>
      <c r="AB1883" s="2">
        <f t="shared" si="875"/>
        <v>0</v>
      </c>
      <c r="AC1883" s="625">
        <v>0</v>
      </c>
      <c r="AD1883" s="625">
        <v>0</v>
      </c>
      <c r="AE1883" s="625">
        <v>0</v>
      </c>
      <c r="AF1883" s="625">
        <v>0</v>
      </c>
      <c r="AG1883" s="625">
        <v>0</v>
      </c>
      <c r="AH1883" s="625">
        <v>0</v>
      </c>
      <c r="AI1883" s="625">
        <v>0</v>
      </c>
      <c r="AJ1883" s="625">
        <v>0</v>
      </c>
      <c r="AK1883" s="625">
        <v>0</v>
      </c>
      <c r="AL1883" s="625">
        <v>0</v>
      </c>
      <c r="AM1883" s="625">
        <v>0</v>
      </c>
      <c r="AN1883" s="625">
        <v>0</v>
      </c>
      <c r="AO1883" s="625">
        <v>0</v>
      </c>
      <c r="AP1883" s="41" t="str">
        <f t="shared" si="864"/>
        <v>Def TaxN</v>
      </c>
      <c r="AQ1883" s="41" t="str">
        <f t="shared" si="865"/>
        <v>Def TaxNN2Exogenous Costs</v>
      </c>
      <c r="AR1883" s="41" t="str">
        <f t="shared" si="866"/>
        <v>N2Exogenous Costs</v>
      </c>
    </row>
    <row r="1884" spans="1:44" s="41" customFormat="1" ht="12.75" customHeight="1">
      <c r="A1884" s="442" t="s">
        <v>1590</v>
      </c>
      <c r="B1884" s="442" t="str">
        <f t="shared" si="857"/>
        <v>Def Tax190512Bonus DepBT010085</v>
      </c>
      <c r="C1884" s="736">
        <v>190512</v>
      </c>
      <c r="D1884" s="735" t="s">
        <v>1916</v>
      </c>
      <c r="E1884" s="626" t="s">
        <v>1917</v>
      </c>
      <c r="F1884" s="626" t="str">
        <f t="shared" si="855"/>
        <v>ADIT-REG-STATE-GAS</v>
      </c>
      <c r="G1884" s="626" t="s">
        <v>1918</v>
      </c>
      <c r="H1884" s="736" t="s">
        <v>1186</v>
      </c>
      <c r="I1884" s="442"/>
      <c r="J1884" s="442" t="str">
        <f t="shared" si="856"/>
        <v/>
      </c>
      <c r="K1884" s="442" t="str">
        <f t="shared" si="852"/>
        <v/>
      </c>
      <c r="L1884" s="736" t="s">
        <v>2421</v>
      </c>
      <c r="M1884" s="442" t="str">
        <f t="shared" si="881"/>
        <v>N</v>
      </c>
      <c r="N1884" s="442" t="str">
        <f>IF(L1884&lt;&gt;"",VLOOKUP(L1884,Categories!$B$2:$D$41,2,FALSE),IF(F1884&lt;&gt;"","No Cat",""))</f>
        <v>NRBASE</v>
      </c>
      <c r="O1884" s="442" t="str">
        <f>IF($L1884&lt;&gt;"",VLOOKUP($L1884,Categories!$B$2:$D$41,3,FALSE),IF($F1884&lt;&gt;"","No Cat",""))</f>
        <v>Direct Assign Items Not in RB</v>
      </c>
      <c r="P1884" s="736" t="s">
        <v>2468</v>
      </c>
      <c r="Q1884" s="442" t="str">
        <f>VLOOKUP($P1884,Allocators!$B$7:$F$19,5,FALSE)</f>
        <v>Not in Rate Base</v>
      </c>
      <c r="R1884" s="737">
        <f>VLOOKUP($P1884,Allocators!$B$7:$F$19,2,FALSE)</f>
        <v>0</v>
      </c>
      <c r="S1884" s="737">
        <f>VLOOKUP($P1884,Allocators!$B$7:$F$19,3,FALSE)</f>
        <v>0</v>
      </c>
      <c r="T1884" s="737">
        <f t="shared" si="861"/>
        <v>1</v>
      </c>
      <c r="U1884" s="2">
        <f t="shared" si="882"/>
        <v>0</v>
      </c>
      <c r="V1884" s="2">
        <f t="shared" si="883"/>
        <v>0</v>
      </c>
      <c r="W1884" s="2">
        <f t="shared" si="884"/>
        <v>573.48111749999998</v>
      </c>
      <c r="X1884" s="2">
        <f t="shared" si="874"/>
        <v>573.48111749999998</v>
      </c>
      <c r="Y1884" s="2">
        <f t="shared" si="885"/>
        <v>0</v>
      </c>
      <c r="Z1884" s="2">
        <f t="shared" si="886"/>
        <v>0</v>
      </c>
      <c r="AA1884" s="2">
        <f t="shared" si="887"/>
        <v>678.00125000000003</v>
      </c>
      <c r="AB1884" s="2">
        <f t="shared" si="875"/>
        <v>678.00125000000003</v>
      </c>
      <c r="AC1884" s="625">
        <v>470.16665</v>
      </c>
      <c r="AD1884" s="625">
        <v>487.61167</v>
      </c>
      <c r="AE1884" s="625">
        <v>505.04115999999999</v>
      </c>
      <c r="AF1884" s="625">
        <v>522.45506999999998</v>
      </c>
      <c r="AG1884" s="625">
        <v>539.85331999999994</v>
      </c>
      <c r="AH1884" s="625">
        <v>557.23586999999998</v>
      </c>
      <c r="AI1884" s="625">
        <v>574.60266000000001</v>
      </c>
      <c r="AJ1884" s="625">
        <v>591.95362999999998</v>
      </c>
      <c r="AK1884" s="625">
        <v>609.28870999999992</v>
      </c>
      <c r="AL1884" s="625">
        <v>622.79634999999996</v>
      </c>
      <c r="AM1884" s="625">
        <v>639.88571999999999</v>
      </c>
      <c r="AN1884" s="625">
        <v>656.96530000000007</v>
      </c>
      <c r="AO1884" s="625">
        <v>678.00125000000003</v>
      </c>
      <c r="AP1884" s="41" t="str">
        <f t="shared" si="864"/>
        <v>Def TaxN</v>
      </c>
      <c r="AQ1884" s="41" t="str">
        <f t="shared" si="865"/>
        <v>Def TaxNN2Bonus Depreciation Deferral</v>
      </c>
      <c r="AR1884" s="41" t="str">
        <f t="shared" si="866"/>
        <v>N2Bonus Depreciation Deferral</v>
      </c>
    </row>
    <row r="1885" spans="1:44" s="41" customFormat="1" ht="12.75" customHeight="1">
      <c r="A1885" s="25" t="s">
        <v>1590</v>
      </c>
      <c r="B1885" s="25" t="str">
        <f t="shared" si="857"/>
        <v>Def Tax190512190-015BT010089</v>
      </c>
      <c r="C1885" s="736">
        <v>190512</v>
      </c>
      <c r="D1885" s="735" t="s">
        <v>1678</v>
      </c>
      <c r="E1885" s="41" t="s">
        <v>1679</v>
      </c>
      <c r="F1885" s="41" t="str">
        <f t="shared" si="855"/>
        <v>ADIT-REG-STATE-GAS</v>
      </c>
      <c r="G1885" s="41" t="s">
        <v>2014</v>
      </c>
      <c r="H1885" s="736" t="s">
        <v>927</v>
      </c>
      <c r="I1885" s="25"/>
      <c r="J1885" s="25" t="str">
        <f t="shared" si="856"/>
        <v/>
      </c>
      <c r="K1885" s="442" t="str">
        <f t="shared" si="852"/>
        <v/>
      </c>
      <c r="L1885" s="736" t="s">
        <v>2443</v>
      </c>
      <c r="M1885" s="25" t="str">
        <f t="shared" si="881"/>
        <v>R</v>
      </c>
      <c r="N1885" s="25" t="str">
        <f>IF(L1885&lt;&gt;"",VLOOKUP(L1885,Categories!$B$2:$D$41,2,FALSE),IF(F1885&lt;&gt;"","No Cat",""))</f>
        <v>Rate Base</v>
      </c>
      <c r="O1885" s="25" t="str">
        <f>IF($L1885&lt;&gt;"",VLOOKUP($L1885,Categories!$B$2:$D$41,3,FALSE),IF($F1885&lt;&gt;"","No Cat",""))</f>
        <v>Deferred Income Taxes</v>
      </c>
      <c r="P1885" s="736" t="s">
        <v>2483</v>
      </c>
      <c r="Q1885" s="25" t="str">
        <f>VLOOKUP($P1885,Allocators!$B$7:$F$19,5,FALSE)</f>
        <v>Gas</v>
      </c>
      <c r="R1885" s="737">
        <f>VLOOKUP($P1885,Allocators!$B$7:$F$19,2,FALSE)</f>
        <v>0</v>
      </c>
      <c r="S1885" s="737">
        <f>VLOOKUP($P1885,Allocators!$B$7:$F$19,3,FALSE)</f>
        <v>1</v>
      </c>
      <c r="T1885" s="737" t="str">
        <f t="shared" si="861"/>
        <v>0.0%</v>
      </c>
      <c r="U1885" s="2" t="str">
        <f t="shared" si="882"/>
        <v/>
      </c>
      <c r="V1885" s="2" t="str">
        <f t="shared" si="883"/>
        <v/>
      </c>
      <c r="W1885" s="2" t="str">
        <f t="shared" si="884"/>
        <v/>
      </c>
      <c r="X1885" s="2">
        <f t="shared" si="874"/>
        <v>0</v>
      </c>
      <c r="Y1885" s="2" t="str">
        <f t="shared" si="885"/>
        <v/>
      </c>
      <c r="Z1885" s="2" t="str">
        <f t="shared" si="886"/>
        <v/>
      </c>
      <c r="AA1885" s="2" t="str">
        <f t="shared" si="887"/>
        <v/>
      </c>
      <c r="AB1885" s="2">
        <f t="shared" si="875"/>
        <v>0</v>
      </c>
      <c r="AC1885" s="625">
        <v>0</v>
      </c>
      <c r="AD1885" s="625">
        <v>0</v>
      </c>
      <c r="AE1885" s="625">
        <v>0</v>
      </c>
      <c r="AF1885" s="625">
        <v>0</v>
      </c>
      <c r="AG1885" s="625">
        <v>0</v>
      </c>
      <c r="AH1885" s="625">
        <v>0</v>
      </c>
      <c r="AI1885" s="625">
        <v>0</v>
      </c>
      <c r="AJ1885" s="625">
        <v>0</v>
      </c>
      <c r="AK1885" s="625">
        <v>0</v>
      </c>
      <c r="AL1885" s="625">
        <v>0</v>
      </c>
      <c r="AM1885" s="625">
        <v>0</v>
      </c>
      <c r="AN1885" s="625">
        <v>0</v>
      </c>
      <c r="AO1885" s="625">
        <v>0</v>
      </c>
      <c r="AP1885" s="41" t="str">
        <f t="shared" si="864"/>
        <v>Def TaxR</v>
      </c>
      <c r="AQ1885" s="41" t="str">
        <f t="shared" si="865"/>
        <v>Def TaxRR11OPEB</v>
      </c>
      <c r="AR1885" s="41" t="str">
        <f t="shared" si="866"/>
        <v>R11OPEB</v>
      </c>
    </row>
    <row r="1886" spans="1:44" s="41" customFormat="1" ht="12.75" customHeight="1">
      <c r="A1886" s="442" t="s">
        <v>1590</v>
      </c>
      <c r="B1886" s="442" t="str">
        <f t="shared" si="857"/>
        <v>Def Tax190512190-111</v>
      </c>
      <c r="C1886" s="736">
        <v>190512</v>
      </c>
      <c r="D1886" s="735" t="s">
        <v>1921</v>
      </c>
      <c r="E1886" s="626"/>
      <c r="F1886" s="626" t="str">
        <f t="shared" si="855"/>
        <v>ADIT-REG-STATE-GAS</v>
      </c>
      <c r="G1886" s="626" t="s">
        <v>1922</v>
      </c>
      <c r="H1886" s="736" t="s">
        <v>1923</v>
      </c>
      <c r="I1886" s="442"/>
      <c r="J1886" s="442" t="str">
        <f t="shared" si="856"/>
        <v/>
      </c>
      <c r="K1886" s="442" t="str">
        <f t="shared" si="852"/>
        <v/>
      </c>
      <c r="L1886" s="736" t="s">
        <v>2421</v>
      </c>
      <c r="M1886" s="442" t="str">
        <f t="shared" si="881"/>
        <v>N</v>
      </c>
      <c r="N1886" s="442" t="str">
        <f>IF(L1886&lt;&gt;"",VLOOKUP(L1886,Categories!$B$2:$D$41,2,FALSE),IF(F1886&lt;&gt;"","No Cat",""))</f>
        <v>NRBASE</v>
      </c>
      <c r="O1886" s="442" t="str">
        <f>IF($L1886&lt;&gt;"",VLOOKUP($L1886,Categories!$B$2:$D$41,3,FALSE),IF($F1886&lt;&gt;"","No Cat",""))</f>
        <v>Direct Assign Items Not in RB</v>
      </c>
      <c r="P1886" s="736" t="s">
        <v>2468</v>
      </c>
      <c r="Q1886" s="442" t="str">
        <f>VLOOKUP($P1886,Allocators!$B$7:$F$19,5,FALSE)</f>
        <v>Not in Rate Base</v>
      </c>
      <c r="R1886" s="737">
        <f>VLOOKUP($P1886,Allocators!$B$7:$F$19,2,FALSE)</f>
        <v>0</v>
      </c>
      <c r="S1886" s="737">
        <f>VLOOKUP($P1886,Allocators!$B$7:$F$19,3,FALSE)</f>
        <v>0</v>
      </c>
      <c r="T1886" s="737">
        <f t="shared" si="861"/>
        <v>1</v>
      </c>
      <c r="U1886" s="2" t="str">
        <f t="shared" si="882"/>
        <v/>
      </c>
      <c r="V1886" s="2" t="str">
        <f t="shared" si="883"/>
        <v/>
      </c>
      <c r="W1886" s="2" t="str">
        <f t="shared" si="884"/>
        <v/>
      </c>
      <c r="X1886" s="2">
        <f t="shared" si="874"/>
        <v>0</v>
      </c>
      <c r="Y1886" s="2" t="str">
        <f t="shared" si="885"/>
        <v/>
      </c>
      <c r="Z1886" s="2" t="str">
        <f t="shared" si="886"/>
        <v/>
      </c>
      <c r="AA1886" s="2" t="str">
        <f t="shared" si="887"/>
        <v/>
      </c>
      <c r="AB1886" s="2">
        <f t="shared" si="875"/>
        <v>0</v>
      </c>
      <c r="AC1886" s="38">
        <v>0</v>
      </c>
      <c r="AD1886" s="625">
        <v>0</v>
      </c>
      <c r="AE1886" s="625">
        <v>0</v>
      </c>
      <c r="AF1886" s="625">
        <v>0</v>
      </c>
      <c r="AG1886" s="625">
        <v>0</v>
      </c>
      <c r="AH1886" s="625">
        <v>0</v>
      </c>
      <c r="AI1886" s="625">
        <v>0</v>
      </c>
      <c r="AJ1886" s="625">
        <v>0</v>
      </c>
      <c r="AK1886" s="625">
        <v>0</v>
      </c>
      <c r="AL1886" s="625">
        <v>0</v>
      </c>
      <c r="AM1886" s="625">
        <v>0</v>
      </c>
      <c r="AN1886" s="625">
        <v>0</v>
      </c>
      <c r="AO1886" s="625">
        <v>0</v>
      </c>
      <c r="AP1886" s="41" t="str">
        <f t="shared" si="864"/>
        <v>Def TaxN</v>
      </c>
      <c r="AQ1886" s="41" t="str">
        <f t="shared" si="865"/>
        <v>Def TaxNN2Fuel Credit Deferral</v>
      </c>
      <c r="AR1886" s="41" t="str">
        <f t="shared" si="866"/>
        <v>N2Fuel Credit Deferral</v>
      </c>
    </row>
    <row r="1887" spans="1:44" s="41" customFormat="1" ht="12.75" customHeight="1">
      <c r="A1887" s="442" t="s">
        <v>1590</v>
      </c>
      <c r="B1887" s="442" t="str">
        <f t="shared" si="857"/>
        <v>Def Tax190512BG030911</v>
      </c>
      <c r="C1887" s="736">
        <v>190512</v>
      </c>
      <c r="D1887" s="735"/>
      <c r="E1887" s="626" t="s">
        <v>1293</v>
      </c>
      <c r="F1887" s="626" t="str">
        <f t="shared" si="855"/>
        <v>ADIT-REG-STATE-GAS</v>
      </c>
      <c r="G1887" s="626" t="s">
        <v>2015</v>
      </c>
      <c r="H1887" s="736" t="s">
        <v>1295</v>
      </c>
      <c r="I1887" s="442"/>
      <c r="J1887" s="442" t="s">
        <v>7</v>
      </c>
      <c r="K1887" s="442" t="str">
        <f t="shared" si="852"/>
        <v/>
      </c>
      <c r="L1887" s="736" t="s">
        <v>2436</v>
      </c>
      <c r="M1887" s="442" t="str">
        <f t="shared" si="881"/>
        <v>N</v>
      </c>
      <c r="N1887" s="442" t="str">
        <f>IF(L1887&lt;&gt;"",VLOOKUP(L1887,Categories!$B$2:$D$41,2,FALSE),IF(F1887&lt;&gt;"","No Cat",""))</f>
        <v>NRBASE</v>
      </c>
      <c r="O1887" s="442" t="str">
        <f>IF($L1887&lt;&gt;"",VLOOKUP($L1887,Categories!$B$2:$D$41,3,FALSE),IF($F1887&lt;&gt;"","No Cat",""))</f>
        <v>Deferrals Accruing Non-Cash Return   (other than ASGA)</v>
      </c>
      <c r="P1887" s="736" t="s">
        <v>2468</v>
      </c>
      <c r="Q1887" s="442" t="str">
        <f>VLOOKUP($P1887,Allocators!$B$7:$F$19,5,FALSE)</f>
        <v>Not in Rate Base</v>
      </c>
      <c r="R1887" s="737">
        <f>VLOOKUP($P1887,Allocators!$B$7:$F$19,2,FALSE)</f>
        <v>0</v>
      </c>
      <c r="S1887" s="737">
        <f>VLOOKUP($P1887,Allocators!$B$7:$F$19,3,FALSE)</f>
        <v>0</v>
      </c>
      <c r="T1887" s="737">
        <f t="shared" si="861"/>
        <v>1</v>
      </c>
      <c r="U1887" s="2">
        <f t="shared" si="882"/>
        <v>0</v>
      </c>
      <c r="V1887" s="2">
        <f t="shared" si="883"/>
        <v>0</v>
      </c>
      <c r="W1887" s="2">
        <f t="shared" si="884"/>
        <v>25.370256666666702</v>
      </c>
      <c r="X1887" s="2">
        <f t="shared" si="874"/>
        <v>25.370256666666702</v>
      </c>
      <c r="Y1887" s="2">
        <f t="shared" si="885"/>
        <v>0</v>
      </c>
      <c r="Z1887" s="2">
        <f t="shared" si="886"/>
        <v>0</v>
      </c>
      <c r="AA1887" s="2">
        <f t="shared" si="887"/>
        <v>8.2004800000000007</v>
      </c>
      <c r="AB1887" s="2">
        <f t="shared" si="875"/>
        <v>8.2004799999999989</v>
      </c>
      <c r="AC1887" s="625">
        <v>21.81026</v>
      </c>
      <c r="AD1887" s="625">
        <v>26.667120000000001</v>
      </c>
      <c r="AE1887" s="625">
        <v>31.524009999999997</v>
      </c>
      <c r="AF1887" s="625">
        <v>28.79946</v>
      </c>
      <c r="AG1887" s="625">
        <v>33.656410000000001</v>
      </c>
      <c r="AH1887" s="625">
        <v>38.513390000000001</v>
      </c>
      <c r="AI1887" s="625">
        <v>19.129330000000003</v>
      </c>
      <c r="AJ1887" s="625">
        <v>24.10887</v>
      </c>
      <c r="AK1887" s="625">
        <v>29.089119999999998</v>
      </c>
      <c r="AL1887" s="625">
        <v>14.334700000000002</v>
      </c>
      <c r="AM1887" s="625">
        <v>19.316419999999997</v>
      </c>
      <c r="AN1887" s="625">
        <v>24.29888</v>
      </c>
      <c r="AO1887" s="625">
        <v>8.2004799999999989</v>
      </c>
      <c r="AP1887" s="41" t="str">
        <f t="shared" si="864"/>
        <v>Def TaxN</v>
      </c>
      <c r="AQ1887" s="41" t="str">
        <f t="shared" si="865"/>
        <v>Def TaxNN10R&amp;D Deferral - Gas</v>
      </c>
      <c r="AR1887" s="41" t="str">
        <f t="shared" si="866"/>
        <v>N10R&amp;D Deferral - GasNCR</v>
      </c>
    </row>
    <row r="1888" spans="1:44" s="41" customFormat="1" ht="12.75" customHeight="1">
      <c r="A1888" s="25" t="s">
        <v>1590</v>
      </c>
      <c r="B1888" s="25" t="str">
        <f t="shared" si="857"/>
        <v>Def Tax190512190-082BTHUNGDT</v>
      </c>
      <c r="C1888" s="736">
        <v>190512</v>
      </c>
      <c r="D1888" s="735" t="s">
        <v>1748</v>
      </c>
      <c r="E1888" s="41" t="s">
        <v>1624</v>
      </c>
      <c r="F1888" s="41" t="str">
        <f t="shared" si="855"/>
        <v>ADIT-REG-STATE-GAS</v>
      </c>
      <c r="G1888" s="41" t="s">
        <v>1749</v>
      </c>
      <c r="H1888" s="736">
        <v>0</v>
      </c>
      <c r="I1888" s="25"/>
      <c r="J1888" s="25" t="str">
        <f t="shared" si="856"/>
        <v/>
      </c>
      <c r="K1888" s="442" t="str">
        <f t="shared" si="852"/>
        <v/>
      </c>
      <c r="L1888" s="736" t="s">
        <v>2443</v>
      </c>
      <c r="M1888" s="25" t="str">
        <f t="shared" si="881"/>
        <v>R</v>
      </c>
      <c r="N1888" s="25" t="str">
        <f>IF(L1888&lt;&gt;"",VLOOKUP(L1888,Categories!$B$2:$D$41,2,FALSE),IF(F1888&lt;&gt;"","No Cat",""))</f>
        <v>Rate Base</v>
      </c>
      <c r="O1888" s="25" t="str">
        <f>IF($L1888&lt;&gt;"",VLOOKUP($L1888,Categories!$B$2:$D$41,3,FALSE),IF($F1888&lt;&gt;"","No Cat",""))</f>
        <v>Deferred Income Taxes</v>
      </c>
      <c r="P1888" s="736" t="s">
        <v>2483</v>
      </c>
      <c r="Q1888" s="25" t="str">
        <f>VLOOKUP($P1888,Allocators!$B$7:$F$19,5,FALSE)</f>
        <v>Gas</v>
      </c>
      <c r="R1888" s="737">
        <f>VLOOKUP($P1888,Allocators!$B$7:$F$19,2,FALSE)</f>
        <v>0</v>
      </c>
      <c r="S1888" s="737">
        <f>VLOOKUP($P1888,Allocators!$B$7:$F$19,3,FALSE)</f>
        <v>1</v>
      </c>
      <c r="T1888" s="737" t="str">
        <f t="shared" si="861"/>
        <v>0.0%</v>
      </c>
      <c r="U1888" s="2" t="str">
        <f t="shared" si="882"/>
        <v/>
      </c>
      <c r="V1888" s="2" t="str">
        <f t="shared" si="883"/>
        <v/>
      </c>
      <c r="W1888" s="2" t="str">
        <f t="shared" si="884"/>
        <v/>
      </c>
      <c r="X1888" s="2">
        <f t="shared" si="874"/>
        <v>0</v>
      </c>
      <c r="Y1888" s="2" t="str">
        <f t="shared" si="885"/>
        <v/>
      </c>
      <c r="Z1888" s="2" t="str">
        <f t="shared" si="886"/>
        <v/>
      </c>
      <c r="AA1888" s="2" t="str">
        <f t="shared" si="887"/>
        <v/>
      </c>
      <c r="AB1888" s="2">
        <f t="shared" si="875"/>
        <v>0</v>
      </c>
      <c r="AC1888" s="625">
        <v>0</v>
      </c>
      <c r="AD1888" s="625">
        <v>0</v>
      </c>
      <c r="AE1888" s="625">
        <v>0</v>
      </c>
      <c r="AF1888" s="625">
        <v>0</v>
      </c>
      <c r="AG1888" s="625">
        <v>0</v>
      </c>
      <c r="AH1888" s="625">
        <v>0</v>
      </c>
      <c r="AI1888" s="625">
        <v>0</v>
      </c>
      <c r="AJ1888" s="625">
        <v>0</v>
      </c>
      <c r="AK1888" s="625">
        <v>0</v>
      </c>
      <c r="AL1888" s="625">
        <v>0</v>
      </c>
      <c r="AM1888" s="625">
        <v>0</v>
      </c>
      <c r="AN1888" s="625">
        <v>0</v>
      </c>
      <c r="AO1888" s="625">
        <v>0</v>
      </c>
      <c r="AP1888" s="41" t="str">
        <f t="shared" si="864"/>
        <v>Def TaxR</v>
      </c>
      <c r="AQ1888" s="41" t="str">
        <f t="shared" si="865"/>
        <v>Def TaxRR110</v>
      </c>
      <c r="AR1888" s="41" t="str">
        <f t="shared" si="866"/>
        <v>R110</v>
      </c>
    </row>
    <row r="1889" spans="1:44" s="41" customFormat="1" ht="12.75" customHeight="1">
      <c r="A1889" s="442" t="s">
        <v>1590</v>
      </c>
      <c r="B1889" s="442" t="str">
        <f t="shared" si="857"/>
        <v>Def Tax190512CROBG030599</v>
      </c>
      <c r="C1889" s="736">
        <v>190512</v>
      </c>
      <c r="D1889" s="735" t="s">
        <v>1931</v>
      </c>
      <c r="E1889" s="626" t="s">
        <v>1288</v>
      </c>
      <c r="F1889" s="626" t="str">
        <f t="shared" si="855"/>
        <v>ADIT-REG-STATE-GAS</v>
      </c>
      <c r="G1889" s="626" t="s">
        <v>1932</v>
      </c>
      <c r="H1889" s="736" t="s">
        <v>1195</v>
      </c>
      <c r="I1889" s="442"/>
      <c r="J1889" s="442" t="s">
        <v>7</v>
      </c>
      <c r="K1889" s="442" t="str">
        <f t="shared" si="852"/>
        <v/>
      </c>
      <c r="L1889" s="736" t="s">
        <v>2436</v>
      </c>
      <c r="M1889" s="442" t="str">
        <f t="shared" si="881"/>
        <v>N</v>
      </c>
      <c r="N1889" s="442" t="str">
        <f>IF(L1889&lt;&gt;"",VLOOKUP(L1889,Categories!$B$2:$D$41,2,FALSE),IF(F1889&lt;&gt;"","No Cat",""))</f>
        <v>NRBASE</v>
      </c>
      <c r="O1889" s="442" t="str">
        <f>IF($L1889&lt;&gt;"",VLOOKUP($L1889,Categories!$B$2:$D$41,3,FALSE),IF($F1889&lt;&gt;"","No Cat",""))</f>
        <v>Deferrals Accruing Non-Cash Return   (other than ASGA)</v>
      </c>
      <c r="P1889" s="736" t="s">
        <v>2468</v>
      </c>
      <c r="Q1889" s="442" t="str">
        <f>VLOOKUP($P1889,Allocators!$B$7:$F$19,5,FALSE)</f>
        <v>Not in Rate Base</v>
      </c>
      <c r="R1889" s="737">
        <f>VLOOKUP($P1889,Allocators!$B$7:$F$19,2,FALSE)</f>
        <v>0</v>
      </c>
      <c r="S1889" s="737">
        <f>VLOOKUP($P1889,Allocators!$B$7:$F$19,3,FALSE)</f>
        <v>0</v>
      </c>
      <c r="T1889" s="737">
        <f t="shared" si="861"/>
        <v>1</v>
      </c>
      <c r="U1889" s="2">
        <f t="shared" si="882"/>
        <v>0</v>
      </c>
      <c r="V1889" s="2">
        <f t="shared" si="883"/>
        <v>0</v>
      </c>
      <c r="W1889" s="2">
        <f t="shared" si="884"/>
        <v>26.019771250000002</v>
      </c>
      <c r="X1889" s="2">
        <f t="shared" si="874"/>
        <v>26.019771250000002</v>
      </c>
      <c r="Y1889" s="2">
        <f t="shared" si="885"/>
        <v>0</v>
      </c>
      <c r="Z1889" s="2">
        <f t="shared" si="886"/>
        <v>0</v>
      </c>
      <c r="AA1889" s="2">
        <f t="shared" si="887"/>
        <v>17.37997</v>
      </c>
      <c r="AB1889" s="2">
        <f t="shared" si="875"/>
        <v>17.37997</v>
      </c>
      <c r="AC1889" s="625">
        <v>12.683159999999999</v>
      </c>
      <c r="AD1889" s="625">
        <v>15.83854</v>
      </c>
      <c r="AE1889" s="625">
        <v>22.138080000000002</v>
      </c>
      <c r="AF1889" s="625">
        <v>26.950650000000003</v>
      </c>
      <c r="AG1889" s="625">
        <v>31.221049999999998</v>
      </c>
      <c r="AH1889" s="625">
        <v>36.42436</v>
      </c>
      <c r="AI1889" s="625">
        <v>33.043219999999998</v>
      </c>
      <c r="AJ1889" s="625">
        <v>36.691510000000001</v>
      </c>
      <c r="AK1889" s="625">
        <v>35.231999999999999</v>
      </c>
      <c r="AL1889" s="625">
        <v>29.646429999999999</v>
      </c>
      <c r="AM1889" s="625">
        <v>16.523229999999998</v>
      </c>
      <c r="AN1889" s="625">
        <v>13.49662</v>
      </c>
      <c r="AO1889" s="625">
        <v>17.37997</v>
      </c>
      <c r="AP1889" s="41" t="str">
        <f t="shared" si="864"/>
        <v>Def TaxN</v>
      </c>
      <c r="AQ1889" s="41" t="str">
        <f t="shared" si="865"/>
        <v>Def TaxNN10Incremental Maintenance</v>
      </c>
      <c r="AR1889" s="41" t="str">
        <f t="shared" si="866"/>
        <v>N10Incremental MaintenanceNCR</v>
      </c>
    </row>
    <row r="1890" spans="1:44" s="41" customFormat="1" ht="12.75" customHeight="1">
      <c r="A1890" s="25" t="s">
        <v>1590</v>
      </c>
      <c r="B1890" s="25" t="str">
        <f t="shared" si="857"/>
        <v>Def Tax190512283-075BT010086</v>
      </c>
      <c r="C1890" s="736">
        <v>190512</v>
      </c>
      <c r="D1890" s="735" t="s">
        <v>2016</v>
      </c>
      <c r="E1890" s="41" t="s">
        <v>2017</v>
      </c>
      <c r="F1890" s="41" t="str">
        <f t="shared" si="855"/>
        <v>ADIT-REG-STATE-GAS</v>
      </c>
      <c r="G1890" s="41" t="s">
        <v>2018</v>
      </c>
      <c r="H1890" s="736" t="s">
        <v>814</v>
      </c>
      <c r="I1890" s="25"/>
      <c r="J1890" s="25" t="str">
        <f t="shared" si="856"/>
        <v/>
      </c>
      <c r="K1890" s="442" t="str">
        <f t="shared" si="852"/>
        <v/>
      </c>
      <c r="L1890" s="736" t="s">
        <v>2443</v>
      </c>
      <c r="M1890" s="25" t="str">
        <f t="shared" si="881"/>
        <v>R</v>
      </c>
      <c r="N1890" s="25" t="str">
        <f>IF(L1890&lt;&gt;"",VLOOKUP(L1890,Categories!$B$2:$D$41,2,FALSE),IF(F1890&lt;&gt;"","No Cat",""))</f>
        <v>Rate Base</v>
      </c>
      <c r="O1890" s="25" t="str">
        <f>IF($L1890&lt;&gt;"",VLOOKUP($L1890,Categories!$B$2:$D$41,3,FALSE),IF($F1890&lt;&gt;"","No Cat",""))</f>
        <v>Deferred Income Taxes</v>
      </c>
      <c r="P1890" s="736" t="s">
        <v>2483</v>
      </c>
      <c r="Q1890" s="25" t="str">
        <f>VLOOKUP($P1890,Allocators!$B$7:$F$19,5,FALSE)</f>
        <v>Gas</v>
      </c>
      <c r="R1890" s="737">
        <f>VLOOKUP($P1890,Allocators!$B$7:$F$19,2,FALSE)</f>
        <v>0</v>
      </c>
      <c r="S1890" s="737">
        <f>VLOOKUP($P1890,Allocators!$B$7:$F$19,3,FALSE)</f>
        <v>1</v>
      </c>
      <c r="T1890" s="737" t="str">
        <f t="shared" si="861"/>
        <v>0.0%</v>
      </c>
      <c r="U1890" s="2">
        <f t="shared" si="882"/>
        <v>0</v>
      </c>
      <c r="V1890" s="2">
        <f t="shared" si="883"/>
        <v>-42.811050000000002</v>
      </c>
      <c r="W1890" s="2">
        <f t="shared" si="884"/>
        <v>0</v>
      </c>
      <c r="X1890" s="2">
        <f t="shared" si="874"/>
        <v>-42.811050000000002</v>
      </c>
      <c r="Y1890" s="2">
        <f t="shared" si="885"/>
        <v>0</v>
      </c>
      <c r="Z1890" s="2">
        <f t="shared" si="886"/>
        <v>-42.811050000000002</v>
      </c>
      <c r="AA1890" s="2">
        <f t="shared" si="887"/>
        <v>0</v>
      </c>
      <c r="AB1890" s="2">
        <f t="shared" si="875"/>
        <v>-42.811050000000002</v>
      </c>
      <c r="AC1890" s="625">
        <v>-42.811050000000002</v>
      </c>
      <c r="AD1890" s="625">
        <v>-42.811050000000002</v>
      </c>
      <c r="AE1890" s="625">
        <v>-42.811050000000002</v>
      </c>
      <c r="AF1890" s="625">
        <v>-42.811050000000002</v>
      </c>
      <c r="AG1890" s="625">
        <v>-42.811050000000002</v>
      </c>
      <c r="AH1890" s="625">
        <v>-42.811050000000002</v>
      </c>
      <c r="AI1890" s="625">
        <v>-42.811050000000002</v>
      </c>
      <c r="AJ1890" s="625">
        <v>-42.811050000000002</v>
      </c>
      <c r="AK1890" s="625">
        <v>-42.811050000000002</v>
      </c>
      <c r="AL1890" s="625">
        <v>-42.811050000000002</v>
      </c>
      <c r="AM1890" s="625">
        <v>-42.811050000000002</v>
      </c>
      <c r="AN1890" s="625">
        <v>-42.811050000000002</v>
      </c>
      <c r="AO1890" s="625">
        <v>-42.811050000000002</v>
      </c>
      <c r="AP1890" s="41" t="str">
        <f t="shared" si="864"/>
        <v>Def TaxR</v>
      </c>
      <c r="AQ1890" s="41" t="str">
        <f t="shared" si="865"/>
        <v>Def TaxRR11IRS Audit - 1998-2001</v>
      </c>
      <c r="AR1890" s="41" t="str">
        <f t="shared" si="866"/>
        <v>R11IRS Audit - 1998-2001</v>
      </c>
    </row>
    <row r="1891" spans="1:44" s="41" customFormat="1" ht="12.75" customHeight="1">
      <c r="A1891" s="442" t="s">
        <v>1590</v>
      </c>
      <c r="B1891" s="442" t="str">
        <f t="shared" si="857"/>
        <v>Def Tax190512LIPBG030594</v>
      </c>
      <c r="C1891" s="736">
        <v>190512</v>
      </c>
      <c r="D1891" s="735" t="s">
        <v>1936</v>
      </c>
      <c r="E1891" s="626" t="s">
        <v>942</v>
      </c>
      <c r="F1891" s="626" t="str">
        <f t="shared" si="855"/>
        <v>ADIT-REG-STATE-GAS</v>
      </c>
      <c r="G1891" s="626" t="s">
        <v>1937</v>
      </c>
      <c r="H1891" s="736" t="s">
        <v>821</v>
      </c>
      <c r="I1891" s="442"/>
      <c r="J1891" s="442" t="s">
        <v>7</v>
      </c>
      <c r="K1891" s="442" t="str">
        <f t="shared" si="852"/>
        <v/>
      </c>
      <c r="L1891" s="736" t="s">
        <v>2436</v>
      </c>
      <c r="M1891" s="442" t="str">
        <f t="shared" si="881"/>
        <v>N</v>
      </c>
      <c r="N1891" s="442" t="str">
        <f>IF(L1891&lt;&gt;"",VLOOKUP(L1891,Categories!$B$2:$D$41,2,FALSE),IF(F1891&lt;&gt;"","No Cat",""))</f>
        <v>NRBASE</v>
      </c>
      <c r="O1891" s="442" t="str">
        <f>IF($L1891&lt;&gt;"",VLOOKUP($L1891,Categories!$B$2:$D$41,3,FALSE),IF($F1891&lt;&gt;"","No Cat",""))</f>
        <v>Deferrals Accruing Non-Cash Return   (other than ASGA)</v>
      </c>
      <c r="P1891" s="736" t="s">
        <v>2468</v>
      </c>
      <c r="Q1891" s="442" t="str">
        <f>VLOOKUP($P1891,Allocators!$B$7:$F$19,5,FALSE)</f>
        <v>Not in Rate Base</v>
      </c>
      <c r="R1891" s="737">
        <f>VLOOKUP($P1891,Allocators!$B$7:$F$19,2,FALSE)</f>
        <v>0</v>
      </c>
      <c r="S1891" s="737">
        <f>VLOOKUP($P1891,Allocators!$B$7:$F$19,3,FALSE)</f>
        <v>0</v>
      </c>
      <c r="T1891" s="737">
        <f t="shared" si="861"/>
        <v>1</v>
      </c>
      <c r="U1891" s="2">
        <f t="shared" si="882"/>
        <v>0</v>
      </c>
      <c r="V1891" s="2">
        <f t="shared" si="883"/>
        <v>0</v>
      </c>
      <c r="W1891" s="2">
        <f t="shared" si="884"/>
        <v>60.156374999999997</v>
      </c>
      <c r="X1891" s="2">
        <f t="shared" si="874"/>
        <v>60.156374999999997</v>
      </c>
      <c r="Y1891" s="2">
        <f t="shared" si="885"/>
        <v>0</v>
      </c>
      <c r="Z1891" s="2">
        <f t="shared" si="886"/>
        <v>0</v>
      </c>
      <c r="AA1891" s="2">
        <f t="shared" si="887"/>
        <v>69.448040000000006</v>
      </c>
      <c r="AB1891" s="2">
        <f t="shared" si="875"/>
        <v>69.448039999999992</v>
      </c>
      <c r="AC1891" s="625">
        <v>56.894580000000005</v>
      </c>
      <c r="AD1891" s="625">
        <v>56.403190000000002</v>
      </c>
      <c r="AE1891" s="625">
        <v>56.169650000000004</v>
      </c>
      <c r="AF1891" s="625">
        <v>56.348570000000002</v>
      </c>
      <c r="AG1891" s="625">
        <v>56.454320000000003</v>
      </c>
      <c r="AH1891" s="625">
        <v>56.883110000000002</v>
      </c>
      <c r="AI1891" s="625">
        <v>57.614849999999997</v>
      </c>
      <c r="AJ1891" s="625">
        <v>60.658660000000005</v>
      </c>
      <c r="AK1891" s="625">
        <v>62.501609999999999</v>
      </c>
      <c r="AL1891" s="625">
        <v>64.790599999999998</v>
      </c>
      <c r="AM1891" s="625">
        <v>64.130250000000004</v>
      </c>
      <c r="AN1891" s="625">
        <v>66.750380000000007</v>
      </c>
      <c r="AO1891" s="625">
        <v>69.448039999999992</v>
      </c>
      <c r="AP1891" s="41" t="str">
        <f t="shared" si="864"/>
        <v>Def TaxN</v>
      </c>
      <c r="AQ1891" s="41" t="str">
        <f t="shared" si="865"/>
        <v>Def TaxNN10Low Income</v>
      </c>
      <c r="AR1891" s="41" t="str">
        <f t="shared" si="866"/>
        <v>N10Low IncomeNCR</v>
      </c>
    </row>
    <row r="1892" spans="1:44" s="41" customFormat="1" ht="12.75" customHeight="1">
      <c r="A1892" s="25" t="s">
        <v>1590</v>
      </c>
      <c r="B1892" s="25" t="str">
        <f t="shared" si="857"/>
        <v>Def Tax190512190-107BT010124</v>
      </c>
      <c r="C1892" s="736">
        <v>190512</v>
      </c>
      <c r="D1892" s="735" t="s">
        <v>1768</v>
      </c>
      <c r="E1892" s="41" t="s">
        <v>1938</v>
      </c>
      <c r="F1892" s="41" t="str">
        <f t="shared" si="855"/>
        <v>ADIT-REG-STATE-GAS</v>
      </c>
      <c r="G1892" s="41" t="s">
        <v>1769</v>
      </c>
      <c r="H1892" s="736" t="s">
        <v>1118</v>
      </c>
      <c r="I1892" s="25"/>
      <c r="J1892" s="25" t="str">
        <f t="shared" si="856"/>
        <v/>
      </c>
      <c r="K1892" s="442" t="str">
        <f t="shared" si="852"/>
        <v/>
      </c>
      <c r="L1892" s="736" t="s">
        <v>2443</v>
      </c>
      <c r="M1892" s="25" t="str">
        <f t="shared" si="881"/>
        <v>R</v>
      </c>
      <c r="N1892" s="25" t="str">
        <f>IF(L1892&lt;&gt;"",VLOOKUP(L1892,Categories!$B$2:$D$41,2,FALSE),IF(F1892&lt;&gt;"","No Cat",""))</f>
        <v>Rate Base</v>
      </c>
      <c r="O1892" s="25" t="str">
        <f>IF($L1892&lt;&gt;"",VLOOKUP($L1892,Categories!$B$2:$D$41,3,FALSE),IF($F1892&lt;&gt;"","No Cat",""))</f>
        <v>Deferred Income Taxes</v>
      </c>
      <c r="P1892" s="736" t="s">
        <v>2483</v>
      </c>
      <c r="Q1892" s="25" t="str">
        <f>VLOOKUP($P1892,Allocators!$B$7:$F$19,5,FALSE)</f>
        <v>Gas</v>
      </c>
      <c r="R1892" s="737">
        <f>VLOOKUP($P1892,Allocators!$B$7:$F$19,2,FALSE)</f>
        <v>0</v>
      </c>
      <c r="S1892" s="737">
        <f>VLOOKUP($P1892,Allocators!$B$7:$F$19,3,FALSE)</f>
        <v>1</v>
      </c>
      <c r="T1892" s="737" t="str">
        <f t="shared" si="861"/>
        <v>0.0%</v>
      </c>
      <c r="U1892" s="2" t="str">
        <f t="shared" si="882"/>
        <v/>
      </c>
      <c r="V1892" s="2" t="str">
        <f t="shared" si="883"/>
        <v/>
      </c>
      <c r="W1892" s="2" t="str">
        <f t="shared" si="884"/>
        <v/>
      </c>
      <c r="X1892" s="2">
        <f t="shared" si="874"/>
        <v>0</v>
      </c>
      <c r="Y1892" s="2" t="str">
        <f t="shared" si="885"/>
        <v/>
      </c>
      <c r="Z1892" s="2" t="str">
        <f t="shared" si="886"/>
        <v/>
      </c>
      <c r="AA1892" s="2" t="str">
        <f t="shared" si="887"/>
        <v/>
      </c>
      <c r="AB1892" s="2">
        <f t="shared" si="875"/>
        <v>0</v>
      </c>
      <c r="AC1892" s="625">
        <v>0</v>
      </c>
      <c r="AD1892" s="625">
        <v>0</v>
      </c>
      <c r="AE1892" s="625">
        <v>0</v>
      </c>
      <c r="AF1892" s="625">
        <v>0</v>
      </c>
      <c r="AG1892" s="625">
        <v>0</v>
      </c>
      <c r="AH1892" s="625">
        <v>0</v>
      </c>
      <c r="AI1892" s="625">
        <v>0</v>
      </c>
      <c r="AJ1892" s="625">
        <v>0</v>
      </c>
      <c r="AK1892" s="625">
        <v>0</v>
      </c>
      <c r="AL1892" s="625">
        <v>0</v>
      </c>
      <c r="AM1892" s="625">
        <v>0</v>
      </c>
      <c r="AN1892" s="625">
        <v>0</v>
      </c>
      <c r="AO1892" s="625">
        <v>0</v>
      </c>
      <c r="AP1892" s="41" t="str">
        <f t="shared" si="864"/>
        <v>Def TaxR</v>
      </c>
      <c r="AQ1892" s="41" t="str">
        <f t="shared" si="865"/>
        <v>Def TaxRR11Medicare Part D</v>
      </c>
      <c r="AR1892" s="41" t="str">
        <f t="shared" si="866"/>
        <v>R11Medicare Part D</v>
      </c>
    </row>
    <row r="1893" spans="1:44" s="41" customFormat="1" ht="12.75" customHeight="1">
      <c r="A1893" s="25" t="s">
        <v>1590</v>
      </c>
      <c r="B1893" s="25" t="str">
        <f t="shared" si="857"/>
        <v>Def Tax190512283-073-JPBG030247</v>
      </c>
      <c r="C1893" s="736">
        <v>190512</v>
      </c>
      <c r="D1893" s="735" t="s">
        <v>2050</v>
      </c>
      <c r="E1893" s="41" t="s">
        <v>1231</v>
      </c>
      <c r="F1893" s="41" t="str">
        <f t="shared" si="855"/>
        <v>ADIT-REG-STATE-GAS</v>
      </c>
      <c r="G1893" s="41" t="s">
        <v>2021</v>
      </c>
      <c r="H1893" s="736" t="s">
        <v>1234</v>
      </c>
      <c r="I1893" s="25"/>
      <c r="J1893" s="25" t="str">
        <f t="shared" si="856"/>
        <v/>
      </c>
      <c r="K1893" s="442" t="str">
        <f t="shared" si="852"/>
        <v/>
      </c>
      <c r="L1893" s="736" t="s">
        <v>2443</v>
      </c>
      <c r="M1893" s="25" t="str">
        <f t="shared" si="881"/>
        <v>R</v>
      </c>
      <c r="N1893" s="25" t="str">
        <f>IF(L1893&lt;&gt;"",VLOOKUP(L1893,Categories!$B$2:$D$41,2,FALSE),IF(F1893&lt;&gt;"","No Cat",""))</f>
        <v>Rate Base</v>
      </c>
      <c r="O1893" s="25" t="str">
        <f>IF($L1893&lt;&gt;"",VLOOKUP($L1893,Categories!$B$2:$D$41,3,FALSE),IF($F1893&lt;&gt;"","No Cat",""))</f>
        <v>Deferred Income Taxes</v>
      </c>
      <c r="P1893" s="736" t="s">
        <v>2483</v>
      </c>
      <c r="Q1893" s="25" t="str">
        <f>VLOOKUP($P1893,Allocators!$B$7:$F$19,5,FALSE)</f>
        <v>Gas</v>
      </c>
      <c r="R1893" s="737">
        <f>VLOOKUP($P1893,Allocators!$B$7:$F$19,2,FALSE)</f>
        <v>0</v>
      </c>
      <c r="S1893" s="737">
        <f>VLOOKUP($P1893,Allocators!$B$7:$F$19,3,FALSE)</f>
        <v>1</v>
      </c>
      <c r="T1893" s="737" t="str">
        <f t="shared" si="861"/>
        <v>0.0%</v>
      </c>
      <c r="U1893" s="2">
        <f t="shared" si="882"/>
        <v>0</v>
      </c>
      <c r="V1893" s="2">
        <f t="shared" si="883"/>
        <v>233.05994250000001</v>
      </c>
      <c r="W1893" s="2">
        <f t="shared" si="884"/>
        <v>0</v>
      </c>
      <c r="X1893" s="2">
        <f t="shared" si="874"/>
        <v>233.05994250000001</v>
      </c>
      <c r="Y1893" s="2">
        <f t="shared" si="885"/>
        <v>0</v>
      </c>
      <c r="Z1893" s="2">
        <f t="shared" si="886"/>
        <v>157.08024</v>
      </c>
      <c r="AA1893" s="2">
        <f t="shared" si="887"/>
        <v>0</v>
      </c>
      <c r="AB1893" s="2">
        <f t="shared" si="875"/>
        <v>157.08024</v>
      </c>
      <c r="AC1893" s="625">
        <v>195.42699999999999</v>
      </c>
      <c r="AD1893" s="625">
        <v>245.49202</v>
      </c>
      <c r="AE1893" s="625">
        <v>283.61212999999998</v>
      </c>
      <c r="AF1893" s="625">
        <v>319.23917999999998</v>
      </c>
      <c r="AG1893" s="625">
        <v>316.38691</v>
      </c>
      <c r="AH1893" s="625">
        <v>294.03305999999998</v>
      </c>
      <c r="AI1893" s="625">
        <v>264.51491999999996</v>
      </c>
      <c r="AJ1893" s="625">
        <v>233.49687</v>
      </c>
      <c r="AK1893" s="625">
        <v>198.94202999999999</v>
      </c>
      <c r="AL1893" s="625">
        <v>168.21035000000001</v>
      </c>
      <c r="AM1893" s="625">
        <v>145.64798999999999</v>
      </c>
      <c r="AN1893" s="625">
        <v>150.89023</v>
      </c>
      <c r="AO1893" s="625">
        <v>157.08024</v>
      </c>
      <c r="AP1893" s="41" t="str">
        <f t="shared" si="864"/>
        <v>Def TaxR</v>
      </c>
      <c r="AQ1893" s="41" t="str">
        <f t="shared" si="865"/>
        <v>Def TaxRR11Merchant Function Charge-Gas</v>
      </c>
      <c r="AR1893" s="41" t="str">
        <f t="shared" si="866"/>
        <v>R11Merchant Function Charge-Gas</v>
      </c>
    </row>
    <row r="1894" spans="1:44" s="41" customFormat="1" ht="12.75" customHeight="1">
      <c r="A1894" s="442" t="s">
        <v>1590</v>
      </c>
      <c r="B1894" s="442" t="str">
        <f t="shared" si="857"/>
        <v>Def Tax190512Mgt AuditBG030596</v>
      </c>
      <c r="C1894" s="736">
        <v>190512</v>
      </c>
      <c r="D1894" s="735" t="s">
        <v>1939</v>
      </c>
      <c r="E1894" s="626" t="s">
        <v>1286</v>
      </c>
      <c r="F1894" s="626" t="str">
        <f t="shared" si="855"/>
        <v>ADIT-REG-STATE-GAS</v>
      </c>
      <c r="G1894" s="626" t="s">
        <v>1940</v>
      </c>
      <c r="H1894" s="736" t="s">
        <v>1192</v>
      </c>
      <c r="I1894" s="442"/>
      <c r="J1894" s="442" t="s">
        <v>7</v>
      </c>
      <c r="K1894" s="442" t="str">
        <f t="shared" si="852"/>
        <v/>
      </c>
      <c r="L1894" s="736" t="s">
        <v>2436</v>
      </c>
      <c r="M1894" s="442" t="str">
        <f t="shared" si="881"/>
        <v>N</v>
      </c>
      <c r="N1894" s="442" t="str">
        <f>IF(L1894&lt;&gt;"",VLOOKUP(L1894,Categories!$B$2:$D$41,2,FALSE),IF(F1894&lt;&gt;"","No Cat",""))</f>
        <v>NRBASE</v>
      </c>
      <c r="O1894" s="442" t="str">
        <f>IF($L1894&lt;&gt;"",VLOOKUP($L1894,Categories!$B$2:$D$41,3,FALSE),IF($F1894&lt;&gt;"","No Cat",""))</f>
        <v>Deferrals Accruing Non-Cash Return   (other than ASGA)</v>
      </c>
      <c r="P1894" s="736" t="s">
        <v>2468</v>
      </c>
      <c r="Q1894" s="442" t="str">
        <f>VLOOKUP($P1894,Allocators!$B$7:$F$19,5,FALSE)</f>
        <v>Not in Rate Base</v>
      </c>
      <c r="R1894" s="737">
        <f>VLOOKUP($P1894,Allocators!$B$7:$F$19,2,FALSE)</f>
        <v>0</v>
      </c>
      <c r="S1894" s="737">
        <f>VLOOKUP($P1894,Allocators!$B$7:$F$19,3,FALSE)</f>
        <v>0</v>
      </c>
      <c r="T1894" s="737">
        <f t="shared" si="861"/>
        <v>1</v>
      </c>
      <c r="U1894" s="2">
        <f t="shared" si="882"/>
        <v>0</v>
      </c>
      <c r="V1894" s="2">
        <f t="shared" si="883"/>
        <v>0</v>
      </c>
      <c r="W1894" s="2">
        <f t="shared" si="884"/>
        <v>-0.10375375000000001</v>
      </c>
      <c r="X1894" s="2">
        <f t="shared" si="874"/>
        <v>-0.10375375000000001</v>
      </c>
      <c r="Y1894" s="2">
        <f t="shared" si="885"/>
        <v>0</v>
      </c>
      <c r="Z1894" s="2">
        <f t="shared" si="886"/>
        <v>0</v>
      </c>
      <c r="AA1894" s="2">
        <f t="shared" si="887"/>
        <v>2.4639000000000002</v>
      </c>
      <c r="AB1894" s="2">
        <f t="shared" si="875"/>
        <v>2.4639000000000002</v>
      </c>
      <c r="AC1894" s="625">
        <v>-2.6735100000000003</v>
      </c>
      <c r="AD1894" s="625">
        <v>-2.24491</v>
      </c>
      <c r="AE1894" s="625">
        <v>-1.8164</v>
      </c>
      <c r="AF1894" s="625">
        <v>-1.3879699999999999</v>
      </c>
      <c r="AG1894" s="625">
        <v>-0.95962999999999998</v>
      </c>
      <c r="AH1894" s="625">
        <v>-0.53137999999999996</v>
      </c>
      <c r="AI1894" s="625">
        <v>-0.10321999999999999</v>
      </c>
      <c r="AJ1894" s="625">
        <v>0.32486000000000004</v>
      </c>
      <c r="AK1894" s="625">
        <v>0.75285000000000002</v>
      </c>
      <c r="AL1894" s="625">
        <v>1.1807399999999999</v>
      </c>
      <c r="AM1894" s="625">
        <v>1.6085499999999999</v>
      </c>
      <c r="AN1894" s="625">
        <v>2.03627</v>
      </c>
      <c r="AO1894" s="625">
        <v>2.4639000000000002</v>
      </c>
      <c r="AP1894" s="41" t="str">
        <f t="shared" si="864"/>
        <v>Def TaxN</v>
      </c>
      <c r="AQ1894" s="41" t="str">
        <f t="shared" si="865"/>
        <v>Def TaxNN10Management Audit Deferral</v>
      </c>
      <c r="AR1894" s="41" t="str">
        <f t="shared" si="866"/>
        <v>N10Management Audit DeferralNCR</v>
      </c>
    </row>
    <row r="1895" spans="1:44" s="41" customFormat="1" ht="12.75" customHeight="1">
      <c r="A1895" s="442" t="s">
        <v>1590</v>
      </c>
      <c r="B1895" s="442" t="str">
        <f t="shared" ref="B1895" si="888">CONCATENATE(A1895,C1895,D1895,E1895)</f>
        <v>Def Tax190512BT010154</v>
      </c>
      <c r="C1895" s="736">
        <v>190512</v>
      </c>
      <c r="D1895" s="735"/>
      <c r="E1895" s="626" t="s">
        <v>4117</v>
      </c>
      <c r="F1895" s="626" t="str">
        <f t="shared" si="855"/>
        <v>ADIT-REG-STATE-GAS</v>
      </c>
      <c r="G1895" s="626" t="s">
        <v>4103</v>
      </c>
      <c r="H1895" s="736" t="s">
        <v>4103</v>
      </c>
      <c r="I1895" s="25"/>
      <c r="J1895" s="25" t="str">
        <f t="shared" ref="J1895" si="889">IF(L1895="N10","Y",IF(L1895="N8","Y",""))</f>
        <v/>
      </c>
      <c r="K1895" s="442" t="str">
        <f t="shared" si="852"/>
        <v/>
      </c>
      <c r="L1895" s="736" t="s">
        <v>2443</v>
      </c>
      <c r="M1895" s="442" t="str">
        <f t="shared" ref="M1895" si="890">LEFT(L1895,1)</f>
        <v>R</v>
      </c>
      <c r="N1895" s="442" t="str">
        <f>IF(L1895&lt;&gt;"",VLOOKUP(L1895,Categories!$B$2:$D$41,2,FALSE),IF(F1895&lt;&gt;"","No Cat",""))</f>
        <v>Rate Base</v>
      </c>
      <c r="O1895" s="442" t="str">
        <f>IF($L1895&lt;&gt;"",VLOOKUP($L1895,Categories!$B$2:$D$41,3,FALSE),IF($F1895&lt;&gt;"","No Cat",""))</f>
        <v>Deferred Income Taxes</v>
      </c>
      <c r="P1895" s="736" t="s">
        <v>2483</v>
      </c>
      <c r="Q1895" s="442" t="str">
        <f>VLOOKUP($P1895,Allocators!$B$7:$F$19,5,FALSE)</f>
        <v>Gas</v>
      </c>
      <c r="R1895" s="737">
        <f>VLOOKUP($P1895,Allocators!$B$7:$F$19,2,FALSE)</f>
        <v>0</v>
      </c>
      <c r="S1895" s="737">
        <f>VLOOKUP($P1895,Allocators!$B$7:$F$19,3,FALSE)</f>
        <v>1</v>
      </c>
      <c r="T1895" s="737" t="str">
        <f t="shared" ref="T1895" si="891">IF(P1895="N",1,"0.0%")</f>
        <v>0.0%</v>
      </c>
      <c r="U1895" s="2">
        <f t="shared" si="882"/>
        <v>0</v>
      </c>
      <c r="V1895" s="2">
        <f t="shared" si="883"/>
        <v>18.609179999999999</v>
      </c>
      <c r="W1895" s="2">
        <f t="shared" si="884"/>
        <v>0</v>
      </c>
      <c r="X1895" s="2">
        <f t="shared" si="874"/>
        <v>18.609179999999999</v>
      </c>
      <c r="Y1895" s="2">
        <f t="shared" si="885"/>
        <v>0</v>
      </c>
      <c r="Z1895" s="2">
        <f t="shared" si="886"/>
        <v>4.7434399999999997</v>
      </c>
      <c r="AA1895" s="2">
        <f t="shared" si="887"/>
        <v>0</v>
      </c>
      <c r="AB1895" s="2">
        <f t="shared" si="875"/>
        <v>4.7434399999999997</v>
      </c>
      <c r="AC1895" s="625">
        <v>20.59</v>
      </c>
      <c r="AD1895" s="625">
        <v>20.59</v>
      </c>
      <c r="AE1895" s="625">
        <v>20.59</v>
      </c>
      <c r="AF1895" s="625">
        <v>20.59</v>
      </c>
      <c r="AG1895" s="625">
        <v>20.59</v>
      </c>
      <c r="AH1895" s="625">
        <v>20.59</v>
      </c>
      <c r="AI1895" s="625">
        <v>20.59</v>
      </c>
      <c r="AJ1895" s="625">
        <v>20.59</v>
      </c>
      <c r="AK1895" s="625">
        <v>20.59</v>
      </c>
      <c r="AL1895" s="625">
        <v>20.59</v>
      </c>
      <c r="AM1895" s="625">
        <v>20.59</v>
      </c>
      <c r="AN1895" s="625">
        <v>4.7434399999999997</v>
      </c>
      <c r="AO1895" s="625">
        <v>4.7434399999999997</v>
      </c>
      <c r="AP1895" s="41" t="str">
        <f t="shared" si="864"/>
        <v>Def TaxR</v>
      </c>
      <c r="AQ1895" s="41" t="str">
        <f t="shared" si="865"/>
        <v>Def TaxRR11Net Plant Reconciliation</v>
      </c>
      <c r="AR1895" s="41" t="str">
        <f t="shared" si="866"/>
        <v>R11Net Plant Reconciliation</v>
      </c>
    </row>
    <row r="1896" spans="1:44" s="41" customFormat="1" ht="12.75" customHeight="1">
      <c r="A1896" s="25" t="s">
        <v>1590</v>
      </c>
      <c r="B1896" s="25" t="str">
        <f t="shared" si="857"/>
        <v>Def Tax190512NY Rate ChangeBT010338</v>
      </c>
      <c r="C1896" s="736">
        <v>190512</v>
      </c>
      <c r="D1896" s="735" t="s">
        <v>2022</v>
      </c>
      <c r="E1896" s="41" t="s">
        <v>2023</v>
      </c>
      <c r="F1896" s="41" t="str">
        <f t="shared" si="855"/>
        <v>ADIT-REG-STATE-GAS</v>
      </c>
      <c r="G1896" s="41" t="s">
        <v>2024</v>
      </c>
      <c r="H1896" s="736" t="s">
        <v>1125</v>
      </c>
      <c r="I1896" s="25"/>
      <c r="J1896" s="25" t="str">
        <f t="shared" si="856"/>
        <v/>
      </c>
      <c r="K1896" s="442" t="str">
        <f t="shared" si="852"/>
        <v/>
      </c>
      <c r="L1896" s="736" t="s">
        <v>2443</v>
      </c>
      <c r="M1896" s="25" t="str">
        <f t="shared" si="881"/>
        <v>R</v>
      </c>
      <c r="N1896" s="25" t="str">
        <f>IF(L1896&lt;&gt;"",VLOOKUP(L1896,Categories!$B$2:$D$41,2,FALSE),IF(F1896&lt;&gt;"","No Cat",""))</f>
        <v>Rate Base</v>
      </c>
      <c r="O1896" s="25" t="str">
        <f>IF($L1896&lt;&gt;"",VLOOKUP($L1896,Categories!$B$2:$D$41,3,FALSE),IF($F1896&lt;&gt;"","No Cat",""))</f>
        <v>Deferred Income Taxes</v>
      </c>
      <c r="P1896" s="736" t="s">
        <v>2483</v>
      </c>
      <c r="Q1896" s="25" t="str">
        <f>VLOOKUP($P1896,Allocators!$B$7:$F$19,5,FALSE)</f>
        <v>Gas</v>
      </c>
      <c r="R1896" s="737">
        <f>VLOOKUP($P1896,Allocators!$B$7:$F$19,2,FALSE)</f>
        <v>0</v>
      </c>
      <c r="S1896" s="737">
        <f>VLOOKUP($P1896,Allocators!$B$7:$F$19,3,FALSE)</f>
        <v>1</v>
      </c>
      <c r="T1896" s="737" t="str">
        <f t="shared" si="861"/>
        <v>0.0%</v>
      </c>
      <c r="U1896" s="2">
        <f t="shared" si="882"/>
        <v>0</v>
      </c>
      <c r="V1896" s="2">
        <f t="shared" si="883"/>
        <v>36.615600000000001</v>
      </c>
      <c r="W1896" s="2">
        <f t="shared" si="884"/>
        <v>0</v>
      </c>
      <c r="X1896" s="2">
        <f t="shared" si="874"/>
        <v>36.615600000000001</v>
      </c>
      <c r="Y1896" s="2">
        <f t="shared" si="885"/>
        <v>0</v>
      </c>
      <c r="Z1896" s="2">
        <f t="shared" si="886"/>
        <v>36.615600000000001</v>
      </c>
      <c r="AA1896" s="2">
        <f t="shared" si="887"/>
        <v>0</v>
      </c>
      <c r="AB1896" s="2">
        <f t="shared" si="875"/>
        <v>36.615600000000001</v>
      </c>
      <c r="AC1896" s="625">
        <v>36.615600000000001</v>
      </c>
      <c r="AD1896" s="625">
        <v>36.615600000000001</v>
      </c>
      <c r="AE1896" s="625">
        <v>36.615600000000001</v>
      </c>
      <c r="AF1896" s="625">
        <v>36.615600000000001</v>
      </c>
      <c r="AG1896" s="625">
        <v>36.615600000000001</v>
      </c>
      <c r="AH1896" s="625">
        <v>36.615600000000001</v>
      </c>
      <c r="AI1896" s="625">
        <v>36.615600000000001</v>
      </c>
      <c r="AJ1896" s="625">
        <v>36.615600000000001</v>
      </c>
      <c r="AK1896" s="625">
        <v>36.615600000000001</v>
      </c>
      <c r="AL1896" s="625">
        <v>36.615600000000001</v>
      </c>
      <c r="AM1896" s="625">
        <v>36.615600000000001</v>
      </c>
      <c r="AN1896" s="625">
        <v>36.615600000000001</v>
      </c>
      <c r="AO1896" s="625">
        <v>36.615600000000001</v>
      </c>
      <c r="AP1896" s="41" t="str">
        <f t="shared" si="864"/>
        <v>Def TaxR</v>
      </c>
      <c r="AQ1896" s="41" t="str">
        <f t="shared" si="865"/>
        <v>Def TaxRR11NYS Tax Rate to 7.1%</v>
      </c>
      <c r="AR1896" s="41" t="str">
        <f t="shared" si="866"/>
        <v>R11NYS Tax Rate to 7.1%</v>
      </c>
    </row>
    <row r="1897" spans="1:44" s="41" customFormat="1" ht="12.75" customHeight="1">
      <c r="A1897" s="25" t="s">
        <v>1590</v>
      </c>
      <c r="B1897" s="25" t="str">
        <f t="shared" si="857"/>
        <v>Def Tax190512190-112</v>
      </c>
      <c r="C1897" s="736">
        <v>190512</v>
      </c>
      <c r="D1897" s="735" t="s">
        <v>1951</v>
      </c>
      <c r="F1897" s="41" t="str">
        <f t="shared" si="855"/>
        <v>ADIT-REG-STATE-GAS</v>
      </c>
      <c r="G1897" s="41" t="s">
        <v>1953</v>
      </c>
      <c r="H1897" s="736" t="s">
        <v>1125</v>
      </c>
      <c r="I1897" s="25"/>
      <c r="J1897" s="25" t="str">
        <f t="shared" si="856"/>
        <v/>
      </c>
      <c r="K1897" s="442" t="str">
        <f t="shared" si="852"/>
        <v/>
      </c>
      <c r="L1897" s="736" t="s">
        <v>2443</v>
      </c>
      <c r="M1897" s="25" t="str">
        <f t="shared" si="881"/>
        <v>R</v>
      </c>
      <c r="N1897" s="25" t="str">
        <f>IF(L1897&lt;&gt;"",VLOOKUP(L1897,Categories!$B$2:$D$41,2,FALSE),IF(F1897&lt;&gt;"","No Cat",""))</f>
        <v>Rate Base</v>
      </c>
      <c r="O1897" s="25" t="str">
        <f>IF($L1897&lt;&gt;"",VLOOKUP($L1897,Categories!$B$2:$D$41,3,FALSE),IF($F1897&lt;&gt;"","No Cat",""))</f>
        <v>Deferred Income Taxes</v>
      </c>
      <c r="P1897" s="736" t="s">
        <v>2483</v>
      </c>
      <c r="Q1897" s="25" t="str">
        <f>VLOOKUP($P1897,Allocators!$B$7:$F$19,5,FALSE)</f>
        <v>Gas</v>
      </c>
      <c r="R1897" s="737">
        <f>VLOOKUP($P1897,Allocators!$B$7:$F$19,2,FALSE)</f>
        <v>0</v>
      </c>
      <c r="S1897" s="737">
        <f>VLOOKUP($P1897,Allocators!$B$7:$F$19,3,FALSE)</f>
        <v>1</v>
      </c>
      <c r="T1897" s="737" t="str">
        <f t="shared" si="861"/>
        <v>0.0%</v>
      </c>
      <c r="U1897" s="2" t="str">
        <f t="shared" si="882"/>
        <v/>
      </c>
      <c r="V1897" s="2" t="str">
        <f t="shared" si="883"/>
        <v/>
      </c>
      <c r="W1897" s="2" t="str">
        <f t="shared" si="884"/>
        <v/>
      </c>
      <c r="X1897" s="2">
        <f t="shared" si="874"/>
        <v>0</v>
      </c>
      <c r="Y1897" s="2" t="str">
        <f t="shared" si="885"/>
        <v/>
      </c>
      <c r="Z1897" s="2" t="str">
        <f t="shared" si="886"/>
        <v/>
      </c>
      <c r="AA1897" s="2" t="str">
        <f t="shared" si="887"/>
        <v/>
      </c>
      <c r="AB1897" s="2">
        <f t="shared" si="875"/>
        <v>0</v>
      </c>
      <c r="AC1897" s="625">
        <v>0</v>
      </c>
      <c r="AD1897" s="625">
        <v>0</v>
      </c>
      <c r="AE1897" s="625">
        <v>0</v>
      </c>
      <c r="AF1897" s="625">
        <v>0</v>
      </c>
      <c r="AG1897" s="625">
        <v>0</v>
      </c>
      <c r="AH1897" s="625">
        <v>0</v>
      </c>
      <c r="AI1897" s="625">
        <v>0</v>
      </c>
      <c r="AJ1897" s="625">
        <v>0</v>
      </c>
      <c r="AK1897" s="625">
        <v>0</v>
      </c>
      <c r="AL1897" s="625">
        <v>0</v>
      </c>
      <c r="AM1897" s="625">
        <v>0</v>
      </c>
      <c r="AN1897" s="625">
        <v>0</v>
      </c>
      <c r="AO1897" s="625">
        <v>0</v>
      </c>
      <c r="AP1897" s="41" t="str">
        <f t="shared" si="864"/>
        <v>Def TaxR</v>
      </c>
      <c r="AQ1897" s="41" t="str">
        <f t="shared" si="865"/>
        <v>Def TaxRR11NYS Tax Rate to 7.1%</v>
      </c>
      <c r="AR1897" s="41" t="str">
        <f t="shared" si="866"/>
        <v>R11NYS Tax Rate to 7.1%</v>
      </c>
    </row>
    <row r="1898" spans="1:44" s="41" customFormat="1" ht="12.75" customHeight="1">
      <c r="A1898" s="25" t="s">
        <v>1590</v>
      </c>
      <c r="B1898" s="25" t="str">
        <f t="shared" si="857"/>
        <v>Def Tax190512PBABDEFAULT</v>
      </c>
      <c r="C1898" s="736">
        <v>190512</v>
      </c>
      <c r="D1898" s="735" t="s">
        <v>1954</v>
      </c>
      <c r="E1898" s="41" t="s">
        <v>1620</v>
      </c>
      <c r="F1898" s="41" t="str">
        <f t="shared" si="855"/>
        <v>ADIT-REG-STATE-GAS</v>
      </c>
      <c r="G1898" s="41" t="s">
        <v>1955</v>
      </c>
      <c r="H1898" s="736" t="s">
        <v>1481</v>
      </c>
      <c r="I1898" s="25"/>
      <c r="J1898" s="25" t="str">
        <f t="shared" si="856"/>
        <v/>
      </c>
      <c r="K1898" s="442" t="str">
        <f t="shared" si="852"/>
        <v/>
      </c>
      <c r="L1898" s="736" t="s">
        <v>2443</v>
      </c>
      <c r="M1898" s="25" t="str">
        <f t="shared" si="881"/>
        <v>R</v>
      </c>
      <c r="N1898" s="25" t="str">
        <f>IF(L1898&lt;&gt;"",VLOOKUP(L1898,Categories!$B$2:$D$41,2,FALSE),IF(F1898&lt;&gt;"","No Cat",""))</f>
        <v>Rate Base</v>
      </c>
      <c r="O1898" s="25" t="str">
        <f>IF($L1898&lt;&gt;"",VLOOKUP($L1898,Categories!$B$2:$D$41,3,FALSE),IF($F1898&lt;&gt;"","No Cat",""))</f>
        <v>Deferred Income Taxes</v>
      </c>
      <c r="P1898" s="736" t="s">
        <v>2483</v>
      </c>
      <c r="Q1898" s="25" t="str">
        <f>VLOOKUP($P1898,Allocators!$B$7:$F$19,5,FALSE)</f>
        <v>Gas</v>
      </c>
      <c r="R1898" s="737">
        <f>VLOOKUP($P1898,Allocators!$B$7:$F$19,2,FALSE)</f>
        <v>0</v>
      </c>
      <c r="S1898" s="737">
        <f>VLOOKUP($P1898,Allocators!$B$7:$F$19,3,FALSE)</f>
        <v>1</v>
      </c>
      <c r="T1898" s="737" t="str">
        <f t="shared" si="861"/>
        <v>0.0%</v>
      </c>
      <c r="U1898" s="2">
        <f t="shared" si="882"/>
        <v>0</v>
      </c>
      <c r="V1898" s="2">
        <f t="shared" si="883"/>
        <v>-24.73265</v>
      </c>
      <c r="W1898" s="2">
        <f t="shared" si="884"/>
        <v>0</v>
      </c>
      <c r="X1898" s="2">
        <f t="shared" si="874"/>
        <v>-24.73265</v>
      </c>
      <c r="Y1898" s="2">
        <f t="shared" si="885"/>
        <v>0</v>
      </c>
      <c r="Z1898" s="2">
        <f t="shared" si="886"/>
        <v>-24.73265</v>
      </c>
      <c r="AA1898" s="2">
        <f t="shared" si="887"/>
        <v>0</v>
      </c>
      <c r="AB1898" s="2">
        <f t="shared" si="875"/>
        <v>-24.732650000000003</v>
      </c>
      <c r="AC1898" s="625">
        <v>-24.732650000000003</v>
      </c>
      <c r="AD1898" s="625">
        <v>-24.732650000000003</v>
      </c>
      <c r="AE1898" s="625">
        <v>-24.732650000000003</v>
      </c>
      <c r="AF1898" s="625">
        <v>-24.732650000000003</v>
      </c>
      <c r="AG1898" s="625">
        <v>-24.732650000000003</v>
      </c>
      <c r="AH1898" s="625">
        <v>-24.732650000000003</v>
      </c>
      <c r="AI1898" s="625">
        <v>-24.732650000000003</v>
      </c>
      <c r="AJ1898" s="625">
        <v>-24.732650000000003</v>
      </c>
      <c r="AK1898" s="625">
        <v>-24.732650000000003</v>
      </c>
      <c r="AL1898" s="625">
        <v>-24.732650000000003</v>
      </c>
      <c r="AM1898" s="625">
        <v>-24.732650000000003</v>
      </c>
      <c r="AN1898" s="625">
        <v>-24.732650000000003</v>
      </c>
      <c r="AO1898" s="625">
        <v>-24.732650000000003</v>
      </c>
      <c r="AP1898" s="41" t="str">
        <f t="shared" si="864"/>
        <v>Def TaxR</v>
      </c>
      <c r="AQ1898" s="41" t="str">
        <f t="shared" si="865"/>
        <v>Def TaxRR11Positive Benefit Adjustment</v>
      </c>
      <c r="AR1898" s="41" t="str">
        <f t="shared" si="866"/>
        <v>R11Positive Benefit Adjustment</v>
      </c>
    </row>
    <row r="1899" spans="1:44" s="41" customFormat="1" ht="12.75" customHeight="1">
      <c r="A1899" s="25" t="s">
        <v>1590</v>
      </c>
      <c r="B1899" s="25" t="str">
        <f t="shared" si="857"/>
        <v>Def Tax190512190-031-JPBT010166</v>
      </c>
      <c r="C1899" s="736">
        <v>190512</v>
      </c>
      <c r="D1899" s="735" t="s">
        <v>1742</v>
      </c>
      <c r="E1899" s="41" t="s">
        <v>1957</v>
      </c>
      <c r="F1899" s="41" t="str">
        <f t="shared" si="855"/>
        <v>ADIT-REG-STATE-GAS</v>
      </c>
      <c r="G1899" s="41" t="s">
        <v>1958</v>
      </c>
      <c r="H1899" s="736" t="s">
        <v>1159</v>
      </c>
      <c r="I1899" s="25"/>
      <c r="J1899" s="25" t="s">
        <v>7</v>
      </c>
      <c r="K1899" s="442" t="str">
        <f t="shared" si="852"/>
        <v/>
      </c>
      <c r="L1899" s="736" t="s">
        <v>2421</v>
      </c>
      <c r="M1899" s="25" t="str">
        <f t="shared" si="881"/>
        <v>N</v>
      </c>
      <c r="N1899" s="25" t="str">
        <f>IF(L1899&lt;&gt;"",VLOOKUP(L1899,Categories!$B$2:$D$41,2,FALSE),IF(F1899&lt;&gt;"","No Cat",""))</f>
        <v>NRBASE</v>
      </c>
      <c r="O1899" s="25" t="str">
        <f>IF($L1899&lt;&gt;"",VLOOKUP($L1899,Categories!$B$2:$D$41,3,FALSE),IF($F1899&lt;&gt;"","No Cat",""))</f>
        <v>Direct Assign Items Not in RB</v>
      </c>
      <c r="P1899" s="736" t="s">
        <v>2468</v>
      </c>
      <c r="Q1899" s="25" t="str">
        <f>VLOOKUP($P1899,Allocators!$B$7:$F$19,5,FALSE)</f>
        <v>Not in Rate Base</v>
      </c>
      <c r="R1899" s="737">
        <f>VLOOKUP($P1899,Allocators!$B$7:$F$19,2,FALSE)</f>
        <v>0</v>
      </c>
      <c r="S1899" s="737">
        <f>VLOOKUP($P1899,Allocators!$B$7:$F$19,3,FALSE)</f>
        <v>0</v>
      </c>
      <c r="T1899" s="737">
        <f t="shared" si="861"/>
        <v>1</v>
      </c>
      <c r="U1899" s="2" t="str">
        <f t="shared" si="882"/>
        <v/>
      </c>
      <c r="V1899" s="2" t="str">
        <f t="shared" si="883"/>
        <v/>
      </c>
      <c r="W1899" s="2" t="str">
        <f t="shared" si="884"/>
        <v/>
      </c>
      <c r="X1899" s="2">
        <f t="shared" si="874"/>
        <v>0</v>
      </c>
      <c r="Y1899" s="2" t="str">
        <f t="shared" si="885"/>
        <v/>
      </c>
      <c r="Z1899" s="2" t="str">
        <f t="shared" si="886"/>
        <v/>
      </c>
      <c r="AA1899" s="2" t="str">
        <f t="shared" si="887"/>
        <v/>
      </c>
      <c r="AB1899" s="2">
        <f t="shared" si="875"/>
        <v>0</v>
      </c>
      <c r="AC1899" s="625">
        <v>0</v>
      </c>
      <c r="AD1899" s="625">
        <v>0</v>
      </c>
      <c r="AE1899" s="625">
        <v>0</v>
      </c>
      <c r="AF1899" s="625">
        <v>0</v>
      </c>
      <c r="AG1899" s="625">
        <v>0</v>
      </c>
      <c r="AH1899" s="625">
        <v>0</v>
      </c>
      <c r="AI1899" s="625">
        <v>0</v>
      </c>
      <c r="AJ1899" s="625">
        <v>0</v>
      </c>
      <c r="AK1899" s="625">
        <v>0</v>
      </c>
      <c r="AL1899" s="625">
        <v>0</v>
      </c>
      <c r="AM1899" s="625">
        <v>0</v>
      </c>
      <c r="AN1899" s="625">
        <v>0</v>
      </c>
      <c r="AO1899" s="625">
        <v>0</v>
      </c>
      <c r="AP1899" s="41" t="str">
        <f t="shared" si="864"/>
        <v>Def TaxN</v>
      </c>
      <c r="AQ1899" s="41" t="str">
        <f t="shared" si="865"/>
        <v>Def TaxNN2Pension True-up</v>
      </c>
      <c r="AR1899" s="41" t="str">
        <f t="shared" si="866"/>
        <v>N2Pension True-upNCR</v>
      </c>
    </row>
    <row r="1900" spans="1:44" s="41" customFormat="1" ht="12.75" customHeight="1">
      <c r="A1900" s="25" t="s">
        <v>1590</v>
      </c>
      <c r="B1900" s="25" t="str">
        <f t="shared" si="857"/>
        <v>Def Tax190512190-031-FAS 158 SBC030561</v>
      </c>
      <c r="C1900" s="736">
        <v>190512</v>
      </c>
      <c r="D1900" s="735" t="s">
        <v>2043</v>
      </c>
      <c r="E1900" s="41" t="s">
        <v>980</v>
      </c>
      <c r="F1900" s="41" t="str">
        <f t="shared" si="855"/>
        <v>ADIT-REG-STATE-GAS</v>
      </c>
      <c r="G1900" s="41" t="s">
        <v>1960</v>
      </c>
      <c r="H1900" s="736" t="s">
        <v>1673</v>
      </c>
      <c r="I1900" s="25"/>
      <c r="J1900" s="25" t="str">
        <f t="shared" si="856"/>
        <v/>
      </c>
      <c r="K1900" s="442" t="str">
        <f t="shared" ref="K1900:K1966" si="892">IF(L1900="N3","Y","")</f>
        <v/>
      </c>
      <c r="L1900" s="736" t="s">
        <v>2443</v>
      </c>
      <c r="M1900" s="25" t="str">
        <f t="shared" si="881"/>
        <v>R</v>
      </c>
      <c r="N1900" s="25" t="str">
        <f>IF(L1900&lt;&gt;"",VLOOKUP(L1900,Categories!$B$2:$D$41,2,FALSE),IF(F1900&lt;&gt;"","No Cat",""))</f>
        <v>Rate Base</v>
      </c>
      <c r="O1900" s="25" t="str">
        <f>IF($L1900&lt;&gt;"",VLOOKUP($L1900,Categories!$B$2:$D$41,3,FALSE),IF($F1900&lt;&gt;"","No Cat",""))</f>
        <v>Deferred Income Taxes</v>
      </c>
      <c r="P1900" s="736" t="s">
        <v>2483</v>
      </c>
      <c r="Q1900" s="25" t="str">
        <f>VLOOKUP($P1900,Allocators!$B$7:$F$19,5,FALSE)</f>
        <v>Gas</v>
      </c>
      <c r="R1900" s="737">
        <f>VLOOKUP($P1900,Allocators!$B$7:$F$19,2,FALSE)</f>
        <v>0</v>
      </c>
      <c r="S1900" s="737">
        <f>VLOOKUP($P1900,Allocators!$B$7:$F$19,3,FALSE)</f>
        <v>1</v>
      </c>
      <c r="T1900" s="737" t="str">
        <f t="shared" si="861"/>
        <v>0.0%</v>
      </c>
      <c r="U1900" s="2" t="str">
        <f t="shared" si="882"/>
        <v/>
      </c>
      <c r="V1900" s="2" t="str">
        <f t="shared" si="883"/>
        <v/>
      </c>
      <c r="W1900" s="2" t="str">
        <f t="shared" si="884"/>
        <v/>
      </c>
      <c r="X1900" s="2">
        <f t="shared" si="874"/>
        <v>0</v>
      </c>
      <c r="Y1900" s="2" t="str">
        <f t="shared" si="885"/>
        <v/>
      </c>
      <c r="Z1900" s="2" t="str">
        <f t="shared" si="886"/>
        <v/>
      </c>
      <c r="AA1900" s="2" t="str">
        <f t="shared" si="887"/>
        <v/>
      </c>
      <c r="AB1900" s="2">
        <f t="shared" si="875"/>
        <v>0</v>
      </c>
      <c r="AC1900" s="625">
        <v>0</v>
      </c>
      <c r="AD1900" s="625">
        <v>0</v>
      </c>
      <c r="AE1900" s="625">
        <v>0</v>
      </c>
      <c r="AF1900" s="625">
        <v>0</v>
      </c>
      <c r="AG1900" s="625">
        <v>0</v>
      </c>
      <c r="AH1900" s="625">
        <v>0</v>
      </c>
      <c r="AI1900" s="625">
        <v>0</v>
      </c>
      <c r="AJ1900" s="625">
        <v>0</v>
      </c>
      <c r="AK1900" s="625">
        <v>0</v>
      </c>
      <c r="AL1900" s="625">
        <v>0</v>
      </c>
      <c r="AM1900" s="625">
        <v>0</v>
      </c>
      <c r="AN1900" s="625">
        <v>0</v>
      </c>
      <c r="AO1900" s="625">
        <v>0</v>
      </c>
      <c r="AP1900" s="41" t="str">
        <f t="shared" si="864"/>
        <v>Def TaxR</v>
      </c>
      <c r="AQ1900" s="41" t="str">
        <f t="shared" si="865"/>
        <v>Def TaxRR11Pension</v>
      </c>
      <c r="AR1900" s="41" t="str">
        <f t="shared" si="866"/>
        <v>R11Pension</v>
      </c>
    </row>
    <row r="1901" spans="1:44" s="41" customFormat="1" ht="12.75" customHeight="1">
      <c r="A1901" s="25" t="s">
        <v>1590</v>
      </c>
      <c r="B1901" s="25" t="str">
        <f t="shared" si="857"/>
        <v>Def Tax190512190-031BT010167</v>
      </c>
      <c r="C1901" s="736">
        <v>190512</v>
      </c>
      <c r="D1901" s="735" t="s">
        <v>1670</v>
      </c>
      <c r="E1901" s="41" t="s">
        <v>1671</v>
      </c>
      <c r="F1901" s="41" t="str">
        <f t="shared" si="855"/>
        <v>ADIT-REG-STATE-GAS</v>
      </c>
      <c r="G1901" s="41" t="s">
        <v>1876</v>
      </c>
      <c r="H1901" s="736" t="s">
        <v>1673</v>
      </c>
      <c r="I1901" s="25"/>
      <c r="J1901" s="25" t="str">
        <f t="shared" si="856"/>
        <v/>
      </c>
      <c r="K1901" s="442" t="str">
        <f t="shared" si="892"/>
        <v/>
      </c>
      <c r="L1901" s="736" t="s">
        <v>2443</v>
      </c>
      <c r="M1901" s="25" t="str">
        <f t="shared" si="881"/>
        <v>R</v>
      </c>
      <c r="N1901" s="25" t="str">
        <f>IF(L1901&lt;&gt;"",VLOOKUP(L1901,Categories!$B$2:$D$41,2,FALSE),IF(F1901&lt;&gt;"","No Cat",""))</f>
        <v>Rate Base</v>
      </c>
      <c r="O1901" s="25" t="str">
        <f>IF($L1901&lt;&gt;"",VLOOKUP($L1901,Categories!$B$2:$D$41,3,FALSE),IF($F1901&lt;&gt;"","No Cat",""))</f>
        <v>Deferred Income Taxes</v>
      </c>
      <c r="P1901" s="736" t="s">
        <v>2483</v>
      </c>
      <c r="Q1901" s="25" t="str">
        <f>VLOOKUP($P1901,Allocators!$B$7:$F$19,5,FALSE)</f>
        <v>Gas</v>
      </c>
      <c r="R1901" s="737">
        <f>VLOOKUP($P1901,Allocators!$B$7:$F$19,2,FALSE)</f>
        <v>0</v>
      </c>
      <c r="S1901" s="737">
        <f>VLOOKUP($P1901,Allocators!$B$7:$F$19,3,FALSE)</f>
        <v>1</v>
      </c>
      <c r="T1901" s="737" t="str">
        <f t="shared" si="861"/>
        <v>0.0%</v>
      </c>
      <c r="U1901" s="2" t="str">
        <f t="shared" si="882"/>
        <v/>
      </c>
      <c r="V1901" s="2" t="str">
        <f t="shared" si="883"/>
        <v/>
      </c>
      <c r="W1901" s="2" t="str">
        <f t="shared" si="884"/>
        <v/>
      </c>
      <c r="X1901" s="2">
        <f t="shared" si="874"/>
        <v>0</v>
      </c>
      <c r="Y1901" s="2" t="str">
        <f t="shared" si="885"/>
        <v/>
      </c>
      <c r="Z1901" s="2" t="str">
        <f t="shared" si="886"/>
        <v/>
      </c>
      <c r="AA1901" s="2" t="str">
        <f t="shared" si="887"/>
        <v/>
      </c>
      <c r="AB1901" s="2">
        <f t="shared" si="875"/>
        <v>0</v>
      </c>
      <c r="AC1901" s="625">
        <v>0</v>
      </c>
      <c r="AD1901" s="625">
        <v>0</v>
      </c>
      <c r="AE1901" s="625">
        <v>0</v>
      </c>
      <c r="AF1901" s="625">
        <v>0</v>
      </c>
      <c r="AG1901" s="625">
        <v>0</v>
      </c>
      <c r="AH1901" s="625">
        <v>0</v>
      </c>
      <c r="AI1901" s="625">
        <v>0</v>
      </c>
      <c r="AJ1901" s="625">
        <v>0</v>
      </c>
      <c r="AK1901" s="625">
        <v>0</v>
      </c>
      <c r="AL1901" s="625">
        <v>0</v>
      </c>
      <c r="AM1901" s="625">
        <v>0</v>
      </c>
      <c r="AN1901" s="625">
        <v>0</v>
      </c>
      <c r="AO1901" s="625">
        <v>0</v>
      </c>
      <c r="AP1901" s="41" t="str">
        <f t="shared" si="864"/>
        <v>Def TaxR</v>
      </c>
      <c r="AQ1901" s="41" t="str">
        <f t="shared" si="865"/>
        <v>Def TaxRR11Pension</v>
      </c>
      <c r="AR1901" s="41" t="str">
        <f t="shared" si="866"/>
        <v>R11Pension</v>
      </c>
    </row>
    <row r="1902" spans="1:44" s="41" customFormat="1" ht="12.75" customHeight="1">
      <c r="A1902" s="25" t="s">
        <v>1590</v>
      </c>
      <c r="B1902" s="25" t="str">
        <f t="shared" si="857"/>
        <v>Def Tax190512190-015-JPBT010091</v>
      </c>
      <c r="C1902" s="736">
        <v>190512</v>
      </c>
      <c r="D1902" s="735" t="s">
        <v>1730</v>
      </c>
      <c r="E1902" s="41" t="s">
        <v>1859</v>
      </c>
      <c r="F1902" s="41" t="str">
        <f t="shared" si="855"/>
        <v>ADIT-REG-STATE-GAS</v>
      </c>
      <c r="G1902" s="41" t="s">
        <v>1963</v>
      </c>
      <c r="H1902" s="736" t="s">
        <v>927</v>
      </c>
      <c r="I1902" s="25"/>
      <c r="J1902" s="25" t="str">
        <f t="shared" si="856"/>
        <v/>
      </c>
      <c r="K1902" s="442" t="str">
        <f t="shared" si="892"/>
        <v/>
      </c>
      <c r="L1902" s="736" t="s">
        <v>2443</v>
      </c>
      <c r="M1902" s="25" t="str">
        <f t="shared" si="881"/>
        <v>R</v>
      </c>
      <c r="N1902" s="25" t="str">
        <f>IF(L1902&lt;&gt;"",VLOOKUP(L1902,Categories!$B$2:$D$41,2,FALSE),IF(F1902&lt;&gt;"","No Cat",""))</f>
        <v>Rate Base</v>
      </c>
      <c r="O1902" s="25" t="str">
        <f>IF($L1902&lt;&gt;"",VLOOKUP($L1902,Categories!$B$2:$D$41,3,FALSE),IF($F1902&lt;&gt;"","No Cat",""))</f>
        <v>Deferred Income Taxes</v>
      </c>
      <c r="P1902" s="736" t="s">
        <v>2483</v>
      </c>
      <c r="Q1902" s="25" t="str">
        <f>VLOOKUP($P1902,Allocators!$B$7:$F$19,5,FALSE)</f>
        <v>Gas</v>
      </c>
      <c r="R1902" s="737">
        <f>VLOOKUP($P1902,Allocators!$B$7:$F$19,2,FALSE)</f>
        <v>0</v>
      </c>
      <c r="S1902" s="737">
        <f>VLOOKUP($P1902,Allocators!$B$7:$F$19,3,FALSE)</f>
        <v>1</v>
      </c>
      <c r="T1902" s="737" t="str">
        <f t="shared" si="861"/>
        <v>0.0%</v>
      </c>
      <c r="U1902" s="2" t="str">
        <f t="shared" si="882"/>
        <v/>
      </c>
      <c r="V1902" s="2" t="str">
        <f t="shared" si="883"/>
        <v/>
      </c>
      <c r="W1902" s="2" t="str">
        <f t="shared" si="884"/>
        <v/>
      </c>
      <c r="X1902" s="2">
        <f t="shared" si="874"/>
        <v>0</v>
      </c>
      <c r="Y1902" s="2" t="str">
        <f t="shared" si="885"/>
        <v/>
      </c>
      <c r="Z1902" s="2" t="str">
        <f t="shared" si="886"/>
        <v/>
      </c>
      <c r="AA1902" s="2" t="str">
        <f t="shared" si="887"/>
        <v/>
      </c>
      <c r="AB1902" s="2">
        <f t="shared" si="875"/>
        <v>0</v>
      </c>
      <c r="AC1902" s="625">
        <v>0</v>
      </c>
      <c r="AD1902" s="625">
        <v>0</v>
      </c>
      <c r="AE1902" s="625">
        <v>0</v>
      </c>
      <c r="AF1902" s="625">
        <v>0</v>
      </c>
      <c r="AG1902" s="625">
        <v>0</v>
      </c>
      <c r="AH1902" s="625">
        <v>0</v>
      </c>
      <c r="AI1902" s="625">
        <v>0</v>
      </c>
      <c r="AJ1902" s="625">
        <v>0</v>
      </c>
      <c r="AK1902" s="625">
        <v>0</v>
      </c>
      <c r="AL1902" s="625">
        <v>0</v>
      </c>
      <c r="AM1902" s="625">
        <v>0</v>
      </c>
      <c r="AN1902" s="625">
        <v>0</v>
      </c>
      <c r="AO1902" s="625">
        <v>0</v>
      </c>
      <c r="AP1902" s="41" t="str">
        <f t="shared" si="864"/>
        <v>Def TaxR</v>
      </c>
      <c r="AQ1902" s="41" t="str">
        <f t="shared" si="865"/>
        <v>Def TaxRR11OPEB</v>
      </c>
      <c r="AR1902" s="41" t="str">
        <f t="shared" si="866"/>
        <v>R11OPEB</v>
      </c>
    </row>
    <row r="1903" spans="1:44" s="41" customFormat="1" ht="12.75" customHeight="1">
      <c r="A1903" s="25" t="s">
        <v>1590</v>
      </c>
      <c r="B1903" s="25" t="str">
        <f t="shared" si="857"/>
        <v>Def Tax190512Pre-cap InstallBG030182</v>
      </c>
      <c r="C1903" s="736">
        <v>190512</v>
      </c>
      <c r="D1903" s="735" t="s">
        <v>1964</v>
      </c>
      <c r="E1903" s="41" t="s">
        <v>1290</v>
      </c>
      <c r="F1903" s="41" t="str">
        <f t="shared" si="855"/>
        <v>ADIT-REG-STATE-GAS</v>
      </c>
      <c r="G1903" s="41" t="s">
        <v>1965</v>
      </c>
      <c r="H1903" s="736" t="s">
        <v>1199</v>
      </c>
      <c r="I1903" s="25"/>
      <c r="J1903" s="25" t="str">
        <f t="shared" si="856"/>
        <v/>
      </c>
      <c r="K1903" s="442" t="str">
        <f t="shared" si="892"/>
        <v/>
      </c>
      <c r="L1903" s="736" t="s">
        <v>2443</v>
      </c>
      <c r="M1903" s="25" t="str">
        <f t="shared" si="881"/>
        <v>R</v>
      </c>
      <c r="N1903" s="25" t="str">
        <f>IF(L1903&lt;&gt;"",VLOOKUP(L1903,Categories!$B$2:$D$41,2,FALSE),IF(F1903&lt;&gt;"","No Cat",""))</f>
        <v>Rate Base</v>
      </c>
      <c r="O1903" s="25" t="str">
        <f>IF($L1903&lt;&gt;"",VLOOKUP($L1903,Categories!$B$2:$D$41,3,FALSE),IF($F1903&lt;&gt;"","No Cat",""))</f>
        <v>Deferred Income Taxes</v>
      </c>
      <c r="P1903" s="736" t="s">
        <v>2483</v>
      </c>
      <c r="Q1903" s="25" t="str">
        <f>VLOOKUP($P1903,Allocators!$B$7:$F$19,5,FALSE)</f>
        <v>Gas</v>
      </c>
      <c r="R1903" s="737">
        <f>VLOOKUP($P1903,Allocators!$B$7:$F$19,2,FALSE)</f>
        <v>0</v>
      </c>
      <c r="S1903" s="737">
        <f>VLOOKUP($P1903,Allocators!$B$7:$F$19,3,FALSE)</f>
        <v>1</v>
      </c>
      <c r="T1903" s="737" t="str">
        <f t="shared" si="861"/>
        <v>0.0%</v>
      </c>
      <c r="U1903" s="2">
        <f t="shared" si="882"/>
        <v>0</v>
      </c>
      <c r="V1903" s="2">
        <f t="shared" si="883"/>
        <v>3.7500000000000001E-6</v>
      </c>
      <c r="W1903" s="2">
        <f t="shared" si="884"/>
        <v>0</v>
      </c>
      <c r="X1903" s="2">
        <f t="shared" si="874"/>
        <v>3.7500000000000001E-6</v>
      </c>
      <c r="Y1903" s="2" t="str">
        <f t="shared" si="885"/>
        <v/>
      </c>
      <c r="Z1903" s="2" t="str">
        <f t="shared" si="886"/>
        <v/>
      </c>
      <c r="AA1903" s="2" t="str">
        <f t="shared" si="887"/>
        <v/>
      </c>
      <c r="AB1903" s="2">
        <f t="shared" si="875"/>
        <v>0</v>
      </c>
      <c r="AC1903" s="625">
        <v>1.0000000000000001E-5</v>
      </c>
      <c r="AD1903" s="625">
        <v>4.0000000000000003E-5</v>
      </c>
      <c r="AE1903" s="625">
        <v>0</v>
      </c>
      <c r="AF1903" s="625">
        <v>0</v>
      </c>
      <c r="AG1903" s="625">
        <v>0</v>
      </c>
      <c r="AH1903" s="625">
        <v>0</v>
      </c>
      <c r="AI1903" s="625">
        <v>0</v>
      </c>
      <c r="AJ1903" s="625">
        <v>0</v>
      </c>
      <c r="AK1903" s="625">
        <v>0</v>
      </c>
      <c r="AL1903" s="625">
        <v>0</v>
      </c>
      <c r="AM1903" s="625">
        <v>0</v>
      </c>
      <c r="AN1903" s="625">
        <v>0</v>
      </c>
      <c r="AO1903" s="625">
        <v>0</v>
      </c>
      <c r="AP1903" s="41" t="str">
        <f t="shared" si="864"/>
        <v>Def TaxR</v>
      </c>
      <c r="AQ1903" s="41" t="str">
        <f t="shared" si="865"/>
        <v>Def TaxRR11Pre-Capitalized Installation Costs</v>
      </c>
      <c r="AR1903" s="41" t="str">
        <f t="shared" si="866"/>
        <v>R11Pre-Capitalized Installation Costs</v>
      </c>
    </row>
    <row r="1904" spans="1:44" s="41" customFormat="1" ht="12.75" customHeight="1">
      <c r="A1904" s="25" t="s">
        <v>1590</v>
      </c>
      <c r="B1904" s="25" t="str">
        <f t="shared" si="857"/>
        <v>Def Tax190512190-094-JPBT010054/
BT010087/
BT010246</v>
      </c>
      <c r="C1904" s="736">
        <v>190512</v>
      </c>
      <c r="D1904" s="735" t="s">
        <v>1753</v>
      </c>
      <c r="E1904" s="41" t="s">
        <v>2025</v>
      </c>
      <c r="F1904" s="41" t="str">
        <f t="shared" si="855"/>
        <v>ADIT-REG-STATE-GAS</v>
      </c>
      <c r="G1904" s="41" t="s">
        <v>1754</v>
      </c>
      <c r="H1904" s="736" t="s">
        <v>1755</v>
      </c>
      <c r="I1904" s="25"/>
      <c r="J1904" s="25" t="str">
        <f t="shared" si="856"/>
        <v/>
      </c>
      <c r="K1904" s="442" t="str">
        <f t="shared" si="892"/>
        <v/>
      </c>
      <c r="L1904" s="736" t="s">
        <v>2443</v>
      </c>
      <c r="M1904" s="25" t="str">
        <f t="shared" si="881"/>
        <v>R</v>
      </c>
      <c r="N1904" s="25" t="str">
        <f>IF(L1904&lt;&gt;"",VLOOKUP(L1904,Categories!$B$2:$D$41,2,FALSE),IF(F1904&lt;&gt;"","No Cat",""))</f>
        <v>Rate Base</v>
      </c>
      <c r="O1904" s="25" t="str">
        <f>IF($L1904&lt;&gt;"",VLOOKUP($L1904,Categories!$B$2:$D$41,3,FALSE),IF($F1904&lt;&gt;"","No Cat",""))</f>
        <v>Deferred Income Taxes</v>
      </c>
      <c r="P1904" s="736" t="s">
        <v>2483</v>
      </c>
      <c r="Q1904" s="25" t="str">
        <f>VLOOKUP($P1904,Allocators!$B$7:$F$19,5,FALSE)</f>
        <v>Gas</v>
      </c>
      <c r="R1904" s="737">
        <f>VLOOKUP($P1904,Allocators!$B$7:$F$19,2,FALSE)</f>
        <v>0</v>
      </c>
      <c r="S1904" s="737">
        <f>VLOOKUP($P1904,Allocators!$B$7:$F$19,3,FALSE)</f>
        <v>1</v>
      </c>
      <c r="T1904" s="737" t="str">
        <f t="shared" si="861"/>
        <v>0.0%</v>
      </c>
      <c r="U1904" s="2" t="str">
        <f t="shared" si="882"/>
        <v/>
      </c>
      <c r="V1904" s="2" t="str">
        <f t="shared" si="883"/>
        <v/>
      </c>
      <c r="W1904" s="2" t="str">
        <f t="shared" si="884"/>
        <v/>
      </c>
      <c r="X1904" s="2">
        <f t="shared" si="874"/>
        <v>0</v>
      </c>
      <c r="Y1904" s="2" t="str">
        <f t="shared" si="885"/>
        <v/>
      </c>
      <c r="Z1904" s="2" t="str">
        <f t="shared" si="886"/>
        <v/>
      </c>
      <c r="AA1904" s="2" t="str">
        <f t="shared" si="887"/>
        <v/>
      </c>
      <c r="AB1904" s="2">
        <f t="shared" si="875"/>
        <v>0</v>
      </c>
      <c r="AC1904" s="625">
        <v>0</v>
      </c>
      <c r="AD1904" s="625">
        <v>0</v>
      </c>
      <c r="AE1904" s="625">
        <v>0</v>
      </c>
      <c r="AF1904" s="625">
        <v>0</v>
      </c>
      <c r="AG1904" s="625">
        <v>0</v>
      </c>
      <c r="AH1904" s="625">
        <v>0</v>
      </c>
      <c r="AI1904" s="625">
        <v>0</v>
      </c>
      <c r="AJ1904" s="625">
        <v>0</v>
      </c>
      <c r="AK1904" s="625">
        <v>0</v>
      </c>
      <c r="AL1904" s="625">
        <v>0</v>
      </c>
      <c r="AM1904" s="625">
        <v>0</v>
      </c>
      <c r="AN1904" s="625">
        <v>0</v>
      </c>
      <c r="AO1904" s="625">
        <v>0</v>
      </c>
      <c r="AP1904" s="41" t="str">
        <f t="shared" si="864"/>
        <v>Def TaxR</v>
      </c>
      <c r="AQ1904" s="41" t="str">
        <f t="shared" si="865"/>
        <v>Def TaxRR11Prepaid Property Tax</v>
      </c>
      <c r="AR1904" s="41" t="str">
        <f t="shared" si="866"/>
        <v>R11Prepaid Property Tax</v>
      </c>
    </row>
    <row r="1905" spans="1:44" s="41" customFormat="1" ht="12.75" customHeight="1">
      <c r="A1905" s="25" t="s">
        <v>1590</v>
      </c>
      <c r="B1905" s="25" t="str">
        <f t="shared" si="857"/>
        <v>Def Tax190512190-110BT010268</v>
      </c>
      <c r="C1905" s="736">
        <v>190512</v>
      </c>
      <c r="D1905" s="735" t="s">
        <v>1966</v>
      </c>
      <c r="E1905" s="41" t="s">
        <v>1967</v>
      </c>
      <c r="F1905" s="41" t="str">
        <f t="shared" si="855"/>
        <v>ADIT-REG-STATE-GAS</v>
      </c>
      <c r="G1905" s="41" t="s">
        <v>1968</v>
      </c>
      <c r="H1905" s="736" t="s">
        <v>1113</v>
      </c>
      <c r="I1905" s="25"/>
      <c r="J1905" s="25" t="str">
        <f t="shared" si="856"/>
        <v>Y</v>
      </c>
      <c r="K1905" s="442" t="str">
        <f t="shared" si="892"/>
        <v/>
      </c>
      <c r="L1905" s="736" t="s">
        <v>2436</v>
      </c>
      <c r="M1905" s="25" t="str">
        <f t="shared" si="881"/>
        <v>N</v>
      </c>
      <c r="N1905" s="25" t="str">
        <f>IF(L1905&lt;&gt;"",VLOOKUP(L1905,Categories!$B$2:$D$41,2,FALSE),IF(F1905&lt;&gt;"","No Cat",""))</f>
        <v>NRBASE</v>
      </c>
      <c r="O1905" s="25" t="str">
        <f>IF($L1905&lt;&gt;"",VLOOKUP($L1905,Categories!$B$2:$D$41,3,FALSE),IF($F1905&lt;&gt;"","No Cat",""))</f>
        <v>Deferrals Accruing Non-Cash Return   (other than ASGA)</v>
      </c>
      <c r="P1905" s="736" t="s">
        <v>2468</v>
      </c>
      <c r="Q1905" s="25" t="str">
        <f>VLOOKUP($P1905,Allocators!$B$7:$F$19,5,FALSE)</f>
        <v>Not in Rate Base</v>
      </c>
      <c r="R1905" s="737">
        <f>VLOOKUP($P1905,Allocators!$B$7:$F$19,2,FALSE)</f>
        <v>0</v>
      </c>
      <c r="S1905" s="737">
        <f>VLOOKUP($P1905,Allocators!$B$7:$F$19,3,FALSE)</f>
        <v>0</v>
      </c>
      <c r="T1905" s="737">
        <f t="shared" si="861"/>
        <v>1</v>
      </c>
      <c r="U1905" s="2">
        <f t="shared" si="882"/>
        <v>0</v>
      </c>
      <c r="V1905" s="2">
        <f t="shared" si="883"/>
        <v>0</v>
      </c>
      <c r="W1905" s="2">
        <f t="shared" si="884"/>
        <v>674.00331208333296</v>
      </c>
      <c r="X1905" s="2">
        <f t="shared" si="874"/>
        <v>674.00331208333296</v>
      </c>
      <c r="Y1905" s="2">
        <f t="shared" si="885"/>
        <v>0</v>
      </c>
      <c r="Z1905" s="2">
        <f t="shared" si="886"/>
        <v>0</v>
      </c>
      <c r="AA1905" s="2">
        <f t="shared" si="887"/>
        <v>699.07857999999999</v>
      </c>
      <c r="AB1905" s="2">
        <f t="shared" si="875"/>
        <v>699.07857999999999</v>
      </c>
      <c r="AC1905" s="625">
        <v>1102.1231699999998</v>
      </c>
      <c r="AD1905" s="625">
        <v>1152.25206</v>
      </c>
      <c r="AE1905" s="625">
        <v>1202.5691299999999</v>
      </c>
      <c r="AF1905" s="625">
        <v>1208.8245400000001</v>
      </c>
      <c r="AG1905" s="625">
        <v>10.74705</v>
      </c>
      <c r="AH1905" s="625">
        <v>376.57309999999995</v>
      </c>
      <c r="AI1905" s="625">
        <v>426.80394999999999</v>
      </c>
      <c r="AJ1905" s="625">
        <v>473.96478999999999</v>
      </c>
      <c r="AK1905" s="625">
        <v>521.22347000000002</v>
      </c>
      <c r="AL1905" s="625">
        <v>562.21181999999999</v>
      </c>
      <c r="AM1905" s="625">
        <v>607.38592000000006</v>
      </c>
      <c r="AN1905" s="625">
        <v>644.88304000000005</v>
      </c>
      <c r="AO1905" s="625">
        <v>699.07857999999999</v>
      </c>
      <c r="AP1905" s="41" t="str">
        <f t="shared" si="864"/>
        <v>Def TaxN</v>
      </c>
      <c r="AQ1905" s="41" t="str">
        <f t="shared" si="865"/>
        <v>Def TaxNN10Property Tax Deferral</v>
      </c>
      <c r="AR1905" s="41" t="str">
        <f t="shared" si="866"/>
        <v>N10Property Tax DeferralY</v>
      </c>
    </row>
    <row r="1906" spans="1:44" s="41" customFormat="1" ht="12.75" customHeight="1">
      <c r="A1906" s="25" t="s">
        <v>1590</v>
      </c>
      <c r="B1906" s="25" t="str">
        <f t="shared" si="857"/>
        <v>Def Tax190512PORBT010176</v>
      </c>
      <c r="C1906" s="736">
        <v>190512</v>
      </c>
      <c r="D1906" s="735" t="s">
        <v>1976</v>
      </c>
      <c r="E1906" s="41" t="s">
        <v>1977</v>
      </c>
      <c r="F1906" s="41" t="str">
        <f t="shared" ref="F1906:F1981" si="893">VLOOKUP(C1906,$C$7:$F$787,4,FALSE)</f>
        <v>ADIT-REG-STATE-GAS</v>
      </c>
      <c r="G1906" s="41" t="s">
        <v>1245</v>
      </c>
      <c r="H1906" s="736" t="s">
        <v>1245</v>
      </c>
      <c r="I1906" s="25"/>
      <c r="J1906" s="25" t="str">
        <f t="shared" si="856"/>
        <v/>
      </c>
      <c r="K1906" s="442" t="str">
        <f t="shared" si="892"/>
        <v/>
      </c>
      <c r="L1906" s="736" t="s">
        <v>2443</v>
      </c>
      <c r="M1906" s="25" t="str">
        <f t="shared" si="881"/>
        <v>R</v>
      </c>
      <c r="N1906" s="25" t="str">
        <f>IF(L1906&lt;&gt;"",VLOOKUP(L1906,Categories!$B$2:$D$41,2,FALSE),IF(F1906&lt;&gt;"","No Cat",""))</f>
        <v>Rate Base</v>
      </c>
      <c r="O1906" s="25" t="str">
        <f>IF($L1906&lt;&gt;"",VLOOKUP($L1906,Categories!$B$2:$D$41,3,FALSE),IF($F1906&lt;&gt;"","No Cat",""))</f>
        <v>Deferred Income Taxes</v>
      </c>
      <c r="P1906" s="736" t="s">
        <v>2483</v>
      </c>
      <c r="Q1906" s="25" t="str">
        <f>VLOOKUP($P1906,Allocators!$B$7:$F$19,5,FALSE)</f>
        <v>Gas</v>
      </c>
      <c r="R1906" s="737">
        <f>VLOOKUP($P1906,Allocators!$B$7:$F$19,2,FALSE)</f>
        <v>0</v>
      </c>
      <c r="S1906" s="737">
        <f>VLOOKUP($P1906,Allocators!$B$7:$F$19,3,FALSE)</f>
        <v>1</v>
      </c>
      <c r="T1906" s="737" t="str">
        <f t="shared" si="861"/>
        <v>0.0%</v>
      </c>
      <c r="U1906" s="2">
        <f t="shared" si="882"/>
        <v>0</v>
      </c>
      <c r="V1906" s="2">
        <f t="shared" si="883"/>
        <v>-260.52928666666702</v>
      </c>
      <c r="W1906" s="2">
        <f t="shared" si="884"/>
        <v>0</v>
      </c>
      <c r="X1906" s="2">
        <f t="shared" si="874"/>
        <v>-260.52928666666702</v>
      </c>
      <c r="Y1906" s="2">
        <f t="shared" si="885"/>
        <v>0</v>
      </c>
      <c r="Z1906" s="2">
        <f t="shared" si="886"/>
        <v>-216.13497000000001</v>
      </c>
      <c r="AA1906" s="2">
        <f t="shared" si="887"/>
        <v>0</v>
      </c>
      <c r="AB1906" s="2">
        <f t="shared" si="875"/>
        <v>-216.13497000000001</v>
      </c>
      <c r="AC1906" s="625">
        <v>-231.98152999999999</v>
      </c>
      <c r="AD1906" s="625">
        <v>-318.07117</v>
      </c>
      <c r="AE1906" s="625">
        <v>-231.98152999999999</v>
      </c>
      <c r="AF1906" s="625">
        <v>-231.98152999999999</v>
      </c>
      <c r="AG1906" s="625">
        <v>-231.98152999999999</v>
      </c>
      <c r="AH1906" s="625">
        <v>-293.88281000000001</v>
      </c>
      <c r="AI1906" s="625">
        <v>-296.54917999999998</v>
      </c>
      <c r="AJ1906" s="625">
        <v>-300.03108000000003</v>
      </c>
      <c r="AK1906" s="625">
        <v>-231.98152999999999</v>
      </c>
      <c r="AL1906" s="625">
        <v>-231.98152999999999</v>
      </c>
      <c r="AM1906" s="625">
        <v>-313.66444000000001</v>
      </c>
      <c r="AN1906" s="625">
        <v>-220.18686</v>
      </c>
      <c r="AO1906" s="625">
        <v>-216.13497000000001</v>
      </c>
      <c r="AP1906" s="41" t="str">
        <f t="shared" si="864"/>
        <v>Def TaxR</v>
      </c>
      <c r="AQ1906" s="41" t="str">
        <f t="shared" si="865"/>
        <v>Def TaxRR11Purchase of Receivables</v>
      </c>
      <c r="AR1906" s="41" t="str">
        <f t="shared" si="866"/>
        <v>R11Purchase of Receivables</v>
      </c>
    </row>
    <row r="1907" spans="1:44" s="41" customFormat="1" ht="12.75" customHeight="1">
      <c r="A1907" s="25" t="s">
        <v>1590</v>
      </c>
      <c r="B1907" s="25" t="str">
        <f t="shared" si="857"/>
        <v>Def Tax190512190-108</v>
      </c>
      <c r="C1907" s="736">
        <v>190512</v>
      </c>
      <c r="D1907" s="735" t="s">
        <v>1770</v>
      </c>
      <c r="F1907" s="41" t="str">
        <f t="shared" si="893"/>
        <v>ADIT-REG-STATE-GAS</v>
      </c>
      <c r="G1907" s="41" t="s">
        <v>1771</v>
      </c>
      <c r="H1907" s="736" t="s">
        <v>1124</v>
      </c>
      <c r="I1907" s="25"/>
      <c r="J1907" s="25" t="str">
        <f t="shared" ref="J1907:J1982" si="894">IF(L1907="N10","Y",IF(L1907="N8","Y",""))</f>
        <v/>
      </c>
      <c r="K1907" s="442" t="str">
        <f t="shared" si="892"/>
        <v/>
      </c>
      <c r="L1907" s="736" t="s">
        <v>2443</v>
      </c>
      <c r="M1907" s="25" t="str">
        <f t="shared" si="881"/>
        <v>R</v>
      </c>
      <c r="N1907" s="25" t="str">
        <f>IF(L1907&lt;&gt;"",VLOOKUP(L1907,Categories!$B$2:$D$41,2,FALSE),IF(F1907&lt;&gt;"","No Cat",""))</f>
        <v>Rate Base</v>
      </c>
      <c r="O1907" s="25" t="str">
        <f>IF($L1907&lt;&gt;"",VLOOKUP($L1907,Categories!$B$2:$D$41,3,FALSE),IF($F1907&lt;&gt;"","No Cat",""))</f>
        <v>Deferred Income Taxes</v>
      </c>
      <c r="P1907" s="736" t="s">
        <v>2483</v>
      </c>
      <c r="Q1907" s="25" t="str">
        <f>VLOOKUP($P1907,Allocators!$B$7:$F$19,5,FALSE)</f>
        <v>Gas</v>
      </c>
      <c r="R1907" s="737">
        <f>VLOOKUP($P1907,Allocators!$B$7:$F$19,2,FALSE)</f>
        <v>0</v>
      </c>
      <c r="S1907" s="737">
        <f>VLOOKUP($P1907,Allocators!$B$7:$F$19,3,FALSE)</f>
        <v>1</v>
      </c>
      <c r="T1907" s="737" t="str">
        <f t="shared" si="861"/>
        <v>0.0%</v>
      </c>
      <c r="U1907" s="2" t="str">
        <f t="shared" si="882"/>
        <v/>
      </c>
      <c r="V1907" s="2" t="str">
        <f t="shared" si="883"/>
        <v/>
      </c>
      <c r="W1907" s="2" t="str">
        <f t="shared" si="884"/>
        <v/>
      </c>
      <c r="X1907" s="2">
        <f t="shared" si="874"/>
        <v>0</v>
      </c>
      <c r="Y1907" s="2" t="str">
        <f t="shared" si="885"/>
        <v/>
      </c>
      <c r="Z1907" s="2" t="str">
        <f t="shared" si="886"/>
        <v/>
      </c>
      <c r="AA1907" s="2" t="str">
        <f t="shared" si="887"/>
        <v/>
      </c>
      <c r="AB1907" s="2">
        <f t="shared" si="875"/>
        <v>0</v>
      </c>
      <c r="AC1907" s="625">
        <v>0</v>
      </c>
      <c r="AD1907" s="625">
        <v>0</v>
      </c>
      <c r="AE1907" s="625">
        <v>0</v>
      </c>
      <c r="AF1907" s="625">
        <v>0</v>
      </c>
      <c r="AG1907" s="625">
        <v>0</v>
      </c>
      <c r="AH1907" s="625">
        <v>0</v>
      </c>
      <c r="AI1907" s="625">
        <v>0</v>
      </c>
      <c r="AJ1907" s="625">
        <v>0</v>
      </c>
      <c r="AK1907" s="625">
        <v>0</v>
      </c>
      <c r="AL1907" s="625">
        <v>0</v>
      </c>
      <c r="AM1907" s="625">
        <v>0</v>
      </c>
      <c r="AN1907" s="625">
        <v>0</v>
      </c>
      <c r="AO1907" s="625">
        <v>0</v>
      </c>
      <c r="AP1907" s="41" t="str">
        <f t="shared" si="864"/>
        <v>Def TaxR</v>
      </c>
      <c r="AQ1907" s="41" t="str">
        <f t="shared" si="865"/>
        <v>Def TaxRR11R&amp;D Tax Credit Deferral</v>
      </c>
      <c r="AR1907" s="41" t="str">
        <f t="shared" si="866"/>
        <v>R11R&amp;D Tax Credit Deferral</v>
      </c>
    </row>
    <row r="1908" spans="1:44" s="41" customFormat="1" ht="12.75" customHeight="1">
      <c r="A1908" s="25" t="s">
        <v>1590</v>
      </c>
      <c r="B1908" s="25" t="str">
        <f t="shared" si="857"/>
        <v>Def Tax190512R&amp;D DeferralBT010177</v>
      </c>
      <c r="C1908" s="736">
        <v>190512</v>
      </c>
      <c r="D1908" s="735" t="s">
        <v>1683</v>
      </c>
      <c r="E1908" s="41" t="s">
        <v>1684</v>
      </c>
      <c r="F1908" s="41" t="str">
        <f t="shared" si="893"/>
        <v>ADIT-REG-STATE-GAS</v>
      </c>
      <c r="G1908" s="41" t="s">
        <v>1978</v>
      </c>
      <c r="H1908" s="736" t="s">
        <v>1124</v>
      </c>
      <c r="I1908" s="25"/>
      <c r="J1908" s="25" t="str">
        <f t="shared" si="894"/>
        <v/>
      </c>
      <c r="K1908" s="442" t="str">
        <f t="shared" si="892"/>
        <v/>
      </c>
      <c r="L1908" s="736" t="s">
        <v>2443</v>
      </c>
      <c r="M1908" s="25" t="str">
        <f t="shared" si="881"/>
        <v>R</v>
      </c>
      <c r="N1908" s="25" t="str">
        <f>IF(L1908&lt;&gt;"",VLOOKUP(L1908,Categories!$B$2:$D$41,2,FALSE),IF(F1908&lt;&gt;"","No Cat",""))</f>
        <v>Rate Base</v>
      </c>
      <c r="O1908" s="25" t="str">
        <f>IF($L1908&lt;&gt;"",VLOOKUP($L1908,Categories!$B$2:$D$41,3,FALSE),IF($F1908&lt;&gt;"","No Cat",""))</f>
        <v>Deferred Income Taxes</v>
      </c>
      <c r="P1908" s="736" t="s">
        <v>2483</v>
      </c>
      <c r="Q1908" s="25" t="str">
        <f>VLOOKUP($P1908,Allocators!$B$7:$F$19,5,FALSE)</f>
        <v>Gas</v>
      </c>
      <c r="R1908" s="737">
        <f>VLOOKUP($P1908,Allocators!$B$7:$F$19,2,FALSE)</f>
        <v>0</v>
      </c>
      <c r="S1908" s="737">
        <f>VLOOKUP($P1908,Allocators!$B$7:$F$19,3,FALSE)</f>
        <v>1</v>
      </c>
      <c r="T1908" s="737" t="str">
        <f t="shared" si="861"/>
        <v>0.0%</v>
      </c>
      <c r="U1908" s="2">
        <f t="shared" si="882"/>
        <v>0</v>
      </c>
      <c r="V1908" s="2">
        <f t="shared" si="883"/>
        <v>8.2149491666666705</v>
      </c>
      <c r="W1908" s="2">
        <f t="shared" si="884"/>
        <v>0</v>
      </c>
      <c r="X1908" s="2">
        <f t="shared" si="874"/>
        <v>8.2149491666666705</v>
      </c>
      <c r="Y1908" s="2">
        <f t="shared" si="885"/>
        <v>0</v>
      </c>
      <c r="Z1908" s="2">
        <f t="shared" si="886"/>
        <v>11.42108</v>
      </c>
      <c r="AA1908" s="2">
        <f t="shared" si="887"/>
        <v>0</v>
      </c>
      <c r="AB1908" s="2">
        <f t="shared" si="875"/>
        <v>11.42108</v>
      </c>
      <c r="AC1908" s="625">
        <v>4.7908800000000005</v>
      </c>
      <c r="AD1908" s="625">
        <v>7.56243</v>
      </c>
      <c r="AE1908" s="625">
        <v>7.4776000000000007</v>
      </c>
      <c r="AF1908" s="625">
        <v>7.39229</v>
      </c>
      <c r="AG1908" s="625">
        <v>7.3064900000000002</v>
      </c>
      <c r="AH1908" s="625">
        <v>7.2202099999999998</v>
      </c>
      <c r="AI1908" s="625">
        <v>7.7322499999999996</v>
      </c>
      <c r="AJ1908" s="625">
        <v>7.64499</v>
      </c>
      <c r="AK1908" s="625">
        <v>7.5572299999999997</v>
      </c>
      <c r="AL1908" s="625">
        <v>7.4689799999999993</v>
      </c>
      <c r="AM1908" s="625">
        <v>11.600100000000001</v>
      </c>
      <c r="AN1908" s="625">
        <v>11.51084</v>
      </c>
      <c r="AO1908" s="625">
        <v>11.42108</v>
      </c>
      <c r="AP1908" s="41" t="str">
        <f t="shared" si="864"/>
        <v>Def TaxR</v>
      </c>
      <c r="AQ1908" s="41" t="str">
        <f t="shared" si="865"/>
        <v>Def TaxRR11R&amp;D Tax Credit Deferral</v>
      </c>
      <c r="AR1908" s="41" t="str">
        <f t="shared" si="866"/>
        <v>R11R&amp;D Tax Credit Deferral</v>
      </c>
    </row>
    <row r="1909" spans="1:44" s="41" customFormat="1" ht="12.75" customHeight="1">
      <c r="A1909" s="442" t="s">
        <v>1590</v>
      </c>
      <c r="B1909" s="442" t="str">
        <f t="shared" si="857"/>
        <v>Def Tax190512BG030904</v>
      </c>
      <c r="C1909" s="736">
        <v>190512</v>
      </c>
      <c r="D1909" s="735"/>
      <c r="E1909" s="626" t="s">
        <v>944</v>
      </c>
      <c r="F1909" s="626" t="str">
        <f t="shared" si="893"/>
        <v>ADIT-REG-STATE-GAS</v>
      </c>
      <c r="G1909" s="626" t="s">
        <v>2028</v>
      </c>
      <c r="H1909" s="736" t="s">
        <v>823</v>
      </c>
      <c r="I1909" s="442"/>
      <c r="J1909" s="442" t="s">
        <v>7</v>
      </c>
      <c r="K1909" s="442" t="str">
        <f t="shared" si="892"/>
        <v/>
      </c>
      <c r="L1909" s="736" t="s">
        <v>2436</v>
      </c>
      <c r="M1909" s="442" t="str">
        <f t="shared" si="881"/>
        <v>N</v>
      </c>
      <c r="N1909" s="442" t="str">
        <f>IF(L1909&lt;&gt;"",VLOOKUP(L1909,Categories!$B$2:$D$41,2,FALSE),IF(F1909&lt;&gt;"","No Cat",""))</f>
        <v>NRBASE</v>
      </c>
      <c r="O1909" s="442" t="str">
        <f>IF($L1909&lt;&gt;"",VLOOKUP($L1909,Categories!$B$2:$D$41,3,FALSE),IF($F1909&lt;&gt;"","No Cat",""))</f>
        <v>Deferrals Accruing Non-Cash Return   (other than ASGA)</v>
      </c>
      <c r="P1909" s="736" t="s">
        <v>2468</v>
      </c>
      <c r="Q1909" s="442" t="str">
        <f>VLOOKUP($P1909,Allocators!$B$7:$F$19,5,FALSE)</f>
        <v>Not in Rate Base</v>
      </c>
      <c r="R1909" s="737">
        <f>VLOOKUP($P1909,Allocators!$B$7:$F$19,2,FALSE)</f>
        <v>0</v>
      </c>
      <c r="S1909" s="737">
        <f>VLOOKUP($P1909,Allocators!$B$7:$F$19,3,FALSE)</f>
        <v>0</v>
      </c>
      <c r="T1909" s="737">
        <f t="shared" si="861"/>
        <v>1</v>
      </c>
      <c r="U1909" s="2" t="str">
        <f t="shared" si="882"/>
        <v/>
      </c>
      <c r="V1909" s="2" t="str">
        <f t="shared" si="883"/>
        <v/>
      </c>
      <c r="W1909" s="2" t="str">
        <f t="shared" si="884"/>
        <v/>
      </c>
      <c r="X1909" s="2">
        <f t="shared" si="874"/>
        <v>0</v>
      </c>
      <c r="Y1909" s="2" t="str">
        <f t="shared" si="885"/>
        <v/>
      </c>
      <c r="Z1909" s="2" t="str">
        <f t="shared" si="886"/>
        <v/>
      </c>
      <c r="AA1909" s="2" t="str">
        <f t="shared" si="887"/>
        <v/>
      </c>
      <c r="AB1909" s="2">
        <f t="shared" si="875"/>
        <v>0</v>
      </c>
      <c r="AC1909" s="625">
        <v>0</v>
      </c>
      <c r="AD1909" s="625">
        <v>0</v>
      </c>
      <c r="AE1909" s="625">
        <v>0</v>
      </c>
      <c r="AF1909" s="625">
        <v>0</v>
      </c>
      <c r="AG1909" s="625">
        <v>0</v>
      </c>
      <c r="AH1909" s="625">
        <v>0</v>
      </c>
      <c r="AI1909" s="625">
        <v>0</v>
      </c>
      <c r="AJ1909" s="625">
        <v>0</v>
      </c>
      <c r="AK1909" s="625">
        <v>0</v>
      </c>
      <c r="AL1909" s="625">
        <v>0</v>
      </c>
      <c r="AM1909" s="625">
        <v>0</v>
      </c>
      <c r="AN1909" s="625">
        <v>0</v>
      </c>
      <c r="AO1909" s="625">
        <v>0</v>
      </c>
      <c r="AP1909" s="41" t="str">
        <f t="shared" si="864"/>
        <v>Def TaxN</v>
      </c>
      <c r="AQ1909" s="41" t="str">
        <f t="shared" si="865"/>
        <v>Def TaxNN10RDM</v>
      </c>
      <c r="AR1909" s="41" t="str">
        <f t="shared" si="866"/>
        <v>N10RDMNCR</v>
      </c>
    </row>
    <row r="1910" spans="1:44" s="41" customFormat="1" ht="12.75" customHeight="1">
      <c r="A1910" s="25" t="s">
        <v>1590</v>
      </c>
      <c r="B1910" s="25" t="str">
        <f t="shared" si="857"/>
        <v>Def Tax190512FAS 158-106 RA</v>
      </c>
      <c r="C1910" s="736">
        <v>190512</v>
      </c>
      <c r="D1910" s="735" t="s">
        <v>2029</v>
      </c>
      <c r="F1910" s="41" t="str">
        <f t="shared" si="893"/>
        <v>ADIT-REG-STATE-GAS</v>
      </c>
      <c r="G1910" s="41" t="s">
        <v>2030</v>
      </c>
      <c r="H1910" s="736" t="s">
        <v>1673</v>
      </c>
      <c r="I1910" s="25"/>
      <c r="J1910" s="25" t="str">
        <f t="shared" si="894"/>
        <v/>
      </c>
      <c r="K1910" s="442" t="str">
        <f t="shared" si="892"/>
        <v/>
      </c>
      <c r="L1910" s="736" t="s">
        <v>2443</v>
      </c>
      <c r="M1910" s="25" t="str">
        <f t="shared" si="881"/>
        <v>R</v>
      </c>
      <c r="N1910" s="25" t="str">
        <f>IF(L1910&lt;&gt;"",VLOOKUP(L1910,Categories!$B$2:$D$41,2,FALSE),IF(F1910&lt;&gt;"","No Cat",""))</f>
        <v>Rate Base</v>
      </c>
      <c r="O1910" s="25" t="str">
        <f>IF($L1910&lt;&gt;"",VLOOKUP($L1910,Categories!$B$2:$D$41,3,FALSE),IF($F1910&lt;&gt;"","No Cat",""))</f>
        <v>Deferred Income Taxes</v>
      </c>
      <c r="P1910" s="736" t="s">
        <v>2483</v>
      </c>
      <c r="Q1910" s="25" t="str">
        <f>VLOOKUP($P1910,Allocators!$B$7:$F$19,5,FALSE)</f>
        <v>Gas</v>
      </c>
      <c r="R1910" s="737">
        <f>VLOOKUP($P1910,Allocators!$B$7:$F$19,2,FALSE)</f>
        <v>0</v>
      </c>
      <c r="S1910" s="737">
        <f>VLOOKUP($P1910,Allocators!$B$7:$F$19,3,FALSE)</f>
        <v>1</v>
      </c>
      <c r="T1910" s="737" t="str">
        <f t="shared" si="861"/>
        <v>0.0%</v>
      </c>
      <c r="U1910" s="2" t="str">
        <f t="shared" si="882"/>
        <v/>
      </c>
      <c r="V1910" s="2" t="str">
        <f t="shared" si="883"/>
        <v/>
      </c>
      <c r="W1910" s="2" t="str">
        <f t="shared" si="884"/>
        <v/>
      </c>
      <c r="X1910" s="2">
        <f t="shared" si="874"/>
        <v>0</v>
      </c>
      <c r="Y1910" s="2" t="str">
        <f t="shared" si="885"/>
        <v/>
      </c>
      <c r="Z1910" s="2" t="str">
        <f t="shared" si="886"/>
        <v/>
      </c>
      <c r="AA1910" s="2" t="str">
        <f t="shared" si="887"/>
        <v/>
      </c>
      <c r="AB1910" s="2">
        <f t="shared" si="875"/>
        <v>0</v>
      </c>
      <c r="AC1910" s="625">
        <v>0</v>
      </c>
      <c r="AD1910" s="625">
        <v>0</v>
      </c>
      <c r="AE1910" s="625">
        <v>0</v>
      </c>
      <c r="AF1910" s="625">
        <v>0</v>
      </c>
      <c r="AG1910" s="625">
        <v>0</v>
      </c>
      <c r="AH1910" s="625">
        <v>0</v>
      </c>
      <c r="AI1910" s="625">
        <v>0</v>
      </c>
      <c r="AJ1910" s="625">
        <v>0</v>
      </c>
      <c r="AK1910" s="625">
        <v>0</v>
      </c>
      <c r="AL1910" s="625">
        <v>0</v>
      </c>
      <c r="AM1910" s="625">
        <v>0</v>
      </c>
      <c r="AN1910" s="625">
        <v>0</v>
      </c>
      <c r="AO1910" s="625">
        <v>0</v>
      </c>
      <c r="AP1910" s="41" t="str">
        <f t="shared" si="864"/>
        <v>Def TaxR</v>
      </c>
      <c r="AQ1910" s="41" t="str">
        <f t="shared" si="865"/>
        <v>Def TaxRR11Pension</v>
      </c>
      <c r="AR1910" s="41" t="str">
        <f t="shared" si="866"/>
        <v>R11Pension</v>
      </c>
    </row>
    <row r="1911" spans="1:44" s="41" customFormat="1" ht="12.75" customHeight="1">
      <c r="A1911" s="25" t="s">
        <v>1590</v>
      </c>
      <c r="B1911" s="25" t="str">
        <f t="shared" si="857"/>
        <v>Def Tax190512FAS158 Reg AssetBT030562</v>
      </c>
      <c r="C1911" s="736">
        <v>190512</v>
      </c>
      <c r="D1911" s="735" t="s">
        <v>2031</v>
      </c>
      <c r="E1911" s="41" t="s">
        <v>1839</v>
      </c>
      <c r="F1911" s="41" t="str">
        <f t="shared" si="893"/>
        <v>ADIT-REG-STATE-GAS</v>
      </c>
      <c r="G1911" s="41" t="s">
        <v>2030</v>
      </c>
      <c r="H1911" s="736" t="s">
        <v>927</v>
      </c>
      <c r="I1911" s="25"/>
      <c r="J1911" s="25" t="str">
        <f t="shared" si="894"/>
        <v/>
      </c>
      <c r="K1911" s="442" t="str">
        <f t="shared" si="892"/>
        <v/>
      </c>
      <c r="L1911" s="736" t="s">
        <v>2443</v>
      </c>
      <c r="M1911" s="25" t="str">
        <f t="shared" si="881"/>
        <v>R</v>
      </c>
      <c r="N1911" s="25" t="str">
        <f>IF(L1911&lt;&gt;"",VLOOKUP(L1911,Categories!$B$2:$D$41,2,FALSE),IF(F1911&lt;&gt;"","No Cat",""))</f>
        <v>Rate Base</v>
      </c>
      <c r="O1911" s="25" t="str">
        <f>IF($L1911&lt;&gt;"",VLOOKUP($L1911,Categories!$B$2:$D$41,3,FALSE),IF($F1911&lt;&gt;"","No Cat",""))</f>
        <v>Deferred Income Taxes</v>
      </c>
      <c r="P1911" s="736" t="s">
        <v>2483</v>
      </c>
      <c r="Q1911" s="25" t="str">
        <f>VLOOKUP($P1911,Allocators!$B$7:$F$19,5,FALSE)</f>
        <v>Gas</v>
      </c>
      <c r="R1911" s="737">
        <f>VLOOKUP($P1911,Allocators!$B$7:$F$19,2,FALSE)</f>
        <v>0</v>
      </c>
      <c r="S1911" s="737">
        <f>VLOOKUP($P1911,Allocators!$B$7:$F$19,3,FALSE)</f>
        <v>1</v>
      </c>
      <c r="T1911" s="737" t="str">
        <f t="shared" si="861"/>
        <v>0.0%</v>
      </c>
      <c r="U1911" s="2" t="str">
        <f t="shared" si="882"/>
        <v/>
      </c>
      <c r="V1911" s="2" t="str">
        <f t="shared" si="883"/>
        <v/>
      </c>
      <c r="W1911" s="2" t="str">
        <f t="shared" si="884"/>
        <v/>
      </c>
      <c r="X1911" s="2">
        <f t="shared" si="874"/>
        <v>0</v>
      </c>
      <c r="Y1911" s="2" t="str">
        <f t="shared" si="885"/>
        <v/>
      </c>
      <c r="Z1911" s="2" t="str">
        <f t="shared" si="886"/>
        <v/>
      </c>
      <c r="AA1911" s="2" t="str">
        <f t="shared" si="887"/>
        <v/>
      </c>
      <c r="AB1911" s="2">
        <f t="shared" si="875"/>
        <v>0</v>
      </c>
      <c r="AC1911" s="625">
        <v>0</v>
      </c>
      <c r="AD1911" s="625">
        <v>0</v>
      </c>
      <c r="AE1911" s="625">
        <v>0</v>
      </c>
      <c r="AF1911" s="625">
        <v>0</v>
      </c>
      <c r="AG1911" s="625">
        <v>0</v>
      </c>
      <c r="AH1911" s="625">
        <v>0</v>
      </c>
      <c r="AI1911" s="625">
        <v>0</v>
      </c>
      <c r="AJ1911" s="625">
        <v>0</v>
      </c>
      <c r="AK1911" s="625">
        <v>0</v>
      </c>
      <c r="AL1911" s="625">
        <v>0</v>
      </c>
      <c r="AM1911" s="625">
        <v>0</v>
      </c>
      <c r="AN1911" s="625">
        <v>0</v>
      </c>
      <c r="AO1911" s="625">
        <v>0</v>
      </c>
      <c r="AP1911" s="41" t="str">
        <f t="shared" si="864"/>
        <v>Def TaxR</v>
      </c>
      <c r="AQ1911" s="41" t="str">
        <f t="shared" si="865"/>
        <v>Def TaxRR11OPEB</v>
      </c>
      <c r="AR1911" s="41" t="str">
        <f t="shared" si="866"/>
        <v>R11OPEB</v>
      </c>
    </row>
    <row r="1912" spans="1:44" s="41" customFormat="1" ht="12.75" customHeight="1">
      <c r="A1912" s="442" t="s">
        <v>1590</v>
      </c>
      <c r="B1912" s="442" t="str">
        <f t="shared" si="857"/>
        <v>Def Tax190512SQPPBT010209</v>
      </c>
      <c r="C1912" s="736">
        <v>190512</v>
      </c>
      <c r="D1912" s="735" t="s">
        <v>2032</v>
      </c>
      <c r="E1912" s="626" t="s">
        <v>1990</v>
      </c>
      <c r="F1912" s="626" t="str">
        <f t="shared" si="893"/>
        <v>ADIT-REG-STATE-GAS</v>
      </c>
      <c r="G1912" s="626" t="s">
        <v>1991</v>
      </c>
      <c r="H1912" s="736" t="s">
        <v>1122</v>
      </c>
      <c r="I1912" s="442"/>
      <c r="J1912" s="442" t="str">
        <f t="shared" si="894"/>
        <v/>
      </c>
      <c r="K1912" s="442" t="str">
        <f t="shared" si="892"/>
        <v/>
      </c>
      <c r="L1912" s="736" t="s">
        <v>2421</v>
      </c>
      <c r="M1912" s="442" t="str">
        <f t="shared" si="881"/>
        <v>N</v>
      </c>
      <c r="N1912" s="442" t="str">
        <f>IF(L1912&lt;&gt;"",VLOOKUP(L1912,Categories!$B$2:$D$41,2,FALSE),IF(F1912&lt;&gt;"","No Cat",""))</f>
        <v>NRBASE</v>
      </c>
      <c r="O1912" s="442" t="str">
        <f>IF($L1912&lt;&gt;"",VLOOKUP($L1912,Categories!$B$2:$D$41,3,FALSE),IF($F1912&lt;&gt;"","No Cat",""))</f>
        <v>Direct Assign Items Not in RB</v>
      </c>
      <c r="P1912" s="736" t="s">
        <v>2468</v>
      </c>
      <c r="Q1912" s="442" t="str">
        <f>VLOOKUP($P1912,Allocators!$B$7:$F$19,5,FALSE)</f>
        <v>Not in Rate Base</v>
      </c>
      <c r="R1912" s="737">
        <f>VLOOKUP($P1912,Allocators!$B$7:$F$19,2,FALSE)</f>
        <v>0</v>
      </c>
      <c r="S1912" s="737">
        <f>VLOOKUP($P1912,Allocators!$B$7:$F$19,3,FALSE)</f>
        <v>0</v>
      </c>
      <c r="T1912" s="737">
        <f t="shared" si="861"/>
        <v>1</v>
      </c>
      <c r="U1912" s="2">
        <f t="shared" si="882"/>
        <v>0</v>
      </c>
      <c r="V1912" s="2">
        <f t="shared" si="883"/>
        <v>0</v>
      </c>
      <c r="W1912" s="2">
        <f t="shared" si="884"/>
        <v>7.7754958333333297</v>
      </c>
      <c r="X1912" s="2">
        <f t="shared" si="874"/>
        <v>7.7754958333333297</v>
      </c>
      <c r="Y1912" s="2">
        <f t="shared" si="885"/>
        <v>0</v>
      </c>
      <c r="Z1912" s="2">
        <f t="shared" si="886"/>
        <v>0</v>
      </c>
      <c r="AA1912" s="2">
        <f t="shared" si="887"/>
        <v>8.8211499999999994</v>
      </c>
      <c r="AB1912" s="2">
        <f t="shared" si="875"/>
        <v>8.8211499999999994</v>
      </c>
      <c r="AC1912" s="625">
        <v>6.9049700000000005</v>
      </c>
      <c r="AD1912" s="625">
        <v>7.0484099999999996</v>
      </c>
      <c r="AE1912" s="625">
        <v>7.1926600000000001</v>
      </c>
      <c r="AF1912" s="625">
        <v>7.3377299999999996</v>
      </c>
      <c r="AG1912" s="625">
        <v>7.4836200000000002</v>
      </c>
      <c r="AH1912" s="625">
        <v>7.6303400000000003</v>
      </c>
      <c r="AI1912" s="625">
        <v>7.7778900000000002</v>
      </c>
      <c r="AJ1912" s="625">
        <v>7.9262799999999993</v>
      </c>
      <c r="AK1912" s="625">
        <v>8.0755099999999995</v>
      </c>
      <c r="AL1912" s="625">
        <v>8.0755099999999995</v>
      </c>
      <c r="AM1912" s="625">
        <v>8.2264300000000006</v>
      </c>
      <c r="AN1912" s="625">
        <v>8.6685099999999995</v>
      </c>
      <c r="AO1912" s="625">
        <v>8.8211499999999994</v>
      </c>
      <c r="AP1912" s="41" t="str">
        <f t="shared" si="864"/>
        <v>Def TaxN</v>
      </c>
      <c r="AQ1912" s="41" t="str">
        <f t="shared" si="865"/>
        <v>Def TaxNN2Service Quality Performance</v>
      </c>
      <c r="AR1912" s="41" t="str">
        <f t="shared" si="866"/>
        <v>N2Service Quality Performance</v>
      </c>
    </row>
    <row r="1913" spans="1:44" s="41" customFormat="1" ht="12.75" customHeight="1">
      <c r="A1913" s="25" t="s">
        <v>1590</v>
      </c>
      <c r="B1913" s="25" t="str">
        <f t="shared" si="857"/>
        <v>Def Tax190512283-069BT010199</v>
      </c>
      <c r="C1913" s="736">
        <v>190512</v>
      </c>
      <c r="D1913" s="735" t="s">
        <v>1992</v>
      </c>
      <c r="E1913" s="41" t="s">
        <v>1993</v>
      </c>
      <c r="F1913" s="41" t="str">
        <f t="shared" si="893"/>
        <v>ADIT-REG-STATE-GAS</v>
      </c>
      <c r="G1913" s="41" t="s">
        <v>1994</v>
      </c>
      <c r="H1913" s="736" t="s">
        <v>1995</v>
      </c>
      <c r="I1913" s="25"/>
      <c r="J1913" s="25" t="str">
        <f t="shared" si="894"/>
        <v/>
      </c>
      <c r="K1913" s="442" t="str">
        <f t="shared" si="892"/>
        <v/>
      </c>
      <c r="L1913" s="736" t="s">
        <v>2443</v>
      </c>
      <c r="M1913" s="25" t="str">
        <f t="shared" si="881"/>
        <v>R</v>
      </c>
      <c r="N1913" s="25" t="str">
        <f>IF(L1913&lt;&gt;"",VLOOKUP(L1913,Categories!$B$2:$D$41,2,FALSE),IF(F1913&lt;&gt;"","No Cat",""))</f>
        <v>Rate Base</v>
      </c>
      <c r="O1913" s="25" t="str">
        <f>IF($L1913&lt;&gt;"",VLOOKUP($L1913,Categories!$B$2:$D$41,3,FALSE),IF($F1913&lt;&gt;"","No Cat",""))</f>
        <v>Deferred Income Taxes</v>
      </c>
      <c r="P1913" s="736" t="s">
        <v>2483</v>
      </c>
      <c r="Q1913" s="25" t="str">
        <f>VLOOKUP($P1913,Allocators!$B$7:$F$19,5,FALSE)</f>
        <v>Gas</v>
      </c>
      <c r="R1913" s="737">
        <f>VLOOKUP($P1913,Allocators!$B$7:$F$19,2,FALSE)</f>
        <v>0</v>
      </c>
      <c r="S1913" s="737">
        <f>VLOOKUP($P1913,Allocators!$B$7:$F$19,3,FALSE)</f>
        <v>1</v>
      </c>
      <c r="T1913" s="737" t="str">
        <f t="shared" si="861"/>
        <v>0.0%</v>
      </c>
      <c r="U1913" s="2">
        <f t="shared" si="882"/>
        <v>0</v>
      </c>
      <c r="V1913" s="2">
        <f t="shared" si="883"/>
        <v>-39.372547083333302</v>
      </c>
      <c r="W1913" s="2">
        <f t="shared" si="884"/>
        <v>0</v>
      </c>
      <c r="X1913" s="2">
        <f t="shared" si="874"/>
        <v>-39.372547083333302</v>
      </c>
      <c r="Y1913" s="2">
        <f t="shared" si="885"/>
        <v>0</v>
      </c>
      <c r="Z1913" s="2">
        <f t="shared" si="886"/>
        <v>-39.52026</v>
      </c>
      <c r="AA1913" s="2">
        <f t="shared" si="887"/>
        <v>0</v>
      </c>
      <c r="AB1913" s="2">
        <f t="shared" si="875"/>
        <v>-39.52026</v>
      </c>
      <c r="AC1913" s="625">
        <v>-39.380029999999998</v>
      </c>
      <c r="AD1913" s="625">
        <v>-39.380029999999998</v>
      </c>
      <c r="AE1913" s="625">
        <v>-39.380029999999998</v>
      </c>
      <c r="AF1913" s="625">
        <v>-39.380029999999998</v>
      </c>
      <c r="AG1913" s="625">
        <v>-39.380029999999998</v>
      </c>
      <c r="AH1913" s="625">
        <v>-39.380029999999998</v>
      </c>
      <c r="AI1913" s="625">
        <v>-39.380029999999998</v>
      </c>
      <c r="AJ1913" s="625">
        <v>-39.380029999999998</v>
      </c>
      <c r="AK1913" s="625">
        <v>-39.380029999999998</v>
      </c>
      <c r="AL1913" s="625">
        <v>-39.229959999999998</v>
      </c>
      <c r="AM1913" s="625">
        <v>-39.229959999999998</v>
      </c>
      <c r="AN1913" s="625">
        <v>-39.52026</v>
      </c>
      <c r="AO1913" s="625">
        <v>-39.52026</v>
      </c>
      <c r="AP1913" s="41" t="str">
        <f t="shared" si="864"/>
        <v>Def TaxR</v>
      </c>
      <c r="AQ1913" s="41" t="str">
        <f t="shared" si="865"/>
        <v>Def TaxRR11NYS Income Tax / GRT Deferral</v>
      </c>
      <c r="AR1913" s="41" t="str">
        <f t="shared" si="866"/>
        <v>R11NYS Income Tax / GRT Deferral</v>
      </c>
    </row>
    <row r="1914" spans="1:44" s="41" customFormat="1" ht="12.75" customHeight="1">
      <c r="A1914" s="442" t="s">
        <v>1590</v>
      </c>
      <c r="B1914" s="442" t="str">
        <f t="shared" si="857"/>
        <v>Def Tax190512GSC RefundBG030586</v>
      </c>
      <c r="C1914" s="736">
        <v>190512</v>
      </c>
      <c r="D1914" s="735" t="s">
        <v>2033</v>
      </c>
      <c r="E1914" s="626" t="s">
        <v>1150</v>
      </c>
      <c r="F1914" s="626" t="str">
        <f t="shared" si="893"/>
        <v>ADIT-REG-STATE-GAS</v>
      </c>
      <c r="G1914" s="626" t="s">
        <v>1509</v>
      </c>
      <c r="H1914" s="736" t="s">
        <v>1142</v>
      </c>
      <c r="I1914" s="442"/>
      <c r="J1914" s="442" t="s">
        <v>7</v>
      </c>
      <c r="K1914" s="442" t="str">
        <f t="shared" si="892"/>
        <v/>
      </c>
      <c r="L1914" s="736" t="s">
        <v>2436</v>
      </c>
      <c r="M1914" s="442" t="str">
        <f t="shared" si="881"/>
        <v>N</v>
      </c>
      <c r="N1914" s="442" t="str">
        <f>IF(L1914&lt;&gt;"",VLOOKUP(L1914,Categories!$B$2:$D$41,2,FALSE),IF(F1914&lt;&gt;"","No Cat",""))</f>
        <v>NRBASE</v>
      </c>
      <c r="O1914" s="442" t="str">
        <f>IF($L1914&lt;&gt;"",VLOOKUP($L1914,Categories!$B$2:$D$41,3,FALSE),IF($F1914&lt;&gt;"","No Cat",""))</f>
        <v>Deferrals Accruing Non-Cash Return   (other than ASGA)</v>
      </c>
      <c r="P1914" s="736" t="s">
        <v>2468</v>
      </c>
      <c r="Q1914" s="442" t="str">
        <f>VLOOKUP($P1914,Allocators!$B$7:$F$19,5,FALSE)</f>
        <v>Not in Rate Base</v>
      </c>
      <c r="R1914" s="737">
        <f>VLOOKUP($P1914,Allocators!$B$7:$F$19,2,FALSE)</f>
        <v>0</v>
      </c>
      <c r="S1914" s="737">
        <f>VLOOKUP($P1914,Allocators!$B$7:$F$19,3,FALSE)</f>
        <v>0</v>
      </c>
      <c r="T1914" s="737">
        <f t="shared" si="861"/>
        <v>1</v>
      </c>
      <c r="U1914" s="2">
        <f t="shared" si="882"/>
        <v>0</v>
      </c>
      <c r="V1914" s="2">
        <f t="shared" si="883"/>
        <v>0</v>
      </c>
      <c r="W1914" s="2">
        <f t="shared" si="884"/>
        <v>12.091863333333301</v>
      </c>
      <c r="X1914" s="2">
        <f t="shared" si="874"/>
        <v>12.091863333333301</v>
      </c>
      <c r="Y1914" s="2">
        <f t="shared" si="885"/>
        <v>0</v>
      </c>
      <c r="Z1914" s="2">
        <f t="shared" si="886"/>
        <v>0</v>
      </c>
      <c r="AA1914" s="2">
        <f t="shared" si="887"/>
        <v>9.2413299999999996</v>
      </c>
      <c r="AB1914" s="2">
        <f t="shared" si="875"/>
        <v>9.2413299999999996</v>
      </c>
      <c r="AC1914" s="625">
        <v>1.0000000000000001E-5</v>
      </c>
      <c r="AD1914" s="625">
        <v>4.0000000000000003E-5</v>
      </c>
      <c r="AE1914" s="625">
        <v>0</v>
      </c>
      <c r="AF1914" s="625">
        <v>16.982009999999999</v>
      </c>
      <c r="AG1914" s="625">
        <v>17.35547</v>
      </c>
      <c r="AH1914" s="625">
        <v>16.689509999999999</v>
      </c>
      <c r="AI1914" s="625">
        <v>16.29466</v>
      </c>
      <c r="AJ1914" s="625">
        <v>15.92076</v>
      </c>
      <c r="AK1914" s="625">
        <v>15.692270000000001</v>
      </c>
      <c r="AL1914" s="625">
        <v>15.238350000000001</v>
      </c>
      <c r="AM1914" s="625">
        <v>14.29987</v>
      </c>
      <c r="AN1914" s="625">
        <v>12.008749999999999</v>
      </c>
      <c r="AO1914" s="625">
        <v>9.2413299999999996</v>
      </c>
      <c r="AP1914" s="41" t="str">
        <f t="shared" si="864"/>
        <v>Def TaxN</v>
      </c>
      <c r="AQ1914" s="41" t="str">
        <f t="shared" si="865"/>
        <v>Def TaxNN10Gas Costs Deferred</v>
      </c>
      <c r="AR1914" s="41" t="str">
        <f t="shared" si="866"/>
        <v>N10Gas Costs DeferredNCR</v>
      </c>
    </row>
    <row r="1915" spans="1:44" s="41" customFormat="1" ht="12.75" customHeight="1">
      <c r="A1915" s="442" t="s">
        <v>1590</v>
      </c>
      <c r="B1915" s="442" t="str">
        <f t="shared" ref="B1915" si="895">CONCATENATE(A1915,C1915,D1915,E1915)</f>
        <v>Def Tax190512BT010392</v>
      </c>
      <c r="C1915" s="736">
        <v>190512</v>
      </c>
      <c r="D1915" s="735"/>
      <c r="E1915" s="626" t="s">
        <v>4450</v>
      </c>
      <c r="F1915" s="626" t="str">
        <f t="shared" si="893"/>
        <v>ADIT-REG-STATE-GAS</v>
      </c>
      <c r="G1915" s="626" t="s">
        <v>4453</v>
      </c>
      <c r="H1915" s="736" t="s">
        <v>4455</v>
      </c>
      <c r="I1915" s="25"/>
      <c r="J1915" s="25"/>
      <c r="K1915" s="442"/>
      <c r="L1915" s="736" t="s">
        <v>2443</v>
      </c>
      <c r="M1915" s="25" t="str">
        <f t="shared" si="881"/>
        <v>R</v>
      </c>
      <c r="N1915" s="25" t="str">
        <f>IF(L1915&lt;&gt;"",VLOOKUP(L1915,Categories!$B$2:$D$41,2,FALSE),IF(F1915&lt;&gt;"","No Cat",""))</f>
        <v>Rate Base</v>
      </c>
      <c r="O1915" s="25" t="str">
        <f>IF($L1915&lt;&gt;"",VLOOKUP($L1915,Categories!$B$2:$D$41,3,FALSE),IF($F1915&lt;&gt;"","No Cat",""))</f>
        <v>Deferred Income Taxes</v>
      </c>
      <c r="P1915" s="736" t="s">
        <v>2483</v>
      </c>
      <c r="Q1915" s="25" t="str">
        <f>VLOOKUP($P1915,Allocators!$B$7:$F$19,5,FALSE)</f>
        <v>Gas</v>
      </c>
      <c r="R1915" s="737">
        <f>VLOOKUP($P1915,Allocators!$B$7:$F$19,2,FALSE)</f>
        <v>0</v>
      </c>
      <c r="S1915" s="737">
        <f>VLOOKUP($P1915,Allocators!$B$7:$F$19,3,FALSE)</f>
        <v>1</v>
      </c>
      <c r="T1915" s="737" t="str">
        <f t="shared" si="861"/>
        <v>0.0%</v>
      </c>
      <c r="U1915" s="2">
        <f t="shared" si="882"/>
        <v>0</v>
      </c>
      <c r="V1915" s="2">
        <f t="shared" si="883"/>
        <v>35.230791666666697</v>
      </c>
      <c r="W1915" s="2">
        <f t="shared" si="884"/>
        <v>0</v>
      </c>
      <c r="X1915" s="2">
        <f t="shared" si="874"/>
        <v>35.230791666666697</v>
      </c>
      <c r="Y1915" s="2">
        <f t="shared" si="885"/>
        <v>0</v>
      </c>
      <c r="Z1915" s="2">
        <f t="shared" si="886"/>
        <v>84.703000000000003</v>
      </c>
      <c r="AA1915" s="2">
        <f t="shared" si="887"/>
        <v>0</v>
      </c>
      <c r="AB1915" s="2">
        <f t="shared" si="875"/>
        <v>84.703000000000003</v>
      </c>
      <c r="AC1915" s="625"/>
      <c r="AD1915" s="625"/>
      <c r="AE1915" s="625"/>
      <c r="AF1915" s="625"/>
      <c r="AG1915" s="625"/>
      <c r="AH1915" s="625"/>
      <c r="AI1915" s="625">
        <v>59.143000000000001</v>
      </c>
      <c r="AJ1915" s="625">
        <v>59.143000000000001</v>
      </c>
      <c r="AK1915" s="625">
        <v>59.143000000000001</v>
      </c>
      <c r="AL1915" s="625">
        <v>59.143000000000001</v>
      </c>
      <c r="AM1915" s="625">
        <v>59.143000000000001</v>
      </c>
      <c r="AN1915" s="625">
        <v>84.703000000000003</v>
      </c>
      <c r="AO1915" s="625">
        <v>84.703000000000003</v>
      </c>
      <c r="AP1915" s="41" t="str">
        <f t="shared" si="864"/>
        <v>Def TaxR</v>
      </c>
      <c r="AQ1915" s="41" t="str">
        <f t="shared" si="865"/>
        <v>Def TaxRR11Excess DIT - New York State Tax Rate change</v>
      </c>
      <c r="AR1915" s="41" t="str">
        <f t="shared" si="866"/>
        <v>R11Excess DIT - New York State Tax Rate change</v>
      </c>
    </row>
    <row r="1916" spans="1:44" s="41" customFormat="1" ht="12.75" customHeight="1">
      <c r="A1916" s="442" t="s">
        <v>1590</v>
      </c>
      <c r="B1916" s="442" t="str">
        <f t="shared" ref="B1916" si="896">CONCATENATE(A1916,C1916,D1916,E1916)</f>
        <v>Def Tax190512BT010299</v>
      </c>
      <c r="C1916" s="736">
        <v>190512</v>
      </c>
      <c r="D1916" s="735"/>
      <c r="E1916" s="626" t="s">
        <v>4491</v>
      </c>
      <c r="F1916" s="626" t="str">
        <f t="shared" si="893"/>
        <v>ADIT-REG-STATE-GAS</v>
      </c>
      <c r="G1916" s="626" t="s">
        <v>4490</v>
      </c>
      <c r="H1916" s="736" t="s">
        <v>1131</v>
      </c>
      <c r="I1916" s="25"/>
      <c r="J1916" s="442" t="s">
        <v>7</v>
      </c>
      <c r="K1916" s="442"/>
      <c r="L1916" s="736" t="s">
        <v>2436</v>
      </c>
      <c r="M1916" s="442" t="str">
        <f t="shared" si="881"/>
        <v>N</v>
      </c>
      <c r="N1916" s="442" t="str">
        <f>IF(L1916&lt;&gt;"",VLOOKUP(L1916,Categories!$B$2:$D$41,2,FALSE),IF(F1916&lt;&gt;"","No Cat",""))</f>
        <v>NRBASE</v>
      </c>
      <c r="O1916" s="442" t="str">
        <f>IF($L1916&lt;&gt;"",VLOOKUP($L1916,Categories!$B$2:$D$41,3,FALSE),IF($F1916&lt;&gt;"","No Cat",""))</f>
        <v>Deferrals Accruing Non-Cash Return   (other than ASGA)</v>
      </c>
      <c r="P1916" s="736" t="s">
        <v>2468</v>
      </c>
      <c r="Q1916" s="442" t="str">
        <f>VLOOKUP($P1916,Allocators!$B$7:$F$19,5,FALSE)</f>
        <v>Not in Rate Base</v>
      </c>
      <c r="R1916" s="737">
        <f>VLOOKUP($P1916,Allocators!$B$7:$F$19,2,FALSE)</f>
        <v>0</v>
      </c>
      <c r="S1916" s="737">
        <f>VLOOKUP($P1916,Allocators!$B$7:$F$19,3,FALSE)</f>
        <v>0</v>
      </c>
      <c r="T1916" s="737">
        <f t="shared" si="861"/>
        <v>1</v>
      </c>
      <c r="U1916" s="2">
        <f t="shared" si="882"/>
        <v>0</v>
      </c>
      <c r="V1916" s="2">
        <f t="shared" si="883"/>
        <v>0</v>
      </c>
      <c r="W1916" s="2">
        <f t="shared" si="884"/>
        <v>188.98220499999999</v>
      </c>
      <c r="X1916" s="2">
        <f t="shared" si="874"/>
        <v>188.98220499999999</v>
      </c>
      <c r="Y1916" s="2">
        <f t="shared" si="885"/>
        <v>0</v>
      </c>
      <c r="Z1916" s="2">
        <f t="shared" si="886"/>
        <v>0</v>
      </c>
      <c r="AA1916" s="2">
        <f t="shared" si="887"/>
        <v>722.24252000000001</v>
      </c>
      <c r="AB1916" s="2">
        <f t="shared" si="875"/>
        <v>722.24252000000001</v>
      </c>
      <c r="AC1916" s="625"/>
      <c r="AD1916" s="625"/>
      <c r="AE1916" s="625"/>
      <c r="AF1916" s="625"/>
      <c r="AG1916" s="625"/>
      <c r="AH1916" s="625"/>
      <c r="AI1916" s="625"/>
      <c r="AJ1916" s="625"/>
      <c r="AK1916" s="625"/>
      <c r="AL1916" s="625">
        <v>619.94005000000004</v>
      </c>
      <c r="AM1916" s="625">
        <v>622.36125000000004</v>
      </c>
      <c r="AN1916" s="625">
        <v>664.36390000000006</v>
      </c>
      <c r="AO1916" s="625">
        <v>722.24252000000001</v>
      </c>
      <c r="AP1916" s="41" t="str">
        <f t="shared" si="864"/>
        <v>Def TaxN</v>
      </c>
      <c r="AQ1916" s="41" t="str">
        <f t="shared" si="865"/>
        <v>Def TaxNN10Energy Efficiency Portfolio Standard</v>
      </c>
      <c r="AR1916" s="41" t="str">
        <f t="shared" si="866"/>
        <v>N10Energy Efficiency Portfolio StandardNCR</v>
      </c>
    </row>
    <row r="1917" spans="1:44" s="41" customFormat="1" ht="12.75" customHeight="1">
      <c r="A1917" s="442" t="s">
        <v>1590</v>
      </c>
      <c r="B1917" s="442" t="str">
        <f t="shared" ref="B1917" si="897">CONCATENATE(A1917,C1917,D1917,E1917)</f>
        <v>Def Tax190512BT010085</v>
      </c>
      <c r="C1917" s="736">
        <v>190512</v>
      </c>
      <c r="D1917" s="735"/>
      <c r="E1917" s="626" t="s">
        <v>1917</v>
      </c>
      <c r="F1917" s="626" t="str">
        <f t="shared" si="893"/>
        <v>ADIT-REG-STATE-GAS</v>
      </c>
      <c r="G1917" s="626" t="s">
        <v>4557</v>
      </c>
      <c r="H1917" s="736" t="s">
        <v>2125</v>
      </c>
      <c r="I1917" s="25"/>
      <c r="J1917" s="442" t="s">
        <v>7</v>
      </c>
      <c r="K1917" s="442"/>
      <c r="L1917" s="736" t="s">
        <v>2436</v>
      </c>
      <c r="M1917" s="25" t="str">
        <f t="shared" si="881"/>
        <v>N</v>
      </c>
      <c r="N1917" s="25" t="str">
        <f>IF(L1917&lt;&gt;"",VLOOKUP(L1917,Categories!$B$2:$D$41,2,FALSE),IF(F1917&lt;&gt;"","No Cat",""))</f>
        <v>NRBASE</v>
      </c>
      <c r="O1917" s="25" t="str">
        <f>IF($L1917&lt;&gt;"",VLOOKUP($L1917,Categories!$B$2:$D$41,3,FALSE),IF($F1917&lt;&gt;"","No Cat",""))</f>
        <v>Deferrals Accruing Non-Cash Return   (other than ASGA)</v>
      </c>
      <c r="P1917" s="736" t="s">
        <v>2468</v>
      </c>
      <c r="Q1917" s="25" t="str">
        <f>VLOOKUP($P1917,Allocators!$B$7:$F$19,5,FALSE)</f>
        <v>Not in Rate Base</v>
      </c>
      <c r="R1917" s="737">
        <f>VLOOKUP($P1917,Allocators!$B$7:$F$19,2,FALSE)</f>
        <v>0</v>
      </c>
      <c r="S1917" s="737">
        <f>VLOOKUP($P1917,Allocators!$B$7:$F$19,3,FALSE)</f>
        <v>0</v>
      </c>
      <c r="T1917" s="737">
        <f t="shared" si="861"/>
        <v>1</v>
      </c>
      <c r="U1917" s="2">
        <f t="shared" si="882"/>
        <v>0</v>
      </c>
      <c r="V1917" s="2">
        <f t="shared" si="883"/>
        <v>0</v>
      </c>
      <c r="W1917" s="2">
        <f t="shared" si="884"/>
        <v>1.7303379166666699</v>
      </c>
      <c r="X1917" s="2">
        <f t="shared" si="874"/>
        <v>1.7303379166666699</v>
      </c>
      <c r="Y1917" s="2">
        <f t="shared" si="885"/>
        <v>0</v>
      </c>
      <c r="Z1917" s="2">
        <f t="shared" si="886"/>
        <v>0</v>
      </c>
      <c r="AA1917" s="2">
        <f t="shared" si="887"/>
        <v>41.528109999999998</v>
      </c>
      <c r="AB1917" s="2">
        <f t="shared" si="875"/>
        <v>41.528109999999998</v>
      </c>
      <c r="AC1917" s="625"/>
      <c r="AD1917" s="625"/>
      <c r="AE1917" s="625"/>
      <c r="AF1917" s="625"/>
      <c r="AG1917" s="625"/>
      <c r="AH1917" s="625"/>
      <c r="AI1917" s="625"/>
      <c r="AJ1917" s="625"/>
      <c r="AK1917" s="625"/>
      <c r="AL1917" s="625"/>
      <c r="AM1917" s="625"/>
      <c r="AN1917" s="625"/>
      <c r="AO1917" s="625">
        <v>41.528109999999998</v>
      </c>
      <c r="AP1917" s="41" t="str">
        <f t="shared" si="864"/>
        <v>Def TaxN</v>
      </c>
      <c r="AQ1917" s="41" t="str">
        <f t="shared" si="865"/>
        <v>Def TaxNN10Mixed Use 263(a)</v>
      </c>
      <c r="AR1917" s="41" t="str">
        <f t="shared" si="866"/>
        <v>N10Mixed Use 263(a)NCR</v>
      </c>
    </row>
    <row r="1918" spans="1:44" s="41" customFormat="1" ht="12.75" customHeight="1">
      <c r="A1918" s="442" t="s">
        <v>1590</v>
      </c>
      <c r="B1918" s="442" t="str">
        <f t="shared" si="857"/>
        <v>Def Tax190512Tree TrimmingBG030595</v>
      </c>
      <c r="C1918" s="736">
        <v>190512</v>
      </c>
      <c r="D1918" s="735" t="s">
        <v>2034</v>
      </c>
      <c r="E1918" s="626" t="s">
        <v>1284</v>
      </c>
      <c r="F1918" s="626" t="str">
        <f t="shared" si="893"/>
        <v>ADIT-REG-STATE-GAS</v>
      </c>
      <c r="G1918" s="626" t="s">
        <v>2006</v>
      </c>
      <c r="H1918" s="736" t="s">
        <v>1119</v>
      </c>
      <c r="I1918" s="442"/>
      <c r="J1918" s="442" t="s">
        <v>7</v>
      </c>
      <c r="K1918" s="442" t="str">
        <f t="shared" si="892"/>
        <v/>
      </c>
      <c r="L1918" s="736" t="s">
        <v>2436</v>
      </c>
      <c r="M1918" s="442" t="str">
        <f t="shared" si="881"/>
        <v>N</v>
      </c>
      <c r="N1918" s="442" t="str">
        <f>IF(L1918&lt;&gt;"",VLOOKUP(L1918,Categories!$B$2:$D$41,2,FALSE),IF(F1918&lt;&gt;"","No Cat",""))</f>
        <v>NRBASE</v>
      </c>
      <c r="O1918" s="442" t="str">
        <f>IF($L1918&lt;&gt;"",VLOOKUP($L1918,Categories!$B$2:$D$41,3,FALSE),IF($F1918&lt;&gt;"","No Cat",""))</f>
        <v>Deferrals Accruing Non-Cash Return   (other than ASGA)</v>
      </c>
      <c r="P1918" s="736" t="s">
        <v>2468</v>
      </c>
      <c r="Q1918" s="442" t="str">
        <f>VLOOKUP($P1918,Allocators!$B$7:$F$19,5,FALSE)</f>
        <v>Not in Rate Base</v>
      </c>
      <c r="R1918" s="737">
        <f>VLOOKUP($P1918,Allocators!$B$7:$F$19,2,FALSE)</f>
        <v>0</v>
      </c>
      <c r="S1918" s="737">
        <f>VLOOKUP($P1918,Allocators!$B$7:$F$19,3,FALSE)</f>
        <v>0</v>
      </c>
      <c r="T1918" s="737">
        <f t="shared" si="861"/>
        <v>1</v>
      </c>
      <c r="U1918" s="2">
        <f t="shared" si="882"/>
        <v>0</v>
      </c>
      <c r="V1918" s="2">
        <f t="shared" si="883"/>
        <v>0</v>
      </c>
      <c r="W1918" s="2">
        <f t="shared" si="884"/>
        <v>9.7199279166666699</v>
      </c>
      <c r="X1918" s="2">
        <f t="shared" si="874"/>
        <v>9.7199279166666699</v>
      </c>
      <c r="Y1918" s="2">
        <f t="shared" si="885"/>
        <v>0</v>
      </c>
      <c r="Z1918" s="2">
        <f t="shared" si="886"/>
        <v>0</v>
      </c>
      <c r="AA1918" s="2">
        <f t="shared" si="887"/>
        <v>14.975160000000001</v>
      </c>
      <c r="AB1918" s="2">
        <f t="shared" si="875"/>
        <v>14.975160000000001</v>
      </c>
      <c r="AC1918" s="625">
        <v>2.0309999999999998E-2</v>
      </c>
      <c r="AD1918" s="625">
        <v>1.4474500000000001</v>
      </c>
      <c r="AE1918" s="625">
        <v>3.3971900000000002</v>
      </c>
      <c r="AF1918" s="625">
        <v>5.5686</v>
      </c>
      <c r="AG1918" s="625">
        <v>7.7400200000000003</v>
      </c>
      <c r="AH1918" s="625">
        <v>9.4939099999999996</v>
      </c>
      <c r="AI1918" s="625">
        <v>11.082979999999999</v>
      </c>
      <c r="AJ1918" s="625">
        <v>13.001389999999999</v>
      </c>
      <c r="AK1918" s="625">
        <v>12.55247</v>
      </c>
      <c r="AL1918" s="625">
        <v>13.361330000000001</v>
      </c>
      <c r="AM1918" s="625">
        <v>15.11896</v>
      </c>
      <c r="AN1918" s="625">
        <v>16.377099999999999</v>
      </c>
      <c r="AO1918" s="625">
        <v>14.975160000000001</v>
      </c>
      <c r="AP1918" s="41" t="str">
        <f t="shared" si="864"/>
        <v>Def TaxN</v>
      </c>
      <c r="AQ1918" s="41" t="str">
        <f t="shared" si="865"/>
        <v>Def TaxNN10Vegetation Management</v>
      </c>
      <c r="AR1918" s="41" t="str">
        <f t="shared" si="866"/>
        <v>N10Vegetation ManagementNCR</v>
      </c>
    </row>
    <row r="1919" spans="1:44" s="41" customFormat="1" ht="12.75" customHeight="1">
      <c r="A1919" s="25" t="s">
        <v>1590</v>
      </c>
      <c r="B1919" s="25" t="str">
        <f t="shared" ref="B1919:B1993" si="898">CONCATENATE(A1919,C1919,D1919,E1919)</f>
        <v>Def Tax190531BC030561</v>
      </c>
      <c r="C1919" s="736">
        <v>190531</v>
      </c>
      <c r="D1919" s="735"/>
      <c r="E1919" s="41" t="s">
        <v>980</v>
      </c>
      <c r="F1919" s="41" t="str">
        <f t="shared" si="893"/>
        <v>ADIT - EEBEN - REG - FEDERAL - ELECTRIC</v>
      </c>
      <c r="G1919" s="41" t="s">
        <v>2051</v>
      </c>
      <c r="H1919" s="736" t="s">
        <v>1673</v>
      </c>
      <c r="I1919" s="25"/>
      <c r="J1919" s="25" t="str">
        <f t="shared" si="894"/>
        <v/>
      </c>
      <c r="K1919" s="442" t="str">
        <f t="shared" si="892"/>
        <v/>
      </c>
      <c r="L1919" s="736" t="s">
        <v>2443</v>
      </c>
      <c r="M1919" s="25" t="str">
        <f t="shared" si="881"/>
        <v>R</v>
      </c>
      <c r="N1919" s="25" t="str">
        <f>IF(L1919&lt;&gt;"",VLOOKUP(L1919,Categories!$B$2:$D$41,2,FALSE),IF(F1919&lt;&gt;"","No Cat",""))</f>
        <v>Rate Base</v>
      </c>
      <c r="O1919" s="25" t="str">
        <f>IF($L1919&lt;&gt;"",VLOOKUP($L1919,Categories!$B$2:$D$41,3,FALSE),IF($F1919&lt;&gt;"","No Cat",""))</f>
        <v>Deferred Income Taxes</v>
      </c>
      <c r="P1919" s="736" t="s">
        <v>2482</v>
      </c>
      <c r="Q1919" s="25" t="str">
        <f>VLOOKUP($P1919,Allocators!$B$7:$F$19,5,FALSE)</f>
        <v>Electric</v>
      </c>
      <c r="R1919" s="737">
        <f>VLOOKUP($P1919,Allocators!$B$7:$F$19,2,FALSE)</f>
        <v>1</v>
      </c>
      <c r="S1919" s="737">
        <f>VLOOKUP($P1919,Allocators!$B$7:$F$19,3,FALSE)</f>
        <v>0</v>
      </c>
      <c r="T1919" s="737" t="str">
        <f t="shared" si="861"/>
        <v>0.0%</v>
      </c>
      <c r="U1919" s="2">
        <f t="shared" si="882"/>
        <v>-23668.935255416702</v>
      </c>
      <c r="V1919" s="2">
        <f t="shared" si="883"/>
        <v>0</v>
      </c>
      <c r="W1919" s="2">
        <f t="shared" si="884"/>
        <v>0</v>
      </c>
      <c r="X1919" s="2">
        <f t="shared" si="874"/>
        <v>-23668.935255416702</v>
      </c>
      <c r="Y1919" s="2">
        <f t="shared" si="885"/>
        <v>-35775.950040000003</v>
      </c>
      <c r="Z1919" s="2">
        <f t="shared" si="886"/>
        <v>0</v>
      </c>
      <c r="AA1919" s="2">
        <f t="shared" si="887"/>
        <v>0</v>
      </c>
      <c r="AB1919" s="2">
        <f t="shared" si="875"/>
        <v>-35775.950039999996</v>
      </c>
      <c r="AC1919" s="625">
        <v>-25188.944629999998</v>
      </c>
      <c r="AD1919" s="625">
        <v>-24832.3747</v>
      </c>
      <c r="AE1919" s="625">
        <v>-24475.804780000002</v>
      </c>
      <c r="AF1919" s="625">
        <v>-24119.234850000001</v>
      </c>
      <c r="AG1919" s="625">
        <v>-23762.664920000003</v>
      </c>
      <c r="AH1919" s="625">
        <v>-23406.094989999998</v>
      </c>
      <c r="AI1919" s="625">
        <v>-23049.52507</v>
      </c>
      <c r="AJ1919" s="625">
        <v>-22692.955140000002</v>
      </c>
      <c r="AK1919" s="625">
        <v>-22336.38521</v>
      </c>
      <c r="AL1919" s="625">
        <v>-21979.815280000003</v>
      </c>
      <c r="AM1919" s="625">
        <v>-21623.245360000001</v>
      </c>
      <c r="AN1919" s="625">
        <v>-21266.675429999999</v>
      </c>
      <c r="AO1919" s="625">
        <v>-35775.950039999996</v>
      </c>
      <c r="AP1919" s="41" t="str">
        <f t="shared" si="864"/>
        <v>Def TaxR</v>
      </c>
      <c r="AQ1919" s="41" t="str">
        <f t="shared" si="865"/>
        <v>Def TaxRR11Pension</v>
      </c>
      <c r="AR1919" s="41" t="str">
        <f t="shared" si="866"/>
        <v>R11Pension</v>
      </c>
    </row>
    <row r="1920" spans="1:44" s="41" customFormat="1" ht="12.75" customHeight="1">
      <c r="A1920" s="25" t="s">
        <v>1590</v>
      </c>
      <c r="B1920" s="25" t="str">
        <f t="shared" si="898"/>
        <v>Def Tax190531BT010091</v>
      </c>
      <c r="C1920" s="736">
        <v>190531</v>
      </c>
      <c r="D1920" s="735"/>
      <c r="E1920" s="41" t="s">
        <v>1859</v>
      </c>
      <c r="F1920" s="41" t="str">
        <f t="shared" si="893"/>
        <v>ADIT - EEBEN - REG - FEDERAL - ELECTRIC</v>
      </c>
      <c r="G1920" s="41" t="s">
        <v>2052</v>
      </c>
      <c r="H1920" s="736" t="s">
        <v>812</v>
      </c>
      <c r="I1920" s="25"/>
      <c r="J1920" s="25" t="str">
        <f t="shared" si="894"/>
        <v/>
      </c>
      <c r="K1920" s="442" t="str">
        <f t="shared" si="892"/>
        <v/>
      </c>
      <c r="L1920" s="736" t="s">
        <v>2443</v>
      </c>
      <c r="M1920" s="25" t="str">
        <f t="shared" si="881"/>
        <v>R</v>
      </c>
      <c r="N1920" s="25" t="str">
        <f>IF(L1920&lt;&gt;"",VLOOKUP(L1920,Categories!$B$2:$D$41,2,FALSE),IF(F1920&lt;&gt;"","No Cat",""))</f>
        <v>Rate Base</v>
      </c>
      <c r="O1920" s="25" t="str">
        <f>IF($L1920&lt;&gt;"",VLOOKUP($L1920,Categories!$B$2:$D$41,3,FALSE),IF($F1920&lt;&gt;"","No Cat",""))</f>
        <v>Deferred Income Taxes</v>
      </c>
      <c r="P1920" s="736" t="s">
        <v>2482</v>
      </c>
      <c r="Q1920" s="25" t="str">
        <f>VLOOKUP($P1920,Allocators!$B$7:$F$19,5,FALSE)</f>
        <v>Electric</v>
      </c>
      <c r="R1920" s="737">
        <f>VLOOKUP($P1920,Allocators!$B$7:$F$19,2,FALSE)</f>
        <v>1</v>
      </c>
      <c r="S1920" s="737">
        <f>VLOOKUP($P1920,Allocators!$B$7:$F$19,3,FALSE)</f>
        <v>0</v>
      </c>
      <c r="T1920" s="737" t="str">
        <f t="shared" si="861"/>
        <v>0.0%</v>
      </c>
      <c r="U1920" s="2">
        <f t="shared" si="882"/>
        <v>10.428053333333301</v>
      </c>
      <c r="V1920" s="2">
        <f t="shared" si="883"/>
        <v>0</v>
      </c>
      <c r="W1920" s="2">
        <f t="shared" si="884"/>
        <v>0</v>
      </c>
      <c r="X1920" s="2">
        <f t="shared" si="874"/>
        <v>10.428053333333301</v>
      </c>
      <c r="Y1920" s="2">
        <f t="shared" si="885"/>
        <v>173.93098000000001</v>
      </c>
      <c r="Z1920" s="2">
        <f t="shared" si="886"/>
        <v>0</v>
      </c>
      <c r="AA1920" s="2">
        <f t="shared" si="887"/>
        <v>0</v>
      </c>
      <c r="AB1920" s="2">
        <f t="shared" si="875"/>
        <v>173.93098000000001</v>
      </c>
      <c r="AC1920" s="625">
        <v>-156.62957999999998</v>
      </c>
      <c r="AD1920" s="625">
        <v>-133.62969000000001</v>
      </c>
      <c r="AE1920" s="625">
        <v>-101.83619</v>
      </c>
      <c r="AF1920" s="625">
        <v>-70.739570000000001</v>
      </c>
      <c r="AG1920" s="625">
        <v>-41.15493</v>
      </c>
      <c r="AH1920" s="625">
        <v>-10.266999999999999</v>
      </c>
      <c r="AI1920" s="625">
        <v>21.458069999999999</v>
      </c>
      <c r="AJ1920" s="625">
        <v>46.199860000000001</v>
      </c>
      <c r="AK1920" s="625">
        <v>58.138040000000004</v>
      </c>
      <c r="AL1920" s="625">
        <v>86.368649999999988</v>
      </c>
      <c r="AM1920" s="625">
        <v>115.77722</v>
      </c>
      <c r="AN1920" s="625">
        <v>146.17148</v>
      </c>
      <c r="AO1920" s="625">
        <v>173.93098000000001</v>
      </c>
      <c r="AP1920" s="41" t="str">
        <f t="shared" si="864"/>
        <v>Def TaxR</v>
      </c>
      <c r="AQ1920" s="41" t="str">
        <f t="shared" si="865"/>
        <v>Def TaxRR11OPEB True-up</v>
      </c>
      <c r="AR1920" s="41" t="str">
        <f t="shared" si="866"/>
        <v>R11OPEB True-up</v>
      </c>
    </row>
    <row r="1921" spans="1:44" s="41" customFormat="1" ht="12.75" customHeight="1">
      <c r="A1921" s="25" t="s">
        <v>1590</v>
      </c>
      <c r="B1921" s="25" t="str">
        <f t="shared" si="898"/>
        <v>Def Tax190531BT010124</v>
      </c>
      <c r="C1921" s="736">
        <v>190531</v>
      </c>
      <c r="D1921" s="735"/>
      <c r="E1921" s="41" t="s">
        <v>1938</v>
      </c>
      <c r="F1921" s="41" t="str">
        <f t="shared" si="893"/>
        <v>ADIT - EEBEN - REG - FEDERAL - ELECTRIC</v>
      </c>
      <c r="G1921" s="41" t="s">
        <v>2053</v>
      </c>
      <c r="H1921" s="736" t="s">
        <v>1118</v>
      </c>
      <c r="I1921" s="25"/>
      <c r="J1921" s="25" t="str">
        <f t="shared" si="894"/>
        <v/>
      </c>
      <c r="K1921" s="442" t="str">
        <f t="shared" si="892"/>
        <v/>
      </c>
      <c r="L1921" s="736" t="s">
        <v>2443</v>
      </c>
      <c r="M1921" s="25" t="str">
        <f t="shared" si="881"/>
        <v>R</v>
      </c>
      <c r="N1921" s="25" t="str">
        <f>IF(L1921&lt;&gt;"",VLOOKUP(L1921,Categories!$B$2:$D$41,2,FALSE),IF(F1921&lt;&gt;"","No Cat",""))</f>
        <v>Rate Base</v>
      </c>
      <c r="O1921" s="25" t="str">
        <f>IF($L1921&lt;&gt;"",VLOOKUP($L1921,Categories!$B$2:$D$41,3,FALSE),IF($F1921&lt;&gt;"","No Cat",""))</f>
        <v>Deferred Income Taxes</v>
      </c>
      <c r="P1921" s="736" t="s">
        <v>2482</v>
      </c>
      <c r="Q1921" s="25" t="str">
        <f>VLOOKUP($P1921,Allocators!$B$7:$F$19,5,FALSE)</f>
        <v>Electric</v>
      </c>
      <c r="R1921" s="737">
        <f>VLOOKUP($P1921,Allocators!$B$7:$F$19,2,FALSE)</f>
        <v>1</v>
      </c>
      <c r="S1921" s="737">
        <f>VLOOKUP($P1921,Allocators!$B$7:$F$19,3,FALSE)</f>
        <v>0</v>
      </c>
      <c r="T1921" s="737" t="str">
        <f t="shared" si="861"/>
        <v>0.0%</v>
      </c>
      <c r="U1921" s="2">
        <f t="shared" si="882"/>
        <v>69.220150416666698</v>
      </c>
      <c r="V1921" s="2">
        <f t="shared" si="883"/>
        <v>0</v>
      </c>
      <c r="W1921" s="2">
        <f t="shared" si="884"/>
        <v>0</v>
      </c>
      <c r="X1921" s="2">
        <f t="shared" si="874"/>
        <v>69.220150416666698</v>
      </c>
      <c r="Y1921" s="2">
        <f t="shared" si="885"/>
        <v>71.59357</v>
      </c>
      <c r="Z1921" s="2">
        <f t="shared" si="886"/>
        <v>0</v>
      </c>
      <c r="AA1921" s="2">
        <f t="shared" si="887"/>
        <v>0</v>
      </c>
      <c r="AB1921" s="2">
        <f t="shared" si="875"/>
        <v>71.593570000000014</v>
      </c>
      <c r="AC1921" s="625">
        <v>66.899419999999992</v>
      </c>
      <c r="AD1921" s="625">
        <v>67.27855000000001</v>
      </c>
      <c r="AE1921" s="625">
        <v>67.659840000000003</v>
      </c>
      <c r="AF1921" s="625">
        <v>68.043279999999996</v>
      </c>
      <c r="AG1921" s="625">
        <v>68.428899999999999</v>
      </c>
      <c r="AH1921" s="625">
        <v>68.816699999999997</v>
      </c>
      <c r="AI1921" s="625">
        <v>69.206699999999998</v>
      </c>
      <c r="AJ1921" s="625">
        <v>69.598919999999993</v>
      </c>
      <c r="AK1921" s="625">
        <v>69.993350000000007</v>
      </c>
      <c r="AL1921" s="625">
        <v>70.390020000000007</v>
      </c>
      <c r="AM1921" s="625">
        <v>70.788939999999997</v>
      </c>
      <c r="AN1921" s="625">
        <v>71.190110000000004</v>
      </c>
      <c r="AO1921" s="625">
        <v>71.593570000000014</v>
      </c>
      <c r="AP1921" s="41" t="str">
        <f t="shared" si="864"/>
        <v>Def TaxR</v>
      </c>
      <c r="AQ1921" s="41" t="str">
        <f t="shared" si="865"/>
        <v>Def TaxRR11Medicare Part D</v>
      </c>
      <c r="AR1921" s="41" t="str">
        <f t="shared" si="866"/>
        <v>R11Medicare Part D</v>
      </c>
    </row>
    <row r="1922" spans="1:44" s="41" customFormat="1" ht="12.75" customHeight="1">
      <c r="A1922" s="25" t="s">
        <v>1590</v>
      </c>
      <c r="B1922" s="25" t="str">
        <f t="shared" si="898"/>
        <v>Def Tax190531BT010166</v>
      </c>
      <c r="C1922" s="736">
        <v>190531</v>
      </c>
      <c r="D1922" s="735"/>
      <c r="E1922" s="41" t="s">
        <v>1957</v>
      </c>
      <c r="F1922" s="41" t="str">
        <f t="shared" si="893"/>
        <v>ADIT - EEBEN - REG - FEDERAL - ELECTRIC</v>
      </c>
      <c r="G1922" s="41" t="s">
        <v>2054</v>
      </c>
      <c r="H1922" s="736" t="s">
        <v>1159</v>
      </c>
      <c r="I1922" s="25"/>
      <c r="J1922" s="25" t="s">
        <v>7</v>
      </c>
      <c r="K1922" s="442" t="str">
        <f t="shared" si="892"/>
        <v/>
      </c>
      <c r="L1922" s="736" t="s">
        <v>2421</v>
      </c>
      <c r="M1922" s="25" t="str">
        <f t="shared" si="881"/>
        <v>N</v>
      </c>
      <c r="N1922" s="25" t="str">
        <f>IF(L1922&lt;&gt;"",VLOOKUP(L1922,Categories!$B$2:$D$41,2,FALSE),IF(F1922&lt;&gt;"","No Cat",""))</f>
        <v>NRBASE</v>
      </c>
      <c r="O1922" s="25" t="str">
        <f>IF($L1922&lt;&gt;"",VLOOKUP($L1922,Categories!$B$2:$D$41,3,FALSE),IF($F1922&lt;&gt;"","No Cat",""))</f>
        <v>Direct Assign Items Not in RB</v>
      </c>
      <c r="P1922" s="736" t="s">
        <v>2468</v>
      </c>
      <c r="Q1922" s="25" t="str">
        <f>VLOOKUP($P1922,Allocators!$B$7:$F$19,5,FALSE)</f>
        <v>Not in Rate Base</v>
      </c>
      <c r="R1922" s="737">
        <f>VLOOKUP($P1922,Allocators!$B$7:$F$19,2,FALSE)</f>
        <v>0</v>
      </c>
      <c r="S1922" s="737">
        <f>VLOOKUP($P1922,Allocators!$B$7:$F$19,3,FALSE)</f>
        <v>0</v>
      </c>
      <c r="T1922" s="737">
        <f t="shared" si="861"/>
        <v>1</v>
      </c>
      <c r="U1922" s="2">
        <f t="shared" si="882"/>
        <v>0</v>
      </c>
      <c r="V1922" s="2">
        <f t="shared" si="883"/>
        <v>0</v>
      </c>
      <c r="W1922" s="2">
        <f t="shared" si="884"/>
        <v>-1174.50953166667</v>
      </c>
      <c r="X1922" s="2">
        <f t="shared" si="874"/>
        <v>-1174.50953166667</v>
      </c>
      <c r="Y1922" s="2">
        <f t="shared" si="885"/>
        <v>0</v>
      </c>
      <c r="Z1922" s="2">
        <f t="shared" si="886"/>
        <v>0</v>
      </c>
      <c r="AA1922" s="2">
        <f t="shared" si="887"/>
        <v>-3076.5798</v>
      </c>
      <c r="AB1922" s="2">
        <f t="shared" si="875"/>
        <v>-3076.5798</v>
      </c>
      <c r="AC1922" s="625">
        <v>8.0000000000000007E-5</v>
      </c>
      <c r="AD1922" s="625">
        <v>8.0000000000000007E-5</v>
      </c>
      <c r="AE1922" s="625">
        <v>8.0000000000000007E-5</v>
      </c>
      <c r="AF1922" s="625">
        <v>8.0000000000000007E-5</v>
      </c>
      <c r="AG1922" s="625">
        <v>8.0000000000000007E-5</v>
      </c>
      <c r="AH1922" s="625">
        <v>-817.33048999999994</v>
      </c>
      <c r="AI1922" s="625">
        <v>-972.70170999999993</v>
      </c>
      <c r="AJ1922" s="625">
        <v>-1152.0188000000001</v>
      </c>
      <c r="AK1922" s="625">
        <v>-1344.74377</v>
      </c>
      <c r="AL1922" s="625">
        <v>-2596.24206</v>
      </c>
      <c r="AM1922" s="625">
        <v>-2761.5308599999998</v>
      </c>
      <c r="AN1922" s="625">
        <v>-2911.2571499999999</v>
      </c>
      <c r="AO1922" s="625">
        <v>-3076.5798</v>
      </c>
      <c r="AP1922" s="41" t="str">
        <f t="shared" si="864"/>
        <v>Def TaxN</v>
      </c>
      <c r="AQ1922" s="41" t="str">
        <f t="shared" si="865"/>
        <v>Def TaxNN2Pension True-up</v>
      </c>
      <c r="AR1922" s="41" t="str">
        <f t="shared" si="866"/>
        <v>N2Pension True-upNCR</v>
      </c>
    </row>
    <row r="1923" spans="1:44" s="41" customFormat="1" ht="12.75" customHeight="1">
      <c r="A1923" s="25" t="s">
        <v>1590</v>
      </c>
      <c r="B1923" s="25" t="str">
        <f t="shared" si="898"/>
        <v>Def Tax190531BT030562</v>
      </c>
      <c r="C1923" s="736">
        <v>190531</v>
      </c>
      <c r="D1923" s="735"/>
      <c r="E1923" s="41" t="s">
        <v>1839</v>
      </c>
      <c r="F1923" s="41" t="str">
        <f t="shared" si="893"/>
        <v>ADIT - EEBEN - REG - FEDERAL - ELECTRIC</v>
      </c>
      <c r="G1923" s="41" t="s">
        <v>1920</v>
      </c>
      <c r="H1923" s="736" t="s">
        <v>812</v>
      </c>
      <c r="I1923" s="25"/>
      <c r="J1923" s="25" t="str">
        <f t="shared" si="894"/>
        <v/>
      </c>
      <c r="K1923" s="442" t="str">
        <f t="shared" si="892"/>
        <v/>
      </c>
      <c r="L1923" s="736" t="s">
        <v>2443</v>
      </c>
      <c r="M1923" s="25" t="str">
        <f t="shared" si="881"/>
        <v>R</v>
      </c>
      <c r="N1923" s="25" t="str">
        <f>IF(L1923&lt;&gt;"",VLOOKUP(L1923,Categories!$B$2:$D$41,2,FALSE),IF(F1923&lt;&gt;"","No Cat",""))</f>
        <v>Rate Base</v>
      </c>
      <c r="O1923" s="25" t="str">
        <f>IF($L1923&lt;&gt;"",VLOOKUP($L1923,Categories!$B$2:$D$41,3,FALSE),IF($F1923&lt;&gt;"","No Cat",""))</f>
        <v>Deferred Income Taxes</v>
      </c>
      <c r="P1923" s="736" t="s">
        <v>2482</v>
      </c>
      <c r="Q1923" s="25" t="str">
        <f>VLOOKUP($P1923,Allocators!$B$7:$F$19,5,FALSE)</f>
        <v>Electric</v>
      </c>
      <c r="R1923" s="737">
        <f>VLOOKUP($P1923,Allocators!$B$7:$F$19,2,FALSE)</f>
        <v>1</v>
      </c>
      <c r="S1923" s="737">
        <f>VLOOKUP($P1923,Allocators!$B$7:$F$19,3,FALSE)</f>
        <v>0</v>
      </c>
      <c r="T1923" s="737" t="str">
        <f t="shared" si="861"/>
        <v>0.0%</v>
      </c>
      <c r="U1923" s="2">
        <f t="shared" si="882"/>
        <v>646.48492041666702</v>
      </c>
      <c r="V1923" s="2">
        <f t="shared" si="883"/>
        <v>0</v>
      </c>
      <c r="W1923" s="2">
        <f t="shared" si="884"/>
        <v>0</v>
      </c>
      <c r="X1923" s="2">
        <f t="shared" si="874"/>
        <v>646.48492041666702</v>
      </c>
      <c r="Y1923" s="2">
        <f t="shared" si="885"/>
        <v>-1362.03358</v>
      </c>
      <c r="Z1923" s="2">
        <f t="shared" si="886"/>
        <v>0</v>
      </c>
      <c r="AA1923" s="2">
        <f t="shared" si="887"/>
        <v>0</v>
      </c>
      <c r="AB1923" s="2">
        <f t="shared" si="875"/>
        <v>-1362.03358</v>
      </c>
      <c r="AC1923" s="625">
        <v>922.10827000000006</v>
      </c>
      <c r="AD1923" s="625">
        <v>889.29903999999999</v>
      </c>
      <c r="AE1923" s="625">
        <v>856.48981000000003</v>
      </c>
      <c r="AF1923" s="625">
        <v>823.68057999999996</v>
      </c>
      <c r="AG1923" s="625">
        <v>790.87133999999992</v>
      </c>
      <c r="AH1923" s="625">
        <v>758.06210999999996</v>
      </c>
      <c r="AI1923" s="625">
        <v>725.25288</v>
      </c>
      <c r="AJ1923" s="625">
        <v>692.44365000000005</v>
      </c>
      <c r="AK1923" s="625">
        <v>659.63442000000009</v>
      </c>
      <c r="AL1923" s="625">
        <v>626.82518999999991</v>
      </c>
      <c r="AM1923" s="625">
        <v>594.01595999999995</v>
      </c>
      <c r="AN1923" s="625">
        <v>561.20672000000002</v>
      </c>
      <c r="AO1923" s="625">
        <v>-1362.03358</v>
      </c>
      <c r="AP1923" s="41" t="str">
        <f t="shared" si="864"/>
        <v>Def TaxR</v>
      </c>
      <c r="AQ1923" s="41" t="str">
        <f t="shared" si="865"/>
        <v>Def TaxRR11OPEB True-up</v>
      </c>
      <c r="AR1923" s="41" t="str">
        <f t="shared" si="866"/>
        <v>R11OPEB True-up</v>
      </c>
    </row>
    <row r="1924" spans="1:44" s="41" customFormat="1" ht="12.75" customHeight="1">
      <c r="A1924" s="25" t="s">
        <v>1590</v>
      </c>
      <c r="B1924" s="25" t="str">
        <f t="shared" si="898"/>
        <v>Def Tax190532BC030561</v>
      </c>
      <c r="C1924" s="736">
        <v>190532</v>
      </c>
      <c r="D1924" s="735"/>
      <c r="E1924" s="41" t="s">
        <v>980</v>
      </c>
      <c r="F1924" s="41" t="str">
        <f t="shared" si="893"/>
        <v>ADIT - EEBEN - REG - FEDERAL - GAS</v>
      </c>
      <c r="G1924" s="41" t="s">
        <v>2051</v>
      </c>
      <c r="H1924" s="736" t="s">
        <v>1673</v>
      </c>
      <c r="I1924" s="25"/>
      <c r="J1924" s="25" t="str">
        <f t="shared" si="894"/>
        <v/>
      </c>
      <c r="K1924" s="442" t="str">
        <f t="shared" si="892"/>
        <v/>
      </c>
      <c r="L1924" s="736" t="s">
        <v>2443</v>
      </c>
      <c r="M1924" s="25" t="str">
        <f t="shared" si="881"/>
        <v>R</v>
      </c>
      <c r="N1924" s="25" t="str">
        <f>IF(L1924&lt;&gt;"",VLOOKUP(L1924,Categories!$B$2:$D$41,2,FALSE),IF(F1924&lt;&gt;"","No Cat",""))</f>
        <v>Rate Base</v>
      </c>
      <c r="O1924" s="25" t="str">
        <f>IF($L1924&lt;&gt;"",VLOOKUP($L1924,Categories!$B$2:$D$41,3,FALSE),IF($F1924&lt;&gt;"","No Cat",""))</f>
        <v>Deferred Income Taxes</v>
      </c>
      <c r="P1924" s="736" t="s">
        <v>2483</v>
      </c>
      <c r="Q1924" s="25" t="str">
        <f>VLOOKUP($P1924,Allocators!$B$7:$F$19,5,FALSE)</f>
        <v>Gas</v>
      </c>
      <c r="R1924" s="737">
        <f>VLOOKUP($P1924,Allocators!$B$7:$F$19,2,FALSE)</f>
        <v>0</v>
      </c>
      <c r="S1924" s="737">
        <f>VLOOKUP($P1924,Allocators!$B$7:$F$19,3,FALSE)</f>
        <v>1</v>
      </c>
      <c r="T1924" s="737" t="str">
        <f t="shared" si="861"/>
        <v>0.0%</v>
      </c>
      <c r="U1924" s="2">
        <f t="shared" si="882"/>
        <v>0</v>
      </c>
      <c r="V1924" s="2">
        <f t="shared" si="883"/>
        <v>-8617.3753433333295</v>
      </c>
      <c r="W1924" s="2">
        <f t="shared" si="884"/>
        <v>0</v>
      </c>
      <c r="X1924" s="2">
        <f t="shared" si="874"/>
        <v>-8617.3753433333295</v>
      </c>
      <c r="Y1924" s="2">
        <f t="shared" si="885"/>
        <v>0</v>
      </c>
      <c r="Z1924" s="2">
        <f t="shared" si="886"/>
        <v>-14580.53188</v>
      </c>
      <c r="AA1924" s="2">
        <f t="shared" si="887"/>
        <v>0</v>
      </c>
      <c r="AB1924" s="2">
        <f t="shared" si="875"/>
        <v>-14580.53188</v>
      </c>
      <c r="AC1924" s="625">
        <v>-9366.0366799999993</v>
      </c>
      <c r="AD1924" s="625">
        <v>-9190.4126899999992</v>
      </c>
      <c r="AE1924" s="625">
        <v>-9014.7886899999994</v>
      </c>
      <c r="AF1924" s="625">
        <v>-8839.1646999999994</v>
      </c>
      <c r="AG1924" s="625">
        <v>-8663.5406999999996</v>
      </c>
      <c r="AH1924" s="625">
        <v>-8487.9167100000013</v>
      </c>
      <c r="AI1924" s="625">
        <v>-8312.2927099999997</v>
      </c>
      <c r="AJ1924" s="625">
        <v>-8136.6687199999997</v>
      </c>
      <c r="AK1924" s="625">
        <v>-7961.0447199999999</v>
      </c>
      <c r="AL1924" s="625">
        <v>-7785.4207300000007</v>
      </c>
      <c r="AM1924" s="625">
        <v>-7609.79673</v>
      </c>
      <c r="AN1924" s="625">
        <v>-7434.17274</v>
      </c>
      <c r="AO1924" s="625">
        <v>-14580.53188</v>
      </c>
      <c r="AP1924" s="41" t="str">
        <f t="shared" si="864"/>
        <v>Def TaxR</v>
      </c>
      <c r="AQ1924" s="41" t="str">
        <f t="shared" si="865"/>
        <v>Def TaxRR11Pension</v>
      </c>
      <c r="AR1924" s="41" t="str">
        <f t="shared" si="866"/>
        <v>R11Pension</v>
      </c>
    </row>
    <row r="1925" spans="1:44" s="41" customFormat="1" ht="12.75" customHeight="1">
      <c r="A1925" s="25" t="s">
        <v>1590</v>
      </c>
      <c r="B1925" s="25" t="str">
        <f t="shared" si="898"/>
        <v>Def Tax190532BT010091</v>
      </c>
      <c r="C1925" s="736">
        <v>190532</v>
      </c>
      <c r="D1925" s="735"/>
      <c r="E1925" s="41" t="s">
        <v>1859</v>
      </c>
      <c r="F1925" s="41" t="str">
        <f t="shared" si="893"/>
        <v>ADIT - EEBEN - REG - FEDERAL - GAS</v>
      </c>
      <c r="G1925" s="41" t="s">
        <v>2052</v>
      </c>
      <c r="H1925" s="736" t="s">
        <v>812</v>
      </c>
      <c r="I1925" s="25"/>
      <c r="J1925" s="25" t="str">
        <f t="shared" si="894"/>
        <v/>
      </c>
      <c r="K1925" s="442" t="str">
        <f t="shared" si="892"/>
        <v/>
      </c>
      <c r="L1925" s="736" t="s">
        <v>2443</v>
      </c>
      <c r="M1925" s="25" t="str">
        <f t="shared" si="881"/>
        <v>R</v>
      </c>
      <c r="N1925" s="25" t="str">
        <f>IF(L1925&lt;&gt;"",VLOOKUP(L1925,Categories!$B$2:$D$41,2,FALSE),IF(F1925&lt;&gt;"","No Cat",""))</f>
        <v>Rate Base</v>
      </c>
      <c r="O1925" s="25" t="str">
        <f>IF($L1925&lt;&gt;"",VLOOKUP($L1925,Categories!$B$2:$D$41,3,FALSE),IF($F1925&lt;&gt;"","No Cat",""))</f>
        <v>Deferred Income Taxes</v>
      </c>
      <c r="P1925" s="736" t="s">
        <v>2483</v>
      </c>
      <c r="Q1925" s="25" t="str">
        <f>VLOOKUP($P1925,Allocators!$B$7:$F$19,5,FALSE)</f>
        <v>Gas</v>
      </c>
      <c r="R1925" s="737">
        <f>VLOOKUP($P1925,Allocators!$B$7:$F$19,2,FALSE)</f>
        <v>0</v>
      </c>
      <c r="S1925" s="737">
        <f>VLOOKUP($P1925,Allocators!$B$7:$F$19,3,FALSE)</f>
        <v>1</v>
      </c>
      <c r="T1925" s="737" t="str">
        <f t="shared" si="861"/>
        <v>0.0%</v>
      </c>
      <c r="U1925" s="2">
        <f t="shared" si="882"/>
        <v>0</v>
      </c>
      <c r="V1925" s="2">
        <f t="shared" si="883"/>
        <v>16.336005833333299</v>
      </c>
      <c r="W1925" s="2">
        <f t="shared" si="884"/>
        <v>0</v>
      </c>
      <c r="X1925" s="2">
        <f t="shared" si="874"/>
        <v>16.336005833333299</v>
      </c>
      <c r="Y1925" s="2">
        <f t="shared" si="885"/>
        <v>0</v>
      </c>
      <c r="Z1925" s="2">
        <f t="shared" si="886"/>
        <v>106.26706</v>
      </c>
      <c r="AA1925" s="2">
        <f t="shared" si="887"/>
        <v>0</v>
      </c>
      <c r="AB1925" s="2">
        <f t="shared" si="875"/>
        <v>106.26706</v>
      </c>
      <c r="AC1925" s="625">
        <v>-73.868600000000001</v>
      </c>
      <c r="AD1925" s="625">
        <v>-60.248959999999997</v>
      </c>
      <c r="AE1925" s="625">
        <v>-43.523350000000001</v>
      </c>
      <c r="AF1925" s="625">
        <v>-28.299250000000001</v>
      </c>
      <c r="AG1925" s="625">
        <v>-13.127979999999999</v>
      </c>
      <c r="AH1925" s="625">
        <v>2.7241900000000001</v>
      </c>
      <c r="AI1925" s="625">
        <v>20.830939999999998</v>
      </c>
      <c r="AJ1925" s="625">
        <v>37.040639999999996</v>
      </c>
      <c r="AK1925" s="625">
        <v>44.237370000000006</v>
      </c>
      <c r="AL1925" s="625">
        <v>54.696739999999998</v>
      </c>
      <c r="AM1925" s="625">
        <v>74.793869999999998</v>
      </c>
      <c r="AN1925" s="625">
        <v>90.708629999999999</v>
      </c>
      <c r="AO1925" s="625">
        <v>106.26706</v>
      </c>
      <c r="AP1925" s="41" t="str">
        <f t="shared" si="864"/>
        <v>Def TaxR</v>
      </c>
      <c r="AQ1925" s="41" t="str">
        <f t="shared" si="865"/>
        <v>Def TaxRR11OPEB True-up</v>
      </c>
      <c r="AR1925" s="41" t="str">
        <f t="shared" si="866"/>
        <v>R11OPEB True-up</v>
      </c>
    </row>
    <row r="1926" spans="1:44" s="41" customFormat="1" ht="12.75" customHeight="1">
      <c r="A1926" s="25" t="s">
        <v>1590</v>
      </c>
      <c r="B1926" s="25" t="str">
        <f t="shared" si="898"/>
        <v>Def Tax190532BT010124</v>
      </c>
      <c r="C1926" s="736">
        <v>190532</v>
      </c>
      <c r="D1926" s="735"/>
      <c r="E1926" s="41" t="s">
        <v>1938</v>
      </c>
      <c r="F1926" s="41" t="str">
        <f t="shared" si="893"/>
        <v>ADIT - EEBEN - REG - FEDERAL - GAS</v>
      </c>
      <c r="G1926" s="41" t="s">
        <v>2053</v>
      </c>
      <c r="H1926" s="736" t="s">
        <v>1118</v>
      </c>
      <c r="I1926" s="25"/>
      <c r="J1926" s="25" t="str">
        <f t="shared" si="894"/>
        <v/>
      </c>
      <c r="K1926" s="442" t="str">
        <f t="shared" si="892"/>
        <v/>
      </c>
      <c r="L1926" s="736" t="s">
        <v>2443</v>
      </c>
      <c r="M1926" s="25" t="str">
        <f t="shared" si="881"/>
        <v>R</v>
      </c>
      <c r="N1926" s="25" t="str">
        <f>IF(L1926&lt;&gt;"",VLOOKUP(L1926,Categories!$B$2:$D$41,2,FALSE),IF(F1926&lt;&gt;"","No Cat",""))</f>
        <v>Rate Base</v>
      </c>
      <c r="O1926" s="25" t="str">
        <f>IF($L1926&lt;&gt;"",VLOOKUP($L1926,Categories!$B$2:$D$41,3,FALSE),IF($F1926&lt;&gt;"","No Cat",""))</f>
        <v>Deferred Income Taxes</v>
      </c>
      <c r="P1926" s="736" t="s">
        <v>2483</v>
      </c>
      <c r="Q1926" s="25" t="str">
        <f>VLOOKUP($P1926,Allocators!$B$7:$F$19,5,FALSE)</f>
        <v>Gas</v>
      </c>
      <c r="R1926" s="737">
        <f>VLOOKUP($P1926,Allocators!$B$7:$F$19,2,FALSE)</f>
        <v>0</v>
      </c>
      <c r="S1926" s="737">
        <f>VLOOKUP($P1926,Allocators!$B$7:$F$19,3,FALSE)</f>
        <v>1</v>
      </c>
      <c r="T1926" s="737" t="str">
        <f t="shared" si="861"/>
        <v>0.0%</v>
      </c>
      <c r="U1926" s="2">
        <f t="shared" si="882"/>
        <v>0</v>
      </c>
      <c r="V1926" s="2">
        <f t="shared" si="883"/>
        <v>104.047905</v>
      </c>
      <c r="W1926" s="2">
        <f t="shared" si="884"/>
        <v>0</v>
      </c>
      <c r="X1926" s="2">
        <f t="shared" si="874"/>
        <v>104.047905</v>
      </c>
      <c r="Y1926" s="2">
        <f t="shared" si="885"/>
        <v>0</v>
      </c>
      <c r="Z1926" s="2">
        <f t="shared" si="886"/>
        <v>107.6155</v>
      </c>
      <c r="AA1926" s="2">
        <f t="shared" si="887"/>
        <v>0</v>
      </c>
      <c r="AB1926" s="2">
        <f t="shared" si="875"/>
        <v>107.6155</v>
      </c>
      <c r="AC1926" s="625">
        <v>100.5595</v>
      </c>
      <c r="AD1926" s="625">
        <v>101.12939999999999</v>
      </c>
      <c r="AE1926" s="625">
        <v>101.70252000000001</v>
      </c>
      <c r="AF1926" s="625">
        <v>102.27889999999999</v>
      </c>
      <c r="AG1926" s="625">
        <v>102.85853999999999</v>
      </c>
      <c r="AH1926" s="625">
        <v>103.44146000000001</v>
      </c>
      <c r="AI1926" s="625">
        <v>104.02769000000001</v>
      </c>
      <c r="AJ1926" s="625">
        <v>104.61725</v>
      </c>
      <c r="AK1926" s="625">
        <v>105.21014</v>
      </c>
      <c r="AL1926" s="625">
        <v>105.80638999999999</v>
      </c>
      <c r="AM1926" s="625">
        <v>106.40602</v>
      </c>
      <c r="AN1926" s="625">
        <v>107.00905</v>
      </c>
      <c r="AO1926" s="625">
        <v>107.6155</v>
      </c>
      <c r="AP1926" s="41" t="str">
        <f t="shared" si="864"/>
        <v>Def TaxR</v>
      </c>
      <c r="AQ1926" s="41" t="str">
        <f t="shared" si="865"/>
        <v>Def TaxRR11Medicare Part D</v>
      </c>
      <c r="AR1926" s="41" t="str">
        <f t="shared" si="866"/>
        <v>R11Medicare Part D</v>
      </c>
    </row>
    <row r="1927" spans="1:44" s="41" customFormat="1" ht="12.75" customHeight="1">
      <c r="A1927" s="25" t="s">
        <v>1590</v>
      </c>
      <c r="B1927" s="25" t="str">
        <f t="shared" si="898"/>
        <v>Def Tax190532BT010166</v>
      </c>
      <c r="C1927" s="736">
        <v>190532</v>
      </c>
      <c r="D1927" s="735"/>
      <c r="E1927" s="41" t="s">
        <v>1957</v>
      </c>
      <c r="F1927" s="41" t="str">
        <f t="shared" si="893"/>
        <v>ADIT - EEBEN - REG - FEDERAL - GAS</v>
      </c>
      <c r="G1927" s="41" t="s">
        <v>2054</v>
      </c>
      <c r="H1927" s="736" t="s">
        <v>1159</v>
      </c>
      <c r="I1927" s="25"/>
      <c r="J1927" s="25" t="s">
        <v>7</v>
      </c>
      <c r="K1927" s="442" t="str">
        <f t="shared" si="892"/>
        <v/>
      </c>
      <c r="L1927" s="736" t="s">
        <v>2421</v>
      </c>
      <c r="M1927" s="25" t="str">
        <f t="shared" si="881"/>
        <v>N</v>
      </c>
      <c r="N1927" s="25" t="str">
        <f>IF(L1927&lt;&gt;"",VLOOKUP(L1927,Categories!$B$2:$D$41,2,FALSE),IF(F1927&lt;&gt;"","No Cat",""))</f>
        <v>NRBASE</v>
      </c>
      <c r="O1927" s="25" t="str">
        <f>IF($L1927&lt;&gt;"",VLOOKUP($L1927,Categories!$B$2:$D$41,3,FALSE),IF($F1927&lt;&gt;"","No Cat",""))</f>
        <v>Direct Assign Items Not in RB</v>
      </c>
      <c r="P1927" s="736" t="s">
        <v>2468</v>
      </c>
      <c r="Q1927" s="25" t="str">
        <f>VLOOKUP($P1927,Allocators!$B$7:$F$19,5,FALSE)</f>
        <v>Not in Rate Base</v>
      </c>
      <c r="R1927" s="737">
        <f>VLOOKUP($P1927,Allocators!$B$7:$F$19,2,FALSE)</f>
        <v>0</v>
      </c>
      <c r="S1927" s="737">
        <f>VLOOKUP($P1927,Allocators!$B$7:$F$19,3,FALSE)</f>
        <v>0</v>
      </c>
      <c r="T1927" s="737">
        <f t="shared" ref="T1927:T2007" si="899">IF(P1927="N",1,"0.0%")</f>
        <v>1</v>
      </c>
      <c r="U1927" s="2">
        <f t="shared" si="882"/>
        <v>0</v>
      </c>
      <c r="V1927" s="2">
        <f t="shared" si="883"/>
        <v>0</v>
      </c>
      <c r="W1927" s="2">
        <f t="shared" si="884"/>
        <v>-846.21940208333297</v>
      </c>
      <c r="X1927" s="2">
        <f t="shared" si="874"/>
        <v>-846.21940208333297</v>
      </c>
      <c r="Y1927" s="2">
        <f t="shared" si="885"/>
        <v>0</v>
      </c>
      <c r="Z1927" s="2">
        <f t="shared" si="886"/>
        <v>0</v>
      </c>
      <c r="AA1927" s="2">
        <f t="shared" si="887"/>
        <v>-2275.3175900000001</v>
      </c>
      <c r="AB1927" s="2">
        <f t="shared" si="875"/>
        <v>-2275.3175899999997</v>
      </c>
      <c r="AC1927" s="625">
        <v>-5.9999999999999995E-4</v>
      </c>
      <c r="AD1927" s="625">
        <v>-5.9999999999999995E-4</v>
      </c>
      <c r="AE1927" s="625">
        <v>-5.9999999999999995E-4</v>
      </c>
      <c r="AF1927" s="625">
        <v>-5.9999999999999995E-4</v>
      </c>
      <c r="AG1927" s="625">
        <v>-5.9999999999999995E-4</v>
      </c>
      <c r="AH1927" s="625">
        <v>-557.81583999999998</v>
      </c>
      <c r="AI1927" s="625">
        <v>-651.82960000000003</v>
      </c>
      <c r="AJ1927" s="625">
        <v>-748.18236999999999</v>
      </c>
      <c r="AK1927" s="625">
        <v>-859.75085999999999</v>
      </c>
      <c r="AL1927" s="625">
        <v>-1965.14654</v>
      </c>
      <c r="AM1927" s="625">
        <v>-2064.8780900000002</v>
      </c>
      <c r="AN1927" s="625">
        <v>-2169.3680299999996</v>
      </c>
      <c r="AO1927" s="625">
        <v>-2275.3175899999997</v>
      </c>
      <c r="AP1927" s="41" t="str">
        <f t="shared" si="864"/>
        <v>Def TaxN</v>
      </c>
      <c r="AQ1927" s="41" t="str">
        <f t="shared" si="865"/>
        <v>Def TaxNN2Pension True-up</v>
      </c>
      <c r="AR1927" s="41" t="str">
        <f t="shared" si="866"/>
        <v>N2Pension True-upNCR</v>
      </c>
    </row>
    <row r="1928" spans="1:44" s="41" customFormat="1" ht="12.75" customHeight="1">
      <c r="A1928" s="25" t="s">
        <v>1590</v>
      </c>
      <c r="B1928" s="25" t="str">
        <f t="shared" si="898"/>
        <v>Def Tax190532BT030562</v>
      </c>
      <c r="C1928" s="736">
        <v>190532</v>
      </c>
      <c r="D1928" s="735"/>
      <c r="E1928" s="41" t="s">
        <v>1839</v>
      </c>
      <c r="F1928" s="41" t="str">
        <f t="shared" si="893"/>
        <v>ADIT - EEBEN - REG - FEDERAL - GAS</v>
      </c>
      <c r="G1928" s="41" t="s">
        <v>1920</v>
      </c>
      <c r="H1928" s="736" t="s">
        <v>812</v>
      </c>
      <c r="I1928" s="25"/>
      <c r="J1928" s="25" t="str">
        <f t="shared" si="894"/>
        <v/>
      </c>
      <c r="K1928" s="442" t="str">
        <f t="shared" si="892"/>
        <v/>
      </c>
      <c r="L1928" s="736" t="s">
        <v>2443</v>
      </c>
      <c r="M1928" s="25" t="str">
        <f t="shared" si="881"/>
        <v>R</v>
      </c>
      <c r="N1928" s="25" t="str">
        <f>IF(L1928&lt;&gt;"",VLOOKUP(L1928,Categories!$B$2:$D$41,2,FALSE),IF(F1928&lt;&gt;"","No Cat",""))</f>
        <v>Rate Base</v>
      </c>
      <c r="O1928" s="25" t="str">
        <f>IF($L1928&lt;&gt;"",VLOOKUP($L1928,Categories!$B$2:$D$41,3,FALSE),IF($F1928&lt;&gt;"","No Cat",""))</f>
        <v>Deferred Income Taxes</v>
      </c>
      <c r="P1928" s="736" t="s">
        <v>2483</v>
      </c>
      <c r="Q1928" s="25" t="str">
        <f>VLOOKUP($P1928,Allocators!$B$7:$F$19,5,FALSE)</f>
        <v>Gas</v>
      </c>
      <c r="R1928" s="737">
        <f>VLOOKUP($P1928,Allocators!$B$7:$F$19,2,FALSE)</f>
        <v>0</v>
      </c>
      <c r="S1928" s="737">
        <f>VLOOKUP($P1928,Allocators!$B$7:$F$19,3,FALSE)</f>
        <v>1</v>
      </c>
      <c r="T1928" s="737" t="str">
        <f t="shared" si="899"/>
        <v>0.0%</v>
      </c>
      <c r="U1928" s="2">
        <f t="shared" si="882"/>
        <v>0</v>
      </c>
      <c r="V1928" s="2">
        <f t="shared" si="883"/>
        <v>-165.943180833333</v>
      </c>
      <c r="W1928" s="2">
        <f t="shared" si="884"/>
        <v>0</v>
      </c>
      <c r="X1928" s="2">
        <f t="shared" si="874"/>
        <v>-165.943180833333</v>
      </c>
      <c r="Y1928" s="2">
        <f t="shared" si="885"/>
        <v>0</v>
      </c>
      <c r="Z1928" s="2">
        <f t="shared" si="886"/>
        <v>-1068.32106</v>
      </c>
      <c r="AA1928" s="2">
        <f t="shared" si="887"/>
        <v>0</v>
      </c>
      <c r="AB1928" s="2">
        <f t="shared" si="875"/>
        <v>-1068.32106</v>
      </c>
      <c r="AC1928" s="625">
        <v>-42.112400000000001</v>
      </c>
      <c r="AD1928" s="625">
        <v>-56.852779999999996</v>
      </c>
      <c r="AE1928" s="625">
        <v>-71.593159999999997</v>
      </c>
      <c r="AF1928" s="625">
        <v>-86.333539999999999</v>
      </c>
      <c r="AG1928" s="625">
        <v>-101.07392</v>
      </c>
      <c r="AH1928" s="625">
        <v>-115.8143</v>
      </c>
      <c r="AI1928" s="625">
        <v>-130.55467999999999</v>
      </c>
      <c r="AJ1928" s="625">
        <v>-145.29506000000001</v>
      </c>
      <c r="AK1928" s="625">
        <v>-160.03542999999999</v>
      </c>
      <c r="AL1928" s="625">
        <v>-174.77581000000001</v>
      </c>
      <c r="AM1928" s="625">
        <v>-189.51618999999999</v>
      </c>
      <c r="AN1928" s="625">
        <v>-204.25657000000001</v>
      </c>
      <c r="AO1928" s="625">
        <v>-1068.32106</v>
      </c>
      <c r="AP1928" s="41" t="str">
        <f t="shared" ref="AP1928:AP1991" si="900">CONCATENATE(A1928,M1928)</f>
        <v>Def TaxR</v>
      </c>
      <c r="AQ1928" s="41" t="str">
        <f t="shared" ref="AQ1928:AQ1991" si="901">CONCATENATE(AP1928,L1928,H1928)</f>
        <v>Def TaxRR11OPEB True-up</v>
      </c>
      <c r="AR1928" s="41" t="str">
        <f t="shared" ref="AR1928:AR1991" si="902">CONCATENATE(L1928,H1928,J1928)</f>
        <v>R11OPEB True-up</v>
      </c>
    </row>
    <row r="1929" spans="1:44" s="41" customFormat="1" ht="12.75" customHeight="1">
      <c r="A1929" s="25" t="s">
        <v>1590</v>
      </c>
      <c r="B1929" s="25" t="str">
        <f t="shared" si="898"/>
        <v>Def Tax190541BC030561</v>
      </c>
      <c r="C1929" s="736">
        <v>190541</v>
      </c>
      <c r="D1929" s="735"/>
      <c r="E1929" s="41" t="s">
        <v>980</v>
      </c>
      <c r="F1929" s="41" t="str">
        <f t="shared" si="893"/>
        <v>ADIT - EEBEN - REG - STATE - ELECTRIC</v>
      </c>
      <c r="G1929" s="41" t="s">
        <v>2051</v>
      </c>
      <c r="H1929" s="736" t="s">
        <v>1673</v>
      </c>
      <c r="I1929" s="25"/>
      <c r="J1929" s="25" t="str">
        <f t="shared" si="894"/>
        <v/>
      </c>
      <c r="K1929" s="442" t="str">
        <f t="shared" si="892"/>
        <v/>
      </c>
      <c r="L1929" s="736" t="s">
        <v>2443</v>
      </c>
      <c r="M1929" s="25" t="str">
        <f t="shared" si="881"/>
        <v>R</v>
      </c>
      <c r="N1929" s="25" t="str">
        <f>IF(L1929&lt;&gt;"",VLOOKUP(L1929,Categories!$B$2:$D$41,2,FALSE),IF(F1929&lt;&gt;"","No Cat",""))</f>
        <v>Rate Base</v>
      </c>
      <c r="O1929" s="25" t="str">
        <f>IF($L1929&lt;&gt;"",VLOOKUP($L1929,Categories!$B$2:$D$41,3,FALSE),IF($F1929&lt;&gt;"","No Cat",""))</f>
        <v>Deferred Income Taxes</v>
      </c>
      <c r="P1929" s="736" t="s">
        <v>2482</v>
      </c>
      <c r="Q1929" s="25" t="str">
        <f>VLOOKUP($P1929,Allocators!$B$7:$F$19,5,FALSE)</f>
        <v>Electric</v>
      </c>
      <c r="R1929" s="737">
        <f>VLOOKUP($P1929,Allocators!$B$7:$F$19,2,FALSE)</f>
        <v>1</v>
      </c>
      <c r="S1929" s="737">
        <f>VLOOKUP($P1929,Allocators!$B$7:$F$19,3,FALSE)</f>
        <v>0</v>
      </c>
      <c r="T1929" s="737" t="str">
        <f t="shared" si="899"/>
        <v>0.0%</v>
      </c>
      <c r="U1929" s="2">
        <f t="shared" si="882"/>
        <v>-5175.84326291667</v>
      </c>
      <c r="V1929" s="2">
        <f t="shared" si="883"/>
        <v>0</v>
      </c>
      <c r="W1929" s="2">
        <f t="shared" si="884"/>
        <v>0</v>
      </c>
      <c r="X1929" s="2">
        <f t="shared" si="874"/>
        <v>-5175.84326291667</v>
      </c>
      <c r="Y1929" s="2">
        <f t="shared" si="885"/>
        <v>-7819.5401700000002</v>
      </c>
      <c r="Z1929" s="2">
        <f t="shared" si="886"/>
        <v>0</v>
      </c>
      <c r="AA1929" s="2">
        <f t="shared" si="887"/>
        <v>0</v>
      </c>
      <c r="AB1929" s="2">
        <f t="shared" si="875"/>
        <v>-7819.5401700000002</v>
      </c>
      <c r="AC1929" s="625">
        <v>-5507.7536600000003</v>
      </c>
      <c r="AD1929" s="625">
        <v>-5429.8927800000001</v>
      </c>
      <c r="AE1929" s="625">
        <v>-5352.0319</v>
      </c>
      <c r="AF1929" s="625">
        <v>-5274.1710199999998</v>
      </c>
      <c r="AG1929" s="625">
        <v>-5196.3101399999996</v>
      </c>
      <c r="AH1929" s="625">
        <v>-5118.4492599999994</v>
      </c>
      <c r="AI1929" s="625">
        <v>-5040.5883899999999</v>
      </c>
      <c r="AJ1929" s="625">
        <v>-4962.7275099999997</v>
      </c>
      <c r="AK1929" s="625">
        <v>-4884.8666299999995</v>
      </c>
      <c r="AL1929" s="625">
        <v>-4807.0057500000003</v>
      </c>
      <c r="AM1929" s="625">
        <v>-4729.1448700000001</v>
      </c>
      <c r="AN1929" s="625">
        <v>-4651.2839899999999</v>
      </c>
      <c r="AO1929" s="625">
        <v>-7819.5401700000002</v>
      </c>
      <c r="AP1929" s="41" t="str">
        <f t="shared" si="900"/>
        <v>Def TaxR</v>
      </c>
      <c r="AQ1929" s="41" t="str">
        <f t="shared" si="901"/>
        <v>Def TaxRR11Pension</v>
      </c>
      <c r="AR1929" s="41" t="str">
        <f t="shared" si="902"/>
        <v>R11Pension</v>
      </c>
    </row>
    <row r="1930" spans="1:44" s="41" customFormat="1" ht="12.75" customHeight="1">
      <c r="A1930" s="25" t="s">
        <v>1590</v>
      </c>
      <c r="B1930" s="25" t="str">
        <f t="shared" si="898"/>
        <v>Def Tax190541BT010091</v>
      </c>
      <c r="C1930" s="736">
        <v>190541</v>
      </c>
      <c r="D1930" s="735"/>
      <c r="E1930" s="41" t="s">
        <v>1859</v>
      </c>
      <c r="F1930" s="41" t="str">
        <f t="shared" si="893"/>
        <v>ADIT - EEBEN - REG - STATE - ELECTRIC</v>
      </c>
      <c r="G1930" s="41" t="s">
        <v>2052</v>
      </c>
      <c r="H1930" s="736" t="s">
        <v>812</v>
      </c>
      <c r="I1930" s="25"/>
      <c r="J1930" s="25" t="str">
        <f t="shared" si="894"/>
        <v/>
      </c>
      <c r="K1930" s="442" t="str">
        <f t="shared" si="892"/>
        <v/>
      </c>
      <c r="L1930" s="736" t="s">
        <v>2443</v>
      </c>
      <c r="M1930" s="25" t="str">
        <f t="shared" si="881"/>
        <v>R</v>
      </c>
      <c r="N1930" s="25" t="str">
        <f>IF(L1930&lt;&gt;"",VLOOKUP(L1930,Categories!$B$2:$D$41,2,FALSE),IF(F1930&lt;&gt;"","No Cat",""))</f>
        <v>Rate Base</v>
      </c>
      <c r="O1930" s="25" t="str">
        <f>IF($L1930&lt;&gt;"",VLOOKUP($L1930,Categories!$B$2:$D$41,3,FALSE),IF($F1930&lt;&gt;"","No Cat",""))</f>
        <v>Deferred Income Taxes</v>
      </c>
      <c r="P1930" s="736" t="s">
        <v>2482</v>
      </c>
      <c r="Q1930" s="25" t="str">
        <f>VLOOKUP($P1930,Allocators!$B$7:$F$19,5,FALSE)</f>
        <v>Electric</v>
      </c>
      <c r="R1930" s="737">
        <f>VLOOKUP($P1930,Allocators!$B$7:$F$19,2,FALSE)</f>
        <v>1</v>
      </c>
      <c r="S1930" s="737">
        <f>VLOOKUP($P1930,Allocators!$B$7:$F$19,3,FALSE)</f>
        <v>0</v>
      </c>
      <c r="T1930" s="737" t="str">
        <f t="shared" si="899"/>
        <v>0.0%</v>
      </c>
      <c r="U1930" s="2">
        <f t="shared" si="882"/>
        <v>2.2764804166666699</v>
      </c>
      <c r="V1930" s="2">
        <f t="shared" si="883"/>
        <v>0</v>
      </c>
      <c r="W1930" s="2">
        <f t="shared" si="884"/>
        <v>0</v>
      </c>
      <c r="X1930" s="2">
        <f t="shared" si="874"/>
        <v>2.2764804166666699</v>
      </c>
      <c r="Y1930" s="2">
        <f t="shared" si="885"/>
        <v>37.979100000000003</v>
      </c>
      <c r="Z1930" s="2">
        <f t="shared" si="886"/>
        <v>0</v>
      </c>
      <c r="AA1930" s="2">
        <f t="shared" si="887"/>
        <v>0</v>
      </c>
      <c r="AB1930" s="2">
        <f t="shared" si="875"/>
        <v>37.979099999999995</v>
      </c>
      <c r="AC1930" s="625">
        <v>-34.202349999999996</v>
      </c>
      <c r="AD1930" s="625">
        <v>-29.18008</v>
      </c>
      <c r="AE1930" s="625">
        <v>-22.23762</v>
      </c>
      <c r="AF1930" s="625">
        <v>-15.447340000000001</v>
      </c>
      <c r="AG1930" s="625">
        <v>-8.9872199999999989</v>
      </c>
      <c r="AH1930" s="625">
        <v>-2.2425100000000002</v>
      </c>
      <c r="AI1930" s="625">
        <v>4.6849999999999996</v>
      </c>
      <c r="AJ1930" s="625">
        <v>10.087639999999999</v>
      </c>
      <c r="AK1930" s="625">
        <v>12.694469999999999</v>
      </c>
      <c r="AL1930" s="625">
        <v>18.858930000000001</v>
      </c>
      <c r="AM1930" s="625">
        <v>25.2806</v>
      </c>
      <c r="AN1930" s="625">
        <v>31.91752</v>
      </c>
      <c r="AO1930" s="625">
        <v>37.979099999999995</v>
      </c>
      <c r="AP1930" s="41" t="str">
        <f t="shared" si="900"/>
        <v>Def TaxR</v>
      </c>
      <c r="AQ1930" s="41" t="str">
        <f t="shared" si="901"/>
        <v>Def TaxRR11OPEB True-up</v>
      </c>
      <c r="AR1930" s="41" t="str">
        <f t="shared" si="902"/>
        <v>R11OPEB True-up</v>
      </c>
    </row>
    <row r="1931" spans="1:44" s="41" customFormat="1" ht="12.75" customHeight="1">
      <c r="A1931" s="25" t="s">
        <v>1590</v>
      </c>
      <c r="B1931" s="25" t="str">
        <f t="shared" si="898"/>
        <v>Def Tax190541BT010124</v>
      </c>
      <c r="C1931" s="736">
        <v>190541</v>
      </c>
      <c r="D1931" s="735"/>
      <c r="E1931" s="41" t="s">
        <v>1938</v>
      </c>
      <c r="F1931" s="41" t="str">
        <f t="shared" si="893"/>
        <v>ADIT - EEBEN - REG - STATE - ELECTRIC</v>
      </c>
      <c r="G1931" s="41" t="s">
        <v>2053</v>
      </c>
      <c r="H1931" s="736" t="s">
        <v>1118</v>
      </c>
      <c r="I1931" s="25"/>
      <c r="J1931" s="25" t="str">
        <f t="shared" si="894"/>
        <v/>
      </c>
      <c r="K1931" s="442" t="str">
        <f t="shared" si="892"/>
        <v/>
      </c>
      <c r="L1931" s="736" t="s">
        <v>2443</v>
      </c>
      <c r="M1931" s="25" t="str">
        <f t="shared" si="881"/>
        <v>R</v>
      </c>
      <c r="N1931" s="25" t="str">
        <f>IF(L1931&lt;&gt;"",VLOOKUP(L1931,Categories!$B$2:$D$41,2,FALSE),IF(F1931&lt;&gt;"","No Cat",""))</f>
        <v>Rate Base</v>
      </c>
      <c r="O1931" s="25" t="str">
        <f>IF($L1931&lt;&gt;"",VLOOKUP($L1931,Categories!$B$2:$D$41,3,FALSE),IF($F1931&lt;&gt;"","No Cat",""))</f>
        <v>Deferred Income Taxes</v>
      </c>
      <c r="P1931" s="736" t="s">
        <v>2482</v>
      </c>
      <c r="Q1931" s="25" t="str">
        <f>VLOOKUP($P1931,Allocators!$B$7:$F$19,5,FALSE)</f>
        <v>Electric</v>
      </c>
      <c r="R1931" s="737">
        <f>VLOOKUP($P1931,Allocators!$B$7:$F$19,2,FALSE)</f>
        <v>1</v>
      </c>
      <c r="S1931" s="737">
        <f>VLOOKUP($P1931,Allocators!$B$7:$F$19,3,FALSE)</f>
        <v>0</v>
      </c>
      <c r="T1931" s="737" t="str">
        <f t="shared" si="899"/>
        <v>0.0%</v>
      </c>
      <c r="U1931" s="2">
        <f t="shared" si="882"/>
        <v>15.114556666666701</v>
      </c>
      <c r="V1931" s="2">
        <f t="shared" si="883"/>
        <v>0</v>
      </c>
      <c r="W1931" s="2">
        <f t="shared" si="884"/>
        <v>0</v>
      </c>
      <c r="X1931" s="2">
        <f t="shared" si="874"/>
        <v>15.114556666666701</v>
      </c>
      <c r="Y1931" s="2">
        <f t="shared" si="885"/>
        <v>15.632820000000001</v>
      </c>
      <c r="Z1931" s="2">
        <f t="shared" si="886"/>
        <v>0</v>
      </c>
      <c r="AA1931" s="2">
        <f t="shared" si="887"/>
        <v>0</v>
      </c>
      <c r="AB1931" s="2">
        <f t="shared" si="875"/>
        <v>15.632819999999999</v>
      </c>
      <c r="AC1931" s="625">
        <v>14.607799999999999</v>
      </c>
      <c r="AD1931" s="625">
        <v>14.69059</v>
      </c>
      <c r="AE1931" s="625">
        <v>14.773849999999999</v>
      </c>
      <c r="AF1931" s="625">
        <v>14.857569999999999</v>
      </c>
      <c r="AG1931" s="625">
        <v>14.941780000000001</v>
      </c>
      <c r="AH1931" s="625">
        <v>15.026459999999998</v>
      </c>
      <c r="AI1931" s="625">
        <v>15.11162</v>
      </c>
      <c r="AJ1931" s="625">
        <v>15.19726</v>
      </c>
      <c r="AK1931" s="625">
        <v>15.283389999999999</v>
      </c>
      <c r="AL1931" s="625">
        <v>15.370010000000001</v>
      </c>
      <c r="AM1931" s="625">
        <v>15.457120000000002</v>
      </c>
      <c r="AN1931" s="625">
        <v>15.54472</v>
      </c>
      <c r="AO1931" s="625">
        <v>15.632819999999999</v>
      </c>
      <c r="AP1931" s="41" t="str">
        <f t="shared" si="900"/>
        <v>Def TaxR</v>
      </c>
      <c r="AQ1931" s="41" t="str">
        <f t="shared" si="901"/>
        <v>Def TaxRR11Medicare Part D</v>
      </c>
      <c r="AR1931" s="41" t="str">
        <f t="shared" si="902"/>
        <v>R11Medicare Part D</v>
      </c>
    </row>
    <row r="1932" spans="1:44" s="41" customFormat="1" ht="12.75" customHeight="1">
      <c r="A1932" s="25" t="s">
        <v>1590</v>
      </c>
      <c r="B1932" s="25" t="str">
        <f t="shared" si="898"/>
        <v>Def Tax190541BT010166</v>
      </c>
      <c r="C1932" s="736">
        <v>190541</v>
      </c>
      <c r="D1932" s="735"/>
      <c r="E1932" s="41" t="s">
        <v>1957</v>
      </c>
      <c r="F1932" s="41" t="str">
        <f t="shared" si="893"/>
        <v>ADIT - EEBEN - REG - STATE - ELECTRIC</v>
      </c>
      <c r="G1932" s="41" t="s">
        <v>2054</v>
      </c>
      <c r="H1932" s="736" t="s">
        <v>1159</v>
      </c>
      <c r="I1932" s="25"/>
      <c r="J1932" s="25" t="s">
        <v>7</v>
      </c>
      <c r="K1932" s="442" t="str">
        <f t="shared" si="892"/>
        <v/>
      </c>
      <c r="L1932" s="736" t="s">
        <v>2421</v>
      </c>
      <c r="M1932" s="25" t="str">
        <f t="shared" si="881"/>
        <v>N</v>
      </c>
      <c r="N1932" s="25" t="str">
        <f>IF(L1932&lt;&gt;"",VLOOKUP(L1932,Categories!$B$2:$D$41,2,FALSE),IF(F1932&lt;&gt;"","No Cat",""))</f>
        <v>NRBASE</v>
      </c>
      <c r="O1932" s="25" t="str">
        <f>IF($L1932&lt;&gt;"",VLOOKUP($L1932,Categories!$B$2:$D$41,3,FALSE),IF($F1932&lt;&gt;"","No Cat",""))</f>
        <v>Direct Assign Items Not in RB</v>
      </c>
      <c r="P1932" s="736" t="s">
        <v>2468</v>
      </c>
      <c r="Q1932" s="25" t="str">
        <f>VLOOKUP($P1932,Allocators!$B$7:$F$19,5,FALSE)</f>
        <v>Not in Rate Base</v>
      </c>
      <c r="R1932" s="737">
        <f>VLOOKUP($P1932,Allocators!$B$7:$F$19,2,FALSE)</f>
        <v>0</v>
      </c>
      <c r="S1932" s="737">
        <f>VLOOKUP($P1932,Allocators!$B$7:$F$19,3,FALSE)</f>
        <v>0</v>
      </c>
      <c r="T1932" s="737">
        <f t="shared" si="899"/>
        <v>1</v>
      </c>
      <c r="U1932" s="2">
        <f t="shared" si="882"/>
        <v>0</v>
      </c>
      <c r="V1932" s="2">
        <f t="shared" si="883"/>
        <v>0</v>
      </c>
      <c r="W1932" s="2">
        <f t="shared" si="884"/>
        <v>-256.46719541666698</v>
      </c>
      <c r="X1932" s="2">
        <f t="shared" si="874"/>
        <v>-256.46719541666698</v>
      </c>
      <c r="Y1932" s="2">
        <f t="shared" si="885"/>
        <v>0</v>
      </c>
      <c r="Z1932" s="2">
        <f t="shared" si="886"/>
        <v>0</v>
      </c>
      <c r="AA1932" s="2">
        <f t="shared" si="887"/>
        <v>-671.80470000000003</v>
      </c>
      <c r="AB1932" s="2">
        <f t="shared" si="875"/>
        <v>-671.80469999999991</v>
      </c>
      <c r="AC1932" s="625">
        <v>-3.8999999999999999E-4</v>
      </c>
      <c r="AD1932" s="625">
        <v>-3.8999999999999999E-4</v>
      </c>
      <c r="AE1932" s="625">
        <v>-3.8999999999999999E-4</v>
      </c>
      <c r="AF1932" s="625">
        <v>-3.8999999999999999E-4</v>
      </c>
      <c r="AG1932" s="625">
        <v>-3.8999999999999999E-4</v>
      </c>
      <c r="AH1932" s="625">
        <v>-178.47331</v>
      </c>
      <c r="AI1932" s="625">
        <v>-212.40029000000001</v>
      </c>
      <c r="AJ1932" s="625">
        <v>-251.55610000000001</v>
      </c>
      <c r="AK1932" s="625">
        <v>-293.63966999999997</v>
      </c>
      <c r="AL1932" s="625">
        <v>-566.91777999999999</v>
      </c>
      <c r="AM1932" s="625">
        <v>-603.01036999999997</v>
      </c>
      <c r="AN1932" s="625">
        <v>-635.70471999999995</v>
      </c>
      <c r="AO1932" s="625">
        <v>-671.80469999999991</v>
      </c>
      <c r="AP1932" s="41" t="str">
        <f t="shared" si="900"/>
        <v>Def TaxN</v>
      </c>
      <c r="AQ1932" s="41" t="str">
        <f t="shared" si="901"/>
        <v>Def TaxNN2Pension True-up</v>
      </c>
      <c r="AR1932" s="41" t="str">
        <f t="shared" si="902"/>
        <v>N2Pension True-upNCR</v>
      </c>
    </row>
    <row r="1933" spans="1:44" s="41" customFormat="1" ht="12.75" customHeight="1">
      <c r="A1933" s="25" t="s">
        <v>1590</v>
      </c>
      <c r="B1933" s="25" t="str">
        <f t="shared" si="898"/>
        <v>Def Tax190541BT030562</v>
      </c>
      <c r="C1933" s="736">
        <v>190541</v>
      </c>
      <c r="D1933" s="735"/>
      <c r="E1933" s="41" t="s">
        <v>1839</v>
      </c>
      <c r="F1933" s="41" t="str">
        <f t="shared" si="893"/>
        <v>ADIT - EEBEN - REG - STATE - ELECTRIC</v>
      </c>
      <c r="G1933" s="41" t="s">
        <v>1920</v>
      </c>
      <c r="H1933" s="736" t="s">
        <v>812</v>
      </c>
      <c r="I1933" s="25"/>
      <c r="J1933" s="25" t="str">
        <f t="shared" si="894"/>
        <v/>
      </c>
      <c r="K1933" s="442" t="str">
        <f t="shared" si="892"/>
        <v/>
      </c>
      <c r="L1933" s="736" t="s">
        <v>2443</v>
      </c>
      <c r="M1933" s="25" t="str">
        <f t="shared" si="881"/>
        <v>R</v>
      </c>
      <c r="N1933" s="25" t="str">
        <f>IF(L1933&lt;&gt;"",VLOOKUP(L1933,Categories!$B$2:$D$41,2,FALSE),IF(F1933&lt;&gt;"","No Cat",""))</f>
        <v>Rate Base</v>
      </c>
      <c r="O1933" s="25" t="str">
        <f>IF($L1933&lt;&gt;"",VLOOKUP($L1933,Categories!$B$2:$D$41,3,FALSE),IF($F1933&lt;&gt;"","No Cat",""))</f>
        <v>Deferred Income Taxes</v>
      </c>
      <c r="P1933" s="736" t="s">
        <v>2482</v>
      </c>
      <c r="Q1933" s="25" t="str">
        <f>VLOOKUP($P1933,Allocators!$B$7:$F$19,5,FALSE)</f>
        <v>Electric</v>
      </c>
      <c r="R1933" s="737">
        <f>VLOOKUP($P1933,Allocators!$B$7:$F$19,2,FALSE)</f>
        <v>1</v>
      </c>
      <c r="S1933" s="737">
        <f>VLOOKUP($P1933,Allocators!$B$7:$F$19,3,FALSE)</f>
        <v>0</v>
      </c>
      <c r="T1933" s="737" t="str">
        <f t="shared" si="899"/>
        <v>0.0%</v>
      </c>
      <c r="U1933" s="2">
        <f t="shared" si="882"/>
        <v>915.49769666666703</v>
      </c>
      <c r="V1933" s="2">
        <f t="shared" si="883"/>
        <v>0</v>
      </c>
      <c r="W1933" s="2">
        <f t="shared" si="884"/>
        <v>0</v>
      </c>
      <c r="X1933" s="2">
        <f t="shared" si="874"/>
        <v>915.49769666666703</v>
      </c>
      <c r="Y1933" s="2">
        <f t="shared" si="885"/>
        <v>476.91608000000002</v>
      </c>
      <c r="Z1933" s="2">
        <f t="shared" si="886"/>
        <v>0</v>
      </c>
      <c r="AA1933" s="2">
        <f t="shared" si="887"/>
        <v>0</v>
      </c>
      <c r="AB1933" s="2">
        <f t="shared" si="875"/>
        <v>476.91608000000002</v>
      </c>
      <c r="AC1933" s="625">
        <v>975.68302000000006</v>
      </c>
      <c r="AD1933" s="625">
        <v>968.51877000000002</v>
      </c>
      <c r="AE1933" s="625">
        <v>961.35451999999998</v>
      </c>
      <c r="AF1933" s="625">
        <v>954.19027000000006</v>
      </c>
      <c r="AG1933" s="625">
        <v>947.02602999999999</v>
      </c>
      <c r="AH1933" s="625">
        <v>939.86178000000007</v>
      </c>
      <c r="AI1933" s="625">
        <v>932.69753000000003</v>
      </c>
      <c r="AJ1933" s="625">
        <v>925.53327999999999</v>
      </c>
      <c r="AK1933" s="625">
        <v>918.36903000000007</v>
      </c>
      <c r="AL1933" s="625">
        <v>911.20478000000003</v>
      </c>
      <c r="AM1933" s="625">
        <v>904.04052999999999</v>
      </c>
      <c r="AN1933" s="625">
        <v>896.87629000000004</v>
      </c>
      <c r="AO1933" s="625">
        <v>476.91608000000002</v>
      </c>
      <c r="AP1933" s="41" t="str">
        <f t="shared" si="900"/>
        <v>Def TaxR</v>
      </c>
      <c r="AQ1933" s="41" t="str">
        <f t="shared" si="901"/>
        <v>Def TaxRR11OPEB True-up</v>
      </c>
      <c r="AR1933" s="41" t="str">
        <f t="shared" si="902"/>
        <v>R11OPEB True-up</v>
      </c>
    </row>
    <row r="1934" spans="1:44" s="41" customFormat="1" ht="12.75" customHeight="1">
      <c r="A1934" s="25" t="s">
        <v>1590</v>
      </c>
      <c r="B1934" s="25" t="str">
        <f t="shared" si="898"/>
        <v>Def Tax190542BC030561</v>
      </c>
      <c r="C1934" s="736">
        <v>190542</v>
      </c>
      <c r="D1934" s="735"/>
      <c r="E1934" s="41" t="s">
        <v>980</v>
      </c>
      <c r="F1934" s="41" t="str">
        <f t="shared" si="893"/>
        <v>ADIT - EEBEN - REG - STATE - GAS</v>
      </c>
      <c r="G1934" s="41" t="s">
        <v>2051</v>
      </c>
      <c r="H1934" s="736" t="s">
        <v>1673</v>
      </c>
      <c r="I1934" s="25"/>
      <c r="J1934" s="25" t="str">
        <f t="shared" si="894"/>
        <v/>
      </c>
      <c r="K1934" s="442" t="str">
        <f t="shared" si="892"/>
        <v/>
      </c>
      <c r="L1934" s="736" t="s">
        <v>2443</v>
      </c>
      <c r="M1934" s="25" t="str">
        <f t="shared" si="881"/>
        <v>R</v>
      </c>
      <c r="N1934" s="25" t="str">
        <f>IF(L1934&lt;&gt;"",VLOOKUP(L1934,Categories!$B$2:$D$41,2,FALSE),IF(F1934&lt;&gt;"","No Cat",""))</f>
        <v>Rate Base</v>
      </c>
      <c r="O1934" s="25" t="str">
        <f>IF($L1934&lt;&gt;"",VLOOKUP($L1934,Categories!$B$2:$D$41,3,FALSE),IF($F1934&lt;&gt;"","No Cat",""))</f>
        <v>Deferred Income Taxes</v>
      </c>
      <c r="P1934" s="736" t="s">
        <v>2483</v>
      </c>
      <c r="Q1934" s="25" t="str">
        <f>VLOOKUP($P1934,Allocators!$B$7:$F$19,5,FALSE)</f>
        <v>Gas</v>
      </c>
      <c r="R1934" s="737">
        <f>VLOOKUP($P1934,Allocators!$B$7:$F$19,2,FALSE)</f>
        <v>0</v>
      </c>
      <c r="S1934" s="737">
        <f>VLOOKUP($P1934,Allocators!$B$7:$F$19,3,FALSE)</f>
        <v>1</v>
      </c>
      <c r="T1934" s="737" t="str">
        <f t="shared" si="899"/>
        <v>0.0%</v>
      </c>
      <c r="U1934" s="2">
        <f t="shared" si="882"/>
        <v>0</v>
      </c>
      <c r="V1934" s="2">
        <f t="shared" si="883"/>
        <v>-1860.3349450000001</v>
      </c>
      <c r="W1934" s="2">
        <f t="shared" si="884"/>
        <v>0</v>
      </c>
      <c r="X1934" s="2">
        <f t="shared" si="874"/>
        <v>-1860.3349450000001</v>
      </c>
      <c r="Y1934" s="2">
        <f t="shared" si="885"/>
        <v>0</v>
      </c>
      <c r="Z1934" s="2">
        <f t="shared" si="886"/>
        <v>-3162.4543199999998</v>
      </c>
      <c r="AA1934" s="2">
        <f t="shared" si="887"/>
        <v>0</v>
      </c>
      <c r="AB1934" s="2">
        <f t="shared" si="875"/>
        <v>-3162.4543199999998</v>
      </c>
      <c r="AC1934" s="625">
        <v>-2023.8132000000001</v>
      </c>
      <c r="AD1934" s="625">
        <v>-1985.46381</v>
      </c>
      <c r="AE1934" s="625">
        <v>-1947.1144199999999</v>
      </c>
      <c r="AF1934" s="625">
        <v>-1908.76504</v>
      </c>
      <c r="AG1934" s="625">
        <v>-1870.4156499999999</v>
      </c>
      <c r="AH1934" s="625">
        <v>-1832.0662600000001</v>
      </c>
      <c r="AI1934" s="625">
        <v>-1793.7168700000002</v>
      </c>
      <c r="AJ1934" s="625">
        <v>-1755.3674799999999</v>
      </c>
      <c r="AK1934" s="625">
        <v>-1717.01809</v>
      </c>
      <c r="AL1934" s="625">
        <v>-1678.6687099999999</v>
      </c>
      <c r="AM1934" s="625">
        <v>-1640.3193200000001</v>
      </c>
      <c r="AN1934" s="625">
        <v>-1601.96993</v>
      </c>
      <c r="AO1934" s="625">
        <v>-3162.4543199999998</v>
      </c>
      <c r="AP1934" s="41" t="str">
        <f t="shared" si="900"/>
        <v>Def TaxR</v>
      </c>
      <c r="AQ1934" s="41" t="str">
        <f t="shared" si="901"/>
        <v>Def TaxRR11Pension</v>
      </c>
      <c r="AR1934" s="41" t="str">
        <f t="shared" si="902"/>
        <v>R11Pension</v>
      </c>
    </row>
    <row r="1935" spans="1:44" s="41" customFormat="1" ht="12.75" customHeight="1">
      <c r="A1935" s="25" t="s">
        <v>1590</v>
      </c>
      <c r="B1935" s="25" t="str">
        <f t="shared" si="898"/>
        <v>Def Tax190542BT010091</v>
      </c>
      <c r="C1935" s="736">
        <v>190542</v>
      </c>
      <c r="D1935" s="735"/>
      <c r="E1935" s="41" t="s">
        <v>1859</v>
      </c>
      <c r="F1935" s="41" t="str">
        <f t="shared" si="893"/>
        <v>ADIT - EEBEN - REG - STATE - GAS</v>
      </c>
      <c r="G1935" s="41" t="s">
        <v>2052</v>
      </c>
      <c r="H1935" s="736" t="s">
        <v>812</v>
      </c>
      <c r="I1935" s="25"/>
      <c r="J1935" s="25" t="str">
        <f t="shared" si="894"/>
        <v/>
      </c>
      <c r="K1935" s="442" t="str">
        <f t="shared" si="892"/>
        <v/>
      </c>
      <c r="L1935" s="736" t="s">
        <v>2443</v>
      </c>
      <c r="M1935" s="25" t="str">
        <f t="shared" si="881"/>
        <v>R</v>
      </c>
      <c r="N1935" s="25" t="str">
        <f>IF(L1935&lt;&gt;"",VLOOKUP(L1935,Categories!$B$2:$D$41,2,FALSE),IF(F1935&lt;&gt;"","No Cat",""))</f>
        <v>Rate Base</v>
      </c>
      <c r="O1935" s="25" t="str">
        <f>IF($L1935&lt;&gt;"",VLOOKUP($L1935,Categories!$B$2:$D$41,3,FALSE),IF($F1935&lt;&gt;"","No Cat",""))</f>
        <v>Deferred Income Taxes</v>
      </c>
      <c r="P1935" s="736" t="s">
        <v>2483</v>
      </c>
      <c r="Q1935" s="25" t="str">
        <f>VLOOKUP($P1935,Allocators!$B$7:$F$19,5,FALSE)</f>
        <v>Gas</v>
      </c>
      <c r="R1935" s="737">
        <f>VLOOKUP($P1935,Allocators!$B$7:$F$19,2,FALSE)</f>
        <v>0</v>
      </c>
      <c r="S1935" s="737">
        <f>VLOOKUP($P1935,Allocators!$B$7:$F$19,3,FALSE)</f>
        <v>1</v>
      </c>
      <c r="T1935" s="737" t="str">
        <f t="shared" si="899"/>
        <v>0.0%</v>
      </c>
      <c r="U1935" s="2">
        <f t="shared" si="882"/>
        <v>0</v>
      </c>
      <c r="V1935" s="2">
        <f t="shared" si="883"/>
        <v>3.5667675000000001</v>
      </c>
      <c r="W1935" s="2">
        <f t="shared" si="884"/>
        <v>0</v>
      </c>
      <c r="X1935" s="2">
        <f t="shared" si="874"/>
        <v>3.5667675000000001</v>
      </c>
      <c r="Y1935" s="2">
        <f t="shared" si="885"/>
        <v>0</v>
      </c>
      <c r="Z1935" s="2">
        <f t="shared" si="886"/>
        <v>23.204180000000001</v>
      </c>
      <c r="AA1935" s="2">
        <f t="shared" si="887"/>
        <v>0</v>
      </c>
      <c r="AB1935" s="2">
        <f t="shared" si="875"/>
        <v>23.204180000000001</v>
      </c>
      <c r="AC1935" s="625">
        <v>-16.130379999999999</v>
      </c>
      <c r="AD1935" s="625">
        <v>-13.156379999999999</v>
      </c>
      <c r="AE1935" s="625">
        <v>-9.5041700000000002</v>
      </c>
      <c r="AF1935" s="625">
        <v>-6.1798199999999994</v>
      </c>
      <c r="AG1935" s="625">
        <v>-2.8670100000000001</v>
      </c>
      <c r="AH1935" s="625">
        <v>0.59448000000000001</v>
      </c>
      <c r="AI1935" s="625">
        <v>4.5482800000000001</v>
      </c>
      <c r="AJ1935" s="625">
        <v>8.0878499999999995</v>
      </c>
      <c r="AK1935" s="625">
        <v>9.6593300000000006</v>
      </c>
      <c r="AL1935" s="625">
        <v>11.943250000000001</v>
      </c>
      <c r="AM1935" s="625">
        <v>16.331669999999999</v>
      </c>
      <c r="AN1935" s="625">
        <v>19.806830000000001</v>
      </c>
      <c r="AO1935" s="625">
        <v>23.204180000000001</v>
      </c>
      <c r="AP1935" s="41" t="str">
        <f t="shared" si="900"/>
        <v>Def TaxR</v>
      </c>
      <c r="AQ1935" s="41" t="str">
        <f t="shared" si="901"/>
        <v>Def TaxRR11OPEB True-up</v>
      </c>
      <c r="AR1935" s="41" t="str">
        <f t="shared" si="902"/>
        <v>R11OPEB True-up</v>
      </c>
    </row>
    <row r="1936" spans="1:44" s="41" customFormat="1" ht="12.75" customHeight="1">
      <c r="A1936" s="25" t="s">
        <v>1590</v>
      </c>
      <c r="B1936" s="25" t="str">
        <f t="shared" si="898"/>
        <v>Def Tax190542BT010124</v>
      </c>
      <c r="C1936" s="736">
        <v>190542</v>
      </c>
      <c r="D1936" s="735"/>
      <c r="E1936" s="41" t="s">
        <v>1938</v>
      </c>
      <c r="F1936" s="41" t="str">
        <f t="shared" si="893"/>
        <v>ADIT - EEBEN - REG - STATE - GAS</v>
      </c>
      <c r="G1936" s="41" t="s">
        <v>2053</v>
      </c>
      <c r="H1936" s="736" t="s">
        <v>1118</v>
      </c>
      <c r="I1936" s="25"/>
      <c r="J1936" s="25" t="str">
        <f t="shared" si="894"/>
        <v/>
      </c>
      <c r="K1936" s="442" t="str">
        <f t="shared" si="892"/>
        <v/>
      </c>
      <c r="L1936" s="736" t="s">
        <v>2443</v>
      </c>
      <c r="M1936" s="25" t="str">
        <f t="shared" si="881"/>
        <v>R</v>
      </c>
      <c r="N1936" s="25" t="str">
        <f>IF(L1936&lt;&gt;"",VLOOKUP(L1936,Categories!$B$2:$D$41,2,FALSE),IF(F1936&lt;&gt;"","No Cat",""))</f>
        <v>Rate Base</v>
      </c>
      <c r="O1936" s="25" t="str">
        <f>IF($L1936&lt;&gt;"",VLOOKUP($L1936,Categories!$B$2:$D$41,3,FALSE),IF($F1936&lt;&gt;"","No Cat",""))</f>
        <v>Deferred Income Taxes</v>
      </c>
      <c r="P1936" s="736" t="s">
        <v>2483</v>
      </c>
      <c r="Q1936" s="25" t="str">
        <f>VLOOKUP($P1936,Allocators!$B$7:$F$19,5,FALSE)</f>
        <v>Gas</v>
      </c>
      <c r="R1936" s="737">
        <f>VLOOKUP($P1936,Allocators!$B$7:$F$19,2,FALSE)</f>
        <v>0</v>
      </c>
      <c r="S1936" s="737">
        <f>VLOOKUP($P1936,Allocators!$B$7:$F$19,3,FALSE)</f>
        <v>1</v>
      </c>
      <c r="T1936" s="737" t="str">
        <f t="shared" si="899"/>
        <v>0.0%</v>
      </c>
      <c r="U1936" s="2">
        <f t="shared" si="882"/>
        <v>0</v>
      </c>
      <c r="V1936" s="2">
        <f t="shared" si="883"/>
        <v>22.719750416666699</v>
      </c>
      <c r="W1936" s="2">
        <f t="shared" si="884"/>
        <v>0</v>
      </c>
      <c r="X1936" s="2">
        <f t="shared" si="874"/>
        <v>22.719750416666699</v>
      </c>
      <c r="Y1936" s="2">
        <f t="shared" si="885"/>
        <v>0</v>
      </c>
      <c r="Z1936" s="2">
        <f t="shared" si="886"/>
        <v>23.49877</v>
      </c>
      <c r="AA1936" s="2">
        <f t="shared" si="887"/>
        <v>0</v>
      </c>
      <c r="AB1936" s="2">
        <f t="shared" si="875"/>
        <v>23.49877</v>
      </c>
      <c r="AC1936" s="625">
        <v>21.958020000000001</v>
      </c>
      <c r="AD1936" s="625">
        <v>22.082459999999998</v>
      </c>
      <c r="AE1936" s="625">
        <v>22.207609999999999</v>
      </c>
      <c r="AF1936" s="625">
        <v>22.333470000000002</v>
      </c>
      <c r="AG1936" s="625">
        <v>22.460039999999999</v>
      </c>
      <c r="AH1936" s="625">
        <v>22.587330000000001</v>
      </c>
      <c r="AI1936" s="625">
        <v>22.715340000000001</v>
      </c>
      <c r="AJ1936" s="625">
        <v>22.844069999999999</v>
      </c>
      <c r="AK1936" s="625">
        <v>22.97354</v>
      </c>
      <c r="AL1936" s="625">
        <v>23.103729999999999</v>
      </c>
      <c r="AM1936" s="625">
        <v>23.234669999999998</v>
      </c>
      <c r="AN1936" s="625">
        <v>23.366349999999997</v>
      </c>
      <c r="AO1936" s="625">
        <v>23.49877</v>
      </c>
      <c r="AP1936" s="41" t="str">
        <f t="shared" si="900"/>
        <v>Def TaxR</v>
      </c>
      <c r="AQ1936" s="41" t="str">
        <f t="shared" si="901"/>
        <v>Def TaxRR11Medicare Part D</v>
      </c>
      <c r="AR1936" s="41" t="str">
        <f t="shared" si="902"/>
        <v>R11Medicare Part D</v>
      </c>
    </row>
    <row r="1937" spans="1:44" s="41" customFormat="1" ht="12.75" customHeight="1">
      <c r="A1937" s="25" t="s">
        <v>1590</v>
      </c>
      <c r="B1937" s="25" t="str">
        <f t="shared" si="898"/>
        <v>Def Tax190542BT010166</v>
      </c>
      <c r="C1937" s="736">
        <v>190542</v>
      </c>
      <c r="D1937" s="735"/>
      <c r="E1937" s="41" t="s">
        <v>1957</v>
      </c>
      <c r="F1937" s="41" t="str">
        <f t="shared" si="893"/>
        <v>ADIT - EEBEN - REG - STATE - GAS</v>
      </c>
      <c r="G1937" s="41" t="s">
        <v>2054</v>
      </c>
      <c r="H1937" s="736" t="s">
        <v>1159</v>
      </c>
      <c r="I1937" s="25"/>
      <c r="J1937" s="25" t="s">
        <v>7</v>
      </c>
      <c r="K1937" s="442" t="str">
        <f t="shared" si="892"/>
        <v/>
      </c>
      <c r="L1937" s="736" t="s">
        <v>2421</v>
      </c>
      <c r="M1937" s="25" t="str">
        <f t="shared" si="881"/>
        <v>N</v>
      </c>
      <c r="N1937" s="25" t="str">
        <f>IF(L1937&lt;&gt;"",VLOOKUP(L1937,Categories!$B$2:$D$41,2,FALSE),IF(F1937&lt;&gt;"","No Cat",""))</f>
        <v>NRBASE</v>
      </c>
      <c r="O1937" s="25" t="str">
        <f>IF($L1937&lt;&gt;"",VLOOKUP($L1937,Categories!$B$2:$D$41,3,FALSE),IF($F1937&lt;&gt;"","No Cat",""))</f>
        <v>Direct Assign Items Not in RB</v>
      </c>
      <c r="P1937" s="736" t="s">
        <v>2468</v>
      </c>
      <c r="Q1937" s="25" t="str">
        <f>VLOOKUP($P1937,Allocators!$B$7:$F$19,5,FALSE)</f>
        <v>Not in Rate Base</v>
      </c>
      <c r="R1937" s="737">
        <f>VLOOKUP($P1937,Allocators!$B$7:$F$19,2,FALSE)</f>
        <v>0</v>
      </c>
      <c r="S1937" s="737">
        <f>VLOOKUP($P1937,Allocators!$B$7:$F$19,3,FALSE)</f>
        <v>0</v>
      </c>
      <c r="T1937" s="737">
        <f t="shared" si="899"/>
        <v>1</v>
      </c>
      <c r="U1937" s="2">
        <f t="shared" si="882"/>
        <v>0</v>
      </c>
      <c r="V1937" s="2">
        <f t="shared" si="883"/>
        <v>0</v>
      </c>
      <c r="W1937" s="2">
        <f t="shared" si="884"/>
        <v>-184.781409166667</v>
      </c>
      <c r="X1937" s="2">
        <f t="shared" si="874"/>
        <v>-184.781409166667</v>
      </c>
      <c r="Y1937" s="2">
        <f t="shared" si="885"/>
        <v>0</v>
      </c>
      <c r="Z1937" s="2">
        <f t="shared" si="886"/>
        <v>0</v>
      </c>
      <c r="AA1937" s="2">
        <f t="shared" si="887"/>
        <v>-496.84030999999999</v>
      </c>
      <c r="AB1937" s="2">
        <f t="shared" si="875"/>
        <v>-496.84030999999999</v>
      </c>
      <c r="AC1937" s="625">
        <v>-3.6999999999999999E-4</v>
      </c>
      <c r="AD1937" s="625">
        <v>-7.3999999999999999E-4</v>
      </c>
      <c r="AE1937" s="625">
        <v>-3.6999999999999999E-4</v>
      </c>
      <c r="AF1937" s="625">
        <v>-7.3999999999999999E-4</v>
      </c>
      <c r="AG1937" s="625">
        <v>-3.6999999999999999E-4</v>
      </c>
      <c r="AH1937" s="625">
        <v>-121.80533</v>
      </c>
      <c r="AI1937" s="625">
        <v>-142.33423999999999</v>
      </c>
      <c r="AJ1937" s="625">
        <v>-163.37391</v>
      </c>
      <c r="AK1937" s="625">
        <v>-187.73608999999999</v>
      </c>
      <c r="AL1937" s="625">
        <v>-429.11111999999997</v>
      </c>
      <c r="AM1937" s="625">
        <v>-450.88857999999999</v>
      </c>
      <c r="AN1937" s="625">
        <v>-473.70508000000001</v>
      </c>
      <c r="AO1937" s="625">
        <v>-496.84030999999999</v>
      </c>
      <c r="AP1937" s="41" t="str">
        <f t="shared" si="900"/>
        <v>Def TaxN</v>
      </c>
      <c r="AQ1937" s="41" t="str">
        <f t="shared" si="901"/>
        <v>Def TaxNN2Pension True-up</v>
      </c>
      <c r="AR1937" s="41" t="str">
        <f t="shared" si="902"/>
        <v>N2Pension True-upNCR</v>
      </c>
    </row>
    <row r="1938" spans="1:44" s="41" customFormat="1" ht="12.75" customHeight="1">
      <c r="A1938" s="25" t="s">
        <v>1590</v>
      </c>
      <c r="B1938" s="25" t="str">
        <f t="shared" si="898"/>
        <v>Def Tax190542BT030562</v>
      </c>
      <c r="C1938" s="736">
        <v>190542</v>
      </c>
      <c r="D1938" s="735"/>
      <c r="E1938" s="41" t="s">
        <v>1839</v>
      </c>
      <c r="F1938" s="41" t="str">
        <f t="shared" si="893"/>
        <v>ADIT - EEBEN - REG - STATE - GAS</v>
      </c>
      <c r="G1938" s="41" t="s">
        <v>1920</v>
      </c>
      <c r="H1938" s="736" t="s">
        <v>812</v>
      </c>
      <c r="I1938" s="25"/>
      <c r="J1938" s="25" t="str">
        <f t="shared" si="894"/>
        <v/>
      </c>
      <c r="K1938" s="442" t="str">
        <f t="shared" si="892"/>
        <v/>
      </c>
      <c r="L1938" s="736" t="s">
        <v>2443</v>
      </c>
      <c r="M1938" s="25" t="str">
        <f t="shared" si="881"/>
        <v>R</v>
      </c>
      <c r="N1938" s="25" t="str">
        <f>IF(L1938&lt;&gt;"",VLOOKUP(L1938,Categories!$B$2:$D$41,2,FALSE),IF(F1938&lt;&gt;"","No Cat",""))</f>
        <v>Rate Base</v>
      </c>
      <c r="O1938" s="25" t="str">
        <f>IF($L1938&lt;&gt;"",VLOOKUP($L1938,Categories!$B$2:$D$41,3,FALSE),IF($F1938&lt;&gt;"","No Cat",""))</f>
        <v>Deferred Income Taxes</v>
      </c>
      <c r="P1938" s="736" t="s">
        <v>2483</v>
      </c>
      <c r="Q1938" s="25" t="str">
        <f>VLOOKUP($P1938,Allocators!$B$7:$F$19,5,FALSE)</f>
        <v>Gas</v>
      </c>
      <c r="R1938" s="737">
        <f>VLOOKUP($P1938,Allocators!$B$7:$F$19,2,FALSE)</f>
        <v>0</v>
      </c>
      <c r="S1938" s="737">
        <f>VLOOKUP($P1938,Allocators!$B$7:$F$19,3,FALSE)</f>
        <v>1</v>
      </c>
      <c r="T1938" s="737" t="str">
        <f t="shared" si="899"/>
        <v>0.0%</v>
      </c>
      <c r="U1938" s="2">
        <f t="shared" si="882"/>
        <v>0</v>
      </c>
      <c r="V1938" s="2">
        <f t="shared" si="883"/>
        <v>132.84824916666699</v>
      </c>
      <c r="W1938" s="2">
        <f t="shared" si="884"/>
        <v>0</v>
      </c>
      <c r="X1938" s="2">
        <f t="shared" ref="X1938:X2001" si="903">IF(ISERROR(ROUND((SUM(AC1938:AO1938)-((AC1938+AO1938))/2)/12,15)),"",ROUND((SUM(AC1938:AO1938)-((AC1938+AO1938))/2)/12,15))</f>
        <v>132.84824916666699</v>
      </c>
      <c r="Y1938" s="2">
        <f t="shared" si="885"/>
        <v>0</v>
      </c>
      <c r="Z1938" s="2">
        <f t="shared" si="886"/>
        <v>-64.195670000000007</v>
      </c>
      <c r="AA1938" s="2">
        <f t="shared" si="887"/>
        <v>0</v>
      </c>
      <c r="AB1938" s="2">
        <f t="shared" ref="AB1938:AB2001" si="904">IF(AO1938="",0,+AO1938)</f>
        <v>-64.195669999999993</v>
      </c>
      <c r="AC1938" s="625">
        <v>159.88802999999999</v>
      </c>
      <c r="AD1938" s="625">
        <v>156.66931</v>
      </c>
      <c r="AE1938" s="625">
        <v>153.45059000000001</v>
      </c>
      <c r="AF1938" s="625">
        <v>150.23186999999999</v>
      </c>
      <c r="AG1938" s="625">
        <v>147.01315</v>
      </c>
      <c r="AH1938" s="625">
        <v>143.79443000000001</v>
      </c>
      <c r="AI1938" s="625">
        <v>140.57570999999999</v>
      </c>
      <c r="AJ1938" s="625">
        <v>137.35699</v>
      </c>
      <c r="AK1938" s="625">
        <v>134.13826999999998</v>
      </c>
      <c r="AL1938" s="625">
        <v>130.91955000000002</v>
      </c>
      <c r="AM1938" s="625">
        <v>127.70083</v>
      </c>
      <c r="AN1938" s="625">
        <v>124.48211000000001</v>
      </c>
      <c r="AO1938" s="625">
        <v>-64.195669999999993</v>
      </c>
      <c r="AP1938" s="41" t="str">
        <f t="shared" si="900"/>
        <v>Def TaxR</v>
      </c>
      <c r="AQ1938" s="41" t="str">
        <f t="shared" si="901"/>
        <v>Def TaxRR11OPEB True-up</v>
      </c>
      <c r="AR1938" s="41" t="str">
        <f t="shared" si="902"/>
        <v>R11OPEB True-up</v>
      </c>
    </row>
    <row r="1939" spans="1:44" s="41" customFormat="1" ht="12.75" customHeight="1">
      <c r="A1939" s="442" t="s">
        <v>1590</v>
      </c>
      <c r="B1939" s="442" t="str">
        <f t="shared" si="898"/>
        <v>Def Tax190990DerivativeBT010057</v>
      </c>
      <c r="C1939" s="736">
        <v>190990</v>
      </c>
      <c r="D1939" s="735" t="s">
        <v>1833</v>
      </c>
      <c r="E1939" s="626" t="s">
        <v>1834</v>
      </c>
      <c r="F1939" s="626" t="str">
        <f t="shared" si="893"/>
        <v>RECLASS-ACCUM DEFER INC TX-FED-CURRENT-ELECTRIC</v>
      </c>
      <c r="G1939" s="626" t="s">
        <v>1870</v>
      </c>
      <c r="H1939" s="736" t="s">
        <v>1594</v>
      </c>
      <c r="I1939" s="442"/>
      <c r="J1939" s="442" t="str">
        <f t="shared" si="894"/>
        <v/>
      </c>
      <c r="K1939" s="442" t="str">
        <f t="shared" si="892"/>
        <v/>
      </c>
      <c r="L1939" s="736" t="s">
        <v>2427</v>
      </c>
      <c r="M1939" s="442" t="str">
        <f t="shared" si="881"/>
        <v>N</v>
      </c>
      <c r="N1939" s="442" t="str">
        <f>IF(L1939&lt;&gt;"",VLOOKUP(L1939,Categories!$B$2:$D$41,2,FALSE),IF(F1939&lt;&gt;"","No Cat",""))</f>
        <v>NRBASE</v>
      </c>
      <c r="O1939" s="442" t="str">
        <f>IF($L1939&lt;&gt;"",VLOOKUP($L1939,Categories!$B$2:$D$41,3,FALSE),IF($F1939&lt;&gt;"","No Cat",""))</f>
        <v>Hedges &amp; OCI</v>
      </c>
      <c r="P1939" s="736" t="s">
        <v>2468</v>
      </c>
      <c r="Q1939" s="442" t="str">
        <f>VLOOKUP($P1939,Allocators!$B$7:$F$19,5,FALSE)</f>
        <v>Not in Rate Base</v>
      </c>
      <c r="R1939" s="737">
        <f>VLOOKUP($P1939,Allocators!$B$7:$F$19,2,FALSE)</f>
        <v>0</v>
      </c>
      <c r="S1939" s="737">
        <f>VLOOKUP($P1939,Allocators!$B$7:$F$19,3,FALSE)</f>
        <v>0</v>
      </c>
      <c r="T1939" s="737">
        <f t="shared" si="899"/>
        <v>1</v>
      </c>
      <c r="U1939" s="2">
        <f t="shared" si="882"/>
        <v>0</v>
      </c>
      <c r="V1939" s="2">
        <f t="shared" si="883"/>
        <v>0</v>
      </c>
      <c r="W1939" s="2">
        <f t="shared" si="884"/>
        <v>869.185655</v>
      </c>
      <c r="X1939" s="2">
        <f t="shared" si="903"/>
        <v>869.185655</v>
      </c>
      <c r="Y1939" s="2">
        <f t="shared" si="885"/>
        <v>0</v>
      </c>
      <c r="Z1939" s="2">
        <f t="shared" si="886"/>
        <v>0</v>
      </c>
      <c r="AA1939" s="2">
        <f t="shared" si="887"/>
        <v>-1543.38222</v>
      </c>
      <c r="AB1939" s="2">
        <f t="shared" si="904"/>
        <v>-1543.38222</v>
      </c>
      <c r="AC1939" s="625">
        <v>96.184780000000003</v>
      </c>
      <c r="AD1939" s="625">
        <v>566.32478000000003</v>
      </c>
      <c r="AE1939" s="625">
        <v>1163.3757800000001</v>
      </c>
      <c r="AF1939" s="625">
        <v>1039.27178</v>
      </c>
      <c r="AG1939" s="625">
        <v>1911.7417800000001</v>
      </c>
      <c r="AH1939" s="625">
        <v>1731.5007800000001</v>
      </c>
      <c r="AI1939" s="625">
        <v>1077.4127800000001</v>
      </c>
      <c r="AJ1939" s="625">
        <v>-538.43621999999993</v>
      </c>
      <c r="AK1939" s="625">
        <v>329.53678000000002</v>
      </c>
      <c r="AL1939" s="625">
        <v>1198.7467799999999</v>
      </c>
      <c r="AM1939" s="625">
        <v>1203.7307800000001</v>
      </c>
      <c r="AN1939" s="625">
        <v>1470.62078</v>
      </c>
      <c r="AO1939" s="625">
        <v>-1543.38222</v>
      </c>
      <c r="AP1939" s="41" t="str">
        <f t="shared" si="900"/>
        <v>Def TaxN</v>
      </c>
      <c r="AQ1939" s="41" t="str">
        <f t="shared" si="901"/>
        <v>Def TaxNN5FAS 133 Related</v>
      </c>
      <c r="AR1939" s="41" t="str">
        <f t="shared" si="902"/>
        <v>N5FAS 133 Related</v>
      </c>
    </row>
    <row r="1940" spans="1:44" s="41" customFormat="1" ht="12.75" customHeight="1">
      <c r="A1940" s="442" t="s">
        <v>1590</v>
      </c>
      <c r="B1940" s="442" t="str">
        <f t="shared" si="898"/>
        <v>Def Tax190990RECLASS</v>
      </c>
      <c r="C1940" s="736">
        <v>190990</v>
      </c>
      <c r="D1940" s="735" t="s">
        <v>1850</v>
      </c>
      <c r="E1940" s="626"/>
      <c r="F1940" s="626" t="str">
        <f t="shared" si="893"/>
        <v>RECLASS-ACCUM DEFER INC TX-FED-CURRENT-ELECTRIC</v>
      </c>
      <c r="G1940" s="626" t="s">
        <v>2055</v>
      </c>
      <c r="H1940" s="736" t="s">
        <v>1847</v>
      </c>
      <c r="I1940" s="442"/>
      <c r="J1940" s="442" t="str">
        <f t="shared" si="894"/>
        <v/>
      </c>
      <c r="K1940" s="442" t="str">
        <f t="shared" si="892"/>
        <v/>
      </c>
      <c r="L1940" s="736" t="s">
        <v>2421</v>
      </c>
      <c r="M1940" s="442" t="str">
        <f t="shared" si="881"/>
        <v>N</v>
      </c>
      <c r="N1940" s="442" t="str">
        <f>IF(L1940&lt;&gt;"",VLOOKUP(L1940,Categories!$B$2:$D$41,2,FALSE),IF(F1940&lt;&gt;"","No Cat",""))</f>
        <v>NRBASE</v>
      </c>
      <c r="O1940" s="442" t="str">
        <f>IF($L1940&lt;&gt;"",VLOOKUP($L1940,Categories!$B$2:$D$41,3,FALSE),IF($F1940&lt;&gt;"","No Cat",""))</f>
        <v>Direct Assign Items Not in RB</v>
      </c>
      <c r="P1940" s="736" t="s">
        <v>2468</v>
      </c>
      <c r="Q1940" s="442" t="str">
        <f>VLOOKUP($P1940,Allocators!$B$7:$F$19,5,FALSE)</f>
        <v>Not in Rate Base</v>
      </c>
      <c r="R1940" s="737">
        <f>VLOOKUP($P1940,Allocators!$B$7:$F$19,2,FALSE)</f>
        <v>0</v>
      </c>
      <c r="S1940" s="737">
        <f>VLOOKUP($P1940,Allocators!$B$7:$F$19,3,FALSE)</f>
        <v>0</v>
      </c>
      <c r="T1940" s="737">
        <f t="shared" si="899"/>
        <v>1</v>
      </c>
      <c r="U1940" s="2" t="str">
        <f t="shared" si="882"/>
        <v/>
      </c>
      <c r="V1940" s="2" t="str">
        <f t="shared" si="883"/>
        <v/>
      </c>
      <c r="W1940" s="2" t="str">
        <f t="shared" si="884"/>
        <v/>
      </c>
      <c r="X1940" s="2">
        <f t="shared" si="903"/>
        <v>0</v>
      </c>
      <c r="Y1940" s="2" t="str">
        <f t="shared" si="885"/>
        <v/>
      </c>
      <c r="Z1940" s="2" t="str">
        <f t="shared" si="886"/>
        <v/>
      </c>
      <c r="AA1940" s="2" t="str">
        <f t="shared" si="887"/>
        <v/>
      </c>
      <c r="AB1940" s="2">
        <f t="shared" si="904"/>
        <v>0</v>
      </c>
      <c r="AC1940" s="625">
        <v>0</v>
      </c>
      <c r="AD1940" s="625">
        <v>0</v>
      </c>
      <c r="AE1940" s="625">
        <v>0</v>
      </c>
      <c r="AF1940" s="625">
        <v>0</v>
      </c>
      <c r="AG1940" s="625">
        <v>0</v>
      </c>
      <c r="AH1940" s="625">
        <v>0</v>
      </c>
      <c r="AI1940" s="625">
        <v>0</v>
      </c>
      <c r="AJ1940" s="625">
        <v>0</v>
      </c>
      <c r="AK1940" s="625">
        <v>0</v>
      </c>
      <c r="AL1940" s="625">
        <v>0</v>
      </c>
      <c r="AM1940" s="625">
        <v>0</v>
      </c>
      <c r="AN1940" s="625">
        <v>0</v>
      </c>
      <c r="AO1940" s="625">
        <v>0</v>
      </c>
      <c r="AP1940" s="41" t="str">
        <f t="shared" si="900"/>
        <v>Def TaxN</v>
      </c>
      <c r="AQ1940" s="41" t="str">
        <f t="shared" si="901"/>
        <v>Def TaxNN2Reclass</v>
      </c>
      <c r="AR1940" s="41" t="str">
        <f t="shared" si="902"/>
        <v>N2Reclass</v>
      </c>
    </row>
    <row r="1941" spans="1:44" s="41" customFormat="1" ht="12.75" customHeight="1">
      <c r="A1941" s="442" t="s">
        <v>1590</v>
      </c>
      <c r="B1941" s="442" t="str">
        <f t="shared" si="898"/>
        <v>Def Tax190991DerivativeBT010057</v>
      </c>
      <c r="C1941" s="736">
        <v>190991</v>
      </c>
      <c r="D1941" s="735" t="s">
        <v>1833</v>
      </c>
      <c r="E1941" s="626" t="s">
        <v>1834</v>
      </c>
      <c r="F1941" s="626" t="str">
        <f t="shared" si="893"/>
        <v>RECLASS-ACCUM DEFER INC TX-STATE-CURRENT-ELECTRIC</v>
      </c>
      <c r="G1941" s="626" t="s">
        <v>1870</v>
      </c>
      <c r="H1941" s="736" t="s">
        <v>1594</v>
      </c>
      <c r="I1941" s="442"/>
      <c r="J1941" s="442" t="str">
        <f t="shared" si="894"/>
        <v/>
      </c>
      <c r="K1941" s="442" t="str">
        <f t="shared" si="892"/>
        <v/>
      </c>
      <c r="L1941" s="736" t="s">
        <v>2427</v>
      </c>
      <c r="M1941" s="442" t="str">
        <f t="shared" si="881"/>
        <v>N</v>
      </c>
      <c r="N1941" s="442" t="str">
        <f>IF(L1941&lt;&gt;"",VLOOKUP(L1941,Categories!$B$2:$D$41,2,FALSE),IF(F1941&lt;&gt;"","No Cat",""))</f>
        <v>NRBASE</v>
      </c>
      <c r="O1941" s="442" t="str">
        <f>IF($L1941&lt;&gt;"",VLOOKUP($L1941,Categories!$B$2:$D$41,3,FALSE),IF($F1941&lt;&gt;"","No Cat",""))</f>
        <v>Hedges &amp; OCI</v>
      </c>
      <c r="P1941" s="736" t="s">
        <v>2468</v>
      </c>
      <c r="Q1941" s="442" t="str">
        <f>VLOOKUP($P1941,Allocators!$B$7:$F$19,5,FALSE)</f>
        <v>Not in Rate Base</v>
      </c>
      <c r="R1941" s="737">
        <f>VLOOKUP($P1941,Allocators!$B$7:$F$19,2,FALSE)</f>
        <v>0</v>
      </c>
      <c r="S1941" s="737">
        <f>VLOOKUP($P1941,Allocators!$B$7:$F$19,3,FALSE)</f>
        <v>0</v>
      </c>
      <c r="T1941" s="737">
        <f t="shared" si="899"/>
        <v>1</v>
      </c>
      <c r="U1941" s="2">
        <f t="shared" si="882"/>
        <v>0</v>
      </c>
      <c r="V1941" s="2">
        <f t="shared" si="883"/>
        <v>0</v>
      </c>
      <c r="W1941" s="2">
        <f t="shared" si="884"/>
        <v>189.79026833333299</v>
      </c>
      <c r="X1941" s="2">
        <f t="shared" si="903"/>
        <v>189.79026833333299</v>
      </c>
      <c r="Y1941" s="2">
        <f t="shared" si="885"/>
        <v>0</v>
      </c>
      <c r="Z1941" s="2">
        <f t="shared" si="886"/>
        <v>0</v>
      </c>
      <c r="AA1941" s="2">
        <f t="shared" si="887"/>
        <v>-337.02094</v>
      </c>
      <c r="AB1941" s="2">
        <f t="shared" si="904"/>
        <v>-337.02094</v>
      </c>
      <c r="AC1941" s="625">
        <v>20.998060000000002</v>
      </c>
      <c r="AD1941" s="625">
        <v>123.65805999999999</v>
      </c>
      <c r="AE1941" s="625">
        <v>254.03005999999999</v>
      </c>
      <c r="AF1941" s="625">
        <v>226.93106</v>
      </c>
      <c r="AG1941" s="625">
        <v>417.44405999999998</v>
      </c>
      <c r="AH1941" s="625">
        <v>378.08605999999997</v>
      </c>
      <c r="AI1941" s="625">
        <v>235.25906000000001</v>
      </c>
      <c r="AJ1941" s="625">
        <v>-117.57894</v>
      </c>
      <c r="AK1941" s="625">
        <v>71.952060000000003</v>
      </c>
      <c r="AL1941" s="625">
        <v>261.75306</v>
      </c>
      <c r="AM1941" s="625">
        <v>262.84105999999997</v>
      </c>
      <c r="AN1941" s="625">
        <v>321.11905999999999</v>
      </c>
      <c r="AO1941" s="625">
        <v>-337.02094</v>
      </c>
      <c r="AP1941" s="41" t="str">
        <f t="shared" si="900"/>
        <v>Def TaxN</v>
      </c>
      <c r="AQ1941" s="41" t="str">
        <f t="shared" si="901"/>
        <v>Def TaxNN5FAS 133 Related</v>
      </c>
      <c r="AR1941" s="41" t="str">
        <f t="shared" si="902"/>
        <v>N5FAS 133 Related</v>
      </c>
    </row>
    <row r="1942" spans="1:44" s="41" customFormat="1" ht="12.75" customHeight="1">
      <c r="A1942" s="442" t="s">
        <v>1590</v>
      </c>
      <c r="B1942" s="442" t="str">
        <f t="shared" si="898"/>
        <v>Def Tax190991RECLASS</v>
      </c>
      <c r="C1942" s="736">
        <v>190991</v>
      </c>
      <c r="D1942" s="735" t="s">
        <v>1850</v>
      </c>
      <c r="E1942" s="626"/>
      <c r="F1942" s="626" t="str">
        <f t="shared" si="893"/>
        <v>RECLASS-ACCUM DEFER INC TX-STATE-CURRENT-ELECTRIC</v>
      </c>
      <c r="G1942" s="626" t="s">
        <v>2056</v>
      </c>
      <c r="H1942" s="736" t="s">
        <v>1847</v>
      </c>
      <c r="I1942" s="442"/>
      <c r="J1942" s="442" t="str">
        <f t="shared" si="894"/>
        <v/>
      </c>
      <c r="K1942" s="442" t="str">
        <f t="shared" si="892"/>
        <v/>
      </c>
      <c r="L1942" s="736" t="s">
        <v>2421</v>
      </c>
      <c r="M1942" s="442" t="str">
        <f t="shared" si="881"/>
        <v>N</v>
      </c>
      <c r="N1942" s="442" t="str">
        <f>IF(L1942&lt;&gt;"",VLOOKUP(L1942,Categories!$B$2:$D$41,2,FALSE),IF(F1942&lt;&gt;"","No Cat",""))</f>
        <v>NRBASE</v>
      </c>
      <c r="O1942" s="442" t="str">
        <f>IF($L1942&lt;&gt;"",VLOOKUP($L1942,Categories!$B$2:$D$41,3,FALSE),IF($F1942&lt;&gt;"","No Cat",""))</f>
        <v>Direct Assign Items Not in RB</v>
      </c>
      <c r="P1942" s="736" t="s">
        <v>2468</v>
      </c>
      <c r="Q1942" s="442" t="str">
        <f>VLOOKUP($P1942,Allocators!$B$7:$F$19,5,FALSE)</f>
        <v>Not in Rate Base</v>
      </c>
      <c r="R1942" s="737">
        <f>VLOOKUP($P1942,Allocators!$B$7:$F$19,2,FALSE)</f>
        <v>0</v>
      </c>
      <c r="S1942" s="737">
        <f>VLOOKUP($P1942,Allocators!$B$7:$F$19,3,FALSE)</f>
        <v>0</v>
      </c>
      <c r="T1942" s="737">
        <f t="shared" si="899"/>
        <v>1</v>
      </c>
      <c r="U1942" s="2" t="str">
        <f t="shared" si="882"/>
        <v/>
      </c>
      <c r="V1942" s="2" t="str">
        <f t="shared" si="883"/>
        <v/>
      </c>
      <c r="W1942" s="2" t="str">
        <f t="shared" si="884"/>
        <v/>
      </c>
      <c r="X1942" s="2">
        <f t="shared" si="903"/>
        <v>0</v>
      </c>
      <c r="Y1942" s="2" t="str">
        <f t="shared" si="885"/>
        <v/>
      </c>
      <c r="Z1942" s="2" t="str">
        <f t="shared" si="886"/>
        <v/>
      </c>
      <c r="AA1942" s="2" t="str">
        <f t="shared" si="887"/>
        <v/>
      </c>
      <c r="AB1942" s="2">
        <f t="shared" si="904"/>
        <v>0</v>
      </c>
      <c r="AC1942" s="625">
        <v>0</v>
      </c>
      <c r="AD1942" s="625">
        <v>0</v>
      </c>
      <c r="AE1942" s="625">
        <v>0</v>
      </c>
      <c r="AF1942" s="625">
        <v>0</v>
      </c>
      <c r="AG1942" s="625">
        <v>0</v>
      </c>
      <c r="AH1942" s="625">
        <v>0</v>
      </c>
      <c r="AI1942" s="625">
        <v>0</v>
      </c>
      <c r="AJ1942" s="625">
        <v>0</v>
      </c>
      <c r="AK1942" s="625">
        <v>0</v>
      </c>
      <c r="AL1942" s="625">
        <v>0</v>
      </c>
      <c r="AM1942" s="625">
        <v>0</v>
      </c>
      <c r="AN1942" s="625">
        <v>0</v>
      </c>
      <c r="AO1942" s="625">
        <v>0</v>
      </c>
      <c r="AP1942" s="41" t="str">
        <f t="shared" si="900"/>
        <v>Def TaxN</v>
      </c>
      <c r="AQ1942" s="41" t="str">
        <f t="shared" si="901"/>
        <v>Def TaxNN2Reclass</v>
      </c>
      <c r="AR1942" s="41" t="str">
        <f t="shared" si="902"/>
        <v>N2Reclass</v>
      </c>
    </row>
    <row r="1943" spans="1:44" s="41" customFormat="1" ht="12.75" customHeight="1">
      <c r="A1943" s="442" t="s">
        <v>1590</v>
      </c>
      <c r="B1943" s="442" t="str">
        <f t="shared" si="898"/>
        <v>Def Tax190992DerivativeBT010057</v>
      </c>
      <c r="C1943" s="736">
        <v>190992</v>
      </c>
      <c r="D1943" s="735" t="s">
        <v>1833</v>
      </c>
      <c r="E1943" s="626" t="s">
        <v>1834</v>
      </c>
      <c r="F1943" s="626" t="str">
        <f t="shared" si="893"/>
        <v>RECLASS-ACCUM DEFER INC TX-FED-CURRENT-GAS</v>
      </c>
      <c r="G1943" s="626" t="s">
        <v>1870</v>
      </c>
      <c r="H1943" s="736" t="s">
        <v>1594</v>
      </c>
      <c r="I1943" s="442"/>
      <c r="J1943" s="442" t="str">
        <f t="shared" si="894"/>
        <v/>
      </c>
      <c r="K1943" s="442" t="str">
        <f t="shared" si="892"/>
        <v/>
      </c>
      <c r="L1943" s="736" t="s">
        <v>2427</v>
      </c>
      <c r="M1943" s="442" t="str">
        <f t="shared" si="881"/>
        <v>N</v>
      </c>
      <c r="N1943" s="442" t="str">
        <f>IF(L1943&lt;&gt;"",VLOOKUP(L1943,Categories!$B$2:$D$41,2,FALSE),IF(F1943&lt;&gt;"","No Cat",""))</f>
        <v>NRBASE</v>
      </c>
      <c r="O1943" s="442" t="str">
        <f>IF($L1943&lt;&gt;"",VLOOKUP($L1943,Categories!$B$2:$D$41,3,FALSE),IF($F1943&lt;&gt;"","No Cat",""))</f>
        <v>Hedges &amp; OCI</v>
      </c>
      <c r="P1943" s="736" t="s">
        <v>2468</v>
      </c>
      <c r="Q1943" s="442" t="str">
        <f>VLOOKUP($P1943,Allocators!$B$7:$F$19,5,FALSE)</f>
        <v>Not in Rate Base</v>
      </c>
      <c r="R1943" s="737">
        <f>VLOOKUP($P1943,Allocators!$B$7:$F$19,2,FALSE)</f>
        <v>0</v>
      </c>
      <c r="S1943" s="737">
        <f>VLOOKUP($P1943,Allocators!$B$7:$F$19,3,FALSE)</f>
        <v>0</v>
      </c>
      <c r="T1943" s="737">
        <f t="shared" si="899"/>
        <v>1</v>
      </c>
      <c r="U1943" s="2">
        <f t="shared" si="882"/>
        <v>0</v>
      </c>
      <c r="V1943" s="2">
        <f t="shared" si="883"/>
        <v>0</v>
      </c>
      <c r="W1943" s="2">
        <f t="shared" si="884"/>
        <v>92.765358333333296</v>
      </c>
      <c r="X1943" s="2">
        <f t="shared" si="903"/>
        <v>92.765358333333296</v>
      </c>
      <c r="Y1943" s="2">
        <f t="shared" si="885"/>
        <v>0</v>
      </c>
      <c r="Z1943" s="2">
        <f t="shared" si="886"/>
        <v>0</v>
      </c>
      <c r="AA1943" s="2">
        <f t="shared" si="887"/>
        <v>-672.41084999999998</v>
      </c>
      <c r="AB1943" s="2">
        <f t="shared" si="904"/>
        <v>-672.41084999999998</v>
      </c>
      <c r="AC1943" s="625">
        <v>142.10014999999999</v>
      </c>
      <c r="AD1943" s="625">
        <v>660.94015000000002</v>
      </c>
      <c r="AE1943" s="625">
        <v>413.00515000000001</v>
      </c>
      <c r="AF1943" s="625">
        <v>224.57714999999999</v>
      </c>
      <c r="AG1943" s="625">
        <v>483.34315000000004</v>
      </c>
      <c r="AH1943" s="625">
        <v>232.62314999999998</v>
      </c>
      <c r="AI1943" s="625">
        <v>182.05615</v>
      </c>
      <c r="AJ1943" s="625">
        <v>-199.77285000000001</v>
      </c>
      <c r="AK1943" s="625">
        <v>-62.516849999999998</v>
      </c>
      <c r="AL1943" s="625">
        <v>-73.452850000000012</v>
      </c>
      <c r="AM1943" s="625">
        <v>-313.60084999999998</v>
      </c>
      <c r="AN1943" s="625">
        <v>-168.86185</v>
      </c>
      <c r="AO1943" s="625">
        <v>-672.41084999999998</v>
      </c>
      <c r="AP1943" s="41" t="str">
        <f t="shared" si="900"/>
        <v>Def TaxN</v>
      </c>
      <c r="AQ1943" s="41" t="str">
        <f t="shared" si="901"/>
        <v>Def TaxNN5FAS 133 Related</v>
      </c>
      <c r="AR1943" s="41" t="str">
        <f t="shared" si="902"/>
        <v>N5FAS 133 Related</v>
      </c>
    </row>
    <row r="1944" spans="1:44" s="41" customFormat="1" ht="12.75" customHeight="1">
      <c r="A1944" s="442" t="s">
        <v>1590</v>
      </c>
      <c r="B1944" s="442" t="str">
        <f t="shared" si="898"/>
        <v>Def Tax190992RECLASS</v>
      </c>
      <c r="C1944" s="736">
        <v>190992</v>
      </c>
      <c r="D1944" s="735" t="s">
        <v>1850</v>
      </c>
      <c r="E1944" s="626"/>
      <c r="F1944" s="626" t="str">
        <f t="shared" si="893"/>
        <v>RECLASS-ACCUM DEFER INC TX-FED-CURRENT-GAS</v>
      </c>
      <c r="G1944" s="626" t="s">
        <v>2057</v>
      </c>
      <c r="H1944" s="736" t="s">
        <v>1847</v>
      </c>
      <c r="I1944" s="442"/>
      <c r="J1944" s="442" t="str">
        <f t="shared" si="894"/>
        <v/>
      </c>
      <c r="K1944" s="442" t="str">
        <f t="shared" si="892"/>
        <v/>
      </c>
      <c r="L1944" s="736" t="s">
        <v>2421</v>
      </c>
      <c r="M1944" s="442" t="str">
        <f t="shared" si="881"/>
        <v>N</v>
      </c>
      <c r="N1944" s="442" t="str">
        <f>IF(L1944&lt;&gt;"",VLOOKUP(L1944,Categories!$B$2:$D$41,2,FALSE),IF(F1944&lt;&gt;"","No Cat",""))</f>
        <v>NRBASE</v>
      </c>
      <c r="O1944" s="442" t="str">
        <f>IF($L1944&lt;&gt;"",VLOOKUP($L1944,Categories!$B$2:$D$41,3,FALSE),IF($F1944&lt;&gt;"","No Cat",""))</f>
        <v>Direct Assign Items Not in RB</v>
      </c>
      <c r="P1944" s="736" t="s">
        <v>2468</v>
      </c>
      <c r="Q1944" s="442" t="str">
        <f>VLOOKUP($P1944,Allocators!$B$7:$F$19,5,FALSE)</f>
        <v>Not in Rate Base</v>
      </c>
      <c r="R1944" s="737">
        <f>VLOOKUP($P1944,Allocators!$B$7:$F$19,2,FALSE)</f>
        <v>0</v>
      </c>
      <c r="S1944" s="737">
        <f>VLOOKUP($P1944,Allocators!$B$7:$F$19,3,FALSE)</f>
        <v>0</v>
      </c>
      <c r="T1944" s="737">
        <f t="shared" si="899"/>
        <v>1</v>
      </c>
      <c r="U1944" s="2" t="str">
        <f t="shared" si="882"/>
        <v/>
      </c>
      <c r="V1944" s="2" t="str">
        <f t="shared" si="883"/>
        <v/>
      </c>
      <c r="W1944" s="2" t="str">
        <f t="shared" si="884"/>
        <v/>
      </c>
      <c r="X1944" s="2">
        <f t="shared" si="903"/>
        <v>0</v>
      </c>
      <c r="Y1944" s="2" t="str">
        <f t="shared" si="885"/>
        <v/>
      </c>
      <c r="Z1944" s="2" t="str">
        <f t="shared" si="886"/>
        <v/>
      </c>
      <c r="AA1944" s="2" t="str">
        <f t="shared" si="887"/>
        <v/>
      </c>
      <c r="AB1944" s="2">
        <f t="shared" si="904"/>
        <v>0</v>
      </c>
      <c r="AC1944" s="625">
        <v>0</v>
      </c>
      <c r="AD1944" s="625">
        <v>0</v>
      </c>
      <c r="AE1944" s="625">
        <v>0</v>
      </c>
      <c r="AF1944" s="625">
        <v>0</v>
      </c>
      <c r="AG1944" s="625">
        <v>0</v>
      </c>
      <c r="AH1944" s="625">
        <v>0</v>
      </c>
      <c r="AI1944" s="625">
        <v>0</v>
      </c>
      <c r="AJ1944" s="625">
        <v>0</v>
      </c>
      <c r="AK1944" s="625">
        <v>0</v>
      </c>
      <c r="AL1944" s="625">
        <v>0</v>
      </c>
      <c r="AM1944" s="625">
        <v>0</v>
      </c>
      <c r="AN1944" s="625">
        <v>0</v>
      </c>
      <c r="AO1944" s="625">
        <v>0</v>
      </c>
      <c r="AP1944" s="41" t="str">
        <f t="shared" si="900"/>
        <v>Def TaxN</v>
      </c>
      <c r="AQ1944" s="41" t="str">
        <f t="shared" si="901"/>
        <v>Def TaxNN2Reclass</v>
      </c>
      <c r="AR1944" s="41" t="str">
        <f t="shared" si="902"/>
        <v>N2Reclass</v>
      </c>
    </row>
    <row r="1945" spans="1:44" s="41" customFormat="1" ht="12.75" customHeight="1">
      <c r="A1945" s="442" t="s">
        <v>1590</v>
      </c>
      <c r="B1945" s="442" t="str">
        <f t="shared" si="898"/>
        <v>Def Tax190993DerivativeBT010057</v>
      </c>
      <c r="C1945" s="736">
        <v>190993</v>
      </c>
      <c r="D1945" s="735" t="s">
        <v>1833</v>
      </c>
      <c r="E1945" s="626" t="s">
        <v>1834</v>
      </c>
      <c r="F1945" s="626" t="str">
        <f t="shared" si="893"/>
        <v>RECLASS-ACCUM DEFER INC TX-STATE-CURRENT-GAS</v>
      </c>
      <c r="G1945" s="626" t="s">
        <v>1870</v>
      </c>
      <c r="H1945" s="736" t="s">
        <v>1594</v>
      </c>
      <c r="I1945" s="442"/>
      <c r="J1945" s="442" t="str">
        <f t="shared" si="894"/>
        <v/>
      </c>
      <c r="K1945" s="442" t="str">
        <f t="shared" si="892"/>
        <v/>
      </c>
      <c r="L1945" s="736" t="s">
        <v>2427</v>
      </c>
      <c r="M1945" s="442" t="str">
        <f t="shared" si="881"/>
        <v>N</v>
      </c>
      <c r="N1945" s="442" t="str">
        <f>IF(L1945&lt;&gt;"",VLOOKUP(L1945,Categories!$B$2:$D$41,2,FALSE),IF(F1945&lt;&gt;"","No Cat",""))</f>
        <v>NRBASE</v>
      </c>
      <c r="O1945" s="442" t="str">
        <f>IF($L1945&lt;&gt;"",VLOOKUP($L1945,Categories!$B$2:$D$41,3,FALSE),IF($F1945&lt;&gt;"","No Cat",""))</f>
        <v>Hedges &amp; OCI</v>
      </c>
      <c r="P1945" s="736" t="s">
        <v>2468</v>
      </c>
      <c r="Q1945" s="442" t="str">
        <f>VLOOKUP($P1945,Allocators!$B$7:$F$19,5,FALSE)</f>
        <v>Not in Rate Base</v>
      </c>
      <c r="R1945" s="737">
        <f>VLOOKUP($P1945,Allocators!$B$7:$F$19,2,FALSE)</f>
        <v>0</v>
      </c>
      <c r="S1945" s="737">
        <f>VLOOKUP($P1945,Allocators!$B$7:$F$19,3,FALSE)</f>
        <v>0</v>
      </c>
      <c r="T1945" s="737">
        <f t="shared" si="899"/>
        <v>1</v>
      </c>
      <c r="U1945" s="2">
        <f t="shared" si="882"/>
        <v>0</v>
      </c>
      <c r="V1945" s="2">
        <f t="shared" si="883"/>
        <v>0</v>
      </c>
      <c r="W1945" s="2">
        <f t="shared" si="884"/>
        <v>20.258085000000001</v>
      </c>
      <c r="X1945" s="2">
        <f t="shared" si="903"/>
        <v>20.258085000000001</v>
      </c>
      <c r="Y1945" s="2">
        <f t="shared" si="885"/>
        <v>0</v>
      </c>
      <c r="Z1945" s="2">
        <f t="shared" si="886"/>
        <v>0</v>
      </c>
      <c r="AA1945" s="2">
        <f t="shared" si="887"/>
        <v>-146.82629</v>
      </c>
      <c r="AB1945" s="2">
        <f t="shared" si="904"/>
        <v>-146.82629</v>
      </c>
      <c r="AC1945" s="625">
        <v>31.030709999999999</v>
      </c>
      <c r="AD1945" s="625">
        <v>144.32470999999998</v>
      </c>
      <c r="AE1945" s="625">
        <v>90.18571</v>
      </c>
      <c r="AF1945" s="625">
        <v>49.040709999999997</v>
      </c>
      <c r="AG1945" s="625">
        <v>105.54471000000001</v>
      </c>
      <c r="AH1945" s="625">
        <v>50.797710000000002</v>
      </c>
      <c r="AI1945" s="625">
        <v>39.755710000000001</v>
      </c>
      <c r="AJ1945" s="625">
        <v>-43.620290000000004</v>
      </c>
      <c r="AK1945" s="625">
        <v>-13.649290000000001</v>
      </c>
      <c r="AL1945" s="625">
        <v>-16.037290000000002</v>
      </c>
      <c r="AM1945" s="625">
        <v>-68.476289999999992</v>
      </c>
      <c r="AN1945" s="625">
        <v>-36.871290000000002</v>
      </c>
      <c r="AO1945" s="625">
        <v>-146.82629</v>
      </c>
      <c r="AP1945" s="41" t="str">
        <f t="shared" si="900"/>
        <v>Def TaxN</v>
      </c>
      <c r="AQ1945" s="41" t="str">
        <f t="shared" si="901"/>
        <v>Def TaxNN5FAS 133 Related</v>
      </c>
      <c r="AR1945" s="41" t="str">
        <f t="shared" si="902"/>
        <v>N5FAS 133 Related</v>
      </c>
    </row>
    <row r="1946" spans="1:44" s="41" customFormat="1" ht="12.75" customHeight="1">
      <c r="A1946" s="442" t="s">
        <v>1590</v>
      </c>
      <c r="B1946" s="442" t="str">
        <f t="shared" si="898"/>
        <v>Def Tax190993RECLASS</v>
      </c>
      <c r="C1946" s="736">
        <v>190993</v>
      </c>
      <c r="D1946" s="735" t="s">
        <v>1850</v>
      </c>
      <c r="E1946" s="626"/>
      <c r="F1946" s="626" t="str">
        <f t="shared" si="893"/>
        <v>RECLASS-ACCUM DEFER INC TX-STATE-CURRENT-GAS</v>
      </c>
      <c r="G1946" s="626" t="s">
        <v>2058</v>
      </c>
      <c r="H1946" s="736" t="s">
        <v>1847</v>
      </c>
      <c r="I1946" s="442"/>
      <c r="J1946" s="442" t="str">
        <f t="shared" si="894"/>
        <v/>
      </c>
      <c r="K1946" s="442" t="str">
        <f t="shared" si="892"/>
        <v/>
      </c>
      <c r="L1946" s="736" t="s">
        <v>2421</v>
      </c>
      <c r="M1946" s="442" t="str">
        <f t="shared" si="881"/>
        <v>N</v>
      </c>
      <c r="N1946" s="442" t="str">
        <f>IF(L1946&lt;&gt;"",VLOOKUP(L1946,Categories!$B$2:$D$41,2,FALSE),IF(F1946&lt;&gt;"","No Cat",""))</f>
        <v>NRBASE</v>
      </c>
      <c r="O1946" s="442" t="str">
        <f>IF($L1946&lt;&gt;"",VLOOKUP($L1946,Categories!$B$2:$D$41,3,FALSE),IF($F1946&lt;&gt;"","No Cat",""))</f>
        <v>Direct Assign Items Not in RB</v>
      </c>
      <c r="P1946" s="736" t="s">
        <v>2468</v>
      </c>
      <c r="Q1946" s="442" t="str">
        <f>VLOOKUP($P1946,Allocators!$B$7:$F$19,5,FALSE)</f>
        <v>Not in Rate Base</v>
      </c>
      <c r="R1946" s="737">
        <f>VLOOKUP($P1946,Allocators!$B$7:$F$19,2,FALSE)</f>
        <v>0</v>
      </c>
      <c r="S1946" s="737">
        <f>VLOOKUP($P1946,Allocators!$B$7:$F$19,3,FALSE)</f>
        <v>0</v>
      </c>
      <c r="T1946" s="737">
        <f t="shared" si="899"/>
        <v>1</v>
      </c>
      <c r="U1946" s="2" t="str">
        <f t="shared" ref="U1946:U2009" si="905">IF(ABS(X1946)=0,"",IF($R1946="NO ALLOC","NO ALLOC",ROUND($R1946*X1946,15)))</f>
        <v/>
      </c>
      <c r="V1946" s="2" t="str">
        <f t="shared" ref="V1946:V2009" si="906">IF(ABS(X1946)=0,"",IF($S1946="NO ALLOC","NO ALLOC",ROUND($S1946*X1946,15)))</f>
        <v/>
      </c>
      <c r="W1946" s="2" t="str">
        <f t="shared" ref="W1946:W2009" si="907">IF(ABS(X1946)=0,"",IF($T1946="NO ALLOC","NO ALLOC",ROUND($T1946*X1946,15)))</f>
        <v/>
      </c>
      <c r="X1946" s="2">
        <f t="shared" si="903"/>
        <v>0</v>
      </c>
      <c r="Y1946" s="2" t="str">
        <f t="shared" ref="Y1946:Y2009" si="908">IF(ABS(AB1946)=0,"",IF($R1946="NO ALLOC","NO ALLOC",ROUND($R1946*AB1946,15)))</f>
        <v/>
      </c>
      <c r="Z1946" s="2" t="str">
        <f t="shared" ref="Z1946:Z2009" si="909">IF(ABS(AB1946)=0,"",IF($S1946="NO ALLOC","NO ALLOC",ROUND($S1946*AB1946,15)))</f>
        <v/>
      </c>
      <c r="AA1946" s="2" t="str">
        <f t="shared" ref="AA1946:AA2009" si="910">IF(ABS(AB1946)=0,"",IF($T1946="NO ALLOC","NO ALLOC",ROUND($T1946*AB1946,15)))</f>
        <v/>
      </c>
      <c r="AB1946" s="2">
        <f t="shared" si="904"/>
        <v>0</v>
      </c>
      <c r="AC1946" s="625">
        <v>0</v>
      </c>
      <c r="AD1946" s="625">
        <v>0</v>
      </c>
      <c r="AE1946" s="625">
        <v>0</v>
      </c>
      <c r="AF1946" s="625">
        <v>0</v>
      </c>
      <c r="AG1946" s="625">
        <v>0</v>
      </c>
      <c r="AH1946" s="625">
        <v>0</v>
      </c>
      <c r="AI1946" s="625">
        <v>0</v>
      </c>
      <c r="AJ1946" s="625">
        <v>0</v>
      </c>
      <c r="AK1946" s="625">
        <v>0</v>
      </c>
      <c r="AL1946" s="625">
        <v>0</v>
      </c>
      <c r="AM1946" s="625">
        <v>0</v>
      </c>
      <c r="AN1946" s="625">
        <v>0</v>
      </c>
      <c r="AO1946" s="625">
        <v>0</v>
      </c>
      <c r="AP1946" s="41" t="str">
        <f t="shared" si="900"/>
        <v>Def TaxN</v>
      </c>
      <c r="AQ1946" s="41" t="str">
        <f t="shared" si="901"/>
        <v>Def TaxNN2Reclass</v>
      </c>
      <c r="AR1946" s="41" t="str">
        <f t="shared" si="902"/>
        <v>N2Reclass</v>
      </c>
    </row>
    <row r="1947" spans="1:44" s="41" customFormat="1" ht="12.75" customHeight="1">
      <c r="A1947" s="25" t="s">
        <v>1590</v>
      </c>
      <c r="B1947" s="25" t="str">
        <f t="shared" si="898"/>
        <v>Def Tax255100BT010109</v>
      </c>
      <c r="C1947" s="736">
        <v>255100</v>
      </c>
      <c r="D1947" s="735"/>
      <c r="E1947" s="41" t="s">
        <v>1934</v>
      </c>
      <c r="F1947" s="41" t="str">
        <f t="shared" si="893"/>
        <v>ACCUMULATED DEF INVEST TAX CREDITS-ELECTRIC</v>
      </c>
      <c r="G1947" s="41" t="s">
        <v>1935</v>
      </c>
      <c r="H1947" s="736" t="s">
        <v>1933</v>
      </c>
      <c r="I1947" s="25"/>
      <c r="J1947" s="25"/>
      <c r="K1947" s="442" t="str">
        <f t="shared" si="892"/>
        <v/>
      </c>
      <c r="L1947" s="736" t="s">
        <v>2445</v>
      </c>
      <c r="M1947" s="25" t="str">
        <f t="shared" ref="M1947:M1948" si="911">LEFT(L1947,1)</f>
        <v>R</v>
      </c>
      <c r="N1947" s="25" t="str">
        <f>IF(L1947&lt;&gt;"",VLOOKUP(L1947,Categories!$B$2:$D$41,2,FALSE),IF(F1947&lt;&gt;"","No Cat",""))</f>
        <v>Rate Base</v>
      </c>
      <c r="O1947" s="25" t="str">
        <f>IF($L1947&lt;&gt;"",VLOOKUP($L1947,Categories!$B$2:$D$41,3,FALSE),IF($F1947&lt;&gt;"","No Cat",""))</f>
        <v>Deferred Investment Tax Credit</v>
      </c>
      <c r="P1947" s="736" t="s">
        <v>2482</v>
      </c>
      <c r="Q1947" s="25" t="str">
        <f>VLOOKUP($P1947,Allocators!$B$7:$F$19,5,FALSE)</f>
        <v>Electric</v>
      </c>
      <c r="R1947" s="737">
        <f>VLOOKUP($P1947,Allocators!$B$7:$F$19,2,FALSE)</f>
        <v>1</v>
      </c>
      <c r="S1947" s="737">
        <f>VLOOKUP($P1947,Allocators!$B$7:$F$19,3,FALSE)</f>
        <v>0</v>
      </c>
      <c r="T1947" s="737" t="str">
        <f t="shared" si="899"/>
        <v>0.0%</v>
      </c>
      <c r="U1947" s="2">
        <f t="shared" si="905"/>
        <v>-133.22398125000001</v>
      </c>
      <c r="V1947" s="2">
        <f t="shared" si="906"/>
        <v>0</v>
      </c>
      <c r="W1947" s="2">
        <f t="shared" si="907"/>
        <v>0</v>
      </c>
      <c r="X1947" s="2">
        <f t="shared" si="903"/>
        <v>-133.22398125000001</v>
      </c>
      <c r="Y1947" s="2" t="str">
        <f t="shared" si="908"/>
        <v/>
      </c>
      <c r="Z1947" s="2" t="str">
        <f t="shared" si="909"/>
        <v/>
      </c>
      <c r="AA1947" s="2" t="str">
        <f t="shared" si="910"/>
        <v/>
      </c>
      <c r="AB1947" s="2">
        <f t="shared" si="904"/>
        <v>0</v>
      </c>
      <c r="AC1947" s="625">
        <v>-354.99345</v>
      </c>
      <c r="AD1947" s="625">
        <v>-315.57678000000004</v>
      </c>
      <c r="AE1947" s="625">
        <v>-276.16012000000001</v>
      </c>
      <c r="AF1947" s="625">
        <v>-236.74345000000002</v>
      </c>
      <c r="AG1947" s="625">
        <v>-197.32677999999999</v>
      </c>
      <c r="AH1947" s="625">
        <v>-157.91012000000001</v>
      </c>
      <c r="AI1947" s="625">
        <v>-118.49345</v>
      </c>
      <c r="AJ1947" s="625">
        <v>-79.076779999999999</v>
      </c>
      <c r="AK1947" s="625">
        <v>-39.660119999999999</v>
      </c>
      <c r="AL1947" s="625">
        <v>-0.24345</v>
      </c>
      <c r="AM1947" s="625">
        <v>0</v>
      </c>
      <c r="AN1947" s="625">
        <v>0</v>
      </c>
      <c r="AO1947" s="625">
        <v>0</v>
      </c>
      <c r="AP1947" s="41" t="str">
        <f t="shared" si="900"/>
        <v>Def TaxR</v>
      </c>
      <c r="AQ1947" s="41" t="str">
        <f t="shared" si="901"/>
        <v>Def TaxRR12ITC</v>
      </c>
      <c r="AR1947" s="41" t="str">
        <f t="shared" si="902"/>
        <v>R12ITC</v>
      </c>
    </row>
    <row r="1948" spans="1:44" s="41" customFormat="1" ht="12.75" customHeight="1">
      <c r="A1948" s="25" t="s">
        <v>1590</v>
      </c>
      <c r="B1948" s="25" t="str">
        <f t="shared" si="898"/>
        <v>Def Tax255200BT010109</v>
      </c>
      <c r="C1948" s="736">
        <v>255200</v>
      </c>
      <c r="D1948" s="735"/>
      <c r="E1948" s="41" t="s">
        <v>1934</v>
      </c>
      <c r="F1948" s="41" t="str">
        <f t="shared" si="893"/>
        <v>ACCUMULATED DEF INVEST TAX CREDITS-GAS</v>
      </c>
      <c r="G1948" s="41" t="s">
        <v>1935</v>
      </c>
      <c r="H1948" s="736" t="s">
        <v>1933</v>
      </c>
      <c r="I1948" s="25"/>
      <c r="J1948" s="25"/>
      <c r="K1948" s="442" t="str">
        <f t="shared" si="892"/>
        <v/>
      </c>
      <c r="L1948" s="736" t="s">
        <v>2445</v>
      </c>
      <c r="M1948" s="25" t="str">
        <f t="shared" si="911"/>
        <v>R</v>
      </c>
      <c r="N1948" s="25" t="str">
        <f>IF(L1948&lt;&gt;"",VLOOKUP(L1948,Categories!$B$2:$D$41,2,FALSE),IF(F1948&lt;&gt;"","No Cat",""))</f>
        <v>Rate Base</v>
      </c>
      <c r="O1948" s="25" t="str">
        <f>IF($L1948&lt;&gt;"",VLOOKUP($L1948,Categories!$B$2:$D$41,3,FALSE),IF($F1948&lt;&gt;"","No Cat",""))</f>
        <v>Deferred Investment Tax Credit</v>
      </c>
      <c r="P1948" s="736" t="s">
        <v>2483</v>
      </c>
      <c r="Q1948" s="25" t="str">
        <f>VLOOKUP($P1948,Allocators!$B$7:$F$19,5,FALSE)</f>
        <v>Gas</v>
      </c>
      <c r="R1948" s="737">
        <f>VLOOKUP($P1948,Allocators!$B$7:$F$19,2,FALSE)</f>
        <v>0</v>
      </c>
      <c r="S1948" s="737">
        <f>VLOOKUP($P1948,Allocators!$B$7:$F$19,3,FALSE)</f>
        <v>1</v>
      </c>
      <c r="T1948" s="737" t="str">
        <f t="shared" si="899"/>
        <v>0.0%</v>
      </c>
      <c r="U1948" s="2">
        <f t="shared" si="905"/>
        <v>0</v>
      </c>
      <c r="V1948" s="2">
        <f t="shared" si="906"/>
        <v>-72.327220416666606</v>
      </c>
      <c r="W1948" s="2">
        <f t="shared" si="907"/>
        <v>0</v>
      </c>
      <c r="X1948" s="2">
        <f t="shared" si="903"/>
        <v>-72.327220416666606</v>
      </c>
      <c r="Y1948" s="2" t="str">
        <f t="shared" si="908"/>
        <v/>
      </c>
      <c r="Z1948" s="2" t="str">
        <f t="shared" si="909"/>
        <v/>
      </c>
      <c r="AA1948" s="2" t="str">
        <f t="shared" si="910"/>
        <v/>
      </c>
      <c r="AB1948" s="2">
        <f t="shared" si="904"/>
        <v>0</v>
      </c>
      <c r="AC1948" s="625">
        <v>-182.54491000000002</v>
      </c>
      <c r="AD1948" s="625">
        <v>-163.29491000000002</v>
      </c>
      <c r="AE1948" s="625">
        <v>-144.04491000000002</v>
      </c>
      <c r="AF1948" s="625">
        <v>-124.79491</v>
      </c>
      <c r="AG1948" s="625">
        <v>-105.54491</v>
      </c>
      <c r="AH1948" s="625">
        <v>-86.294910000000002</v>
      </c>
      <c r="AI1948" s="625">
        <v>-67.044910000000002</v>
      </c>
      <c r="AJ1948" s="625">
        <v>-47.794910000000002</v>
      </c>
      <c r="AK1948" s="625">
        <v>-28.544910000000002</v>
      </c>
      <c r="AL1948" s="625">
        <v>-9.2949099999999998</v>
      </c>
      <c r="AM1948" s="625">
        <v>0</v>
      </c>
      <c r="AN1948" s="625">
        <v>0</v>
      </c>
      <c r="AO1948" s="625">
        <v>0</v>
      </c>
      <c r="AP1948" s="41" t="str">
        <f t="shared" si="900"/>
        <v>Def TaxR</v>
      </c>
      <c r="AQ1948" s="41" t="str">
        <f t="shared" si="901"/>
        <v>Def TaxRR12ITC</v>
      </c>
      <c r="AR1948" s="41" t="str">
        <f t="shared" si="902"/>
        <v>R12ITC</v>
      </c>
    </row>
    <row r="1949" spans="1:44" s="41" customFormat="1" ht="12.75" customHeight="1">
      <c r="A1949" s="442" t="s">
        <v>1590</v>
      </c>
      <c r="B1949" s="442" t="str">
        <f t="shared" si="898"/>
        <v>Def Tax2821610</v>
      </c>
      <c r="C1949" s="736">
        <v>282161</v>
      </c>
      <c r="D1949" s="735">
        <v>0</v>
      </c>
      <c r="E1949" s="626"/>
      <c r="F1949" s="626" t="str">
        <f t="shared" si="893"/>
        <v>ACCUM DEF INC TAX-FAS 109 FEDERAL -OTH PROP - ELE</v>
      </c>
      <c r="G1949" s="626" t="s">
        <v>2059</v>
      </c>
      <c r="H1949" s="736" t="s">
        <v>8</v>
      </c>
      <c r="I1949" s="442"/>
      <c r="J1949" s="442" t="str">
        <f t="shared" si="894"/>
        <v/>
      </c>
      <c r="K1949" s="442" t="str">
        <f t="shared" si="892"/>
        <v>Y</v>
      </c>
      <c r="L1949" s="736" t="s">
        <v>2423</v>
      </c>
      <c r="M1949" s="442" t="str">
        <f t="shared" ref="M1949:M2038" si="912">LEFT(L1949,1)</f>
        <v>N</v>
      </c>
      <c r="N1949" s="442" t="str">
        <f>IF(L1949&lt;&gt;"",VLOOKUP(L1949,Categories!$B$2:$D$41,2,FALSE),IF(F1949&lt;&gt;"","No Cat",""))</f>
        <v>NRBASE</v>
      </c>
      <c r="O1949" s="442" t="str">
        <f>IF($L1949&lt;&gt;"",VLOOKUP($L1949,Categories!$B$2:$D$41,3,FALSE),IF($F1949&lt;&gt;"","No Cat",""))</f>
        <v>SFAS-109   (offsetting)</v>
      </c>
      <c r="P1949" s="736" t="s">
        <v>2468</v>
      </c>
      <c r="Q1949" s="442" t="str">
        <f>VLOOKUP($P1949,Allocators!$B$7:$F$19,5,FALSE)</f>
        <v>Not in Rate Base</v>
      </c>
      <c r="R1949" s="737">
        <f>VLOOKUP($P1949,Allocators!$B$7:$F$19,2,FALSE)</f>
        <v>0</v>
      </c>
      <c r="S1949" s="737">
        <f>VLOOKUP($P1949,Allocators!$B$7:$F$19,3,FALSE)</f>
        <v>0</v>
      </c>
      <c r="T1949" s="737">
        <f t="shared" si="899"/>
        <v>1</v>
      </c>
      <c r="U1949" s="2">
        <f t="shared" si="905"/>
        <v>0</v>
      </c>
      <c r="V1949" s="2">
        <f t="shared" si="906"/>
        <v>0</v>
      </c>
      <c r="W1949" s="2">
        <f t="shared" si="907"/>
        <v>-50106.7648904167</v>
      </c>
      <c r="X1949" s="2">
        <f t="shared" si="903"/>
        <v>-50106.7648904167</v>
      </c>
      <c r="Y1949" s="2">
        <f t="shared" si="908"/>
        <v>0</v>
      </c>
      <c r="Z1949" s="2">
        <f t="shared" si="909"/>
        <v>0</v>
      </c>
      <c r="AA1949" s="2">
        <f t="shared" si="910"/>
        <v>-48366.170259999999</v>
      </c>
      <c r="AB1949" s="2">
        <f t="shared" si="904"/>
        <v>-48366.170259999999</v>
      </c>
      <c r="AC1949" s="625">
        <v>-48447.09633</v>
      </c>
      <c r="AD1949" s="625">
        <v>-48998.035229999994</v>
      </c>
      <c r="AE1949" s="625">
        <v>-49410.05315</v>
      </c>
      <c r="AF1949" s="625">
        <v>-49880.990939999996</v>
      </c>
      <c r="AG1949" s="625">
        <v>-49063.617640000004</v>
      </c>
      <c r="AH1949" s="625">
        <v>-50231.767930000002</v>
      </c>
      <c r="AI1949" s="625">
        <v>-50468.598829999995</v>
      </c>
      <c r="AJ1949" s="625">
        <v>-51894.827799999999</v>
      </c>
      <c r="AK1949" s="625">
        <v>-51661.897369999999</v>
      </c>
      <c r="AL1949" s="625">
        <v>-52046.584569999999</v>
      </c>
      <c r="AM1949" s="625">
        <v>-51627.967250000002</v>
      </c>
      <c r="AN1949" s="625">
        <v>-47590.204680000003</v>
      </c>
      <c r="AO1949" s="625">
        <v>-48366.170259999999</v>
      </c>
      <c r="AP1949" s="41" t="str">
        <f t="shared" si="900"/>
        <v>Def TaxN</v>
      </c>
      <c r="AQ1949" s="41" t="str">
        <f t="shared" si="901"/>
        <v>Def TaxNN3SFAS 109</v>
      </c>
      <c r="AR1949" s="41" t="str">
        <f t="shared" si="902"/>
        <v>N3SFAS 109</v>
      </c>
    </row>
    <row r="1950" spans="1:44" s="41" customFormat="1" ht="12.75" customHeight="1">
      <c r="A1950" s="442" t="s">
        <v>1590</v>
      </c>
      <c r="B1950" s="442" t="str">
        <f t="shared" si="898"/>
        <v>Def Tax2821620</v>
      </c>
      <c r="C1950" s="736">
        <v>282162</v>
      </c>
      <c r="D1950" s="735">
        <v>0</v>
      </c>
      <c r="E1950" s="626"/>
      <c r="F1950" s="626" t="str">
        <f t="shared" si="893"/>
        <v>ACCUM DEF INC TAX-FAS 109 FEDERAL - OTH PROP - GA</v>
      </c>
      <c r="G1950" s="626" t="s">
        <v>2059</v>
      </c>
      <c r="H1950" s="736" t="s">
        <v>8</v>
      </c>
      <c r="I1950" s="442"/>
      <c r="J1950" s="442" t="str">
        <f t="shared" si="894"/>
        <v/>
      </c>
      <c r="K1950" s="442" t="str">
        <f t="shared" si="892"/>
        <v>Y</v>
      </c>
      <c r="L1950" s="736" t="s">
        <v>2423</v>
      </c>
      <c r="M1950" s="442" t="str">
        <f t="shared" si="912"/>
        <v>N</v>
      </c>
      <c r="N1950" s="442" t="str">
        <f>IF(L1950&lt;&gt;"",VLOOKUP(L1950,Categories!$B$2:$D$41,2,FALSE),IF(F1950&lt;&gt;"","No Cat",""))</f>
        <v>NRBASE</v>
      </c>
      <c r="O1950" s="442" t="str">
        <f>IF($L1950&lt;&gt;"",VLOOKUP($L1950,Categories!$B$2:$D$41,3,FALSE),IF($F1950&lt;&gt;"","No Cat",""))</f>
        <v>SFAS-109   (offsetting)</v>
      </c>
      <c r="P1950" s="736" t="s">
        <v>2468</v>
      </c>
      <c r="Q1950" s="442" t="str">
        <f>VLOOKUP($P1950,Allocators!$B$7:$F$19,5,FALSE)</f>
        <v>Not in Rate Base</v>
      </c>
      <c r="R1950" s="737">
        <f>VLOOKUP($P1950,Allocators!$B$7:$F$19,2,FALSE)</f>
        <v>0</v>
      </c>
      <c r="S1950" s="737">
        <f>VLOOKUP($P1950,Allocators!$B$7:$F$19,3,FALSE)</f>
        <v>0</v>
      </c>
      <c r="T1950" s="737">
        <f t="shared" si="899"/>
        <v>1</v>
      </c>
      <c r="U1950" s="2">
        <f t="shared" si="905"/>
        <v>0</v>
      </c>
      <c r="V1950" s="2">
        <f t="shared" si="906"/>
        <v>0</v>
      </c>
      <c r="W1950" s="2">
        <f t="shared" si="907"/>
        <v>-13691.913817083299</v>
      </c>
      <c r="X1950" s="2">
        <f t="shared" si="903"/>
        <v>-13691.913817083299</v>
      </c>
      <c r="Y1950" s="2">
        <f t="shared" si="908"/>
        <v>0</v>
      </c>
      <c r="Z1950" s="2">
        <f t="shared" si="909"/>
        <v>0</v>
      </c>
      <c r="AA1950" s="2">
        <f t="shared" si="910"/>
        <v>-12391.88133</v>
      </c>
      <c r="AB1950" s="2">
        <f t="shared" si="904"/>
        <v>-12391.88133</v>
      </c>
      <c r="AC1950" s="625">
        <v>-15001.84484</v>
      </c>
      <c r="AD1950" s="625">
        <v>-14766.061089999999</v>
      </c>
      <c r="AE1950" s="625">
        <v>-14519.98623</v>
      </c>
      <c r="AF1950" s="625">
        <v>-14296.148050000002</v>
      </c>
      <c r="AG1950" s="625">
        <v>-13644.389880000001</v>
      </c>
      <c r="AH1950" s="625">
        <v>-14064.02368</v>
      </c>
      <c r="AI1950" s="625">
        <v>-13870.065399999999</v>
      </c>
      <c r="AJ1950" s="625">
        <v>-13677.63645</v>
      </c>
      <c r="AK1950" s="625">
        <v>-13498.422480000001</v>
      </c>
      <c r="AL1950" s="625">
        <v>-13325.020990000001</v>
      </c>
      <c r="AM1950" s="625">
        <v>-12605.275529999999</v>
      </c>
      <c r="AN1950" s="625">
        <v>-12339.07294</v>
      </c>
      <c r="AO1950" s="625">
        <v>-12391.88133</v>
      </c>
      <c r="AP1950" s="41" t="str">
        <f t="shared" si="900"/>
        <v>Def TaxN</v>
      </c>
      <c r="AQ1950" s="41" t="str">
        <f t="shared" si="901"/>
        <v>Def TaxNN3SFAS 109</v>
      </c>
      <c r="AR1950" s="41" t="str">
        <f t="shared" si="902"/>
        <v>N3SFAS 109</v>
      </c>
    </row>
    <row r="1951" spans="1:44" s="41" customFormat="1" ht="12.75" customHeight="1">
      <c r="A1951" s="442" t="s">
        <v>1590</v>
      </c>
      <c r="B1951" s="442" t="str">
        <f t="shared" si="898"/>
        <v>Def Tax2821710</v>
      </c>
      <c r="C1951" s="736">
        <v>282171</v>
      </c>
      <c r="D1951" s="735">
        <v>0</v>
      </c>
      <c r="E1951" s="626"/>
      <c r="F1951" s="626" t="str">
        <f t="shared" si="893"/>
        <v>ACCUM DEF INC TAX-FAS 109 STATE -OTH PROP - ELEC</v>
      </c>
      <c r="G1951" s="626" t="s">
        <v>2059</v>
      </c>
      <c r="H1951" s="736" t="s">
        <v>8</v>
      </c>
      <c r="I1951" s="442"/>
      <c r="J1951" s="442" t="str">
        <f t="shared" si="894"/>
        <v/>
      </c>
      <c r="K1951" s="442" t="str">
        <f t="shared" si="892"/>
        <v>Y</v>
      </c>
      <c r="L1951" s="736" t="s">
        <v>2423</v>
      </c>
      <c r="M1951" s="442" t="str">
        <f t="shared" si="912"/>
        <v>N</v>
      </c>
      <c r="N1951" s="442" t="str">
        <f>IF(L1951&lt;&gt;"",VLOOKUP(L1951,Categories!$B$2:$D$41,2,FALSE),IF(F1951&lt;&gt;"","No Cat",""))</f>
        <v>NRBASE</v>
      </c>
      <c r="O1951" s="442" t="str">
        <f>IF($L1951&lt;&gt;"",VLOOKUP($L1951,Categories!$B$2:$D$41,3,FALSE),IF($F1951&lt;&gt;"","No Cat",""))</f>
        <v>SFAS-109   (offsetting)</v>
      </c>
      <c r="P1951" s="736" t="s">
        <v>2468</v>
      </c>
      <c r="Q1951" s="442" t="str">
        <f>VLOOKUP($P1951,Allocators!$B$7:$F$19,5,FALSE)</f>
        <v>Not in Rate Base</v>
      </c>
      <c r="R1951" s="737">
        <f>VLOOKUP($P1951,Allocators!$B$7:$F$19,2,FALSE)</f>
        <v>0</v>
      </c>
      <c r="S1951" s="737">
        <f>VLOOKUP($P1951,Allocators!$B$7:$F$19,3,FALSE)</f>
        <v>0</v>
      </c>
      <c r="T1951" s="737">
        <f t="shared" si="899"/>
        <v>1</v>
      </c>
      <c r="U1951" s="2">
        <f t="shared" si="905"/>
        <v>0</v>
      </c>
      <c r="V1951" s="2">
        <f t="shared" si="906"/>
        <v>0</v>
      </c>
      <c r="W1951" s="2">
        <f t="shared" si="907"/>
        <v>-14733.325489999999</v>
      </c>
      <c r="X1951" s="2">
        <f t="shared" si="903"/>
        <v>-14733.325489999999</v>
      </c>
      <c r="Y1951" s="2">
        <f t="shared" si="908"/>
        <v>0</v>
      </c>
      <c r="Z1951" s="2">
        <f t="shared" si="909"/>
        <v>0</v>
      </c>
      <c r="AA1951" s="2">
        <f t="shared" si="910"/>
        <v>-14855.9107</v>
      </c>
      <c r="AB1951" s="2">
        <f t="shared" si="904"/>
        <v>-14855.910699999999</v>
      </c>
      <c r="AC1951" s="625">
        <v>-13833.407380000001</v>
      </c>
      <c r="AD1951" s="625">
        <v>-14447.384169999999</v>
      </c>
      <c r="AE1951" s="625">
        <v>-15031.666070000001</v>
      </c>
      <c r="AF1951" s="625">
        <v>-15628.47939</v>
      </c>
      <c r="AG1951" s="625">
        <v>-16197.409099999999</v>
      </c>
      <c r="AH1951" s="625">
        <v>-14155.904930000001</v>
      </c>
      <c r="AI1951" s="625">
        <v>-14199.14976</v>
      </c>
      <c r="AJ1951" s="625">
        <v>-14506.95239</v>
      </c>
      <c r="AK1951" s="625">
        <v>-14445.76935</v>
      </c>
      <c r="AL1951" s="625">
        <v>-14525.63118</v>
      </c>
      <c r="AM1951" s="625">
        <v>-14616.331</v>
      </c>
      <c r="AN1951" s="625">
        <v>-14700.5695</v>
      </c>
      <c r="AO1951" s="625">
        <v>-14855.910699999999</v>
      </c>
      <c r="AP1951" s="41" t="str">
        <f t="shared" si="900"/>
        <v>Def TaxN</v>
      </c>
      <c r="AQ1951" s="41" t="str">
        <f t="shared" si="901"/>
        <v>Def TaxNN3SFAS 109</v>
      </c>
      <c r="AR1951" s="41" t="str">
        <f t="shared" si="902"/>
        <v>N3SFAS 109</v>
      </c>
    </row>
    <row r="1952" spans="1:44" s="41" customFormat="1" ht="12.75" customHeight="1">
      <c r="A1952" s="442" t="s">
        <v>1590</v>
      </c>
      <c r="B1952" s="442" t="str">
        <f t="shared" si="898"/>
        <v>Def Tax2821720</v>
      </c>
      <c r="C1952" s="736">
        <v>282172</v>
      </c>
      <c r="D1952" s="735">
        <v>0</v>
      </c>
      <c r="E1952" s="626"/>
      <c r="F1952" s="626" t="str">
        <f t="shared" si="893"/>
        <v>ACCUM DEF INC TAX - FAS 109 STATE - OTH PROP - GA</v>
      </c>
      <c r="G1952" s="626" t="s">
        <v>2059</v>
      </c>
      <c r="H1952" s="736" t="s">
        <v>8</v>
      </c>
      <c r="I1952" s="442"/>
      <c r="J1952" s="442" t="str">
        <f t="shared" si="894"/>
        <v/>
      </c>
      <c r="K1952" s="442" t="str">
        <f t="shared" si="892"/>
        <v>Y</v>
      </c>
      <c r="L1952" s="736" t="s">
        <v>2423</v>
      </c>
      <c r="M1952" s="442" t="str">
        <f t="shared" si="912"/>
        <v>N</v>
      </c>
      <c r="N1952" s="442" t="str">
        <f>IF(L1952&lt;&gt;"",VLOOKUP(L1952,Categories!$B$2:$D$41,2,FALSE),IF(F1952&lt;&gt;"","No Cat",""))</f>
        <v>NRBASE</v>
      </c>
      <c r="O1952" s="442" t="str">
        <f>IF($L1952&lt;&gt;"",VLOOKUP($L1952,Categories!$B$2:$D$41,3,FALSE),IF($F1952&lt;&gt;"","No Cat",""))</f>
        <v>SFAS-109   (offsetting)</v>
      </c>
      <c r="P1952" s="736" t="s">
        <v>2468</v>
      </c>
      <c r="Q1952" s="442" t="str">
        <f>VLOOKUP($P1952,Allocators!$B$7:$F$19,5,FALSE)</f>
        <v>Not in Rate Base</v>
      </c>
      <c r="R1952" s="737">
        <f>VLOOKUP($P1952,Allocators!$B$7:$F$19,2,FALSE)</f>
        <v>0</v>
      </c>
      <c r="S1952" s="737">
        <f>VLOOKUP($P1952,Allocators!$B$7:$F$19,3,FALSE)</f>
        <v>0</v>
      </c>
      <c r="T1952" s="737">
        <f t="shared" si="899"/>
        <v>1</v>
      </c>
      <c r="U1952" s="2">
        <f t="shared" si="905"/>
        <v>0</v>
      </c>
      <c r="V1952" s="2">
        <f t="shared" si="906"/>
        <v>0</v>
      </c>
      <c r="W1952" s="2">
        <f t="shared" si="907"/>
        <v>-6238.6826320833297</v>
      </c>
      <c r="X1952" s="2">
        <f t="shared" si="903"/>
        <v>-6238.6826320833297</v>
      </c>
      <c r="Y1952" s="2">
        <f t="shared" si="908"/>
        <v>0</v>
      </c>
      <c r="Z1952" s="2">
        <f t="shared" si="909"/>
        <v>0</v>
      </c>
      <c r="AA1952" s="2">
        <f t="shared" si="910"/>
        <v>-5851.0715700000001</v>
      </c>
      <c r="AB1952" s="2">
        <f t="shared" si="904"/>
        <v>-5851.0715700000001</v>
      </c>
      <c r="AC1952" s="625">
        <v>-6324.0503200000003</v>
      </c>
      <c r="AD1952" s="625">
        <v>-6469.1868199999999</v>
      </c>
      <c r="AE1952" s="625">
        <v>-6612.2670199999993</v>
      </c>
      <c r="AF1952" s="625">
        <v>-6759.9449100000002</v>
      </c>
      <c r="AG1952" s="625">
        <v>-6959.95795</v>
      </c>
      <c r="AH1952" s="625">
        <v>-6112.0203000000001</v>
      </c>
      <c r="AI1952" s="625">
        <v>-6070.7727800000002</v>
      </c>
      <c r="AJ1952" s="625">
        <v>-6032.8670099999999</v>
      </c>
      <c r="AK1952" s="625">
        <v>-5994.4525599999997</v>
      </c>
      <c r="AL1952" s="625">
        <v>-5959.4491200000002</v>
      </c>
      <c r="AM1952" s="625">
        <v>-5923.2924299999995</v>
      </c>
      <c r="AN1952" s="625">
        <v>-5882.4197400000003</v>
      </c>
      <c r="AO1952" s="625">
        <v>-5851.0715700000001</v>
      </c>
      <c r="AP1952" s="41" t="str">
        <f t="shared" si="900"/>
        <v>Def TaxN</v>
      </c>
      <c r="AQ1952" s="41" t="str">
        <f t="shared" si="901"/>
        <v>Def TaxNN3SFAS 109</v>
      </c>
      <c r="AR1952" s="41" t="str">
        <f t="shared" si="902"/>
        <v>N3SFAS 109</v>
      </c>
    </row>
    <row r="1953" spans="1:44" s="41" customFormat="1" ht="12.75" customHeight="1">
      <c r="A1953" s="25" t="s">
        <v>1590</v>
      </c>
      <c r="B1953" s="25" t="str">
        <f t="shared" si="898"/>
        <v>Def Tax282200282-001</v>
      </c>
      <c r="C1953" s="736">
        <v>282200</v>
      </c>
      <c r="D1953" s="735" t="s">
        <v>2060</v>
      </c>
      <c r="F1953" s="41" t="str">
        <f t="shared" si="893"/>
        <v>ACCUM DEF INC TAX-OTH PROP-FEDERAL-ELECTRIC</v>
      </c>
      <c r="G1953" s="41" t="s">
        <v>2061</v>
      </c>
      <c r="H1953" s="736" t="s">
        <v>1139</v>
      </c>
      <c r="I1953" s="25"/>
      <c r="J1953" s="25" t="str">
        <f t="shared" si="894"/>
        <v/>
      </c>
      <c r="K1953" s="442" t="str">
        <f t="shared" si="892"/>
        <v/>
      </c>
      <c r="L1953" s="736" t="s">
        <v>2443</v>
      </c>
      <c r="M1953" s="25" t="str">
        <f t="shared" si="912"/>
        <v>R</v>
      </c>
      <c r="N1953" s="25" t="str">
        <f>IF(L1953&lt;&gt;"",VLOOKUP(L1953,Categories!$B$2:$D$41,2,FALSE),IF(F1953&lt;&gt;"","No Cat",""))</f>
        <v>Rate Base</v>
      </c>
      <c r="O1953" s="25" t="str">
        <f>IF($L1953&lt;&gt;"",VLOOKUP($L1953,Categories!$B$2:$D$41,3,FALSE),IF($F1953&lt;&gt;"","No Cat",""))</f>
        <v>Deferred Income Taxes</v>
      </c>
      <c r="P1953" s="736" t="s">
        <v>2482</v>
      </c>
      <c r="Q1953" s="25" t="str">
        <f>VLOOKUP($P1953,Allocators!$B$7:$F$19,5,FALSE)</f>
        <v>Electric</v>
      </c>
      <c r="R1953" s="737">
        <f>VLOOKUP($P1953,Allocators!$B$7:$F$19,2,FALSE)</f>
        <v>1</v>
      </c>
      <c r="S1953" s="737">
        <f>VLOOKUP($P1953,Allocators!$B$7:$F$19,3,FALSE)</f>
        <v>0</v>
      </c>
      <c r="T1953" s="737" t="str">
        <f t="shared" si="899"/>
        <v>0.0%</v>
      </c>
      <c r="U1953" s="2" t="str">
        <f t="shared" si="905"/>
        <v/>
      </c>
      <c r="V1953" s="2" t="str">
        <f t="shared" si="906"/>
        <v/>
      </c>
      <c r="W1953" s="2" t="str">
        <f t="shared" si="907"/>
        <v/>
      </c>
      <c r="X1953" s="2">
        <f t="shared" si="903"/>
        <v>0</v>
      </c>
      <c r="Y1953" s="2" t="str">
        <f t="shared" si="908"/>
        <v/>
      </c>
      <c r="Z1953" s="2" t="str">
        <f t="shared" si="909"/>
        <v/>
      </c>
      <c r="AA1953" s="2" t="str">
        <f t="shared" si="910"/>
        <v/>
      </c>
      <c r="AB1953" s="2">
        <f t="shared" si="904"/>
        <v>0</v>
      </c>
      <c r="AC1953" s="625">
        <v>0</v>
      </c>
      <c r="AD1953" s="625">
        <v>0</v>
      </c>
      <c r="AE1953" s="625">
        <v>0</v>
      </c>
      <c r="AF1953" s="625">
        <v>0</v>
      </c>
      <c r="AG1953" s="625">
        <v>0</v>
      </c>
      <c r="AH1953" s="625">
        <v>0</v>
      </c>
      <c r="AI1953" s="625">
        <v>0</v>
      </c>
      <c r="AJ1953" s="625">
        <v>0</v>
      </c>
      <c r="AK1953" s="625">
        <v>0</v>
      </c>
      <c r="AL1953" s="625">
        <v>0</v>
      </c>
      <c r="AM1953" s="625">
        <v>0</v>
      </c>
      <c r="AN1953" s="625">
        <v>0</v>
      </c>
      <c r="AO1953" s="625">
        <v>0</v>
      </c>
      <c r="AP1953" s="41" t="str">
        <f t="shared" si="900"/>
        <v>Def TaxR</v>
      </c>
      <c r="AQ1953" s="41" t="str">
        <f t="shared" si="901"/>
        <v>Def TaxRR11Oswego</v>
      </c>
      <c r="AR1953" s="41" t="str">
        <f t="shared" si="902"/>
        <v>R11Oswego</v>
      </c>
    </row>
    <row r="1954" spans="1:44" s="41" customFormat="1" ht="12.75" customHeight="1">
      <c r="A1954" s="25" t="s">
        <v>1590</v>
      </c>
      <c r="B1954" s="25" t="str">
        <f t="shared" si="898"/>
        <v>Def Tax282200282-001/282-002/282-003/282-011/
282-013/
282-014/
282-015BT010229</v>
      </c>
      <c r="C1954" s="736">
        <v>282200</v>
      </c>
      <c r="D1954" s="735" t="s">
        <v>2062</v>
      </c>
      <c r="E1954" s="41" t="s">
        <v>2063</v>
      </c>
      <c r="F1954" s="41" t="str">
        <f t="shared" si="893"/>
        <v>ACCUM DEF INC TAX-OTH PROP-FEDERAL-ELECTRIC</v>
      </c>
      <c r="G1954" s="41" t="s">
        <v>2064</v>
      </c>
      <c r="H1954" s="736" t="s">
        <v>2065</v>
      </c>
      <c r="I1954" s="25"/>
      <c r="J1954" s="25" t="str">
        <f t="shared" si="894"/>
        <v/>
      </c>
      <c r="K1954" s="442" t="str">
        <f t="shared" si="892"/>
        <v/>
      </c>
      <c r="L1954" s="736" t="s">
        <v>2443</v>
      </c>
      <c r="M1954" s="25" t="str">
        <f t="shared" si="912"/>
        <v>R</v>
      </c>
      <c r="N1954" s="25" t="str">
        <f>IF(L1954&lt;&gt;"",VLOOKUP(L1954,Categories!$B$2:$D$41,2,FALSE),IF(F1954&lt;&gt;"","No Cat",""))</f>
        <v>Rate Base</v>
      </c>
      <c r="O1954" s="25" t="str">
        <f>IF($L1954&lt;&gt;"",VLOOKUP($L1954,Categories!$B$2:$D$41,3,FALSE),IF($F1954&lt;&gt;"","No Cat",""))</f>
        <v>Deferred Income Taxes</v>
      </c>
      <c r="P1954" s="736" t="s">
        <v>2482</v>
      </c>
      <c r="Q1954" s="25" t="str">
        <f>VLOOKUP($P1954,Allocators!$B$7:$F$19,5,FALSE)</f>
        <v>Electric</v>
      </c>
      <c r="R1954" s="737">
        <f>VLOOKUP($P1954,Allocators!$B$7:$F$19,2,FALSE)</f>
        <v>1</v>
      </c>
      <c r="S1954" s="737">
        <f>VLOOKUP($P1954,Allocators!$B$7:$F$19,3,FALSE)</f>
        <v>0</v>
      </c>
      <c r="T1954" s="737" t="str">
        <f t="shared" si="899"/>
        <v>0.0%</v>
      </c>
      <c r="U1954" s="2">
        <f t="shared" si="905"/>
        <v>-238623.81424874999</v>
      </c>
      <c r="V1954" s="2">
        <f t="shared" si="906"/>
        <v>0</v>
      </c>
      <c r="W1954" s="2">
        <f t="shared" si="907"/>
        <v>0</v>
      </c>
      <c r="X1954" s="2">
        <f t="shared" si="903"/>
        <v>-238623.81424874999</v>
      </c>
      <c r="Y1954" s="2">
        <f t="shared" si="908"/>
        <v>-250116.71225000001</v>
      </c>
      <c r="Z1954" s="2">
        <f t="shared" si="909"/>
        <v>0</v>
      </c>
      <c r="AA1954" s="2">
        <f t="shared" si="910"/>
        <v>0</v>
      </c>
      <c r="AB1954" s="2">
        <f t="shared" si="904"/>
        <v>-250116.71225000001</v>
      </c>
      <c r="AC1954" s="625">
        <v>-232881.09164</v>
      </c>
      <c r="AD1954" s="625">
        <v>-234935.80806000001</v>
      </c>
      <c r="AE1954" s="625">
        <v>-236990.52447</v>
      </c>
      <c r="AF1954" s="625">
        <v>-239045.24088999999</v>
      </c>
      <c r="AG1954" s="625">
        <v>-236232.67397</v>
      </c>
      <c r="AH1954" s="625">
        <v>-235918.33140999998</v>
      </c>
      <c r="AI1954" s="625">
        <v>-236525.77936000002</v>
      </c>
      <c r="AJ1954" s="625">
        <v>-237133.22732000001</v>
      </c>
      <c r="AK1954" s="625">
        <v>-237737.89263999998</v>
      </c>
      <c r="AL1954" s="625">
        <v>-237550.44151</v>
      </c>
      <c r="AM1954" s="625">
        <v>-244345.52563999998</v>
      </c>
      <c r="AN1954" s="625">
        <v>-245571.42377000002</v>
      </c>
      <c r="AO1954" s="625">
        <v>-250116.71225000001</v>
      </c>
      <c r="AP1954" s="41" t="str">
        <f t="shared" si="900"/>
        <v>Def TaxR</v>
      </c>
      <c r="AQ1954" s="41" t="str">
        <f t="shared" si="901"/>
        <v>Def TaxRR11Accelerated Depreciation</v>
      </c>
      <c r="AR1954" s="41" t="str">
        <f t="shared" si="902"/>
        <v>R11Accelerated Depreciation</v>
      </c>
    </row>
    <row r="1955" spans="1:44" s="41" customFormat="1" ht="12.75" customHeight="1">
      <c r="A1955" s="25" t="s">
        <v>1590</v>
      </c>
      <c r="B1955" s="25" t="str">
        <f t="shared" si="898"/>
        <v>Def Tax282200282-002-S/
282-013-S/
282-014-S/
282-015-SBT010229</v>
      </c>
      <c r="C1955" s="736">
        <v>282200</v>
      </c>
      <c r="D1955" s="735" t="s">
        <v>2066</v>
      </c>
      <c r="E1955" s="41" t="s">
        <v>2063</v>
      </c>
      <c r="F1955" s="41" t="str">
        <f t="shared" si="893"/>
        <v>ACCUM DEF INC TAX-OTH PROP-FEDERAL-ELECTRIC</v>
      </c>
      <c r="G1955" s="41" t="s">
        <v>2067</v>
      </c>
      <c r="H1955" s="736" t="s">
        <v>2065</v>
      </c>
      <c r="I1955" s="25"/>
      <c r="J1955" s="25" t="str">
        <f t="shared" si="894"/>
        <v/>
      </c>
      <c r="K1955" s="442" t="str">
        <f t="shared" si="892"/>
        <v/>
      </c>
      <c r="L1955" s="736" t="s">
        <v>2443</v>
      </c>
      <c r="M1955" s="25" t="str">
        <f t="shared" si="912"/>
        <v>R</v>
      </c>
      <c r="N1955" s="25" t="str">
        <f>IF(L1955&lt;&gt;"",VLOOKUP(L1955,Categories!$B$2:$D$41,2,FALSE),IF(F1955&lt;&gt;"","No Cat",""))</f>
        <v>Rate Base</v>
      </c>
      <c r="O1955" s="25" t="str">
        <f>IF($L1955&lt;&gt;"",VLOOKUP($L1955,Categories!$B$2:$D$41,3,FALSE),IF($F1955&lt;&gt;"","No Cat",""))</f>
        <v>Deferred Income Taxes</v>
      </c>
      <c r="P1955" s="736" t="s">
        <v>2482</v>
      </c>
      <c r="Q1955" s="25" t="str">
        <f>VLOOKUP($P1955,Allocators!$B$7:$F$19,5,FALSE)</f>
        <v>Electric</v>
      </c>
      <c r="R1955" s="737">
        <f>VLOOKUP($P1955,Allocators!$B$7:$F$19,2,FALSE)</f>
        <v>1</v>
      </c>
      <c r="S1955" s="737">
        <f>VLOOKUP($P1955,Allocators!$B$7:$F$19,3,FALSE)</f>
        <v>0</v>
      </c>
      <c r="T1955" s="737" t="str">
        <f t="shared" si="899"/>
        <v>0.0%</v>
      </c>
      <c r="U1955" s="2" t="str">
        <f t="shared" si="905"/>
        <v/>
      </c>
      <c r="V1955" s="2" t="str">
        <f t="shared" si="906"/>
        <v/>
      </c>
      <c r="W1955" s="2" t="str">
        <f t="shared" si="907"/>
        <v/>
      </c>
      <c r="X1955" s="2">
        <f t="shared" si="903"/>
        <v>0</v>
      </c>
      <c r="Y1955" s="2" t="str">
        <f t="shared" si="908"/>
        <v/>
      </c>
      <c r="Z1955" s="2" t="str">
        <f t="shared" si="909"/>
        <v/>
      </c>
      <c r="AA1955" s="2" t="str">
        <f t="shared" si="910"/>
        <v/>
      </c>
      <c r="AB1955" s="2">
        <f t="shared" si="904"/>
        <v>0</v>
      </c>
      <c r="AC1955" s="625">
        <v>0</v>
      </c>
      <c r="AD1955" s="625">
        <v>0</v>
      </c>
      <c r="AE1955" s="625">
        <v>0</v>
      </c>
      <c r="AF1955" s="625">
        <v>0</v>
      </c>
      <c r="AG1955" s="625">
        <v>0</v>
      </c>
      <c r="AH1955" s="625">
        <v>0</v>
      </c>
      <c r="AI1955" s="625">
        <v>0</v>
      </c>
      <c r="AJ1955" s="625">
        <v>0</v>
      </c>
      <c r="AK1955" s="625">
        <v>0</v>
      </c>
      <c r="AL1955" s="625">
        <v>0</v>
      </c>
      <c r="AM1955" s="625">
        <v>0</v>
      </c>
      <c r="AN1955" s="625">
        <v>0</v>
      </c>
      <c r="AO1955" s="625">
        <v>0</v>
      </c>
      <c r="AP1955" s="41" t="str">
        <f t="shared" si="900"/>
        <v>Def TaxR</v>
      </c>
      <c r="AQ1955" s="41" t="str">
        <f t="shared" si="901"/>
        <v>Def TaxRR11Accelerated Depreciation</v>
      </c>
      <c r="AR1955" s="41" t="str">
        <f t="shared" si="902"/>
        <v>R11Accelerated Depreciation</v>
      </c>
    </row>
    <row r="1956" spans="1:44" s="41" customFormat="1" ht="12.75" customHeight="1">
      <c r="A1956" s="25" t="s">
        <v>1590</v>
      </c>
      <c r="B1956" s="25" t="str">
        <f t="shared" si="898"/>
        <v>Def Tax282200282-002-SBT010020</v>
      </c>
      <c r="C1956" s="736">
        <v>282200</v>
      </c>
      <c r="D1956" s="735" t="s">
        <v>2068</v>
      </c>
      <c r="E1956" s="41" t="s">
        <v>2069</v>
      </c>
      <c r="F1956" s="41" t="str">
        <f t="shared" si="893"/>
        <v>ACCUM DEF INC TAX-OTH PROP-FEDERAL-ELECTRIC</v>
      </c>
      <c r="G1956" s="41" t="s">
        <v>2070</v>
      </c>
      <c r="H1956" s="736" t="s">
        <v>2065</v>
      </c>
      <c r="I1956" s="25"/>
      <c r="J1956" s="25" t="str">
        <f t="shared" si="894"/>
        <v/>
      </c>
      <c r="K1956" s="442" t="str">
        <f t="shared" si="892"/>
        <v/>
      </c>
      <c r="L1956" s="736" t="s">
        <v>2443</v>
      </c>
      <c r="M1956" s="25" t="str">
        <f t="shared" si="912"/>
        <v>R</v>
      </c>
      <c r="N1956" s="25" t="str">
        <f>IF(L1956&lt;&gt;"",VLOOKUP(L1956,Categories!$B$2:$D$41,2,FALSE),IF(F1956&lt;&gt;"","No Cat",""))</f>
        <v>Rate Base</v>
      </c>
      <c r="O1956" s="25" t="str">
        <f>IF($L1956&lt;&gt;"",VLOOKUP($L1956,Categories!$B$2:$D$41,3,FALSE),IF($F1956&lt;&gt;"","No Cat",""))</f>
        <v>Deferred Income Taxes</v>
      </c>
      <c r="P1956" s="736" t="s">
        <v>2482</v>
      </c>
      <c r="Q1956" s="25" t="str">
        <f>VLOOKUP($P1956,Allocators!$B$7:$F$19,5,FALSE)</f>
        <v>Electric</v>
      </c>
      <c r="R1956" s="737">
        <f>VLOOKUP($P1956,Allocators!$B$7:$F$19,2,FALSE)</f>
        <v>1</v>
      </c>
      <c r="S1956" s="737">
        <f>VLOOKUP($P1956,Allocators!$B$7:$F$19,3,FALSE)</f>
        <v>0</v>
      </c>
      <c r="T1956" s="737" t="str">
        <f t="shared" si="899"/>
        <v>0.0%</v>
      </c>
      <c r="U1956" s="2">
        <f t="shared" si="905"/>
        <v>-6705.5674716666699</v>
      </c>
      <c r="V1956" s="2">
        <f t="shared" si="906"/>
        <v>0</v>
      </c>
      <c r="W1956" s="2">
        <f t="shared" si="907"/>
        <v>0</v>
      </c>
      <c r="X1956" s="2">
        <f t="shared" si="903"/>
        <v>-6705.5674716666699</v>
      </c>
      <c r="Y1956" s="2">
        <f t="shared" si="908"/>
        <v>-7161.4932699999999</v>
      </c>
      <c r="Z1956" s="2">
        <f t="shared" si="909"/>
        <v>0</v>
      </c>
      <c r="AA1956" s="2">
        <f t="shared" si="910"/>
        <v>0</v>
      </c>
      <c r="AB1956" s="2">
        <f t="shared" si="904"/>
        <v>-7161.4932699999999</v>
      </c>
      <c r="AC1956" s="625">
        <v>-6277.7636500000008</v>
      </c>
      <c r="AD1956" s="625">
        <v>-6366.2176100000006</v>
      </c>
      <c r="AE1956" s="625">
        <v>-6454.4892800000007</v>
      </c>
      <c r="AF1956" s="625">
        <v>-6542.8474200000001</v>
      </c>
      <c r="AG1956" s="625">
        <v>-6632.1006600000001</v>
      </c>
      <c r="AH1956" s="625">
        <v>-6721.2346100000004</v>
      </c>
      <c r="AI1956" s="625">
        <v>-6609.8592900000003</v>
      </c>
      <c r="AJ1956" s="625">
        <v>-6701.7435700000005</v>
      </c>
      <c r="AK1956" s="625">
        <v>-6791.6856799999996</v>
      </c>
      <c r="AL1956" s="625">
        <v>-6883.4336299999995</v>
      </c>
      <c r="AM1956" s="625">
        <v>-6975.6859699999995</v>
      </c>
      <c r="AN1956" s="625">
        <v>-7067.8834800000004</v>
      </c>
      <c r="AO1956" s="625">
        <v>-7161.4932699999999</v>
      </c>
      <c r="AP1956" s="41" t="str">
        <f t="shared" si="900"/>
        <v>Def TaxR</v>
      </c>
      <c r="AQ1956" s="41" t="str">
        <f t="shared" si="901"/>
        <v>Def TaxRR11Accelerated Depreciation</v>
      </c>
      <c r="AR1956" s="41" t="str">
        <f t="shared" si="902"/>
        <v>R11Accelerated Depreciation</v>
      </c>
    </row>
    <row r="1957" spans="1:44" s="41" customFormat="1" ht="12.75" customHeight="1">
      <c r="A1957" s="25" t="s">
        <v>1590</v>
      </c>
      <c r="B1957" s="25" t="str">
        <f t="shared" si="898"/>
        <v>Def Tax282200282-003</v>
      </c>
      <c r="C1957" s="736">
        <v>282200</v>
      </c>
      <c r="D1957" s="735" t="s">
        <v>2071</v>
      </c>
      <c r="F1957" s="41" t="str">
        <f t="shared" si="893"/>
        <v>ACCUM DEF INC TAX-OTH PROP-FEDERAL-ELECTRIC</v>
      </c>
      <c r="G1957" s="41" t="s">
        <v>2072</v>
      </c>
      <c r="H1957" s="736" t="s">
        <v>2073</v>
      </c>
      <c r="I1957" s="25"/>
      <c r="J1957" s="25" t="str">
        <f t="shared" si="894"/>
        <v/>
      </c>
      <c r="K1957" s="442" t="str">
        <f t="shared" si="892"/>
        <v/>
      </c>
      <c r="L1957" s="736" t="s">
        <v>2443</v>
      </c>
      <c r="M1957" s="25" t="str">
        <f t="shared" si="912"/>
        <v>R</v>
      </c>
      <c r="N1957" s="25" t="str">
        <f>IF(L1957&lt;&gt;"",VLOOKUP(L1957,Categories!$B$2:$D$41,2,FALSE),IF(F1957&lt;&gt;"","No Cat",""))</f>
        <v>Rate Base</v>
      </c>
      <c r="O1957" s="25" t="str">
        <f>IF($L1957&lt;&gt;"",VLOOKUP($L1957,Categories!$B$2:$D$41,3,FALSE),IF($F1957&lt;&gt;"","No Cat",""))</f>
        <v>Deferred Income Taxes</v>
      </c>
      <c r="P1957" s="736" t="s">
        <v>2482</v>
      </c>
      <c r="Q1957" s="25" t="str">
        <f>VLOOKUP($P1957,Allocators!$B$7:$F$19,5,FALSE)</f>
        <v>Electric</v>
      </c>
      <c r="R1957" s="737">
        <f>VLOOKUP($P1957,Allocators!$B$7:$F$19,2,FALSE)</f>
        <v>1</v>
      </c>
      <c r="S1957" s="737">
        <f>VLOOKUP($P1957,Allocators!$B$7:$F$19,3,FALSE)</f>
        <v>0</v>
      </c>
      <c r="T1957" s="737" t="str">
        <f t="shared" si="899"/>
        <v>0.0%</v>
      </c>
      <c r="U1957" s="2" t="str">
        <f t="shared" si="905"/>
        <v/>
      </c>
      <c r="V1957" s="2" t="str">
        <f t="shared" si="906"/>
        <v/>
      </c>
      <c r="W1957" s="2" t="str">
        <f t="shared" si="907"/>
        <v/>
      </c>
      <c r="X1957" s="2">
        <f t="shared" si="903"/>
        <v>0</v>
      </c>
      <c r="Y1957" s="2" t="str">
        <f t="shared" si="908"/>
        <v/>
      </c>
      <c r="Z1957" s="2" t="str">
        <f t="shared" si="909"/>
        <v/>
      </c>
      <c r="AA1957" s="2" t="str">
        <f t="shared" si="910"/>
        <v/>
      </c>
      <c r="AB1957" s="2">
        <f t="shared" si="904"/>
        <v>0</v>
      </c>
      <c r="AC1957" s="625">
        <v>0</v>
      </c>
      <c r="AD1957" s="625">
        <v>0</v>
      </c>
      <c r="AE1957" s="625">
        <v>0</v>
      </c>
      <c r="AF1957" s="625">
        <v>0</v>
      </c>
      <c r="AG1957" s="625">
        <v>0</v>
      </c>
      <c r="AH1957" s="625">
        <v>0</v>
      </c>
      <c r="AI1957" s="625">
        <v>0</v>
      </c>
      <c r="AJ1957" s="625">
        <v>0</v>
      </c>
      <c r="AK1957" s="625">
        <v>0</v>
      </c>
      <c r="AL1957" s="625">
        <v>0</v>
      </c>
      <c r="AM1957" s="625">
        <v>0</v>
      </c>
      <c r="AN1957" s="625">
        <v>0</v>
      </c>
      <c r="AO1957" s="625">
        <v>0</v>
      </c>
      <c r="AP1957" s="41" t="str">
        <f t="shared" si="900"/>
        <v>Def TaxR</v>
      </c>
      <c r="AQ1957" s="41" t="str">
        <f t="shared" si="901"/>
        <v>Def TaxRR11Nuclear Fuel Depreciation</v>
      </c>
      <c r="AR1957" s="41" t="str">
        <f t="shared" si="902"/>
        <v>R11Nuclear Fuel Depreciation</v>
      </c>
    </row>
    <row r="1958" spans="1:44" s="41" customFormat="1" ht="12.75" customHeight="1">
      <c r="A1958" s="25" t="s">
        <v>1590</v>
      </c>
      <c r="B1958" s="25" t="str">
        <f t="shared" ref="B1958" si="913">CONCATENATE(A1958,C1958,D1958,E1958)</f>
        <v>Def Tax282200BT010264</v>
      </c>
      <c r="C1958" s="736">
        <v>282200</v>
      </c>
      <c r="D1958" s="735"/>
      <c r="E1958" s="41" t="s">
        <v>2139</v>
      </c>
      <c r="F1958" s="41" t="str">
        <f t="shared" si="893"/>
        <v>ACCUM DEF INC TAX-OTH PROP-FEDERAL-ELECTRIC</v>
      </c>
      <c r="G1958" s="41" t="s">
        <v>2141</v>
      </c>
      <c r="H1958" s="736" t="s">
        <v>2141</v>
      </c>
      <c r="I1958" s="25"/>
      <c r="J1958" s="25" t="str">
        <f t="shared" ref="J1958" si="914">IF(L1958="N10","Y",IF(L1958="N8","Y",""))</f>
        <v/>
      </c>
      <c r="K1958" s="442" t="str">
        <f t="shared" si="892"/>
        <v/>
      </c>
      <c r="L1958" s="736" t="s">
        <v>2443</v>
      </c>
      <c r="M1958" s="25" t="str">
        <f t="shared" ref="M1958" si="915">LEFT(L1958,1)</f>
        <v>R</v>
      </c>
      <c r="N1958" s="25" t="str">
        <f>IF(L1958&lt;&gt;"",VLOOKUP(L1958,Categories!$B$2:$D$41,2,FALSE),IF(F1958&lt;&gt;"","No Cat",""))</f>
        <v>Rate Base</v>
      </c>
      <c r="O1958" s="25" t="str">
        <f>IF($L1958&lt;&gt;"",VLOOKUP($L1958,Categories!$B$2:$D$41,3,FALSE),IF($F1958&lt;&gt;"","No Cat",""))</f>
        <v>Deferred Income Taxes</v>
      </c>
      <c r="P1958" s="736" t="s">
        <v>2482</v>
      </c>
      <c r="Q1958" s="25" t="str">
        <f>VLOOKUP($P1958,Allocators!$B$7:$F$19,5,FALSE)</f>
        <v>Electric</v>
      </c>
      <c r="R1958" s="737">
        <f>VLOOKUP($P1958,Allocators!$B$7:$F$19,2,FALSE)</f>
        <v>1</v>
      </c>
      <c r="S1958" s="737">
        <f>VLOOKUP($P1958,Allocators!$B$7:$F$19,3,FALSE)</f>
        <v>0</v>
      </c>
      <c r="T1958" s="737" t="str">
        <f t="shared" ref="T1958" si="916">IF(P1958="N",1,"0.0%")</f>
        <v>0.0%</v>
      </c>
      <c r="U1958" s="2">
        <f t="shared" si="905"/>
        <v>-1554.8460600000001</v>
      </c>
      <c r="V1958" s="2">
        <f t="shared" si="906"/>
        <v>0</v>
      </c>
      <c r="W1958" s="2">
        <f t="shared" si="907"/>
        <v>0</v>
      </c>
      <c r="X1958" s="2">
        <f t="shared" si="903"/>
        <v>-1554.8460600000001</v>
      </c>
      <c r="Y1958" s="2">
        <f t="shared" si="908"/>
        <v>-1359.82106</v>
      </c>
      <c r="Z1958" s="2">
        <f t="shared" si="909"/>
        <v>0</v>
      </c>
      <c r="AA1958" s="2">
        <f t="shared" si="910"/>
        <v>0</v>
      </c>
      <c r="AB1958" s="2">
        <f t="shared" si="904"/>
        <v>-1359.82106</v>
      </c>
      <c r="AC1958" s="625">
        <v>-1749.8710599999999</v>
      </c>
      <c r="AD1958" s="625">
        <v>-1717.3668899999998</v>
      </c>
      <c r="AE1958" s="625">
        <v>-1684.8627300000001</v>
      </c>
      <c r="AF1958" s="625">
        <v>-1652.3585600000001</v>
      </c>
      <c r="AG1958" s="625">
        <v>-1619.85439</v>
      </c>
      <c r="AH1958" s="625">
        <v>-1587.35023</v>
      </c>
      <c r="AI1958" s="625">
        <v>-1554.8460600000001</v>
      </c>
      <c r="AJ1958" s="625">
        <v>-1522.3418899999999</v>
      </c>
      <c r="AK1958" s="625">
        <v>-1489.83773</v>
      </c>
      <c r="AL1958" s="625">
        <v>-1457.33356</v>
      </c>
      <c r="AM1958" s="625">
        <v>-1424.8293899999999</v>
      </c>
      <c r="AN1958" s="625">
        <v>-1392.3252299999999</v>
      </c>
      <c r="AO1958" s="625">
        <v>-1359.82106</v>
      </c>
      <c r="AP1958" s="41" t="str">
        <f t="shared" si="900"/>
        <v>Def TaxR</v>
      </c>
      <c r="AQ1958" s="41" t="str">
        <f t="shared" si="901"/>
        <v>Def TaxRR11Casualty Loss</v>
      </c>
      <c r="AR1958" s="41" t="str">
        <f t="shared" si="902"/>
        <v>R11Casualty Loss</v>
      </c>
    </row>
    <row r="1959" spans="1:44" s="41" customFormat="1" ht="12.75" customHeight="1">
      <c r="A1959" s="25" t="s">
        <v>1590</v>
      </c>
      <c r="B1959" s="25" t="str">
        <f t="shared" ref="B1959" si="917">CONCATENATE(A1959,C1959,D1959,E1959)</f>
        <v>Def Tax282200BT010043</v>
      </c>
      <c r="C1959" s="736">
        <v>282200</v>
      </c>
      <c r="D1959" s="735"/>
      <c r="E1959" s="41" t="s">
        <v>1631</v>
      </c>
      <c r="F1959" s="41" t="str">
        <f t="shared" si="893"/>
        <v>ACCUM DEF INC TAX-OTH PROP-FEDERAL-ELECTRIC</v>
      </c>
      <c r="G1959" s="41" t="s">
        <v>4119</v>
      </c>
      <c r="H1959" s="736" t="s">
        <v>1632</v>
      </c>
      <c r="I1959" s="25"/>
      <c r="J1959" s="25" t="str">
        <f t="shared" ref="J1959" si="918">IF(L1959="N10","Y",IF(L1959="N8","Y",""))</f>
        <v/>
      </c>
      <c r="K1959" s="442" t="str">
        <f t="shared" si="892"/>
        <v/>
      </c>
      <c r="L1959" s="736" t="s">
        <v>2443</v>
      </c>
      <c r="M1959" s="25" t="str">
        <f t="shared" ref="M1959" si="919">LEFT(L1959,1)</f>
        <v>R</v>
      </c>
      <c r="N1959" s="25" t="str">
        <f>IF(L1959&lt;&gt;"",VLOOKUP(L1959,Categories!$B$2:$D$41,2,FALSE),IF(F1959&lt;&gt;"","No Cat",""))</f>
        <v>Rate Base</v>
      </c>
      <c r="O1959" s="25" t="str">
        <f>IF($L1959&lt;&gt;"",VLOOKUP($L1959,Categories!$B$2:$D$41,3,FALSE),IF($F1959&lt;&gt;"","No Cat",""))</f>
        <v>Deferred Income Taxes</v>
      </c>
      <c r="P1959" s="736" t="s">
        <v>2482</v>
      </c>
      <c r="Q1959" s="25" t="str">
        <f>VLOOKUP($P1959,Allocators!$B$7:$F$19,5,FALSE)</f>
        <v>Electric</v>
      </c>
      <c r="R1959" s="737">
        <f>VLOOKUP($P1959,Allocators!$B$7:$F$19,2,FALSE)</f>
        <v>1</v>
      </c>
      <c r="S1959" s="737">
        <f>VLOOKUP($P1959,Allocators!$B$7:$F$19,3,FALSE)</f>
        <v>0</v>
      </c>
      <c r="T1959" s="737" t="str">
        <f t="shared" ref="T1959" si="920">IF(P1959="N",1,"0.0%")</f>
        <v>0.0%</v>
      </c>
      <c r="U1959" s="2">
        <f t="shared" si="905"/>
        <v>11888.19967625</v>
      </c>
      <c r="V1959" s="2">
        <f t="shared" si="906"/>
        <v>0</v>
      </c>
      <c r="W1959" s="2">
        <f t="shared" si="907"/>
        <v>0</v>
      </c>
      <c r="X1959" s="2">
        <f t="shared" si="903"/>
        <v>11888.19967625</v>
      </c>
      <c r="Y1959" s="2">
        <f t="shared" si="908"/>
        <v>13080.961010000001</v>
      </c>
      <c r="Z1959" s="2">
        <f t="shared" si="909"/>
        <v>0</v>
      </c>
      <c r="AA1959" s="2">
        <f t="shared" si="910"/>
        <v>0</v>
      </c>
      <c r="AB1959" s="2">
        <f t="shared" si="904"/>
        <v>13080.961009999999</v>
      </c>
      <c r="AC1959" s="625">
        <v>11218.438199999999</v>
      </c>
      <c r="AD1959" s="625">
        <v>11240.8377</v>
      </c>
      <c r="AE1959" s="625">
        <v>11440.13464</v>
      </c>
      <c r="AF1959" s="625">
        <v>11492.331560000001</v>
      </c>
      <c r="AG1959" s="625">
        <v>11534.938840000001</v>
      </c>
      <c r="AH1959" s="625">
        <v>11572.198460000001</v>
      </c>
      <c r="AI1959" s="625">
        <v>11572.198460000001</v>
      </c>
      <c r="AJ1959" s="625">
        <v>11896.366800000002</v>
      </c>
      <c r="AK1959" s="625">
        <v>11946.40978</v>
      </c>
      <c r="AL1959" s="625">
        <v>12332.67404</v>
      </c>
      <c r="AM1959" s="625">
        <v>12411.391970000001</v>
      </c>
      <c r="AN1959" s="625">
        <v>13069.214260000001</v>
      </c>
      <c r="AO1959" s="625">
        <v>13080.961009999999</v>
      </c>
      <c r="AP1959" s="41" t="str">
        <f t="shared" si="900"/>
        <v>Def TaxR</v>
      </c>
      <c r="AQ1959" s="41" t="str">
        <f t="shared" si="901"/>
        <v>Def TaxRR11CIAC</v>
      </c>
      <c r="AR1959" s="41" t="str">
        <f t="shared" si="902"/>
        <v>R11CIAC</v>
      </c>
    </row>
    <row r="1960" spans="1:44" s="41" customFormat="1" ht="12.75" customHeight="1">
      <c r="A1960" s="442" t="s">
        <v>1590</v>
      </c>
      <c r="B1960" s="442" t="str">
        <f t="shared" si="898"/>
        <v>Def Tax282200282-004BT010044</v>
      </c>
      <c r="C1960" s="736">
        <v>282200</v>
      </c>
      <c r="D1960" s="735" t="s">
        <v>2074</v>
      </c>
      <c r="E1960" s="626" t="s">
        <v>2075</v>
      </c>
      <c r="F1960" s="626" t="str">
        <f t="shared" si="893"/>
        <v>ACCUM DEF INC TAX-OTH PROP-FEDERAL-ELECTRIC</v>
      </c>
      <c r="G1960" s="626" t="s">
        <v>2076</v>
      </c>
      <c r="H1960" s="736" t="s">
        <v>8</v>
      </c>
      <c r="I1960" s="442"/>
      <c r="J1960" s="442" t="str">
        <f t="shared" si="894"/>
        <v/>
      </c>
      <c r="K1960" s="442" t="str">
        <f t="shared" si="892"/>
        <v>Y</v>
      </c>
      <c r="L1960" s="736" t="s">
        <v>2423</v>
      </c>
      <c r="M1960" s="442" t="str">
        <f t="shared" si="912"/>
        <v>N</v>
      </c>
      <c r="N1960" s="442" t="str">
        <f>IF(L1960&lt;&gt;"",VLOOKUP(L1960,Categories!$B$2:$D$41,2,FALSE),IF(F1960&lt;&gt;"","No Cat",""))</f>
        <v>NRBASE</v>
      </c>
      <c r="O1960" s="442" t="str">
        <f>IF($L1960&lt;&gt;"",VLOOKUP($L1960,Categories!$B$2:$D$41,3,FALSE),IF($F1960&lt;&gt;"","No Cat",""))</f>
        <v>SFAS-109   (offsetting)</v>
      </c>
      <c r="P1960" s="736" t="s">
        <v>2468</v>
      </c>
      <c r="Q1960" s="442" t="str">
        <f>VLOOKUP($P1960,Allocators!$B$7:$F$19,5,FALSE)</f>
        <v>Not in Rate Base</v>
      </c>
      <c r="R1960" s="737">
        <f>VLOOKUP($P1960,Allocators!$B$7:$F$19,2,FALSE)</f>
        <v>0</v>
      </c>
      <c r="S1960" s="737">
        <f>VLOOKUP($P1960,Allocators!$B$7:$F$19,3,FALSE)</f>
        <v>0</v>
      </c>
      <c r="T1960" s="737">
        <f t="shared" si="899"/>
        <v>1</v>
      </c>
      <c r="U1960" s="2" t="str">
        <f t="shared" si="905"/>
        <v/>
      </c>
      <c r="V1960" s="2" t="str">
        <f t="shared" si="906"/>
        <v/>
      </c>
      <c r="W1960" s="2" t="str">
        <f t="shared" si="907"/>
        <v/>
      </c>
      <c r="X1960" s="2">
        <f t="shared" si="903"/>
        <v>0</v>
      </c>
      <c r="Y1960" s="2" t="str">
        <f t="shared" si="908"/>
        <v/>
      </c>
      <c r="Z1960" s="2" t="str">
        <f t="shared" si="909"/>
        <v/>
      </c>
      <c r="AA1960" s="2" t="str">
        <f t="shared" si="910"/>
        <v/>
      </c>
      <c r="AB1960" s="2">
        <f t="shared" si="904"/>
        <v>0</v>
      </c>
      <c r="AC1960" s="625">
        <v>0</v>
      </c>
      <c r="AD1960" s="625">
        <v>0</v>
      </c>
      <c r="AE1960" s="625">
        <v>0</v>
      </c>
      <c r="AF1960" s="625">
        <v>0</v>
      </c>
      <c r="AG1960" s="625">
        <v>0</v>
      </c>
      <c r="AH1960" s="625">
        <v>0</v>
      </c>
      <c r="AI1960" s="625">
        <v>0</v>
      </c>
      <c r="AJ1960" s="625">
        <v>0</v>
      </c>
      <c r="AK1960" s="625">
        <v>0</v>
      </c>
      <c r="AL1960" s="625">
        <v>0</v>
      </c>
      <c r="AM1960" s="625">
        <v>0</v>
      </c>
      <c r="AN1960" s="625">
        <v>0</v>
      </c>
      <c r="AO1960" s="625">
        <v>0</v>
      </c>
      <c r="AP1960" s="41" t="str">
        <f t="shared" si="900"/>
        <v>Def TaxN</v>
      </c>
      <c r="AQ1960" s="41" t="str">
        <f t="shared" si="901"/>
        <v>Def TaxNN3SFAS 109</v>
      </c>
      <c r="AR1960" s="41" t="str">
        <f t="shared" si="902"/>
        <v>N3SFAS 109</v>
      </c>
    </row>
    <row r="1961" spans="1:44" s="41" customFormat="1" ht="12.75" customHeight="1">
      <c r="A1961" s="25" t="s">
        <v>1590</v>
      </c>
      <c r="B1961" s="25" t="str">
        <f t="shared" si="898"/>
        <v>Def Tax282200282-004-DEFBT010253</v>
      </c>
      <c r="C1961" s="736">
        <v>282200</v>
      </c>
      <c r="D1961" s="735" t="s">
        <v>2077</v>
      </c>
      <c r="E1961" s="41" t="s">
        <v>2078</v>
      </c>
      <c r="F1961" s="41" t="str">
        <f t="shared" si="893"/>
        <v>ACCUM DEF INC TAX-OTH PROP-FEDERAL-ELECTRIC</v>
      </c>
      <c r="G1961" s="41" t="s">
        <v>2076</v>
      </c>
      <c r="H1961" s="736" t="s">
        <v>2079</v>
      </c>
      <c r="I1961" s="25"/>
      <c r="J1961" s="25" t="str">
        <f t="shared" si="894"/>
        <v/>
      </c>
      <c r="K1961" s="442" t="str">
        <f t="shared" si="892"/>
        <v/>
      </c>
      <c r="L1961" s="736" t="s">
        <v>2443</v>
      </c>
      <c r="M1961" s="25" t="str">
        <f t="shared" si="912"/>
        <v>R</v>
      </c>
      <c r="N1961" s="25" t="str">
        <f>IF(L1961&lt;&gt;"",VLOOKUP(L1961,Categories!$B$2:$D$41,2,FALSE),IF(F1961&lt;&gt;"","No Cat",""))</f>
        <v>Rate Base</v>
      </c>
      <c r="O1961" s="25" t="str">
        <f>IF($L1961&lt;&gt;"",VLOOKUP($L1961,Categories!$B$2:$D$41,3,FALSE),IF($F1961&lt;&gt;"","No Cat",""))</f>
        <v>Deferred Income Taxes</v>
      </c>
      <c r="P1961" s="736" t="s">
        <v>2482</v>
      </c>
      <c r="Q1961" s="25" t="str">
        <f>VLOOKUP($P1961,Allocators!$B$7:$F$19,5,FALSE)</f>
        <v>Electric</v>
      </c>
      <c r="R1961" s="737">
        <f>VLOOKUP($P1961,Allocators!$B$7:$F$19,2,FALSE)</f>
        <v>1</v>
      </c>
      <c r="S1961" s="737">
        <f>VLOOKUP($P1961,Allocators!$B$7:$F$19,3,FALSE)</f>
        <v>0</v>
      </c>
      <c r="T1961" s="737" t="str">
        <f t="shared" si="899"/>
        <v>0.0%</v>
      </c>
      <c r="U1961" s="2">
        <f t="shared" si="905"/>
        <v>2195.9405900000002</v>
      </c>
      <c r="V1961" s="2">
        <f t="shared" si="906"/>
        <v>0</v>
      </c>
      <c r="W1961" s="2">
        <f t="shared" si="907"/>
        <v>0</v>
      </c>
      <c r="X1961" s="2">
        <f t="shared" si="903"/>
        <v>2195.9405900000002</v>
      </c>
      <c r="Y1961" s="2">
        <f t="shared" si="908"/>
        <v>1878.7530899999999</v>
      </c>
      <c r="Z1961" s="2">
        <f t="shared" si="909"/>
        <v>0</v>
      </c>
      <c r="AA1961" s="2">
        <f t="shared" si="910"/>
        <v>0</v>
      </c>
      <c r="AB1961" s="2">
        <f t="shared" si="904"/>
        <v>1878.7530900000002</v>
      </c>
      <c r="AC1961" s="625">
        <v>1878.7530900000002</v>
      </c>
      <c r="AD1961" s="625">
        <v>1963.3364199999999</v>
      </c>
      <c r="AE1961" s="625">
        <v>2047.91976</v>
      </c>
      <c r="AF1961" s="625">
        <v>2132.5030899999997</v>
      </c>
      <c r="AG1961" s="625">
        <v>2217.0864200000001</v>
      </c>
      <c r="AH1961" s="625">
        <v>2301.6697599999998</v>
      </c>
      <c r="AI1961" s="625">
        <v>2386.2530899999997</v>
      </c>
      <c r="AJ1961" s="625">
        <v>2470.8364200000001</v>
      </c>
      <c r="AK1961" s="625">
        <v>2555.4197599999998</v>
      </c>
      <c r="AL1961" s="625">
        <v>2640.0030899999997</v>
      </c>
      <c r="AM1961" s="625">
        <v>1878.7530900000002</v>
      </c>
      <c r="AN1961" s="625">
        <v>1878.7530900000002</v>
      </c>
      <c r="AO1961" s="625">
        <v>1878.7530900000002</v>
      </c>
      <c r="AP1961" s="41" t="str">
        <f t="shared" si="900"/>
        <v>Def TaxR</v>
      </c>
      <c r="AQ1961" s="41" t="str">
        <f t="shared" si="901"/>
        <v>Def TaxRR11Cost of Removal</v>
      </c>
      <c r="AR1961" s="41" t="str">
        <f t="shared" si="902"/>
        <v>R11Cost of Removal</v>
      </c>
    </row>
    <row r="1962" spans="1:44" s="41" customFormat="1" ht="12.75" customHeight="1">
      <c r="A1962" s="25" t="s">
        <v>1590</v>
      </c>
      <c r="B1962" s="25" t="str">
        <f t="shared" si="898"/>
        <v>Def Tax282200282-006BT010029</v>
      </c>
      <c r="C1962" s="736">
        <v>282200</v>
      </c>
      <c r="D1962" s="735" t="s">
        <v>2080</v>
      </c>
      <c r="E1962" s="41" t="s">
        <v>2081</v>
      </c>
      <c r="F1962" s="41" t="str">
        <f t="shared" si="893"/>
        <v>ACCUM DEF INC TAX-OTH PROP-FEDERAL-ELECTRIC</v>
      </c>
      <c r="G1962" s="41" t="s">
        <v>2082</v>
      </c>
      <c r="H1962" s="736" t="s">
        <v>2083</v>
      </c>
      <c r="I1962" s="25"/>
      <c r="J1962" s="25" t="str">
        <f t="shared" si="894"/>
        <v/>
      </c>
      <c r="K1962" s="442" t="str">
        <f t="shared" si="892"/>
        <v/>
      </c>
      <c r="L1962" s="736" t="s">
        <v>2443</v>
      </c>
      <c r="M1962" s="25" t="str">
        <f t="shared" si="912"/>
        <v>R</v>
      </c>
      <c r="N1962" s="25" t="str">
        <f>IF(L1962&lt;&gt;"",VLOOKUP(L1962,Categories!$B$2:$D$41,2,FALSE),IF(F1962&lt;&gt;"","No Cat",""))</f>
        <v>Rate Base</v>
      </c>
      <c r="O1962" s="25" t="str">
        <f>IF($L1962&lt;&gt;"",VLOOKUP($L1962,Categories!$B$2:$D$41,3,FALSE),IF($F1962&lt;&gt;"","No Cat",""))</f>
        <v>Deferred Income Taxes</v>
      </c>
      <c r="P1962" s="736" t="s">
        <v>2482</v>
      </c>
      <c r="Q1962" s="25" t="str">
        <f>VLOOKUP($P1962,Allocators!$B$7:$F$19,5,FALSE)</f>
        <v>Electric</v>
      </c>
      <c r="R1962" s="737">
        <f>VLOOKUP($P1962,Allocators!$B$7:$F$19,2,FALSE)</f>
        <v>1</v>
      </c>
      <c r="S1962" s="737">
        <f>VLOOKUP($P1962,Allocators!$B$7:$F$19,3,FALSE)</f>
        <v>0</v>
      </c>
      <c r="T1962" s="737" t="str">
        <f t="shared" si="899"/>
        <v>0.0%</v>
      </c>
      <c r="U1962" s="2">
        <f t="shared" si="905"/>
        <v>8234.3868908333297</v>
      </c>
      <c r="V1962" s="2">
        <f t="shared" si="906"/>
        <v>0</v>
      </c>
      <c r="W1962" s="2">
        <f t="shared" si="907"/>
        <v>0</v>
      </c>
      <c r="X1962" s="2">
        <f t="shared" si="903"/>
        <v>8234.3868908333297</v>
      </c>
      <c r="Y1962" s="2">
        <f t="shared" si="908"/>
        <v>9414.7381000000005</v>
      </c>
      <c r="Z1962" s="2">
        <f t="shared" si="909"/>
        <v>0</v>
      </c>
      <c r="AA1962" s="2">
        <f t="shared" si="910"/>
        <v>0</v>
      </c>
      <c r="AB1962" s="2">
        <f t="shared" si="904"/>
        <v>9414.7381000000005</v>
      </c>
      <c r="AC1962" s="625">
        <v>7227.92076</v>
      </c>
      <c r="AD1962" s="625">
        <v>7398.6124300000001</v>
      </c>
      <c r="AE1962" s="625">
        <v>7554.0659599999999</v>
      </c>
      <c r="AF1962" s="625">
        <v>7682.5508600000003</v>
      </c>
      <c r="AG1962" s="625">
        <v>7801.9218700000001</v>
      </c>
      <c r="AH1962" s="625">
        <v>7909.9971699999996</v>
      </c>
      <c r="AI1962" s="625">
        <v>8279.0459200000005</v>
      </c>
      <c r="AJ1962" s="625">
        <v>8426.067939999999</v>
      </c>
      <c r="AK1962" s="625">
        <v>8570.5158200000005</v>
      </c>
      <c r="AL1962" s="625">
        <v>8745.0627299999996</v>
      </c>
      <c r="AM1962" s="625">
        <v>8954.5153100000007</v>
      </c>
      <c r="AN1962" s="625">
        <v>9168.9572499999995</v>
      </c>
      <c r="AO1962" s="625">
        <v>9414.7381000000005</v>
      </c>
      <c r="AP1962" s="41" t="str">
        <f t="shared" si="900"/>
        <v>Def TaxR</v>
      </c>
      <c r="AQ1962" s="41" t="str">
        <f t="shared" si="901"/>
        <v>Def TaxRR11Capitalized Interest</v>
      </c>
      <c r="AR1962" s="41" t="str">
        <f t="shared" si="902"/>
        <v>R11Capitalized Interest</v>
      </c>
    </row>
    <row r="1963" spans="1:44" s="41" customFormat="1" ht="12.75" customHeight="1">
      <c r="A1963" s="25" t="s">
        <v>1590</v>
      </c>
      <c r="B1963" s="25" t="str">
        <f t="shared" si="898"/>
        <v>Def Tax282200282-007BT010202</v>
      </c>
      <c r="C1963" s="736">
        <v>282200</v>
      </c>
      <c r="D1963" s="735" t="s">
        <v>2084</v>
      </c>
      <c r="E1963" s="41" t="s">
        <v>1786</v>
      </c>
      <c r="F1963" s="41" t="str">
        <f t="shared" si="893"/>
        <v>ACCUM DEF INC TAX-OTH PROP-FEDERAL-ELECTRIC</v>
      </c>
      <c r="G1963" s="41" t="s">
        <v>2085</v>
      </c>
      <c r="H1963" s="736" t="s">
        <v>2086</v>
      </c>
      <c r="I1963" s="25"/>
      <c r="J1963" s="25" t="str">
        <f t="shared" si="894"/>
        <v/>
      </c>
      <c r="K1963" s="442" t="str">
        <f t="shared" si="892"/>
        <v/>
      </c>
      <c r="L1963" s="736" t="s">
        <v>2443</v>
      </c>
      <c r="M1963" s="25" t="str">
        <f t="shared" si="912"/>
        <v>R</v>
      </c>
      <c r="N1963" s="25" t="str">
        <f>IF(L1963&lt;&gt;"",VLOOKUP(L1963,Categories!$B$2:$D$41,2,FALSE),IF(F1963&lt;&gt;"","No Cat",""))</f>
        <v>Rate Base</v>
      </c>
      <c r="O1963" s="25" t="str">
        <f>IF($L1963&lt;&gt;"",VLOOKUP($L1963,Categories!$B$2:$D$41,3,FALSE),IF($F1963&lt;&gt;"","No Cat",""))</f>
        <v>Deferred Income Taxes</v>
      </c>
      <c r="P1963" s="736" t="s">
        <v>2482</v>
      </c>
      <c r="Q1963" s="25" t="str">
        <f>VLOOKUP($P1963,Allocators!$B$7:$F$19,5,FALSE)</f>
        <v>Electric</v>
      </c>
      <c r="R1963" s="737">
        <f>VLOOKUP($P1963,Allocators!$B$7:$F$19,2,FALSE)</f>
        <v>1</v>
      </c>
      <c r="S1963" s="737">
        <f>VLOOKUP($P1963,Allocators!$B$7:$F$19,3,FALSE)</f>
        <v>0</v>
      </c>
      <c r="T1963" s="737" t="str">
        <f t="shared" si="899"/>
        <v>0.0%</v>
      </c>
      <c r="U1963" s="2" t="str">
        <f t="shared" si="905"/>
        <v/>
      </c>
      <c r="V1963" s="2" t="str">
        <f t="shared" si="906"/>
        <v/>
      </c>
      <c r="W1963" s="2" t="str">
        <f t="shared" si="907"/>
        <v/>
      </c>
      <c r="X1963" s="2">
        <f t="shared" si="903"/>
        <v>0</v>
      </c>
      <c r="Y1963" s="2" t="str">
        <f t="shared" si="908"/>
        <v/>
      </c>
      <c r="Z1963" s="2" t="str">
        <f t="shared" si="909"/>
        <v/>
      </c>
      <c r="AA1963" s="2" t="str">
        <f t="shared" si="910"/>
        <v/>
      </c>
      <c r="AB1963" s="2">
        <f t="shared" si="904"/>
        <v>0</v>
      </c>
      <c r="AC1963" s="625">
        <v>0</v>
      </c>
      <c r="AD1963" s="625">
        <v>0</v>
      </c>
      <c r="AE1963" s="625">
        <v>0</v>
      </c>
      <c r="AF1963" s="625">
        <v>0</v>
      </c>
      <c r="AG1963" s="625">
        <v>0</v>
      </c>
      <c r="AH1963" s="625">
        <v>0</v>
      </c>
      <c r="AI1963" s="625">
        <v>0</v>
      </c>
      <c r="AJ1963" s="625">
        <v>0</v>
      </c>
      <c r="AK1963" s="625">
        <v>0</v>
      </c>
      <c r="AL1963" s="625">
        <v>0</v>
      </c>
      <c r="AM1963" s="625">
        <v>0</v>
      </c>
      <c r="AN1963" s="625">
        <v>0</v>
      </c>
      <c r="AO1963" s="625">
        <v>0</v>
      </c>
      <c r="AP1963" s="41" t="str">
        <f t="shared" si="900"/>
        <v>Def TaxR</v>
      </c>
      <c r="AQ1963" s="41" t="str">
        <f t="shared" si="901"/>
        <v>Def TaxRR11Excess Salvage</v>
      </c>
      <c r="AR1963" s="41" t="str">
        <f t="shared" si="902"/>
        <v>R11Excess Salvage</v>
      </c>
    </row>
    <row r="1964" spans="1:44" s="41" customFormat="1" ht="12.75" customHeight="1">
      <c r="A1964" s="25" t="s">
        <v>1590</v>
      </c>
      <c r="B1964" s="25" t="str">
        <f t="shared" si="898"/>
        <v>Def Tax282200282-007-SBT010202</v>
      </c>
      <c r="C1964" s="736">
        <v>282200</v>
      </c>
      <c r="D1964" s="735" t="s">
        <v>2087</v>
      </c>
      <c r="E1964" s="41" t="s">
        <v>1786</v>
      </c>
      <c r="F1964" s="41" t="str">
        <f t="shared" si="893"/>
        <v>ACCUM DEF INC TAX-OTH PROP-FEDERAL-ELECTRIC</v>
      </c>
      <c r="G1964" s="41" t="s">
        <v>2088</v>
      </c>
      <c r="H1964" s="736" t="s">
        <v>2086</v>
      </c>
      <c r="I1964" s="25"/>
      <c r="J1964" s="25" t="str">
        <f t="shared" si="894"/>
        <v/>
      </c>
      <c r="K1964" s="442" t="str">
        <f t="shared" si="892"/>
        <v/>
      </c>
      <c r="L1964" s="736" t="s">
        <v>2443</v>
      </c>
      <c r="M1964" s="25" t="str">
        <f t="shared" si="912"/>
        <v>R</v>
      </c>
      <c r="N1964" s="25" t="str">
        <f>IF(L1964&lt;&gt;"",VLOOKUP(L1964,Categories!$B$2:$D$41,2,FALSE),IF(F1964&lt;&gt;"","No Cat",""))</f>
        <v>Rate Base</v>
      </c>
      <c r="O1964" s="25" t="str">
        <f>IF($L1964&lt;&gt;"",VLOOKUP($L1964,Categories!$B$2:$D$41,3,FALSE),IF($F1964&lt;&gt;"","No Cat",""))</f>
        <v>Deferred Income Taxes</v>
      </c>
      <c r="P1964" s="736" t="s">
        <v>2482</v>
      </c>
      <c r="Q1964" s="25" t="str">
        <f>VLOOKUP($P1964,Allocators!$B$7:$F$19,5,FALSE)</f>
        <v>Electric</v>
      </c>
      <c r="R1964" s="737">
        <f>VLOOKUP($P1964,Allocators!$B$7:$F$19,2,FALSE)</f>
        <v>1</v>
      </c>
      <c r="S1964" s="737">
        <f>VLOOKUP($P1964,Allocators!$B$7:$F$19,3,FALSE)</f>
        <v>0</v>
      </c>
      <c r="T1964" s="737" t="str">
        <f t="shared" si="899"/>
        <v>0.0%</v>
      </c>
      <c r="U1964" s="2" t="str">
        <f t="shared" si="905"/>
        <v/>
      </c>
      <c r="V1964" s="2" t="str">
        <f t="shared" si="906"/>
        <v/>
      </c>
      <c r="W1964" s="2" t="str">
        <f t="shared" si="907"/>
        <v/>
      </c>
      <c r="X1964" s="2">
        <f t="shared" si="903"/>
        <v>0</v>
      </c>
      <c r="Y1964" s="2" t="str">
        <f t="shared" si="908"/>
        <v/>
      </c>
      <c r="Z1964" s="2" t="str">
        <f t="shared" si="909"/>
        <v/>
      </c>
      <c r="AA1964" s="2" t="str">
        <f t="shared" si="910"/>
        <v/>
      </c>
      <c r="AB1964" s="2">
        <f t="shared" si="904"/>
        <v>0</v>
      </c>
      <c r="AC1964" s="625">
        <v>0</v>
      </c>
      <c r="AD1964" s="625">
        <v>0</v>
      </c>
      <c r="AE1964" s="625">
        <v>0</v>
      </c>
      <c r="AF1964" s="625">
        <v>0</v>
      </c>
      <c r="AG1964" s="625">
        <v>0</v>
      </c>
      <c r="AH1964" s="625">
        <v>0</v>
      </c>
      <c r="AI1964" s="625">
        <v>0</v>
      </c>
      <c r="AJ1964" s="625">
        <v>0</v>
      </c>
      <c r="AK1964" s="625">
        <v>0</v>
      </c>
      <c r="AL1964" s="625">
        <v>0</v>
      </c>
      <c r="AM1964" s="625">
        <v>0</v>
      </c>
      <c r="AN1964" s="625">
        <v>0</v>
      </c>
      <c r="AO1964" s="625">
        <v>0</v>
      </c>
      <c r="AP1964" s="41" t="str">
        <f t="shared" si="900"/>
        <v>Def TaxR</v>
      </c>
      <c r="AQ1964" s="41" t="str">
        <f t="shared" si="901"/>
        <v>Def TaxRR11Excess Salvage</v>
      </c>
      <c r="AR1964" s="41" t="str">
        <f t="shared" si="902"/>
        <v>R11Excess Salvage</v>
      </c>
    </row>
    <row r="1965" spans="1:44" s="41" customFormat="1" ht="12.75" customHeight="1">
      <c r="A1965" s="25" t="s">
        <v>1590</v>
      </c>
      <c r="B1965" s="25" t="str">
        <f t="shared" si="898"/>
        <v>Def Tax282200282-007BT010202</v>
      </c>
      <c r="C1965" s="736">
        <v>282200</v>
      </c>
      <c r="D1965" s="735" t="s">
        <v>2084</v>
      </c>
      <c r="E1965" s="41" t="s">
        <v>1786</v>
      </c>
      <c r="F1965" s="41" t="str">
        <f t="shared" si="893"/>
        <v>ACCUM DEF INC TAX-OTH PROP-FEDERAL-ELECTRIC</v>
      </c>
      <c r="G1965" s="41" t="s">
        <v>4122</v>
      </c>
      <c r="H1965" s="736" t="s">
        <v>2086</v>
      </c>
      <c r="I1965" s="25"/>
      <c r="J1965" s="25" t="str">
        <f t="shared" ref="J1965" si="921">IF(L1965="N10","Y",IF(L1965="N8","Y",""))</f>
        <v/>
      </c>
      <c r="K1965" s="442" t="str">
        <f t="shared" si="892"/>
        <v/>
      </c>
      <c r="L1965" s="736" t="s">
        <v>2443</v>
      </c>
      <c r="M1965" s="25" t="str">
        <f t="shared" ref="M1965" si="922">LEFT(L1965,1)</f>
        <v>R</v>
      </c>
      <c r="N1965" s="25" t="str">
        <f>IF(L1965&lt;&gt;"",VLOOKUP(L1965,Categories!$B$2:$D$41,2,FALSE),IF(F1965&lt;&gt;"","No Cat",""))</f>
        <v>Rate Base</v>
      </c>
      <c r="O1965" s="25" t="str">
        <f>IF($L1965&lt;&gt;"",VLOOKUP($L1965,Categories!$B$2:$D$41,3,FALSE),IF($F1965&lt;&gt;"","No Cat",""))</f>
        <v>Deferred Income Taxes</v>
      </c>
      <c r="P1965" s="736" t="s">
        <v>2482</v>
      </c>
      <c r="Q1965" s="25" t="str">
        <f>VLOOKUP($P1965,Allocators!$B$7:$F$19,5,FALSE)</f>
        <v>Electric</v>
      </c>
      <c r="R1965" s="737">
        <f>VLOOKUP($P1965,Allocators!$B$7:$F$19,2,FALSE)</f>
        <v>1</v>
      </c>
      <c r="S1965" s="737">
        <f>VLOOKUP($P1965,Allocators!$B$7:$F$19,3,FALSE)</f>
        <v>0</v>
      </c>
      <c r="T1965" s="737" t="str">
        <f t="shared" ref="T1965" si="923">IF(P1965="N",1,"0.0%")</f>
        <v>0.0%</v>
      </c>
      <c r="U1965" s="2">
        <f t="shared" si="905"/>
        <v>8852.7376987499993</v>
      </c>
      <c r="V1965" s="2">
        <f t="shared" si="906"/>
        <v>0</v>
      </c>
      <c r="W1965" s="2">
        <f t="shared" si="907"/>
        <v>0</v>
      </c>
      <c r="X1965" s="2">
        <f t="shared" si="903"/>
        <v>8852.7376987499993</v>
      </c>
      <c r="Y1965" s="2">
        <f t="shared" si="908"/>
        <v>9153.2659299999996</v>
      </c>
      <c r="Z1965" s="2">
        <f t="shared" si="909"/>
        <v>0</v>
      </c>
      <c r="AA1965" s="2">
        <f t="shared" si="910"/>
        <v>0</v>
      </c>
      <c r="AB1965" s="2">
        <f t="shared" si="904"/>
        <v>9153.2659299999996</v>
      </c>
      <c r="AC1965" s="625">
        <v>8506.5815999999995</v>
      </c>
      <c r="AD1965" s="625">
        <v>8952.1902499999997</v>
      </c>
      <c r="AE1965" s="625">
        <v>8612.611710000001</v>
      </c>
      <c r="AF1965" s="625">
        <v>8674.1265199999998</v>
      </c>
      <c r="AG1965" s="625">
        <v>8700.9299300000002</v>
      </c>
      <c r="AH1965" s="625">
        <v>8755.67706</v>
      </c>
      <c r="AI1965" s="625">
        <v>8804.4495600000009</v>
      </c>
      <c r="AJ1965" s="625">
        <v>8872.92778</v>
      </c>
      <c r="AK1965" s="625">
        <v>8936.3557700000001</v>
      </c>
      <c r="AL1965" s="625">
        <v>8997.5473699999984</v>
      </c>
      <c r="AM1965" s="625">
        <v>9030.4258900000004</v>
      </c>
      <c r="AN1965" s="625">
        <v>9065.68678</v>
      </c>
      <c r="AO1965" s="625">
        <v>9153.2659299999996</v>
      </c>
      <c r="AP1965" s="41" t="str">
        <f t="shared" si="900"/>
        <v>Def TaxR</v>
      </c>
      <c r="AQ1965" s="41" t="str">
        <f t="shared" si="901"/>
        <v>Def TaxRR11Excess Salvage</v>
      </c>
      <c r="AR1965" s="41" t="str">
        <f t="shared" si="902"/>
        <v>R11Excess Salvage</v>
      </c>
    </row>
    <row r="1966" spans="1:44" s="41" customFormat="1" ht="12.75" customHeight="1">
      <c r="A1966" s="25" t="s">
        <v>1590</v>
      </c>
      <c r="B1966" s="25" t="str">
        <f t="shared" si="898"/>
        <v>Def Tax282200282-008BT010098</v>
      </c>
      <c r="C1966" s="736">
        <v>282200</v>
      </c>
      <c r="D1966" s="735" t="s">
        <v>2089</v>
      </c>
      <c r="E1966" s="41" t="s">
        <v>2090</v>
      </c>
      <c r="F1966" s="41" t="str">
        <f t="shared" si="893"/>
        <v>ACCUM DEF INC TAX-OTH PROP-FEDERAL-ELECTRIC</v>
      </c>
      <c r="G1966" s="41" t="s">
        <v>2091</v>
      </c>
      <c r="H1966" s="736" t="s">
        <v>2092</v>
      </c>
      <c r="I1966" s="25"/>
      <c r="J1966" s="25" t="str">
        <f t="shared" si="894"/>
        <v/>
      </c>
      <c r="K1966" s="442" t="str">
        <f t="shared" si="892"/>
        <v/>
      </c>
      <c r="L1966" s="736" t="s">
        <v>2443</v>
      </c>
      <c r="M1966" s="25" t="str">
        <f t="shared" si="912"/>
        <v>R</v>
      </c>
      <c r="N1966" s="25" t="str">
        <f>IF(L1966&lt;&gt;"",VLOOKUP(L1966,Categories!$B$2:$D$41,2,FALSE),IF(F1966&lt;&gt;"","No Cat",""))</f>
        <v>Rate Base</v>
      </c>
      <c r="O1966" s="25" t="str">
        <f>IF($L1966&lt;&gt;"",VLOOKUP($L1966,Categories!$B$2:$D$41,3,FALSE),IF($F1966&lt;&gt;"","No Cat",""))</f>
        <v>Deferred Income Taxes</v>
      </c>
      <c r="P1966" s="736" t="s">
        <v>2482</v>
      </c>
      <c r="Q1966" s="25" t="str">
        <f>VLOOKUP($P1966,Allocators!$B$7:$F$19,5,FALSE)</f>
        <v>Electric</v>
      </c>
      <c r="R1966" s="737">
        <f>VLOOKUP($P1966,Allocators!$B$7:$F$19,2,FALSE)</f>
        <v>1</v>
      </c>
      <c r="S1966" s="737">
        <f>VLOOKUP($P1966,Allocators!$B$7:$F$19,3,FALSE)</f>
        <v>0</v>
      </c>
      <c r="T1966" s="737" t="str">
        <f t="shared" si="899"/>
        <v>0.0%</v>
      </c>
      <c r="U1966" s="2" t="str">
        <f t="shared" si="905"/>
        <v/>
      </c>
      <c r="V1966" s="2" t="str">
        <f t="shared" si="906"/>
        <v/>
      </c>
      <c r="W1966" s="2" t="str">
        <f t="shared" si="907"/>
        <v/>
      </c>
      <c r="X1966" s="2">
        <f t="shared" si="903"/>
        <v>0</v>
      </c>
      <c r="Y1966" s="2" t="str">
        <f t="shared" si="908"/>
        <v/>
      </c>
      <c r="Z1966" s="2" t="str">
        <f t="shared" si="909"/>
        <v/>
      </c>
      <c r="AA1966" s="2" t="str">
        <f t="shared" si="910"/>
        <v/>
      </c>
      <c r="AB1966" s="2">
        <f t="shared" si="904"/>
        <v>0</v>
      </c>
      <c r="AC1966" s="625">
        <v>0</v>
      </c>
      <c r="AD1966" s="625">
        <v>0</v>
      </c>
      <c r="AE1966" s="625">
        <v>0</v>
      </c>
      <c r="AF1966" s="625">
        <v>0</v>
      </c>
      <c r="AG1966" s="625">
        <v>0</v>
      </c>
      <c r="AH1966" s="625">
        <v>0</v>
      </c>
      <c r="AI1966" s="625">
        <v>0</v>
      </c>
      <c r="AJ1966" s="625">
        <v>0</v>
      </c>
      <c r="AK1966" s="625">
        <v>0</v>
      </c>
      <c r="AL1966" s="625">
        <v>0</v>
      </c>
      <c r="AM1966" s="625">
        <v>0</v>
      </c>
      <c r="AN1966" s="625">
        <v>0</v>
      </c>
      <c r="AO1966" s="625">
        <v>0</v>
      </c>
      <c r="AP1966" s="41" t="str">
        <f t="shared" si="900"/>
        <v>Def TaxR</v>
      </c>
      <c r="AQ1966" s="41" t="str">
        <f t="shared" si="901"/>
        <v>Def TaxRR11Tax Gain / Loss on Retirement</v>
      </c>
      <c r="AR1966" s="41" t="str">
        <f t="shared" si="902"/>
        <v>R11Tax Gain / Loss on Retirement</v>
      </c>
    </row>
    <row r="1967" spans="1:44" s="41" customFormat="1" ht="12.75" customHeight="1">
      <c r="A1967" s="25" t="s">
        <v>1590</v>
      </c>
      <c r="B1967" s="25" t="str">
        <f t="shared" si="898"/>
        <v>Def Tax282200282-008-BOOKBT010097</v>
      </c>
      <c r="C1967" s="736">
        <v>282200</v>
      </c>
      <c r="D1967" s="735" t="s">
        <v>2093</v>
      </c>
      <c r="E1967" s="41" t="s">
        <v>2094</v>
      </c>
      <c r="F1967" s="41" t="str">
        <f t="shared" si="893"/>
        <v>ACCUM DEF INC TAX-OTH PROP-FEDERAL-ELECTRIC</v>
      </c>
      <c r="G1967" s="41" t="s">
        <v>2095</v>
      </c>
      <c r="H1967" s="736" t="s">
        <v>2092</v>
      </c>
      <c r="I1967" s="25"/>
      <c r="J1967" s="25" t="str">
        <f t="shared" si="894"/>
        <v/>
      </c>
      <c r="K1967" s="442" t="str">
        <f t="shared" ref="K1967:K2032" si="924">IF(L1967="N3","Y","")</f>
        <v/>
      </c>
      <c r="L1967" s="736" t="s">
        <v>2443</v>
      </c>
      <c r="M1967" s="25" t="str">
        <f t="shared" si="912"/>
        <v>R</v>
      </c>
      <c r="N1967" s="25" t="str">
        <f>IF(L1967&lt;&gt;"",VLOOKUP(L1967,Categories!$B$2:$D$41,2,FALSE),IF(F1967&lt;&gt;"","No Cat",""))</f>
        <v>Rate Base</v>
      </c>
      <c r="O1967" s="25" t="str">
        <f>IF($L1967&lt;&gt;"",VLOOKUP($L1967,Categories!$B$2:$D$41,3,FALSE),IF($F1967&lt;&gt;"","No Cat",""))</f>
        <v>Deferred Income Taxes</v>
      </c>
      <c r="P1967" s="736" t="s">
        <v>2482</v>
      </c>
      <c r="Q1967" s="25" t="str">
        <f>VLOOKUP($P1967,Allocators!$B$7:$F$19,5,FALSE)</f>
        <v>Electric</v>
      </c>
      <c r="R1967" s="737">
        <f>VLOOKUP($P1967,Allocators!$B$7:$F$19,2,FALSE)</f>
        <v>1</v>
      </c>
      <c r="S1967" s="737">
        <f>VLOOKUP($P1967,Allocators!$B$7:$F$19,3,FALSE)</f>
        <v>0</v>
      </c>
      <c r="T1967" s="737" t="str">
        <f t="shared" si="899"/>
        <v>0.0%</v>
      </c>
      <c r="U1967" s="2">
        <f t="shared" si="905"/>
        <v>-46.278792916666703</v>
      </c>
      <c r="V1967" s="2">
        <f t="shared" si="906"/>
        <v>0</v>
      </c>
      <c r="W1967" s="2">
        <f t="shared" si="907"/>
        <v>0</v>
      </c>
      <c r="X1967" s="2">
        <f t="shared" si="903"/>
        <v>-46.278792916666703</v>
      </c>
      <c r="Y1967" s="2">
        <f t="shared" si="908"/>
        <v>-161.92113000000001</v>
      </c>
      <c r="Z1967" s="2">
        <f t="shared" si="909"/>
        <v>0</v>
      </c>
      <c r="AA1967" s="2">
        <f t="shared" si="910"/>
        <v>0</v>
      </c>
      <c r="AB1967" s="2">
        <f t="shared" si="904"/>
        <v>-161.92113000000001</v>
      </c>
      <c r="AC1967" s="625">
        <v>1.3386400000000001</v>
      </c>
      <c r="AD1967" s="625">
        <v>1.3386400000000001</v>
      </c>
      <c r="AE1967" s="625">
        <v>1.3386400000000001</v>
      </c>
      <c r="AF1967" s="625">
        <v>1.3386400000000001</v>
      </c>
      <c r="AG1967" s="625">
        <v>1.3386400000000001</v>
      </c>
      <c r="AH1967" s="625">
        <v>1.3386400000000001</v>
      </c>
      <c r="AI1967" s="625">
        <v>1.3386400000000001</v>
      </c>
      <c r="AJ1967" s="625">
        <v>1.3386400000000001</v>
      </c>
      <c r="AK1967" s="625">
        <v>1.3386400000000001</v>
      </c>
      <c r="AL1967" s="625">
        <v>-161.92113000000001</v>
      </c>
      <c r="AM1967" s="625">
        <v>-161.92113000000001</v>
      </c>
      <c r="AN1967" s="625">
        <v>-161.92113000000001</v>
      </c>
      <c r="AO1967" s="625">
        <v>-161.92113000000001</v>
      </c>
      <c r="AP1967" s="41" t="str">
        <f t="shared" si="900"/>
        <v>Def TaxR</v>
      </c>
      <c r="AQ1967" s="41" t="str">
        <f t="shared" si="901"/>
        <v>Def TaxRR11Tax Gain / Loss on Retirement</v>
      </c>
      <c r="AR1967" s="41" t="str">
        <f t="shared" si="902"/>
        <v>R11Tax Gain / Loss on Retirement</v>
      </c>
    </row>
    <row r="1968" spans="1:44" s="41" customFormat="1" ht="12.75" customHeight="1">
      <c r="A1968" s="25" t="s">
        <v>1590</v>
      </c>
      <c r="B1968" s="25" t="str">
        <f t="shared" si="898"/>
        <v>Def Tax282200282-009BT010190</v>
      </c>
      <c r="C1968" s="736">
        <v>282200</v>
      </c>
      <c r="D1968" s="735" t="s">
        <v>2096</v>
      </c>
      <c r="E1968" s="41" t="s">
        <v>2097</v>
      </c>
      <c r="F1968" s="41" t="str">
        <f t="shared" si="893"/>
        <v>ACCUM DEF INC TAX-OTH PROP-FEDERAL-ELECTRIC</v>
      </c>
      <c r="G1968" s="41" t="s">
        <v>2098</v>
      </c>
      <c r="H1968" s="736" t="s">
        <v>2092</v>
      </c>
      <c r="I1968" s="25"/>
      <c r="J1968" s="25" t="str">
        <f t="shared" si="894"/>
        <v/>
      </c>
      <c r="K1968" s="442" t="str">
        <f t="shared" si="924"/>
        <v/>
      </c>
      <c r="L1968" s="736" t="s">
        <v>2443</v>
      </c>
      <c r="M1968" s="25" t="str">
        <f t="shared" si="912"/>
        <v>R</v>
      </c>
      <c r="N1968" s="25" t="str">
        <f>IF(L1968&lt;&gt;"",VLOOKUP(L1968,Categories!$B$2:$D$41,2,FALSE),IF(F1968&lt;&gt;"","No Cat",""))</f>
        <v>Rate Base</v>
      </c>
      <c r="O1968" s="25" t="str">
        <f>IF($L1968&lt;&gt;"",VLOOKUP($L1968,Categories!$B$2:$D$41,3,FALSE),IF($F1968&lt;&gt;"","No Cat",""))</f>
        <v>Deferred Income Taxes</v>
      </c>
      <c r="P1968" s="736" t="s">
        <v>2482</v>
      </c>
      <c r="Q1968" s="25" t="str">
        <f>VLOOKUP($P1968,Allocators!$B$7:$F$19,5,FALSE)</f>
        <v>Electric</v>
      </c>
      <c r="R1968" s="737">
        <f>VLOOKUP($P1968,Allocators!$B$7:$F$19,2,FALSE)</f>
        <v>1</v>
      </c>
      <c r="S1968" s="737">
        <f>VLOOKUP($P1968,Allocators!$B$7:$F$19,3,FALSE)</f>
        <v>0</v>
      </c>
      <c r="T1968" s="737" t="str">
        <f t="shared" si="899"/>
        <v>0.0%</v>
      </c>
      <c r="U1968" s="2">
        <f t="shared" si="905"/>
        <v>-12118.027308750001</v>
      </c>
      <c r="V1968" s="2">
        <f t="shared" si="906"/>
        <v>0</v>
      </c>
      <c r="W1968" s="2">
        <f t="shared" si="907"/>
        <v>0</v>
      </c>
      <c r="X1968" s="2">
        <f t="shared" si="903"/>
        <v>-12118.027308750001</v>
      </c>
      <c r="Y1968" s="2">
        <f t="shared" si="908"/>
        <v>-12081.11586</v>
      </c>
      <c r="Z1968" s="2">
        <f t="shared" si="909"/>
        <v>0</v>
      </c>
      <c r="AA1968" s="2">
        <f t="shared" si="910"/>
        <v>0</v>
      </c>
      <c r="AB1968" s="2">
        <f t="shared" si="904"/>
        <v>-12081.11586</v>
      </c>
      <c r="AC1968" s="625">
        <v>-11487.658029999999</v>
      </c>
      <c r="AD1968" s="625">
        <v>-11670.569</v>
      </c>
      <c r="AE1968" s="625">
        <v>-11853.479960000001</v>
      </c>
      <c r="AF1968" s="625">
        <v>-12036.39092</v>
      </c>
      <c r="AG1968" s="625">
        <v>-12219.301890000001</v>
      </c>
      <c r="AH1968" s="625">
        <v>-12402.21285</v>
      </c>
      <c r="AI1968" s="625">
        <v>-12585.123820000001</v>
      </c>
      <c r="AJ1968" s="625">
        <v>-12768.03479</v>
      </c>
      <c r="AK1968" s="625">
        <v>-12950.945750000001</v>
      </c>
      <c r="AL1968" s="625">
        <v>-11532.382960000001</v>
      </c>
      <c r="AM1968" s="625">
        <v>-11715.29393</v>
      </c>
      <c r="AN1968" s="625">
        <v>-11898.204890000001</v>
      </c>
      <c r="AO1968" s="625">
        <v>-12081.11586</v>
      </c>
      <c r="AP1968" s="41" t="str">
        <f t="shared" si="900"/>
        <v>Def TaxR</v>
      </c>
      <c r="AQ1968" s="41" t="str">
        <f t="shared" si="901"/>
        <v>Def TaxRR11Tax Gain / Loss on Retirement</v>
      </c>
      <c r="AR1968" s="41" t="str">
        <f t="shared" si="902"/>
        <v>R11Tax Gain / Loss on Retirement</v>
      </c>
    </row>
    <row r="1969" spans="1:44" s="41" customFormat="1" ht="12.75" customHeight="1">
      <c r="A1969" s="25" t="s">
        <v>1590</v>
      </c>
      <c r="B1969" s="25" t="str">
        <f t="shared" ref="B1969:B1972" si="925">CONCATENATE(A1969,C1969,D1969,E1969)</f>
        <v>Def Tax282200BT010110</v>
      </c>
      <c r="C1969" s="736">
        <v>282200</v>
      </c>
      <c r="D1969" s="735"/>
      <c r="E1969" s="41" t="s">
        <v>2186</v>
      </c>
      <c r="F1969" s="41" t="str">
        <f t="shared" si="893"/>
        <v>ACCUM DEF INC TAX-OTH PROP-FEDERAL-ELECTRIC</v>
      </c>
      <c r="G1969" s="41" t="s">
        <v>4120</v>
      </c>
      <c r="H1969" s="736">
        <v>0</v>
      </c>
      <c r="I1969" s="25"/>
      <c r="J1969" s="25" t="str">
        <f t="shared" ref="J1969" si="926">IF(L1969="N10","Y",IF(L1969="N8","Y",""))</f>
        <v/>
      </c>
      <c r="K1969" s="442" t="str">
        <f t="shared" si="924"/>
        <v/>
      </c>
      <c r="L1969" s="736" t="s">
        <v>2421</v>
      </c>
      <c r="M1969" s="25" t="str">
        <f t="shared" ref="M1969" si="927">LEFT(L1969,1)</f>
        <v>N</v>
      </c>
      <c r="N1969" s="25" t="str">
        <f>IF(L1969&lt;&gt;"",VLOOKUP(L1969,Categories!$B$2:$D$41,2,FALSE),IF(F1969&lt;&gt;"","No Cat",""))</f>
        <v>NRBASE</v>
      </c>
      <c r="O1969" s="25" t="str">
        <f>IF($L1969&lt;&gt;"",VLOOKUP($L1969,Categories!$B$2:$D$41,3,FALSE),IF($F1969&lt;&gt;"","No Cat",""))</f>
        <v>Direct Assign Items Not in RB</v>
      </c>
      <c r="P1969" s="736" t="s">
        <v>2468</v>
      </c>
      <c r="Q1969" s="25" t="str">
        <f>VLOOKUP($P1969,Allocators!$B$7:$F$19,5,FALSE)</f>
        <v>Not in Rate Base</v>
      </c>
      <c r="R1969" s="737">
        <f>VLOOKUP($P1969,Allocators!$B$7:$F$19,2,FALSE)</f>
        <v>0</v>
      </c>
      <c r="S1969" s="737">
        <f>VLOOKUP($P1969,Allocators!$B$7:$F$19,3,FALSE)</f>
        <v>0</v>
      </c>
      <c r="T1969" s="737">
        <f t="shared" ref="T1969" si="928">IF(P1969="N",1,"0.0%")</f>
        <v>1</v>
      </c>
      <c r="U1969" s="2">
        <f t="shared" si="905"/>
        <v>0</v>
      </c>
      <c r="V1969" s="2">
        <f t="shared" si="906"/>
        <v>0</v>
      </c>
      <c r="W1969" s="2">
        <f t="shared" si="907"/>
        <v>4.3570799999999998</v>
      </c>
      <c r="X1969" s="2">
        <f t="shared" si="903"/>
        <v>4.3570799999999998</v>
      </c>
      <c r="Y1969" s="2">
        <f t="shared" si="908"/>
        <v>0</v>
      </c>
      <c r="Z1969" s="2">
        <f t="shared" si="909"/>
        <v>0</v>
      </c>
      <c r="AA1969" s="2">
        <f t="shared" si="910"/>
        <v>4.3570799999999998</v>
      </c>
      <c r="AB1969" s="2">
        <f t="shared" si="904"/>
        <v>4.3570799999999998</v>
      </c>
      <c r="AC1969" s="625">
        <v>4.3570799999999998</v>
      </c>
      <c r="AD1969" s="625">
        <v>4.3570799999999998</v>
      </c>
      <c r="AE1969" s="625">
        <v>4.3570799999999998</v>
      </c>
      <c r="AF1969" s="625">
        <v>4.3570799999999998</v>
      </c>
      <c r="AG1969" s="625">
        <v>4.3570799999999998</v>
      </c>
      <c r="AH1969" s="625">
        <v>4.3570799999999998</v>
      </c>
      <c r="AI1969" s="625">
        <v>4.3570799999999998</v>
      </c>
      <c r="AJ1969" s="625">
        <v>4.3570799999999998</v>
      </c>
      <c r="AK1969" s="625">
        <v>4.3570799999999998</v>
      </c>
      <c r="AL1969" s="625">
        <v>4.3570799999999998</v>
      </c>
      <c r="AM1969" s="625">
        <v>4.3570799999999998</v>
      </c>
      <c r="AN1969" s="625">
        <v>4.3570799999999998</v>
      </c>
      <c r="AO1969" s="625">
        <v>4.3570799999999998</v>
      </c>
      <c r="AP1969" s="41" t="str">
        <f t="shared" si="900"/>
        <v>Def TaxN</v>
      </c>
      <c r="AQ1969" s="41" t="str">
        <f t="shared" si="901"/>
        <v>Def TaxNN20</v>
      </c>
      <c r="AR1969" s="41" t="str">
        <f t="shared" si="902"/>
        <v>N20</v>
      </c>
    </row>
    <row r="1970" spans="1:44" s="41" customFormat="1" ht="12.75" customHeight="1">
      <c r="A1970" s="25" t="s">
        <v>1590</v>
      </c>
      <c r="B1970" s="25" t="str">
        <f t="shared" si="925"/>
        <v>Def Tax282200BT010111</v>
      </c>
      <c r="C1970" s="736">
        <v>282200</v>
      </c>
      <c r="D1970" s="735"/>
      <c r="E1970" s="41" t="s">
        <v>2183</v>
      </c>
      <c r="F1970" s="41" t="str">
        <f t="shared" si="893"/>
        <v>ACCUM DEF INC TAX-OTH PROP-FEDERAL-ELECTRIC</v>
      </c>
      <c r="G1970" s="41" t="s">
        <v>2187</v>
      </c>
      <c r="H1970" s="736">
        <v>0</v>
      </c>
      <c r="I1970" s="25"/>
      <c r="J1970" s="25" t="str">
        <f t="shared" ref="J1970:J1971" si="929">IF(L1970="N10","Y",IF(L1970="N8","Y",""))</f>
        <v/>
      </c>
      <c r="K1970" s="442" t="str">
        <f t="shared" si="924"/>
        <v/>
      </c>
      <c r="L1970" s="736" t="s">
        <v>2421</v>
      </c>
      <c r="M1970" s="25" t="str">
        <f t="shared" ref="M1970:M1972" si="930">LEFT(L1970,1)</f>
        <v>N</v>
      </c>
      <c r="N1970" s="25" t="str">
        <f>IF(L1970&lt;&gt;"",VLOOKUP(L1970,Categories!$B$2:$D$41,2,FALSE),IF(F1970&lt;&gt;"","No Cat",""))</f>
        <v>NRBASE</v>
      </c>
      <c r="O1970" s="25" t="str">
        <f>IF($L1970&lt;&gt;"",VLOOKUP($L1970,Categories!$B$2:$D$41,3,FALSE),IF($F1970&lt;&gt;"","No Cat",""))</f>
        <v>Direct Assign Items Not in RB</v>
      </c>
      <c r="P1970" s="736" t="s">
        <v>2468</v>
      </c>
      <c r="Q1970" s="25" t="str">
        <f>VLOOKUP($P1970,Allocators!$B$7:$F$19,5,FALSE)</f>
        <v>Not in Rate Base</v>
      </c>
      <c r="R1970" s="737">
        <f>VLOOKUP($P1970,Allocators!$B$7:$F$19,2,FALSE)</f>
        <v>0</v>
      </c>
      <c r="S1970" s="737">
        <f>VLOOKUP($P1970,Allocators!$B$7:$F$19,3,FALSE)</f>
        <v>0</v>
      </c>
      <c r="T1970" s="737">
        <f t="shared" ref="T1970:T1972" si="931">IF(P1970="N",1,"0.0%")</f>
        <v>1</v>
      </c>
      <c r="U1970" s="2">
        <f t="shared" si="905"/>
        <v>0</v>
      </c>
      <c r="V1970" s="2">
        <f t="shared" si="906"/>
        <v>0</v>
      </c>
      <c r="W1970" s="2">
        <f t="shared" si="907"/>
        <v>6.4145000000000003</v>
      </c>
      <c r="X1970" s="2">
        <f t="shared" si="903"/>
        <v>6.4145000000000003</v>
      </c>
      <c r="Y1970" s="2">
        <f t="shared" si="908"/>
        <v>0</v>
      </c>
      <c r="Z1970" s="2">
        <f t="shared" si="909"/>
        <v>0</v>
      </c>
      <c r="AA1970" s="2">
        <f t="shared" si="910"/>
        <v>6.4145000000000003</v>
      </c>
      <c r="AB1970" s="2">
        <f t="shared" si="904"/>
        <v>6.4145000000000003</v>
      </c>
      <c r="AC1970" s="625">
        <v>6.4145000000000003</v>
      </c>
      <c r="AD1970" s="625">
        <v>6.4145000000000003</v>
      </c>
      <c r="AE1970" s="625">
        <v>6.4145000000000003</v>
      </c>
      <c r="AF1970" s="625">
        <v>6.4145000000000003</v>
      </c>
      <c r="AG1970" s="625">
        <v>6.4145000000000003</v>
      </c>
      <c r="AH1970" s="625">
        <v>6.4145000000000003</v>
      </c>
      <c r="AI1970" s="625">
        <v>6.4145000000000003</v>
      </c>
      <c r="AJ1970" s="625">
        <v>6.4145000000000003</v>
      </c>
      <c r="AK1970" s="625">
        <v>6.4145000000000003</v>
      </c>
      <c r="AL1970" s="625">
        <v>6.4145000000000003</v>
      </c>
      <c r="AM1970" s="625">
        <v>6.4145000000000003</v>
      </c>
      <c r="AN1970" s="625">
        <v>6.4145000000000003</v>
      </c>
      <c r="AO1970" s="625">
        <v>6.4145000000000003</v>
      </c>
      <c r="AP1970" s="41" t="str">
        <f t="shared" si="900"/>
        <v>Def TaxN</v>
      </c>
      <c r="AQ1970" s="41" t="str">
        <f t="shared" si="901"/>
        <v>Def TaxNN20</v>
      </c>
      <c r="AR1970" s="41" t="str">
        <f t="shared" si="902"/>
        <v>N20</v>
      </c>
    </row>
    <row r="1971" spans="1:44" s="41" customFormat="1" ht="12.75" customHeight="1">
      <c r="A1971" s="25" t="s">
        <v>1590</v>
      </c>
      <c r="B1971" s="25" t="str">
        <f t="shared" si="925"/>
        <v>Def Tax282200BT010177</v>
      </c>
      <c r="C1971" s="736">
        <v>282200</v>
      </c>
      <c r="D1971" s="735"/>
      <c r="E1971" s="41" t="s">
        <v>1684</v>
      </c>
      <c r="F1971" s="41" t="str">
        <f t="shared" si="893"/>
        <v>ACCUM DEF INC TAX-OTH PROP-FEDERAL-ELECTRIC</v>
      </c>
      <c r="G1971" s="41" t="s">
        <v>1683</v>
      </c>
      <c r="H1971" s="736" t="s">
        <v>1124</v>
      </c>
      <c r="I1971" s="25"/>
      <c r="J1971" s="25" t="str">
        <f t="shared" si="929"/>
        <v/>
      </c>
      <c r="K1971" s="442" t="str">
        <f t="shared" si="924"/>
        <v/>
      </c>
      <c r="L1971" s="736" t="s">
        <v>2443</v>
      </c>
      <c r="M1971" s="25" t="str">
        <f t="shared" si="930"/>
        <v>R</v>
      </c>
      <c r="N1971" s="25" t="str">
        <f>IF(L1971&lt;&gt;"",VLOOKUP(L1971,Categories!$B$2:$D$41,2,FALSE),IF(F1971&lt;&gt;"","No Cat",""))</f>
        <v>Rate Base</v>
      </c>
      <c r="O1971" s="25" t="str">
        <f>IF($L1971&lt;&gt;"",VLOOKUP($L1971,Categories!$B$2:$D$41,3,FALSE),IF($F1971&lt;&gt;"","No Cat",""))</f>
        <v>Deferred Income Taxes</v>
      </c>
      <c r="P1971" s="736" t="s">
        <v>2482</v>
      </c>
      <c r="Q1971" s="25" t="str">
        <f>VLOOKUP($P1971,Allocators!$B$7:$F$19,5,FALSE)</f>
        <v>Electric</v>
      </c>
      <c r="R1971" s="737">
        <f>VLOOKUP($P1971,Allocators!$B$7:$F$19,2,FALSE)</f>
        <v>1</v>
      </c>
      <c r="S1971" s="737">
        <f>VLOOKUP($P1971,Allocators!$B$7:$F$19,3,FALSE)</f>
        <v>0</v>
      </c>
      <c r="T1971" s="737" t="str">
        <f t="shared" si="931"/>
        <v>0.0%</v>
      </c>
      <c r="U1971" s="2">
        <f t="shared" si="905"/>
        <v>231.51580000000001</v>
      </c>
      <c r="V1971" s="2">
        <f t="shared" si="906"/>
        <v>0</v>
      </c>
      <c r="W1971" s="2">
        <f t="shared" si="907"/>
        <v>0</v>
      </c>
      <c r="X1971" s="2">
        <f t="shared" si="903"/>
        <v>231.51580000000001</v>
      </c>
      <c r="Y1971" s="2">
        <f t="shared" si="908"/>
        <v>236.9408</v>
      </c>
      <c r="Z1971" s="2">
        <f t="shared" si="909"/>
        <v>0</v>
      </c>
      <c r="AA1971" s="2">
        <f t="shared" si="910"/>
        <v>0</v>
      </c>
      <c r="AB1971" s="2">
        <f t="shared" si="904"/>
        <v>236.9408</v>
      </c>
      <c r="AC1971" s="625">
        <v>226.0908</v>
      </c>
      <c r="AD1971" s="625">
        <v>226.99497</v>
      </c>
      <c r="AE1971" s="625">
        <v>227.89913000000001</v>
      </c>
      <c r="AF1971" s="625">
        <v>228.80329999999998</v>
      </c>
      <c r="AG1971" s="625">
        <v>229.70747</v>
      </c>
      <c r="AH1971" s="625">
        <v>230.61162999999999</v>
      </c>
      <c r="AI1971" s="625">
        <v>231.51579999999998</v>
      </c>
      <c r="AJ1971" s="625">
        <v>232.41997000000001</v>
      </c>
      <c r="AK1971" s="625">
        <v>233.32413</v>
      </c>
      <c r="AL1971" s="625">
        <v>234.22829999999999</v>
      </c>
      <c r="AM1971" s="625">
        <v>235.13247000000001</v>
      </c>
      <c r="AN1971" s="625">
        <v>236.03663</v>
      </c>
      <c r="AO1971" s="625">
        <v>236.9408</v>
      </c>
      <c r="AP1971" s="41" t="str">
        <f t="shared" si="900"/>
        <v>Def TaxR</v>
      </c>
      <c r="AQ1971" s="41" t="str">
        <f t="shared" si="901"/>
        <v>Def TaxRR11R&amp;D Tax Credit Deferral</v>
      </c>
      <c r="AR1971" s="41" t="str">
        <f t="shared" si="902"/>
        <v>R11R&amp;D Tax Credit Deferral</v>
      </c>
    </row>
    <row r="1972" spans="1:44" s="41" customFormat="1" ht="12.75" customHeight="1">
      <c r="A1972" s="25" t="s">
        <v>1590</v>
      </c>
      <c r="B1972" s="25" t="str">
        <f t="shared" si="925"/>
        <v>Def Tax282200BT010188</v>
      </c>
      <c r="C1972" s="736">
        <v>282200</v>
      </c>
      <c r="D1972" s="735"/>
      <c r="E1972" s="41" t="s">
        <v>4121</v>
      </c>
      <c r="F1972" s="41" t="str">
        <f t="shared" si="893"/>
        <v>ACCUM DEF INC TAX-OTH PROP-FEDERAL-ELECTRIC</v>
      </c>
      <c r="G1972" s="41" t="s">
        <v>2233</v>
      </c>
      <c r="H1972" s="736" t="s">
        <v>2233</v>
      </c>
      <c r="I1972" s="25"/>
      <c r="J1972" s="25" t="str">
        <f t="shared" ref="J1972" si="932">IF(L1972="N10","Y",IF(L1972="N8","Y",""))</f>
        <v/>
      </c>
      <c r="K1972" s="442" t="str">
        <f t="shared" si="924"/>
        <v/>
      </c>
      <c r="L1972" s="736" t="s">
        <v>2443</v>
      </c>
      <c r="M1972" s="25" t="str">
        <f t="shared" si="930"/>
        <v>R</v>
      </c>
      <c r="N1972" s="25" t="str">
        <f>IF(L1972&lt;&gt;"",VLOOKUP(L1972,Categories!$B$2:$D$41,2,FALSE),IF(F1972&lt;&gt;"","No Cat",""))</f>
        <v>Rate Base</v>
      </c>
      <c r="O1972" s="25" t="str">
        <f>IF($L1972&lt;&gt;"",VLOOKUP($L1972,Categories!$B$2:$D$41,3,FALSE),IF($F1972&lt;&gt;"","No Cat",""))</f>
        <v>Deferred Income Taxes</v>
      </c>
      <c r="P1972" s="736" t="s">
        <v>2482</v>
      </c>
      <c r="Q1972" s="25" t="str">
        <f>VLOOKUP($P1972,Allocators!$B$7:$F$19,5,FALSE)</f>
        <v>Electric</v>
      </c>
      <c r="R1972" s="737">
        <f>VLOOKUP($P1972,Allocators!$B$7:$F$19,2,FALSE)</f>
        <v>1</v>
      </c>
      <c r="S1972" s="737">
        <f>VLOOKUP($P1972,Allocators!$B$7:$F$19,3,FALSE)</f>
        <v>0</v>
      </c>
      <c r="T1972" s="737" t="str">
        <f t="shared" si="931"/>
        <v>0.0%</v>
      </c>
      <c r="U1972" s="2">
        <f t="shared" si="905"/>
        <v>-9702.3821800000005</v>
      </c>
      <c r="V1972" s="2">
        <f t="shared" si="906"/>
        <v>0</v>
      </c>
      <c r="W1972" s="2">
        <f t="shared" si="907"/>
        <v>0</v>
      </c>
      <c r="X1972" s="2">
        <f t="shared" si="903"/>
        <v>-9702.3821800000005</v>
      </c>
      <c r="Y1972" s="2">
        <f t="shared" si="908"/>
        <v>-9269.8696799999998</v>
      </c>
      <c r="Z1972" s="2">
        <f t="shared" si="909"/>
        <v>0</v>
      </c>
      <c r="AA1972" s="2">
        <f t="shared" si="910"/>
        <v>0</v>
      </c>
      <c r="AB1972" s="2">
        <f t="shared" si="904"/>
        <v>-9269.8696799999998</v>
      </c>
      <c r="AC1972" s="625">
        <v>-9516.9696800000002</v>
      </c>
      <c r="AD1972" s="625">
        <v>-9496.3780100000004</v>
      </c>
      <c r="AE1972" s="625">
        <v>-9475.7863500000003</v>
      </c>
      <c r="AF1972" s="625">
        <v>-9455.1946800000005</v>
      </c>
      <c r="AG1972" s="625">
        <v>-10108.703009999999</v>
      </c>
      <c r="AH1972" s="625">
        <v>-10256.636349999999</v>
      </c>
      <c r="AI1972" s="625">
        <v>-10404.569680000001</v>
      </c>
      <c r="AJ1972" s="625">
        <v>-10552.50301</v>
      </c>
      <c r="AK1972" s="625">
        <v>-9352.2363499999992</v>
      </c>
      <c r="AL1972" s="625">
        <v>-9331.6446799999994</v>
      </c>
      <c r="AM1972" s="625">
        <v>-9311.0530099999996</v>
      </c>
      <c r="AN1972" s="625">
        <v>-9290.4613499999996</v>
      </c>
      <c r="AO1972" s="625">
        <v>-9269.8696799999998</v>
      </c>
      <c r="AP1972" s="41" t="str">
        <f t="shared" si="900"/>
        <v>Def TaxR</v>
      </c>
      <c r="AQ1972" s="41" t="str">
        <f t="shared" si="901"/>
        <v>Def TaxRR11Repair Allowance</v>
      </c>
      <c r="AR1972" s="41" t="str">
        <f t="shared" si="902"/>
        <v>R11Repair Allowance</v>
      </c>
    </row>
    <row r="1973" spans="1:44" s="41" customFormat="1" ht="12.75" customHeight="1">
      <c r="A1973" s="25" t="s">
        <v>1590</v>
      </c>
      <c r="B1973" s="25" t="str">
        <f t="shared" si="898"/>
        <v>Def Tax282200282-009-SBT010190</v>
      </c>
      <c r="C1973" s="736">
        <v>282200</v>
      </c>
      <c r="D1973" s="735" t="s">
        <v>2099</v>
      </c>
      <c r="E1973" s="41" t="s">
        <v>2097</v>
      </c>
      <c r="F1973" s="41" t="str">
        <f t="shared" si="893"/>
        <v>ACCUM DEF INC TAX-OTH PROP-FEDERAL-ELECTRIC</v>
      </c>
      <c r="G1973" s="41" t="s">
        <v>2100</v>
      </c>
      <c r="H1973" s="736" t="s">
        <v>2092</v>
      </c>
      <c r="I1973" s="25"/>
      <c r="J1973" s="25" t="str">
        <f t="shared" si="894"/>
        <v/>
      </c>
      <c r="K1973" s="442" t="str">
        <f t="shared" si="924"/>
        <v/>
      </c>
      <c r="L1973" s="736" t="s">
        <v>2443</v>
      </c>
      <c r="M1973" s="25" t="str">
        <f t="shared" si="912"/>
        <v>R</v>
      </c>
      <c r="N1973" s="25" t="str">
        <f>IF(L1973&lt;&gt;"",VLOOKUP(L1973,Categories!$B$2:$D$41,2,FALSE),IF(F1973&lt;&gt;"","No Cat",""))</f>
        <v>Rate Base</v>
      </c>
      <c r="O1973" s="25" t="str">
        <f>IF($L1973&lt;&gt;"",VLOOKUP($L1973,Categories!$B$2:$D$41,3,FALSE),IF($F1973&lt;&gt;"","No Cat",""))</f>
        <v>Deferred Income Taxes</v>
      </c>
      <c r="P1973" s="736" t="s">
        <v>2482</v>
      </c>
      <c r="Q1973" s="25" t="str">
        <f>VLOOKUP($P1973,Allocators!$B$7:$F$19,5,FALSE)</f>
        <v>Electric</v>
      </c>
      <c r="R1973" s="737">
        <f>VLOOKUP($P1973,Allocators!$B$7:$F$19,2,FALSE)</f>
        <v>1</v>
      </c>
      <c r="S1973" s="737">
        <f>VLOOKUP($P1973,Allocators!$B$7:$F$19,3,FALSE)</f>
        <v>0</v>
      </c>
      <c r="T1973" s="737" t="str">
        <f t="shared" si="899"/>
        <v>0.0%</v>
      </c>
      <c r="U1973" s="2" t="str">
        <f t="shared" si="905"/>
        <v/>
      </c>
      <c r="V1973" s="2" t="str">
        <f t="shared" si="906"/>
        <v/>
      </c>
      <c r="W1973" s="2" t="str">
        <f t="shared" si="907"/>
        <v/>
      </c>
      <c r="X1973" s="2">
        <f t="shared" si="903"/>
        <v>0</v>
      </c>
      <c r="Y1973" s="2" t="str">
        <f t="shared" si="908"/>
        <v/>
      </c>
      <c r="Z1973" s="2" t="str">
        <f t="shared" si="909"/>
        <v/>
      </c>
      <c r="AA1973" s="2" t="str">
        <f t="shared" si="910"/>
        <v/>
      </c>
      <c r="AB1973" s="2">
        <f t="shared" si="904"/>
        <v>0</v>
      </c>
      <c r="AC1973" s="625">
        <v>0</v>
      </c>
      <c r="AD1973" s="625">
        <v>0</v>
      </c>
      <c r="AE1973" s="625">
        <v>0</v>
      </c>
      <c r="AF1973" s="625">
        <v>0</v>
      </c>
      <c r="AG1973" s="625">
        <v>0</v>
      </c>
      <c r="AH1973" s="625">
        <v>0</v>
      </c>
      <c r="AI1973" s="625">
        <v>0</v>
      </c>
      <c r="AJ1973" s="625">
        <v>0</v>
      </c>
      <c r="AK1973" s="625">
        <v>0</v>
      </c>
      <c r="AL1973" s="625">
        <v>0</v>
      </c>
      <c r="AM1973" s="625">
        <v>0</v>
      </c>
      <c r="AN1973" s="625">
        <v>0</v>
      </c>
      <c r="AO1973" s="625">
        <v>0</v>
      </c>
      <c r="AP1973" s="41" t="str">
        <f t="shared" si="900"/>
        <v>Def TaxR</v>
      </c>
      <c r="AQ1973" s="41" t="str">
        <f t="shared" si="901"/>
        <v>Def TaxRR11Tax Gain / Loss on Retirement</v>
      </c>
      <c r="AR1973" s="41" t="str">
        <f t="shared" si="902"/>
        <v>R11Tax Gain / Loss on Retirement</v>
      </c>
    </row>
    <row r="1974" spans="1:44" s="41" customFormat="1" ht="12.75" customHeight="1">
      <c r="A1974" s="25" t="s">
        <v>1590</v>
      </c>
      <c r="B1974" s="25" t="str">
        <f t="shared" si="898"/>
        <v>Def Tax282200282-010BE030278</v>
      </c>
      <c r="C1974" s="736">
        <v>282200</v>
      </c>
      <c r="D1974" s="735" t="s">
        <v>2101</v>
      </c>
      <c r="E1974" s="41" t="s">
        <v>1985</v>
      </c>
      <c r="F1974" s="41" t="str">
        <f t="shared" si="893"/>
        <v>ACCUM DEF INC TAX-OTH PROP-FEDERAL-ELECTRIC</v>
      </c>
      <c r="G1974" s="41" t="s">
        <v>2102</v>
      </c>
      <c r="H1974" s="736" t="s">
        <v>2103</v>
      </c>
      <c r="I1974" s="25"/>
      <c r="J1974" s="25" t="str">
        <f t="shared" si="894"/>
        <v/>
      </c>
      <c r="K1974" s="442" t="str">
        <f t="shared" si="924"/>
        <v/>
      </c>
      <c r="L1974" s="736" t="s">
        <v>2443</v>
      </c>
      <c r="M1974" s="25" t="str">
        <f t="shared" si="912"/>
        <v>R</v>
      </c>
      <c r="N1974" s="25" t="str">
        <f>IF(L1974&lt;&gt;"",VLOOKUP(L1974,Categories!$B$2:$D$41,2,FALSE),IF(F1974&lt;&gt;"","No Cat",""))</f>
        <v>Rate Base</v>
      </c>
      <c r="O1974" s="25" t="str">
        <f>IF($L1974&lt;&gt;"",VLOOKUP($L1974,Categories!$B$2:$D$41,3,FALSE),IF($F1974&lt;&gt;"","No Cat",""))</f>
        <v>Deferred Income Taxes</v>
      </c>
      <c r="P1974" s="736" t="s">
        <v>2482</v>
      </c>
      <c r="Q1974" s="25" t="str">
        <f>VLOOKUP($P1974,Allocators!$B$7:$F$19,5,FALSE)</f>
        <v>Electric</v>
      </c>
      <c r="R1974" s="737">
        <f>VLOOKUP($P1974,Allocators!$B$7:$F$19,2,FALSE)</f>
        <v>1</v>
      </c>
      <c r="S1974" s="737">
        <f>VLOOKUP($P1974,Allocators!$B$7:$F$19,3,FALSE)</f>
        <v>0</v>
      </c>
      <c r="T1974" s="737" t="str">
        <f t="shared" si="899"/>
        <v>0.0%</v>
      </c>
      <c r="U1974" s="2">
        <f t="shared" si="905"/>
        <v>-5672.6692254166701</v>
      </c>
      <c r="V1974" s="2">
        <f t="shared" si="906"/>
        <v>0</v>
      </c>
      <c r="W1974" s="2">
        <f t="shared" si="907"/>
        <v>0</v>
      </c>
      <c r="X1974" s="2">
        <f t="shared" si="903"/>
        <v>-5672.6692254166701</v>
      </c>
      <c r="Y1974" s="2">
        <f t="shared" si="908"/>
        <v>-5714.0615699999998</v>
      </c>
      <c r="Z1974" s="2">
        <f t="shared" si="909"/>
        <v>0</v>
      </c>
      <c r="AA1974" s="2">
        <f t="shared" si="910"/>
        <v>0</v>
      </c>
      <c r="AB1974" s="2">
        <f t="shared" si="904"/>
        <v>-5714.0615699999998</v>
      </c>
      <c r="AC1974" s="625">
        <v>-5623.7510000000002</v>
      </c>
      <c r="AD1974" s="625">
        <v>-5623.7510000000002</v>
      </c>
      <c r="AE1974" s="625">
        <v>-5623.7510000000002</v>
      </c>
      <c r="AF1974" s="625">
        <v>-5623.7510000000002</v>
      </c>
      <c r="AG1974" s="625">
        <v>-5623.7510000000002</v>
      </c>
      <c r="AH1974" s="625">
        <v>-5623.7510000000002</v>
      </c>
      <c r="AI1974" s="625">
        <v>-5714.0615699999998</v>
      </c>
      <c r="AJ1974" s="625">
        <v>-5714.0615699999998</v>
      </c>
      <c r="AK1974" s="625">
        <v>-5714.0615699999998</v>
      </c>
      <c r="AL1974" s="625">
        <v>-5714.0615699999998</v>
      </c>
      <c r="AM1974" s="625">
        <v>-5714.0615699999998</v>
      </c>
      <c r="AN1974" s="625">
        <v>-5714.0615699999998</v>
      </c>
      <c r="AO1974" s="625">
        <v>-5714.0615699999998</v>
      </c>
      <c r="AP1974" s="41" t="str">
        <f t="shared" si="900"/>
        <v>Def TaxR</v>
      </c>
      <c r="AQ1974" s="41" t="str">
        <f t="shared" si="901"/>
        <v>Def TaxRR11Russell Retirement</v>
      </c>
      <c r="AR1974" s="41" t="str">
        <f t="shared" si="902"/>
        <v>R11Russell Retirement</v>
      </c>
    </row>
    <row r="1975" spans="1:44" s="41" customFormat="1" ht="12.75" customHeight="1">
      <c r="A1975" s="25" t="s">
        <v>1590</v>
      </c>
      <c r="B1975" s="25" t="str">
        <f t="shared" si="898"/>
        <v>Def Tax282200282-010-SBE030278</v>
      </c>
      <c r="C1975" s="736">
        <v>282200</v>
      </c>
      <c r="D1975" s="735" t="s">
        <v>2104</v>
      </c>
      <c r="E1975" s="41" t="s">
        <v>1985</v>
      </c>
      <c r="F1975" s="41" t="str">
        <f t="shared" si="893"/>
        <v>ACCUM DEF INC TAX-OTH PROP-FEDERAL-ELECTRIC</v>
      </c>
      <c r="G1975" s="41" t="s">
        <v>2105</v>
      </c>
      <c r="H1975" s="736" t="s">
        <v>2103</v>
      </c>
      <c r="I1975" s="25"/>
      <c r="J1975" s="25" t="str">
        <f t="shared" si="894"/>
        <v/>
      </c>
      <c r="K1975" s="442" t="str">
        <f t="shared" si="924"/>
        <v/>
      </c>
      <c r="L1975" s="736" t="s">
        <v>2443</v>
      </c>
      <c r="M1975" s="25" t="str">
        <f t="shared" si="912"/>
        <v>R</v>
      </c>
      <c r="N1975" s="25" t="str">
        <f>IF(L1975&lt;&gt;"",VLOOKUP(L1975,Categories!$B$2:$D$41,2,FALSE),IF(F1975&lt;&gt;"","No Cat",""))</f>
        <v>Rate Base</v>
      </c>
      <c r="O1975" s="25" t="str">
        <f>IF($L1975&lt;&gt;"",VLOOKUP($L1975,Categories!$B$2:$D$41,3,FALSE),IF($F1975&lt;&gt;"","No Cat",""))</f>
        <v>Deferred Income Taxes</v>
      </c>
      <c r="P1975" s="736" t="s">
        <v>2482</v>
      </c>
      <c r="Q1975" s="25" t="str">
        <f>VLOOKUP($P1975,Allocators!$B$7:$F$19,5,FALSE)</f>
        <v>Electric</v>
      </c>
      <c r="R1975" s="737">
        <f>VLOOKUP($P1975,Allocators!$B$7:$F$19,2,FALSE)</f>
        <v>1</v>
      </c>
      <c r="S1975" s="737">
        <f>VLOOKUP($P1975,Allocators!$B$7:$F$19,3,FALSE)</f>
        <v>0</v>
      </c>
      <c r="T1975" s="737" t="str">
        <f t="shared" si="899"/>
        <v>0.0%</v>
      </c>
      <c r="U1975" s="2" t="str">
        <f t="shared" si="905"/>
        <v/>
      </c>
      <c r="V1975" s="2" t="str">
        <f t="shared" si="906"/>
        <v/>
      </c>
      <c r="W1975" s="2" t="str">
        <f t="shared" si="907"/>
        <v/>
      </c>
      <c r="X1975" s="2">
        <f t="shared" si="903"/>
        <v>0</v>
      </c>
      <c r="Y1975" s="2" t="str">
        <f t="shared" si="908"/>
        <v/>
      </c>
      <c r="Z1975" s="2" t="str">
        <f t="shared" si="909"/>
        <v/>
      </c>
      <c r="AA1975" s="2" t="str">
        <f t="shared" si="910"/>
        <v/>
      </c>
      <c r="AB1975" s="2">
        <f t="shared" si="904"/>
        <v>0</v>
      </c>
      <c r="AC1975" s="625">
        <v>0</v>
      </c>
      <c r="AD1975" s="625">
        <v>0</v>
      </c>
      <c r="AE1975" s="625">
        <v>0</v>
      </c>
      <c r="AF1975" s="625">
        <v>0</v>
      </c>
      <c r="AG1975" s="625">
        <v>0</v>
      </c>
      <c r="AH1975" s="625">
        <v>0</v>
      </c>
      <c r="AI1975" s="625">
        <v>0</v>
      </c>
      <c r="AJ1975" s="625">
        <v>0</v>
      </c>
      <c r="AK1975" s="625">
        <v>0</v>
      </c>
      <c r="AL1975" s="625">
        <v>0</v>
      </c>
      <c r="AM1975" s="625">
        <v>0</v>
      </c>
      <c r="AN1975" s="625">
        <v>0</v>
      </c>
      <c r="AO1975" s="625">
        <v>0</v>
      </c>
      <c r="AP1975" s="41" t="str">
        <f t="shared" si="900"/>
        <v>Def TaxR</v>
      </c>
      <c r="AQ1975" s="41" t="str">
        <f t="shared" si="901"/>
        <v>Def TaxRR11Russell Retirement</v>
      </c>
      <c r="AR1975" s="41" t="str">
        <f t="shared" si="902"/>
        <v>R11Russell Retirement</v>
      </c>
    </row>
    <row r="1976" spans="1:44" s="41" customFormat="1" ht="12.75" customHeight="1">
      <c r="A1976" s="25" t="s">
        <v>1590</v>
      </c>
      <c r="B1976" s="25" t="str">
        <f t="shared" si="898"/>
        <v>Def Tax282200282-011</v>
      </c>
      <c r="C1976" s="736">
        <v>282200</v>
      </c>
      <c r="D1976" s="735" t="s">
        <v>2106</v>
      </c>
      <c r="F1976" s="41" t="str">
        <f t="shared" si="893"/>
        <v>ACCUM DEF INC TAX-OTH PROP-FEDERAL-ELECTRIC</v>
      </c>
      <c r="G1976" s="41" t="s">
        <v>2107</v>
      </c>
      <c r="H1976" s="736" t="s">
        <v>2108</v>
      </c>
      <c r="I1976" s="25"/>
      <c r="J1976" s="25" t="str">
        <f t="shared" si="894"/>
        <v/>
      </c>
      <c r="K1976" s="442" t="str">
        <f t="shared" si="924"/>
        <v/>
      </c>
      <c r="L1976" s="736" t="s">
        <v>2443</v>
      </c>
      <c r="M1976" s="25" t="str">
        <f t="shared" si="912"/>
        <v>R</v>
      </c>
      <c r="N1976" s="25" t="str">
        <f>IF(L1976&lt;&gt;"",VLOOKUP(L1976,Categories!$B$2:$D$41,2,FALSE),IF(F1976&lt;&gt;"","No Cat",""))</f>
        <v>Rate Base</v>
      </c>
      <c r="O1976" s="25" t="str">
        <f>IF($L1976&lt;&gt;"",VLOOKUP($L1976,Categories!$B$2:$D$41,3,FALSE),IF($F1976&lt;&gt;"","No Cat",""))</f>
        <v>Deferred Income Taxes</v>
      </c>
      <c r="P1976" s="736" t="s">
        <v>2482</v>
      </c>
      <c r="Q1976" s="25" t="str">
        <f>VLOOKUP($P1976,Allocators!$B$7:$F$19,5,FALSE)</f>
        <v>Electric</v>
      </c>
      <c r="R1976" s="737">
        <f>VLOOKUP($P1976,Allocators!$B$7:$F$19,2,FALSE)</f>
        <v>1</v>
      </c>
      <c r="S1976" s="737">
        <f>VLOOKUP($P1976,Allocators!$B$7:$F$19,3,FALSE)</f>
        <v>0</v>
      </c>
      <c r="T1976" s="737" t="str">
        <f t="shared" si="899"/>
        <v>0.0%</v>
      </c>
      <c r="U1976" s="2" t="str">
        <f t="shared" si="905"/>
        <v/>
      </c>
      <c r="V1976" s="2" t="str">
        <f t="shared" si="906"/>
        <v/>
      </c>
      <c r="W1976" s="2" t="str">
        <f t="shared" si="907"/>
        <v/>
      </c>
      <c r="X1976" s="2">
        <f t="shared" si="903"/>
        <v>0</v>
      </c>
      <c r="Y1976" s="2" t="str">
        <f t="shared" si="908"/>
        <v/>
      </c>
      <c r="Z1976" s="2" t="str">
        <f t="shared" si="909"/>
        <v/>
      </c>
      <c r="AA1976" s="2" t="str">
        <f t="shared" si="910"/>
        <v/>
      </c>
      <c r="AB1976" s="2">
        <f t="shared" si="904"/>
        <v>0</v>
      </c>
      <c r="AC1976" s="625">
        <v>0</v>
      </c>
      <c r="AD1976" s="625">
        <v>0</v>
      </c>
      <c r="AE1976" s="625">
        <v>0</v>
      </c>
      <c r="AF1976" s="625">
        <v>0</v>
      </c>
      <c r="AG1976" s="625">
        <v>0</v>
      </c>
      <c r="AH1976" s="625">
        <v>0</v>
      </c>
      <c r="AI1976" s="625">
        <v>0</v>
      </c>
      <c r="AJ1976" s="625">
        <v>0</v>
      </c>
      <c r="AK1976" s="625">
        <v>0</v>
      </c>
      <c r="AL1976" s="625">
        <v>0</v>
      </c>
      <c r="AM1976" s="625">
        <v>0</v>
      </c>
      <c r="AN1976" s="625">
        <v>0</v>
      </c>
      <c r="AO1976" s="625">
        <v>0</v>
      </c>
      <c r="AP1976" s="41" t="str">
        <f t="shared" si="900"/>
        <v>Def TaxR</v>
      </c>
      <c r="AQ1976" s="41" t="str">
        <f t="shared" si="901"/>
        <v>Def TaxRR11Ginna Inventory</v>
      </c>
      <c r="AR1976" s="41" t="str">
        <f t="shared" si="902"/>
        <v>R11Ginna Inventory</v>
      </c>
    </row>
    <row r="1977" spans="1:44" s="41" customFormat="1" ht="12.75" customHeight="1">
      <c r="A1977" s="25" t="s">
        <v>1590</v>
      </c>
      <c r="B1977" s="25" t="str">
        <f t="shared" si="898"/>
        <v>Def Tax282200282-012BT010092</v>
      </c>
      <c r="C1977" s="736">
        <v>282200</v>
      </c>
      <c r="D1977" s="735" t="s">
        <v>2109</v>
      </c>
      <c r="E1977" s="41" t="s">
        <v>2110</v>
      </c>
      <c r="F1977" s="41" t="str">
        <f t="shared" si="893"/>
        <v>ACCUM DEF INC TAX-OTH PROP-FEDERAL-ELECTRIC</v>
      </c>
      <c r="G1977" s="41" t="s">
        <v>2111</v>
      </c>
      <c r="H1977" s="736" t="s">
        <v>2112</v>
      </c>
      <c r="I1977" s="25"/>
      <c r="J1977" s="25" t="str">
        <f t="shared" si="894"/>
        <v/>
      </c>
      <c r="K1977" s="442" t="str">
        <f t="shared" si="924"/>
        <v/>
      </c>
      <c r="L1977" s="736" t="s">
        <v>2443</v>
      </c>
      <c r="M1977" s="25" t="str">
        <f t="shared" si="912"/>
        <v>R</v>
      </c>
      <c r="N1977" s="25" t="str">
        <f>IF(L1977&lt;&gt;"",VLOOKUP(L1977,Categories!$B$2:$D$41,2,FALSE),IF(F1977&lt;&gt;"","No Cat",""))</f>
        <v>Rate Base</v>
      </c>
      <c r="O1977" s="25" t="str">
        <f>IF($L1977&lt;&gt;"",VLOOKUP($L1977,Categories!$B$2:$D$41,3,FALSE),IF($F1977&lt;&gt;"","No Cat",""))</f>
        <v>Deferred Income Taxes</v>
      </c>
      <c r="P1977" s="736" t="s">
        <v>2482</v>
      </c>
      <c r="Q1977" s="25" t="str">
        <f>VLOOKUP($P1977,Allocators!$B$7:$F$19,5,FALSE)</f>
        <v>Electric</v>
      </c>
      <c r="R1977" s="737">
        <f>VLOOKUP($P1977,Allocators!$B$7:$F$19,2,FALSE)</f>
        <v>1</v>
      </c>
      <c r="S1977" s="737">
        <f>VLOOKUP($P1977,Allocators!$B$7:$F$19,3,FALSE)</f>
        <v>0</v>
      </c>
      <c r="T1977" s="737" t="str">
        <f t="shared" si="899"/>
        <v>0.0%</v>
      </c>
      <c r="U1977" s="2">
        <f t="shared" si="905"/>
        <v>1002.856</v>
      </c>
      <c r="V1977" s="2">
        <f t="shared" si="906"/>
        <v>0</v>
      </c>
      <c r="W1977" s="2">
        <f t="shared" si="907"/>
        <v>0</v>
      </c>
      <c r="X1977" s="2">
        <f t="shared" si="903"/>
        <v>1002.856</v>
      </c>
      <c r="Y1977" s="2">
        <f t="shared" si="908"/>
        <v>1002.856</v>
      </c>
      <c r="Z1977" s="2">
        <f t="shared" si="909"/>
        <v>0</v>
      </c>
      <c r="AA1977" s="2">
        <f t="shared" si="910"/>
        <v>0</v>
      </c>
      <c r="AB1977" s="2">
        <f t="shared" si="904"/>
        <v>1002.856</v>
      </c>
      <c r="AC1977" s="625">
        <v>1002.856</v>
      </c>
      <c r="AD1977" s="625">
        <v>1002.856</v>
      </c>
      <c r="AE1977" s="625">
        <v>1002.856</v>
      </c>
      <c r="AF1977" s="625">
        <v>1002.856</v>
      </c>
      <c r="AG1977" s="625">
        <v>1002.856</v>
      </c>
      <c r="AH1977" s="625">
        <v>1002.856</v>
      </c>
      <c r="AI1977" s="625">
        <v>1002.856</v>
      </c>
      <c r="AJ1977" s="625">
        <v>1002.856</v>
      </c>
      <c r="AK1977" s="625">
        <v>1002.856</v>
      </c>
      <c r="AL1977" s="625">
        <v>1002.856</v>
      </c>
      <c r="AM1977" s="625">
        <v>1002.856</v>
      </c>
      <c r="AN1977" s="625">
        <v>1002.856</v>
      </c>
      <c r="AO1977" s="625">
        <v>1002.856</v>
      </c>
      <c r="AP1977" s="41" t="str">
        <f t="shared" si="900"/>
        <v>Def TaxR</v>
      </c>
      <c r="AQ1977" s="41" t="str">
        <f t="shared" si="901"/>
        <v>Def TaxRR11Fossil Inventory</v>
      </c>
      <c r="AR1977" s="41" t="str">
        <f t="shared" si="902"/>
        <v>R11Fossil Inventory</v>
      </c>
    </row>
    <row r="1978" spans="1:44" s="41" customFormat="1" ht="12.75" customHeight="1">
      <c r="A1978" s="25" t="s">
        <v>1590</v>
      </c>
      <c r="B1978" s="25" t="str">
        <f t="shared" si="898"/>
        <v>Def Tax282200282-013</v>
      </c>
      <c r="C1978" s="736">
        <v>282200</v>
      </c>
      <c r="D1978" s="735" t="s">
        <v>2113</v>
      </c>
      <c r="F1978" s="41" t="str">
        <f t="shared" si="893"/>
        <v>ACCUM DEF INC TAX-OTH PROP-FEDERAL-ELECTRIC</v>
      </c>
      <c r="G1978" s="41" t="s">
        <v>2114</v>
      </c>
      <c r="H1978" s="736" t="s">
        <v>2115</v>
      </c>
      <c r="I1978" s="25"/>
      <c r="J1978" s="25" t="str">
        <f t="shared" si="894"/>
        <v/>
      </c>
      <c r="K1978" s="442" t="str">
        <f t="shared" si="924"/>
        <v/>
      </c>
      <c r="L1978" s="736" t="s">
        <v>2443</v>
      </c>
      <c r="M1978" s="25" t="str">
        <f t="shared" si="912"/>
        <v>R</v>
      </c>
      <c r="N1978" s="25" t="str">
        <f>IF(L1978&lt;&gt;"",VLOOKUP(L1978,Categories!$B$2:$D$41,2,FALSE),IF(F1978&lt;&gt;"","No Cat",""))</f>
        <v>Rate Base</v>
      </c>
      <c r="O1978" s="25" t="str">
        <f>IF($L1978&lt;&gt;"",VLOOKUP($L1978,Categories!$B$2:$D$41,3,FALSE),IF($F1978&lt;&gt;"","No Cat",""))</f>
        <v>Deferred Income Taxes</v>
      </c>
      <c r="P1978" s="736" t="s">
        <v>2482</v>
      </c>
      <c r="Q1978" s="25" t="str">
        <f>VLOOKUP($P1978,Allocators!$B$7:$F$19,5,FALSE)</f>
        <v>Electric</v>
      </c>
      <c r="R1978" s="737">
        <f>VLOOKUP($P1978,Allocators!$B$7:$F$19,2,FALSE)</f>
        <v>1</v>
      </c>
      <c r="S1978" s="737">
        <f>VLOOKUP($P1978,Allocators!$B$7:$F$19,3,FALSE)</f>
        <v>0</v>
      </c>
      <c r="T1978" s="737" t="str">
        <f t="shared" si="899"/>
        <v>0.0%</v>
      </c>
      <c r="U1978" s="2" t="str">
        <f t="shared" si="905"/>
        <v/>
      </c>
      <c r="V1978" s="2" t="str">
        <f t="shared" si="906"/>
        <v/>
      </c>
      <c r="W1978" s="2" t="str">
        <f t="shared" si="907"/>
        <v/>
      </c>
      <c r="X1978" s="2">
        <f t="shared" si="903"/>
        <v>0</v>
      </c>
      <c r="Y1978" s="2" t="str">
        <f t="shared" si="908"/>
        <v/>
      </c>
      <c r="Z1978" s="2" t="str">
        <f t="shared" si="909"/>
        <v/>
      </c>
      <c r="AA1978" s="2" t="str">
        <f t="shared" si="910"/>
        <v/>
      </c>
      <c r="AB1978" s="2">
        <f t="shared" si="904"/>
        <v>0</v>
      </c>
      <c r="AC1978" s="625">
        <v>0</v>
      </c>
      <c r="AD1978" s="625">
        <v>0</v>
      </c>
      <c r="AE1978" s="625">
        <v>0</v>
      </c>
      <c r="AF1978" s="625">
        <v>0</v>
      </c>
      <c r="AG1978" s="625">
        <v>0</v>
      </c>
      <c r="AH1978" s="625">
        <v>0</v>
      </c>
      <c r="AI1978" s="625">
        <v>0</v>
      </c>
      <c r="AJ1978" s="625">
        <v>0</v>
      </c>
      <c r="AK1978" s="625">
        <v>0</v>
      </c>
      <c r="AL1978" s="625">
        <v>0</v>
      </c>
      <c r="AM1978" s="625">
        <v>0</v>
      </c>
      <c r="AN1978" s="625">
        <v>0</v>
      </c>
      <c r="AO1978" s="625">
        <v>0</v>
      </c>
      <c r="AP1978" s="41" t="str">
        <f t="shared" si="900"/>
        <v>Def TaxR</v>
      </c>
      <c r="AQ1978" s="41" t="str">
        <f t="shared" si="901"/>
        <v>Def TaxRR11Internal Software - IBO</v>
      </c>
      <c r="AR1978" s="41" t="str">
        <f t="shared" si="902"/>
        <v>R11Internal Software - IBO</v>
      </c>
    </row>
    <row r="1979" spans="1:44" s="41" customFormat="1" ht="12.75" customHeight="1">
      <c r="A1979" s="25" t="s">
        <v>1590</v>
      </c>
      <c r="B1979" s="25" t="str">
        <f t="shared" si="898"/>
        <v>Def Tax282200282-014</v>
      </c>
      <c r="C1979" s="736">
        <v>282200</v>
      </c>
      <c r="D1979" s="735" t="s">
        <v>2116</v>
      </c>
      <c r="F1979" s="41" t="str">
        <f t="shared" si="893"/>
        <v>ACCUM DEF INC TAX-OTH PROP-FEDERAL-ELECTRIC</v>
      </c>
      <c r="G1979" s="41" t="s">
        <v>2117</v>
      </c>
      <c r="H1979" s="736" t="s">
        <v>2118</v>
      </c>
      <c r="I1979" s="25"/>
      <c r="J1979" s="25" t="str">
        <f t="shared" si="894"/>
        <v/>
      </c>
      <c r="K1979" s="442" t="str">
        <f t="shared" si="924"/>
        <v/>
      </c>
      <c r="L1979" s="736" t="s">
        <v>2443</v>
      </c>
      <c r="M1979" s="25" t="str">
        <f t="shared" si="912"/>
        <v>R</v>
      </c>
      <c r="N1979" s="25" t="str">
        <f>IF(L1979&lt;&gt;"",VLOOKUP(L1979,Categories!$B$2:$D$41,2,FALSE),IF(F1979&lt;&gt;"","No Cat",""))</f>
        <v>Rate Base</v>
      </c>
      <c r="O1979" s="25" t="str">
        <f>IF($L1979&lt;&gt;"",VLOOKUP($L1979,Categories!$B$2:$D$41,3,FALSE),IF($F1979&lt;&gt;"","No Cat",""))</f>
        <v>Deferred Income Taxes</v>
      </c>
      <c r="P1979" s="736" t="s">
        <v>2482</v>
      </c>
      <c r="Q1979" s="25" t="str">
        <f>VLOOKUP($P1979,Allocators!$B$7:$F$19,5,FALSE)</f>
        <v>Electric</v>
      </c>
      <c r="R1979" s="737">
        <f>VLOOKUP($P1979,Allocators!$B$7:$F$19,2,FALSE)</f>
        <v>1</v>
      </c>
      <c r="S1979" s="737">
        <f>VLOOKUP($P1979,Allocators!$B$7:$F$19,3,FALSE)</f>
        <v>0</v>
      </c>
      <c r="T1979" s="737" t="str">
        <f t="shared" si="899"/>
        <v>0.0%</v>
      </c>
      <c r="U1979" s="2" t="str">
        <f t="shared" si="905"/>
        <v/>
      </c>
      <c r="V1979" s="2" t="str">
        <f t="shared" si="906"/>
        <v/>
      </c>
      <c r="W1979" s="2" t="str">
        <f t="shared" si="907"/>
        <v/>
      </c>
      <c r="X1979" s="2">
        <f t="shared" si="903"/>
        <v>0</v>
      </c>
      <c r="Y1979" s="2" t="str">
        <f t="shared" si="908"/>
        <v/>
      </c>
      <c r="Z1979" s="2" t="str">
        <f t="shared" si="909"/>
        <v/>
      </c>
      <c r="AA1979" s="2" t="str">
        <f t="shared" si="910"/>
        <v/>
      </c>
      <c r="AB1979" s="2">
        <f t="shared" si="904"/>
        <v>0</v>
      </c>
      <c r="AC1979" s="625">
        <v>0</v>
      </c>
      <c r="AD1979" s="625">
        <v>0</v>
      </c>
      <c r="AE1979" s="625">
        <v>0</v>
      </c>
      <c r="AF1979" s="625">
        <v>0</v>
      </c>
      <c r="AG1979" s="625">
        <v>0</v>
      </c>
      <c r="AH1979" s="625">
        <v>0</v>
      </c>
      <c r="AI1979" s="625">
        <v>0</v>
      </c>
      <c r="AJ1979" s="625">
        <v>0</v>
      </c>
      <c r="AK1979" s="625">
        <v>0</v>
      </c>
      <c r="AL1979" s="625">
        <v>0</v>
      </c>
      <c r="AM1979" s="625">
        <v>0</v>
      </c>
      <c r="AN1979" s="625">
        <v>0</v>
      </c>
      <c r="AO1979" s="625">
        <v>0</v>
      </c>
      <c r="AP1979" s="41" t="str">
        <f t="shared" si="900"/>
        <v>Def TaxR</v>
      </c>
      <c r="AQ1979" s="41" t="str">
        <f t="shared" si="901"/>
        <v>Def TaxRR11Internal Software - WMS</v>
      </c>
      <c r="AR1979" s="41" t="str">
        <f t="shared" si="902"/>
        <v>R11Internal Software - WMS</v>
      </c>
    </row>
    <row r="1980" spans="1:44" s="41" customFormat="1" ht="12.75" customHeight="1">
      <c r="A1980" s="25" t="s">
        <v>1590</v>
      </c>
      <c r="B1980" s="25" t="str">
        <f t="shared" si="898"/>
        <v>Def Tax282200282-015</v>
      </c>
      <c r="C1980" s="736">
        <v>282200</v>
      </c>
      <c r="D1980" s="735" t="s">
        <v>2119</v>
      </c>
      <c r="F1980" s="41" t="str">
        <f t="shared" si="893"/>
        <v>ACCUM DEF INC TAX-OTH PROP-FEDERAL-ELECTRIC</v>
      </c>
      <c r="G1980" s="41" t="s">
        <v>2120</v>
      </c>
      <c r="H1980" s="736" t="s">
        <v>2121</v>
      </c>
      <c r="I1980" s="25"/>
      <c r="J1980" s="25" t="str">
        <f t="shared" si="894"/>
        <v/>
      </c>
      <c r="K1980" s="442" t="str">
        <f t="shared" si="924"/>
        <v/>
      </c>
      <c r="L1980" s="736" t="s">
        <v>2443</v>
      </c>
      <c r="M1980" s="25" t="str">
        <f t="shared" si="912"/>
        <v>R</v>
      </c>
      <c r="N1980" s="25" t="str">
        <f>IF(L1980&lt;&gt;"",VLOOKUP(L1980,Categories!$B$2:$D$41,2,FALSE),IF(F1980&lt;&gt;"","No Cat",""))</f>
        <v>Rate Base</v>
      </c>
      <c r="O1980" s="25" t="str">
        <f>IF($L1980&lt;&gt;"",VLOOKUP($L1980,Categories!$B$2:$D$41,3,FALSE),IF($F1980&lt;&gt;"","No Cat",""))</f>
        <v>Deferred Income Taxes</v>
      </c>
      <c r="P1980" s="736" t="s">
        <v>2482</v>
      </c>
      <c r="Q1980" s="25" t="str">
        <f>VLOOKUP($P1980,Allocators!$B$7:$F$19,5,FALSE)</f>
        <v>Electric</v>
      </c>
      <c r="R1980" s="737">
        <f>VLOOKUP($P1980,Allocators!$B$7:$F$19,2,FALSE)</f>
        <v>1</v>
      </c>
      <c r="S1980" s="737">
        <f>VLOOKUP($P1980,Allocators!$B$7:$F$19,3,FALSE)</f>
        <v>0</v>
      </c>
      <c r="T1980" s="737" t="str">
        <f t="shared" si="899"/>
        <v>0.0%</v>
      </c>
      <c r="U1980" s="2" t="str">
        <f t="shared" si="905"/>
        <v/>
      </c>
      <c r="V1980" s="2" t="str">
        <f t="shared" si="906"/>
        <v/>
      </c>
      <c r="W1980" s="2" t="str">
        <f t="shared" si="907"/>
        <v/>
      </c>
      <c r="X1980" s="2">
        <f t="shared" si="903"/>
        <v>0</v>
      </c>
      <c r="Y1980" s="2" t="str">
        <f t="shared" si="908"/>
        <v/>
      </c>
      <c r="Z1980" s="2" t="str">
        <f t="shared" si="909"/>
        <v/>
      </c>
      <c r="AA1980" s="2" t="str">
        <f t="shared" si="910"/>
        <v/>
      </c>
      <c r="AB1980" s="2">
        <f t="shared" si="904"/>
        <v>0</v>
      </c>
      <c r="AC1980" s="625">
        <v>0</v>
      </c>
      <c r="AD1980" s="625">
        <v>0</v>
      </c>
      <c r="AE1980" s="625">
        <v>0</v>
      </c>
      <c r="AF1980" s="625">
        <v>0</v>
      </c>
      <c r="AG1980" s="625">
        <v>0</v>
      </c>
      <c r="AH1980" s="625">
        <v>0</v>
      </c>
      <c r="AI1980" s="625">
        <v>0</v>
      </c>
      <c r="AJ1980" s="625">
        <v>0</v>
      </c>
      <c r="AK1980" s="625">
        <v>0</v>
      </c>
      <c r="AL1980" s="625">
        <v>0</v>
      </c>
      <c r="AM1980" s="625">
        <v>0</v>
      </c>
      <c r="AN1980" s="625">
        <v>0</v>
      </c>
      <c r="AO1980" s="625">
        <v>0</v>
      </c>
      <c r="AP1980" s="41" t="str">
        <f t="shared" si="900"/>
        <v>Def TaxR</v>
      </c>
      <c r="AQ1980" s="41" t="str">
        <f t="shared" si="901"/>
        <v>Def TaxRR11Internal Software - NIRP</v>
      </c>
      <c r="AR1980" s="41" t="str">
        <f t="shared" si="902"/>
        <v>R11Internal Software - NIRP</v>
      </c>
    </row>
    <row r="1981" spans="1:44" s="41" customFormat="1" ht="12.75" customHeight="1">
      <c r="A1981" s="442" t="s">
        <v>1590</v>
      </c>
      <c r="B1981" s="442" t="str">
        <f t="shared" si="898"/>
        <v>Def Tax282200SeveranceBT010211</v>
      </c>
      <c r="C1981" s="736">
        <v>282200</v>
      </c>
      <c r="D1981" s="735" t="s">
        <v>2122</v>
      </c>
      <c r="E1981" s="626" t="s">
        <v>1703</v>
      </c>
      <c r="F1981" s="626" t="str">
        <f t="shared" si="893"/>
        <v>ACCUM DEF INC TAX-OTH PROP-FEDERAL-ELECTRIC</v>
      </c>
      <c r="G1981" s="626" t="s">
        <v>2123</v>
      </c>
      <c r="H1981" s="736" t="s">
        <v>1705</v>
      </c>
      <c r="I1981" s="442"/>
      <c r="J1981" s="442" t="str">
        <f t="shared" si="894"/>
        <v/>
      </c>
      <c r="K1981" s="442" t="str">
        <f t="shared" si="924"/>
        <v/>
      </c>
      <c r="L1981" s="736" t="s">
        <v>2421</v>
      </c>
      <c r="M1981" s="442" t="str">
        <f t="shared" si="912"/>
        <v>N</v>
      </c>
      <c r="N1981" s="442" t="str">
        <f>IF(L1981&lt;&gt;"",VLOOKUP(L1981,Categories!$B$2:$D$41,2,FALSE),IF(F1981&lt;&gt;"","No Cat",""))</f>
        <v>NRBASE</v>
      </c>
      <c r="O1981" s="442" t="str">
        <f>IF($L1981&lt;&gt;"",VLOOKUP($L1981,Categories!$B$2:$D$41,3,FALSE),IF($F1981&lt;&gt;"","No Cat",""))</f>
        <v>Direct Assign Items Not in RB</v>
      </c>
      <c r="P1981" s="736" t="s">
        <v>2468</v>
      </c>
      <c r="Q1981" s="442" t="str">
        <f>VLOOKUP($P1981,Allocators!$B$7:$F$19,5,FALSE)</f>
        <v>Not in Rate Base</v>
      </c>
      <c r="R1981" s="737">
        <f>VLOOKUP($P1981,Allocators!$B$7:$F$19,2,FALSE)</f>
        <v>0</v>
      </c>
      <c r="S1981" s="737">
        <f>VLOOKUP($P1981,Allocators!$B$7:$F$19,3,FALSE)</f>
        <v>0</v>
      </c>
      <c r="T1981" s="737">
        <f t="shared" si="899"/>
        <v>1</v>
      </c>
      <c r="U1981" s="2" t="str">
        <f t="shared" si="905"/>
        <v/>
      </c>
      <c r="V1981" s="2" t="str">
        <f t="shared" si="906"/>
        <v/>
      </c>
      <c r="W1981" s="2" t="str">
        <f t="shared" si="907"/>
        <v/>
      </c>
      <c r="X1981" s="2">
        <f t="shared" si="903"/>
        <v>0</v>
      </c>
      <c r="Y1981" s="2" t="str">
        <f t="shared" si="908"/>
        <v/>
      </c>
      <c r="Z1981" s="2" t="str">
        <f t="shared" si="909"/>
        <v/>
      </c>
      <c r="AA1981" s="2" t="str">
        <f t="shared" si="910"/>
        <v/>
      </c>
      <c r="AB1981" s="2">
        <f t="shared" si="904"/>
        <v>0</v>
      </c>
      <c r="AC1981" s="625">
        <v>0</v>
      </c>
      <c r="AD1981" s="625">
        <v>0</v>
      </c>
      <c r="AE1981" s="625">
        <v>0</v>
      </c>
      <c r="AF1981" s="625">
        <v>0</v>
      </c>
      <c r="AG1981" s="625">
        <v>0</v>
      </c>
      <c r="AH1981" s="625">
        <v>0</v>
      </c>
      <c r="AI1981" s="625">
        <v>0</v>
      </c>
      <c r="AJ1981" s="625">
        <v>0</v>
      </c>
      <c r="AK1981" s="625">
        <v>0</v>
      </c>
      <c r="AL1981" s="625">
        <v>0</v>
      </c>
      <c r="AM1981" s="625">
        <v>0</v>
      </c>
      <c r="AN1981" s="625">
        <v>0</v>
      </c>
      <c r="AO1981" s="625">
        <v>0</v>
      </c>
      <c r="AP1981" s="41" t="str">
        <f t="shared" si="900"/>
        <v>Def TaxN</v>
      </c>
      <c r="AQ1981" s="41" t="str">
        <f t="shared" si="901"/>
        <v>Def TaxNN2Iberdrola Merger Severance</v>
      </c>
      <c r="AR1981" s="41" t="str">
        <f t="shared" si="902"/>
        <v>N2Iberdrola Merger Severance</v>
      </c>
    </row>
    <row r="1982" spans="1:44" s="41" customFormat="1" ht="12.75" customHeight="1">
      <c r="A1982" s="442" t="s">
        <v>1590</v>
      </c>
      <c r="B1982" s="442" t="str">
        <f t="shared" si="898"/>
        <v>Def Tax282200Severance-StateBT010211</v>
      </c>
      <c r="C1982" s="736">
        <v>282200</v>
      </c>
      <c r="D1982" s="735" t="s">
        <v>1702</v>
      </c>
      <c r="E1982" s="626" t="s">
        <v>1703</v>
      </c>
      <c r="F1982" s="626" t="str">
        <f t="shared" ref="F1982:F2078" si="933">VLOOKUP(C1982,$C$7:$F$787,4,FALSE)</f>
        <v>ACCUM DEF INC TAX-OTH PROP-FEDERAL-ELECTRIC</v>
      </c>
      <c r="G1982" s="626" t="s">
        <v>2123</v>
      </c>
      <c r="H1982" s="736" t="s">
        <v>1705</v>
      </c>
      <c r="I1982" s="442"/>
      <c r="J1982" s="442" t="str">
        <f t="shared" si="894"/>
        <v/>
      </c>
      <c r="K1982" s="442" t="str">
        <f t="shared" si="924"/>
        <v/>
      </c>
      <c r="L1982" s="736" t="s">
        <v>2421</v>
      </c>
      <c r="M1982" s="442" t="str">
        <f t="shared" si="912"/>
        <v>N</v>
      </c>
      <c r="N1982" s="442" t="str">
        <f>IF(L1982&lt;&gt;"",VLOOKUP(L1982,Categories!$B$2:$D$41,2,FALSE),IF(F1982&lt;&gt;"","No Cat",""))</f>
        <v>NRBASE</v>
      </c>
      <c r="O1982" s="442" t="str">
        <f>IF($L1982&lt;&gt;"",VLOOKUP($L1982,Categories!$B$2:$D$41,3,FALSE),IF($F1982&lt;&gt;"","No Cat",""))</f>
        <v>Direct Assign Items Not in RB</v>
      </c>
      <c r="P1982" s="736" t="s">
        <v>2468</v>
      </c>
      <c r="Q1982" s="442" t="str">
        <f>VLOOKUP($P1982,Allocators!$B$7:$F$19,5,FALSE)</f>
        <v>Not in Rate Base</v>
      </c>
      <c r="R1982" s="737">
        <f>VLOOKUP($P1982,Allocators!$B$7:$F$19,2,FALSE)</f>
        <v>0</v>
      </c>
      <c r="S1982" s="737">
        <f>VLOOKUP($P1982,Allocators!$B$7:$F$19,3,FALSE)</f>
        <v>0</v>
      </c>
      <c r="T1982" s="737">
        <f t="shared" si="899"/>
        <v>1</v>
      </c>
      <c r="U1982" s="2" t="str">
        <f t="shared" si="905"/>
        <v/>
      </c>
      <c r="V1982" s="2" t="str">
        <f t="shared" si="906"/>
        <v/>
      </c>
      <c r="W1982" s="2" t="str">
        <f t="shared" si="907"/>
        <v/>
      </c>
      <c r="X1982" s="2">
        <f t="shared" si="903"/>
        <v>0</v>
      </c>
      <c r="Y1982" s="2" t="str">
        <f t="shared" si="908"/>
        <v/>
      </c>
      <c r="Z1982" s="2" t="str">
        <f t="shared" si="909"/>
        <v/>
      </c>
      <c r="AA1982" s="2" t="str">
        <f t="shared" si="910"/>
        <v/>
      </c>
      <c r="AB1982" s="2">
        <f t="shared" si="904"/>
        <v>0</v>
      </c>
      <c r="AC1982" s="625">
        <v>0</v>
      </c>
      <c r="AD1982" s="625">
        <v>0</v>
      </c>
      <c r="AE1982" s="625">
        <v>0</v>
      </c>
      <c r="AF1982" s="625">
        <v>0</v>
      </c>
      <c r="AG1982" s="625">
        <v>0</v>
      </c>
      <c r="AH1982" s="625">
        <v>0</v>
      </c>
      <c r="AI1982" s="625">
        <v>0</v>
      </c>
      <c r="AJ1982" s="625">
        <v>0</v>
      </c>
      <c r="AK1982" s="625">
        <v>0</v>
      </c>
      <c r="AL1982" s="625">
        <v>0</v>
      </c>
      <c r="AM1982" s="625">
        <v>0</v>
      </c>
      <c r="AN1982" s="625">
        <v>0</v>
      </c>
      <c r="AO1982" s="625">
        <v>0</v>
      </c>
      <c r="AP1982" s="41" t="str">
        <f t="shared" si="900"/>
        <v>Def TaxN</v>
      </c>
      <c r="AQ1982" s="41" t="str">
        <f t="shared" si="901"/>
        <v>Def TaxNN2Iberdrola Merger Severance</v>
      </c>
      <c r="AR1982" s="41" t="str">
        <f t="shared" si="902"/>
        <v>N2Iberdrola Merger Severance</v>
      </c>
    </row>
    <row r="1983" spans="1:44" s="41" customFormat="1" ht="12.75" customHeight="1">
      <c r="A1983" s="25" t="s">
        <v>1590</v>
      </c>
      <c r="B1983" s="25" t="str">
        <f t="shared" si="898"/>
        <v>Def Tax282200283-058BE030270</v>
      </c>
      <c r="C1983" s="736">
        <v>282200</v>
      </c>
      <c r="D1983" s="735" t="s">
        <v>2124</v>
      </c>
      <c r="E1983" s="41" t="s">
        <v>985</v>
      </c>
      <c r="F1983" s="41" t="str">
        <f t="shared" si="933"/>
        <v>ACCUM DEF INC TAX-OTH PROP-FEDERAL-ELECTRIC</v>
      </c>
      <c r="G1983" s="41" t="s">
        <v>2061</v>
      </c>
      <c r="H1983" s="736" t="s">
        <v>2065</v>
      </c>
      <c r="I1983" s="25"/>
      <c r="J1983" s="25" t="str">
        <f t="shared" ref="J1983:J2079" si="934">IF(L1983="N10","Y",IF(L1983="N8","Y",""))</f>
        <v/>
      </c>
      <c r="K1983" s="442" t="str">
        <f t="shared" si="924"/>
        <v/>
      </c>
      <c r="L1983" s="736" t="s">
        <v>2443</v>
      </c>
      <c r="M1983" s="25" t="str">
        <f t="shared" si="912"/>
        <v>R</v>
      </c>
      <c r="N1983" s="25" t="str">
        <f>IF(L1983&lt;&gt;"",VLOOKUP(L1983,Categories!$B$2:$D$41,2,FALSE),IF(F1983&lt;&gt;"","No Cat",""))</f>
        <v>Rate Base</v>
      </c>
      <c r="O1983" s="25" t="str">
        <f>IF($L1983&lt;&gt;"",VLOOKUP($L1983,Categories!$B$2:$D$41,3,FALSE),IF($F1983&lt;&gt;"","No Cat",""))</f>
        <v>Deferred Income Taxes</v>
      </c>
      <c r="P1983" s="736" t="s">
        <v>2482</v>
      </c>
      <c r="Q1983" s="25" t="str">
        <f>VLOOKUP($P1983,Allocators!$B$7:$F$19,5,FALSE)</f>
        <v>Electric</v>
      </c>
      <c r="R1983" s="737">
        <f>VLOOKUP($P1983,Allocators!$B$7:$F$19,2,FALSE)</f>
        <v>1</v>
      </c>
      <c r="S1983" s="737">
        <f>VLOOKUP($P1983,Allocators!$B$7:$F$19,3,FALSE)</f>
        <v>0</v>
      </c>
      <c r="T1983" s="737" t="str">
        <f t="shared" si="899"/>
        <v>0.0%</v>
      </c>
      <c r="U1983" s="2" t="str">
        <f t="shared" si="905"/>
        <v/>
      </c>
      <c r="V1983" s="2" t="str">
        <f t="shared" si="906"/>
        <v/>
      </c>
      <c r="W1983" s="2" t="str">
        <f t="shared" si="907"/>
        <v/>
      </c>
      <c r="X1983" s="2">
        <f t="shared" si="903"/>
        <v>0</v>
      </c>
      <c r="Y1983" s="2" t="str">
        <f t="shared" si="908"/>
        <v/>
      </c>
      <c r="Z1983" s="2" t="str">
        <f t="shared" si="909"/>
        <v/>
      </c>
      <c r="AA1983" s="2" t="str">
        <f t="shared" si="910"/>
        <v/>
      </c>
      <c r="AB1983" s="2">
        <f t="shared" si="904"/>
        <v>0</v>
      </c>
      <c r="AC1983" s="625">
        <v>0</v>
      </c>
      <c r="AD1983" s="625">
        <v>0</v>
      </c>
      <c r="AE1983" s="625">
        <v>0</v>
      </c>
      <c r="AF1983" s="625">
        <v>0</v>
      </c>
      <c r="AG1983" s="625">
        <v>0</v>
      </c>
      <c r="AH1983" s="625">
        <v>0</v>
      </c>
      <c r="AI1983" s="625">
        <v>0</v>
      </c>
      <c r="AJ1983" s="625">
        <v>0</v>
      </c>
      <c r="AK1983" s="625">
        <v>0</v>
      </c>
      <c r="AL1983" s="625">
        <v>0</v>
      </c>
      <c r="AM1983" s="625">
        <v>0</v>
      </c>
      <c r="AN1983" s="625">
        <v>0</v>
      </c>
      <c r="AO1983" s="625">
        <v>0</v>
      </c>
      <c r="AP1983" s="41" t="str">
        <f t="shared" si="900"/>
        <v>Def TaxR</v>
      </c>
      <c r="AQ1983" s="41" t="str">
        <f t="shared" si="901"/>
        <v>Def TaxRR11Accelerated Depreciation</v>
      </c>
      <c r="AR1983" s="41" t="str">
        <f t="shared" si="902"/>
        <v>R11Accelerated Depreciation</v>
      </c>
    </row>
    <row r="1984" spans="1:44" s="41" customFormat="1" ht="12.75" customHeight="1">
      <c r="A1984" s="442" t="s">
        <v>1590</v>
      </c>
      <c r="B1984" s="442" t="str">
        <f t="shared" si="898"/>
        <v>Def Tax282200AROBT010303</v>
      </c>
      <c r="C1984" s="736">
        <v>282200</v>
      </c>
      <c r="D1984" s="735" t="s">
        <v>1613</v>
      </c>
      <c r="E1984" s="626" t="s">
        <v>1614</v>
      </c>
      <c r="F1984" s="626" t="str">
        <f t="shared" si="933"/>
        <v>ACCUM DEF INC TAX-OTH PROP-FEDERAL-ELECTRIC</v>
      </c>
      <c r="G1984" s="626" t="s">
        <v>1615</v>
      </c>
      <c r="H1984" s="736" t="s">
        <v>1138</v>
      </c>
      <c r="I1984" s="442"/>
      <c r="J1984" s="442" t="str">
        <f t="shared" si="934"/>
        <v/>
      </c>
      <c r="K1984" s="442" t="str">
        <f t="shared" si="924"/>
        <v/>
      </c>
      <c r="L1984" s="736" t="s">
        <v>2421</v>
      </c>
      <c r="M1984" s="442" t="str">
        <f t="shared" si="912"/>
        <v>N</v>
      </c>
      <c r="N1984" s="442" t="str">
        <f>IF(L1984&lt;&gt;"",VLOOKUP(L1984,Categories!$B$2:$D$41,2,FALSE),IF(F1984&lt;&gt;"","No Cat",""))</f>
        <v>NRBASE</v>
      </c>
      <c r="O1984" s="442" t="str">
        <f>IF($L1984&lt;&gt;"",VLOOKUP($L1984,Categories!$B$2:$D$41,3,FALSE),IF($F1984&lt;&gt;"","No Cat",""))</f>
        <v>Direct Assign Items Not in RB</v>
      </c>
      <c r="P1984" s="736" t="s">
        <v>2468</v>
      </c>
      <c r="Q1984" s="442" t="str">
        <f>VLOOKUP($P1984,Allocators!$B$7:$F$19,5,FALSE)</f>
        <v>Not in Rate Base</v>
      </c>
      <c r="R1984" s="737">
        <f>VLOOKUP($P1984,Allocators!$B$7:$F$19,2,FALSE)</f>
        <v>0</v>
      </c>
      <c r="S1984" s="737">
        <f>VLOOKUP($P1984,Allocators!$B$7:$F$19,3,FALSE)</f>
        <v>0</v>
      </c>
      <c r="T1984" s="737">
        <f t="shared" si="899"/>
        <v>1</v>
      </c>
      <c r="U1984" s="2">
        <f t="shared" si="905"/>
        <v>0</v>
      </c>
      <c r="V1984" s="2">
        <f t="shared" si="906"/>
        <v>0</v>
      </c>
      <c r="W1984" s="2">
        <f t="shared" si="907"/>
        <v>-982.36747041666695</v>
      </c>
      <c r="X1984" s="2">
        <f t="shared" si="903"/>
        <v>-982.36747041666695</v>
      </c>
      <c r="Y1984" s="2">
        <f t="shared" si="908"/>
        <v>0</v>
      </c>
      <c r="Z1984" s="2">
        <f t="shared" si="909"/>
        <v>0</v>
      </c>
      <c r="AA1984" s="2">
        <f t="shared" si="910"/>
        <v>-1329.2726399999999</v>
      </c>
      <c r="AB1984" s="2">
        <f t="shared" si="904"/>
        <v>-1329.2726399999999</v>
      </c>
      <c r="AC1984" s="625">
        <v>-389.13021000000003</v>
      </c>
      <c r="AD1984" s="625">
        <v>-124.85458</v>
      </c>
      <c r="AE1984" s="625">
        <v>-121.3522</v>
      </c>
      <c r="AF1984" s="625">
        <v>-117.8498</v>
      </c>
      <c r="AG1984" s="625">
        <v>-114.34741</v>
      </c>
      <c r="AH1984" s="625">
        <v>-110.84502000000001</v>
      </c>
      <c r="AI1984" s="625">
        <v>-2004.7936100000002</v>
      </c>
      <c r="AJ1984" s="625">
        <v>-1892.20678</v>
      </c>
      <c r="AK1984" s="625">
        <v>-1779.61995</v>
      </c>
      <c r="AL1984" s="625">
        <v>-1667.0331200000001</v>
      </c>
      <c r="AM1984" s="625">
        <v>-1554.4462900000001</v>
      </c>
      <c r="AN1984" s="625">
        <v>-1441.8594599999999</v>
      </c>
      <c r="AO1984" s="625">
        <v>-1329.2726399999999</v>
      </c>
      <c r="AP1984" s="41" t="str">
        <f t="shared" si="900"/>
        <v>Def TaxN</v>
      </c>
      <c r="AQ1984" s="41" t="str">
        <f t="shared" si="901"/>
        <v>Def TaxNN2Asset Retirement Obligation</v>
      </c>
      <c r="AR1984" s="41" t="str">
        <f t="shared" si="902"/>
        <v>N2Asset Retirement Obligation</v>
      </c>
    </row>
    <row r="1985" spans="1:44" s="41" customFormat="1" ht="12.75" customHeight="1">
      <c r="A1985" s="442" t="s">
        <v>1590</v>
      </c>
      <c r="B1985" s="442" t="str">
        <f t="shared" ref="B1985" si="935">CONCATENATE(A1985,C1985,D1985,E1985)</f>
        <v>Def Tax282200BT010378</v>
      </c>
      <c r="C1985" s="736">
        <v>282200</v>
      </c>
      <c r="D1985" s="735"/>
      <c r="E1985" s="626" t="s">
        <v>4048</v>
      </c>
      <c r="F1985" s="626" t="str">
        <f>VLOOKUP(C1985,$C$7:$F$787,4,FALSE)</f>
        <v>ACCUM DEF INC TAX-OTH PROP-FEDERAL-ELECTRIC</v>
      </c>
      <c r="G1985" s="626" t="s">
        <v>4050</v>
      </c>
      <c r="H1985" s="736" t="s">
        <v>2816</v>
      </c>
      <c r="I1985" s="442"/>
      <c r="J1985" s="442" t="s">
        <v>7</v>
      </c>
      <c r="K1985" s="442" t="str">
        <f t="shared" si="924"/>
        <v/>
      </c>
      <c r="L1985" s="736" t="s">
        <v>2421</v>
      </c>
      <c r="M1985" s="442" t="str">
        <f t="shared" si="912"/>
        <v>N</v>
      </c>
      <c r="N1985" s="442" t="str">
        <f>IF(L1985&lt;&gt;"",VLOOKUP(L1985,Categories!$B$2:$D$41,2,FALSE),IF(F1985&lt;&gt;"","No Cat",""))</f>
        <v>NRBASE</v>
      </c>
      <c r="O1985" s="442" t="str">
        <f>IF($L1985&lt;&gt;"",VLOOKUP($L1985,Categories!$B$2:$D$41,3,FALSE),IF($F1985&lt;&gt;"","No Cat",""))</f>
        <v>Direct Assign Items Not in RB</v>
      </c>
      <c r="P1985" s="736" t="s">
        <v>2468</v>
      </c>
      <c r="Q1985" s="442" t="str">
        <f>VLOOKUP($P1985,Allocators!$B$7:$F$19,5,FALSE)</f>
        <v>Not in Rate Base</v>
      </c>
      <c r="R1985" s="737">
        <f>VLOOKUP($P1985,Allocators!$B$7:$F$19,2,FALSE)</f>
        <v>0</v>
      </c>
      <c r="S1985" s="737">
        <f>VLOOKUP($P1985,Allocators!$B$7:$F$19,3,FALSE)</f>
        <v>0</v>
      </c>
      <c r="T1985" s="737">
        <f t="shared" ref="T1985" si="936">IF(P1985="N",1,"0.0%")</f>
        <v>1</v>
      </c>
      <c r="U1985" s="2">
        <f t="shared" si="905"/>
        <v>0</v>
      </c>
      <c r="V1985" s="2">
        <f t="shared" si="906"/>
        <v>0</v>
      </c>
      <c r="W1985" s="2">
        <f t="shared" si="907"/>
        <v>-1691.72924583333</v>
      </c>
      <c r="X1985" s="2">
        <f t="shared" si="903"/>
        <v>-1691.72924583333</v>
      </c>
      <c r="Y1985" s="2">
        <f t="shared" si="908"/>
        <v>0</v>
      </c>
      <c r="Z1985" s="2">
        <f t="shared" si="909"/>
        <v>0</v>
      </c>
      <c r="AA1985" s="2">
        <f t="shared" si="910"/>
        <v>-2155.23227</v>
      </c>
      <c r="AB1985" s="2">
        <f t="shared" si="904"/>
        <v>-2155.23227</v>
      </c>
      <c r="AC1985" s="625">
        <v>-1228.43227</v>
      </c>
      <c r="AD1985" s="625">
        <v>-1305.6656</v>
      </c>
      <c r="AE1985" s="625">
        <v>-1382.89894</v>
      </c>
      <c r="AF1985" s="625">
        <v>-1460.1322700000001</v>
      </c>
      <c r="AG1985" s="625">
        <v>-1537.3656000000001</v>
      </c>
      <c r="AH1985" s="625">
        <v>-1614.5989399999999</v>
      </c>
      <c r="AI1985" s="625">
        <v>-1691.8322700000001</v>
      </c>
      <c r="AJ1985" s="625">
        <v>-1769.0656000000001</v>
      </c>
      <c r="AK1985" s="625">
        <v>-1846.2989399999999</v>
      </c>
      <c r="AL1985" s="625">
        <v>-1923.5322699999999</v>
      </c>
      <c r="AM1985" s="625">
        <v>-1999.5293100000001</v>
      </c>
      <c r="AN1985" s="625">
        <v>-2077.9989399999999</v>
      </c>
      <c r="AO1985" s="625">
        <v>-2155.23227</v>
      </c>
      <c r="AP1985" s="41" t="str">
        <f t="shared" si="900"/>
        <v>Def TaxN</v>
      </c>
      <c r="AQ1985" s="41" t="str">
        <f t="shared" si="901"/>
        <v>Def TaxNN2Theoretical Reserve</v>
      </c>
      <c r="AR1985" s="41" t="str">
        <f t="shared" si="902"/>
        <v>N2Theoretical ReserveNCR</v>
      </c>
    </row>
    <row r="1986" spans="1:44" s="41" customFormat="1" ht="12.75" customHeight="1">
      <c r="A1986" s="442" t="s">
        <v>1590</v>
      </c>
      <c r="B1986" s="442" t="str">
        <f t="shared" si="898"/>
        <v>Def Tax282200BT010378</v>
      </c>
      <c r="C1986" s="736">
        <v>282200</v>
      </c>
      <c r="D1986" s="735"/>
      <c r="E1986" s="626" t="s">
        <v>4048</v>
      </c>
      <c r="F1986" s="626" t="str">
        <f>VLOOKUP(C1986,$C$7:$F$787,4,FALSE)</f>
        <v>ACCUM DEF INC TAX-OTH PROP-FEDERAL-ELECTRIC</v>
      </c>
      <c r="G1986" s="626" t="s">
        <v>4049</v>
      </c>
      <c r="H1986" s="736" t="s">
        <v>2816</v>
      </c>
      <c r="I1986" s="442"/>
      <c r="J1986" s="442" t="s">
        <v>7</v>
      </c>
      <c r="K1986" s="442" t="str">
        <f t="shared" si="924"/>
        <v/>
      </c>
      <c r="L1986" s="736" t="s">
        <v>2421</v>
      </c>
      <c r="M1986" s="442" t="str">
        <f t="shared" ref="M1986:M1987" si="937">LEFT(L1986,1)</f>
        <v>N</v>
      </c>
      <c r="N1986" s="442" t="str">
        <f>IF(L1986&lt;&gt;"",VLOOKUP(L1986,Categories!$B$2:$D$41,2,FALSE),IF(F1986&lt;&gt;"","No Cat",""))</f>
        <v>NRBASE</v>
      </c>
      <c r="O1986" s="442" t="str">
        <f>IF($L1986&lt;&gt;"",VLOOKUP($L1986,Categories!$B$2:$D$41,3,FALSE),IF($F1986&lt;&gt;"","No Cat",""))</f>
        <v>Direct Assign Items Not in RB</v>
      </c>
      <c r="P1986" s="736" t="s">
        <v>2468</v>
      </c>
      <c r="Q1986" s="442" t="str">
        <f>VLOOKUP($P1986,Allocators!$B$7:$F$19,5,FALSE)</f>
        <v>Not in Rate Base</v>
      </c>
      <c r="R1986" s="737">
        <f>VLOOKUP($P1986,Allocators!$B$7:$F$19,2,FALSE)</f>
        <v>0</v>
      </c>
      <c r="S1986" s="737">
        <f>VLOOKUP($P1986,Allocators!$B$7:$F$19,3,FALSE)</f>
        <v>0</v>
      </c>
      <c r="T1986" s="737">
        <f t="shared" si="899"/>
        <v>1</v>
      </c>
      <c r="U1986" s="2">
        <f t="shared" si="905"/>
        <v>0</v>
      </c>
      <c r="V1986" s="2">
        <f t="shared" si="906"/>
        <v>0</v>
      </c>
      <c r="W1986" s="2">
        <f t="shared" si="907"/>
        <v>19.677572083333299</v>
      </c>
      <c r="X1986" s="2">
        <f t="shared" si="903"/>
        <v>19.677572083333299</v>
      </c>
      <c r="Y1986" s="2">
        <f t="shared" si="908"/>
        <v>0</v>
      </c>
      <c r="Z1986" s="2">
        <f t="shared" si="909"/>
        <v>0</v>
      </c>
      <c r="AA1986" s="2">
        <f t="shared" si="910"/>
        <v>27.198319999999999</v>
      </c>
      <c r="AB1986" s="2">
        <f t="shared" si="904"/>
        <v>27.198319999999999</v>
      </c>
      <c r="AC1986" s="625">
        <v>12.362870000000001</v>
      </c>
      <c r="AD1986" s="625">
        <v>13.599159999999999</v>
      </c>
      <c r="AE1986" s="625">
        <v>14.835450000000002</v>
      </c>
      <c r="AF1986" s="625">
        <v>16.071729999999999</v>
      </c>
      <c r="AG1986" s="625">
        <v>17.308019999999999</v>
      </c>
      <c r="AH1986" s="625">
        <v>18.544310000000003</v>
      </c>
      <c r="AI1986" s="625">
        <v>19.7806</v>
      </c>
      <c r="AJ1986" s="625">
        <v>21.01688</v>
      </c>
      <c r="AK1986" s="625">
        <v>22.253169999999997</v>
      </c>
      <c r="AL1986" s="625">
        <v>23.489459999999998</v>
      </c>
      <c r="AM1986" s="625">
        <v>23.489459999999998</v>
      </c>
      <c r="AN1986" s="625">
        <v>25.962029999999999</v>
      </c>
      <c r="AO1986" s="625">
        <v>27.198319999999999</v>
      </c>
      <c r="AP1986" s="41" t="str">
        <f t="shared" si="900"/>
        <v>Def TaxN</v>
      </c>
      <c r="AQ1986" s="41" t="str">
        <f t="shared" si="901"/>
        <v>Def TaxNN2Theoretical Reserve</v>
      </c>
      <c r="AR1986" s="41" t="str">
        <f t="shared" si="902"/>
        <v>N2Theoretical ReserveNCR</v>
      </c>
    </row>
    <row r="1987" spans="1:44" s="41" customFormat="1" ht="12.75" customHeight="1">
      <c r="A1987" s="442" t="s">
        <v>1590</v>
      </c>
      <c r="B1987" s="442" t="str">
        <f t="shared" ref="B1987" si="938">CONCATENATE(A1987,C1987,D1987,E1987)</f>
        <v>Def Tax282200BT010354</v>
      </c>
      <c r="C1987" s="736">
        <v>282200</v>
      </c>
      <c r="D1987" s="735"/>
      <c r="E1987" s="626" t="s">
        <v>2248</v>
      </c>
      <c r="F1987" s="626" t="str">
        <f>VLOOKUP(C1987,$C$7:$F$787,4,FALSE)</f>
        <v>ACCUM DEF INC TAX-OTH PROP-FEDERAL-ELECTRIC</v>
      </c>
      <c r="G1987" s="626" t="s">
        <v>4123</v>
      </c>
      <c r="H1987" s="736" t="s">
        <v>2249</v>
      </c>
      <c r="I1987" s="25"/>
      <c r="J1987" s="25" t="str">
        <f t="shared" ref="J1987" si="939">IF(L1987="N10","Y",IF(L1987="N8","Y",""))</f>
        <v/>
      </c>
      <c r="K1987" s="442" t="str">
        <f t="shared" si="924"/>
        <v/>
      </c>
      <c r="L1987" s="736" t="s">
        <v>2443</v>
      </c>
      <c r="M1987" s="25" t="str">
        <f t="shared" si="937"/>
        <v>R</v>
      </c>
      <c r="N1987" s="25" t="str">
        <f>IF(L1987&lt;&gt;"",VLOOKUP(L1987,Categories!$B$2:$D$41,2,FALSE),IF(F1987&lt;&gt;"","No Cat",""))</f>
        <v>Rate Base</v>
      </c>
      <c r="O1987" s="25" t="str">
        <f>IF($L1987&lt;&gt;"",VLOOKUP($L1987,Categories!$B$2:$D$41,3,FALSE),IF($F1987&lt;&gt;"","No Cat",""))</f>
        <v>Deferred Income Taxes</v>
      </c>
      <c r="P1987" s="736" t="s">
        <v>2482</v>
      </c>
      <c r="Q1987" s="25" t="str">
        <f>VLOOKUP($P1987,Allocators!$B$7:$F$19,5,FALSE)</f>
        <v>Electric</v>
      </c>
      <c r="R1987" s="737">
        <f>VLOOKUP($P1987,Allocators!$B$7:$F$19,2,FALSE)</f>
        <v>1</v>
      </c>
      <c r="S1987" s="737">
        <f>VLOOKUP($P1987,Allocators!$B$7:$F$19,3,FALSE)</f>
        <v>0</v>
      </c>
      <c r="T1987" s="737" t="str">
        <f t="shared" si="899"/>
        <v>0.0%</v>
      </c>
      <c r="U1987" s="2">
        <f t="shared" si="905"/>
        <v>-10797.136160833301</v>
      </c>
      <c r="V1987" s="2">
        <f t="shared" si="906"/>
        <v>0</v>
      </c>
      <c r="W1987" s="2">
        <f t="shared" si="907"/>
        <v>0</v>
      </c>
      <c r="X1987" s="2">
        <f t="shared" si="903"/>
        <v>-10797.136160833301</v>
      </c>
      <c r="Y1987" s="2">
        <f t="shared" si="908"/>
        <v>-9874.6363000000001</v>
      </c>
      <c r="Z1987" s="2">
        <f t="shared" si="909"/>
        <v>0</v>
      </c>
      <c r="AA1987" s="2">
        <f t="shared" si="910"/>
        <v>0</v>
      </c>
      <c r="AB1987" s="2">
        <f t="shared" si="904"/>
        <v>-9874.6363000000001</v>
      </c>
      <c r="AC1987" s="625">
        <v>-11224.627279999999</v>
      </c>
      <c r="AD1987" s="625">
        <v>-11177.277279999998</v>
      </c>
      <c r="AE1987" s="625">
        <v>-11129.92728</v>
      </c>
      <c r="AF1987" s="625">
        <v>-11082.57728</v>
      </c>
      <c r="AG1987" s="625">
        <v>-11035.227279999999</v>
      </c>
      <c r="AH1987" s="625">
        <v>-10987.877279999999</v>
      </c>
      <c r="AI1987" s="625">
        <v>-10940.527279999998</v>
      </c>
      <c r="AJ1987" s="625">
        <v>-10893.17728</v>
      </c>
      <c r="AK1987" s="625">
        <v>-12194.33272</v>
      </c>
      <c r="AL1987" s="625">
        <v>-10053.75567</v>
      </c>
      <c r="AM1987" s="625">
        <v>-9722.6697600000007</v>
      </c>
      <c r="AN1987" s="625">
        <v>-9798.6530299999995</v>
      </c>
      <c r="AO1987" s="625">
        <v>-9874.6363000000001</v>
      </c>
      <c r="AP1987" s="41" t="str">
        <f t="shared" si="900"/>
        <v>Def TaxR</v>
      </c>
      <c r="AQ1987" s="41" t="str">
        <f t="shared" si="901"/>
        <v>Def TaxRR11Unit of Property - 481Adj</v>
      </c>
      <c r="AR1987" s="41" t="str">
        <f t="shared" si="902"/>
        <v>R11Unit of Property - 481Adj</v>
      </c>
    </row>
    <row r="1988" spans="1:44" s="41" customFormat="1" ht="12.75" customHeight="1">
      <c r="A1988" s="25" t="s">
        <v>1590</v>
      </c>
      <c r="B1988" s="25" t="str">
        <f t="shared" si="898"/>
        <v>Def Tax282200Mixed Use 263(a)BT010390</v>
      </c>
      <c r="C1988" s="736">
        <v>282200</v>
      </c>
      <c r="D1988" s="735" t="s">
        <v>2125</v>
      </c>
      <c r="E1988" s="41" t="s">
        <v>2126</v>
      </c>
      <c r="F1988" s="41" t="str">
        <f t="shared" si="933"/>
        <v>ACCUM DEF INC TAX-OTH PROP-FEDERAL-ELECTRIC</v>
      </c>
      <c r="G1988" s="41" t="s">
        <v>2127</v>
      </c>
      <c r="H1988" s="736" t="s">
        <v>2125</v>
      </c>
      <c r="I1988" s="25"/>
      <c r="J1988" s="442" t="s">
        <v>7</v>
      </c>
      <c r="K1988" s="442" t="str">
        <f t="shared" si="924"/>
        <v/>
      </c>
      <c r="L1988" s="736" t="s">
        <v>2436</v>
      </c>
      <c r="M1988" s="25" t="str">
        <f t="shared" si="912"/>
        <v>N</v>
      </c>
      <c r="N1988" s="25" t="str">
        <f>IF(L1988&lt;&gt;"",VLOOKUP(L1988,Categories!$B$2:$D$41,2,FALSE),IF(F1988&lt;&gt;"","No Cat",""))</f>
        <v>NRBASE</v>
      </c>
      <c r="O1988" s="25" t="str">
        <f>IF($L1988&lt;&gt;"",VLOOKUP($L1988,Categories!$B$2:$D$41,3,FALSE),IF($F1988&lt;&gt;"","No Cat",""))</f>
        <v>Deferrals Accruing Non-Cash Return   (other than ASGA)</v>
      </c>
      <c r="P1988" s="736" t="s">
        <v>2468</v>
      </c>
      <c r="Q1988" s="25" t="str">
        <f>VLOOKUP($P1988,Allocators!$B$7:$F$19,5,FALSE)</f>
        <v>Not in Rate Base</v>
      </c>
      <c r="R1988" s="737">
        <f>VLOOKUP($P1988,Allocators!$B$7:$F$19,2,FALSE)</f>
        <v>0</v>
      </c>
      <c r="S1988" s="737">
        <f>VLOOKUP($P1988,Allocators!$B$7:$F$19,3,FALSE)</f>
        <v>0</v>
      </c>
      <c r="T1988" s="737">
        <f t="shared" si="899"/>
        <v>1</v>
      </c>
      <c r="U1988" s="2">
        <f t="shared" si="905"/>
        <v>0</v>
      </c>
      <c r="V1988" s="2">
        <f t="shared" si="906"/>
        <v>0</v>
      </c>
      <c r="W1988" s="2">
        <f t="shared" si="907"/>
        <v>-6003.94696916667</v>
      </c>
      <c r="X1988" s="2">
        <f t="shared" si="903"/>
        <v>-6003.94696916667</v>
      </c>
      <c r="Y1988" s="2">
        <f t="shared" si="908"/>
        <v>0</v>
      </c>
      <c r="Z1988" s="2">
        <f t="shared" si="909"/>
        <v>0</v>
      </c>
      <c r="AA1988" s="2">
        <f t="shared" si="910"/>
        <v>-14501.446620000001</v>
      </c>
      <c r="AB1988" s="2">
        <f t="shared" si="904"/>
        <v>-14501.446619999999</v>
      </c>
      <c r="AC1988" s="625">
        <v>-3677.5394799999999</v>
      </c>
      <c r="AD1988" s="625">
        <v>-3628.56448</v>
      </c>
      <c r="AE1988" s="625">
        <v>-3579.5894800000001</v>
      </c>
      <c r="AF1988" s="625">
        <v>-3530.6144800000002</v>
      </c>
      <c r="AG1988" s="625">
        <v>-3481.6394799999998</v>
      </c>
      <c r="AH1988" s="625">
        <v>-3432.6644799999999</v>
      </c>
      <c r="AI1988" s="625">
        <v>-3383.68948</v>
      </c>
      <c r="AJ1988" s="625">
        <v>-3334.7144800000001</v>
      </c>
      <c r="AK1988" s="625">
        <v>-3285.7394800000002</v>
      </c>
      <c r="AL1988" s="625">
        <v>-7850.3435199999994</v>
      </c>
      <c r="AM1988" s="625">
        <v>-13466.39194</v>
      </c>
      <c r="AN1988" s="625">
        <v>-13983.91928</v>
      </c>
      <c r="AO1988" s="625">
        <v>-14501.446619999999</v>
      </c>
      <c r="AP1988" s="41" t="str">
        <f t="shared" si="900"/>
        <v>Def TaxN</v>
      </c>
      <c r="AQ1988" s="41" t="str">
        <f t="shared" si="901"/>
        <v>Def TaxNN10Mixed Use 263(a)</v>
      </c>
      <c r="AR1988" s="41" t="str">
        <f t="shared" si="902"/>
        <v>N10Mixed Use 263(a)NCR</v>
      </c>
    </row>
    <row r="1989" spans="1:44" s="41" customFormat="1" ht="12.75" customHeight="1">
      <c r="A1989" s="25" t="s">
        <v>1590</v>
      </c>
      <c r="B1989" s="25" t="str">
        <f t="shared" ref="B1989" si="940">CONCATENATE(A1989,C1989,D1989,E1989)</f>
        <v>Def Tax282200BE030223</v>
      </c>
      <c r="C1989" s="736">
        <v>282200</v>
      </c>
      <c r="D1989" s="735"/>
      <c r="E1989" s="41" t="s">
        <v>986</v>
      </c>
      <c r="F1989" s="41" t="str">
        <f t="shared" si="933"/>
        <v>ACCUM DEF INC TAX-OTH PROP-FEDERAL-ELECTRIC</v>
      </c>
      <c r="G1989" s="739" t="s">
        <v>4365</v>
      </c>
      <c r="H1989" s="736" t="s">
        <v>4371</v>
      </c>
      <c r="I1989" s="25"/>
      <c r="J1989" s="25" t="s">
        <v>7</v>
      </c>
      <c r="K1989" s="442"/>
      <c r="L1989" s="736" t="s">
        <v>2436</v>
      </c>
      <c r="M1989" s="25" t="str">
        <f t="shared" ref="M1989" si="941">LEFT(L1989,1)</f>
        <v>N</v>
      </c>
      <c r="N1989" s="25" t="str">
        <f>IF(L1989&lt;&gt;"",VLOOKUP(L1989,Categories!$B$2:$D$41,2,FALSE),IF(F1989&lt;&gt;"","No Cat",""))</f>
        <v>NRBASE</v>
      </c>
      <c r="O1989" s="25" t="str">
        <f>IF($L1989&lt;&gt;"",VLOOKUP($L1989,Categories!$B$2:$D$41,3,FALSE),IF($F1989&lt;&gt;"","No Cat",""))</f>
        <v>Deferrals Accruing Non-Cash Return   (other than ASGA)</v>
      </c>
      <c r="P1989" s="736" t="s">
        <v>2468</v>
      </c>
      <c r="Q1989" s="25" t="str">
        <f>VLOOKUP($P1989,Allocators!$B$7:$F$19,5,FALSE)</f>
        <v>Not in Rate Base</v>
      </c>
      <c r="R1989" s="737">
        <f>VLOOKUP($P1989,Allocators!$B$7:$F$19,2,FALSE)</f>
        <v>0</v>
      </c>
      <c r="S1989" s="737">
        <f>VLOOKUP($P1989,Allocators!$B$7:$F$19,3,FALSE)</f>
        <v>0</v>
      </c>
      <c r="T1989" s="737">
        <f t="shared" ref="T1989" si="942">IF(P1989="N",1,"0.0%")</f>
        <v>1</v>
      </c>
      <c r="U1989" s="2">
        <f t="shared" si="905"/>
        <v>0</v>
      </c>
      <c r="V1989" s="2">
        <f t="shared" si="906"/>
        <v>0</v>
      </c>
      <c r="W1989" s="2">
        <f t="shared" si="907"/>
        <v>-1467.7327600000001</v>
      </c>
      <c r="X1989" s="2">
        <f t="shared" si="903"/>
        <v>-1467.7327600000001</v>
      </c>
      <c r="Y1989" s="2">
        <f t="shared" si="908"/>
        <v>0</v>
      </c>
      <c r="Z1989" s="2">
        <f t="shared" si="909"/>
        <v>0</v>
      </c>
      <c r="AA1989" s="2">
        <f t="shared" si="910"/>
        <v>-1467.7327600000001</v>
      </c>
      <c r="AB1989" s="2">
        <f t="shared" si="904"/>
        <v>-1467.7327600000001</v>
      </c>
      <c r="AC1989" s="625">
        <v>-1467.7327600000001</v>
      </c>
      <c r="AD1989" s="625">
        <v>-1467.7327600000001</v>
      </c>
      <c r="AE1989" s="625">
        <v>-1467.7327600000001</v>
      </c>
      <c r="AF1989" s="625">
        <v>-1467.7327600000001</v>
      </c>
      <c r="AG1989" s="625">
        <v>-1467.7327600000001</v>
      </c>
      <c r="AH1989" s="625">
        <v>-1467.7327600000001</v>
      </c>
      <c r="AI1989" s="625">
        <v>-1467.7327600000001</v>
      </c>
      <c r="AJ1989" s="625">
        <v>-1467.7327600000001</v>
      </c>
      <c r="AK1989" s="625">
        <v>-1467.7327600000001</v>
      </c>
      <c r="AL1989" s="625">
        <v>-1467.7327600000001</v>
      </c>
      <c r="AM1989" s="625">
        <v>-1467.7327600000001</v>
      </c>
      <c r="AN1989" s="625">
        <v>-1467.7327600000001</v>
      </c>
      <c r="AO1989" s="625">
        <v>-1467.7327600000001</v>
      </c>
      <c r="AP1989" s="41" t="str">
        <f t="shared" si="900"/>
        <v>Def TaxN</v>
      </c>
      <c r="AQ1989" s="41" t="str">
        <f t="shared" si="901"/>
        <v>Def TaxNN10Allegany Sale Gain/Loss</v>
      </c>
      <c r="AR1989" s="41" t="str">
        <f t="shared" si="902"/>
        <v>N10Allegany Sale Gain/LossNCR</v>
      </c>
    </row>
    <row r="1990" spans="1:44" s="41" customFormat="1" ht="12.75" customHeight="1">
      <c r="A1990" s="442" t="s">
        <v>1590</v>
      </c>
      <c r="B1990" s="442" t="str">
        <f t="shared" si="898"/>
        <v>Def Tax282200BT010379</v>
      </c>
      <c r="C1990" s="736">
        <v>282200</v>
      </c>
      <c r="D1990" s="735"/>
      <c r="E1990" s="626" t="s">
        <v>2128</v>
      </c>
      <c r="F1990" s="626" t="str">
        <f t="shared" si="933"/>
        <v>ACCUM DEF INC TAX-OTH PROP-FEDERAL-ELECTRIC</v>
      </c>
      <c r="G1990" s="626" t="s">
        <v>2129</v>
      </c>
      <c r="H1990" s="736" t="s">
        <v>2130</v>
      </c>
      <c r="I1990" s="442"/>
      <c r="J1990" s="442" t="str">
        <f t="shared" si="934"/>
        <v/>
      </c>
      <c r="K1990" s="442" t="str">
        <f t="shared" si="924"/>
        <v/>
      </c>
      <c r="L1990" s="736" t="s">
        <v>2421</v>
      </c>
      <c r="M1990" s="442" t="str">
        <f t="shared" si="912"/>
        <v>N</v>
      </c>
      <c r="N1990" s="442" t="str">
        <f>IF(L1990&lt;&gt;"",VLOOKUP(L1990,Categories!$B$2:$D$41,2,FALSE),IF(F1990&lt;&gt;"","No Cat",""))</f>
        <v>NRBASE</v>
      </c>
      <c r="O1990" s="442" t="str">
        <f>IF($L1990&lt;&gt;"",VLOOKUP($L1990,Categories!$B$2:$D$41,3,FALSE),IF($F1990&lt;&gt;"","No Cat",""))</f>
        <v>Direct Assign Items Not in RB</v>
      </c>
      <c r="P1990" s="736" t="s">
        <v>2468</v>
      </c>
      <c r="Q1990" s="442" t="str">
        <f>VLOOKUP($P1990,Allocators!$B$7:$F$19,5,FALSE)</f>
        <v>Not in Rate Base</v>
      </c>
      <c r="R1990" s="737">
        <f>VLOOKUP($P1990,Allocators!$B$7:$F$19,2,FALSE)</f>
        <v>0</v>
      </c>
      <c r="S1990" s="737">
        <f>VLOOKUP($P1990,Allocators!$B$7:$F$19,3,FALSE)</f>
        <v>0</v>
      </c>
      <c r="T1990" s="737">
        <f t="shared" si="899"/>
        <v>1</v>
      </c>
      <c r="U1990" s="2">
        <f t="shared" si="905"/>
        <v>0</v>
      </c>
      <c r="V1990" s="2">
        <f t="shared" si="906"/>
        <v>0</v>
      </c>
      <c r="W1990" s="2">
        <f t="shared" si="907"/>
        <v>-33.369</v>
      </c>
      <c r="X1990" s="2">
        <f t="shared" si="903"/>
        <v>-33.369</v>
      </c>
      <c r="Y1990" s="2">
        <f t="shared" si="908"/>
        <v>0</v>
      </c>
      <c r="Z1990" s="2">
        <f t="shared" si="909"/>
        <v>0</v>
      </c>
      <c r="AA1990" s="2">
        <f t="shared" si="910"/>
        <v>-33.369</v>
      </c>
      <c r="AB1990" s="2">
        <f t="shared" si="904"/>
        <v>-33.369</v>
      </c>
      <c r="AC1990" s="625">
        <v>-33.369</v>
      </c>
      <c r="AD1990" s="625">
        <v>-33.369</v>
      </c>
      <c r="AE1990" s="625">
        <v>-33.369</v>
      </c>
      <c r="AF1990" s="625">
        <v>-33.369</v>
      </c>
      <c r="AG1990" s="625">
        <v>-33.369</v>
      </c>
      <c r="AH1990" s="625">
        <v>-33.369</v>
      </c>
      <c r="AI1990" s="625">
        <v>-33.369</v>
      </c>
      <c r="AJ1990" s="625">
        <v>-33.369</v>
      </c>
      <c r="AK1990" s="625">
        <v>-33.369</v>
      </c>
      <c r="AL1990" s="625">
        <v>-33.369</v>
      </c>
      <c r="AM1990" s="625">
        <v>-33.369</v>
      </c>
      <c r="AN1990" s="625">
        <v>-33.369</v>
      </c>
      <c r="AO1990" s="625">
        <v>-33.369</v>
      </c>
      <c r="AP1990" s="41" t="str">
        <f t="shared" si="900"/>
        <v>Def TaxN</v>
      </c>
      <c r="AQ1990" s="41" t="str">
        <f t="shared" si="901"/>
        <v>Def TaxNN2Street Light Sale - CoR</v>
      </c>
      <c r="AR1990" s="41" t="str">
        <f t="shared" si="902"/>
        <v>N2Street Light Sale - CoR</v>
      </c>
    </row>
    <row r="1991" spans="1:44" s="41" customFormat="1" ht="12.75" customHeight="1">
      <c r="A1991" s="25" t="s">
        <v>1590</v>
      </c>
      <c r="B1991" s="25" t="str">
        <f t="shared" si="898"/>
        <v>Def Tax282210282-002/
282-013/
282-014/
282-015BT010229</v>
      </c>
      <c r="C1991" s="736">
        <v>282210</v>
      </c>
      <c r="D1991" s="735" t="s">
        <v>2131</v>
      </c>
      <c r="E1991" s="41" t="s">
        <v>2063</v>
      </c>
      <c r="F1991" s="41" t="str">
        <f t="shared" si="933"/>
        <v>ACCUM DEF INC TAX-OTH PROP-FEDERAL-GAS</v>
      </c>
      <c r="G1991" s="41" t="s">
        <v>2064</v>
      </c>
      <c r="H1991" s="736" t="s">
        <v>2065</v>
      </c>
      <c r="I1991" s="25"/>
      <c r="J1991" s="25" t="str">
        <f t="shared" si="934"/>
        <v/>
      </c>
      <c r="K1991" s="442" t="str">
        <f t="shared" si="924"/>
        <v/>
      </c>
      <c r="L1991" s="736" t="s">
        <v>2443</v>
      </c>
      <c r="M1991" s="25" t="str">
        <f t="shared" si="912"/>
        <v>R</v>
      </c>
      <c r="N1991" s="25" t="str">
        <f>IF(L1991&lt;&gt;"",VLOOKUP(L1991,Categories!$B$2:$D$41,2,FALSE),IF(F1991&lt;&gt;"","No Cat",""))</f>
        <v>Rate Base</v>
      </c>
      <c r="O1991" s="25" t="str">
        <f>IF($L1991&lt;&gt;"",VLOOKUP($L1991,Categories!$B$2:$D$41,3,FALSE),IF($F1991&lt;&gt;"","No Cat",""))</f>
        <v>Deferred Income Taxes</v>
      </c>
      <c r="P1991" s="736" t="s">
        <v>2483</v>
      </c>
      <c r="Q1991" s="25" t="str">
        <f>VLOOKUP($P1991,Allocators!$B$7:$F$19,5,FALSE)</f>
        <v>Gas</v>
      </c>
      <c r="R1991" s="737">
        <f>VLOOKUP($P1991,Allocators!$B$7:$F$19,2,FALSE)</f>
        <v>0</v>
      </c>
      <c r="S1991" s="737">
        <f>VLOOKUP($P1991,Allocators!$B$7:$F$19,3,FALSE)</f>
        <v>1</v>
      </c>
      <c r="T1991" s="737" t="str">
        <f t="shared" si="899"/>
        <v>0.0%</v>
      </c>
      <c r="U1991" s="2">
        <f t="shared" si="905"/>
        <v>0</v>
      </c>
      <c r="V1991" s="2">
        <f t="shared" si="906"/>
        <v>-94051.863100416696</v>
      </c>
      <c r="W1991" s="2">
        <f t="shared" si="907"/>
        <v>0</v>
      </c>
      <c r="X1991" s="2">
        <f t="shared" si="903"/>
        <v>-94051.863100416696</v>
      </c>
      <c r="Y1991" s="2">
        <f t="shared" si="908"/>
        <v>0</v>
      </c>
      <c r="Z1991" s="2">
        <f t="shared" si="909"/>
        <v>-99325.587920000005</v>
      </c>
      <c r="AA1991" s="2">
        <f t="shared" si="910"/>
        <v>0</v>
      </c>
      <c r="AB1991" s="2">
        <f t="shared" si="904"/>
        <v>-99325.587920000005</v>
      </c>
      <c r="AC1991" s="625">
        <v>-92491.918689999991</v>
      </c>
      <c r="AD1991" s="625">
        <v>-93094.224439999991</v>
      </c>
      <c r="AE1991" s="625">
        <v>-93696.53018999999</v>
      </c>
      <c r="AF1991" s="625">
        <v>-94298.835940000004</v>
      </c>
      <c r="AG1991" s="625">
        <v>-93835.040689999994</v>
      </c>
      <c r="AH1991" s="625">
        <v>-93421.142049999995</v>
      </c>
      <c r="AI1991" s="625">
        <v>-93606.986730000004</v>
      </c>
      <c r="AJ1991" s="625">
        <v>-93792.83140000001</v>
      </c>
      <c r="AK1991" s="625">
        <v>-93954.746910000002</v>
      </c>
      <c r="AL1991" s="625">
        <v>-93449.759319999997</v>
      </c>
      <c r="AM1991" s="625">
        <v>-94639.958849999995</v>
      </c>
      <c r="AN1991" s="625">
        <v>-94923.547379999989</v>
      </c>
      <c r="AO1991" s="625">
        <v>-99325.587920000005</v>
      </c>
      <c r="AP1991" s="41" t="str">
        <f t="shared" si="900"/>
        <v>Def TaxR</v>
      </c>
      <c r="AQ1991" s="41" t="str">
        <f t="shared" si="901"/>
        <v>Def TaxRR11Accelerated Depreciation</v>
      </c>
      <c r="AR1991" s="41" t="str">
        <f t="shared" si="902"/>
        <v>R11Accelerated Depreciation</v>
      </c>
    </row>
    <row r="1992" spans="1:44" s="41" customFormat="1" ht="12.75" customHeight="1">
      <c r="A1992" s="25" t="s">
        <v>1590</v>
      </c>
      <c r="B1992" s="25" t="str">
        <f t="shared" si="898"/>
        <v>Def Tax282210282-002-S/
282-013-S/
282-014-S/
282-015-SBT010229</v>
      </c>
      <c r="C1992" s="736">
        <v>282210</v>
      </c>
      <c r="D1992" s="735" t="s">
        <v>2066</v>
      </c>
      <c r="E1992" s="41" t="s">
        <v>2063</v>
      </c>
      <c r="F1992" s="41" t="str">
        <f t="shared" si="933"/>
        <v>ACCUM DEF INC TAX-OTH PROP-FEDERAL-GAS</v>
      </c>
      <c r="G1992" s="41" t="s">
        <v>2064</v>
      </c>
      <c r="H1992" s="736" t="s">
        <v>2065</v>
      </c>
      <c r="I1992" s="25"/>
      <c r="J1992" s="25" t="str">
        <f t="shared" si="934"/>
        <v/>
      </c>
      <c r="K1992" s="442" t="str">
        <f t="shared" si="924"/>
        <v/>
      </c>
      <c r="L1992" s="736" t="s">
        <v>2443</v>
      </c>
      <c r="M1992" s="25" t="str">
        <f t="shared" si="912"/>
        <v>R</v>
      </c>
      <c r="N1992" s="25" t="str">
        <f>IF(L1992&lt;&gt;"",VLOOKUP(L1992,Categories!$B$2:$D$41,2,FALSE),IF(F1992&lt;&gt;"","No Cat",""))</f>
        <v>Rate Base</v>
      </c>
      <c r="O1992" s="25" t="str">
        <f>IF($L1992&lt;&gt;"",VLOOKUP($L1992,Categories!$B$2:$D$41,3,FALSE),IF($F1992&lt;&gt;"","No Cat",""))</f>
        <v>Deferred Income Taxes</v>
      </c>
      <c r="P1992" s="736" t="s">
        <v>2483</v>
      </c>
      <c r="Q1992" s="25" t="str">
        <f>VLOOKUP($P1992,Allocators!$B$7:$F$19,5,FALSE)</f>
        <v>Gas</v>
      </c>
      <c r="R1992" s="737">
        <f>VLOOKUP($P1992,Allocators!$B$7:$F$19,2,FALSE)</f>
        <v>0</v>
      </c>
      <c r="S1992" s="737">
        <f>VLOOKUP($P1992,Allocators!$B$7:$F$19,3,FALSE)</f>
        <v>1</v>
      </c>
      <c r="T1992" s="737" t="str">
        <f t="shared" si="899"/>
        <v>0.0%</v>
      </c>
      <c r="U1992" s="2" t="str">
        <f t="shared" si="905"/>
        <v/>
      </c>
      <c r="V1992" s="2" t="str">
        <f t="shared" si="906"/>
        <v/>
      </c>
      <c r="W1992" s="2" t="str">
        <f t="shared" si="907"/>
        <v/>
      </c>
      <c r="X1992" s="2">
        <f t="shared" si="903"/>
        <v>0</v>
      </c>
      <c r="Y1992" s="2" t="str">
        <f t="shared" si="908"/>
        <v/>
      </c>
      <c r="Z1992" s="2" t="str">
        <f t="shared" si="909"/>
        <v/>
      </c>
      <c r="AA1992" s="2" t="str">
        <f t="shared" si="910"/>
        <v/>
      </c>
      <c r="AB1992" s="2">
        <f t="shared" si="904"/>
        <v>0</v>
      </c>
      <c r="AC1992" s="625">
        <v>0</v>
      </c>
      <c r="AD1992" s="625">
        <v>0</v>
      </c>
      <c r="AE1992" s="625">
        <v>0</v>
      </c>
      <c r="AF1992" s="625">
        <v>0</v>
      </c>
      <c r="AG1992" s="625">
        <v>0</v>
      </c>
      <c r="AH1992" s="625">
        <v>0</v>
      </c>
      <c r="AI1992" s="625">
        <v>0</v>
      </c>
      <c r="AJ1992" s="625">
        <v>0</v>
      </c>
      <c r="AK1992" s="625">
        <v>0</v>
      </c>
      <c r="AL1992" s="625">
        <v>0</v>
      </c>
      <c r="AM1992" s="625">
        <v>0</v>
      </c>
      <c r="AN1992" s="625">
        <v>0</v>
      </c>
      <c r="AO1992" s="625">
        <v>0</v>
      </c>
      <c r="AP1992" s="41" t="str">
        <f t="shared" ref="AP1992:AP2055" si="943">CONCATENATE(A1992,M1992)</f>
        <v>Def TaxR</v>
      </c>
      <c r="AQ1992" s="41" t="str">
        <f t="shared" ref="AQ1992:AQ2055" si="944">CONCATENATE(AP1992,L1992,H1992)</f>
        <v>Def TaxRR11Accelerated Depreciation</v>
      </c>
      <c r="AR1992" s="41" t="str">
        <f t="shared" ref="AR1992:AR2055" si="945">CONCATENATE(L1992,H1992,J1992)</f>
        <v>R11Accelerated Depreciation</v>
      </c>
    </row>
    <row r="1993" spans="1:44" s="41" customFormat="1" ht="12.75" customHeight="1">
      <c r="A1993" s="25" t="s">
        <v>1590</v>
      </c>
      <c r="B1993" s="25" t="str">
        <f t="shared" si="898"/>
        <v>Def Tax282210282-002-SBT010020</v>
      </c>
      <c r="C1993" s="736">
        <v>282210</v>
      </c>
      <c r="D1993" s="735" t="s">
        <v>2068</v>
      </c>
      <c r="E1993" s="41" t="s">
        <v>2069</v>
      </c>
      <c r="F1993" s="41" t="str">
        <f t="shared" si="933"/>
        <v>ACCUM DEF INC TAX-OTH PROP-FEDERAL-GAS</v>
      </c>
      <c r="G1993" s="41" t="s">
        <v>2070</v>
      </c>
      <c r="H1993" s="736" t="s">
        <v>2065</v>
      </c>
      <c r="I1993" s="25"/>
      <c r="J1993" s="25" t="str">
        <f t="shared" si="934"/>
        <v/>
      </c>
      <c r="K1993" s="442" t="str">
        <f t="shared" si="924"/>
        <v/>
      </c>
      <c r="L1993" s="736" t="s">
        <v>2443</v>
      </c>
      <c r="M1993" s="25" t="str">
        <f t="shared" si="912"/>
        <v>R</v>
      </c>
      <c r="N1993" s="25" t="str">
        <f>IF(L1993&lt;&gt;"",VLOOKUP(L1993,Categories!$B$2:$D$41,2,FALSE),IF(F1993&lt;&gt;"","No Cat",""))</f>
        <v>Rate Base</v>
      </c>
      <c r="O1993" s="25" t="str">
        <f>IF($L1993&lt;&gt;"",VLOOKUP($L1993,Categories!$B$2:$D$41,3,FALSE),IF($F1993&lt;&gt;"","No Cat",""))</f>
        <v>Deferred Income Taxes</v>
      </c>
      <c r="P1993" s="736" t="s">
        <v>2483</v>
      </c>
      <c r="Q1993" s="25" t="str">
        <f>VLOOKUP($P1993,Allocators!$B$7:$F$19,5,FALSE)</f>
        <v>Gas</v>
      </c>
      <c r="R1993" s="737">
        <f>VLOOKUP($P1993,Allocators!$B$7:$F$19,2,FALSE)</f>
        <v>0</v>
      </c>
      <c r="S1993" s="737">
        <f>VLOOKUP($P1993,Allocators!$B$7:$F$19,3,FALSE)</f>
        <v>1</v>
      </c>
      <c r="T1993" s="737" t="str">
        <f t="shared" si="899"/>
        <v>0.0%</v>
      </c>
      <c r="U1993" s="2">
        <f t="shared" si="905"/>
        <v>0</v>
      </c>
      <c r="V1993" s="2">
        <f t="shared" si="906"/>
        <v>-3299.76901083333</v>
      </c>
      <c r="W1993" s="2">
        <f t="shared" si="907"/>
        <v>0</v>
      </c>
      <c r="X1993" s="2">
        <f t="shared" si="903"/>
        <v>-3299.76901083333</v>
      </c>
      <c r="Y1993" s="2">
        <f t="shared" si="908"/>
        <v>0</v>
      </c>
      <c r="Z1993" s="2">
        <f t="shared" si="909"/>
        <v>-3581.64725</v>
      </c>
      <c r="AA1993" s="2">
        <f t="shared" si="910"/>
        <v>0</v>
      </c>
      <c r="AB1993" s="2">
        <f t="shared" si="904"/>
        <v>-3581.64725</v>
      </c>
      <c r="AC1993" s="625">
        <v>-3022.3001899999999</v>
      </c>
      <c r="AD1993" s="625">
        <v>-3067.9939900000004</v>
      </c>
      <c r="AE1993" s="625">
        <v>-3113.7498500000002</v>
      </c>
      <c r="AF1993" s="625">
        <v>-3159.4218599999999</v>
      </c>
      <c r="AG1993" s="625">
        <v>-3205.3769199999997</v>
      </c>
      <c r="AH1993" s="625">
        <v>-3251.4218900000001</v>
      </c>
      <c r="AI1993" s="625">
        <v>-3298.0768900000003</v>
      </c>
      <c r="AJ1993" s="625">
        <v>-3345.7098700000001</v>
      </c>
      <c r="AK1993" s="625">
        <v>-3392.1530200000002</v>
      </c>
      <c r="AL1993" s="625">
        <v>-3439.5635600000001</v>
      </c>
      <c r="AM1993" s="625">
        <v>-3487.0257799999999</v>
      </c>
      <c r="AN1993" s="625">
        <v>-3534.7607799999996</v>
      </c>
      <c r="AO1993" s="625">
        <v>-3581.64725</v>
      </c>
      <c r="AP1993" s="41" t="str">
        <f t="shared" si="943"/>
        <v>Def TaxR</v>
      </c>
      <c r="AQ1993" s="41" t="str">
        <f t="shared" si="944"/>
        <v>Def TaxRR11Accelerated Depreciation</v>
      </c>
      <c r="AR1993" s="41" t="str">
        <f t="shared" si="945"/>
        <v>R11Accelerated Depreciation</v>
      </c>
    </row>
    <row r="1994" spans="1:44" s="41" customFormat="1" ht="12.75" customHeight="1">
      <c r="A1994" s="25" t="s">
        <v>1590</v>
      </c>
      <c r="B1994" s="25" t="str">
        <f t="shared" ref="B1994" si="946">CONCATENATE(A1994,C1994,D1994,E1994)</f>
        <v>Def Tax282210BT010043</v>
      </c>
      <c r="C1994" s="736">
        <v>282210</v>
      </c>
      <c r="D1994" s="735"/>
      <c r="E1994" s="41" t="s">
        <v>1631</v>
      </c>
      <c r="F1994" s="41" t="str">
        <f t="shared" si="933"/>
        <v>ACCUM DEF INC TAX-OTH PROP-FEDERAL-GAS</v>
      </c>
      <c r="G1994" s="41" t="s">
        <v>4119</v>
      </c>
      <c r="H1994" s="736" t="s">
        <v>1632</v>
      </c>
      <c r="I1994" s="25"/>
      <c r="J1994" s="25" t="str">
        <f t="shared" ref="J1994" si="947">IF(L1994="N10","Y",IF(L1994="N8","Y",""))</f>
        <v/>
      </c>
      <c r="K1994" s="442" t="str">
        <f t="shared" si="924"/>
        <v/>
      </c>
      <c r="L1994" s="736" t="s">
        <v>2443</v>
      </c>
      <c r="M1994" s="25" t="str">
        <f t="shared" ref="M1994" si="948">LEFT(L1994,1)</f>
        <v>R</v>
      </c>
      <c r="N1994" s="25" t="str">
        <f>IF(L1994&lt;&gt;"",VLOOKUP(L1994,Categories!$B$2:$D$41,2,FALSE),IF(F1994&lt;&gt;"","No Cat",""))</f>
        <v>Rate Base</v>
      </c>
      <c r="O1994" s="25" t="str">
        <f>IF($L1994&lt;&gt;"",VLOOKUP($L1994,Categories!$B$2:$D$41,3,FALSE),IF($F1994&lt;&gt;"","No Cat",""))</f>
        <v>Deferred Income Taxes</v>
      </c>
      <c r="P1994" s="736" t="s">
        <v>2483</v>
      </c>
      <c r="Q1994" s="25" t="str">
        <f>VLOOKUP($P1994,Allocators!$B$7:$F$19,5,FALSE)</f>
        <v>Gas</v>
      </c>
      <c r="R1994" s="737">
        <f>VLOOKUP($P1994,Allocators!$B$7:$F$19,2,FALSE)</f>
        <v>0</v>
      </c>
      <c r="S1994" s="737">
        <f>VLOOKUP($P1994,Allocators!$B$7:$F$19,3,FALSE)</f>
        <v>1</v>
      </c>
      <c r="T1994" s="737" t="str">
        <f t="shared" ref="T1994" si="949">IF(P1994="N",1,"0.0%")</f>
        <v>0.0%</v>
      </c>
      <c r="U1994" s="2">
        <f t="shared" si="905"/>
        <v>0</v>
      </c>
      <c r="V1994" s="2">
        <f t="shared" si="906"/>
        <v>2854.9505095833301</v>
      </c>
      <c r="W1994" s="2">
        <f t="shared" si="907"/>
        <v>0</v>
      </c>
      <c r="X1994" s="2">
        <f t="shared" si="903"/>
        <v>2854.9505095833301</v>
      </c>
      <c r="Y1994" s="2">
        <f t="shared" si="908"/>
        <v>0</v>
      </c>
      <c r="Z1994" s="2">
        <f t="shared" si="909"/>
        <v>3133.51649</v>
      </c>
      <c r="AA1994" s="2">
        <f t="shared" si="910"/>
        <v>0</v>
      </c>
      <c r="AB1994" s="2">
        <f t="shared" si="904"/>
        <v>3133.5164900000004</v>
      </c>
      <c r="AC1994" s="625">
        <v>2677.1476200000002</v>
      </c>
      <c r="AD1994" s="625">
        <v>2681.7354700000001</v>
      </c>
      <c r="AE1994" s="625">
        <v>2722.5553300000001</v>
      </c>
      <c r="AF1994" s="625">
        <v>2733.2462599999999</v>
      </c>
      <c r="AG1994" s="625">
        <v>2741.9730499999996</v>
      </c>
      <c r="AH1994" s="625">
        <v>2749.6045399999998</v>
      </c>
      <c r="AI1994" s="625">
        <v>2825.1928399999997</v>
      </c>
      <c r="AJ1994" s="625">
        <v>2890.8887599999998</v>
      </c>
      <c r="AK1994" s="625">
        <v>2901.1385299999997</v>
      </c>
      <c r="AL1994" s="625">
        <v>2980.2529</v>
      </c>
      <c r="AM1994" s="625">
        <v>2996.3758499999999</v>
      </c>
      <c r="AN1994" s="625">
        <v>3131.1105299999999</v>
      </c>
      <c r="AO1994" s="625">
        <v>3133.5164900000004</v>
      </c>
      <c r="AP1994" s="41" t="str">
        <f t="shared" si="943"/>
        <v>Def TaxR</v>
      </c>
      <c r="AQ1994" s="41" t="str">
        <f t="shared" si="944"/>
        <v>Def TaxRR11CIAC</v>
      </c>
      <c r="AR1994" s="41" t="str">
        <f t="shared" si="945"/>
        <v>R11CIAC</v>
      </c>
    </row>
    <row r="1995" spans="1:44" s="41" customFormat="1" ht="12.75" customHeight="1">
      <c r="A1995" s="25" t="s">
        <v>1590</v>
      </c>
      <c r="B1995" s="25" t="str">
        <f t="shared" ref="B1995:B2086" si="950">CONCATENATE(A1995,C1995,D1995,E1995)</f>
        <v>Def Tax282210282-004BT010253</v>
      </c>
      <c r="C1995" s="736">
        <v>282210</v>
      </c>
      <c r="D1995" s="735" t="s">
        <v>2074</v>
      </c>
      <c r="E1995" s="41" t="s">
        <v>2078</v>
      </c>
      <c r="F1995" s="41" t="str">
        <f t="shared" si="933"/>
        <v>ACCUM DEF INC TAX-OTH PROP-FEDERAL-GAS</v>
      </c>
      <c r="G1995" s="41" t="s">
        <v>2076</v>
      </c>
      <c r="H1995" s="736" t="s">
        <v>2079</v>
      </c>
      <c r="I1995" s="25"/>
      <c r="J1995" s="25" t="str">
        <f t="shared" si="934"/>
        <v/>
      </c>
      <c r="K1995" s="442" t="str">
        <f t="shared" si="924"/>
        <v/>
      </c>
      <c r="L1995" s="736" t="s">
        <v>2443</v>
      </c>
      <c r="M1995" s="25" t="str">
        <f t="shared" si="912"/>
        <v>R</v>
      </c>
      <c r="N1995" s="25" t="str">
        <f>IF(L1995&lt;&gt;"",VLOOKUP(L1995,Categories!$B$2:$D$41,2,FALSE),IF(F1995&lt;&gt;"","No Cat",""))</f>
        <v>Rate Base</v>
      </c>
      <c r="O1995" s="25" t="str">
        <f>IF($L1995&lt;&gt;"",VLOOKUP($L1995,Categories!$B$2:$D$41,3,FALSE),IF($F1995&lt;&gt;"","No Cat",""))</f>
        <v>Deferred Income Taxes</v>
      </c>
      <c r="P1995" s="736" t="s">
        <v>2483</v>
      </c>
      <c r="Q1995" s="25" t="str">
        <f>VLOOKUP($P1995,Allocators!$B$7:$F$19,5,FALSE)</f>
        <v>Gas</v>
      </c>
      <c r="R1995" s="737">
        <f>VLOOKUP($P1995,Allocators!$B$7:$F$19,2,FALSE)</f>
        <v>0</v>
      </c>
      <c r="S1995" s="737">
        <f>VLOOKUP($P1995,Allocators!$B$7:$F$19,3,FALSE)</f>
        <v>1</v>
      </c>
      <c r="T1995" s="737" t="str">
        <f t="shared" si="899"/>
        <v>0.0%</v>
      </c>
      <c r="U1995" s="2">
        <f t="shared" si="905"/>
        <v>0</v>
      </c>
      <c r="V1995" s="2">
        <f t="shared" si="906"/>
        <v>1431.15733</v>
      </c>
      <c r="W1995" s="2">
        <f t="shared" si="907"/>
        <v>0</v>
      </c>
      <c r="X1995" s="2">
        <f t="shared" si="903"/>
        <v>1431.15733</v>
      </c>
      <c r="Y1995" s="2">
        <f t="shared" si="908"/>
        <v>0</v>
      </c>
      <c r="Z1995" s="2">
        <f t="shared" si="909"/>
        <v>1260.53233</v>
      </c>
      <c r="AA1995" s="2">
        <f t="shared" si="910"/>
        <v>0</v>
      </c>
      <c r="AB1995" s="2">
        <f t="shared" si="904"/>
        <v>1260.53233</v>
      </c>
      <c r="AC1995" s="625">
        <v>1260.53233</v>
      </c>
      <c r="AD1995" s="625">
        <v>1306.03233</v>
      </c>
      <c r="AE1995" s="625">
        <v>1351.53233</v>
      </c>
      <c r="AF1995" s="625">
        <v>1397.03233</v>
      </c>
      <c r="AG1995" s="625">
        <v>1442.53233</v>
      </c>
      <c r="AH1995" s="625">
        <v>1488.03233</v>
      </c>
      <c r="AI1995" s="625">
        <v>1533.53233</v>
      </c>
      <c r="AJ1995" s="625">
        <v>1579.03233</v>
      </c>
      <c r="AK1995" s="625">
        <v>1624.53233</v>
      </c>
      <c r="AL1995" s="625">
        <v>1670.03233</v>
      </c>
      <c r="AM1995" s="625">
        <v>1260.53233</v>
      </c>
      <c r="AN1995" s="625">
        <v>1260.53233</v>
      </c>
      <c r="AO1995" s="625">
        <v>1260.53233</v>
      </c>
      <c r="AP1995" s="41" t="str">
        <f t="shared" si="943"/>
        <v>Def TaxR</v>
      </c>
      <c r="AQ1995" s="41" t="str">
        <f t="shared" si="944"/>
        <v>Def TaxRR11Cost of Removal</v>
      </c>
      <c r="AR1995" s="41" t="str">
        <f t="shared" si="945"/>
        <v>R11Cost of Removal</v>
      </c>
    </row>
    <row r="1996" spans="1:44" s="41" customFormat="1" ht="12.75" customHeight="1">
      <c r="A1996" s="25" t="s">
        <v>1590</v>
      </c>
      <c r="B1996" s="25" t="str">
        <f t="shared" si="950"/>
        <v>Def Tax282210282-006BT010029</v>
      </c>
      <c r="C1996" s="736">
        <v>282210</v>
      </c>
      <c r="D1996" s="735" t="s">
        <v>2080</v>
      </c>
      <c r="E1996" s="41" t="s">
        <v>2081</v>
      </c>
      <c r="F1996" s="41" t="str">
        <f t="shared" si="933"/>
        <v>ACCUM DEF INC TAX-OTH PROP-FEDERAL-GAS</v>
      </c>
      <c r="G1996" s="41" t="s">
        <v>2082</v>
      </c>
      <c r="H1996" s="736" t="s">
        <v>2083</v>
      </c>
      <c r="I1996" s="25"/>
      <c r="J1996" s="25" t="str">
        <f t="shared" si="934"/>
        <v/>
      </c>
      <c r="K1996" s="442" t="str">
        <f t="shared" si="924"/>
        <v/>
      </c>
      <c r="L1996" s="736" t="s">
        <v>2443</v>
      </c>
      <c r="M1996" s="25" t="str">
        <f t="shared" si="912"/>
        <v>R</v>
      </c>
      <c r="N1996" s="25" t="str">
        <f>IF(L1996&lt;&gt;"",VLOOKUP(L1996,Categories!$B$2:$D$41,2,FALSE),IF(F1996&lt;&gt;"","No Cat",""))</f>
        <v>Rate Base</v>
      </c>
      <c r="O1996" s="25" t="str">
        <f>IF($L1996&lt;&gt;"",VLOOKUP($L1996,Categories!$B$2:$D$41,3,FALSE),IF($F1996&lt;&gt;"","No Cat",""))</f>
        <v>Deferred Income Taxes</v>
      </c>
      <c r="P1996" s="736" t="s">
        <v>2483</v>
      </c>
      <c r="Q1996" s="25" t="str">
        <f>VLOOKUP($P1996,Allocators!$B$7:$F$19,5,FALSE)</f>
        <v>Gas</v>
      </c>
      <c r="R1996" s="737">
        <f>VLOOKUP($P1996,Allocators!$B$7:$F$19,2,FALSE)</f>
        <v>0</v>
      </c>
      <c r="S1996" s="737">
        <f>VLOOKUP($P1996,Allocators!$B$7:$F$19,3,FALSE)</f>
        <v>1</v>
      </c>
      <c r="T1996" s="737" t="str">
        <f t="shared" si="899"/>
        <v>0.0%</v>
      </c>
      <c r="U1996" s="2">
        <f t="shared" si="905"/>
        <v>0</v>
      </c>
      <c r="V1996" s="2">
        <f t="shared" si="906"/>
        <v>323.09357916666698</v>
      </c>
      <c r="W1996" s="2">
        <f t="shared" si="907"/>
        <v>0</v>
      </c>
      <c r="X1996" s="2">
        <f t="shared" si="903"/>
        <v>323.09357916666698</v>
      </c>
      <c r="Y1996" s="2">
        <f t="shared" si="908"/>
        <v>0</v>
      </c>
      <c r="Z1996" s="2">
        <f t="shared" si="909"/>
        <v>383.39246000000003</v>
      </c>
      <c r="AA1996" s="2">
        <f t="shared" si="910"/>
        <v>0</v>
      </c>
      <c r="AB1996" s="2">
        <f t="shared" si="904"/>
        <v>383.39246000000003</v>
      </c>
      <c r="AC1996" s="625">
        <v>279.29503999999997</v>
      </c>
      <c r="AD1996" s="625">
        <v>288.28805999999997</v>
      </c>
      <c r="AE1996" s="625">
        <v>293.94526999999999</v>
      </c>
      <c r="AF1996" s="625">
        <v>300.12961000000001</v>
      </c>
      <c r="AG1996" s="625">
        <v>305.59932000000003</v>
      </c>
      <c r="AH1996" s="625">
        <v>310.85012999999998</v>
      </c>
      <c r="AI1996" s="625">
        <v>316.40314000000001</v>
      </c>
      <c r="AJ1996" s="625">
        <v>324.35284000000001</v>
      </c>
      <c r="AK1996" s="625">
        <v>332.87808000000001</v>
      </c>
      <c r="AL1996" s="625">
        <v>344.29217999999997</v>
      </c>
      <c r="AM1996" s="625">
        <v>359.02994999999999</v>
      </c>
      <c r="AN1996" s="625">
        <v>370.01062000000002</v>
      </c>
      <c r="AO1996" s="625">
        <v>383.39246000000003</v>
      </c>
      <c r="AP1996" s="41" t="str">
        <f t="shared" si="943"/>
        <v>Def TaxR</v>
      </c>
      <c r="AQ1996" s="41" t="str">
        <f t="shared" si="944"/>
        <v>Def TaxRR11Capitalized Interest</v>
      </c>
      <c r="AR1996" s="41" t="str">
        <f t="shared" si="945"/>
        <v>R11Capitalized Interest</v>
      </c>
    </row>
    <row r="1997" spans="1:44" s="41" customFormat="1" ht="12.75" customHeight="1">
      <c r="A1997" s="25" t="s">
        <v>1590</v>
      </c>
      <c r="B1997" s="25" t="str">
        <f t="shared" si="950"/>
        <v>Def Tax282210282-007BT010202</v>
      </c>
      <c r="C1997" s="736">
        <v>282210</v>
      </c>
      <c r="D1997" s="735" t="s">
        <v>2084</v>
      </c>
      <c r="E1997" s="41" t="s">
        <v>1786</v>
      </c>
      <c r="F1997" s="41" t="str">
        <f t="shared" si="933"/>
        <v>ACCUM DEF INC TAX-OTH PROP-FEDERAL-GAS</v>
      </c>
      <c r="G1997" s="41" t="s">
        <v>2085</v>
      </c>
      <c r="H1997" s="736" t="s">
        <v>2086</v>
      </c>
      <c r="I1997" s="25"/>
      <c r="J1997" s="25" t="str">
        <f t="shared" si="934"/>
        <v/>
      </c>
      <c r="K1997" s="442" t="str">
        <f t="shared" si="924"/>
        <v/>
      </c>
      <c r="L1997" s="736" t="s">
        <v>2443</v>
      </c>
      <c r="M1997" s="25" t="str">
        <f t="shared" si="912"/>
        <v>R</v>
      </c>
      <c r="N1997" s="25" t="str">
        <f>IF(L1997&lt;&gt;"",VLOOKUP(L1997,Categories!$B$2:$D$41,2,FALSE),IF(F1997&lt;&gt;"","No Cat",""))</f>
        <v>Rate Base</v>
      </c>
      <c r="O1997" s="25" t="str">
        <f>IF($L1997&lt;&gt;"",VLOOKUP($L1997,Categories!$B$2:$D$41,3,FALSE),IF($F1997&lt;&gt;"","No Cat",""))</f>
        <v>Deferred Income Taxes</v>
      </c>
      <c r="P1997" s="736" t="s">
        <v>2483</v>
      </c>
      <c r="Q1997" s="25" t="str">
        <f>VLOOKUP($P1997,Allocators!$B$7:$F$19,5,FALSE)</f>
        <v>Gas</v>
      </c>
      <c r="R1997" s="737">
        <f>VLOOKUP($P1997,Allocators!$B$7:$F$19,2,FALSE)</f>
        <v>0</v>
      </c>
      <c r="S1997" s="737">
        <f>VLOOKUP($P1997,Allocators!$B$7:$F$19,3,FALSE)</f>
        <v>1</v>
      </c>
      <c r="T1997" s="737" t="str">
        <f t="shared" si="899"/>
        <v>0.0%</v>
      </c>
      <c r="U1997" s="2" t="str">
        <f t="shared" si="905"/>
        <v/>
      </c>
      <c r="V1997" s="2" t="str">
        <f t="shared" si="906"/>
        <v/>
      </c>
      <c r="W1997" s="2" t="str">
        <f t="shared" si="907"/>
        <v/>
      </c>
      <c r="X1997" s="2">
        <f t="shared" si="903"/>
        <v>0</v>
      </c>
      <c r="Y1997" s="2" t="str">
        <f t="shared" si="908"/>
        <v/>
      </c>
      <c r="Z1997" s="2" t="str">
        <f t="shared" si="909"/>
        <v/>
      </c>
      <c r="AA1997" s="2" t="str">
        <f t="shared" si="910"/>
        <v/>
      </c>
      <c r="AB1997" s="2">
        <f t="shared" si="904"/>
        <v>0</v>
      </c>
      <c r="AC1997" s="625">
        <v>0</v>
      </c>
      <c r="AD1997" s="625">
        <v>0</v>
      </c>
      <c r="AE1997" s="625">
        <v>0</v>
      </c>
      <c r="AF1997" s="625">
        <v>0</v>
      </c>
      <c r="AG1997" s="625">
        <v>0</v>
      </c>
      <c r="AH1997" s="625">
        <v>0</v>
      </c>
      <c r="AI1997" s="625">
        <v>0</v>
      </c>
      <c r="AJ1997" s="625">
        <v>0</v>
      </c>
      <c r="AK1997" s="625">
        <v>0</v>
      </c>
      <c r="AL1997" s="625">
        <v>0</v>
      </c>
      <c r="AM1997" s="625">
        <v>0</v>
      </c>
      <c r="AN1997" s="625">
        <v>0</v>
      </c>
      <c r="AO1997" s="625">
        <v>0</v>
      </c>
      <c r="AP1997" s="41" t="str">
        <f t="shared" si="943"/>
        <v>Def TaxR</v>
      </c>
      <c r="AQ1997" s="41" t="str">
        <f t="shared" si="944"/>
        <v>Def TaxRR11Excess Salvage</v>
      </c>
      <c r="AR1997" s="41" t="str">
        <f t="shared" si="945"/>
        <v>R11Excess Salvage</v>
      </c>
    </row>
    <row r="1998" spans="1:44" s="41" customFormat="1" ht="12.75" customHeight="1">
      <c r="A1998" s="25" t="s">
        <v>1590</v>
      </c>
      <c r="B1998" s="25" t="str">
        <f t="shared" ref="B1998" si="951">CONCATENATE(A1998,C1998,D1998,E1998)</f>
        <v>Def Tax282210282-007BT010202</v>
      </c>
      <c r="C1998" s="736">
        <v>282210</v>
      </c>
      <c r="D1998" s="735" t="s">
        <v>2084</v>
      </c>
      <c r="E1998" s="41" t="s">
        <v>1786</v>
      </c>
      <c r="F1998" s="41" t="str">
        <f t="shared" si="933"/>
        <v>ACCUM DEF INC TAX-OTH PROP-FEDERAL-GAS</v>
      </c>
      <c r="G1998" s="41" t="s">
        <v>4122</v>
      </c>
      <c r="H1998" s="736" t="s">
        <v>2086</v>
      </c>
      <c r="I1998" s="25"/>
      <c r="J1998" s="25" t="str">
        <f t="shared" ref="J1998" si="952">IF(L1998="N10","Y",IF(L1998="N8","Y",""))</f>
        <v/>
      </c>
      <c r="K1998" s="442" t="str">
        <f t="shared" si="924"/>
        <v/>
      </c>
      <c r="L1998" s="736" t="s">
        <v>2443</v>
      </c>
      <c r="M1998" s="25" t="str">
        <f t="shared" ref="M1998" si="953">LEFT(L1998,1)</f>
        <v>R</v>
      </c>
      <c r="N1998" s="25" t="str">
        <f>IF(L1998&lt;&gt;"",VLOOKUP(L1998,Categories!$B$2:$D$41,2,FALSE),IF(F1998&lt;&gt;"","No Cat",""))</f>
        <v>Rate Base</v>
      </c>
      <c r="O1998" s="25" t="str">
        <f>IF($L1998&lt;&gt;"",VLOOKUP($L1998,Categories!$B$2:$D$41,3,FALSE),IF($F1998&lt;&gt;"","No Cat",""))</f>
        <v>Deferred Income Taxes</v>
      </c>
      <c r="P1998" s="736" t="s">
        <v>2483</v>
      </c>
      <c r="Q1998" s="25" t="str">
        <f>VLOOKUP($P1998,Allocators!$B$7:$F$19,5,FALSE)</f>
        <v>Gas</v>
      </c>
      <c r="R1998" s="737">
        <f>VLOOKUP($P1998,Allocators!$B$7:$F$19,2,FALSE)</f>
        <v>0</v>
      </c>
      <c r="S1998" s="737">
        <f>VLOOKUP($P1998,Allocators!$B$7:$F$19,3,FALSE)</f>
        <v>1</v>
      </c>
      <c r="T1998" s="737" t="str">
        <f t="shared" ref="T1998" si="954">IF(P1998="N",1,"0.0%")</f>
        <v>0.0%</v>
      </c>
      <c r="U1998" s="2">
        <f t="shared" si="905"/>
        <v>0</v>
      </c>
      <c r="V1998" s="2">
        <f t="shared" si="906"/>
        <v>3091.324975</v>
      </c>
      <c r="W1998" s="2">
        <f t="shared" si="907"/>
        <v>0</v>
      </c>
      <c r="X1998" s="2">
        <f t="shared" si="903"/>
        <v>3091.324975</v>
      </c>
      <c r="Y1998" s="2">
        <f t="shared" si="908"/>
        <v>0</v>
      </c>
      <c r="Z1998" s="2">
        <f t="shared" si="909"/>
        <v>3125.6792700000001</v>
      </c>
      <c r="AA1998" s="2">
        <f t="shared" si="910"/>
        <v>0</v>
      </c>
      <c r="AB1998" s="2">
        <f t="shared" si="904"/>
        <v>3125.6792700000001</v>
      </c>
      <c r="AC1998" s="625">
        <v>3078.9714700000004</v>
      </c>
      <c r="AD1998" s="625">
        <v>3078.8469399999999</v>
      </c>
      <c r="AE1998" s="625">
        <v>3078.8807499999998</v>
      </c>
      <c r="AF1998" s="625">
        <v>3078.9109900000003</v>
      </c>
      <c r="AG1998" s="625">
        <v>3080.1072200000003</v>
      </c>
      <c r="AH1998" s="625">
        <v>3080.5903900000003</v>
      </c>
      <c r="AI1998" s="625">
        <v>3081.2406900000001</v>
      </c>
      <c r="AJ1998" s="625">
        <v>3096.5484300000003</v>
      </c>
      <c r="AK1998" s="625">
        <v>3098.96722</v>
      </c>
      <c r="AL1998" s="625">
        <v>3101.5671200000002</v>
      </c>
      <c r="AM1998" s="625">
        <v>3102.68921</v>
      </c>
      <c r="AN1998" s="625">
        <v>3115.2253700000001</v>
      </c>
      <c r="AO1998" s="625">
        <v>3125.6792700000001</v>
      </c>
      <c r="AP1998" s="41" t="str">
        <f t="shared" si="943"/>
        <v>Def TaxR</v>
      </c>
      <c r="AQ1998" s="41" t="str">
        <f t="shared" si="944"/>
        <v>Def TaxRR11Excess Salvage</v>
      </c>
      <c r="AR1998" s="41" t="str">
        <f t="shared" si="945"/>
        <v>R11Excess Salvage</v>
      </c>
    </row>
    <row r="1999" spans="1:44" s="41" customFormat="1" ht="12.75" customHeight="1">
      <c r="A1999" s="25" t="s">
        <v>1590</v>
      </c>
      <c r="B1999" s="25" t="str">
        <f t="shared" si="950"/>
        <v>Def Tax282210282-007-SBT010202</v>
      </c>
      <c r="C1999" s="736">
        <v>282210</v>
      </c>
      <c r="D1999" s="735" t="s">
        <v>2087</v>
      </c>
      <c r="E1999" s="41" t="s">
        <v>1786</v>
      </c>
      <c r="F1999" s="41" t="str">
        <f t="shared" si="933"/>
        <v>ACCUM DEF INC TAX-OTH PROP-FEDERAL-GAS</v>
      </c>
      <c r="G1999" s="41" t="s">
        <v>2088</v>
      </c>
      <c r="H1999" s="736" t="s">
        <v>2086</v>
      </c>
      <c r="I1999" s="25"/>
      <c r="J1999" s="25" t="str">
        <f t="shared" si="934"/>
        <v/>
      </c>
      <c r="K1999" s="442" t="str">
        <f t="shared" si="924"/>
        <v/>
      </c>
      <c r="L1999" s="736" t="s">
        <v>2443</v>
      </c>
      <c r="M1999" s="25" t="str">
        <f t="shared" si="912"/>
        <v>R</v>
      </c>
      <c r="N1999" s="25" t="str">
        <f>IF(L1999&lt;&gt;"",VLOOKUP(L1999,Categories!$B$2:$D$41,2,FALSE),IF(F1999&lt;&gt;"","No Cat",""))</f>
        <v>Rate Base</v>
      </c>
      <c r="O1999" s="25" t="str">
        <f>IF($L1999&lt;&gt;"",VLOOKUP($L1999,Categories!$B$2:$D$41,3,FALSE),IF($F1999&lt;&gt;"","No Cat",""))</f>
        <v>Deferred Income Taxes</v>
      </c>
      <c r="P1999" s="736" t="s">
        <v>2483</v>
      </c>
      <c r="Q1999" s="25" t="str">
        <f>VLOOKUP($P1999,Allocators!$B$7:$F$19,5,FALSE)</f>
        <v>Gas</v>
      </c>
      <c r="R1999" s="737">
        <f>VLOOKUP($P1999,Allocators!$B$7:$F$19,2,FALSE)</f>
        <v>0</v>
      </c>
      <c r="S1999" s="737">
        <f>VLOOKUP($P1999,Allocators!$B$7:$F$19,3,FALSE)</f>
        <v>1</v>
      </c>
      <c r="T1999" s="737" t="str">
        <f t="shared" si="899"/>
        <v>0.0%</v>
      </c>
      <c r="U1999" s="2" t="str">
        <f t="shared" si="905"/>
        <v/>
      </c>
      <c r="V1999" s="2" t="str">
        <f t="shared" si="906"/>
        <v/>
      </c>
      <c r="W1999" s="2" t="str">
        <f t="shared" si="907"/>
        <v/>
      </c>
      <c r="X1999" s="2">
        <f t="shared" si="903"/>
        <v>0</v>
      </c>
      <c r="Y1999" s="2" t="str">
        <f t="shared" si="908"/>
        <v/>
      </c>
      <c r="Z1999" s="2" t="str">
        <f t="shared" si="909"/>
        <v/>
      </c>
      <c r="AA1999" s="2" t="str">
        <f t="shared" si="910"/>
        <v/>
      </c>
      <c r="AB1999" s="2">
        <f t="shared" si="904"/>
        <v>0</v>
      </c>
      <c r="AC1999" s="625">
        <v>0</v>
      </c>
      <c r="AD1999" s="625">
        <v>0</v>
      </c>
      <c r="AE1999" s="625">
        <v>0</v>
      </c>
      <c r="AF1999" s="625">
        <v>0</v>
      </c>
      <c r="AG1999" s="625">
        <v>0</v>
      </c>
      <c r="AH1999" s="625">
        <v>0</v>
      </c>
      <c r="AI1999" s="625">
        <v>0</v>
      </c>
      <c r="AJ1999" s="625">
        <v>0</v>
      </c>
      <c r="AK1999" s="625">
        <v>0</v>
      </c>
      <c r="AL1999" s="625">
        <v>0</v>
      </c>
      <c r="AM1999" s="625">
        <v>0</v>
      </c>
      <c r="AN1999" s="625">
        <v>0</v>
      </c>
      <c r="AO1999" s="625">
        <v>0</v>
      </c>
      <c r="AP1999" s="41" t="str">
        <f t="shared" si="943"/>
        <v>Def TaxR</v>
      </c>
      <c r="AQ1999" s="41" t="str">
        <f t="shared" si="944"/>
        <v>Def TaxRR11Excess Salvage</v>
      </c>
      <c r="AR1999" s="41" t="str">
        <f t="shared" si="945"/>
        <v>R11Excess Salvage</v>
      </c>
    </row>
    <row r="2000" spans="1:44" s="41" customFormat="1" ht="12.75" customHeight="1">
      <c r="A2000" s="25" t="s">
        <v>1590</v>
      </c>
      <c r="B2000" s="25" t="str">
        <f t="shared" si="950"/>
        <v>Def Tax282210282-008BT010098</v>
      </c>
      <c r="C2000" s="736">
        <v>282210</v>
      </c>
      <c r="D2000" s="735" t="s">
        <v>2089</v>
      </c>
      <c r="E2000" s="41" t="s">
        <v>2090</v>
      </c>
      <c r="F2000" s="41" t="str">
        <f t="shared" si="933"/>
        <v>ACCUM DEF INC TAX-OTH PROP-FEDERAL-GAS</v>
      </c>
      <c r="G2000" s="41" t="s">
        <v>2091</v>
      </c>
      <c r="H2000" s="736" t="s">
        <v>2092</v>
      </c>
      <c r="I2000" s="25"/>
      <c r="J2000" s="25" t="str">
        <f t="shared" si="934"/>
        <v/>
      </c>
      <c r="K2000" s="442" t="str">
        <f t="shared" si="924"/>
        <v/>
      </c>
      <c r="L2000" s="736" t="s">
        <v>2443</v>
      </c>
      <c r="M2000" s="25" t="str">
        <f t="shared" si="912"/>
        <v>R</v>
      </c>
      <c r="N2000" s="25" t="str">
        <f>IF(L2000&lt;&gt;"",VLOOKUP(L2000,Categories!$B$2:$D$41,2,FALSE),IF(F2000&lt;&gt;"","No Cat",""))</f>
        <v>Rate Base</v>
      </c>
      <c r="O2000" s="25" t="str">
        <f>IF($L2000&lt;&gt;"",VLOOKUP($L2000,Categories!$B$2:$D$41,3,FALSE),IF($F2000&lt;&gt;"","No Cat",""))</f>
        <v>Deferred Income Taxes</v>
      </c>
      <c r="P2000" s="736" t="s">
        <v>2483</v>
      </c>
      <c r="Q2000" s="25" t="str">
        <f>VLOOKUP($P2000,Allocators!$B$7:$F$19,5,FALSE)</f>
        <v>Gas</v>
      </c>
      <c r="R2000" s="737">
        <f>VLOOKUP($P2000,Allocators!$B$7:$F$19,2,FALSE)</f>
        <v>0</v>
      </c>
      <c r="S2000" s="737">
        <f>VLOOKUP($P2000,Allocators!$B$7:$F$19,3,FALSE)</f>
        <v>1</v>
      </c>
      <c r="T2000" s="737" t="str">
        <f t="shared" si="899"/>
        <v>0.0%</v>
      </c>
      <c r="U2000" s="2" t="str">
        <f t="shared" si="905"/>
        <v/>
      </c>
      <c r="V2000" s="2" t="str">
        <f t="shared" si="906"/>
        <v/>
      </c>
      <c r="W2000" s="2" t="str">
        <f t="shared" si="907"/>
        <v/>
      </c>
      <c r="X2000" s="2">
        <f t="shared" si="903"/>
        <v>0</v>
      </c>
      <c r="Y2000" s="2" t="str">
        <f t="shared" si="908"/>
        <v/>
      </c>
      <c r="Z2000" s="2" t="str">
        <f t="shared" si="909"/>
        <v/>
      </c>
      <c r="AA2000" s="2" t="str">
        <f t="shared" si="910"/>
        <v/>
      </c>
      <c r="AB2000" s="2">
        <f t="shared" si="904"/>
        <v>0</v>
      </c>
      <c r="AC2000" s="625">
        <v>0</v>
      </c>
      <c r="AD2000" s="625">
        <v>0</v>
      </c>
      <c r="AE2000" s="625">
        <v>0</v>
      </c>
      <c r="AF2000" s="625">
        <v>0</v>
      </c>
      <c r="AG2000" s="625">
        <v>0</v>
      </c>
      <c r="AH2000" s="625">
        <v>0</v>
      </c>
      <c r="AI2000" s="625">
        <v>0</v>
      </c>
      <c r="AJ2000" s="625">
        <v>0</v>
      </c>
      <c r="AK2000" s="625">
        <v>0</v>
      </c>
      <c r="AL2000" s="625">
        <v>0</v>
      </c>
      <c r="AM2000" s="625">
        <v>0</v>
      </c>
      <c r="AN2000" s="625">
        <v>0</v>
      </c>
      <c r="AO2000" s="625">
        <v>0</v>
      </c>
      <c r="AP2000" s="41" t="str">
        <f t="shared" si="943"/>
        <v>Def TaxR</v>
      </c>
      <c r="AQ2000" s="41" t="str">
        <f t="shared" si="944"/>
        <v>Def TaxRR11Tax Gain / Loss on Retirement</v>
      </c>
      <c r="AR2000" s="41" t="str">
        <f t="shared" si="945"/>
        <v>R11Tax Gain / Loss on Retirement</v>
      </c>
    </row>
    <row r="2001" spans="1:44" s="41" customFormat="1" ht="12.75" customHeight="1">
      <c r="A2001" s="25" t="s">
        <v>1590</v>
      </c>
      <c r="B2001" s="25" t="str">
        <f t="shared" si="950"/>
        <v>Def Tax282210282-008-BOOKBT010097</v>
      </c>
      <c r="C2001" s="736">
        <v>282210</v>
      </c>
      <c r="D2001" s="735" t="s">
        <v>2093</v>
      </c>
      <c r="E2001" s="41" t="s">
        <v>2094</v>
      </c>
      <c r="F2001" s="41" t="str">
        <f t="shared" si="933"/>
        <v>ACCUM DEF INC TAX-OTH PROP-FEDERAL-GAS</v>
      </c>
      <c r="G2001" s="41" t="s">
        <v>2095</v>
      </c>
      <c r="H2001" s="736" t="s">
        <v>2092</v>
      </c>
      <c r="I2001" s="25"/>
      <c r="J2001" s="25" t="str">
        <f t="shared" si="934"/>
        <v/>
      </c>
      <c r="K2001" s="442" t="str">
        <f t="shared" si="924"/>
        <v/>
      </c>
      <c r="L2001" s="736" t="s">
        <v>2443</v>
      </c>
      <c r="M2001" s="25" t="str">
        <f t="shared" si="912"/>
        <v>R</v>
      </c>
      <c r="N2001" s="25" t="str">
        <f>IF(L2001&lt;&gt;"",VLOOKUP(L2001,Categories!$B$2:$D$41,2,FALSE),IF(F2001&lt;&gt;"","No Cat",""))</f>
        <v>Rate Base</v>
      </c>
      <c r="O2001" s="25" t="str">
        <f>IF($L2001&lt;&gt;"",VLOOKUP($L2001,Categories!$B$2:$D$41,3,FALSE),IF($F2001&lt;&gt;"","No Cat",""))</f>
        <v>Deferred Income Taxes</v>
      </c>
      <c r="P2001" s="736" t="s">
        <v>2483</v>
      </c>
      <c r="Q2001" s="25" t="str">
        <f>VLOOKUP($P2001,Allocators!$B$7:$F$19,5,FALSE)</f>
        <v>Gas</v>
      </c>
      <c r="R2001" s="737">
        <f>VLOOKUP($P2001,Allocators!$B$7:$F$19,2,FALSE)</f>
        <v>0</v>
      </c>
      <c r="S2001" s="737">
        <f>VLOOKUP($P2001,Allocators!$B$7:$F$19,3,FALSE)</f>
        <v>1</v>
      </c>
      <c r="T2001" s="737" t="str">
        <f t="shared" si="899"/>
        <v>0.0%</v>
      </c>
      <c r="U2001" s="2" t="str">
        <f t="shared" si="905"/>
        <v/>
      </c>
      <c r="V2001" s="2" t="str">
        <f t="shared" si="906"/>
        <v/>
      </c>
      <c r="W2001" s="2" t="str">
        <f t="shared" si="907"/>
        <v/>
      </c>
      <c r="X2001" s="2">
        <f t="shared" si="903"/>
        <v>0</v>
      </c>
      <c r="Y2001" s="2" t="str">
        <f t="shared" si="908"/>
        <v/>
      </c>
      <c r="Z2001" s="2" t="str">
        <f t="shared" si="909"/>
        <v/>
      </c>
      <c r="AA2001" s="2" t="str">
        <f t="shared" si="910"/>
        <v/>
      </c>
      <c r="AB2001" s="2">
        <f t="shared" si="904"/>
        <v>0</v>
      </c>
      <c r="AC2001" s="625">
        <v>0</v>
      </c>
      <c r="AD2001" s="625">
        <v>0</v>
      </c>
      <c r="AE2001" s="625">
        <v>0</v>
      </c>
      <c r="AF2001" s="625">
        <v>0</v>
      </c>
      <c r="AG2001" s="625">
        <v>0</v>
      </c>
      <c r="AH2001" s="625">
        <v>0</v>
      </c>
      <c r="AI2001" s="625">
        <v>0</v>
      </c>
      <c r="AJ2001" s="625">
        <v>0</v>
      </c>
      <c r="AK2001" s="625">
        <v>0</v>
      </c>
      <c r="AL2001" s="625">
        <v>0</v>
      </c>
      <c r="AM2001" s="625">
        <v>0</v>
      </c>
      <c r="AN2001" s="625">
        <v>0</v>
      </c>
      <c r="AO2001" s="625">
        <v>0</v>
      </c>
      <c r="AP2001" s="41" t="str">
        <f t="shared" si="943"/>
        <v>Def TaxR</v>
      </c>
      <c r="AQ2001" s="41" t="str">
        <f t="shared" si="944"/>
        <v>Def TaxRR11Tax Gain / Loss on Retirement</v>
      </c>
      <c r="AR2001" s="41" t="str">
        <f t="shared" si="945"/>
        <v>R11Tax Gain / Loss on Retirement</v>
      </c>
    </row>
    <row r="2002" spans="1:44" s="41" customFormat="1" ht="12.75" customHeight="1">
      <c r="A2002" s="25" t="s">
        <v>1590</v>
      </c>
      <c r="B2002" s="25" t="str">
        <f t="shared" si="950"/>
        <v>Def Tax282210BT010110</v>
      </c>
      <c r="C2002" s="736">
        <v>282210</v>
      </c>
      <c r="D2002" s="735"/>
      <c r="E2002" s="41" t="s">
        <v>2186</v>
      </c>
      <c r="F2002" s="41" t="str">
        <f t="shared" ref="F2002:F2005" si="955">VLOOKUP(C2002,$C$7:$F$787,4,FALSE)</f>
        <v>ACCUM DEF INC TAX-OTH PROP-FEDERAL-GAS</v>
      </c>
      <c r="G2002" s="41" t="s">
        <v>4120</v>
      </c>
      <c r="H2002" s="736">
        <v>0</v>
      </c>
      <c r="I2002" s="25"/>
      <c r="J2002" s="25" t="str">
        <f t="shared" ref="J2002:J2003" si="956">IF(L2002="N10","Y",IF(L2002="N8","Y",""))</f>
        <v/>
      </c>
      <c r="K2002" s="442" t="str">
        <f t="shared" si="924"/>
        <v/>
      </c>
      <c r="L2002" s="736" t="s">
        <v>2421</v>
      </c>
      <c r="M2002" s="25" t="str">
        <f t="shared" ref="M2002:M2003" si="957">LEFT(L2002,1)</f>
        <v>N</v>
      </c>
      <c r="N2002" s="25" t="str">
        <f>IF(L2002&lt;&gt;"",VLOOKUP(L2002,Categories!$B$2:$D$41,2,FALSE),IF(F2002&lt;&gt;"","No Cat",""))</f>
        <v>NRBASE</v>
      </c>
      <c r="O2002" s="25" t="str">
        <f>IF($L2002&lt;&gt;"",VLOOKUP($L2002,Categories!$B$2:$D$41,3,FALSE),IF($F2002&lt;&gt;"","No Cat",""))</f>
        <v>Direct Assign Items Not in RB</v>
      </c>
      <c r="P2002" s="736" t="s">
        <v>2468</v>
      </c>
      <c r="Q2002" s="25" t="str">
        <f>VLOOKUP($P2002,Allocators!$B$7:$F$19,5,FALSE)</f>
        <v>Not in Rate Base</v>
      </c>
      <c r="R2002" s="737">
        <f>VLOOKUP($P2002,Allocators!$B$7:$F$19,2,FALSE)</f>
        <v>0</v>
      </c>
      <c r="S2002" s="737">
        <f>VLOOKUP($P2002,Allocators!$B$7:$F$19,3,FALSE)</f>
        <v>0</v>
      </c>
      <c r="T2002" s="737">
        <f t="shared" ref="T2002:T2003" si="958">IF(P2002="N",1,"0.0%")</f>
        <v>1</v>
      </c>
      <c r="U2002" s="2">
        <f t="shared" si="905"/>
        <v>0</v>
      </c>
      <c r="V2002" s="2">
        <f t="shared" si="906"/>
        <v>0</v>
      </c>
      <c r="W2002" s="2">
        <f t="shared" si="907"/>
        <v>2.2022200000000001</v>
      </c>
      <c r="X2002" s="2">
        <f t="shared" ref="X2002:X2065" si="959">IF(ISERROR(ROUND((SUM(AC2002:AO2002)-((AC2002+AO2002))/2)/12,15)),"",ROUND((SUM(AC2002:AO2002)-((AC2002+AO2002))/2)/12,15))</f>
        <v>2.2022200000000001</v>
      </c>
      <c r="Y2002" s="2">
        <f t="shared" si="908"/>
        <v>0</v>
      </c>
      <c r="Z2002" s="2">
        <f t="shared" si="909"/>
        <v>0</v>
      </c>
      <c r="AA2002" s="2">
        <f t="shared" si="910"/>
        <v>2.2022200000000001</v>
      </c>
      <c r="AB2002" s="2">
        <f t="shared" ref="AB2002:AB2065" si="960">IF(AO2002="",0,+AO2002)</f>
        <v>2.2022199999999996</v>
      </c>
      <c r="AC2002" s="625">
        <v>2.2022199999999996</v>
      </c>
      <c r="AD2002" s="625">
        <v>2.2022199999999996</v>
      </c>
      <c r="AE2002" s="625">
        <v>2.2022199999999996</v>
      </c>
      <c r="AF2002" s="625">
        <v>2.2022199999999996</v>
      </c>
      <c r="AG2002" s="625">
        <v>2.2022199999999996</v>
      </c>
      <c r="AH2002" s="625">
        <v>2.2022199999999996</v>
      </c>
      <c r="AI2002" s="625">
        <v>2.2022199999999996</v>
      </c>
      <c r="AJ2002" s="625">
        <v>2.2022199999999996</v>
      </c>
      <c r="AK2002" s="625">
        <v>2.2022199999999996</v>
      </c>
      <c r="AL2002" s="625">
        <v>2.2022199999999996</v>
      </c>
      <c r="AM2002" s="625">
        <v>2.2022199999999996</v>
      </c>
      <c r="AN2002" s="625">
        <v>2.2022199999999996</v>
      </c>
      <c r="AO2002" s="625">
        <v>2.2022199999999996</v>
      </c>
      <c r="AP2002" s="41" t="str">
        <f t="shared" si="943"/>
        <v>Def TaxN</v>
      </c>
      <c r="AQ2002" s="41" t="str">
        <f t="shared" si="944"/>
        <v>Def TaxNN20</v>
      </c>
      <c r="AR2002" s="41" t="str">
        <f t="shared" si="945"/>
        <v>N20</v>
      </c>
    </row>
    <row r="2003" spans="1:44" s="41" customFormat="1" ht="12.75" customHeight="1">
      <c r="A2003" s="25" t="s">
        <v>1590</v>
      </c>
      <c r="B2003" s="25" t="str">
        <f t="shared" si="950"/>
        <v>Def Tax282210BT010111</v>
      </c>
      <c r="C2003" s="736">
        <v>282210</v>
      </c>
      <c r="D2003" s="735"/>
      <c r="E2003" s="41" t="s">
        <v>2183</v>
      </c>
      <c r="F2003" s="41" t="str">
        <f t="shared" si="955"/>
        <v>ACCUM DEF INC TAX-OTH PROP-FEDERAL-GAS</v>
      </c>
      <c r="G2003" s="41" t="s">
        <v>2187</v>
      </c>
      <c r="H2003" s="736">
        <v>0</v>
      </c>
      <c r="I2003" s="25"/>
      <c r="J2003" s="25" t="str">
        <f t="shared" si="956"/>
        <v/>
      </c>
      <c r="K2003" s="442" t="str">
        <f t="shared" si="924"/>
        <v/>
      </c>
      <c r="L2003" s="736" t="s">
        <v>2421</v>
      </c>
      <c r="M2003" s="25" t="str">
        <f t="shared" si="957"/>
        <v>N</v>
      </c>
      <c r="N2003" s="25" t="str">
        <f>IF(L2003&lt;&gt;"",VLOOKUP(L2003,Categories!$B$2:$D$41,2,FALSE),IF(F2003&lt;&gt;"","No Cat",""))</f>
        <v>NRBASE</v>
      </c>
      <c r="O2003" s="25" t="str">
        <f>IF($L2003&lt;&gt;"",VLOOKUP($L2003,Categories!$B$2:$D$41,3,FALSE),IF($F2003&lt;&gt;"","No Cat",""))</f>
        <v>Direct Assign Items Not in RB</v>
      </c>
      <c r="P2003" s="736" t="s">
        <v>2468</v>
      </c>
      <c r="Q2003" s="25" t="str">
        <f>VLOOKUP($P2003,Allocators!$B$7:$F$19,5,FALSE)</f>
        <v>Not in Rate Base</v>
      </c>
      <c r="R2003" s="737">
        <f>VLOOKUP($P2003,Allocators!$B$7:$F$19,2,FALSE)</f>
        <v>0</v>
      </c>
      <c r="S2003" s="737">
        <f>VLOOKUP($P2003,Allocators!$B$7:$F$19,3,FALSE)</f>
        <v>0</v>
      </c>
      <c r="T2003" s="737">
        <f t="shared" si="958"/>
        <v>1</v>
      </c>
      <c r="U2003" s="2">
        <f t="shared" si="905"/>
        <v>0</v>
      </c>
      <c r="V2003" s="2">
        <f t="shared" si="906"/>
        <v>0</v>
      </c>
      <c r="W2003" s="2">
        <f t="shared" si="907"/>
        <v>3.4038900000000001</v>
      </c>
      <c r="X2003" s="2">
        <f t="shared" si="959"/>
        <v>3.4038900000000001</v>
      </c>
      <c r="Y2003" s="2">
        <f t="shared" si="908"/>
        <v>0</v>
      </c>
      <c r="Z2003" s="2">
        <f t="shared" si="909"/>
        <v>0</v>
      </c>
      <c r="AA2003" s="2">
        <f t="shared" si="910"/>
        <v>3.4038900000000001</v>
      </c>
      <c r="AB2003" s="2">
        <f t="shared" si="960"/>
        <v>3.4038900000000001</v>
      </c>
      <c r="AC2003" s="625">
        <v>3.4038900000000001</v>
      </c>
      <c r="AD2003" s="625">
        <v>3.4038900000000001</v>
      </c>
      <c r="AE2003" s="625">
        <v>3.4038900000000001</v>
      </c>
      <c r="AF2003" s="625">
        <v>3.4038900000000001</v>
      </c>
      <c r="AG2003" s="625">
        <v>3.4038900000000001</v>
      </c>
      <c r="AH2003" s="625">
        <v>3.4038900000000001</v>
      </c>
      <c r="AI2003" s="625">
        <v>3.4038900000000001</v>
      </c>
      <c r="AJ2003" s="625">
        <v>3.4038900000000001</v>
      </c>
      <c r="AK2003" s="625">
        <v>3.4038900000000001</v>
      </c>
      <c r="AL2003" s="625">
        <v>3.4038900000000001</v>
      </c>
      <c r="AM2003" s="625">
        <v>3.4038900000000001</v>
      </c>
      <c r="AN2003" s="625">
        <v>3.4038900000000001</v>
      </c>
      <c r="AO2003" s="625">
        <v>3.4038900000000001</v>
      </c>
      <c r="AP2003" s="41" t="str">
        <f t="shared" si="943"/>
        <v>Def TaxN</v>
      </c>
      <c r="AQ2003" s="41" t="str">
        <f t="shared" si="944"/>
        <v>Def TaxNN20</v>
      </c>
      <c r="AR2003" s="41" t="str">
        <f t="shared" si="945"/>
        <v>N20</v>
      </c>
    </row>
    <row r="2004" spans="1:44" s="41" customFormat="1" ht="12.75" customHeight="1">
      <c r="A2004" s="25" t="s">
        <v>1590</v>
      </c>
      <c r="B2004" s="25" t="str">
        <f t="shared" si="950"/>
        <v>Def Tax282210BT010177</v>
      </c>
      <c r="C2004" s="736">
        <v>282210</v>
      </c>
      <c r="D2004" s="735"/>
      <c r="E2004" s="41" t="s">
        <v>1684</v>
      </c>
      <c r="F2004" s="41" t="str">
        <f t="shared" si="955"/>
        <v>ACCUM DEF INC TAX-OTH PROP-FEDERAL-GAS</v>
      </c>
      <c r="G2004" s="41" t="s">
        <v>1683</v>
      </c>
      <c r="H2004" s="736" t="s">
        <v>1124</v>
      </c>
      <c r="I2004" s="25"/>
      <c r="J2004" s="25" t="str">
        <f t="shared" ref="J2004" si="961">IF(L2004="N10","Y",IF(L2004="N8","Y",""))</f>
        <v/>
      </c>
      <c r="K2004" s="442" t="str">
        <f t="shared" si="924"/>
        <v/>
      </c>
      <c r="L2004" s="736" t="s">
        <v>2443</v>
      </c>
      <c r="M2004" s="25" t="str">
        <f t="shared" ref="M2004" si="962">LEFT(L2004,1)</f>
        <v>R</v>
      </c>
      <c r="N2004" s="25" t="str">
        <f>IF(L2004&lt;&gt;"",VLOOKUP(L2004,Categories!$B$2:$D$41,2,FALSE),IF(F2004&lt;&gt;"","No Cat",""))</f>
        <v>Rate Base</v>
      </c>
      <c r="O2004" s="25" t="str">
        <f>IF($L2004&lt;&gt;"",VLOOKUP($L2004,Categories!$B$2:$D$41,3,FALSE),IF($F2004&lt;&gt;"","No Cat",""))</f>
        <v>Deferred Income Taxes</v>
      </c>
      <c r="P2004" s="736" t="s">
        <v>2483</v>
      </c>
      <c r="Q2004" s="25" t="str">
        <f>VLOOKUP($P2004,Allocators!$B$7:$F$19,5,FALSE)</f>
        <v>Gas</v>
      </c>
      <c r="R2004" s="737">
        <f>VLOOKUP($P2004,Allocators!$B$7:$F$19,2,FALSE)</f>
        <v>0</v>
      </c>
      <c r="S2004" s="737">
        <f>VLOOKUP($P2004,Allocators!$B$7:$F$19,3,FALSE)</f>
        <v>1</v>
      </c>
      <c r="T2004" s="737" t="str">
        <f t="shared" ref="T2004" si="963">IF(P2004="N",1,"0.0%")</f>
        <v>0.0%</v>
      </c>
      <c r="U2004" s="2">
        <f t="shared" si="905"/>
        <v>0</v>
      </c>
      <c r="V2004" s="2">
        <f t="shared" si="906"/>
        <v>5.72987</v>
      </c>
      <c r="W2004" s="2">
        <f t="shared" si="907"/>
        <v>0</v>
      </c>
      <c r="X2004" s="2">
        <f t="shared" si="959"/>
        <v>5.72987</v>
      </c>
      <c r="Y2004" s="2">
        <f t="shared" si="908"/>
        <v>0</v>
      </c>
      <c r="Z2004" s="2">
        <f t="shared" si="909"/>
        <v>6.22987</v>
      </c>
      <c r="AA2004" s="2">
        <f t="shared" si="910"/>
        <v>0</v>
      </c>
      <c r="AB2004" s="2">
        <f t="shared" si="960"/>
        <v>6.22987</v>
      </c>
      <c r="AC2004" s="625">
        <v>5.22987</v>
      </c>
      <c r="AD2004" s="625">
        <v>5.3132000000000001</v>
      </c>
      <c r="AE2004" s="625">
        <v>5.3965399999999999</v>
      </c>
      <c r="AF2004" s="625">
        <v>5.47987</v>
      </c>
      <c r="AG2004" s="625">
        <v>5.5632000000000001</v>
      </c>
      <c r="AH2004" s="625">
        <v>5.6465399999999999</v>
      </c>
      <c r="AI2004" s="625">
        <v>5.72987</v>
      </c>
      <c r="AJ2004" s="625">
        <v>5.8132000000000001</v>
      </c>
      <c r="AK2004" s="625">
        <v>5.8965399999999999</v>
      </c>
      <c r="AL2004" s="625">
        <v>5.97987</v>
      </c>
      <c r="AM2004" s="625">
        <v>6.0632000000000001</v>
      </c>
      <c r="AN2004" s="625">
        <v>6.1465399999999999</v>
      </c>
      <c r="AO2004" s="625">
        <v>6.22987</v>
      </c>
      <c r="AP2004" s="41" t="str">
        <f t="shared" si="943"/>
        <v>Def TaxR</v>
      </c>
      <c r="AQ2004" s="41" t="str">
        <f t="shared" si="944"/>
        <v>Def TaxRR11R&amp;D Tax Credit Deferral</v>
      </c>
      <c r="AR2004" s="41" t="str">
        <f t="shared" si="945"/>
        <v>R11R&amp;D Tax Credit Deferral</v>
      </c>
    </row>
    <row r="2005" spans="1:44" s="41" customFormat="1" ht="12.75" customHeight="1">
      <c r="A2005" s="25" t="s">
        <v>1590</v>
      </c>
      <c r="B2005" s="25" t="str">
        <f t="shared" si="950"/>
        <v>Def Tax282210BT010188</v>
      </c>
      <c r="C2005" s="736">
        <v>282210</v>
      </c>
      <c r="D2005" s="735"/>
      <c r="E2005" s="41" t="s">
        <v>4121</v>
      </c>
      <c r="F2005" s="41" t="str">
        <f t="shared" si="955"/>
        <v>ACCUM DEF INC TAX-OTH PROP-FEDERAL-GAS</v>
      </c>
      <c r="G2005" s="41" t="s">
        <v>2233</v>
      </c>
      <c r="H2005" s="736" t="s">
        <v>2233</v>
      </c>
      <c r="I2005" s="25"/>
      <c r="J2005" s="25" t="str">
        <f t="shared" ref="J2005" si="964">IF(L2005="N10","Y",IF(L2005="N8","Y",""))</f>
        <v/>
      </c>
      <c r="K2005" s="442" t="str">
        <f t="shared" si="924"/>
        <v/>
      </c>
      <c r="L2005" s="736" t="s">
        <v>2443</v>
      </c>
      <c r="M2005" s="25" t="str">
        <f t="shared" ref="M2005" si="965">LEFT(L2005,1)</f>
        <v>R</v>
      </c>
      <c r="N2005" s="25" t="str">
        <f>IF(L2005&lt;&gt;"",VLOOKUP(L2005,Categories!$B$2:$D$41,2,FALSE),IF(F2005&lt;&gt;"","No Cat",""))</f>
        <v>Rate Base</v>
      </c>
      <c r="O2005" s="25" t="str">
        <f>IF($L2005&lt;&gt;"",VLOOKUP($L2005,Categories!$B$2:$D$41,3,FALSE),IF($F2005&lt;&gt;"","No Cat",""))</f>
        <v>Deferred Income Taxes</v>
      </c>
      <c r="P2005" s="736" t="s">
        <v>2483</v>
      </c>
      <c r="Q2005" s="25" t="str">
        <f>VLOOKUP($P2005,Allocators!$B$7:$F$19,5,FALSE)</f>
        <v>Gas</v>
      </c>
      <c r="R2005" s="737">
        <f>VLOOKUP($P2005,Allocators!$B$7:$F$19,2,FALSE)</f>
        <v>0</v>
      </c>
      <c r="S2005" s="737">
        <f>VLOOKUP($P2005,Allocators!$B$7:$F$19,3,FALSE)</f>
        <v>1</v>
      </c>
      <c r="T2005" s="737" t="str">
        <f t="shared" ref="T2005" si="966">IF(P2005="N",1,"0.0%")</f>
        <v>0.0%</v>
      </c>
      <c r="U2005" s="2">
        <f t="shared" si="905"/>
        <v>0</v>
      </c>
      <c r="V2005" s="2">
        <f t="shared" si="906"/>
        <v>-90.879317499999999</v>
      </c>
      <c r="W2005" s="2">
        <f t="shared" si="907"/>
        <v>0</v>
      </c>
      <c r="X2005" s="2">
        <f t="shared" si="959"/>
        <v>-90.879317499999999</v>
      </c>
      <c r="Y2005" s="2">
        <f t="shared" si="908"/>
        <v>0</v>
      </c>
      <c r="Z2005" s="2">
        <f t="shared" si="909"/>
        <v>-34.720289999999999</v>
      </c>
      <c r="AA2005" s="2">
        <f t="shared" si="910"/>
        <v>0</v>
      </c>
      <c r="AB2005" s="2">
        <f t="shared" si="960"/>
        <v>-34.720289999999999</v>
      </c>
      <c r="AC2005" s="625">
        <v>-42.07029</v>
      </c>
      <c r="AD2005" s="625">
        <v>-41.461949999999995</v>
      </c>
      <c r="AE2005" s="625">
        <v>-40.853629999999995</v>
      </c>
      <c r="AF2005" s="625">
        <v>-40.245290000000004</v>
      </c>
      <c r="AG2005" s="625">
        <v>-149.90361999999999</v>
      </c>
      <c r="AH2005" s="625">
        <v>-176.86195999999998</v>
      </c>
      <c r="AI2005" s="625">
        <v>-203.82029</v>
      </c>
      <c r="AJ2005" s="625">
        <v>-230.77861999999999</v>
      </c>
      <c r="AK2005" s="625">
        <v>-42.07029</v>
      </c>
      <c r="AL2005" s="625">
        <v>-43.895290000000003</v>
      </c>
      <c r="AM2005" s="625">
        <v>-45.720289999999999</v>
      </c>
      <c r="AN2005" s="625">
        <v>-36.545290000000001</v>
      </c>
      <c r="AO2005" s="625">
        <v>-34.720289999999999</v>
      </c>
      <c r="AP2005" s="41" t="str">
        <f t="shared" si="943"/>
        <v>Def TaxR</v>
      </c>
      <c r="AQ2005" s="41" t="str">
        <f t="shared" si="944"/>
        <v>Def TaxRR11Repair Allowance</v>
      </c>
      <c r="AR2005" s="41" t="str">
        <f t="shared" si="945"/>
        <v>R11Repair Allowance</v>
      </c>
    </row>
    <row r="2006" spans="1:44" s="41" customFormat="1" ht="12.75" customHeight="1">
      <c r="A2006" s="25" t="s">
        <v>1590</v>
      </c>
      <c r="B2006" s="25" t="str">
        <f t="shared" si="950"/>
        <v>Def Tax282210282-009BT010190</v>
      </c>
      <c r="C2006" s="736">
        <v>282210</v>
      </c>
      <c r="D2006" s="735" t="s">
        <v>2096</v>
      </c>
      <c r="E2006" s="41" t="s">
        <v>2097</v>
      </c>
      <c r="F2006" s="41" t="str">
        <f t="shared" si="933"/>
        <v>ACCUM DEF INC TAX-OTH PROP-FEDERAL-GAS</v>
      </c>
      <c r="G2006" s="41" t="s">
        <v>2098</v>
      </c>
      <c r="H2006" s="736" t="s">
        <v>2092</v>
      </c>
      <c r="I2006" s="25"/>
      <c r="J2006" s="25" t="str">
        <f t="shared" si="934"/>
        <v/>
      </c>
      <c r="K2006" s="442" t="str">
        <f t="shared" si="924"/>
        <v/>
      </c>
      <c r="L2006" s="736" t="s">
        <v>2443</v>
      </c>
      <c r="M2006" s="25" t="str">
        <f t="shared" si="912"/>
        <v>R</v>
      </c>
      <c r="N2006" s="25" t="str">
        <f>IF(L2006&lt;&gt;"",VLOOKUP(L2006,Categories!$B$2:$D$41,2,FALSE),IF(F2006&lt;&gt;"","No Cat",""))</f>
        <v>Rate Base</v>
      </c>
      <c r="O2006" s="25" t="str">
        <f>IF($L2006&lt;&gt;"",VLOOKUP($L2006,Categories!$B$2:$D$41,3,FALSE),IF($F2006&lt;&gt;"","No Cat",""))</f>
        <v>Deferred Income Taxes</v>
      </c>
      <c r="P2006" s="736" t="s">
        <v>2483</v>
      </c>
      <c r="Q2006" s="25" t="str">
        <f>VLOOKUP($P2006,Allocators!$B$7:$F$19,5,FALSE)</f>
        <v>Gas</v>
      </c>
      <c r="R2006" s="737">
        <f>VLOOKUP($P2006,Allocators!$B$7:$F$19,2,FALSE)</f>
        <v>0</v>
      </c>
      <c r="S2006" s="737">
        <f>VLOOKUP($P2006,Allocators!$B$7:$F$19,3,FALSE)</f>
        <v>1</v>
      </c>
      <c r="T2006" s="737" t="str">
        <f t="shared" si="899"/>
        <v>0.0%</v>
      </c>
      <c r="U2006" s="2">
        <f t="shared" si="905"/>
        <v>0</v>
      </c>
      <c r="V2006" s="2">
        <f t="shared" si="906"/>
        <v>-5280.0045641666702</v>
      </c>
      <c r="W2006" s="2">
        <f t="shared" si="907"/>
        <v>0</v>
      </c>
      <c r="X2006" s="2">
        <f t="shared" si="959"/>
        <v>-5280.0045641666702</v>
      </c>
      <c r="Y2006" s="2">
        <f t="shared" si="908"/>
        <v>0</v>
      </c>
      <c r="Z2006" s="2">
        <f t="shared" si="909"/>
        <v>-5438.0995199999998</v>
      </c>
      <c r="AA2006" s="2">
        <f t="shared" si="910"/>
        <v>0</v>
      </c>
      <c r="AB2006" s="2">
        <f t="shared" si="960"/>
        <v>-5438.0995199999998</v>
      </c>
      <c r="AC2006" s="625">
        <v>-5125.5773200000003</v>
      </c>
      <c r="AD2006" s="625">
        <v>-5150.8872899999997</v>
      </c>
      <c r="AE2006" s="625">
        <v>-5176.1972699999997</v>
      </c>
      <c r="AF2006" s="625">
        <v>-5201.5072399999999</v>
      </c>
      <c r="AG2006" s="625">
        <v>-5226.8172100000002</v>
      </c>
      <c r="AH2006" s="625">
        <v>-5252.1271900000002</v>
      </c>
      <c r="AI2006" s="625">
        <v>-5277.4371700000002</v>
      </c>
      <c r="AJ2006" s="625">
        <v>-5302.7471399999995</v>
      </c>
      <c r="AK2006" s="625">
        <v>-5328.0571200000004</v>
      </c>
      <c r="AL2006" s="625">
        <v>-5362.1695999999993</v>
      </c>
      <c r="AM2006" s="625">
        <v>-5387.4795700000004</v>
      </c>
      <c r="AN2006" s="625">
        <v>-5412.7895499999995</v>
      </c>
      <c r="AO2006" s="625">
        <v>-5438.0995199999998</v>
      </c>
      <c r="AP2006" s="41" t="str">
        <f t="shared" si="943"/>
        <v>Def TaxR</v>
      </c>
      <c r="AQ2006" s="41" t="str">
        <f t="shared" si="944"/>
        <v>Def TaxRR11Tax Gain / Loss on Retirement</v>
      </c>
      <c r="AR2006" s="41" t="str">
        <f t="shared" si="945"/>
        <v>R11Tax Gain / Loss on Retirement</v>
      </c>
    </row>
    <row r="2007" spans="1:44" s="41" customFormat="1" ht="12.75" customHeight="1">
      <c r="A2007" s="25" t="s">
        <v>1590</v>
      </c>
      <c r="B2007" s="25" t="str">
        <f t="shared" si="950"/>
        <v>Def Tax282210282-009-SBT010190</v>
      </c>
      <c r="C2007" s="736">
        <v>282210</v>
      </c>
      <c r="D2007" s="735" t="s">
        <v>2099</v>
      </c>
      <c r="E2007" s="41" t="s">
        <v>2097</v>
      </c>
      <c r="F2007" s="41" t="str">
        <f t="shared" si="933"/>
        <v>ACCUM DEF INC TAX-OTH PROP-FEDERAL-GAS</v>
      </c>
      <c r="G2007" s="41" t="s">
        <v>2100</v>
      </c>
      <c r="H2007" s="736" t="s">
        <v>2092</v>
      </c>
      <c r="I2007" s="25"/>
      <c r="J2007" s="25" t="str">
        <f t="shared" si="934"/>
        <v/>
      </c>
      <c r="K2007" s="442" t="str">
        <f t="shared" si="924"/>
        <v/>
      </c>
      <c r="L2007" s="736" t="s">
        <v>2443</v>
      </c>
      <c r="M2007" s="25" t="str">
        <f t="shared" si="912"/>
        <v>R</v>
      </c>
      <c r="N2007" s="25" t="str">
        <f>IF(L2007&lt;&gt;"",VLOOKUP(L2007,Categories!$B$2:$D$41,2,FALSE),IF(F2007&lt;&gt;"","No Cat",""))</f>
        <v>Rate Base</v>
      </c>
      <c r="O2007" s="25" t="str">
        <f>IF($L2007&lt;&gt;"",VLOOKUP($L2007,Categories!$B$2:$D$41,3,FALSE),IF($F2007&lt;&gt;"","No Cat",""))</f>
        <v>Deferred Income Taxes</v>
      </c>
      <c r="P2007" s="736" t="s">
        <v>2483</v>
      </c>
      <c r="Q2007" s="25" t="str">
        <f>VLOOKUP($P2007,Allocators!$B$7:$F$19,5,FALSE)</f>
        <v>Gas</v>
      </c>
      <c r="R2007" s="737">
        <f>VLOOKUP($P2007,Allocators!$B$7:$F$19,2,FALSE)</f>
        <v>0</v>
      </c>
      <c r="S2007" s="737">
        <f>VLOOKUP($P2007,Allocators!$B$7:$F$19,3,FALSE)</f>
        <v>1</v>
      </c>
      <c r="T2007" s="737" t="str">
        <f t="shared" si="899"/>
        <v>0.0%</v>
      </c>
      <c r="U2007" s="2" t="str">
        <f t="shared" si="905"/>
        <v/>
      </c>
      <c r="V2007" s="2" t="str">
        <f t="shared" si="906"/>
        <v/>
      </c>
      <c r="W2007" s="2" t="str">
        <f t="shared" si="907"/>
        <v/>
      </c>
      <c r="X2007" s="2">
        <f t="shared" si="959"/>
        <v>0</v>
      </c>
      <c r="Y2007" s="2" t="str">
        <f t="shared" si="908"/>
        <v/>
      </c>
      <c r="Z2007" s="2" t="str">
        <f t="shared" si="909"/>
        <v/>
      </c>
      <c r="AA2007" s="2" t="str">
        <f t="shared" si="910"/>
        <v/>
      </c>
      <c r="AB2007" s="2">
        <f t="shared" si="960"/>
        <v>0</v>
      </c>
      <c r="AC2007" s="625">
        <v>0</v>
      </c>
      <c r="AD2007" s="625">
        <v>0</v>
      </c>
      <c r="AE2007" s="625">
        <v>0</v>
      </c>
      <c r="AF2007" s="625">
        <v>0</v>
      </c>
      <c r="AG2007" s="625">
        <v>0</v>
      </c>
      <c r="AH2007" s="625">
        <v>0</v>
      </c>
      <c r="AI2007" s="625">
        <v>0</v>
      </c>
      <c r="AJ2007" s="625">
        <v>0</v>
      </c>
      <c r="AK2007" s="625">
        <v>0</v>
      </c>
      <c r="AL2007" s="625">
        <v>0</v>
      </c>
      <c r="AM2007" s="625">
        <v>0</v>
      </c>
      <c r="AN2007" s="625">
        <v>0</v>
      </c>
      <c r="AO2007" s="625">
        <v>0</v>
      </c>
      <c r="AP2007" s="41" t="str">
        <f t="shared" si="943"/>
        <v>Def TaxR</v>
      </c>
      <c r="AQ2007" s="41" t="str">
        <f t="shared" si="944"/>
        <v>Def TaxRR11Tax Gain / Loss on Retirement</v>
      </c>
      <c r="AR2007" s="41" t="str">
        <f t="shared" si="945"/>
        <v>R11Tax Gain / Loss on Retirement</v>
      </c>
    </row>
    <row r="2008" spans="1:44" s="41" customFormat="1" ht="12.75" customHeight="1">
      <c r="A2008" s="25" t="s">
        <v>1590</v>
      </c>
      <c r="B2008" s="25" t="str">
        <f t="shared" si="950"/>
        <v>Def Tax282210282-013</v>
      </c>
      <c r="C2008" s="736">
        <v>282210</v>
      </c>
      <c r="D2008" s="735" t="s">
        <v>2113</v>
      </c>
      <c r="F2008" s="41" t="str">
        <f t="shared" si="933"/>
        <v>ACCUM DEF INC TAX-OTH PROP-FEDERAL-GAS</v>
      </c>
      <c r="G2008" s="41" t="s">
        <v>2114</v>
      </c>
      <c r="H2008" s="736" t="s">
        <v>2115</v>
      </c>
      <c r="I2008" s="25"/>
      <c r="J2008" s="25" t="str">
        <f t="shared" si="934"/>
        <v/>
      </c>
      <c r="K2008" s="442" t="str">
        <f t="shared" si="924"/>
        <v/>
      </c>
      <c r="L2008" s="736" t="s">
        <v>2443</v>
      </c>
      <c r="M2008" s="25" t="str">
        <f t="shared" si="912"/>
        <v>R</v>
      </c>
      <c r="N2008" s="25" t="str">
        <f>IF(L2008&lt;&gt;"",VLOOKUP(L2008,Categories!$B$2:$D$41,2,FALSE),IF(F2008&lt;&gt;"","No Cat",""))</f>
        <v>Rate Base</v>
      </c>
      <c r="O2008" s="25" t="str">
        <f>IF($L2008&lt;&gt;"",VLOOKUP($L2008,Categories!$B$2:$D$41,3,FALSE),IF($F2008&lt;&gt;"","No Cat",""))</f>
        <v>Deferred Income Taxes</v>
      </c>
      <c r="P2008" s="736" t="s">
        <v>2483</v>
      </c>
      <c r="Q2008" s="25" t="str">
        <f>VLOOKUP($P2008,Allocators!$B$7:$F$19,5,FALSE)</f>
        <v>Gas</v>
      </c>
      <c r="R2008" s="737">
        <f>VLOOKUP($P2008,Allocators!$B$7:$F$19,2,FALSE)</f>
        <v>0</v>
      </c>
      <c r="S2008" s="737">
        <f>VLOOKUP($P2008,Allocators!$B$7:$F$19,3,FALSE)</f>
        <v>1</v>
      </c>
      <c r="T2008" s="737" t="str">
        <f t="shared" ref="T2008:T2094" si="967">IF(P2008="N",1,"0.0%")</f>
        <v>0.0%</v>
      </c>
      <c r="U2008" s="2" t="str">
        <f t="shared" si="905"/>
        <v/>
      </c>
      <c r="V2008" s="2" t="str">
        <f t="shared" si="906"/>
        <v/>
      </c>
      <c r="W2008" s="2" t="str">
        <f t="shared" si="907"/>
        <v/>
      </c>
      <c r="X2008" s="2">
        <f t="shared" si="959"/>
        <v>0</v>
      </c>
      <c r="Y2008" s="2" t="str">
        <f t="shared" si="908"/>
        <v/>
      </c>
      <c r="Z2008" s="2" t="str">
        <f t="shared" si="909"/>
        <v/>
      </c>
      <c r="AA2008" s="2" t="str">
        <f t="shared" si="910"/>
        <v/>
      </c>
      <c r="AB2008" s="2">
        <f t="shared" si="960"/>
        <v>0</v>
      </c>
      <c r="AC2008" s="625">
        <v>0</v>
      </c>
      <c r="AD2008" s="625">
        <v>0</v>
      </c>
      <c r="AE2008" s="625">
        <v>0</v>
      </c>
      <c r="AF2008" s="625">
        <v>0</v>
      </c>
      <c r="AG2008" s="625">
        <v>0</v>
      </c>
      <c r="AH2008" s="625">
        <v>0</v>
      </c>
      <c r="AI2008" s="625">
        <v>0</v>
      </c>
      <c r="AJ2008" s="625">
        <v>0</v>
      </c>
      <c r="AK2008" s="625">
        <v>0</v>
      </c>
      <c r="AL2008" s="625">
        <v>0</v>
      </c>
      <c r="AM2008" s="625">
        <v>0</v>
      </c>
      <c r="AN2008" s="625">
        <v>0</v>
      </c>
      <c r="AO2008" s="625">
        <v>0</v>
      </c>
      <c r="AP2008" s="41" t="str">
        <f t="shared" si="943"/>
        <v>Def TaxR</v>
      </c>
      <c r="AQ2008" s="41" t="str">
        <f t="shared" si="944"/>
        <v>Def TaxRR11Internal Software - IBO</v>
      </c>
      <c r="AR2008" s="41" t="str">
        <f t="shared" si="945"/>
        <v>R11Internal Software - IBO</v>
      </c>
    </row>
    <row r="2009" spans="1:44" s="41" customFormat="1" ht="12.75" customHeight="1">
      <c r="A2009" s="25" t="s">
        <v>1590</v>
      </c>
      <c r="B2009" s="25" t="str">
        <f t="shared" si="950"/>
        <v>Def Tax282210282-014</v>
      </c>
      <c r="C2009" s="736">
        <v>282210</v>
      </c>
      <c r="D2009" s="735" t="s">
        <v>2116</v>
      </c>
      <c r="F2009" s="41" t="str">
        <f t="shared" si="933"/>
        <v>ACCUM DEF INC TAX-OTH PROP-FEDERAL-GAS</v>
      </c>
      <c r="G2009" s="41" t="s">
        <v>2117</v>
      </c>
      <c r="H2009" s="736" t="s">
        <v>2118</v>
      </c>
      <c r="I2009" s="25"/>
      <c r="J2009" s="25" t="str">
        <f t="shared" si="934"/>
        <v/>
      </c>
      <c r="K2009" s="442" t="str">
        <f t="shared" si="924"/>
        <v/>
      </c>
      <c r="L2009" s="736" t="s">
        <v>2443</v>
      </c>
      <c r="M2009" s="25" t="str">
        <f t="shared" si="912"/>
        <v>R</v>
      </c>
      <c r="N2009" s="25" t="str">
        <f>IF(L2009&lt;&gt;"",VLOOKUP(L2009,Categories!$B$2:$D$41,2,FALSE),IF(F2009&lt;&gt;"","No Cat",""))</f>
        <v>Rate Base</v>
      </c>
      <c r="O2009" s="25" t="str">
        <f>IF($L2009&lt;&gt;"",VLOOKUP($L2009,Categories!$B$2:$D$41,3,FALSE),IF($F2009&lt;&gt;"","No Cat",""))</f>
        <v>Deferred Income Taxes</v>
      </c>
      <c r="P2009" s="736" t="s">
        <v>2483</v>
      </c>
      <c r="Q2009" s="25" t="str">
        <f>VLOOKUP($P2009,Allocators!$B$7:$F$19,5,FALSE)</f>
        <v>Gas</v>
      </c>
      <c r="R2009" s="737">
        <f>VLOOKUP($P2009,Allocators!$B$7:$F$19,2,FALSE)</f>
        <v>0</v>
      </c>
      <c r="S2009" s="737">
        <f>VLOOKUP($P2009,Allocators!$B$7:$F$19,3,FALSE)</f>
        <v>1</v>
      </c>
      <c r="T2009" s="737" t="str">
        <f t="shared" si="967"/>
        <v>0.0%</v>
      </c>
      <c r="U2009" s="2" t="str">
        <f t="shared" si="905"/>
        <v/>
      </c>
      <c r="V2009" s="2" t="str">
        <f t="shared" si="906"/>
        <v/>
      </c>
      <c r="W2009" s="2" t="str">
        <f t="shared" si="907"/>
        <v/>
      </c>
      <c r="X2009" s="2">
        <f t="shared" si="959"/>
        <v>0</v>
      </c>
      <c r="Y2009" s="2" t="str">
        <f t="shared" si="908"/>
        <v/>
      </c>
      <c r="Z2009" s="2" t="str">
        <f t="shared" si="909"/>
        <v/>
      </c>
      <c r="AA2009" s="2" t="str">
        <f t="shared" si="910"/>
        <v/>
      </c>
      <c r="AB2009" s="2">
        <f t="shared" si="960"/>
        <v>0</v>
      </c>
      <c r="AC2009" s="625">
        <v>0</v>
      </c>
      <c r="AD2009" s="625">
        <v>0</v>
      </c>
      <c r="AE2009" s="625">
        <v>0</v>
      </c>
      <c r="AF2009" s="625">
        <v>0</v>
      </c>
      <c r="AG2009" s="625">
        <v>0</v>
      </c>
      <c r="AH2009" s="625">
        <v>0</v>
      </c>
      <c r="AI2009" s="625">
        <v>0</v>
      </c>
      <c r="AJ2009" s="625">
        <v>0</v>
      </c>
      <c r="AK2009" s="625">
        <v>0</v>
      </c>
      <c r="AL2009" s="625">
        <v>0</v>
      </c>
      <c r="AM2009" s="625">
        <v>0</v>
      </c>
      <c r="AN2009" s="625">
        <v>0</v>
      </c>
      <c r="AO2009" s="625">
        <v>0</v>
      </c>
      <c r="AP2009" s="41" t="str">
        <f t="shared" si="943"/>
        <v>Def TaxR</v>
      </c>
      <c r="AQ2009" s="41" t="str">
        <f t="shared" si="944"/>
        <v>Def TaxRR11Internal Software - WMS</v>
      </c>
      <c r="AR2009" s="41" t="str">
        <f t="shared" si="945"/>
        <v>R11Internal Software - WMS</v>
      </c>
    </row>
    <row r="2010" spans="1:44" s="41" customFormat="1" ht="12.75" customHeight="1">
      <c r="A2010" s="25" t="s">
        <v>1590</v>
      </c>
      <c r="B2010" s="25" t="str">
        <f t="shared" si="950"/>
        <v>Def Tax282210282-015</v>
      </c>
      <c r="C2010" s="736">
        <v>282210</v>
      </c>
      <c r="D2010" s="735" t="s">
        <v>2119</v>
      </c>
      <c r="F2010" s="41" t="str">
        <f t="shared" si="933"/>
        <v>ACCUM DEF INC TAX-OTH PROP-FEDERAL-GAS</v>
      </c>
      <c r="G2010" s="41" t="s">
        <v>2120</v>
      </c>
      <c r="H2010" s="736" t="s">
        <v>2121</v>
      </c>
      <c r="I2010" s="25"/>
      <c r="J2010" s="25" t="str">
        <f t="shared" si="934"/>
        <v/>
      </c>
      <c r="K2010" s="442" t="str">
        <f t="shared" si="924"/>
        <v/>
      </c>
      <c r="L2010" s="736" t="s">
        <v>2443</v>
      </c>
      <c r="M2010" s="25" t="str">
        <f t="shared" si="912"/>
        <v>R</v>
      </c>
      <c r="N2010" s="25" t="str">
        <f>IF(L2010&lt;&gt;"",VLOOKUP(L2010,Categories!$B$2:$D$41,2,FALSE),IF(F2010&lt;&gt;"","No Cat",""))</f>
        <v>Rate Base</v>
      </c>
      <c r="O2010" s="25" t="str">
        <f>IF($L2010&lt;&gt;"",VLOOKUP($L2010,Categories!$B$2:$D$41,3,FALSE),IF($F2010&lt;&gt;"","No Cat",""))</f>
        <v>Deferred Income Taxes</v>
      </c>
      <c r="P2010" s="736" t="s">
        <v>2483</v>
      </c>
      <c r="Q2010" s="25" t="str">
        <f>VLOOKUP($P2010,Allocators!$B$7:$F$19,5,FALSE)</f>
        <v>Gas</v>
      </c>
      <c r="R2010" s="737">
        <f>VLOOKUP($P2010,Allocators!$B$7:$F$19,2,FALSE)</f>
        <v>0</v>
      </c>
      <c r="S2010" s="737">
        <f>VLOOKUP($P2010,Allocators!$B$7:$F$19,3,FALSE)</f>
        <v>1</v>
      </c>
      <c r="T2010" s="737" t="str">
        <f t="shared" si="967"/>
        <v>0.0%</v>
      </c>
      <c r="U2010" s="2" t="str">
        <f t="shared" ref="U2010:U2073" si="968">IF(ABS(X2010)=0,"",IF($R2010="NO ALLOC","NO ALLOC",ROUND($R2010*X2010,15)))</f>
        <v/>
      </c>
      <c r="V2010" s="2" t="str">
        <f t="shared" ref="V2010:V2073" si="969">IF(ABS(X2010)=0,"",IF($S2010="NO ALLOC","NO ALLOC",ROUND($S2010*X2010,15)))</f>
        <v/>
      </c>
      <c r="W2010" s="2" t="str">
        <f t="shared" ref="W2010:W2073" si="970">IF(ABS(X2010)=0,"",IF($T2010="NO ALLOC","NO ALLOC",ROUND($T2010*X2010,15)))</f>
        <v/>
      </c>
      <c r="X2010" s="2">
        <f t="shared" si="959"/>
        <v>0</v>
      </c>
      <c r="Y2010" s="2" t="str">
        <f t="shared" ref="Y2010:Y2073" si="971">IF(ABS(AB2010)=0,"",IF($R2010="NO ALLOC","NO ALLOC",ROUND($R2010*AB2010,15)))</f>
        <v/>
      </c>
      <c r="Z2010" s="2" t="str">
        <f t="shared" ref="Z2010:Z2073" si="972">IF(ABS(AB2010)=0,"",IF($S2010="NO ALLOC","NO ALLOC",ROUND($S2010*AB2010,15)))</f>
        <v/>
      </c>
      <c r="AA2010" s="2" t="str">
        <f t="shared" ref="AA2010:AA2073" si="973">IF(ABS(AB2010)=0,"",IF($T2010="NO ALLOC","NO ALLOC",ROUND($T2010*AB2010,15)))</f>
        <v/>
      </c>
      <c r="AB2010" s="2">
        <f t="shared" si="960"/>
        <v>0</v>
      </c>
      <c r="AC2010" s="625">
        <v>0</v>
      </c>
      <c r="AD2010" s="625">
        <v>0</v>
      </c>
      <c r="AE2010" s="625">
        <v>0</v>
      </c>
      <c r="AF2010" s="625">
        <v>0</v>
      </c>
      <c r="AG2010" s="625">
        <v>0</v>
      </c>
      <c r="AH2010" s="625">
        <v>0</v>
      </c>
      <c r="AI2010" s="625">
        <v>0</v>
      </c>
      <c r="AJ2010" s="625">
        <v>0</v>
      </c>
      <c r="AK2010" s="625">
        <v>0</v>
      </c>
      <c r="AL2010" s="625">
        <v>0</v>
      </c>
      <c r="AM2010" s="625">
        <v>0</v>
      </c>
      <c r="AN2010" s="625">
        <v>0</v>
      </c>
      <c r="AO2010" s="625">
        <v>0</v>
      </c>
      <c r="AP2010" s="41" t="str">
        <f t="shared" si="943"/>
        <v>Def TaxR</v>
      </c>
      <c r="AQ2010" s="41" t="str">
        <f t="shared" si="944"/>
        <v>Def TaxRR11Internal Software - NIRP</v>
      </c>
      <c r="AR2010" s="41" t="str">
        <f t="shared" si="945"/>
        <v>R11Internal Software - NIRP</v>
      </c>
    </row>
    <row r="2011" spans="1:44" s="41" customFormat="1" ht="12.75" customHeight="1">
      <c r="A2011" s="442" t="s">
        <v>1590</v>
      </c>
      <c r="B2011" s="442" t="str">
        <f t="shared" si="950"/>
        <v>Def Tax282210SeveranceBT010211</v>
      </c>
      <c r="C2011" s="736">
        <v>282210</v>
      </c>
      <c r="D2011" s="735" t="s">
        <v>2122</v>
      </c>
      <c r="E2011" s="626" t="s">
        <v>1703</v>
      </c>
      <c r="F2011" s="626" t="str">
        <f t="shared" si="933"/>
        <v>ACCUM DEF INC TAX-OTH PROP-FEDERAL-GAS</v>
      </c>
      <c r="G2011" s="626" t="s">
        <v>2123</v>
      </c>
      <c r="H2011" s="736" t="s">
        <v>1705</v>
      </c>
      <c r="I2011" s="442"/>
      <c r="J2011" s="442" t="str">
        <f t="shared" si="934"/>
        <v/>
      </c>
      <c r="K2011" s="442" t="str">
        <f t="shared" si="924"/>
        <v/>
      </c>
      <c r="L2011" s="736" t="s">
        <v>2421</v>
      </c>
      <c r="M2011" s="442" t="str">
        <f t="shared" si="912"/>
        <v>N</v>
      </c>
      <c r="N2011" s="442" t="str">
        <f>IF(L2011&lt;&gt;"",VLOOKUP(L2011,Categories!$B$2:$D$41,2,FALSE),IF(F2011&lt;&gt;"","No Cat",""))</f>
        <v>NRBASE</v>
      </c>
      <c r="O2011" s="442" t="str">
        <f>IF($L2011&lt;&gt;"",VLOOKUP($L2011,Categories!$B$2:$D$41,3,FALSE),IF($F2011&lt;&gt;"","No Cat",""))</f>
        <v>Direct Assign Items Not in RB</v>
      </c>
      <c r="P2011" s="736" t="s">
        <v>2468</v>
      </c>
      <c r="Q2011" s="442" t="str">
        <f>VLOOKUP($P2011,Allocators!$B$7:$F$19,5,FALSE)</f>
        <v>Not in Rate Base</v>
      </c>
      <c r="R2011" s="737">
        <f>VLOOKUP($P2011,Allocators!$B$7:$F$19,2,FALSE)</f>
        <v>0</v>
      </c>
      <c r="S2011" s="737">
        <f>VLOOKUP($P2011,Allocators!$B$7:$F$19,3,FALSE)</f>
        <v>0</v>
      </c>
      <c r="T2011" s="737">
        <f t="shared" si="967"/>
        <v>1</v>
      </c>
      <c r="U2011" s="2" t="str">
        <f t="shared" si="968"/>
        <v/>
      </c>
      <c r="V2011" s="2" t="str">
        <f t="shared" si="969"/>
        <v/>
      </c>
      <c r="W2011" s="2" t="str">
        <f t="shared" si="970"/>
        <v/>
      </c>
      <c r="X2011" s="2">
        <f t="shared" si="959"/>
        <v>0</v>
      </c>
      <c r="Y2011" s="2" t="str">
        <f t="shared" si="971"/>
        <v/>
      </c>
      <c r="Z2011" s="2" t="str">
        <f t="shared" si="972"/>
        <v/>
      </c>
      <c r="AA2011" s="2" t="str">
        <f t="shared" si="973"/>
        <v/>
      </c>
      <c r="AB2011" s="2">
        <f t="shared" si="960"/>
        <v>0</v>
      </c>
      <c r="AC2011" s="625">
        <v>0</v>
      </c>
      <c r="AD2011" s="625">
        <v>0</v>
      </c>
      <c r="AE2011" s="625">
        <v>0</v>
      </c>
      <c r="AF2011" s="625">
        <v>0</v>
      </c>
      <c r="AG2011" s="625">
        <v>0</v>
      </c>
      <c r="AH2011" s="625">
        <v>0</v>
      </c>
      <c r="AI2011" s="625">
        <v>0</v>
      </c>
      <c r="AJ2011" s="625">
        <v>0</v>
      </c>
      <c r="AK2011" s="625">
        <v>0</v>
      </c>
      <c r="AL2011" s="625">
        <v>0</v>
      </c>
      <c r="AM2011" s="625">
        <v>0</v>
      </c>
      <c r="AN2011" s="625">
        <v>0</v>
      </c>
      <c r="AO2011" s="625">
        <v>0</v>
      </c>
      <c r="AP2011" s="41" t="str">
        <f t="shared" si="943"/>
        <v>Def TaxN</v>
      </c>
      <c r="AQ2011" s="41" t="str">
        <f t="shared" si="944"/>
        <v>Def TaxNN2Iberdrola Merger Severance</v>
      </c>
      <c r="AR2011" s="41" t="str">
        <f t="shared" si="945"/>
        <v>N2Iberdrola Merger Severance</v>
      </c>
    </row>
    <row r="2012" spans="1:44" s="41" customFormat="1" ht="12.75" customHeight="1">
      <c r="A2012" s="442" t="s">
        <v>1590</v>
      </c>
      <c r="B2012" s="442" t="str">
        <f t="shared" si="950"/>
        <v>Def Tax282210Severance-StateBT010211</v>
      </c>
      <c r="C2012" s="736">
        <v>282210</v>
      </c>
      <c r="D2012" s="735" t="s">
        <v>1702</v>
      </c>
      <c r="E2012" s="626" t="s">
        <v>1703</v>
      </c>
      <c r="F2012" s="626" t="str">
        <f t="shared" si="933"/>
        <v>ACCUM DEF INC TAX-OTH PROP-FEDERAL-GAS</v>
      </c>
      <c r="G2012" s="626" t="s">
        <v>2123</v>
      </c>
      <c r="H2012" s="736" t="s">
        <v>1705</v>
      </c>
      <c r="I2012" s="442"/>
      <c r="J2012" s="442" t="str">
        <f t="shared" si="934"/>
        <v/>
      </c>
      <c r="K2012" s="442" t="str">
        <f t="shared" si="924"/>
        <v/>
      </c>
      <c r="L2012" s="736" t="s">
        <v>2421</v>
      </c>
      <c r="M2012" s="442" t="str">
        <f t="shared" si="912"/>
        <v>N</v>
      </c>
      <c r="N2012" s="442" t="str">
        <f>IF(L2012&lt;&gt;"",VLOOKUP(L2012,Categories!$B$2:$D$41,2,FALSE),IF(F2012&lt;&gt;"","No Cat",""))</f>
        <v>NRBASE</v>
      </c>
      <c r="O2012" s="442" t="str">
        <f>IF($L2012&lt;&gt;"",VLOOKUP($L2012,Categories!$B$2:$D$41,3,FALSE),IF($F2012&lt;&gt;"","No Cat",""))</f>
        <v>Direct Assign Items Not in RB</v>
      </c>
      <c r="P2012" s="736" t="s">
        <v>2468</v>
      </c>
      <c r="Q2012" s="442" t="str">
        <f>VLOOKUP($P2012,Allocators!$B$7:$F$19,5,FALSE)</f>
        <v>Not in Rate Base</v>
      </c>
      <c r="R2012" s="737">
        <f>VLOOKUP($P2012,Allocators!$B$7:$F$19,2,FALSE)</f>
        <v>0</v>
      </c>
      <c r="S2012" s="737">
        <f>VLOOKUP($P2012,Allocators!$B$7:$F$19,3,FALSE)</f>
        <v>0</v>
      </c>
      <c r="T2012" s="737">
        <f t="shared" si="967"/>
        <v>1</v>
      </c>
      <c r="U2012" s="2" t="str">
        <f t="shared" si="968"/>
        <v/>
      </c>
      <c r="V2012" s="2" t="str">
        <f t="shared" si="969"/>
        <v/>
      </c>
      <c r="W2012" s="2" t="str">
        <f t="shared" si="970"/>
        <v/>
      </c>
      <c r="X2012" s="2">
        <f t="shared" si="959"/>
        <v>0</v>
      </c>
      <c r="Y2012" s="2" t="str">
        <f t="shared" si="971"/>
        <v/>
      </c>
      <c r="Z2012" s="2" t="str">
        <f t="shared" si="972"/>
        <v/>
      </c>
      <c r="AA2012" s="2" t="str">
        <f t="shared" si="973"/>
        <v/>
      </c>
      <c r="AB2012" s="2">
        <f t="shared" si="960"/>
        <v>0</v>
      </c>
      <c r="AC2012" s="625">
        <v>0</v>
      </c>
      <c r="AD2012" s="625">
        <v>0</v>
      </c>
      <c r="AE2012" s="625">
        <v>0</v>
      </c>
      <c r="AF2012" s="625">
        <v>0</v>
      </c>
      <c r="AG2012" s="625">
        <v>0</v>
      </c>
      <c r="AH2012" s="625">
        <v>0</v>
      </c>
      <c r="AI2012" s="625">
        <v>0</v>
      </c>
      <c r="AJ2012" s="625">
        <v>0</v>
      </c>
      <c r="AK2012" s="625">
        <v>0</v>
      </c>
      <c r="AL2012" s="625">
        <v>0</v>
      </c>
      <c r="AM2012" s="625">
        <v>0</v>
      </c>
      <c r="AN2012" s="625">
        <v>0</v>
      </c>
      <c r="AO2012" s="625">
        <v>0</v>
      </c>
      <c r="AP2012" s="41" t="str">
        <f t="shared" si="943"/>
        <v>Def TaxN</v>
      </c>
      <c r="AQ2012" s="41" t="str">
        <f t="shared" si="944"/>
        <v>Def TaxNN2Iberdrola Merger Severance</v>
      </c>
      <c r="AR2012" s="41" t="str">
        <f t="shared" si="945"/>
        <v>N2Iberdrola Merger Severance</v>
      </c>
    </row>
    <row r="2013" spans="1:44" s="41" customFormat="1" ht="12.75" customHeight="1">
      <c r="A2013" s="25" t="s">
        <v>1590</v>
      </c>
      <c r="B2013" s="25" t="str">
        <f t="shared" si="950"/>
        <v>Def Tax282210Mixed Use 263(a)BT010390</v>
      </c>
      <c r="C2013" s="736">
        <v>282210</v>
      </c>
      <c r="D2013" s="735" t="s">
        <v>2125</v>
      </c>
      <c r="E2013" s="41" t="s">
        <v>2126</v>
      </c>
      <c r="F2013" s="41" t="str">
        <f t="shared" si="933"/>
        <v>ACCUM DEF INC TAX-OTH PROP-FEDERAL-GAS</v>
      </c>
      <c r="G2013" s="41" t="s">
        <v>2127</v>
      </c>
      <c r="H2013" s="736" t="s">
        <v>2125</v>
      </c>
      <c r="I2013" s="25"/>
      <c r="J2013" s="442" t="s">
        <v>7</v>
      </c>
      <c r="K2013" s="442" t="str">
        <f t="shared" si="924"/>
        <v/>
      </c>
      <c r="L2013" s="736" t="s">
        <v>2436</v>
      </c>
      <c r="M2013" s="25" t="str">
        <f t="shared" si="912"/>
        <v>N</v>
      </c>
      <c r="N2013" s="25" t="str">
        <f>IF(L2013&lt;&gt;"",VLOOKUP(L2013,Categories!$B$2:$D$41,2,FALSE),IF(F2013&lt;&gt;"","No Cat",""))</f>
        <v>NRBASE</v>
      </c>
      <c r="O2013" s="25" t="str">
        <f>IF($L2013&lt;&gt;"",VLOOKUP($L2013,Categories!$B$2:$D$41,3,FALSE),IF($F2013&lt;&gt;"","No Cat",""))</f>
        <v>Deferrals Accruing Non-Cash Return   (other than ASGA)</v>
      </c>
      <c r="P2013" s="736" t="s">
        <v>2468</v>
      </c>
      <c r="Q2013" s="25" t="str">
        <f>VLOOKUP($P2013,Allocators!$B$7:$F$19,5,FALSE)</f>
        <v>Not in Rate Base</v>
      </c>
      <c r="R2013" s="737">
        <f>VLOOKUP($P2013,Allocators!$B$7:$F$19,2,FALSE)</f>
        <v>0</v>
      </c>
      <c r="S2013" s="737">
        <f>VLOOKUP($P2013,Allocators!$B$7:$F$19,3,FALSE)</f>
        <v>0</v>
      </c>
      <c r="T2013" s="737">
        <f t="shared" si="967"/>
        <v>1</v>
      </c>
      <c r="U2013" s="2">
        <f t="shared" si="968"/>
        <v>0</v>
      </c>
      <c r="V2013" s="2">
        <f t="shared" si="969"/>
        <v>0</v>
      </c>
      <c r="W2013" s="2">
        <f t="shared" si="970"/>
        <v>-1773.61712458333</v>
      </c>
      <c r="X2013" s="2">
        <f t="shared" si="959"/>
        <v>-1773.61712458333</v>
      </c>
      <c r="Y2013" s="2">
        <f t="shared" si="971"/>
        <v>0</v>
      </c>
      <c r="Z2013" s="2">
        <f t="shared" si="972"/>
        <v>0</v>
      </c>
      <c r="AA2013" s="2">
        <f t="shared" si="973"/>
        <v>-3228.5812599999999</v>
      </c>
      <c r="AB2013" s="2">
        <f t="shared" si="960"/>
        <v>-3228.5812599999999</v>
      </c>
      <c r="AC2013" s="625">
        <v>-1463.33473</v>
      </c>
      <c r="AD2013" s="625">
        <v>-1441.5972300000001</v>
      </c>
      <c r="AE2013" s="625">
        <v>-1419.8597299999999</v>
      </c>
      <c r="AF2013" s="625">
        <v>-1398.1222299999999</v>
      </c>
      <c r="AG2013" s="625">
        <v>-1376.38473</v>
      </c>
      <c r="AH2013" s="625">
        <v>-1354.64723</v>
      </c>
      <c r="AI2013" s="625">
        <v>-1332.9097300000001</v>
      </c>
      <c r="AJ2013" s="625">
        <v>-1311.1722299999999</v>
      </c>
      <c r="AK2013" s="625">
        <v>-1289.4347299999999</v>
      </c>
      <c r="AL2013" s="625">
        <v>-1851.5144599999999</v>
      </c>
      <c r="AM2013" s="625">
        <v>-3031.6763799999999</v>
      </c>
      <c r="AN2013" s="625">
        <v>-3130.1288199999999</v>
      </c>
      <c r="AO2013" s="625">
        <v>-3228.5812599999999</v>
      </c>
      <c r="AP2013" s="41" t="str">
        <f t="shared" si="943"/>
        <v>Def TaxN</v>
      </c>
      <c r="AQ2013" s="41" t="str">
        <f t="shared" si="944"/>
        <v>Def TaxNN10Mixed Use 263(a)</v>
      </c>
      <c r="AR2013" s="41" t="str">
        <f t="shared" si="945"/>
        <v>N10Mixed Use 263(a)NCR</v>
      </c>
    </row>
    <row r="2014" spans="1:44" s="41" customFormat="1" ht="12.75" customHeight="1">
      <c r="A2014" s="25" t="s">
        <v>1590</v>
      </c>
      <c r="B2014" s="25" t="str">
        <f t="shared" si="950"/>
        <v>Def Tax282210BT010354</v>
      </c>
      <c r="C2014" s="736">
        <v>282210</v>
      </c>
      <c r="D2014" s="735"/>
      <c r="E2014" s="41" t="s">
        <v>2248</v>
      </c>
      <c r="F2014" s="41" t="str">
        <f t="shared" ref="F2014:F2015" si="974">VLOOKUP(C2014,$C$7:$F$787,4,FALSE)</f>
        <v>ACCUM DEF INC TAX-OTH PROP-FEDERAL-GAS</v>
      </c>
      <c r="G2014" s="41" t="s">
        <v>4123</v>
      </c>
      <c r="H2014" s="736" t="s">
        <v>2249</v>
      </c>
      <c r="I2014" s="25"/>
      <c r="J2014" s="25" t="str">
        <f t="shared" ref="J2014:J2015" si="975">IF(L2014="N10","Y",IF(L2014="N8","Y",""))</f>
        <v/>
      </c>
      <c r="K2014" s="442" t="str">
        <f t="shared" si="924"/>
        <v/>
      </c>
      <c r="L2014" s="736" t="s">
        <v>2443</v>
      </c>
      <c r="M2014" s="25" t="str">
        <f t="shared" ref="M2014:M2015" si="976">LEFT(L2014,1)</f>
        <v>R</v>
      </c>
      <c r="N2014" s="25" t="str">
        <f>IF(L2014&lt;&gt;"",VLOOKUP(L2014,Categories!$B$2:$D$41,2,FALSE),IF(F2014&lt;&gt;"","No Cat",""))</f>
        <v>Rate Base</v>
      </c>
      <c r="O2014" s="25" t="str">
        <f>IF($L2014&lt;&gt;"",VLOOKUP($L2014,Categories!$B$2:$D$41,3,FALSE),IF($F2014&lt;&gt;"","No Cat",""))</f>
        <v>Deferred Income Taxes</v>
      </c>
      <c r="P2014" s="736" t="s">
        <v>2483</v>
      </c>
      <c r="Q2014" s="25" t="str">
        <f>VLOOKUP($P2014,Allocators!$B$7:$F$19,5,FALSE)</f>
        <v>Gas</v>
      </c>
      <c r="R2014" s="737">
        <f>VLOOKUP($P2014,Allocators!$B$7:$F$19,2,FALSE)</f>
        <v>0</v>
      </c>
      <c r="S2014" s="737">
        <f>VLOOKUP($P2014,Allocators!$B$7:$F$19,3,FALSE)</f>
        <v>1</v>
      </c>
      <c r="T2014" s="737" t="str">
        <f t="shared" ref="T2014:T2015" si="977">IF(P2014="N",1,"0.0%")</f>
        <v>0.0%</v>
      </c>
      <c r="U2014" s="2">
        <f t="shared" si="968"/>
        <v>0</v>
      </c>
      <c r="V2014" s="2">
        <f t="shared" si="969"/>
        <v>-963.18088416666603</v>
      </c>
      <c r="W2014" s="2">
        <f t="shared" si="970"/>
        <v>0</v>
      </c>
      <c r="X2014" s="2">
        <f t="shared" si="959"/>
        <v>-963.18088416666603</v>
      </c>
      <c r="Y2014" s="2">
        <f t="shared" si="971"/>
        <v>0</v>
      </c>
      <c r="Z2014" s="2">
        <f t="shared" si="972"/>
        <v>-889.56137000000001</v>
      </c>
      <c r="AA2014" s="2">
        <f t="shared" si="973"/>
        <v>0</v>
      </c>
      <c r="AB2014" s="2">
        <f t="shared" si="960"/>
        <v>-889.56137000000001</v>
      </c>
      <c r="AC2014" s="625">
        <v>-1013.35517</v>
      </c>
      <c r="AD2014" s="625">
        <v>-1002.25934</v>
      </c>
      <c r="AE2014" s="625">
        <v>-991.1635</v>
      </c>
      <c r="AF2014" s="625">
        <v>-980.06767000000002</v>
      </c>
      <c r="AG2014" s="625">
        <v>-968.97183999999993</v>
      </c>
      <c r="AH2014" s="625">
        <v>-957.87599999999998</v>
      </c>
      <c r="AI2014" s="625">
        <v>-946.78017</v>
      </c>
      <c r="AJ2014" s="625">
        <v>-935.68434000000002</v>
      </c>
      <c r="AK2014" s="625">
        <v>-1145.2569599999999</v>
      </c>
      <c r="AL2014" s="625">
        <v>-927.21400000000006</v>
      </c>
      <c r="AM2014" s="625">
        <v>-871.10523000000001</v>
      </c>
      <c r="AN2014" s="625">
        <v>-880.33329000000003</v>
      </c>
      <c r="AO2014" s="625">
        <v>-889.56137000000001</v>
      </c>
      <c r="AP2014" s="41" t="str">
        <f t="shared" si="943"/>
        <v>Def TaxR</v>
      </c>
      <c r="AQ2014" s="41" t="str">
        <f t="shared" si="944"/>
        <v>Def TaxRR11Unit of Property - 481Adj</v>
      </c>
      <c r="AR2014" s="41" t="str">
        <f t="shared" si="945"/>
        <v>R11Unit of Property - 481Adj</v>
      </c>
    </row>
    <row r="2015" spans="1:44" s="41" customFormat="1" ht="12.75" customHeight="1">
      <c r="A2015" s="25" t="s">
        <v>1590</v>
      </c>
      <c r="B2015" s="25" t="str">
        <f t="shared" ref="B2015" si="978">CONCATENATE(A2015,C2015,D2015,E2015)</f>
        <v>Def Tax282210BTMISCDT</v>
      </c>
      <c r="C2015" s="736">
        <v>282210</v>
      </c>
      <c r="D2015" s="735"/>
      <c r="E2015" s="41" t="s">
        <v>1971</v>
      </c>
      <c r="F2015" s="41" t="str">
        <f t="shared" si="974"/>
        <v>ACCUM DEF INC TAX-OTH PROP-FEDERAL-GAS</v>
      </c>
      <c r="G2015" s="41" t="s">
        <v>4263</v>
      </c>
      <c r="H2015" s="736" t="s">
        <v>2246</v>
      </c>
      <c r="I2015" s="25"/>
      <c r="J2015" s="25" t="str">
        <f t="shared" si="975"/>
        <v/>
      </c>
      <c r="K2015" s="442" t="str">
        <f t="shared" si="924"/>
        <v/>
      </c>
      <c r="L2015" s="736" t="s">
        <v>2443</v>
      </c>
      <c r="M2015" s="25" t="str">
        <f t="shared" si="976"/>
        <v>R</v>
      </c>
      <c r="N2015" s="25" t="str">
        <f>IF(L2015&lt;&gt;"",VLOOKUP(L2015,Categories!$B$2:$D$41,2,FALSE),IF(F2015&lt;&gt;"","No Cat",""))</f>
        <v>Rate Base</v>
      </c>
      <c r="O2015" s="25" t="str">
        <f>IF($L2015&lt;&gt;"",VLOOKUP($L2015,Categories!$B$2:$D$41,3,FALSE),IF($F2015&lt;&gt;"","No Cat",""))</f>
        <v>Deferred Income Taxes</v>
      </c>
      <c r="P2015" s="736" t="s">
        <v>2483</v>
      </c>
      <c r="Q2015" s="25" t="str">
        <f>VLOOKUP($P2015,Allocators!$B$7:$F$19,5,FALSE)</f>
        <v>Gas</v>
      </c>
      <c r="R2015" s="737">
        <f>VLOOKUP($P2015,Allocators!$B$7:$F$19,2,FALSE)</f>
        <v>0</v>
      </c>
      <c r="S2015" s="737">
        <f>VLOOKUP($P2015,Allocators!$B$7:$F$19,3,FALSE)</f>
        <v>1</v>
      </c>
      <c r="T2015" s="737" t="str">
        <f t="shared" si="977"/>
        <v>0.0%</v>
      </c>
      <c r="U2015" s="2">
        <f t="shared" si="968"/>
        <v>0</v>
      </c>
      <c r="V2015" s="2">
        <f t="shared" si="969"/>
        <v>-180.934</v>
      </c>
      <c r="W2015" s="2">
        <f t="shared" si="970"/>
        <v>0</v>
      </c>
      <c r="X2015" s="2">
        <f t="shared" si="959"/>
        <v>-180.934</v>
      </c>
      <c r="Y2015" s="2">
        <f t="shared" si="971"/>
        <v>0</v>
      </c>
      <c r="Z2015" s="2">
        <f t="shared" si="972"/>
        <v>-180.934</v>
      </c>
      <c r="AA2015" s="2">
        <f t="shared" si="973"/>
        <v>0</v>
      </c>
      <c r="AB2015" s="2">
        <f t="shared" si="960"/>
        <v>-180.934</v>
      </c>
      <c r="AC2015" s="625">
        <v>-180.934</v>
      </c>
      <c r="AD2015" s="625">
        <v>-180.934</v>
      </c>
      <c r="AE2015" s="625">
        <v>-180.934</v>
      </c>
      <c r="AF2015" s="625">
        <v>-180.934</v>
      </c>
      <c r="AG2015" s="625">
        <v>-180.934</v>
      </c>
      <c r="AH2015" s="625">
        <v>-180.934</v>
      </c>
      <c r="AI2015" s="625">
        <v>-180.934</v>
      </c>
      <c r="AJ2015" s="625">
        <v>-180.934</v>
      </c>
      <c r="AK2015" s="625">
        <v>-180.934</v>
      </c>
      <c r="AL2015" s="625">
        <v>-180.934</v>
      </c>
      <c r="AM2015" s="625">
        <v>-180.934</v>
      </c>
      <c r="AN2015" s="625">
        <v>-180.934</v>
      </c>
      <c r="AO2015" s="625">
        <v>-180.934</v>
      </c>
      <c r="AP2015" s="41" t="str">
        <f t="shared" si="943"/>
        <v>Def TaxR</v>
      </c>
      <c r="AQ2015" s="41" t="str">
        <f t="shared" si="944"/>
        <v>Def TaxRR11STAR</v>
      </c>
      <c r="AR2015" s="41" t="str">
        <f t="shared" si="945"/>
        <v>R11STAR</v>
      </c>
    </row>
    <row r="2016" spans="1:44" s="41" customFormat="1" ht="12.75" customHeight="1">
      <c r="A2016" s="442" t="s">
        <v>1590</v>
      </c>
      <c r="B2016" s="442" t="str">
        <f t="shared" si="950"/>
        <v>Def Tax282210AROBT010303</v>
      </c>
      <c r="C2016" s="736">
        <v>282210</v>
      </c>
      <c r="D2016" s="735" t="s">
        <v>1613</v>
      </c>
      <c r="E2016" s="626" t="s">
        <v>1614</v>
      </c>
      <c r="F2016" s="626" t="str">
        <f t="shared" si="933"/>
        <v>ACCUM DEF INC TAX-OTH PROP-FEDERAL-GAS</v>
      </c>
      <c r="G2016" s="626" t="s">
        <v>1615</v>
      </c>
      <c r="H2016" s="736" t="s">
        <v>1138</v>
      </c>
      <c r="I2016" s="442"/>
      <c r="J2016" s="442" t="str">
        <f t="shared" si="934"/>
        <v/>
      </c>
      <c r="K2016" s="442" t="str">
        <f t="shared" si="924"/>
        <v/>
      </c>
      <c r="L2016" s="736" t="s">
        <v>2421</v>
      </c>
      <c r="M2016" s="442" t="str">
        <f t="shared" si="912"/>
        <v>N</v>
      </c>
      <c r="N2016" s="442" t="str">
        <f>IF(L2016&lt;&gt;"",VLOOKUP(L2016,Categories!$B$2:$D$41,2,FALSE),IF(F2016&lt;&gt;"","No Cat",""))</f>
        <v>NRBASE</v>
      </c>
      <c r="O2016" s="442" t="str">
        <f>IF($L2016&lt;&gt;"",VLOOKUP($L2016,Categories!$B$2:$D$41,3,FALSE),IF($F2016&lt;&gt;"","No Cat",""))</f>
        <v>Direct Assign Items Not in RB</v>
      </c>
      <c r="P2016" s="736" t="s">
        <v>2468</v>
      </c>
      <c r="Q2016" s="442" t="str">
        <f>VLOOKUP($P2016,Allocators!$B$7:$F$19,5,FALSE)</f>
        <v>Not in Rate Base</v>
      </c>
      <c r="R2016" s="737">
        <f>VLOOKUP($P2016,Allocators!$B$7:$F$19,2,FALSE)</f>
        <v>0</v>
      </c>
      <c r="S2016" s="737">
        <f>VLOOKUP($P2016,Allocators!$B$7:$F$19,3,FALSE)</f>
        <v>0</v>
      </c>
      <c r="T2016" s="737">
        <f t="shared" si="967"/>
        <v>1</v>
      </c>
      <c r="U2016" s="2">
        <f t="shared" si="968"/>
        <v>0</v>
      </c>
      <c r="V2016" s="2">
        <f t="shared" si="969"/>
        <v>0</v>
      </c>
      <c r="W2016" s="2">
        <f t="shared" si="970"/>
        <v>-22.592629166666701</v>
      </c>
      <c r="X2016" s="2">
        <f t="shared" si="959"/>
        <v>-22.592629166666701</v>
      </c>
      <c r="Y2016" s="2">
        <f t="shared" si="971"/>
        <v>0</v>
      </c>
      <c r="Z2016" s="2">
        <f t="shared" si="972"/>
        <v>0</v>
      </c>
      <c r="AA2016" s="2">
        <f t="shared" si="973"/>
        <v>-22.07217</v>
      </c>
      <c r="AB2016" s="2">
        <f t="shared" si="960"/>
        <v>-22.07217</v>
      </c>
      <c r="AC2016" s="625">
        <v>-23.11309</v>
      </c>
      <c r="AD2016" s="625">
        <v>-23.026349999999997</v>
      </c>
      <c r="AE2016" s="625">
        <v>-22.939599999999999</v>
      </c>
      <c r="AF2016" s="625">
        <v>-22.85286</v>
      </c>
      <c r="AG2016" s="625">
        <v>-22.766119999999997</v>
      </c>
      <c r="AH2016" s="625">
        <v>-22.679369999999999</v>
      </c>
      <c r="AI2016" s="625">
        <v>-22.59263</v>
      </c>
      <c r="AJ2016" s="625">
        <v>-22.505890000000001</v>
      </c>
      <c r="AK2016" s="625">
        <v>-22.419139999999999</v>
      </c>
      <c r="AL2016" s="625">
        <v>-22.3324</v>
      </c>
      <c r="AM2016" s="625">
        <v>-22.245650000000001</v>
      </c>
      <c r="AN2016" s="625">
        <v>-22.158909999999999</v>
      </c>
      <c r="AO2016" s="625">
        <v>-22.07217</v>
      </c>
      <c r="AP2016" s="41" t="str">
        <f t="shared" si="943"/>
        <v>Def TaxN</v>
      </c>
      <c r="AQ2016" s="41" t="str">
        <f t="shared" si="944"/>
        <v>Def TaxNN2Asset Retirement Obligation</v>
      </c>
      <c r="AR2016" s="41" t="str">
        <f t="shared" si="945"/>
        <v>N2Asset Retirement Obligation</v>
      </c>
    </row>
    <row r="2017" spans="1:44" s="41" customFormat="1" ht="12.75" customHeight="1">
      <c r="A2017" s="25" t="s">
        <v>1590</v>
      </c>
      <c r="B2017" s="25" t="str">
        <f t="shared" si="950"/>
        <v>Def Tax282240282-001-S/282-002-S/282-003-S/282-011-S/
282-013-S/
282-014-S/
282-015-SBT010229</v>
      </c>
      <c r="C2017" s="736">
        <v>282240</v>
      </c>
      <c r="D2017" s="735" t="s">
        <v>2132</v>
      </c>
      <c r="E2017" s="41" t="s">
        <v>2063</v>
      </c>
      <c r="F2017" s="41" t="str">
        <f t="shared" si="933"/>
        <v>ACCUM DEF INC TAX-OTH PROP-STATE-ELECTRIC</v>
      </c>
      <c r="G2017" s="41" t="s">
        <v>2064</v>
      </c>
      <c r="H2017" s="736" t="s">
        <v>2079</v>
      </c>
      <c r="I2017" s="25"/>
      <c r="J2017" s="25" t="str">
        <f t="shared" si="934"/>
        <v/>
      </c>
      <c r="K2017" s="442" t="str">
        <f t="shared" si="924"/>
        <v/>
      </c>
      <c r="L2017" s="736" t="s">
        <v>2443</v>
      </c>
      <c r="M2017" s="25" t="str">
        <f t="shared" si="912"/>
        <v>R</v>
      </c>
      <c r="N2017" s="25" t="str">
        <f>IF(L2017&lt;&gt;"",VLOOKUP(L2017,Categories!$B$2:$D$41,2,FALSE),IF(F2017&lt;&gt;"","No Cat",""))</f>
        <v>Rate Base</v>
      </c>
      <c r="O2017" s="25" t="str">
        <f>IF($L2017&lt;&gt;"",VLOOKUP($L2017,Categories!$B$2:$D$41,3,FALSE),IF($F2017&lt;&gt;"","No Cat",""))</f>
        <v>Deferred Income Taxes</v>
      </c>
      <c r="P2017" s="736" t="s">
        <v>2482</v>
      </c>
      <c r="Q2017" s="25" t="str">
        <f>VLOOKUP($P2017,Allocators!$B$7:$F$19,5,FALSE)</f>
        <v>Electric</v>
      </c>
      <c r="R2017" s="737">
        <f>VLOOKUP($P2017,Allocators!$B$7:$F$19,2,FALSE)</f>
        <v>1</v>
      </c>
      <c r="S2017" s="737">
        <f>VLOOKUP($P2017,Allocators!$B$7:$F$19,3,FALSE)</f>
        <v>0</v>
      </c>
      <c r="T2017" s="737" t="str">
        <f t="shared" si="967"/>
        <v>0.0%</v>
      </c>
      <c r="U2017" s="2">
        <f t="shared" si="968"/>
        <v>-208.55672833333301</v>
      </c>
      <c r="V2017" s="2">
        <f t="shared" si="969"/>
        <v>0</v>
      </c>
      <c r="W2017" s="2">
        <f t="shared" si="970"/>
        <v>0</v>
      </c>
      <c r="X2017" s="2">
        <f t="shared" si="959"/>
        <v>-208.55672833333301</v>
      </c>
      <c r="Y2017" s="2">
        <f t="shared" si="971"/>
        <v>-216.04284000000001</v>
      </c>
      <c r="Z2017" s="2">
        <f t="shared" si="972"/>
        <v>0</v>
      </c>
      <c r="AA2017" s="2">
        <f t="shared" si="973"/>
        <v>0</v>
      </c>
      <c r="AB2017" s="2">
        <f t="shared" si="960"/>
        <v>-216.04283999999998</v>
      </c>
      <c r="AC2017" s="625">
        <v>-216.04283999999998</v>
      </c>
      <c r="AD2017" s="625">
        <v>-209.62617</v>
      </c>
      <c r="AE2017" s="625">
        <v>-203.20951000000002</v>
      </c>
      <c r="AF2017" s="625">
        <v>-196.79283999999998</v>
      </c>
      <c r="AG2017" s="625">
        <v>-190.37617</v>
      </c>
      <c r="AH2017" s="625">
        <v>-190.37617</v>
      </c>
      <c r="AI2017" s="625">
        <v>-216.04283999999998</v>
      </c>
      <c r="AJ2017" s="625">
        <v>-216.04283999999998</v>
      </c>
      <c r="AK2017" s="625">
        <v>-216.04283999999998</v>
      </c>
      <c r="AL2017" s="625">
        <v>-216.04283999999998</v>
      </c>
      <c r="AM2017" s="625">
        <v>-216.04283999999998</v>
      </c>
      <c r="AN2017" s="625">
        <v>-216.04283999999998</v>
      </c>
      <c r="AO2017" s="625">
        <v>-216.04283999999998</v>
      </c>
      <c r="AP2017" s="41" t="str">
        <f t="shared" si="943"/>
        <v>Def TaxR</v>
      </c>
      <c r="AQ2017" s="41" t="str">
        <f t="shared" si="944"/>
        <v>Def TaxRR11Cost of Removal</v>
      </c>
      <c r="AR2017" s="41" t="str">
        <f t="shared" si="945"/>
        <v>R11Cost of Removal</v>
      </c>
    </row>
    <row r="2018" spans="1:44" s="41" customFormat="1" ht="12.75" customHeight="1">
      <c r="A2018" s="442" t="s">
        <v>1590</v>
      </c>
      <c r="B2018" s="442" t="str">
        <f t="shared" si="950"/>
        <v>Def Tax282240AROBT010303</v>
      </c>
      <c r="C2018" s="736">
        <v>282240</v>
      </c>
      <c r="D2018" s="735" t="s">
        <v>1613</v>
      </c>
      <c r="E2018" s="626" t="s">
        <v>1614</v>
      </c>
      <c r="F2018" s="626" t="str">
        <f t="shared" si="933"/>
        <v>ACCUM DEF INC TAX-OTH PROP-STATE-ELECTRIC</v>
      </c>
      <c r="G2018" s="626" t="s">
        <v>1615</v>
      </c>
      <c r="H2018" s="736" t="s">
        <v>1138</v>
      </c>
      <c r="I2018" s="442"/>
      <c r="J2018" s="442" t="str">
        <f t="shared" si="934"/>
        <v/>
      </c>
      <c r="K2018" s="442" t="str">
        <f t="shared" si="924"/>
        <v/>
      </c>
      <c r="L2018" s="736" t="s">
        <v>2421</v>
      </c>
      <c r="M2018" s="442" t="str">
        <f t="shared" si="912"/>
        <v>N</v>
      </c>
      <c r="N2018" s="442" t="str">
        <f>IF(L2018&lt;&gt;"",VLOOKUP(L2018,Categories!$B$2:$D$41,2,FALSE),IF(F2018&lt;&gt;"","No Cat",""))</f>
        <v>NRBASE</v>
      </c>
      <c r="O2018" s="442" t="str">
        <f>IF($L2018&lt;&gt;"",VLOOKUP($L2018,Categories!$B$2:$D$41,3,FALSE),IF($F2018&lt;&gt;"","No Cat",""))</f>
        <v>Direct Assign Items Not in RB</v>
      </c>
      <c r="P2018" s="736" t="s">
        <v>2468</v>
      </c>
      <c r="Q2018" s="442" t="str">
        <f>VLOOKUP($P2018,Allocators!$B$7:$F$19,5,FALSE)</f>
        <v>Not in Rate Base</v>
      </c>
      <c r="R2018" s="737">
        <f>VLOOKUP($P2018,Allocators!$B$7:$F$19,2,FALSE)</f>
        <v>0</v>
      </c>
      <c r="S2018" s="737">
        <f>VLOOKUP($P2018,Allocators!$B$7:$F$19,3,FALSE)</f>
        <v>0</v>
      </c>
      <c r="T2018" s="737">
        <f t="shared" si="967"/>
        <v>1</v>
      </c>
      <c r="U2018" s="2">
        <f t="shared" si="968"/>
        <v>0</v>
      </c>
      <c r="V2018" s="2">
        <f t="shared" si="969"/>
        <v>0</v>
      </c>
      <c r="W2018" s="2">
        <f t="shared" si="970"/>
        <v>-214.510507916667</v>
      </c>
      <c r="X2018" s="2">
        <f t="shared" si="959"/>
        <v>-214.510507916667</v>
      </c>
      <c r="Y2018" s="2">
        <f t="shared" si="971"/>
        <v>0</v>
      </c>
      <c r="Z2018" s="2">
        <f t="shared" si="972"/>
        <v>0</v>
      </c>
      <c r="AA2018" s="2">
        <f t="shared" si="973"/>
        <v>-290.26098000000002</v>
      </c>
      <c r="AB2018" s="2">
        <f t="shared" si="960"/>
        <v>-290.26097999999996</v>
      </c>
      <c r="AC2018" s="625">
        <v>-84.970770000000002</v>
      </c>
      <c r="AD2018" s="625">
        <v>-27.263339999999999</v>
      </c>
      <c r="AE2018" s="625">
        <v>-26.498560000000001</v>
      </c>
      <c r="AF2018" s="625">
        <v>-25.733779999999999</v>
      </c>
      <c r="AG2018" s="625">
        <v>-24.968990000000002</v>
      </c>
      <c r="AH2018" s="625">
        <v>-24.20421</v>
      </c>
      <c r="AI2018" s="625">
        <v>-437.76825000000002</v>
      </c>
      <c r="AJ2018" s="625">
        <v>-413.18371000000002</v>
      </c>
      <c r="AK2018" s="625">
        <v>-388.59915999999998</v>
      </c>
      <c r="AL2018" s="625">
        <v>-364.01461999999998</v>
      </c>
      <c r="AM2018" s="625">
        <v>-339.43007</v>
      </c>
      <c r="AN2018" s="625">
        <v>-314.84553000000005</v>
      </c>
      <c r="AO2018" s="625">
        <v>-290.26097999999996</v>
      </c>
      <c r="AP2018" s="41" t="str">
        <f t="shared" si="943"/>
        <v>Def TaxN</v>
      </c>
      <c r="AQ2018" s="41" t="str">
        <f t="shared" si="944"/>
        <v>Def TaxNN2Asset Retirement Obligation</v>
      </c>
      <c r="AR2018" s="41" t="str">
        <f t="shared" si="945"/>
        <v>N2Asset Retirement Obligation</v>
      </c>
    </row>
    <row r="2019" spans="1:44" s="41" customFormat="1" ht="12.75" customHeight="1">
      <c r="A2019" s="442" t="s">
        <v>1590</v>
      </c>
      <c r="B2019" s="442" t="str">
        <f t="shared" ref="B2019" si="979">CONCATENATE(A2019,C2019,D2019,E2019)</f>
        <v>Def Tax282240BT010354</v>
      </c>
      <c r="C2019" s="736">
        <v>282240</v>
      </c>
      <c r="D2019" s="735"/>
      <c r="E2019" s="626" t="s">
        <v>2248</v>
      </c>
      <c r="F2019" s="626" t="str">
        <f t="shared" si="933"/>
        <v>ACCUM DEF INC TAX-OTH PROP-STATE-ELECTRIC</v>
      </c>
      <c r="G2019" s="626" t="s">
        <v>4123</v>
      </c>
      <c r="H2019" s="736" t="s">
        <v>2249</v>
      </c>
      <c r="I2019" s="442"/>
      <c r="J2019" s="442" t="str">
        <f t="shared" ref="J2019" si="980">IF(L2019="N10","Y",IF(L2019="N8","Y",""))</f>
        <v/>
      </c>
      <c r="K2019" s="442" t="str">
        <f t="shared" si="924"/>
        <v/>
      </c>
      <c r="L2019" s="736" t="s">
        <v>2443</v>
      </c>
      <c r="M2019" s="442" t="str">
        <f t="shared" ref="M2019" si="981">LEFT(L2019,1)</f>
        <v>R</v>
      </c>
      <c r="N2019" s="442" t="str">
        <f>IF(L2019&lt;&gt;"",VLOOKUP(L2019,Categories!$B$2:$D$41,2,FALSE),IF(F2019&lt;&gt;"","No Cat",""))</f>
        <v>Rate Base</v>
      </c>
      <c r="O2019" s="442" t="str">
        <f>IF($L2019&lt;&gt;"",VLOOKUP($L2019,Categories!$B$2:$D$41,3,FALSE),IF($F2019&lt;&gt;"","No Cat",""))</f>
        <v>Deferred Income Taxes</v>
      </c>
      <c r="P2019" s="736" t="s">
        <v>2482</v>
      </c>
      <c r="Q2019" s="442" t="str">
        <f>VLOOKUP($P2019,Allocators!$B$7:$F$19,5,FALSE)</f>
        <v>Electric</v>
      </c>
      <c r="R2019" s="737">
        <f>VLOOKUP($P2019,Allocators!$B$7:$F$19,2,FALSE)</f>
        <v>1</v>
      </c>
      <c r="S2019" s="737">
        <f>VLOOKUP($P2019,Allocators!$B$7:$F$19,3,FALSE)</f>
        <v>0</v>
      </c>
      <c r="T2019" s="737" t="str">
        <f t="shared" ref="T2019" si="982">IF(P2019="N",1,"0.0%")</f>
        <v>0.0%</v>
      </c>
      <c r="U2019" s="2">
        <f t="shared" si="968"/>
        <v>-3004.6418179166699</v>
      </c>
      <c r="V2019" s="2">
        <f t="shared" si="969"/>
        <v>0</v>
      </c>
      <c r="W2019" s="2">
        <f t="shared" si="970"/>
        <v>0</v>
      </c>
      <c r="X2019" s="2">
        <f t="shared" si="959"/>
        <v>-3004.6418179166699</v>
      </c>
      <c r="Y2019" s="2">
        <f t="shared" si="971"/>
        <v>-2801.2403399999998</v>
      </c>
      <c r="Z2019" s="2">
        <f t="shared" si="972"/>
        <v>0</v>
      </c>
      <c r="AA2019" s="2">
        <f t="shared" si="973"/>
        <v>0</v>
      </c>
      <c r="AB2019" s="2">
        <f t="shared" si="960"/>
        <v>-2801.2403399999998</v>
      </c>
      <c r="AC2019" s="625">
        <v>-3099.9528100000002</v>
      </c>
      <c r="AD2019" s="625">
        <v>-3089.2861400000002</v>
      </c>
      <c r="AE2019" s="625">
        <v>-3078.6194799999998</v>
      </c>
      <c r="AF2019" s="625">
        <v>-3067.9528100000002</v>
      </c>
      <c r="AG2019" s="625">
        <v>-3057.2861400000002</v>
      </c>
      <c r="AH2019" s="625">
        <v>-3046.6194799999998</v>
      </c>
      <c r="AI2019" s="625">
        <v>-3035.9528100000002</v>
      </c>
      <c r="AJ2019" s="625">
        <v>-3025.2861400000002</v>
      </c>
      <c r="AK2019" s="625">
        <v>-3309.0801499999998</v>
      </c>
      <c r="AL2019" s="625">
        <v>-2841.33484</v>
      </c>
      <c r="AM2019" s="625">
        <v>-2768.7113799999997</v>
      </c>
      <c r="AN2019" s="625">
        <v>-2784.9758700000002</v>
      </c>
      <c r="AO2019" s="625">
        <v>-2801.2403399999998</v>
      </c>
      <c r="AP2019" s="41" t="str">
        <f t="shared" si="943"/>
        <v>Def TaxR</v>
      </c>
      <c r="AQ2019" s="41" t="str">
        <f t="shared" si="944"/>
        <v>Def TaxRR11Unit of Property - 481Adj</v>
      </c>
      <c r="AR2019" s="41" t="str">
        <f t="shared" si="945"/>
        <v>R11Unit of Property - 481Adj</v>
      </c>
    </row>
    <row r="2020" spans="1:44" s="41" customFormat="1" ht="12.75" customHeight="1">
      <c r="A2020" s="442" t="s">
        <v>1590</v>
      </c>
      <c r="B2020" s="442" t="str">
        <f t="shared" ref="B2020:B2024" si="983">CONCATENATE(A2020,C2020,D2020,E2020)</f>
        <v>Def Tax282240BT010043</v>
      </c>
      <c r="C2020" s="736">
        <v>282240</v>
      </c>
      <c r="D2020" s="735"/>
      <c r="E2020" s="626" t="s">
        <v>1631</v>
      </c>
      <c r="F2020" s="626" t="str">
        <f t="shared" si="933"/>
        <v>ACCUM DEF INC TAX-OTH PROP-STATE-ELECTRIC</v>
      </c>
      <c r="G2020" s="626" t="s">
        <v>4119</v>
      </c>
      <c r="H2020" s="736" t="s">
        <v>1632</v>
      </c>
      <c r="I2020" s="442"/>
      <c r="J2020" s="442" t="str">
        <f t="shared" ref="J2020" si="984">IF(L2020="N10","Y",IF(L2020="N8","Y",""))</f>
        <v/>
      </c>
      <c r="K2020" s="442" t="str">
        <f t="shared" si="924"/>
        <v/>
      </c>
      <c r="L2020" s="736" t="s">
        <v>2443</v>
      </c>
      <c r="M2020" s="442" t="str">
        <f t="shared" ref="M2020" si="985">LEFT(L2020,1)</f>
        <v>R</v>
      </c>
      <c r="N2020" s="442" t="str">
        <f>IF(L2020&lt;&gt;"",VLOOKUP(L2020,Categories!$B$2:$D$41,2,FALSE),IF(F2020&lt;&gt;"","No Cat",""))</f>
        <v>Rate Base</v>
      </c>
      <c r="O2020" s="442" t="str">
        <f>IF($L2020&lt;&gt;"",VLOOKUP($L2020,Categories!$B$2:$D$41,3,FALSE),IF($F2020&lt;&gt;"","No Cat",""))</f>
        <v>Deferred Income Taxes</v>
      </c>
      <c r="P2020" s="736" t="s">
        <v>2482</v>
      </c>
      <c r="Q2020" s="442" t="str">
        <f>VLOOKUP($P2020,Allocators!$B$7:$F$19,5,FALSE)</f>
        <v>Electric</v>
      </c>
      <c r="R2020" s="737">
        <f>VLOOKUP($P2020,Allocators!$B$7:$F$19,2,FALSE)</f>
        <v>1</v>
      </c>
      <c r="S2020" s="737">
        <f>VLOOKUP($P2020,Allocators!$B$7:$F$19,3,FALSE)</f>
        <v>0</v>
      </c>
      <c r="T2020" s="737" t="str">
        <f t="shared" ref="T2020" si="986">IF(P2020="N",1,"0.0%")</f>
        <v>0.0%</v>
      </c>
      <c r="U2020" s="2">
        <f t="shared" si="968"/>
        <v>2222.3033645833302</v>
      </c>
      <c r="V2020" s="2">
        <f t="shared" si="969"/>
        <v>0</v>
      </c>
      <c r="W2020" s="2">
        <f t="shared" si="970"/>
        <v>0</v>
      </c>
      <c r="X2020" s="2">
        <f t="shared" si="959"/>
        <v>2222.3033645833302</v>
      </c>
      <c r="Y2020" s="2">
        <f t="shared" si="971"/>
        <v>2519.6907700000002</v>
      </c>
      <c r="Z2020" s="2">
        <f t="shared" si="972"/>
        <v>0</v>
      </c>
      <c r="AA2020" s="2">
        <f t="shared" si="973"/>
        <v>0</v>
      </c>
      <c r="AB2020" s="2">
        <f t="shared" si="960"/>
        <v>2519.6907700000002</v>
      </c>
      <c r="AC2020" s="625">
        <v>2032.4031200000002</v>
      </c>
      <c r="AD2020" s="625">
        <v>2037.29429</v>
      </c>
      <c r="AE2020" s="625">
        <v>2080.8129199999998</v>
      </c>
      <c r="AF2020" s="625">
        <v>2092.2106800000001</v>
      </c>
      <c r="AG2020" s="625">
        <v>2101.5144399999999</v>
      </c>
      <c r="AH2020" s="625">
        <v>2109.6504799999998</v>
      </c>
      <c r="AI2020" s="625">
        <v>2190.2362400000002</v>
      </c>
      <c r="AJ2020" s="625">
        <v>2261.02189</v>
      </c>
      <c r="AK2020" s="625">
        <v>2271.94931</v>
      </c>
      <c r="AL2020" s="625">
        <v>2356.2942599999997</v>
      </c>
      <c r="AM2020" s="625">
        <v>2373.48317</v>
      </c>
      <c r="AN2020" s="625">
        <v>2517.1257500000002</v>
      </c>
      <c r="AO2020" s="625">
        <v>2519.6907700000002</v>
      </c>
      <c r="AP2020" s="41" t="str">
        <f t="shared" si="943"/>
        <v>Def TaxR</v>
      </c>
      <c r="AQ2020" s="41" t="str">
        <f t="shared" si="944"/>
        <v>Def TaxRR11CIAC</v>
      </c>
      <c r="AR2020" s="41" t="str">
        <f t="shared" si="945"/>
        <v>R11CIAC</v>
      </c>
    </row>
    <row r="2021" spans="1:44" s="41" customFormat="1" ht="12.75" customHeight="1">
      <c r="A2021" s="442" t="s">
        <v>1590</v>
      </c>
      <c r="B2021" s="442" t="str">
        <f t="shared" si="983"/>
        <v>Def Tax282240BT010110</v>
      </c>
      <c r="C2021" s="736">
        <v>282240</v>
      </c>
      <c r="D2021" s="735"/>
      <c r="E2021" s="626" t="s">
        <v>2186</v>
      </c>
      <c r="F2021" s="626" t="str">
        <f t="shared" si="933"/>
        <v>ACCUM DEF INC TAX-OTH PROP-STATE-ELECTRIC</v>
      </c>
      <c r="G2021" s="626" t="s">
        <v>4120</v>
      </c>
      <c r="H2021" s="736">
        <v>0</v>
      </c>
      <c r="I2021" s="442"/>
      <c r="J2021" s="442" t="str">
        <f t="shared" ref="J2021:J2022" si="987">IF(L2021="N10","Y",IF(L2021="N8","Y",""))</f>
        <v/>
      </c>
      <c r="K2021" s="442" t="str">
        <f t="shared" si="924"/>
        <v/>
      </c>
      <c r="L2021" s="736" t="s">
        <v>2421</v>
      </c>
      <c r="M2021" s="442" t="str">
        <f t="shared" ref="M2021:M2024" si="988">LEFT(L2021,1)</f>
        <v>N</v>
      </c>
      <c r="N2021" s="442" t="str">
        <f>IF(L2021&lt;&gt;"",VLOOKUP(L2021,Categories!$B$2:$D$41,2,FALSE),IF(F2021&lt;&gt;"","No Cat",""))</f>
        <v>NRBASE</v>
      </c>
      <c r="O2021" s="442" t="str">
        <f>IF($L2021&lt;&gt;"",VLOOKUP($L2021,Categories!$B$2:$D$41,3,FALSE),IF($F2021&lt;&gt;"","No Cat",""))</f>
        <v>Direct Assign Items Not in RB</v>
      </c>
      <c r="P2021" s="736" t="s">
        <v>2468</v>
      </c>
      <c r="Q2021" s="442" t="str">
        <f>VLOOKUP($P2021,Allocators!$B$7:$F$19,5,FALSE)</f>
        <v>Not in Rate Base</v>
      </c>
      <c r="R2021" s="737">
        <f>VLOOKUP($P2021,Allocators!$B$7:$F$19,2,FALSE)</f>
        <v>0</v>
      </c>
      <c r="S2021" s="737">
        <f>VLOOKUP($P2021,Allocators!$B$7:$F$19,3,FALSE)</f>
        <v>0</v>
      </c>
      <c r="T2021" s="737">
        <f t="shared" ref="T2021:T2022" si="989">IF(P2021="N",1,"0.0%")</f>
        <v>1</v>
      </c>
      <c r="U2021" s="2">
        <f t="shared" si="968"/>
        <v>0</v>
      </c>
      <c r="V2021" s="2">
        <f t="shared" si="969"/>
        <v>0</v>
      </c>
      <c r="W2021" s="2">
        <f t="shared" si="970"/>
        <v>0.95179000000000002</v>
      </c>
      <c r="X2021" s="2">
        <f t="shared" si="959"/>
        <v>0.95179000000000002</v>
      </c>
      <c r="Y2021" s="2">
        <f t="shared" si="971"/>
        <v>0</v>
      </c>
      <c r="Z2021" s="2">
        <f t="shared" si="972"/>
        <v>0</v>
      </c>
      <c r="AA2021" s="2">
        <f t="shared" si="973"/>
        <v>0.95179000000000002</v>
      </c>
      <c r="AB2021" s="2">
        <f t="shared" si="960"/>
        <v>0.95178999999999991</v>
      </c>
      <c r="AC2021" s="625">
        <v>0.95178999999999991</v>
      </c>
      <c r="AD2021" s="625">
        <v>0.95178999999999991</v>
      </c>
      <c r="AE2021" s="625">
        <v>0.95178999999999991</v>
      </c>
      <c r="AF2021" s="625">
        <v>0.95178999999999991</v>
      </c>
      <c r="AG2021" s="625">
        <v>0.95178999999999991</v>
      </c>
      <c r="AH2021" s="625">
        <v>0.95178999999999991</v>
      </c>
      <c r="AI2021" s="625">
        <v>0.95178999999999991</v>
      </c>
      <c r="AJ2021" s="625">
        <v>0.95178999999999991</v>
      </c>
      <c r="AK2021" s="625">
        <v>0.95178999999999991</v>
      </c>
      <c r="AL2021" s="625">
        <v>0.95178999999999991</v>
      </c>
      <c r="AM2021" s="625">
        <v>0.95178999999999991</v>
      </c>
      <c r="AN2021" s="625">
        <v>0.95178999999999991</v>
      </c>
      <c r="AO2021" s="625">
        <v>0.95178999999999991</v>
      </c>
      <c r="AP2021" s="41" t="str">
        <f t="shared" si="943"/>
        <v>Def TaxN</v>
      </c>
      <c r="AQ2021" s="41" t="str">
        <f t="shared" si="944"/>
        <v>Def TaxNN20</v>
      </c>
      <c r="AR2021" s="41" t="str">
        <f t="shared" si="945"/>
        <v>N20</v>
      </c>
    </row>
    <row r="2022" spans="1:44" s="41" customFormat="1" ht="12.75" customHeight="1">
      <c r="A2022" s="442" t="s">
        <v>1590</v>
      </c>
      <c r="B2022" s="442" t="str">
        <f t="shared" si="983"/>
        <v>Def Tax282240BT010111</v>
      </c>
      <c r="C2022" s="736">
        <v>282240</v>
      </c>
      <c r="D2022" s="735"/>
      <c r="E2022" s="626" t="s">
        <v>2183</v>
      </c>
      <c r="F2022" s="626" t="str">
        <f t="shared" si="933"/>
        <v>ACCUM DEF INC TAX-OTH PROP-STATE-ELECTRIC</v>
      </c>
      <c r="G2022" s="626" t="s">
        <v>2187</v>
      </c>
      <c r="H2022" s="736">
        <v>0</v>
      </c>
      <c r="I2022" s="442"/>
      <c r="J2022" s="442" t="str">
        <f t="shared" si="987"/>
        <v/>
      </c>
      <c r="K2022" s="442" t="str">
        <f t="shared" si="924"/>
        <v/>
      </c>
      <c r="L2022" s="736" t="s">
        <v>2421</v>
      </c>
      <c r="M2022" s="442" t="str">
        <f t="shared" si="988"/>
        <v>N</v>
      </c>
      <c r="N2022" s="442" t="str">
        <f>IF(L2022&lt;&gt;"",VLOOKUP(L2022,Categories!$B$2:$D$41,2,FALSE),IF(F2022&lt;&gt;"","No Cat",""))</f>
        <v>NRBASE</v>
      </c>
      <c r="O2022" s="442" t="str">
        <f>IF($L2022&lt;&gt;"",VLOOKUP($L2022,Categories!$B$2:$D$41,3,FALSE),IF($F2022&lt;&gt;"","No Cat",""))</f>
        <v>Direct Assign Items Not in RB</v>
      </c>
      <c r="P2022" s="736" t="s">
        <v>2468</v>
      </c>
      <c r="Q2022" s="442" t="str">
        <f>VLOOKUP($P2022,Allocators!$B$7:$F$19,5,FALSE)</f>
        <v>Not in Rate Base</v>
      </c>
      <c r="R2022" s="737">
        <f>VLOOKUP($P2022,Allocators!$B$7:$F$19,2,FALSE)</f>
        <v>0</v>
      </c>
      <c r="S2022" s="737">
        <f>VLOOKUP($P2022,Allocators!$B$7:$F$19,3,FALSE)</f>
        <v>0</v>
      </c>
      <c r="T2022" s="737">
        <f t="shared" si="989"/>
        <v>1</v>
      </c>
      <c r="U2022" s="2">
        <f t="shared" si="968"/>
        <v>0</v>
      </c>
      <c r="V2022" s="2">
        <f t="shared" si="969"/>
        <v>0</v>
      </c>
      <c r="W2022" s="2">
        <f t="shared" si="970"/>
        <v>1.4871399999999999</v>
      </c>
      <c r="X2022" s="2">
        <f t="shared" si="959"/>
        <v>1.4871399999999999</v>
      </c>
      <c r="Y2022" s="2">
        <f t="shared" si="971"/>
        <v>0</v>
      </c>
      <c r="Z2022" s="2">
        <f t="shared" si="972"/>
        <v>0</v>
      </c>
      <c r="AA2022" s="2">
        <f t="shared" si="973"/>
        <v>1.4871399999999999</v>
      </c>
      <c r="AB2022" s="2">
        <f t="shared" si="960"/>
        <v>1.4871400000000001</v>
      </c>
      <c r="AC2022" s="625">
        <v>1.4871400000000001</v>
      </c>
      <c r="AD2022" s="625">
        <v>1.4871400000000001</v>
      </c>
      <c r="AE2022" s="625">
        <v>1.4871400000000001</v>
      </c>
      <c r="AF2022" s="625">
        <v>1.4871400000000001</v>
      </c>
      <c r="AG2022" s="625">
        <v>1.4871400000000001</v>
      </c>
      <c r="AH2022" s="625">
        <v>1.4871400000000001</v>
      </c>
      <c r="AI2022" s="625">
        <v>1.4871400000000001</v>
      </c>
      <c r="AJ2022" s="625">
        <v>1.4871400000000001</v>
      </c>
      <c r="AK2022" s="625">
        <v>1.4871400000000001</v>
      </c>
      <c r="AL2022" s="625">
        <v>1.4871400000000001</v>
      </c>
      <c r="AM2022" s="625">
        <v>1.4871400000000001</v>
      </c>
      <c r="AN2022" s="625">
        <v>1.4871400000000001</v>
      </c>
      <c r="AO2022" s="625">
        <v>1.4871400000000001</v>
      </c>
      <c r="AP2022" s="41" t="str">
        <f t="shared" si="943"/>
        <v>Def TaxN</v>
      </c>
      <c r="AQ2022" s="41" t="str">
        <f t="shared" si="944"/>
        <v>Def TaxNN20</v>
      </c>
      <c r="AR2022" s="41" t="str">
        <f t="shared" si="945"/>
        <v>N20</v>
      </c>
    </row>
    <row r="2023" spans="1:44" s="41" customFormat="1" ht="12.75" customHeight="1">
      <c r="A2023" s="442" t="s">
        <v>1590</v>
      </c>
      <c r="B2023" s="442" t="str">
        <f t="shared" si="983"/>
        <v>Def Tax282240BT010177</v>
      </c>
      <c r="C2023" s="736">
        <v>282240</v>
      </c>
      <c r="D2023" s="735"/>
      <c r="E2023" s="626" t="s">
        <v>1684</v>
      </c>
      <c r="F2023" s="626" t="str">
        <f t="shared" si="933"/>
        <v>ACCUM DEF INC TAX-OTH PROP-STATE-ELECTRIC</v>
      </c>
      <c r="G2023" s="626" t="s">
        <v>1683</v>
      </c>
      <c r="H2023" s="736" t="s">
        <v>1124</v>
      </c>
      <c r="I2023" s="442"/>
      <c r="J2023" s="442" t="str">
        <f t="shared" ref="J2023" si="990">IF(L2023="N10","Y",IF(L2023="N8","Y",""))</f>
        <v/>
      </c>
      <c r="K2023" s="442" t="str">
        <f t="shared" si="924"/>
        <v/>
      </c>
      <c r="L2023" s="736" t="s">
        <v>2443</v>
      </c>
      <c r="M2023" s="442" t="str">
        <f t="shared" si="988"/>
        <v>R</v>
      </c>
      <c r="N2023" s="442" t="str">
        <f>IF(L2023&lt;&gt;"",VLOOKUP(L2023,Categories!$B$2:$D$41,2,FALSE),IF(F2023&lt;&gt;"","No Cat",""))</f>
        <v>Rate Base</v>
      </c>
      <c r="O2023" s="442" t="str">
        <f>IF($L2023&lt;&gt;"",VLOOKUP($L2023,Categories!$B$2:$D$41,3,FALSE),IF($F2023&lt;&gt;"","No Cat",""))</f>
        <v>Deferred Income Taxes</v>
      </c>
      <c r="P2023" s="736" t="s">
        <v>2482</v>
      </c>
      <c r="Q2023" s="442" t="str">
        <f>VLOOKUP($P2023,Allocators!$B$7:$F$19,5,FALSE)</f>
        <v>Electric</v>
      </c>
      <c r="R2023" s="737">
        <f>VLOOKUP($P2023,Allocators!$B$7:$F$19,2,FALSE)</f>
        <v>1</v>
      </c>
      <c r="S2023" s="737">
        <f>VLOOKUP($P2023,Allocators!$B$7:$F$19,3,FALSE)</f>
        <v>0</v>
      </c>
      <c r="T2023" s="737" t="str">
        <f t="shared" ref="T2023" si="991">IF(P2023="N",1,"0.0%")</f>
        <v>0.0%</v>
      </c>
      <c r="U2023" s="2">
        <f t="shared" si="968"/>
        <v>-0.93459000000000003</v>
      </c>
      <c r="V2023" s="2">
        <f t="shared" si="969"/>
        <v>0</v>
      </c>
      <c r="W2023" s="2">
        <f t="shared" si="970"/>
        <v>0</v>
      </c>
      <c r="X2023" s="2">
        <f t="shared" si="959"/>
        <v>-0.93459000000000003</v>
      </c>
      <c r="Y2023" s="2">
        <f t="shared" si="971"/>
        <v>3.56541</v>
      </c>
      <c r="Z2023" s="2">
        <f t="shared" si="972"/>
        <v>0</v>
      </c>
      <c r="AA2023" s="2">
        <f t="shared" si="973"/>
        <v>0</v>
      </c>
      <c r="AB2023" s="2">
        <f t="shared" si="960"/>
        <v>3.56541</v>
      </c>
      <c r="AC2023" s="625">
        <v>-5.43459</v>
      </c>
      <c r="AD2023" s="625">
        <v>-4.68459</v>
      </c>
      <c r="AE2023" s="625">
        <v>-3.93459</v>
      </c>
      <c r="AF2023" s="625">
        <v>-3.18459</v>
      </c>
      <c r="AG2023" s="625">
        <v>-2.43459</v>
      </c>
      <c r="AH2023" s="625">
        <v>-1.6845899999999998</v>
      </c>
      <c r="AI2023" s="625">
        <v>-0.93459000000000003</v>
      </c>
      <c r="AJ2023" s="625">
        <v>-0.18459</v>
      </c>
      <c r="AK2023" s="625">
        <v>0.56540999999999997</v>
      </c>
      <c r="AL2023" s="625">
        <v>1.3154100000000002</v>
      </c>
      <c r="AM2023" s="625">
        <v>2.06541</v>
      </c>
      <c r="AN2023" s="625">
        <v>2.81541</v>
      </c>
      <c r="AO2023" s="625">
        <v>3.56541</v>
      </c>
      <c r="AP2023" s="41" t="str">
        <f t="shared" si="943"/>
        <v>Def TaxR</v>
      </c>
      <c r="AQ2023" s="41" t="str">
        <f t="shared" si="944"/>
        <v>Def TaxRR11R&amp;D Tax Credit Deferral</v>
      </c>
      <c r="AR2023" s="41" t="str">
        <f t="shared" si="945"/>
        <v>R11R&amp;D Tax Credit Deferral</v>
      </c>
    </row>
    <row r="2024" spans="1:44" s="41" customFormat="1" ht="12.75" customHeight="1">
      <c r="A2024" s="442" t="s">
        <v>1590</v>
      </c>
      <c r="B2024" s="442" t="str">
        <f t="shared" si="983"/>
        <v>Def Tax282240BT010188</v>
      </c>
      <c r="C2024" s="736">
        <v>282240</v>
      </c>
      <c r="D2024" s="735"/>
      <c r="E2024" s="626" t="s">
        <v>4121</v>
      </c>
      <c r="F2024" s="626" t="str">
        <f t="shared" si="933"/>
        <v>ACCUM DEF INC TAX-OTH PROP-STATE-ELECTRIC</v>
      </c>
      <c r="G2024" s="626" t="s">
        <v>2233</v>
      </c>
      <c r="H2024" s="736" t="s">
        <v>2233</v>
      </c>
      <c r="I2024" s="442"/>
      <c r="J2024" s="442" t="str">
        <f t="shared" ref="J2024" si="992">IF(L2024="N10","Y",IF(L2024="N8","Y",""))</f>
        <v/>
      </c>
      <c r="K2024" s="442" t="str">
        <f t="shared" si="924"/>
        <v/>
      </c>
      <c r="L2024" s="736" t="s">
        <v>2443</v>
      </c>
      <c r="M2024" s="442" t="str">
        <f t="shared" si="988"/>
        <v>R</v>
      </c>
      <c r="N2024" s="442" t="str">
        <f>IF(L2024&lt;&gt;"",VLOOKUP(L2024,Categories!$B$2:$D$41,2,FALSE),IF(F2024&lt;&gt;"","No Cat",""))</f>
        <v>Rate Base</v>
      </c>
      <c r="O2024" s="442" t="str">
        <f>IF($L2024&lt;&gt;"",VLOOKUP($L2024,Categories!$B$2:$D$41,3,FALSE),IF($F2024&lt;&gt;"","No Cat",""))</f>
        <v>Deferred Income Taxes</v>
      </c>
      <c r="P2024" s="736" t="s">
        <v>2482</v>
      </c>
      <c r="Q2024" s="442" t="str">
        <f>VLOOKUP($P2024,Allocators!$B$7:$F$19,5,FALSE)</f>
        <v>Electric</v>
      </c>
      <c r="R2024" s="737">
        <f>VLOOKUP($P2024,Allocators!$B$7:$F$19,2,FALSE)</f>
        <v>1</v>
      </c>
      <c r="S2024" s="737">
        <f>VLOOKUP($P2024,Allocators!$B$7:$F$19,3,FALSE)</f>
        <v>0</v>
      </c>
      <c r="T2024" s="737" t="str">
        <f t="shared" ref="T2024" si="993">IF(P2024="N",1,"0.0%")</f>
        <v>0.0%</v>
      </c>
      <c r="U2024" s="2">
        <f t="shared" si="968"/>
        <v>-2167.2232075000002</v>
      </c>
      <c r="V2024" s="2">
        <f t="shared" si="969"/>
        <v>0</v>
      </c>
      <c r="W2024" s="2">
        <f t="shared" si="970"/>
        <v>0</v>
      </c>
      <c r="X2024" s="2">
        <f t="shared" si="959"/>
        <v>-2167.2232075000002</v>
      </c>
      <c r="Y2024" s="2">
        <f t="shared" si="971"/>
        <v>-2072.6954300000002</v>
      </c>
      <c r="Z2024" s="2">
        <f t="shared" si="972"/>
        <v>0</v>
      </c>
      <c r="AA2024" s="2">
        <f t="shared" si="973"/>
        <v>0</v>
      </c>
      <c r="AB2024" s="2">
        <f t="shared" si="960"/>
        <v>-2072.6954299999998</v>
      </c>
      <c r="AC2024" s="625">
        <v>-2126.6954300000002</v>
      </c>
      <c r="AD2024" s="625">
        <v>-2122.1954300000002</v>
      </c>
      <c r="AE2024" s="625">
        <v>-2117.6954300000002</v>
      </c>
      <c r="AF2024" s="625">
        <v>-2113.1954300000002</v>
      </c>
      <c r="AG2024" s="625">
        <v>-2256.0287599999997</v>
      </c>
      <c r="AH2024" s="625">
        <v>-2288.3621000000003</v>
      </c>
      <c r="AI2024" s="625">
        <v>-2320.6954300000002</v>
      </c>
      <c r="AJ2024" s="625">
        <v>-2353.0287599999997</v>
      </c>
      <c r="AK2024" s="625">
        <v>-2090.6954299999998</v>
      </c>
      <c r="AL2024" s="625">
        <v>-2086.1954299999998</v>
      </c>
      <c r="AM2024" s="625">
        <v>-2081.6954299999998</v>
      </c>
      <c r="AN2024" s="625">
        <v>-2077.1954299999998</v>
      </c>
      <c r="AO2024" s="625">
        <v>-2072.6954299999998</v>
      </c>
      <c r="AP2024" s="41" t="str">
        <f t="shared" si="943"/>
        <v>Def TaxR</v>
      </c>
      <c r="AQ2024" s="41" t="str">
        <f t="shared" si="944"/>
        <v>Def TaxRR11Repair Allowance</v>
      </c>
      <c r="AR2024" s="41" t="str">
        <f t="shared" si="945"/>
        <v>R11Repair Allowance</v>
      </c>
    </row>
    <row r="2025" spans="1:44" s="41" customFormat="1" ht="12.75" customHeight="1">
      <c r="A2025" s="442" t="s">
        <v>1590</v>
      </c>
      <c r="B2025" s="442" t="str">
        <f t="shared" si="950"/>
        <v>Def Tax282240BT010378</v>
      </c>
      <c r="C2025" s="736">
        <v>282240</v>
      </c>
      <c r="D2025" s="735"/>
      <c r="E2025" s="626" t="s">
        <v>4048</v>
      </c>
      <c r="F2025" s="626" t="str">
        <f>VLOOKUP(C2025,$C$7:$F$787,4,FALSE)</f>
        <v>ACCUM DEF INC TAX-OTH PROP-STATE-ELECTRIC</v>
      </c>
      <c r="G2025" s="626" t="s">
        <v>4049</v>
      </c>
      <c r="H2025" s="736" t="s">
        <v>2816</v>
      </c>
      <c r="I2025" s="442"/>
      <c r="J2025" s="442" t="s">
        <v>7</v>
      </c>
      <c r="K2025" s="442" t="str">
        <f t="shared" si="924"/>
        <v/>
      </c>
      <c r="L2025" s="736" t="s">
        <v>2421</v>
      </c>
      <c r="M2025" s="442" t="str">
        <f t="shared" si="912"/>
        <v>N</v>
      </c>
      <c r="N2025" s="442" t="str">
        <f>IF(L2025&lt;&gt;"",VLOOKUP(L2025,Categories!$B$2:$D$41,2,FALSE),IF(F2025&lt;&gt;"","No Cat",""))</f>
        <v>NRBASE</v>
      </c>
      <c r="O2025" s="442" t="str">
        <f>IF($L2025&lt;&gt;"",VLOOKUP($L2025,Categories!$B$2:$D$41,3,FALSE),IF($F2025&lt;&gt;"","No Cat",""))</f>
        <v>Direct Assign Items Not in RB</v>
      </c>
      <c r="P2025" s="736" t="s">
        <v>2468</v>
      </c>
      <c r="Q2025" s="442" t="str">
        <f>VLOOKUP($P2025,Allocators!$B$7:$F$19,5,FALSE)</f>
        <v>Not in Rate Base</v>
      </c>
      <c r="R2025" s="737">
        <f>VLOOKUP($P2025,Allocators!$B$7:$F$19,2,FALSE)</f>
        <v>0</v>
      </c>
      <c r="S2025" s="737">
        <f>VLOOKUP($P2025,Allocators!$B$7:$F$19,3,FALSE)</f>
        <v>0</v>
      </c>
      <c r="T2025" s="737">
        <f t="shared" si="967"/>
        <v>1</v>
      </c>
      <c r="U2025" s="2">
        <f t="shared" si="968"/>
        <v>0</v>
      </c>
      <c r="V2025" s="2">
        <f t="shared" si="969"/>
        <v>0</v>
      </c>
      <c r="W2025" s="2">
        <f t="shared" si="970"/>
        <v>-77.709500000000006</v>
      </c>
      <c r="X2025" s="2">
        <f t="shared" si="959"/>
        <v>-77.709500000000006</v>
      </c>
      <c r="Y2025" s="2">
        <f t="shared" si="971"/>
        <v>0</v>
      </c>
      <c r="Z2025" s="2">
        <f t="shared" si="972"/>
        <v>0</v>
      </c>
      <c r="AA2025" s="2">
        <f t="shared" si="973"/>
        <v>-98.903000000000006</v>
      </c>
      <c r="AB2025" s="2">
        <f t="shared" si="960"/>
        <v>-98.903000000000006</v>
      </c>
      <c r="AC2025" s="625">
        <v>-56.515999999999998</v>
      </c>
      <c r="AD2025" s="625">
        <v>-60.048250000000003</v>
      </c>
      <c r="AE2025" s="625">
        <v>-63.580500000000001</v>
      </c>
      <c r="AF2025" s="625">
        <v>-67.112750000000005</v>
      </c>
      <c r="AG2025" s="625">
        <v>-70.644999999999996</v>
      </c>
      <c r="AH2025" s="625">
        <v>-74.177250000000001</v>
      </c>
      <c r="AI2025" s="625">
        <v>-77.709500000000006</v>
      </c>
      <c r="AJ2025" s="625">
        <v>-81.241749999999996</v>
      </c>
      <c r="AK2025" s="625">
        <v>-84.774000000000001</v>
      </c>
      <c r="AL2025" s="625">
        <v>-88.306250000000006</v>
      </c>
      <c r="AM2025" s="625">
        <v>-91.838499999999996</v>
      </c>
      <c r="AN2025" s="625">
        <v>-95.370750000000001</v>
      </c>
      <c r="AO2025" s="625">
        <v>-98.903000000000006</v>
      </c>
      <c r="AP2025" s="41" t="str">
        <f t="shared" si="943"/>
        <v>Def TaxN</v>
      </c>
      <c r="AQ2025" s="41" t="str">
        <f t="shared" si="944"/>
        <v>Def TaxNN2Theoretical Reserve</v>
      </c>
      <c r="AR2025" s="41" t="str">
        <f t="shared" si="945"/>
        <v>N2Theoretical ReserveNCR</v>
      </c>
    </row>
    <row r="2026" spans="1:44" s="41" customFormat="1" ht="12.75" customHeight="1">
      <c r="A2026" s="25" t="s">
        <v>1590</v>
      </c>
      <c r="B2026" s="25" t="str">
        <f t="shared" si="950"/>
        <v>Def Tax282240282-002-SBT010020</v>
      </c>
      <c r="C2026" s="736">
        <v>282240</v>
      </c>
      <c r="D2026" s="735" t="s">
        <v>2068</v>
      </c>
      <c r="E2026" s="41" t="s">
        <v>2069</v>
      </c>
      <c r="F2026" s="41" t="str">
        <f t="shared" si="933"/>
        <v>ACCUM DEF INC TAX-OTH PROP-STATE-ELECTRIC</v>
      </c>
      <c r="G2026" s="41" t="s">
        <v>2070</v>
      </c>
      <c r="H2026" s="736" t="s">
        <v>2065</v>
      </c>
      <c r="I2026" s="25"/>
      <c r="J2026" s="25" t="str">
        <f t="shared" si="934"/>
        <v/>
      </c>
      <c r="K2026" s="442" t="str">
        <f t="shared" si="924"/>
        <v/>
      </c>
      <c r="L2026" s="736" t="s">
        <v>2443</v>
      </c>
      <c r="M2026" s="25" t="str">
        <f t="shared" si="912"/>
        <v>R</v>
      </c>
      <c r="N2026" s="25" t="str">
        <f>IF(L2026&lt;&gt;"",VLOOKUP(L2026,Categories!$B$2:$D$41,2,FALSE),IF(F2026&lt;&gt;"","No Cat",""))</f>
        <v>Rate Base</v>
      </c>
      <c r="O2026" s="25" t="str">
        <f>IF($L2026&lt;&gt;"",VLOOKUP($L2026,Categories!$B$2:$D$41,3,FALSE),IF($F2026&lt;&gt;"","No Cat",""))</f>
        <v>Deferred Income Taxes</v>
      </c>
      <c r="P2026" s="736" t="s">
        <v>2482</v>
      </c>
      <c r="Q2026" s="25" t="str">
        <f>VLOOKUP($P2026,Allocators!$B$7:$F$19,5,FALSE)</f>
        <v>Electric</v>
      </c>
      <c r="R2026" s="737">
        <f>VLOOKUP($P2026,Allocators!$B$7:$F$19,2,FALSE)</f>
        <v>1</v>
      </c>
      <c r="S2026" s="737">
        <f>VLOOKUP($P2026,Allocators!$B$7:$F$19,3,FALSE)</f>
        <v>0</v>
      </c>
      <c r="T2026" s="737" t="str">
        <f t="shared" si="967"/>
        <v>0.0%</v>
      </c>
      <c r="U2026" s="2">
        <f t="shared" si="968"/>
        <v>19470.897134999999</v>
      </c>
      <c r="V2026" s="2">
        <f t="shared" si="969"/>
        <v>0</v>
      </c>
      <c r="W2026" s="2">
        <f t="shared" si="970"/>
        <v>0</v>
      </c>
      <c r="X2026" s="2">
        <f t="shared" si="959"/>
        <v>19470.897134999999</v>
      </c>
      <c r="Y2026" s="2">
        <f t="shared" si="971"/>
        <v>21037.654740000002</v>
      </c>
      <c r="Z2026" s="2">
        <f t="shared" si="972"/>
        <v>0</v>
      </c>
      <c r="AA2026" s="2">
        <f t="shared" si="973"/>
        <v>0</v>
      </c>
      <c r="AB2026" s="2">
        <f t="shared" si="960"/>
        <v>21037.654739999998</v>
      </c>
      <c r="AC2026" s="625">
        <v>17936.467579999997</v>
      </c>
      <c r="AD2026" s="625">
        <v>18189.193190000002</v>
      </c>
      <c r="AE2026" s="625">
        <v>18441.397940000003</v>
      </c>
      <c r="AF2026" s="625">
        <v>18693.84978</v>
      </c>
      <c r="AG2026" s="625">
        <v>18948.859039999999</v>
      </c>
      <c r="AH2026" s="625">
        <v>19203.527460000001</v>
      </c>
      <c r="AI2026" s="625">
        <v>19461.557659999999</v>
      </c>
      <c r="AJ2026" s="625">
        <v>19724.084170000002</v>
      </c>
      <c r="AK2026" s="625">
        <v>19981.06162</v>
      </c>
      <c r="AL2026" s="625">
        <v>20243.198649999998</v>
      </c>
      <c r="AM2026" s="625">
        <v>20506.776750000001</v>
      </c>
      <c r="AN2026" s="625">
        <v>20770.198199999999</v>
      </c>
      <c r="AO2026" s="625">
        <v>21037.654739999998</v>
      </c>
      <c r="AP2026" s="41" t="str">
        <f t="shared" si="943"/>
        <v>Def TaxR</v>
      </c>
      <c r="AQ2026" s="41" t="str">
        <f t="shared" si="944"/>
        <v>Def TaxRR11Accelerated Depreciation</v>
      </c>
      <c r="AR2026" s="41" t="str">
        <f t="shared" si="945"/>
        <v>R11Accelerated Depreciation</v>
      </c>
    </row>
    <row r="2027" spans="1:44" s="41" customFormat="1" ht="12.75" customHeight="1">
      <c r="A2027" s="25" t="s">
        <v>1590</v>
      </c>
      <c r="B2027" s="25" t="str">
        <f t="shared" si="950"/>
        <v>Def Tax282240282-004BT010253</v>
      </c>
      <c r="C2027" s="736">
        <v>282240</v>
      </c>
      <c r="D2027" s="735" t="s">
        <v>2074</v>
      </c>
      <c r="E2027" s="41" t="s">
        <v>2078</v>
      </c>
      <c r="F2027" s="41" t="str">
        <f t="shared" si="933"/>
        <v>ACCUM DEF INC TAX-OTH PROP-STATE-ELECTRIC</v>
      </c>
      <c r="G2027" s="41" t="s">
        <v>2076</v>
      </c>
      <c r="H2027" s="736" t="s">
        <v>2141</v>
      </c>
      <c r="I2027" s="25"/>
      <c r="J2027" s="25" t="str">
        <f t="shared" si="934"/>
        <v/>
      </c>
      <c r="K2027" s="442" t="str">
        <f t="shared" si="924"/>
        <v/>
      </c>
      <c r="L2027" s="736" t="s">
        <v>2443</v>
      </c>
      <c r="M2027" s="25" t="str">
        <f t="shared" si="912"/>
        <v>R</v>
      </c>
      <c r="N2027" s="25" t="str">
        <f>IF(L2027&lt;&gt;"",VLOOKUP(L2027,Categories!$B$2:$D$41,2,FALSE),IF(F2027&lt;&gt;"","No Cat",""))</f>
        <v>Rate Base</v>
      </c>
      <c r="O2027" s="25" t="str">
        <f>IF($L2027&lt;&gt;"",VLOOKUP($L2027,Categories!$B$2:$D$41,3,FALSE),IF($F2027&lt;&gt;"","No Cat",""))</f>
        <v>Deferred Income Taxes</v>
      </c>
      <c r="P2027" s="736" t="s">
        <v>2482</v>
      </c>
      <c r="Q2027" s="25" t="str">
        <f>VLOOKUP($P2027,Allocators!$B$7:$F$19,5,FALSE)</f>
        <v>Electric</v>
      </c>
      <c r="R2027" s="737">
        <f>VLOOKUP($P2027,Allocators!$B$7:$F$19,2,FALSE)</f>
        <v>1</v>
      </c>
      <c r="S2027" s="737">
        <f>VLOOKUP($P2027,Allocators!$B$7:$F$19,3,FALSE)</f>
        <v>0</v>
      </c>
      <c r="T2027" s="737" t="str">
        <f t="shared" si="967"/>
        <v>0.0%</v>
      </c>
      <c r="U2027" s="2">
        <f t="shared" si="968"/>
        <v>-418.89511166666699</v>
      </c>
      <c r="V2027" s="2">
        <f t="shared" si="969"/>
        <v>0</v>
      </c>
      <c r="W2027" s="2">
        <f t="shared" si="970"/>
        <v>0</v>
      </c>
      <c r="X2027" s="2">
        <f t="shared" si="959"/>
        <v>-418.89511166666699</v>
      </c>
      <c r="Y2027" s="2">
        <f t="shared" si="971"/>
        <v>-372.90899999999999</v>
      </c>
      <c r="Z2027" s="2">
        <f t="shared" si="972"/>
        <v>0</v>
      </c>
      <c r="AA2027" s="2">
        <f t="shared" si="973"/>
        <v>0</v>
      </c>
      <c r="AB2027" s="2">
        <f t="shared" si="960"/>
        <v>-372.90899999999999</v>
      </c>
      <c r="AC2027" s="625">
        <v>-449.90899999999999</v>
      </c>
      <c r="AD2027" s="625">
        <v>-449.90899999999999</v>
      </c>
      <c r="AE2027" s="625">
        <v>-449.90899999999999</v>
      </c>
      <c r="AF2027" s="625">
        <v>-449.90899999999999</v>
      </c>
      <c r="AG2027" s="625">
        <v>-449.90899999999999</v>
      </c>
      <c r="AH2027" s="625">
        <v>-443.49234000000001</v>
      </c>
      <c r="AI2027" s="625">
        <v>-411.40899999999999</v>
      </c>
      <c r="AJ2027" s="625">
        <v>-404.99233000000004</v>
      </c>
      <c r="AK2027" s="625">
        <v>-398.57567</v>
      </c>
      <c r="AL2027" s="625">
        <v>-392.15899999999999</v>
      </c>
      <c r="AM2027" s="625">
        <v>-385.74233000000004</v>
      </c>
      <c r="AN2027" s="625">
        <v>-379.32567</v>
      </c>
      <c r="AO2027" s="625">
        <v>-372.90899999999999</v>
      </c>
      <c r="AP2027" s="41" t="str">
        <f t="shared" si="943"/>
        <v>Def TaxR</v>
      </c>
      <c r="AQ2027" s="41" t="str">
        <f t="shared" si="944"/>
        <v>Def TaxRR11Casualty Loss</v>
      </c>
      <c r="AR2027" s="41" t="str">
        <f t="shared" si="945"/>
        <v>R11Casualty Loss</v>
      </c>
    </row>
    <row r="2028" spans="1:44" s="41" customFormat="1" ht="12.75" customHeight="1">
      <c r="A2028" s="25" t="s">
        <v>1590</v>
      </c>
      <c r="B2028" s="25" t="str">
        <f t="shared" si="950"/>
        <v>Def Tax282240282-007BT010202</v>
      </c>
      <c r="C2028" s="736">
        <v>282240</v>
      </c>
      <c r="D2028" s="735" t="s">
        <v>2084</v>
      </c>
      <c r="E2028" s="41" t="s">
        <v>1786</v>
      </c>
      <c r="F2028" s="41" t="str">
        <f t="shared" si="933"/>
        <v>ACCUM DEF INC TAX-OTH PROP-STATE-ELECTRIC</v>
      </c>
      <c r="G2028" s="41" t="s">
        <v>2085</v>
      </c>
      <c r="H2028" s="736" t="s">
        <v>2086</v>
      </c>
      <c r="I2028" s="25"/>
      <c r="J2028" s="25" t="str">
        <f t="shared" si="934"/>
        <v/>
      </c>
      <c r="K2028" s="442" t="str">
        <f t="shared" si="924"/>
        <v/>
      </c>
      <c r="L2028" s="736" t="s">
        <v>2443</v>
      </c>
      <c r="M2028" s="25" t="str">
        <f t="shared" si="912"/>
        <v>R</v>
      </c>
      <c r="N2028" s="25" t="str">
        <f>IF(L2028&lt;&gt;"",VLOOKUP(L2028,Categories!$B$2:$D$41,2,FALSE),IF(F2028&lt;&gt;"","No Cat",""))</f>
        <v>Rate Base</v>
      </c>
      <c r="O2028" s="25" t="str">
        <f>IF($L2028&lt;&gt;"",VLOOKUP($L2028,Categories!$B$2:$D$41,3,FALSE),IF($F2028&lt;&gt;"","No Cat",""))</f>
        <v>Deferred Income Taxes</v>
      </c>
      <c r="P2028" s="736" t="s">
        <v>2482</v>
      </c>
      <c r="Q2028" s="25" t="str">
        <f>VLOOKUP($P2028,Allocators!$B$7:$F$19,5,FALSE)</f>
        <v>Electric</v>
      </c>
      <c r="R2028" s="737">
        <f>VLOOKUP($P2028,Allocators!$B$7:$F$19,2,FALSE)</f>
        <v>1</v>
      </c>
      <c r="S2028" s="737">
        <f>VLOOKUP($P2028,Allocators!$B$7:$F$19,3,FALSE)</f>
        <v>0</v>
      </c>
      <c r="T2028" s="737" t="str">
        <f t="shared" si="967"/>
        <v>0.0%</v>
      </c>
      <c r="U2028" s="2" t="str">
        <f t="shared" si="968"/>
        <v/>
      </c>
      <c r="V2028" s="2" t="str">
        <f t="shared" si="969"/>
        <v/>
      </c>
      <c r="W2028" s="2" t="str">
        <f t="shared" si="970"/>
        <v/>
      </c>
      <c r="X2028" s="2">
        <f t="shared" si="959"/>
        <v>0</v>
      </c>
      <c r="Y2028" s="2" t="str">
        <f t="shared" si="971"/>
        <v/>
      </c>
      <c r="Z2028" s="2" t="str">
        <f t="shared" si="972"/>
        <v/>
      </c>
      <c r="AA2028" s="2" t="str">
        <f t="shared" si="973"/>
        <v/>
      </c>
      <c r="AB2028" s="2">
        <f t="shared" si="960"/>
        <v>0</v>
      </c>
      <c r="AC2028" s="625">
        <v>0</v>
      </c>
      <c r="AD2028" s="625">
        <v>0</v>
      </c>
      <c r="AE2028" s="625">
        <v>0</v>
      </c>
      <c r="AF2028" s="625">
        <v>0</v>
      </c>
      <c r="AG2028" s="625">
        <v>0</v>
      </c>
      <c r="AH2028" s="625">
        <v>0</v>
      </c>
      <c r="AI2028" s="625">
        <v>0</v>
      </c>
      <c r="AJ2028" s="625">
        <v>0</v>
      </c>
      <c r="AK2028" s="625">
        <v>0</v>
      </c>
      <c r="AL2028" s="625">
        <v>0</v>
      </c>
      <c r="AM2028" s="625">
        <v>0</v>
      </c>
      <c r="AN2028" s="625">
        <v>0</v>
      </c>
      <c r="AO2028" s="625">
        <v>0</v>
      </c>
      <c r="AP2028" s="41" t="str">
        <f t="shared" si="943"/>
        <v>Def TaxR</v>
      </c>
      <c r="AQ2028" s="41" t="str">
        <f t="shared" si="944"/>
        <v>Def TaxRR11Excess Salvage</v>
      </c>
      <c r="AR2028" s="41" t="str">
        <f t="shared" si="945"/>
        <v>R11Excess Salvage</v>
      </c>
    </row>
    <row r="2029" spans="1:44" s="41" customFormat="1" ht="12.75" customHeight="1">
      <c r="A2029" s="25" t="s">
        <v>1590</v>
      </c>
      <c r="B2029" s="25" t="str">
        <f t="shared" si="950"/>
        <v>Def Tax282240282-012BT010092</v>
      </c>
      <c r="C2029" s="736">
        <v>282240</v>
      </c>
      <c r="D2029" s="735" t="s">
        <v>2109</v>
      </c>
      <c r="E2029" s="41" t="s">
        <v>2110</v>
      </c>
      <c r="F2029" s="41" t="str">
        <f t="shared" si="933"/>
        <v>ACCUM DEF INC TAX-OTH PROP-STATE-ELECTRIC</v>
      </c>
      <c r="G2029" s="41" t="s">
        <v>2111</v>
      </c>
      <c r="H2029" s="736" t="s">
        <v>2112</v>
      </c>
      <c r="I2029" s="25"/>
      <c r="J2029" s="25" t="str">
        <f t="shared" si="934"/>
        <v/>
      </c>
      <c r="K2029" s="442" t="str">
        <f t="shared" si="924"/>
        <v/>
      </c>
      <c r="L2029" s="736" t="s">
        <v>2443</v>
      </c>
      <c r="M2029" s="25" t="str">
        <f t="shared" si="912"/>
        <v>R</v>
      </c>
      <c r="N2029" s="25" t="str">
        <f>IF(L2029&lt;&gt;"",VLOOKUP(L2029,Categories!$B$2:$D$41,2,FALSE),IF(F2029&lt;&gt;"","No Cat",""))</f>
        <v>Rate Base</v>
      </c>
      <c r="O2029" s="25" t="str">
        <f>IF($L2029&lt;&gt;"",VLOOKUP($L2029,Categories!$B$2:$D$41,3,FALSE),IF($F2029&lt;&gt;"","No Cat",""))</f>
        <v>Deferred Income Taxes</v>
      </c>
      <c r="P2029" s="736" t="s">
        <v>2482</v>
      </c>
      <c r="Q2029" s="25" t="str">
        <f>VLOOKUP($P2029,Allocators!$B$7:$F$19,5,FALSE)</f>
        <v>Electric</v>
      </c>
      <c r="R2029" s="737">
        <f>VLOOKUP($P2029,Allocators!$B$7:$F$19,2,FALSE)</f>
        <v>1</v>
      </c>
      <c r="S2029" s="737">
        <f>VLOOKUP($P2029,Allocators!$B$7:$F$19,3,FALSE)</f>
        <v>0</v>
      </c>
      <c r="T2029" s="737" t="str">
        <f t="shared" si="967"/>
        <v>0.0%</v>
      </c>
      <c r="U2029" s="2">
        <f t="shared" si="968"/>
        <v>74.787999999999997</v>
      </c>
      <c r="V2029" s="2">
        <f t="shared" si="969"/>
        <v>0</v>
      </c>
      <c r="W2029" s="2">
        <f t="shared" si="970"/>
        <v>0</v>
      </c>
      <c r="X2029" s="2">
        <f t="shared" si="959"/>
        <v>74.787999999999997</v>
      </c>
      <c r="Y2029" s="2">
        <f t="shared" si="971"/>
        <v>74.787999999999997</v>
      </c>
      <c r="Z2029" s="2">
        <f t="shared" si="972"/>
        <v>0</v>
      </c>
      <c r="AA2029" s="2">
        <f t="shared" si="973"/>
        <v>0</v>
      </c>
      <c r="AB2029" s="2">
        <f t="shared" si="960"/>
        <v>74.787999999999997</v>
      </c>
      <c r="AC2029" s="625">
        <v>74.787999999999997</v>
      </c>
      <c r="AD2029" s="625">
        <v>74.787999999999997</v>
      </c>
      <c r="AE2029" s="625">
        <v>74.787999999999997</v>
      </c>
      <c r="AF2029" s="625">
        <v>74.787999999999997</v>
      </c>
      <c r="AG2029" s="625">
        <v>74.787999999999997</v>
      </c>
      <c r="AH2029" s="625">
        <v>74.787999999999997</v>
      </c>
      <c r="AI2029" s="625">
        <v>74.787999999999997</v>
      </c>
      <c r="AJ2029" s="625">
        <v>74.787999999999997</v>
      </c>
      <c r="AK2029" s="625">
        <v>74.787999999999997</v>
      </c>
      <c r="AL2029" s="625">
        <v>74.787999999999997</v>
      </c>
      <c r="AM2029" s="625">
        <v>74.787999999999997</v>
      </c>
      <c r="AN2029" s="625">
        <v>74.787999999999997</v>
      </c>
      <c r="AO2029" s="625">
        <v>74.787999999999997</v>
      </c>
      <c r="AP2029" s="41" t="str">
        <f t="shared" si="943"/>
        <v>Def TaxR</v>
      </c>
      <c r="AQ2029" s="41" t="str">
        <f t="shared" si="944"/>
        <v>Def TaxRR11Fossil Inventory</v>
      </c>
      <c r="AR2029" s="41" t="str">
        <f t="shared" si="945"/>
        <v>R11Fossil Inventory</v>
      </c>
    </row>
    <row r="2030" spans="1:44" s="41" customFormat="1" ht="12.75" customHeight="1">
      <c r="A2030" s="25" t="s">
        <v>1590</v>
      </c>
      <c r="B2030" s="25" t="str">
        <f t="shared" si="950"/>
        <v>Def Tax282240282-008-BOOKBT010097</v>
      </c>
      <c r="C2030" s="736">
        <v>282240</v>
      </c>
      <c r="D2030" s="735" t="s">
        <v>2093</v>
      </c>
      <c r="E2030" s="41" t="s">
        <v>2094</v>
      </c>
      <c r="F2030" s="41" t="str">
        <f t="shared" si="933"/>
        <v>ACCUM DEF INC TAX-OTH PROP-STATE-ELECTRIC</v>
      </c>
      <c r="G2030" s="41" t="s">
        <v>2095</v>
      </c>
      <c r="H2030" s="736" t="s">
        <v>2092</v>
      </c>
      <c r="I2030" s="25"/>
      <c r="J2030" s="25" t="str">
        <f t="shared" si="934"/>
        <v/>
      </c>
      <c r="K2030" s="442" t="str">
        <f t="shared" si="924"/>
        <v/>
      </c>
      <c r="L2030" s="736" t="s">
        <v>2443</v>
      </c>
      <c r="M2030" s="25" t="str">
        <f t="shared" si="912"/>
        <v>R</v>
      </c>
      <c r="N2030" s="25" t="str">
        <f>IF(L2030&lt;&gt;"",VLOOKUP(L2030,Categories!$B$2:$D$41,2,FALSE),IF(F2030&lt;&gt;"","No Cat",""))</f>
        <v>Rate Base</v>
      </c>
      <c r="O2030" s="25" t="str">
        <f>IF($L2030&lt;&gt;"",VLOOKUP($L2030,Categories!$B$2:$D$41,3,FALSE),IF($F2030&lt;&gt;"","No Cat",""))</f>
        <v>Deferred Income Taxes</v>
      </c>
      <c r="P2030" s="736" t="s">
        <v>2482</v>
      </c>
      <c r="Q2030" s="25" t="str">
        <f>VLOOKUP($P2030,Allocators!$B$7:$F$19,5,FALSE)</f>
        <v>Electric</v>
      </c>
      <c r="R2030" s="737">
        <f>VLOOKUP($P2030,Allocators!$B$7:$F$19,2,FALSE)</f>
        <v>1</v>
      </c>
      <c r="S2030" s="737">
        <f>VLOOKUP($P2030,Allocators!$B$7:$F$19,3,FALSE)</f>
        <v>0</v>
      </c>
      <c r="T2030" s="737" t="str">
        <f t="shared" si="967"/>
        <v>0.0%</v>
      </c>
      <c r="U2030" s="2">
        <f t="shared" si="968"/>
        <v>-10.105469583333299</v>
      </c>
      <c r="V2030" s="2">
        <f t="shared" si="969"/>
        <v>0</v>
      </c>
      <c r="W2030" s="2">
        <f t="shared" si="970"/>
        <v>0</v>
      </c>
      <c r="X2030" s="2">
        <f t="shared" si="959"/>
        <v>-10.105469583333299</v>
      </c>
      <c r="Y2030" s="2">
        <f t="shared" si="971"/>
        <v>-35.357219999999998</v>
      </c>
      <c r="Z2030" s="2">
        <f t="shared" si="972"/>
        <v>0</v>
      </c>
      <c r="AA2030" s="2">
        <f t="shared" si="973"/>
        <v>0</v>
      </c>
      <c r="AB2030" s="2">
        <f t="shared" si="960"/>
        <v>-35.357219999999998</v>
      </c>
      <c r="AC2030" s="625">
        <v>0.29231000000000001</v>
      </c>
      <c r="AD2030" s="625">
        <v>0.29231000000000001</v>
      </c>
      <c r="AE2030" s="625">
        <v>0.29231000000000001</v>
      </c>
      <c r="AF2030" s="625">
        <v>0.29231000000000001</v>
      </c>
      <c r="AG2030" s="625">
        <v>0.29231000000000001</v>
      </c>
      <c r="AH2030" s="625">
        <v>0.29231000000000001</v>
      </c>
      <c r="AI2030" s="625">
        <v>0.29231000000000001</v>
      </c>
      <c r="AJ2030" s="625">
        <v>0.29231000000000001</v>
      </c>
      <c r="AK2030" s="625">
        <v>0.29231000000000001</v>
      </c>
      <c r="AL2030" s="625">
        <v>-35.357219999999998</v>
      </c>
      <c r="AM2030" s="625">
        <v>-35.357219999999998</v>
      </c>
      <c r="AN2030" s="625">
        <v>-35.357219999999998</v>
      </c>
      <c r="AO2030" s="625">
        <v>-35.357219999999998</v>
      </c>
      <c r="AP2030" s="41" t="str">
        <f t="shared" si="943"/>
        <v>Def TaxR</v>
      </c>
      <c r="AQ2030" s="41" t="str">
        <f t="shared" si="944"/>
        <v>Def TaxRR11Tax Gain / Loss on Retirement</v>
      </c>
      <c r="AR2030" s="41" t="str">
        <f t="shared" si="945"/>
        <v>R11Tax Gain / Loss on Retirement</v>
      </c>
    </row>
    <row r="2031" spans="1:44" s="41" customFormat="1" ht="12.75" customHeight="1">
      <c r="A2031" s="25" t="s">
        <v>1590</v>
      </c>
      <c r="B2031" s="25" t="str">
        <f t="shared" si="950"/>
        <v>Def Tax282240282-011</v>
      </c>
      <c r="C2031" s="736">
        <v>282240</v>
      </c>
      <c r="D2031" s="735" t="s">
        <v>2106</v>
      </c>
      <c r="F2031" s="41" t="str">
        <f t="shared" si="933"/>
        <v>ACCUM DEF INC TAX-OTH PROP-STATE-ELECTRIC</v>
      </c>
      <c r="G2031" s="41" t="s">
        <v>2107</v>
      </c>
      <c r="H2031" s="736" t="s">
        <v>2108</v>
      </c>
      <c r="I2031" s="25"/>
      <c r="J2031" s="25" t="str">
        <f t="shared" si="934"/>
        <v/>
      </c>
      <c r="K2031" s="442" t="str">
        <f t="shared" si="924"/>
        <v/>
      </c>
      <c r="L2031" s="736" t="s">
        <v>2443</v>
      </c>
      <c r="M2031" s="25" t="str">
        <f t="shared" si="912"/>
        <v>R</v>
      </c>
      <c r="N2031" s="25" t="str">
        <f>IF(L2031&lt;&gt;"",VLOOKUP(L2031,Categories!$B$2:$D$41,2,FALSE),IF(F2031&lt;&gt;"","No Cat",""))</f>
        <v>Rate Base</v>
      </c>
      <c r="O2031" s="25" t="str">
        <f>IF($L2031&lt;&gt;"",VLOOKUP($L2031,Categories!$B$2:$D$41,3,FALSE),IF($F2031&lt;&gt;"","No Cat",""))</f>
        <v>Deferred Income Taxes</v>
      </c>
      <c r="P2031" s="736" t="s">
        <v>2482</v>
      </c>
      <c r="Q2031" s="25" t="str">
        <f>VLOOKUP($P2031,Allocators!$B$7:$F$19,5,FALSE)</f>
        <v>Electric</v>
      </c>
      <c r="R2031" s="737">
        <f>VLOOKUP($P2031,Allocators!$B$7:$F$19,2,FALSE)</f>
        <v>1</v>
      </c>
      <c r="S2031" s="737">
        <f>VLOOKUP($P2031,Allocators!$B$7:$F$19,3,FALSE)</f>
        <v>0</v>
      </c>
      <c r="T2031" s="737" t="str">
        <f t="shared" si="967"/>
        <v>0.0%</v>
      </c>
      <c r="U2031" s="2" t="str">
        <f t="shared" si="968"/>
        <v/>
      </c>
      <c r="V2031" s="2" t="str">
        <f t="shared" si="969"/>
        <v/>
      </c>
      <c r="W2031" s="2" t="str">
        <f t="shared" si="970"/>
        <v/>
      </c>
      <c r="X2031" s="2">
        <f t="shared" si="959"/>
        <v>0</v>
      </c>
      <c r="Y2031" s="2" t="str">
        <f t="shared" si="971"/>
        <v/>
      </c>
      <c r="Z2031" s="2" t="str">
        <f t="shared" si="972"/>
        <v/>
      </c>
      <c r="AA2031" s="2" t="str">
        <f t="shared" si="973"/>
        <v/>
      </c>
      <c r="AB2031" s="2">
        <f t="shared" si="960"/>
        <v>0</v>
      </c>
      <c r="AC2031" s="625">
        <v>0</v>
      </c>
      <c r="AD2031" s="625">
        <v>0</v>
      </c>
      <c r="AE2031" s="625">
        <v>0</v>
      </c>
      <c r="AF2031" s="625">
        <v>0</v>
      </c>
      <c r="AG2031" s="625">
        <v>0</v>
      </c>
      <c r="AH2031" s="625">
        <v>0</v>
      </c>
      <c r="AI2031" s="625">
        <v>0</v>
      </c>
      <c r="AJ2031" s="625">
        <v>0</v>
      </c>
      <c r="AK2031" s="625">
        <v>0</v>
      </c>
      <c r="AL2031" s="625">
        <v>0</v>
      </c>
      <c r="AM2031" s="625">
        <v>0</v>
      </c>
      <c r="AN2031" s="625">
        <v>0</v>
      </c>
      <c r="AO2031" s="625">
        <v>0</v>
      </c>
      <c r="AP2031" s="41" t="str">
        <f t="shared" si="943"/>
        <v>Def TaxR</v>
      </c>
      <c r="AQ2031" s="41" t="str">
        <f t="shared" si="944"/>
        <v>Def TaxRR11Ginna Inventory</v>
      </c>
      <c r="AR2031" s="41" t="str">
        <f t="shared" si="945"/>
        <v>R11Ginna Inventory</v>
      </c>
    </row>
    <row r="2032" spans="1:44" s="41" customFormat="1" ht="12.75" customHeight="1">
      <c r="A2032" s="25" t="s">
        <v>1590</v>
      </c>
      <c r="B2032" s="25" t="str">
        <f t="shared" si="950"/>
        <v>Def Tax282240282-006BT010029</v>
      </c>
      <c r="C2032" s="736">
        <v>282240</v>
      </c>
      <c r="D2032" s="735" t="s">
        <v>2080</v>
      </c>
      <c r="E2032" s="41" t="s">
        <v>2081</v>
      </c>
      <c r="F2032" s="41" t="str">
        <f t="shared" si="933"/>
        <v>ACCUM DEF INC TAX-OTH PROP-STATE-ELECTRIC</v>
      </c>
      <c r="G2032" s="41" t="s">
        <v>2082</v>
      </c>
      <c r="H2032" s="736" t="s">
        <v>2083</v>
      </c>
      <c r="I2032" s="25"/>
      <c r="J2032" s="25" t="str">
        <f t="shared" si="934"/>
        <v/>
      </c>
      <c r="K2032" s="442" t="str">
        <f t="shared" si="924"/>
        <v/>
      </c>
      <c r="L2032" s="736" t="s">
        <v>2443</v>
      </c>
      <c r="M2032" s="25" t="str">
        <f t="shared" si="912"/>
        <v>R</v>
      </c>
      <c r="N2032" s="25" t="str">
        <f>IF(L2032&lt;&gt;"",VLOOKUP(L2032,Categories!$B$2:$D$41,2,FALSE),IF(F2032&lt;&gt;"","No Cat",""))</f>
        <v>Rate Base</v>
      </c>
      <c r="O2032" s="25" t="str">
        <f>IF($L2032&lt;&gt;"",VLOOKUP($L2032,Categories!$B$2:$D$41,3,FALSE),IF($F2032&lt;&gt;"","No Cat",""))</f>
        <v>Deferred Income Taxes</v>
      </c>
      <c r="P2032" s="736" t="s">
        <v>2482</v>
      </c>
      <c r="Q2032" s="25" t="str">
        <f>VLOOKUP($P2032,Allocators!$B$7:$F$19,5,FALSE)</f>
        <v>Electric</v>
      </c>
      <c r="R2032" s="737">
        <f>VLOOKUP($P2032,Allocators!$B$7:$F$19,2,FALSE)</f>
        <v>1</v>
      </c>
      <c r="S2032" s="737">
        <f>VLOOKUP($P2032,Allocators!$B$7:$F$19,3,FALSE)</f>
        <v>0</v>
      </c>
      <c r="T2032" s="737" t="str">
        <f t="shared" si="967"/>
        <v>0.0%</v>
      </c>
      <c r="U2032" s="2">
        <f t="shared" si="968"/>
        <v>1624.3795858333301</v>
      </c>
      <c r="V2032" s="2">
        <f t="shared" si="969"/>
        <v>0</v>
      </c>
      <c r="W2032" s="2">
        <f t="shared" si="970"/>
        <v>0</v>
      </c>
      <c r="X2032" s="2">
        <f t="shared" si="959"/>
        <v>1624.3795858333301</v>
      </c>
      <c r="Y2032" s="2">
        <f t="shared" si="971"/>
        <v>1856.33349</v>
      </c>
      <c r="Z2032" s="2">
        <f t="shared" si="972"/>
        <v>0</v>
      </c>
      <c r="AA2032" s="2">
        <f t="shared" si="973"/>
        <v>0</v>
      </c>
      <c r="AB2032" s="2">
        <f t="shared" si="960"/>
        <v>1856.33349</v>
      </c>
      <c r="AC2032" s="625">
        <v>1435.0841699999999</v>
      </c>
      <c r="AD2032" s="625">
        <v>1472.35653</v>
      </c>
      <c r="AE2032" s="625">
        <v>1506.3014800000001</v>
      </c>
      <c r="AF2032" s="625">
        <v>1534.35754</v>
      </c>
      <c r="AG2032" s="625">
        <v>1560.4234899999999</v>
      </c>
      <c r="AH2032" s="625">
        <v>1584.02289</v>
      </c>
      <c r="AI2032" s="625">
        <v>1608.3428899999999</v>
      </c>
      <c r="AJ2032" s="625">
        <v>1640.4467299999999</v>
      </c>
      <c r="AK2032" s="625">
        <v>1671.98848</v>
      </c>
      <c r="AL2032" s="625">
        <v>1710.10267</v>
      </c>
      <c r="AM2032" s="625">
        <v>1755.8389</v>
      </c>
      <c r="AN2032" s="625">
        <v>1802.6646000000001</v>
      </c>
      <c r="AO2032" s="625">
        <v>1856.33349</v>
      </c>
      <c r="AP2032" s="41" t="str">
        <f t="shared" si="943"/>
        <v>Def TaxR</v>
      </c>
      <c r="AQ2032" s="41" t="str">
        <f t="shared" si="944"/>
        <v>Def TaxRR11Capitalized Interest</v>
      </c>
      <c r="AR2032" s="41" t="str">
        <f t="shared" si="945"/>
        <v>R11Capitalized Interest</v>
      </c>
    </row>
    <row r="2033" spans="1:44" s="41" customFormat="1" ht="12.75" customHeight="1">
      <c r="A2033" s="25" t="s">
        <v>1590</v>
      </c>
      <c r="B2033" s="25" t="str">
        <f t="shared" si="950"/>
        <v>Def Tax282240282-013</v>
      </c>
      <c r="C2033" s="736">
        <v>282240</v>
      </c>
      <c r="D2033" s="735" t="s">
        <v>2113</v>
      </c>
      <c r="F2033" s="41" t="str">
        <f t="shared" si="933"/>
        <v>ACCUM DEF INC TAX-OTH PROP-STATE-ELECTRIC</v>
      </c>
      <c r="G2033" s="41" t="s">
        <v>2114</v>
      </c>
      <c r="H2033" s="736" t="s">
        <v>2115</v>
      </c>
      <c r="I2033" s="25"/>
      <c r="J2033" s="25" t="str">
        <f t="shared" si="934"/>
        <v/>
      </c>
      <c r="K2033" s="442" t="str">
        <f t="shared" ref="K2033:K2097" si="994">IF(L2033="N3","Y","")</f>
        <v/>
      </c>
      <c r="L2033" s="736" t="s">
        <v>2443</v>
      </c>
      <c r="M2033" s="25" t="str">
        <f t="shared" si="912"/>
        <v>R</v>
      </c>
      <c r="N2033" s="25" t="str">
        <f>IF(L2033&lt;&gt;"",VLOOKUP(L2033,Categories!$B$2:$D$41,2,FALSE),IF(F2033&lt;&gt;"","No Cat",""))</f>
        <v>Rate Base</v>
      </c>
      <c r="O2033" s="25" t="str">
        <f>IF($L2033&lt;&gt;"",VLOOKUP($L2033,Categories!$B$2:$D$41,3,FALSE),IF($F2033&lt;&gt;"","No Cat",""))</f>
        <v>Deferred Income Taxes</v>
      </c>
      <c r="P2033" s="736" t="s">
        <v>2482</v>
      </c>
      <c r="Q2033" s="25" t="str">
        <f>VLOOKUP($P2033,Allocators!$B$7:$F$19,5,FALSE)</f>
        <v>Electric</v>
      </c>
      <c r="R2033" s="737">
        <f>VLOOKUP($P2033,Allocators!$B$7:$F$19,2,FALSE)</f>
        <v>1</v>
      </c>
      <c r="S2033" s="737">
        <f>VLOOKUP($P2033,Allocators!$B$7:$F$19,3,FALSE)</f>
        <v>0</v>
      </c>
      <c r="T2033" s="737" t="str">
        <f t="shared" si="967"/>
        <v>0.0%</v>
      </c>
      <c r="U2033" s="2" t="str">
        <f t="shared" si="968"/>
        <v/>
      </c>
      <c r="V2033" s="2" t="str">
        <f t="shared" si="969"/>
        <v/>
      </c>
      <c r="W2033" s="2" t="str">
        <f t="shared" si="970"/>
        <v/>
      </c>
      <c r="X2033" s="2">
        <f t="shared" si="959"/>
        <v>0</v>
      </c>
      <c r="Y2033" s="2" t="str">
        <f t="shared" si="971"/>
        <v/>
      </c>
      <c r="Z2033" s="2" t="str">
        <f t="shared" si="972"/>
        <v/>
      </c>
      <c r="AA2033" s="2" t="str">
        <f t="shared" si="973"/>
        <v/>
      </c>
      <c r="AB2033" s="2">
        <f t="shared" si="960"/>
        <v>0</v>
      </c>
      <c r="AC2033" s="625">
        <v>0</v>
      </c>
      <c r="AD2033" s="625">
        <v>0</v>
      </c>
      <c r="AE2033" s="625">
        <v>0</v>
      </c>
      <c r="AF2033" s="625">
        <v>0</v>
      </c>
      <c r="AG2033" s="625">
        <v>0</v>
      </c>
      <c r="AH2033" s="625">
        <v>0</v>
      </c>
      <c r="AI2033" s="625">
        <v>0</v>
      </c>
      <c r="AJ2033" s="625">
        <v>0</v>
      </c>
      <c r="AK2033" s="625">
        <v>0</v>
      </c>
      <c r="AL2033" s="625">
        <v>0</v>
      </c>
      <c r="AM2033" s="625">
        <v>0</v>
      </c>
      <c r="AN2033" s="625">
        <v>0</v>
      </c>
      <c r="AO2033" s="625">
        <v>0</v>
      </c>
      <c r="AP2033" s="41" t="str">
        <f t="shared" si="943"/>
        <v>Def TaxR</v>
      </c>
      <c r="AQ2033" s="41" t="str">
        <f t="shared" si="944"/>
        <v>Def TaxRR11Internal Software - IBO</v>
      </c>
      <c r="AR2033" s="41" t="str">
        <f t="shared" si="945"/>
        <v>R11Internal Software - IBO</v>
      </c>
    </row>
    <row r="2034" spans="1:44" s="41" customFormat="1" ht="12.75" customHeight="1">
      <c r="A2034" s="25" t="s">
        <v>1590</v>
      </c>
      <c r="B2034" s="25" t="str">
        <f t="shared" si="950"/>
        <v>Def Tax282240282-015</v>
      </c>
      <c r="C2034" s="736">
        <v>282240</v>
      </c>
      <c r="D2034" s="735" t="s">
        <v>2119</v>
      </c>
      <c r="F2034" s="41" t="str">
        <f t="shared" si="933"/>
        <v>ACCUM DEF INC TAX-OTH PROP-STATE-ELECTRIC</v>
      </c>
      <c r="G2034" s="41" t="s">
        <v>2120</v>
      </c>
      <c r="H2034" s="736" t="s">
        <v>2121</v>
      </c>
      <c r="I2034" s="25"/>
      <c r="J2034" s="25" t="str">
        <f t="shared" si="934"/>
        <v/>
      </c>
      <c r="K2034" s="442" t="str">
        <f t="shared" si="994"/>
        <v/>
      </c>
      <c r="L2034" s="736" t="s">
        <v>2443</v>
      </c>
      <c r="M2034" s="25" t="str">
        <f t="shared" si="912"/>
        <v>R</v>
      </c>
      <c r="N2034" s="25" t="str">
        <f>IF(L2034&lt;&gt;"",VLOOKUP(L2034,Categories!$B$2:$D$41,2,FALSE),IF(F2034&lt;&gt;"","No Cat",""))</f>
        <v>Rate Base</v>
      </c>
      <c r="O2034" s="25" t="str">
        <f>IF($L2034&lt;&gt;"",VLOOKUP($L2034,Categories!$B$2:$D$41,3,FALSE),IF($F2034&lt;&gt;"","No Cat",""))</f>
        <v>Deferred Income Taxes</v>
      </c>
      <c r="P2034" s="736" t="s">
        <v>2482</v>
      </c>
      <c r="Q2034" s="25" t="str">
        <f>VLOOKUP($P2034,Allocators!$B$7:$F$19,5,FALSE)</f>
        <v>Electric</v>
      </c>
      <c r="R2034" s="737">
        <f>VLOOKUP($P2034,Allocators!$B$7:$F$19,2,FALSE)</f>
        <v>1</v>
      </c>
      <c r="S2034" s="737">
        <f>VLOOKUP($P2034,Allocators!$B$7:$F$19,3,FALSE)</f>
        <v>0</v>
      </c>
      <c r="T2034" s="737" t="str">
        <f t="shared" si="967"/>
        <v>0.0%</v>
      </c>
      <c r="U2034" s="2" t="str">
        <f t="shared" si="968"/>
        <v/>
      </c>
      <c r="V2034" s="2" t="str">
        <f t="shared" si="969"/>
        <v/>
      </c>
      <c r="W2034" s="2" t="str">
        <f t="shared" si="970"/>
        <v/>
      </c>
      <c r="X2034" s="2">
        <f t="shared" si="959"/>
        <v>0</v>
      </c>
      <c r="Y2034" s="2" t="str">
        <f t="shared" si="971"/>
        <v/>
      </c>
      <c r="Z2034" s="2" t="str">
        <f t="shared" si="972"/>
        <v/>
      </c>
      <c r="AA2034" s="2" t="str">
        <f t="shared" si="973"/>
        <v/>
      </c>
      <c r="AB2034" s="2">
        <f t="shared" si="960"/>
        <v>0</v>
      </c>
      <c r="AC2034" s="625">
        <v>0</v>
      </c>
      <c r="AD2034" s="625">
        <v>0</v>
      </c>
      <c r="AE2034" s="625">
        <v>0</v>
      </c>
      <c r="AF2034" s="625">
        <v>0</v>
      </c>
      <c r="AG2034" s="625">
        <v>0</v>
      </c>
      <c r="AH2034" s="625">
        <v>0</v>
      </c>
      <c r="AI2034" s="625">
        <v>0</v>
      </c>
      <c r="AJ2034" s="625">
        <v>0</v>
      </c>
      <c r="AK2034" s="625">
        <v>0</v>
      </c>
      <c r="AL2034" s="625">
        <v>0</v>
      </c>
      <c r="AM2034" s="625">
        <v>0</v>
      </c>
      <c r="AN2034" s="625">
        <v>0</v>
      </c>
      <c r="AO2034" s="625">
        <v>0</v>
      </c>
      <c r="AP2034" s="41" t="str">
        <f t="shared" si="943"/>
        <v>Def TaxR</v>
      </c>
      <c r="AQ2034" s="41" t="str">
        <f t="shared" si="944"/>
        <v>Def TaxRR11Internal Software - NIRP</v>
      </c>
      <c r="AR2034" s="41" t="str">
        <f t="shared" si="945"/>
        <v>R11Internal Software - NIRP</v>
      </c>
    </row>
    <row r="2035" spans="1:44" s="41" customFormat="1" ht="12.75" customHeight="1">
      <c r="A2035" s="25" t="s">
        <v>1590</v>
      </c>
      <c r="B2035" s="25" t="str">
        <f t="shared" si="950"/>
        <v>Def Tax282240282-014</v>
      </c>
      <c r="C2035" s="736">
        <v>282240</v>
      </c>
      <c r="D2035" s="735" t="s">
        <v>2116</v>
      </c>
      <c r="F2035" s="41" t="str">
        <f t="shared" si="933"/>
        <v>ACCUM DEF INC TAX-OTH PROP-STATE-ELECTRIC</v>
      </c>
      <c r="G2035" s="41" t="s">
        <v>2117</v>
      </c>
      <c r="H2035" s="736" t="s">
        <v>2118</v>
      </c>
      <c r="I2035" s="25"/>
      <c r="J2035" s="25" t="str">
        <f t="shared" si="934"/>
        <v/>
      </c>
      <c r="K2035" s="442" t="str">
        <f t="shared" si="994"/>
        <v/>
      </c>
      <c r="L2035" s="736" t="s">
        <v>2443</v>
      </c>
      <c r="M2035" s="25" t="str">
        <f t="shared" si="912"/>
        <v>R</v>
      </c>
      <c r="N2035" s="25" t="str">
        <f>IF(L2035&lt;&gt;"",VLOOKUP(L2035,Categories!$B$2:$D$41,2,FALSE),IF(F2035&lt;&gt;"","No Cat",""))</f>
        <v>Rate Base</v>
      </c>
      <c r="O2035" s="25" t="str">
        <f>IF($L2035&lt;&gt;"",VLOOKUP($L2035,Categories!$B$2:$D$41,3,FALSE),IF($F2035&lt;&gt;"","No Cat",""))</f>
        <v>Deferred Income Taxes</v>
      </c>
      <c r="P2035" s="736" t="s">
        <v>2482</v>
      </c>
      <c r="Q2035" s="25" t="str">
        <f>VLOOKUP($P2035,Allocators!$B$7:$F$19,5,FALSE)</f>
        <v>Electric</v>
      </c>
      <c r="R2035" s="737">
        <f>VLOOKUP($P2035,Allocators!$B$7:$F$19,2,FALSE)</f>
        <v>1</v>
      </c>
      <c r="S2035" s="737">
        <f>VLOOKUP($P2035,Allocators!$B$7:$F$19,3,FALSE)</f>
        <v>0</v>
      </c>
      <c r="T2035" s="737" t="str">
        <f t="shared" si="967"/>
        <v>0.0%</v>
      </c>
      <c r="U2035" s="2" t="str">
        <f t="shared" si="968"/>
        <v/>
      </c>
      <c r="V2035" s="2" t="str">
        <f t="shared" si="969"/>
        <v/>
      </c>
      <c r="W2035" s="2" t="str">
        <f t="shared" si="970"/>
        <v/>
      </c>
      <c r="X2035" s="2">
        <f t="shared" si="959"/>
        <v>0</v>
      </c>
      <c r="Y2035" s="2" t="str">
        <f t="shared" si="971"/>
        <v/>
      </c>
      <c r="Z2035" s="2" t="str">
        <f t="shared" si="972"/>
        <v/>
      </c>
      <c r="AA2035" s="2" t="str">
        <f t="shared" si="973"/>
        <v/>
      </c>
      <c r="AB2035" s="2">
        <f t="shared" si="960"/>
        <v>0</v>
      </c>
      <c r="AC2035" s="625">
        <v>0</v>
      </c>
      <c r="AD2035" s="625">
        <v>0</v>
      </c>
      <c r="AE2035" s="625">
        <v>0</v>
      </c>
      <c r="AF2035" s="625">
        <v>0</v>
      </c>
      <c r="AG2035" s="625">
        <v>0</v>
      </c>
      <c r="AH2035" s="625">
        <v>0</v>
      </c>
      <c r="AI2035" s="625">
        <v>0</v>
      </c>
      <c r="AJ2035" s="625">
        <v>0</v>
      </c>
      <c r="AK2035" s="625">
        <v>0</v>
      </c>
      <c r="AL2035" s="625">
        <v>0</v>
      </c>
      <c r="AM2035" s="625">
        <v>0</v>
      </c>
      <c r="AN2035" s="625">
        <v>0</v>
      </c>
      <c r="AO2035" s="625">
        <v>0</v>
      </c>
      <c r="AP2035" s="41" t="str">
        <f t="shared" si="943"/>
        <v>Def TaxR</v>
      </c>
      <c r="AQ2035" s="41" t="str">
        <f t="shared" si="944"/>
        <v>Def TaxRR11Internal Software - WMS</v>
      </c>
      <c r="AR2035" s="41" t="str">
        <f t="shared" si="945"/>
        <v>R11Internal Software - WMS</v>
      </c>
    </row>
    <row r="2036" spans="1:44" s="41" customFormat="1" ht="12.75" customHeight="1">
      <c r="A2036" s="25" t="s">
        <v>1590</v>
      </c>
      <c r="B2036" s="25" t="str">
        <f t="shared" si="950"/>
        <v>Def Tax282240282-008BT010098</v>
      </c>
      <c r="C2036" s="736">
        <v>282240</v>
      </c>
      <c r="D2036" s="735" t="s">
        <v>2089</v>
      </c>
      <c r="E2036" s="41" t="s">
        <v>2090</v>
      </c>
      <c r="F2036" s="41" t="str">
        <f t="shared" si="933"/>
        <v>ACCUM DEF INC TAX-OTH PROP-STATE-ELECTRIC</v>
      </c>
      <c r="G2036" s="41" t="s">
        <v>2091</v>
      </c>
      <c r="H2036" s="736" t="s">
        <v>2092</v>
      </c>
      <c r="I2036" s="25"/>
      <c r="J2036" s="25" t="str">
        <f t="shared" si="934"/>
        <v/>
      </c>
      <c r="K2036" s="442" t="str">
        <f t="shared" si="994"/>
        <v/>
      </c>
      <c r="L2036" s="736" t="s">
        <v>2443</v>
      </c>
      <c r="M2036" s="25" t="str">
        <f t="shared" si="912"/>
        <v>R</v>
      </c>
      <c r="N2036" s="25" t="str">
        <f>IF(L2036&lt;&gt;"",VLOOKUP(L2036,Categories!$B$2:$D$41,2,FALSE),IF(F2036&lt;&gt;"","No Cat",""))</f>
        <v>Rate Base</v>
      </c>
      <c r="O2036" s="25" t="str">
        <f>IF($L2036&lt;&gt;"",VLOOKUP($L2036,Categories!$B$2:$D$41,3,FALSE),IF($F2036&lt;&gt;"","No Cat",""))</f>
        <v>Deferred Income Taxes</v>
      </c>
      <c r="P2036" s="736" t="s">
        <v>2482</v>
      </c>
      <c r="Q2036" s="25" t="str">
        <f>VLOOKUP($P2036,Allocators!$B$7:$F$19,5,FALSE)</f>
        <v>Electric</v>
      </c>
      <c r="R2036" s="737">
        <f>VLOOKUP($P2036,Allocators!$B$7:$F$19,2,FALSE)</f>
        <v>1</v>
      </c>
      <c r="S2036" s="737">
        <f>VLOOKUP($P2036,Allocators!$B$7:$F$19,3,FALSE)</f>
        <v>0</v>
      </c>
      <c r="T2036" s="737" t="str">
        <f t="shared" si="967"/>
        <v>0.0%</v>
      </c>
      <c r="U2036" s="2" t="str">
        <f t="shared" si="968"/>
        <v/>
      </c>
      <c r="V2036" s="2" t="str">
        <f t="shared" si="969"/>
        <v/>
      </c>
      <c r="W2036" s="2" t="str">
        <f t="shared" si="970"/>
        <v/>
      </c>
      <c r="X2036" s="2">
        <f t="shared" si="959"/>
        <v>0</v>
      </c>
      <c r="Y2036" s="2" t="str">
        <f t="shared" si="971"/>
        <v/>
      </c>
      <c r="Z2036" s="2" t="str">
        <f t="shared" si="972"/>
        <v/>
      </c>
      <c r="AA2036" s="2" t="str">
        <f t="shared" si="973"/>
        <v/>
      </c>
      <c r="AB2036" s="2">
        <f t="shared" si="960"/>
        <v>0</v>
      </c>
      <c r="AC2036" s="625">
        <v>0</v>
      </c>
      <c r="AD2036" s="625">
        <v>0</v>
      </c>
      <c r="AE2036" s="625">
        <v>0</v>
      </c>
      <c r="AF2036" s="625">
        <v>0</v>
      </c>
      <c r="AG2036" s="625">
        <v>0</v>
      </c>
      <c r="AH2036" s="625">
        <v>0</v>
      </c>
      <c r="AI2036" s="625">
        <v>0</v>
      </c>
      <c r="AJ2036" s="625">
        <v>0</v>
      </c>
      <c r="AK2036" s="625">
        <v>0</v>
      </c>
      <c r="AL2036" s="625">
        <v>0</v>
      </c>
      <c r="AM2036" s="625">
        <v>0</v>
      </c>
      <c r="AN2036" s="625">
        <v>0</v>
      </c>
      <c r="AO2036" s="625">
        <v>0</v>
      </c>
      <c r="AP2036" s="41" t="str">
        <f t="shared" si="943"/>
        <v>Def TaxR</v>
      </c>
      <c r="AQ2036" s="41" t="str">
        <f t="shared" si="944"/>
        <v>Def TaxRR11Tax Gain / Loss on Retirement</v>
      </c>
      <c r="AR2036" s="41" t="str">
        <f t="shared" si="945"/>
        <v>R11Tax Gain / Loss on Retirement</v>
      </c>
    </row>
    <row r="2037" spans="1:44" s="41" customFormat="1" ht="12.75" customHeight="1">
      <c r="A2037" s="25" t="s">
        <v>1590</v>
      </c>
      <c r="B2037" s="25" t="str">
        <f t="shared" si="950"/>
        <v>Def Tax282240282-003</v>
      </c>
      <c r="C2037" s="736">
        <v>282240</v>
      </c>
      <c r="D2037" s="735" t="s">
        <v>2071</v>
      </c>
      <c r="F2037" s="41" t="str">
        <f t="shared" si="933"/>
        <v>ACCUM DEF INC TAX-OTH PROP-STATE-ELECTRIC</v>
      </c>
      <c r="G2037" s="41" t="s">
        <v>2072</v>
      </c>
      <c r="H2037" s="736" t="s">
        <v>2073</v>
      </c>
      <c r="I2037" s="25"/>
      <c r="J2037" s="25" t="str">
        <f t="shared" si="934"/>
        <v/>
      </c>
      <c r="K2037" s="442" t="str">
        <f t="shared" si="994"/>
        <v/>
      </c>
      <c r="L2037" s="736" t="s">
        <v>2443</v>
      </c>
      <c r="M2037" s="25" t="str">
        <f t="shared" si="912"/>
        <v>R</v>
      </c>
      <c r="N2037" s="25" t="str">
        <f>IF(L2037&lt;&gt;"",VLOOKUP(L2037,Categories!$B$2:$D$41,2,FALSE),IF(F2037&lt;&gt;"","No Cat",""))</f>
        <v>Rate Base</v>
      </c>
      <c r="O2037" s="25" t="str">
        <f>IF($L2037&lt;&gt;"",VLOOKUP($L2037,Categories!$B$2:$D$41,3,FALSE),IF($F2037&lt;&gt;"","No Cat",""))</f>
        <v>Deferred Income Taxes</v>
      </c>
      <c r="P2037" s="736" t="s">
        <v>2482</v>
      </c>
      <c r="Q2037" s="25" t="str">
        <f>VLOOKUP($P2037,Allocators!$B$7:$F$19,5,FALSE)</f>
        <v>Electric</v>
      </c>
      <c r="R2037" s="737">
        <f>VLOOKUP($P2037,Allocators!$B$7:$F$19,2,FALSE)</f>
        <v>1</v>
      </c>
      <c r="S2037" s="737">
        <f>VLOOKUP($P2037,Allocators!$B$7:$F$19,3,FALSE)</f>
        <v>0</v>
      </c>
      <c r="T2037" s="737" t="str">
        <f t="shared" si="967"/>
        <v>0.0%</v>
      </c>
      <c r="U2037" s="2" t="str">
        <f t="shared" si="968"/>
        <v/>
      </c>
      <c r="V2037" s="2" t="str">
        <f t="shared" si="969"/>
        <v/>
      </c>
      <c r="W2037" s="2" t="str">
        <f t="shared" si="970"/>
        <v/>
      </c>
      <c r="X2037" s="2">
        <f t="shared" si="959"/>
        <v>0</v>
      </c>
      <c r="Y2037" s="2" t="str">
        <f t="shared" si="971"/>
        <v/>
      </c>
      <c r="Z2037" s="2" t="str">
        <f t="shared" si="972"/>
        <v/>
      </c>
      <c r="AA2037" s="2" t="str">
        <f t="shared" si="973"/>
        <v/>
      </c>
      <c r="AB2037" s="2">
        <f t="shared" si="960"/>
        <v>0</v>
      </c>
      <c r="AC2037" s="625">
        <v>0</v>
      </c>
      <c r="AD2037" s="625">
        <v>0</v>
      </c>
      <c r="AE2037" s="625">
        <v>0</v>
      </c>
      <c r="AF2037" s="625">
        <v>0</v>
      </c>
      <c r="AG2037" s="625">
        <v>0</v>
      </c>
      <c r="AH2037" s="625">
        <v>0</v>
      </c>
      <c r="AI2037" s="625">
        <v>0</v>
      </c>
      <c r="AJ2037" s="625">
        <v>0</v>
      </c>
      <c r="AK2037" s="625">
        <v>0</v>
      </c>
      <c r="AL2037" s="625">
        <v>0</v>
      </c>
      <c r="AM2037" s="625">
        <v>0</v>
      </c>
      <c r="AN2037" s="625">
        <v>0</v>
      </c>
      <c r="AO2037" s="625">
        <v>0</v>
      </c>
      <c r="AP2037" s="41" t="str">
        <f t="shared" si="943"/>
        <v>Def TaxR</v>
      </c>
      <c r="AQ2037" s="41" t="str">
        <f t="shared" si="944"/>
        <v>Def TaxRR11Nuclear Fuel Depreciation</v>
      </c>
      <c r="AR2037" s="41" t="str">
        <f t="shared" si="945"/>
        <v>R11Nuclear Fuel Depreciation</v>
      </c>
    </row>
    <row r="2038" spans="1:44" s="41" customFormat="1" ht="12.75" customHeight="1">
      <c r="A2038" s="25" t="s">
        <v>1590</v>
      </c>
      <c r="B2038" s="25" t="str">
        <f t="shared" si="950"/>
        <v>Def Tax282240Mixed Use 263(a)BT010390</v>
      </c>
      <c r="C2038" s="736">
        <v>282240</v>
      </c>
      <c r="D2038" s="735" t="s">
        <v>2125</v>
      </c>
      <c r="E2038" s="41" t="s">
        <v>2126</v>
      </c>
      <c r="F2038" s="41" t="str">
        <f t="shared" si="933"/>
        <v>ACCUM DEF INC TAX-OTH PROP-STATE-ELECTRIC</v>
      </c>
      <c r="G2038" s="41" t="s">
        <v>2127</v>
      </c>
      <c r="H2038" s="736" t="s">
        <v>2125</v>
      </c>
      <c r="I2038" s="25"/>
      <c r="J2038" s="442" t="s">
        <v>7</v>
      </c>
      <c r="K2038" s="442" t="str">
        <f t="shared" si="994"/>
        <v/>
      </c>
      <c r="L2038" s="736" t="s">
        <v>2436</v>
      </c>
      <c r="M2038" s="25" t="str">
        <f t="shared" si="912"/>
        <v>N</v>
      </c>
      <c r="N2038" s="25" t="str">
        <f>IF(L2038&lt;&gt;"",VLOOKUP(L2038,Categories!$B$2:$D$41,2,FALSE),IF(F2038&lt;&gt;"","No Cat",""))</f>
        <v>NRBASE</v>
      </c>
      <c r="O2038" s="25" t="str">
        <f>IF($L2038&lt;&gt;"",VLOOKUP($L2038,Categories!$B$2:$D$41,3,FALSE),IF($F2038&lt;&gt;"","No Cat",""))</f>
        <v>Deferrals Accruing Non-Cash Return   (other than ASGA)</v>
      </c>
      <c r="P2038" s="736" t="s">
        <v>2468</v>
      </c>
      <c r="Q2038" s="25" t="str">
        <f>VLOOKUP($P2038,Allocators!$B$7:$F$19,5,FALSE)</f>
        <v>Not in Rate Base</v>
      </c>
      <c r="R2038" s="737">
        <f>VLOOKUP($P2038,Allocators!$B$7:$F$19,2,FALSE)</f>
        <v>0</v>
      </c>
      <c r="S2038" s="737">
        <f>VLOOKUP($P2038,Allocators!$B$7:$F$19,3,FALSE)</f>
        <v>0</v>
      </c>
      <c r="T2038" s="737">
        <f t="shared" si="967"/>
        <v>1</v>
      </c>
      <c r="U2038" s="2">
        <f t="shared" si="968"/>
        <v>0</v>
      </c>
      <c r="V2038" s="2">
        <f t="shared" si="969"/>
        <v>0</v>
      </c>
      <c r="W2038" s="2">
        <f t="shared" si="970"/>
        <v>-1069.5934579166701</v>
      </c>
      <c r="X2038" s="2">
        <f t="shared" si="959"/>
        <v>-1069.5934579166701</v>
      </c>
      <c r="Y2038" s="2">
        <f t="shared" si="971"/>
        <v>0</v>
      </c>
      <c r="Z2038" s="2">
        <f t="shared" si="972"/>
        <v>0</v>
      </c>
      <c r="AA2038" s="2">
        <f t="shared" si="973"/>
        <v>-2920.2792199999999</v>
      </c>
      <c r="AB2038" s="2">
        <f t="shared" si="960"/>
        <v>-2920.2792200000004</v>
      </c>
      <c r="AC2038" s="625">
        <v>-566.43205</v>
      </c>
      <c r="AD2038" s="625">
        <v>-554.93205</v>
      </c>
      <c r="AE2038" s="625">
        <v>-543.43205</v>
      </c>
      <c r="AF2038" s="625">
        <v>-531.93205</v>
      </c>
      <c r="AG2038" s="625">
        <v>-520.43205</v>
      </c>
      <c r="AH2038" s="625">
        <v>-508.93205</v>
      </c>
      <c r="AI2038" s="625">
        <v>-497.43205</v>
      </c>
      <c r="AJ2038" s="625">
        <v>-485.93205</v>
      </c>
      <c r="AK2038" s="625">
        <v>-474.43205</v>
      </c>
      <c r="AL2038" s="625">
        <v>-1470.3566599999999</v>
      </c>
      <c r="AM2038" s="625">
        <v>-2695.8754599999997</v>
      </c>
      <c r="AN2038" s="625">
        <v>-2808.0773399999998</v>
      </c>
      <c r="AO2038" s="625">
        <v>-2920.2792200000004</v>
      </c>
      <c r="AP2038" s="41" t="str">
        <f t="shared" si="943"/>
        <v>Def TaxN</v>
      </c>
      <c r="AQ2038" s="41" t="str">
        <f t="shared" si="944"/>
        <v>Def TaxNN10Mixed Use 263(a)</v>
      </c>
      <c r="AR2038" s="41" t="str">
        <f t="shared" si="945"/>
        <v>N10Mixed Use 263(a)NCR</v>
      </c>
    </row>
    <row r="2039" spans="1:44" s="41" customFormat="1" ht="12.75" customHeight="1">
      <c r="A2039" s="25" t="s">
        <v>1590</v>
      </c>
      <c r="B2039" s="25" t="str">
        <f t="shared" si="950"/>
        <v>Def Tax282240282-009-SBT010190</v>
      </c>
      <c r="C2039" s="736">
        <v>282240</v>
      </c>
      <c r="D2039" s="735" t="s">
        <v>2099</v>
      </c>
      <c r="E2039" s="41" t="s">
        <v>2097</v>
      </c>
      <c r="F2039" s="41" t="str">
        <f t="shared" si="933"/>
        <v>ACCUM DEF INC TAX-OTH PROP-STATE-ELECTRIC</v>
      </c>
      <c r="G2039" s="41" t="s">
        <v>2100</v>
      </c>
      <c r="H2039" s="736" t="s">
        <v>2092</v>
      </c>
      <c r="I2039" s="25"/>
      <c r="J2039" s="25" t="str">
        <f t="shared" si="934"/>
        <v/>
      </c>
      <c r="K2039" s="442" t="str">
        <f t="shared" si="994"/>
        <v/>
      </c>
      <c r="L2039" s="736" t="s">
        <v>2443</v>
      </c>
      <c r="M2039" s="25" t="str">
        <f t="shared" ref="M2039:M2116" si="995">LEFT(L2039,1)</f>
        <v>R</v>
      </c>
      <c r="N2039" s="25" t="str">
        <f>IF(L2039&lt;&gt;"",VLOOKUP(L2039,Categories!$B$2:$D$41,2,FALSE),IF(F2039&lt;&gt;"","No Cat",""))</f>
        <v>Rate Base</v>
      </c>
      <c r="O2039" s="25" t="str">
        <f>IF($L2039&lt;&gt;"",VLOOKUP($L2039,Categories!$B$2:$D$41,3,FALSE),IF($F2039&lt;&gt;"","No Cat",""))</f>
        <v>Deferred Income Taxes</v>
      </c>
      <c r="P2039" s="736" t="s">
        <v>2482</v>
      </c>
      <c r="Q2039" s="25" t="str">
        <f>VLOOKUP($P2039,Allocators!$B$7:$F$19,5,FALSE)</f>
        <v>Electric</v>
      </c>
      <c r="R2039" s="737">
        <f>VLOOKUP($P2039,Allocators!$B$7:$F$19,2,FALSE)</f>
        <v>1</v>
      </c>
      <c r="S2039" s="737">
        <f>VLOOKUP($P2039,Allocators!$B$7:$F$19,3,FALSE)</f>
        <v>0</v>
      </c>
      <c r="T2039" s="737" t="str">
        <f t="shared" si="967"/>
        <v>0.0%</v>
      </c>
      <c r="U2039" s="2">
        <f t="shared" si="968"/>
        <v>-1719.34139208333</v>
      </c>
      <c r="V2039" s="2">
        <f t="shared" si="969"/>
        <v>0</v>
      </c>
      <c r="W2039" s="2">
        <f t="shared" si="970"/>
        <v>0</v>
      </c>
      <c r="X2039" s="2">
        <f t="shared" si="959"/>
        <v>-1719.34139208333</v>
      </c>
      <c r="Y2039" s="2">
        <f t="shared" si="971"/>
        <v>-1516.97371</v>
      </c>
      <c r="Z2039" s="2">
        <f t="shared" si="972"/>
        <v>0</v>
      </c>
      <c r="AA2039" s="2">
        <f t="shared" si="973"/>
        <v>0</v>
      </c>
      <c r="AB2039" s="2">
        <f t="shared" si="960"/>
        <v>-1516.97371</v>
      </c>
      <c r="AC2039" s="625">
        <v>-1661.70252</v>
      </c>
      <c r="AD2039" s="625">
        <v>-1701.6431</v>
      </c>
      <c r="AE2039" s="625">
        <v>-1741.58367</v>
      </c>
      <c r="AF2039" s="625">
        <v>-1781.5242499999999</v>
      </c>
      <c r="AG2039" s="625">
        <v>-1821.4648300000001</v>
      </c>
      <c r="AH2039" s="625">
        <v>-1861.4053999999999</v>
      </c>
      <c r="AI2039" s="625">
        <v>-1901.3459800000001</v>
      </c>
      <c r="AJ2039" s="625">
        <v>-1941.28656</v>
      </c>
      <c r="AK2039" s="625">
        <v>-1981.22713</v>
      </c>
      <c r="AL2039" s="625">
        <v>-1397.1519800000001</v>
      </c>
      <c r="AM2039" s="625">
        <v>-1437.09256</v>
      </c>
      <c r="AN2039" s="625">
        <v>-1477.0331299999998</v>
      </c>
      <c r="AO2039" s="625">
        <v>-1516.97371</v>
      </c>
      <c r="AP2039" s="41" t="str">
        <f t="shared" si="943"/>
        <v>Def TaxR</v>
      </c>
      <c r="AQ2039" s="41" t="str">
        <f t="shared" si="944"/>
        <v>Def TaxRR11Tax Gain / Loss on Retirement</v>
      </c>
      <c r="AR2039" s="41" t="str">
        <f t="shared" si="945"/>
        <v>R11Tax Gain / Loss on Retirement</v>
      </c>
    </row>
    <row r="2040" spans="1:44" s="41" customFormat="1" ht="12.75" customHeight="1">
      <c r="A2040" s="25" t="s">
        <v>1590</v>
      </c>
      <c r="B2040" s="25" t="str">
        <f t="shared" si="950"/>
        <v>Def Tax282240282-010-SBE030278</v>
      </c>
      <c r="C2040" s="736">
        <v>282240</v>
      </c>
      <c r="D2040" s="735" t="s">
        <v>2104</v>
      </c>
      <c r="E2040" s="41" t="s">
        <v>1985</v>
      </c>
      <c r="F2040" s="41" t="str">
        <f t="shared" si="933"/>
        <v>ACCUM DEF INC TAX-OTH PROP-STATE-ELECTRIC</v>
      </c>
      <c r="G2040" s="41" t="s">
        <v>2105</v>
      </c>
      <c r="H2040" s="736" t="s">
        <v>2103</v>
      </c>
      <c r="I2040" s="25"/>
      <c r="J2040" s="25" t="str">
        <f t="shared" si="934"/>
        <v/>
      </c>
      <c r="K2040" s="442" t="str">
        <f t="shared" si="994"/>
        <v/>
      </c>
      <c r="L2040" s="736" t="s">
        <v>2443</v>
      </c>
      <c r="M2040" s="25" t="str">
        <f t="shared" si="995"/>
        <v>R</v>
      </c>
      <c r="N2040" s="25" t="str">
        <f>IF(L2040&lt;&gt;"",VLOOKUP(L2040,Categories!$B$2:$D$41,2,FALSE),IF(F2040&lt;&gt;"","No Cat",""))</f>
        <v>Rate Base</v>
      </c>
      <c r="O2040" s="25" t="str">
        <f>IF($L2040&lt;&gt;"",VLOOKUP($L2040,Categories!$B$2:$D$41,3,FALSE),IF($F2040&lt;&gt;"","No Cat",""))</f>
        <v>Deferred Income Taxes</v>
      </c>
      <c r="P2040" s="736" t="s">
        <v>2482</v>
      </c>
      <c r="Q2040" s="25" t="str">
        <f>VLOOKUP($P2040,Allocators!$B$7:$F$19,5,FALSE)</f>
        <v>Electric</v>
      </c>
      <c r="R2040" s="737">
        <f>VLOOKUP($P2040,Allocators!$B$7:$F$19,2,FALSE)</f>
        <v>1</v>
      </c>
      <c r="S2040" s="737">
        <f>VLOOKUP($P2040,Allocators!$B$7:$F$19,3,FALSE)</f>
        <v>0</v>
      </c>
      <c r="T2040" s="737" t="str">
        <f t="shared" si="967"/>
        <v>0.0%</v>
      </c>
      <c r="U2040" s="2">
        <f t="shared" si="968"/>
        <v>-705.21699999999998</v>
      </c>
      <c r="V2040" s="2">
        <f t="shared" si="969"/>
        <v>0</v>
      </c>
      <c r="W2040" s="2">
        <f t="shared" si="970"/>
        <v>0</v>
      </c>
      <c r="X2040" s="2">
        <f t="shared" si="959"/>
        <v>-705.21699999999998</v>
      </c>
      <c r="Y2040" s="2">
        <f t="shared" si="971"/>
        <v>-705.21699999999998</v>
      </c>
      <c r="Z2040" s="2">
        <f t="shared" si="972"/>
        <v>0</v>
      </c>
      <c r="AA2040" s="2">
        <f t="shared" si="973"/>
        <v>0</v>
      </c>
      <c r="AB2040" s="2">
        <f t="shared" si="960"/>
        <v>-705.21699999999998</v>
      </c>
      <c r="AC2040" s="625">
        <v>-705.21699999999998</v>
      </c>
      <c r="AD2040" s="625">
        <v>-705.21699999999998</v>
      </c>
      <c r="AE2040" s="625">
        <v>-705.21699999999998</v>
      </c>
      <c r="AF2040" s="625">
        <v>-705.21699999999998</v>
      </c>
      <c r="AG2040" s="625">
        <v>-705.21699999999998</v>
      </c>
      <c r="AH2040" s="625">
        <v>-705.21699999999998</v>
      </c>
      <c r="AI2040" s="625">
        <v>-705.21699999999998</v>
      </c>
      <c r="AJ2040" s="625">
        <v>-705.21699999999998</v>
      </c>
      <c r="AK2040" s="625">
        <v>-705.21699999999998</v>
      </c>
      <c r="AL2040" s="625">
        <v>-705.21699999999998</v>
      </c>
      <c r="AM2040" s="625">
        <v>-705.21699999999998</v>
      </c>
      <c r="AN2040" s="625">
        <v>-705.21699999999998</v>
      </c>
      <c r="AO2040" s="625">
        <v>-705.21699999999998</v>
      </c>
      <c r="AP2040" s="41" t="str">
        <f t="shared" si="943"/>
        <v>Def TaxR</v>
      </c>
      <c r="AQ2040" s="41" t="str">
        <f t="shared" si="944"/>
        <v>Def TaxRR11Russell Retirement</v>
      </c>
      <c r="AR2040" s="41" t="str">
        <f t="shared" si="945"/>
        <v>R11Russell Retirement</v>
      </c>
    </row>
    <row r="2041" spans="1:44" s="41" customFormat="1" ht="12.75" customHeight="1">
      <c r="A2041" s="25" t="s">
        <v>1590</v>
      </c>
      <c r="B2041" s="25" t="str">
        <f t="shared" ref="B2041" si="996">CONCATENATE(A2041,C2041,D2041,E2041)</f>
        <v>Def Tax282240282-007BT010202</v>
      </c>
      <c r="C2041" s="736">
        <v>282240</v>
      </c>
      <c r="D2041" s="735" t="s">
        <v>2084</v>
      </c>
      <c r="E2041" s="41" t="s">
        <v>1786</v>
      </c>
      <c r="F2041" s="41" t="str">
        <f t="shared" si="933"/>
        <v>ACCUM DEF INC TAX-OTH PROP-STATE-ELECTRIC</v>
      </c>
      <c r="H2041" s="736" t="s">
        <v>2086</v>
      </c>
      <c r="I2041" s="25"/>
      <c r="J2041" s="25" t="str">
        <f t="shared" ref="J2041" si="997">IF(L2041="N10","Y",IF(L2041="N8","Y",""))</f>
        <v/>
      </c>
      <c r="K2041" s="442" t="str">
        <f t="shared" si="994"/>
        <v/>
      </c>
      <c r="L2041" s="736" t="s">
        <v>2443</v>
      </c>
      <c r="M2041" s="25" t="str">
        <f t="shared" ref="M2041" si="998">LEFT(L2041,1)</f>
        <v>R</v>
      </c>
      <c r="N2041" s="25" t="str">
        <f>IF(L2041&lt;&gt;"",VLOOKUP(L2041,Categories!$B$2:$D$41,2,FALSE),IF(F2041&lt;&gt;"","No Cat",""))</f>
        <v>Rate Base</v>
      </c>
      <c r="O2041" s="25" t="str">
        <f>IF($L2041&lt;&gt;"",VLOOKUP($L2041,Categories!$B$2:$D$41,3,FALSE),IF($F2041&lt;&gt;"","No Cat",""))</f>
        <v>Deferred Income Taxes</v>
      </c>
      <c r="P2041" s="736" t="s">
        <v>2482</v>
      </c>
      <c r="Q2041" s="25" t="str">
        <f>VLOOKUP($P2041,Allocators!$B$7:$F$19,5,FALSE)</f>
        <v>Electric</v>
      </c>
      <c r="R2041" s="737">
        <f>VLOOKUP($P2041,Allocators!$B$7:$F$19,2,FALSE)</f>
        <v>1</v>
      </c>
      <c r="S2041" s="737">
        <f>VLOOKUP($P2041,Allocators!$B$7:$F$19,3,FALSE)</f>
        <v>0</v>
      </c>
      <c r="T2041" s="737" t="str">
        <f t="shared" ref="T2041" si="999">IF(P2041="N",1,"0.0%")</f>
        <v>0.0%</v>
      </c>
      <c r="U2041" s="2">
        <f t="shared" si="968"/>
        <v>2696.9931683333298</v>
      </c>
      <c r="V2041" s="2">
        <f t="shared" si="969"/>
        <v>0</v>
      </c>
      <c r="W2041" s="2">
        <f t="shared" si="970"/>
        <v>0</v>
      </c>
      <c r="X2041" s="2">
        <f t="shared" si="959"/>
        <v>2696.9931683333298</v>
      </c>
      <c r="Y2041" s="2">
        <f t="shared" si="971"/>
        <v>2762.6167399999999</v>
      </c>
      <c r="Z2041" s="2">
        <f t="shared" si="972"/>
        <v>0</v>
      </c>
      <c r="AA2041" s="2">
        <f t="shared" si="973"/>
        <v>0</v>
      </c>
      <c r="AB2041" s="2">
        <f t="shared" si="960"/>
        <v>2762.6167400000004</v>
      </c>
      <c r="AC2041" s="625">
        <v>2621.4062599999997</v>
      </c>
      <c r="AD2041" s="625">
        <v>2718.7097000000003</v>
      </c>
      <c r="AE2041" s="625">
        <v>2644.55908</v>
      </c>
      <c r="AF2041" s="625">
        <v>2657.9915000000001</v>
      </c>
      <c r="AG2041" s="625">
        <v>2663.84431</v>
      </c>
      <c r="AH2041" s="625">
        <v>2675.7989300000004</v>
      </c>
      <c r="AI2041" s="625">
        <v>2686.44893</v>
      </c>
      <c r="AJ2041" s="625">
        <v>2701.4018900000001</v>
      </c>
      <c r="AK2041" s="625">
        <v>2715.25207</v>
      </c>
      <c r="AL2041" s="625">
        <v>2728.6139199999998</v>
      </c>
      <c r="AM2041" s="625">
        <v>2735.7932999999998</v>
      </c>
      <c r="AN2041" s="625">
        <v>2743.49289</v>
      </c>
      <c r="AO2041" s="625">
        <v>2762.6167400000004</v>
      </c>
      <c r="AP2041" s="41" t="str">
        <f t="shared" si="943"/>
        <v>Def TaxR</v>
      </c>
      <c r="AQ2041" s="41" t="str">
        <f t="shared" si="944"/>
        <v>Def TaxRR11Excess Salvage</v>
      </c>
      <c r="AR2041" s="41" t="str">
        <f t="shared" si="945"/>
        <v>R11Excess Salvage</v>
      </c>
    </row>
    <row r="2042" spans="1:44" s="41" customFormat="1" ht="12.75" customHeight="1">
      <c r="A2042" s="25" t="s">
        <v>1590</v>
      </c>
      <c r="B2042" s="25" t="str">
        <f t="shared" si="950"/>
        <v>Def Tax282240282-007-SBT010202</v>
      </c>
      <c r="C2042" s="736">
        <v>282240</v>
      </c>
      <c r="D2042" s="735" t="s">
        <v>2087</v>
      </c>
      <c r="E2042" s="41" t="s">
        <v>1786</v>
      </c>
      <c r="F2042" s="41" t="str">
        <f t="shared" si="933"/>
        <v>ACCUM DEF INC TAX-OTH PROP-STATE-ELECTRIC</v>
      </c>
      <c r="G2042" s="41" t="s">
        <v>2088</v>
      </c>
      <c r="H2042" s="736" t="s">
        <v>2086</v>
      </c>
      <c r="I2042" s="25"/>
      <c r="J2042" s="25" t="str">
        <f t="shared" si="934"/>
        <v/>
      </c>
      <c r="K2042" s="442" t="str">
        <f t="shared" si="994"/>
        <v/>
      </c>
      <c r="L2042" s="736" t="s">
        <v>2443</v>
      </c>
      <c r="M2042" s="25" t="str">
        <f t="shared" si="995"/>
        <v>R</v>
      </c>
      <c r="N2042" s="25" t="str">
        <f>IF(L2042&lt;&gt;"",VLOOKUP(L2042,Categories!$B$2:$D$41,2,FALSE),IF(F2042&lt;&gt;"","No Cat",""))</f>
        <v>Rate Base</v>
      </c>
      <c r="O2042" s="25" t="str">
        <f>IF($L2042&lt;&gt;"",VLOOKUP($L2042,Categories!$B$2:$D$41,3,FALSE),IF($F2042&lt;&gt;"","No Cat",""))</f>
        <v>Deferred Income Taxes</v>
      </c>
      <c r="P2042" s="736" t="s">
        <v>2482</v>
      </c>
      <c r="Q2042" s="25" t="str">
        <f>VLOOKUP($P2042,Allocators!$B$7:$F$19,5,FALSE)</f>
        <v>Electric</v>
      </c>
      <c r="R2042" s="737">
        <f>VLOOKUP($P2042,Allocators!$B$7:$F$19,2,FALSE)</f>
        <v>1</v>
      </c>
      <c r="S2042" s="737">
        <f>VLOOKUP($P2042,Allocators!$B$7:$F$19,3,FALSE)</f>
        <v>0</v>
      </c>
      <c r="T2042" s="737" t="str">
        <f t="shared" si="967"/>
        <v>0.0%</v>
      </c>
      <c r="U2042" s="2" t="str">
        <f t="shared" si="968"/>
        <v/>
      </c>
      <c r="V2042" s="2" t="str">
        <f t="shared" si="969"/>
        <v/>
      </c>
      <c r="W2042" s="2" t="str">
        <f t="shared" si="970"/>
        <v/>
      </c>
      <c r="X2042" s="2">
        <f t="shared" si="959"/>
        <v>0</v>
      </c>
      <c r="Y2042" s="2" t="str">
        <f t="shared" si="971"/>
        <v/>
      </c>
      <c r="Z2042" s="2" t="str">
        <f t="shared" si="972"/>
        <v/>
      </c>
      <c r="AA2042" s="2" t="str">
        <f t="shared" si="973"/>
        <v/>
      </c>
      <c r="AB2042" s="2">
        <f t="shared" si="960"/>
        <v>0</v>
      </c>
      <c r="AC2042" s="625">
        <v>0</v>
      </c>
      <c r="AD2042" s="625">
        <v>0</v>
      </c>
      <c r="AE2042" s="625">
        <v>0</v>
      </c>
      <c r="AF2042" s="625">
        <v>0</v>
      </c>
      <c r="AG2042" s="625">
        <v>0</v>
      </c>
      <c r="AH2042" s="625">
        <v>0</v>
      </c>
      <c r="AI2042" s="625">
        <v>0</v>
      </c>
      <c r="AJ2042" s="625">
        <v>0</v>
      </c>
      <c r="AK2042" s="625">
        <v>0</v>
      </c>
      <c r="AL2042" s="625">
        <v>0</v>
      </c>
      <c r="AM2042" s="625">
        <v>0</v>
      </c>
      <c r="AN2042" s="625">
        <v>0</v>
      </c>
      <c r="AO2042" s="625">
        <v>0</v>
      </c>
      <c r="AP2042" s="41" t="str">
        <f t="shared" si="943"/>
        <v>Def TaxR</v>
      </c>
      <c r="AQ2042" s="41" t="str">
        <f t="shared" si="944"/>
        <v>Def TaxRR11Excess Salvage</v>
      </c>
      <c r="AR2042" s="41" t="str">
        <f t="shared" si="945"/>
        <v>R11Excess Salvage</v>
      </c>
    </row>
    <row r="2043" spans="1:44" s="41" customFormat="1" ht="12.75" customHeight="1">
      <c r="A2043" s="442" t="s">
        <v>1590</v>
      </c>
      <c r="B2043" s="442" t="str">
        <f t="shared" si="950"/>
        <v>Def Tax282240Severance-StateBT010211</v>
      </c>
      <c r="C2043" s="736">
        <v>282240</v>
      </c>
      <c r="D2043" s="735" t="s">
        <v>1702</v>
      </c>
      <c r="E2043" s="626" t="s">
        <v>1703</v>
      </c>
      <c r="F2043" s="626" t="str">
        <f t="shared" si="933"/>
        <v>ACCUM DEF INC TAX-OTH PROP-STATE-ELECTRIC</v>
      </c>
      <c r="G2043" s="626" t="s">
        <v>2123</v>
      </c>
      <c r="H2043" s="736" t="s">
        <v>2065</v>
      </c>
      <c r="I2043" s="442"/>
      <c r="J2043" s="442" t="str">
        <f t="shared" si="934"/>
        <v/>
      </c>
      <c r="K2043" s="442" t="str">
        <f t="shared" si="994"/>
        <v/>
      </c>
      <c r="L2043" s="736" t="s">
        <v>2443</v>
      </c>
      <c r="M2043" s="442" t="str">
        <f t="shared" si="995"/>
        <v>R</v>
      </c>
      <c r="N2043" s="442" t="str">
        <f>IF(L2043&lt;&gt;"",VLOOKUP(L2043,Categories!$B$2:$D$41,2,FALSE),IF(F2043&lt;&gt;"","No Cat",""))</f>
        <v>Rate Base</v>
      </c>
      <c r="O2043" s="442" t="str">
        <f>IF($L2043&lt;&gt;"",VLOOKUP($L2043,Categories!$B$2:$D$41,3,FALSE),IF($F2043&lt;&gt;"","No Cat",""))</f>
        <v>Deferred Income Taxes</v>
      </c>
      <c r="P2043" s="736" t="s">
        <v>2482</v>
      </c>
      <c r="Q2043" s="442" t="str">
        <f>VLOOKUP($P2043,Allocators!$B$7:$F$19,5,FALSE)</f>
        <v>Electric</v>
      </c>
      <c r="R2043" s="737">
        <f>VLOOKUP($P2043,Allocators!$B$7:$F$19,2,FALSE)</f>
        <v>1</v>
      </c>
      <c r="S2043" s="737">
        <f>VLOOKUP($P2043,Allocators!$B$7:$F$19,3,FALSE)</f>
        <v>0</v>
      </c>
      <c r="T2043" s="737" t="str">
        <f t="shared" si="967"/>
        <v>0.0%</v>
      </c>
      <c r="U2043" s="2">
        <f t="shared" si="968"/>
        <v>-39201.780985833298</v>
      </c>
      <c r="V2043" s="2">
        <f t="shared" si="969"/>
        <v>0</v>
      </c>
      <c r="W2043" s="2">
        <f t="shared" si="970"/>
        <v>0</v>
      </c>
      <c r="X2043" s="2">
        <f t="shared" si="959"/>
        <v>-39201.780985833298</v>
      </c>
      <c r="Y2043" s="2">
        <f t="shared" si="971"/>
        <v>-42855.379249999904</v>
      </c>
      <c r="Z2043" s="2">
        <f t="shared" si="972"/>
        <v>0</v>
      </c>
      <c r="AA2043" s="2">
        <f t="shared" si="973"/>
        <v>0</v>
      </c>
      <c r="AB2043" s="2">
        <f t="shared" si="960"/>
        <v>-42855.379249999998</v>
      </c>
      <c r="AC2043" s="625">
        <v>-36210.37283</v>
      </c>
      <c r="AD2043" s="625">
        <v>-36284.480750000002</v>
      </c>
      <c r="AE2043" s="625">
        <v>-36358.588659999994</v>
      </c>
      <c r="AF2043" s="625">
        <v>-36432.696579999996</v>
      </c>
      <c r="AG2043" s="625">
        <v>-36506.804499999998</v>
      </c>
      <c r="AH2043" s="625">
        <v>-39184.926169999999</v>
      </c>
      <c r="AI2043" s="625">
        <v>-39779.836840000004</v>
      </c>
      <c r="AJ2043" s="625">
        <v>-40374.747510000001</v>
      </c>
      <c r="AK2043" s="625">
        <v>-40969.989500000003</v>
      </c>
      <c r="AL2043" s="625">
        <v>-41070.523009999997</v>
      </c>
      <c r="AM2043" s="625">
        <v>-41665.475100000003</v>
      </c>
      <c r="AN2043" s="625">
        <v>-42260.427170000003</v>
      </c>
      <c r="AO2043" s="625">
        <v>-42855.379249999998</v>
      </c>
      <c r="AP2043" s="41" t="str">
        <f t="shared" si="943"/>
        <v>Def TaxR</v>
      </c>
      <c r="AQ2043" s="41" t="str">
        <f t="shared" si="944"/>
        <v>Def TaxRR11Accelerated Depreciation</v>
      </c>
      <c r="AR2043" s="41" t="str">
        <f t="shared" si="945"/>
        <v>R11Accelerated Depreciation</v>
      </c>
    </row>
    <row r="2044" spans="1:44" s="41" customFormat="1" ht="12.75" customHeight="1">
      <c r="A2044" s="442" t="s">
        <v>1590</v>
      </c>
      <c r="B2044" s="442" t="str">
        <f t="shared" ref="B2044" si="1000">CONCATENATE(A2044,C2044,D2044,E2044)</f>
        <v>Def Tax282240</v>
      </c>
      <c r="C2044" s="736">
        <v>282240</v>
      </c>
      <c r="D2044" s="735"/>
      <c r="E2044" s="626"/>
      <c r="F2044" s="626" t="str">
        <f t="shared" si="933"/>
        <v>ACCUM DEF INC TAX-OTH PROP-STATE-ELECTRIC</v>
      </c>
      <c r="G2044" s="626" t="s">
        <v>4365</v>
      </c>
      <c r="H2044" s="736" t="s">
        <v>4371</v>
      </c>
      <c r="I2044" s="25"/>
      <c r="J2044" s="25" t="s">
        <v>7</v>
      </c>
      <c r="K2044" s="442"/>
      <c r="L2044" s="736" t="s">
        <v>2436</v>
      </c>
      <c r="M2044" s="25" t="str">
        <f t="shared" si="995"/>
        <v>N</v>
      </c>
      <c r="N2044" s="25" t="str">
        <f>IF(L2044&lt;&gt;"",VLOOKUP(L2044,Categories!$B$2:$D$41,2,FALSE),IF(F2044&lt;&gt;"","No Cat",""))</f>
        <v>NRBASE</v>
      </c>
      <c r="O2044" s="25" t="str">
        <f>IF($L2044&lt;&gt;"",VLOOKUP($L2044,Categories!$B$2:$D$41,3,FALSE),IF($F2044&lt;&gt;"","No Cat",""))</f>
        <v>Deferrals Accruing Non-Cash Return   (other than ASGA)</v>
      </c>
      <c r="P2044" s="736" t="s">
        <v>2468</v>
      </c>
      <c r="Q2044" s="25" t="str">
        <f>VLOOKUP($P2044,Allocators!$B$7:$F$19,5,FALSE)</f>
        <v>Not in Rate Base</v>
      </c>
      <c r="R2044" s="737">
        <f>VLOOKUP($P2044,Allocators!$B$7:$F$19,2,FALSE)</f>
        <v>0</v>
      </c>
      <c r="S2044" s="737">
        <f>VLOOKUP($P2044,Allocators!$B$7:$F$19,3,FALSE)</f>
        <v>0</v>
      </c>
      <c r="T2044" s="737">
        <f t="shared" si="967"/>
        <v>1</v>
      </c>
      <c r="U2044" s="2">
        <f t="shared" si="968"/>
        <v>0</v>
      </c>
      <c r="V2044" s="2">
        <f t="shared" si="969"/>
        <v>0</v>
      </c>
      <c r="W2044" s="2">
        <f t="shared" si="970"/>
        <v>0.25778000000000001</v>
      </c>
      <c r="X2044" s="2">
        <f t="shared" si="959"/>
        <v>0.25778000000000001</v>
      </c>
      <c r="Y2044" s="2">
        <f t="shared" si="971"/>
        <v>0</v>
      </c>
      <c r="Z2044" s="2">
        <f t="shared" si="972"/>
        <v>0</v>
      </c>
      <c r="AA2044" s="2">
        <f t="shared" si="973"/>
        <v>0.25778000000000001</v>
      </c>
      <c r="AB2044" s="2">
        <f t="shared" si="960"/>
        <v>0.25777999999999995</v>
      </c>
      <c r="AC2044" s="625">
        <v>0.25777999999999995</v>
      </c>
      <c r="AD2044" s="625">
        <v>0.25777999999999995</v>
      </c>
      <c r="AE2044" s="625">
        <v>0.25777999999999995</v>
      </c>
      <c r="AF2044" s="625">
        <v>0.25777999999999995</v>
      </c>
      <c r="AG2044" s="625">
        <v>0.25777999999999995</v>
      </c>
      <c r="AH2044" s="625">
        <v>0.25777999999999995</v>
      </c>
      <c r="AI2044" s="625">
        <v>0.25777999999999995</v>
      </c>
      <c r="AJ2044" s="625">
        <v>0.25777999999999995</v>
      </c>
      <c r="AK2044" s="625">
        <v>0.25777999999999995</v>
      </c>
      <c r="AL2044" s="625">
        <v>0.25777999999999995</v>
      </c>
      <c r="AM2044" s="625">
        <v>0.25777999999999995</v>
      </c>
      <c r="AN2044" s="625">
        <v>0.25777999999999995</v>
      </c>
      <c r="AO2044" s="625">
        <v>0.25777999999999995</v>
      </c>
      <c r="AP2044" s="41" t="str">
        <f t="shared" si="943"/>
        <v>Def TaxN</v>
      </c>
      <c r="AQ2044" s="41" t="str">
        <f t="shared" si="944"/>
        <v>Def TaxNN10Allegany Sale Gain/Loss</v>
      </c>
      <c r="AR2044" s="41" t="str">
        <f t="shared" si="945"/>
        <v>N10Allegany Sale Gain/LossNCR</v>
      </c>
    </row>
    <row r="2045" spans="1:44" s="41" customFormat="1" ht="12.75" customHeight="1">
      <c r="A2045" s="442" t="s">
        <v>1590</v>
      </c>
      <c r="B2045" s="442" t="str">
        <f t="shared" si="950"/>
        <v>Def Tax282240BT010379</v>
      </c>
      <c r="C2045" s="736">
        <v>282240</v>
      </c>
      <c r="D2045" s="735"/>
      <c r="E2045" s="626" t="s">
        <v>2128</v>
      </c>
      <c r="F2045" s="626" t="str">
        <f t="shared" si="933"/>
        <v>ACCUM DEF INC TAX-OTH PROP-STATE-ELECTRIC</v>
      </c>
      <c r="G2045" s="626" t="s">
        <v>2129</v>
      </c>
      <c r="H2045" s="736" t="s">
        <v>2130</v>
      </c>
      <c r="I2045" s="442"/>
      <c r="J2045" s="442" t="str">
        <f t="shared" si="934"/>
        <v/>
      </c>
      <c r="K2045" s="442" t="str">
        <f t="shared" si="994"/>
        <v/>
      </c>
      <c r="L2045" s="736" t="s">
        <v>2421</v>
      </c>
      <c r="M2045" s="442" t="str">
        <f t="shared" si="995"/>
        <v>N</v>
      </c>
      <c r="N2045" s="442" t="str">
        <f>IF(L2045&lt;&gt;"",VLOOKUP(L2045,Categories!$B$2:$D$41,2,FALSE),IF(F2045&lt;&gt;"","No Cat",""))</f>
        <v>NRBASE</v>
      </c>
      <c r="O2045" s="442" t="str">
        <f>IF($L2045&lt;&gt;"",VLOOKUP($L2045,Categories!$B$2:$D$41,3,FALSE),IF($F2045&lt;&gt;"","No Cat",""))</f>
        <v>Direct Assign Items Not in RB</v>
      </c>
      <c r="P2045" s="736" t="s">
        <v>2468</v>
      </c>
      <c r="Q2045" s="442" t="str">
        <f>VLOOKUP($P2045,Allocators!$B$7:$F$19,5,FALSE)</f>
        <v>Not in Rate Base</v>
      </c>
      <c r="R2045" s="737">
        <f>VLOOKUP($P2045,Allocators!$B$7:$F$19,2,FALSE)</f>
        <v>0</v>
      </c>
      <c r="S2045" s="737">
        <f>VLOOKUP($P2045,Allocators!$B$7:$F$19,3,FALSE)</f>
        <v>0</v>
      </c>
      <c r="T2045" s="737">
        <f t="shared" si="967"/>
        <v>1</v>
      </c>
      <c r="U2045" s="2">
        <f t="shared" si="968"/>
        <v>0</v>
      </c>
      <c r="V2045" s="2">
        <f t="shared" si="969"/>
        <v>0</v>
      </c>
      <c r="W2045" s="2">
        <f t="shared" si="970"/>
        <v>-134.809</v>
      </c>
      <c r="X2045" s="2">
        <f t="shared" si="959"/>
        <v>-134.809</v>
      </c>
      <c r="Y2045" s="2">
        <f t="shared" si="971"/>
        <v>0</v>
      </c>
      <c r="Z2045" s="2">
        <f t="shared" si="972"/>
        <v>0</v>
      </c>
      <c r="AA2045" s="2">
        <f t="shared" si="973"/>
        <v>-134.809</v>
      </c>
      <c r="AB2045" s="2">
        <f t="shared" si="960"/>
        <v>-134.809</v>
      </c>
      <c r="AC2045" s="625">
        <v>-134.809</v>
      </c>
      <c r="AD2045" s="625">
        <v>-134.809</v>
      </c>
      <c r="AE2045" s="625">
        <v>-134.809</v>
      </c>
      <c r="AF2045" s="625">
        <v>-134.809</v>
      </c>
      <c r="AG2045" s="625">
        <v>-134.809</v>
      </c>
      <c r="AH2045" s="625">
        <v>-134.809</v>
      </c>
      <c r="AI2045" s="625">
        <v>-134.809</v>
      </c>
      <c r="AJ2045" s="625">
        <v>-134.809</v>
      </c>
      <c r="AK2045" s="625">
        <v>-134.809</v>
      </c>
      <c r="AL2045" s="625">
        <v>-134.809</v>
      </c>
      <c r="AM2045" s="625">
        <v>-134.809</v>
      </c>
      <c r="AN2045" s="625">
        <v>-134.809</v>
      </c>
      <c r="AO2045" s="625">
        <v>-134.809</v>
      </c>
      <c r="AP2045" s="41" t="str">
        <f t="shared" si="943"/>
        <v>Def TaxN</v>
      </c>
      <c r="AQ2045" s="41" t="str">
        <f t="shared" si="944"/>
        <v>Def TaxNN2Street Light Sale - CoR</v>
      </c>
      <c r="AR2045" s="41" t="str">
        <f t="shared" si="945"/>
        <v>N2Street Light Sale - CoR</v>
      </c>
    </row>
    <row r="2046" spans="1:44" s="41" customFormat="1" ht="12.75" customHeight="1">
      <c r="A2046" s="25" t="s">
        <v>1590</v>
      </c>
      <c r="B2046" s="25" t="str">
        <f t="shared" si="950"/>
        <v>Def Tax282250282-002-S/
282-013-S/
282-014-S/
282-015-SBT010229</v>
      </c>
      <c r="C2046" s="736">
        <v>282250</v>
      </c>
      <c r="D2046" s="735" t="s">
        <v>2066</v>
      </c>
      <c r="E2046" s="41" t="s">
        <v>2063</v>
      </c>
      <c r="F2046" s="41" t="str">
        <f t="shared" si="933"/>
        <v>ACCUM DEF INC TAX-OTH PROP-STATE-GAS</v>
      </c>
      <c r="G2046" s="41" t="s">
        <v>2064</v>
      </c>
      <c r="H2046" s="736" t="s">
        <v>2065</v>
      </c>
      <c r="I2046" s="25"/>
      <c r="J2046" s="25" t="str">
        <f t="shared" si="934"/>
        <v/>
      </c>
      <c r="K2046" s="442" t="str">
        <f t="shared" si="994"/>
        <v/>
      </c>
      <c r="L2046" s="736" t="s">
        <v>2443</v>
      </c>
      <c r="M2046" s="25" t="str">
        <f t="shared" si="995"/>
        <v>R</v>
      </c>
      <c r="N2046" s="25" t="str">
        <f>IF(L2046&lt;&gt;"",VLOOKUP(L2046,Categories!$B$2:$D$41,2,FALSE),IF(F2046&lt;&gt;"","No Cat",""))</f>
        <v>Rate Base</v>
      </c>
      <c r="O2046" s="25" t="str">
        <f>IF($L2046&lt;&gt;"",VLOOKUP($L2046,Categories!$B$2:$D$41,3,FALSE),IF($F2046&lt;&gt;"","No Cat",""))</f>
        <v>Deferred Income Taxes</v>
      </c>
      <c r="P2046" s="736" t="s">
        <v>2483</v>
      </c>
      <c r="Q2046" s="25" t="str">
        <f>VLOOKUP($P2046,Allocators!$B$7:$F$19,5,FALSE)</f>
        <v>Gas</v>
      </c>
      <c r="R2046" s="737">
        <f>VLOOKUP($P2046,Allocators!$B$7:$F$19,2,FALSE)</f>
        <v>0</v>
      </c>
      <c r="S2046" s="737">
        <f>VLOOKUP($P2046,Allocators!$B$7:$F$19,3,FALSE)</f>
        <v>1</v>
      </c>
      <c r="T2046" s="737" t="str">
        <f t="shared" si="967"/>
        <v>0.0%</v>
      </c>
      <c r="U2046" s="2">
        <f t="shared" si="968"/>
        <v>0</v>
      </c>
      <c r="V2046" s="2">
        <f t="shared" si="969"/>
        <v>-16332.793748333301</v>
      </c>
      <c r="W2046" s="2">
        <f t="shared" si="970"/>
        <v>0</v>
      </c>
      <c r="X2046" s="2">
        <f t="shared" si="959"/>
        <v>-16332.793748333301</v>
      </c>
      <c r="Y2046" s="2">
        <f t="shared" si="971"/>
        <v>0</v>
      </c>
      <c r="Z2046" s="2">
        <f t="shared" si="972"/>
        <v>-18179.480500000001</v>
      </c>
      <c r="AA2046" s="2">
        <f t="shared" si="973"/>
        <v>0</v>
      </c>
      <c r="AB2046" s="2">
        <f t="shared" si="960"/>
        <v>-18179.480500000001</v>
      </c>
      <c r="AC2046" s="625">
        <v>-14884.231159999999</v>
      </c>
      <c r="AD2046" s="625">
        <v>-14944.620080000001</v>
      </c>
      <c r="AE2046" s="625">
        <v>-15005.00899</v>
      </c>
      <c r="AF2046" s="625">
        <v>-15065.39791</v>
      </c>
      <c r="AG2046" s="625">
        <v>-15125.786830000001</v>
      </c>
      <c r="AH2046" s="625">
        <v>-16195.973249999999</v>
      </c>
      <c r="AI2046" s="625">
        <v>-16458.321670000001</v>
      </c>
      <c r="AJ2046" s="625">
        <v>-16720.67009</v>
      </c>
      <c r="AK2046" s="625">
        <v>-16977.10183</v>
      </c>
      <c r="AL2046" s="625">
        <v>-17394.653999999999</v>
      </c>
      <c r="AM2046" s="625">
        <v>-17656.262839999999</v>
      </c>
      <c r="AN2046" s="625">
        <v>-17917.871660000001</v>
      </c>
      <c r="AO2046" s="625">
        <v>-18179.480500000001</v>
      </c>
      <c r="AP2046" s="41" t="str">
        <f t="shared" si="943"/>
        <v>Def TaxR</v>
      </c>
      <c r="AQ2046" s="41" t="str">
        <f t="shared" si="944"/>
        <v>Def TaxRR11Accelerated Depreciation</v>
      </c>
      <c r="AR2046" s="41" t="str">
        <f t="shared" si="945"/>
        <v>R11Accelerated Depreciation</v>
      </c>
    </row>
    <row r="2047" spans="1:44" s="41" customFormat="1" ht="12.75" customHeight="1">
      <c r="A2047" s="25" t="s">
        <v>1590</v>
      </c>
      <c r="B2047" s="25" t="str">
        <f t="shared" si="950"/>
        <v>Def Tax282250282-002-SBT010020</v>
      </c>
      <c r="C2047" s="736">
        <v>282250</v>
      </c>
      <c r="D2047" s="735" t="s">
        <v>2068</v>
      </c>
      <c r="E2047" s="41" t="s">
        <v>2069</v>
      </c>
      <c r="F2047" s="41" t="str">
        <f t="shared" si="933"/>
        <v>ACCUM DEF INC TAX-OTH PROP-STATE-GAS</v>
      </c>
      <c r="G2047" s="41" t="s">
        <v>2070</v>
      </c>
      <c r="H2047" s="736" t="s">
        <v>2065</v>
      </c>
      <c r="I2047" s="25"/>
      <c r="J2047" s="25" t="str">
        <f t="shared" si="934"/>
        <v/>
      </c>
      <c r="K2047" s="442" t="str">
        <f t="shared" si="994"/>
        <v/>
      </c>
      <c r="L2047" s="736" t="s">
        <v>2443</v>
      </c>
      <c r="M2047" s="25" t="str">
        <f t="shared" si="995"/>
        <v>R</v>
      </c>
      <c r="N2047" s="25" t="str">
        <f>IF(L2047&lt;&gt;"",VLOOKUP(L2047,Categories!$B$2:$D$41,2,FALSE),IF(F2047&lt;&gt;"","No Cat",""))</f>
        <v>Rate Base</v>
      </c>
      <c r="O2047" s="25" t="str">
        <f>IF($L2047&lt;&gt;"",VLOOKUP($L2047,Categories!$B$2:$D$41,3,FALSE),IF($F2047&lt;&gt;"","No Cat",""))</f>
        <v>Deferred Income Taxes</v>
      </c>
      <c r="P2047" s="736" t="s">
        <v>2483</v>
      </c>
      <c r="Q2047" s="25" t="str">
        <f>VLOOKUP($P2047,Allocators!$B$7:$F$19,5,FALSE)</f>
        <v>Gas</v>
      </c>
      <c r="R2047" s="737">
        <f>VLOOKUP($P2047,Allocators!$B$7:$F$19,2,FALSE)</f>
        <v>0</v>
      </c>
      <c r="S2047" s="737">
        <f>VLOOKUP($P2047,Allocators!$B$7:$F$19,3,FALSE)</f>
        <v>1</v>
      </c>
      <c r="T2047" s="737" t="str">
        <f t="shared" si="967"/>
        <v>0.0%</v>
      </c>
      <c r="U2047" s="2">
        <f t="shared" si="968"/>
        <v>0</v>
      </c>
      <c r="V2047" s="2">
        <f t="shared" si="969"/>
        <v>9427.9114050000007</v>
      </c>
      <c r="W2047" s="2">
        <f t="shared" si="970"/>
        <v>0</v>
      </c>
      <c r="X2047" s="2">
        <f t="shared" si="959"/>
        <v>9427.9114050000007</v>
      </c>
      <c r="Y2047" s="2">
        <f t="shared" si="971"/>
        <v>0</v>
      </c>
      <c r="Z2047" s="2">
        <f t="shared" si="972"/>
        <v>10233.2778</v>
      </c>
      <c r="AA2047" s="2">
        <f t="shared" si="973"/>
        <v>0</v>
      </c>
      <c r="AB2047" s="2">
        <f t="shared" si="960"/>
        <v>10233.2778</v>
      </c>
      <c r="AC2047" s="625">
        <v>8635.1433400000005</v>
      </c>
      <c r="AD2047" s="625">
        <v>8765.6970600000004</v>
      </c>
      <c r="AE2047" s="625">
        <v>8896.4280899999994</v>
      </c>
      <c r="AF2047" s="625">
        <v>9026.919539999999</v>
      </c>
      <c r="AG2047" s="625">
        <v>9158.2197100000012</v>
      </c>
      <c r="AH2047" s="625">
        <v>9289.7767800000001</v>
      </c>
      <c r="AI2047" s="625">
        <v>9423.0767699999997</v>
      </c>
      <c r="AJ2047" s="625">
        <v>9559.1710000000003</v>
      </c>
      <c r="AK2047" s="625">
        <v>9691.8657199999998</v>
      </c>
      <c r="AL2047" s="625">
        <v>9827.3244099999993</v>
      </c>
      <c r="AM2047" s="625">
        <v>9962.9307399999998</v>
      </c>
      <c r="AN2047" s="625">
        <v>10099.316470000002</v>
      </c>
      <c r="AO2047" s="625">
        <v>10233.2778</v>
      </c>
      <c r="AP2047" s="41" t="str">
        <f t="shared" si="943"/>
        <v>Def TaxR</v>
      </c>
      <c r="AQ2047" s="41" t="str">
        <f t="shared" si="944"/>
        <v>Def TaxRR11Accelerated Depreciation</v>
      </c>
      <c r="AR2047" s="41" t="str">
        <f t="shared" si="945"/>
        <v>R11Accelerated Depreciation</v>
      </c>
    </row>
    <row r="2048" spans="1:44" s="41" customFormat="1" ht="12.75" customHeight="1">
      <c r="A2048" s="25" t="s">
        <v>1590</v>
      </c>
      <c r="B2048" s="25" t="str">
        <f t="shared" si="950"/>
        <v>Def Tax282250282-004BT010253</v>
      </c>
      <c r="C2048" s="736">
        <v>282250</v>
      </c>
      <c r="D2048" s="735" t="s">
        <v>2074</v>
      </c>
      <c r="E2048" s="41" t="s">
        <v>2078</v>
      </c>
      <c r="F2048" s="41" t="str">
        <f t="shared" si="933"/>
        <v>ACCUM DEF INC TAX-OTH PROP-STATE-GAS</v>
      </c>
      <c r="G2048" s="41" t="s">
        <v>2076</v>
      </c>
      <c r="H2048" s="736" t="s">
        <v>2079</v>
      </c>
      <c r="I2048" s="25"/>
      <c r="J2048" s="25" t="str">
        <f t="shared" si="934"/>
        <v/>
      </c>
      <c r="K2048" s="442" t="str">
        <f t="shared" si="994"/>
        <v/>
      </c>
      <c r="L2048" s="736" t="s">
        <v>2443</v>
      </c>
      <c r="M2048" s="25" t="str">
        <f t="shared" si="995"/>
        <v>R</v>
      </c>
      <c r="N2048" s="25" t="str">
        <f>IF(L2048&lt;&gt;"",VLOOKUP(L2048,Categories!$B$2:$D$41,2,FALSE),IF(F2048&lt;&gt;"","No Cat",""))</f>
        <v>Rate Base</v>
      </c>
      <c r="O2048" s="25" t="str">
        <f>IF($L2048&lt;&gt;"",VLOOKUP($L2048,Categories!$B$2:$D$41,3,FALSE),IF($F2048&lt;&gt;"","No Cat",""))</f>
        <v>Deferred Income Taxes</v>
      </c>
      <c r="P2048" s="736" t="s">
        <v>2483</v>
      </c>
      <c r="Q2048" s="25" t="str">
        <f>VLOOKUP($P2048,Allocators!$B$7:$F$19,5,FALSE)</f>
        <v>Gas</v>
      </c>
      <c r="R2048" s="737">
        <f>VLOOKUP($P2048,Allocators!$B$7:$F$19,2,FALSE)</f>
        <v>0</v>
      </c>
      <c r="S2048" s="737">
        <f>VLOOKUP($P2048,Allocators!$B$7:$F$19,3,FALSE)</f>
        <v>1</v>
      </c>
      <c r="T2048" s="737" t="str">
        <f t="shared" si="967"/>
        <v>0.0%</v>
      </c>
      <c r="U2048" s="2">
        <f t="shared" si="968"/>
        <v>0</v>
      </c>
      <c r="V2048" s="2">
        <f t="shared" si="969"/>
        <v>-140.05893</v>
      </c>
      <c r="W2048" s="2">
        <f t="shared" si="970"/>
        <v>0</v>
      </c>
      <c r="X2048" s="2">
        <f t="shared" si="959"/>
        <v>-140.05893</v>
      </c>
      <c r="Y2048" s="2">
        <f t="shared" si="971"/>
        <v>0</v>
      </c>
      <c r="Z2048" s="2">
        <f t="shared" si="972"/>
        <v>-140.05893</v>
      </c>
      <c r="AA2048" s="2">
        <f t="shared" si="973"/>
        <v>0</v>
      </c>
      <c r="AB2048" s="2">
        <f t="shared" si="960"/>
        <v>-140.05893</v>
      </c>
      <c r="AC2048" s="625">
        <v>-140.05893</v>
      </c>
      <c r="AD2048" s="625">
        <v>-140.05893</v>
      </c>
      <c r="AE2048" s="625">
        <v>-140.05893</v>
      </c>
      <c r="AF2048" s="625">
        <v>-140.05893</v>
      </c>
      <c r="AG2048" s="625">
        <v>-140.05893</v>
      </c>
      <c r="AH2048" s="625">
        <v>-140.05893</v>
      </c>
      <c r="AI2048" s="625">
        <v>-140.05893</v>
      </c>
      <c r="AJ2048" s="625">
        <v>-140.05893</v>
      </c>
      <c r="AK2048" s="625">
        <v>-140.05893</v>
      </c>
      <c r="AL2048" s="625">
        <v>-140.05893</v>
      </c>
      <c r="AM2048" s="625">
        <v>-140.05893</v>
      </c>
      <c r="AN2048" s="625">
        <v>-140.05893</v>
      </c>
      <c r="AO2048" s="625">
        <v>-140.05893</v>
      </c>
      <c r="AP2048" s="41" t="str">
        <f t="shared" si="943"/>
        <v>Def TaxR</v>
      </c>
      <c r="AQ2048" s="41" t="str">
        <f t="shared" si="944"/>
        <v>Def TaxRR11Cost of Removal</v>
      </c>
      <c r="AR2048" s="41" t="str">
        <f t="shared" si="945"/>
        <v>R11Cost of Removal</v>
      </c>
    </row>
    <row r="2049" spans="1:44" s="41" customFormat="1" ht="12.75" customHeight="1">
      <c r="A2049" s="25" t="s">
        <v>1590</v>
      </c>
      <c r="B2049" s="25" t="str">
        <f t="shared" si="950"/>
        <v>Def Tax282250282-006BT010029</v>
      </c>
      <c r="C2049" s="736">
        <v>282250</v>
      </c>
      <c r="D2049" s="735" t="s">
        <v>2080</v>
      </c>
      <c r="E2049" s="41" t="s">
        <v>2081</v>
      </c>
      <c r="F2049" s="41" t="str">
        <f t="shared" si="933"/>
        <v>ACCUM DEF INC TAX-OTH PROP-STATE-GAS</v>
      </c>
      <c r="G2049" s="41" t="s">
        <v>2082</v>
      </c>
      <c r="H2049" s="736" t="s">
        <v>2083</v>
      </c>
      <c r="I2049" s="25"/>
      <c r="J2049" s="25" t="str">
        <f t="shared" si="934"/>
        <v/>
      </c>
      <c r="K2049" s="442" t="str">
        <f t="shared" si="994"/>
        <v/>
      </c>
      <c r="L2049" s="736" t="s">
        <v>2443</v>
      </c>
      <c r="M2049" s="25" t="str">
        <f t="shared" si="995"/>
        <v>R</v>
      </c>
      <c r="N2049" s="25" t="str">
        <f>IF(L2049&lt;&gt;"",VLOOKUP(L2049,Categories!$B$2:$D$41,2,FALSE),IF(F2049&lt;&gt;"","No Cat",""))</f>
        <v>Rate Base</v>
      </c>
      <c r="O2049" s="25" t="str">
        <f>IF($L2049&lt;&gt;"",VLOOKUP($L2049,Categories!$B$2:$D$41,3,FALSE),IF($F2049&lt;&gt;"","No Cat",""))</f>
        <v>Deferred Income Taxes</v>
      </c>
      <c r="P2049" s="736" t="s">
        <v>2483</v>
      </c>
      <c r="Q2049" s="25" t="str">
        <f>VLOOKUP($P2049,Allocators!$B$7:$F$19,5,FALSE)</f>
        <v>Gas</v>
      </c>
      <c r="R2049" s="737">
        <f>VLOOKUP($P2049,Allocators!$B$7:$F$19,2,FALSE)</f>
        <v>0</v>
      </c>
      <c r="S2049" s="737">
        <f>VLOOKUP($P2049,Allocators!$B$7:$F$19,3,FALSE)</f>
        <v>1</v>
      </c>
      <c r="T2049" s="737" t="str">
        <f t="shared" si="967"/>
        <v>0.0%</v>
      </c>
      <c r="U2049" s="2">
        <f t="shared" si="968"/>
        <v>0</v>
      </c>
      <c r="V2049" s="2">
        <f t="shared" si="969"/>
        <v>62.4077704166667</v>
      </c>
      <c r="W2049" s="2">
        <f t="shared" si="970"/>
        <v>0</v>
      </c>
      <c r="X2049" s="2">
        <f t="shared" si="959"/>
        <v>62.4077704166667</v>
      </c>
      <c r="Y2049" s="2">
        <f t="shared" si="971"/>
        <v>0</v>
      </c>
      <c r="Z2049" s="2">
        <f t="shared" si="972"/>
        <v>75.574680000000001</v>
      </c>
      <c r="AA2049" s="2">
        <f t="shared" si="973"/>
        <v>0</v>
      </c>
      <c r="AB2049" s="2">
        <f t="shared" si="960"/>
        <v>75.574679999999987</v>
      </c>
      <c r="AC2049" s="625">
        <v>52.843890000000002</v>
      </c>
      <c r="AD2049" s="625">
        <v>54.807610000000004</v>
      </c>
      <c r="AE2049" s="625">
        <v>56.042919999999995</v>
      </c>
      <c r="AF2049" s="625">
        <v>57.393339999999995</v>
      </c>
      <c r="AG2049" s="625">
        <v>58.587710000000001</v>
      </c>
      <c r="AH2049" s="625">
        <v>59.734279999999998</v>
      </c>
      <c r="AI2049" s="625">
        <v>60.946839999999995</v>
      </c>
      <c r="AJ2049" s="625">
        <v>62.682749999999999</v>
      </c>
      <c r="AK2049" s="625">
        <v>64.544319999999999</v>
      </c>
      <c r="AL2049" s="625">
        <v>67.036709999999999</v>
      </c>
      <c r="AM2049" s="625">
        <v>70.254869999999997</v>
      </c>
      <c r="AN2049" s="625">
        <v>72.652609999999996</v>
      </c>
      <c r="AO2049" s="625">
        <v>75.574679999999987</v>
      </c>
      <c r="AP2049" s="41" t="str">
        <f t="shared" si="943"/>
        <v>Def TaxR</v>
      </c>
      <c r="AQ2049" s="41" t="str">
        <f t="shared" si="944"/>
        <v>Def TaxRR11Capitalized Interest</v>
      </c>
      <c r="AR2049" s="41" t="str">
        <f t="shared" si="945"/>
        <v>R11Capitalized Interest</v>
      </c>
    </row>
    <row r="2050" spans="1:44" s="41" customFormat="1" ht="12.75" customHeight="1">
      <c r="A2050" s="25" t="s">
        <v>1590</v>
      </c>
      <c r="B2050" s="25" t="str">
        <f t="shared" si="950"/>
        <v>Def Tax282250282-007BT010202</v>
      </c>
      <c r="C2050" s="736">
        <v>282250</v>
      </c>
      <c r="D2050" s="735" t="s">
        <v>2084</v>
      </c>
      <c r="E2050" s="41" t="s">
        <v>1786</v>
      </c>
      <c r="F2050" s="41" t="str">
        <f t="shared" si="933"/>
        <v>ACCUM DEF INC TAX-OTH PROP-STATE-GAS</v>
      </c>
      <c r="G2050" s="41" t="s">
        <v>2085</v>
      </c>
      <c r="H2050" s="736" t="s">
        <v>2086</v>
      </c>
      <c r="I2050" s="25"/>
      <c r="J2050" s="25" t="str">
        <f t="shared" si="934"/>
        <v/>
      </c>
      <c r="K2050" s="442" t="str">
        <f t="shared" si="994"/>
        <v/>
      </c>
      <c r="L2050" s="736" t="s">
        <v>2443</v>
      </c>
      <c r="M2050" s="25" t="str">
        <f t="shared" si="995"/>
        <v>R</v>
      </c>
      <c r="N2050" s="25" t="str">
        <f>IF(L2050&lt;&gt;"",VLOOKUP(L2050,Categories!$B$2:$D$41,2,FALSE),IF(F2050&lt;&gt;"","No Cat",""))</f>
        <v>Rate Base</v>
      </c>
      <c r="O2050" s="25" t="str">
        <f>IF($L2050&lt;&gt;"",VLOOKUP($L2050,Categories!$B$2:$D$41,3,FALSE),IF($F2050&lt;&gt;"","No Cat",""))</f>
        <v>Deferred Income Taxes</v>
      </c>
      <c r="P2050" s="736" t="s">
        <v>2483</v>
      </c>
      <c r="Q2050" s="25" t="str">
        <f>VLOOKUP($P2050,Allocators!$B$7:$F$19,5,FALSE)</f>
        <v>Gas</v>
      </c>
      <c r="R2050" s="737">
        <f>VLOOKUP($P2050,Allocators!$B$7:$F$19,2,FALSE)</f>
        <v>0</v>
      </c>
      <c r="S2050" s="737">
        <f>VLOOKUP($P2050,Allocators!$B$7:$F$19,3,FALSE)</f>
        <v>1</v>
      </c>
      <c r="T2050" s="737" t="str">
        <f t="shared" si="967"/>
        <v>0.0%</v>
      </c>
      <c r="U2050" s="2" t="str">
        <f t="shared" si="968"/>
        <v/>
      </c>
      <c r="V2050" s="2" t="str">
        <f t="shared" si="969"/>
        <v/>
      </c>
      <c r="W2050" s="2" t="str">
        <f t="shared" si="970"/>
        <v/>
      </c>
      <c r="X2050" s="2">
        <f t="shared" si="959"/>
        <v>0</v>
      </c>
      <c r="Y2050" s="2" t="str">
        <f t="shared" si="971"/>
        <v/>
      </c>
      <c r="Z2050" s="2" t="str">
        <f t="shared" si="972"/>
        <v/>
      </c>
      <c r="AA2050" s="2" t="str">
        <f t="shared" si="973"/>
        <v/>
      </c>
      <c r="AB2050" s="2">
        <f t="shared" si="960"/>
        <v>0</v>
      </c>
      <c r="AC2050" s="625">
        <v>0</v>
      </c>
      <c r="AD2050" s="625">
        <v>0</v>
      </c>
      <c r="AE2050" s="625">
        <v>0</v>
      </c>
      <c r="AF2050" s="625">
        <v>0</v>
      </c>
      <c r="AG2050" s="625">
        <v>0</v>
      </c>
      <c r="AH2050" s="625">
        <v>0</v>
      </c>
      <c r="AI2050" s="625">
        <v>0</v>
      </c>
      <c r="AJ2050" s="625">
        <v>0</v>
      </c>
      <c r="AK2050" s="625">
        <v>0</v>
      </c>
      <c r="AL2050" s="625">
        <v>0</v>
      </c>
      <c r="AM2050" s="625">
        <v>0</v>
      </c>
      <c r="AN2050" s="625">
        <v>0</v>
      </c>
      <c r="AO2050" s="625">
        <v>0</v>
      </c>
      <c r="AP2050" s="41" t="str">
        <f t="shared" si="943"/>
        <v>Def TaxR</v>
      </c>
      <c r="AQ2050" s="41" t="str">
        <f t="shared" si="944"/>
        <v>Def TaxRR11Excess Salvage</v>
      </c>
      <c r="AR2050" s="41" t="str">
        <f t="shared" si="945"/>
        <v>R11Excess Salvage</v>
      </c>
    </row>
    <row r="2051" spans="1:44" s="41" customFormat="1" ht="12.75" customHeight="1">
      <c r="A2051" s="25" t="s">
        <v>1590</v>
      </c>
      <c r="B2051" s="25" t="str">
        <f t="shared" ref="B2051" si="1001">CONCATENATE(A2051,C2051,D2051,E2051)</f>
        <v>Def Tax282250282-007BT010202</v>
      </c>
      <c r="C2051" s="736">
        <v>282250</v>
      </c>
      <c r="D2051" s="735" t="s">
        <v>2084</v>
      </c>
      <c r="E2051" s="41" t="s">
        <v>1786</v>
      </c>
      <c r="F2051" s="41" t="str">
        <f t="shared" si="933"/>
        <v>ACCUM DEF INC TAX-OTH PROP-STATE-GAS</v>
      </c>
      <c r="G2051" s="41" t="s">
        <v>4122</v>
      </c>
      <c r="H2051" s="736" t="s">
        <v>2086</v>
      </c>
      <c r="I2051" s="25"/>
      <c r="J2051" s="25" t="str">
        <f t="shared" ref="J2051" si="1002">IF(L2051="N10","Y",IF(L2051="N8","Y",""))</f>
        <v/>
      </c>
      <c r="K2051" s="442" t="str">
        <f t="shared" si="994"/>
        <v/>
      </c>
      <c r="L2051" s="736" t="s">
        <v>2443</v>
      </c>
      <c r="M2051" s="25" t="str">
        <f t="shared" ref="M2051" si="1003">LEFT(L2051,1)</f>
        <v>R</v>
      </c>
      <c r="N2051" s="25" t="str">
        <f>IF(L2051&lt;&gt;"",VLOOKUP(L2051,Categories!$B$2:$D$41,2,FALSE),IF(F2051&lt;&gt;"","No Cat",""))</f>
        <v>Rate Base</v>
      </c>
      <c r="O2051" s="25" t="str">
        <f>IF($L2051&lt;&gt;"",VLOOKUP($L2051,Categories!$B$2:$D$41,3,FALSE),IF($F2051&lt;&gt;"","No Cat",""))</f>
        <v>Deferred Income Taxes</v>
      </c>
      <c r="P2051" s="736" t="s">
        <v>2483</v>
      </c>
      <c r="Q2051" s="25" t="str">
        <f>VLOOKUP($P2051,Allocators!$B$7:$F$19,5,FALSE)</f>
        <v>Gas</v>
      </c>
      <c r="R2051" s="737">
        <f>VLOOKUP($P2051,Allocators!$B$7:$F$19,2,FALSE)</f>
        <v>0</v>
      </c>
      <c r="S2051" s="737">
        <f>VLOOKUP($P2051,Allocators!$B$7:$F$19,3,FALSE)</f>
        <v>1</v>
      </c>
      <c r="T2051" s="737" t="str">
        <f t="shared" ref="T2051" si="1004">IF(P2051="N",1,"0.0%")</f>
        <v>0.0%</v>
      </c>
      <c r="U2051" s="2">
        <f t="shared" si="968"/>
        <v>0</v>
      </c>
      <c r="V2051" s="2">
        <f t="shared" si="969"/>
        <v>632.50576041666704</v>
      </c>
      <c r="W2051" s="2">
        <f t="shared" si="970"/>
        <v>0</v>
      </c>
      <c r="X2051" s="2">
        <f t="shared" si="959"/>
        <v>632.50576041666704</v>
      </c>
      <c r="Y2051" s="2">
        <f t="shared" si="971"/>
        <v>0</v>
      </c>
      <c r="Z2051" s="2">
        <f t="shared" si="972"/>
        <v>640.00738999999999</v>
      </c>
      <c r="AA2051" s="2">
        <f t="shared" si="973"/>
        <v>0</v>
      </c>
      <c r="AB2051" s="2">
        <f t="shared" si="960"/>
        <v>640.00738999999999</v>
      </c>
      <c r="AC2051" s="625">
        <v>629.80823999999996</v>
      </c>
      <c r="AD2051" s="625">
        <v>629.78105000000005</v>
      </c>
      <c r="AE2051" s="625">
        <v>629.78843000000006</v>
      </c>
      <c r="AF2051" s="625">
        <v>629.79503</v>
      </c>
      <c r="AG2051" s="625">
        <v>630.05624</v>
      </c>
      <c r="AH2051" s="625">
        <v>630.16174999999998</v>
      </c>
      <c r="AI2051" s="625">
        <v>630.30375000000004</v>
      </c>
      <c r="AJ2051" s="625">
        <v>633.64635999999996</v>
      </c>
      <c r="AK2051" s="625">
        <v>634.17453</v>
      </c>
      <c r="AL2051" s="625">
        <v>634.74224000000004</v>
      </c>
      <c r="AM2051" s="625">
        <v>634.98725999999999</v>
      </c>
      <c r="AN2051" s="625">
        <v>637.72467000000006</v>
      </c>
      <c r="AO2051" s="625">
        <v>640.00738999999999</v>
      </c>
      <c r="AP2051" s="41" t="str">
        <f t="shared" si="943"/>
        <v>Def TaxR</v>
      </c>
      <c r="AQ2051" s="41" t="str">
        <f t="shared" si="944"/>
        <v>Def TaxRR11Excess Salvage</v>
      </c>
      <c r="AR2051" s="41" t="str">
        <f t="shared" si="945"/>
        <v>R11Excess Salvage</v>
      </c>
    </row>
    <row r="2052" spans="1:44" s="41" customFormat="1" ht="12.75" customHeight="1">
      <c r="A2052" s="25" t="s">
        <v>1590</v>
      </c>
      <c r="B2052" s="25" t="str">
        <f t="shared" si="950"/>
        <v>Def Tax282250282-007-SBT010202</v>
      </c>
      <c r="C2052" s="736">
        <v>282250</v>
      </c>
      <c r="D2052" s="735" t="s">
        <v>2087</v>
      </c>
      <c r="E2052" s="41" t="s">
        <v>1786</v>
      </c>
      <c r="F2052" s="41" t="str">
        <f t="shared" si="933"/>
        <v>ACCUM DEF INC TAX-OTH PROP-STATE-GAS</v>
      </c>
      <c r="G2052" s="41" t="s">
        <v>2088</v>
      </c>
      <c r="H2052" s="736" t="s">
        <v>2086</v>
      </c>
      <c r="I2052" s="25"/>
      <c r="J2052" s="25" t="str">
        <f t="shared" si="934"/>
        <v/>
      </c>
      <c r="K2052" s="442" t="str">
        <f t="shared" si="994"/>
        <v/>
      </c>
      <c r="L2052" s="736" t="s">
        <v>2443</v>
      </c>
      <c r="M2052" s="25" t="str">
        <f t="shared" si="995"/>
        <v>R</v>
      </c>
      <c r="N2052" s="25" t="str">
        <f>IF(L2052&lt;&gt;"",VLOOKUP(L2052,Categories!$B$2:$D$41,2,FALSE),IF(F2052&lt;&gt;"","No Cat",""))</f>
        <v>Rate Base</v>
      </c>
      <c r="O2052" s="25" t="str">
        <f>IF($L2052&lt;&gt;"",VLOOKUP($L2052,Categories!$B$2:$D$41,3,FALSE),IF($F2052&lt;&gt;"","No Cat",""))</f>
        <v>Deferred Income Taxes</v>
      </c>
      <c r="P2052" s="736" t="s">
        <v>2483</v>
      </c>
      <c r="Q2052" s="25" t="str">
        <f>VLOOKUP($P2052,Allocators!$B$7:$F$19,5,FALSE)</f>
        <v>Gas</v>
      </c>
      <c r="R2052" s="737">
        <f>VLOOKUP($P2052,Allocators!$B$7:$F$19,2,FALSE)</f>
        <v>0</v>
      </c>
      <c r="S2052" s="737">
        <f>VLOOKUP($P2052,Allocators!$B$7:$F$19,3,FALSE)</f>
        <v>1</v>
      </c>
      <c r="T2052" s="737" t="str">
        <f t="shared" si="967"/>
        <v>0.0%</v>
      </c>
      <c r="U2052" s="2" t="str">
        <f t="shared" si="968"/>
        <v/>
      </c>
      <c r="V2052" s="2" t="str">
        <f t="shared" si="969"/>
        <v/>
      </c>
      <c r="W2052" s="2" t="str">
        <f t="shared" si="970"/>
        <v/>
      </c>
      <c r="X2052" s="2">
        <f t="shared" si="959"/>
        <v>0</v>
      </c>
      <c r="Y2052" s="2" t="str">
        <f t="shared" si="971"/>
        <v/>
      </c>
      <c r="Z2052" s="2" t="str">
        <f t="shared" si="972"/>
        <v/>
      </c>
      <c r="AA2052" s="2" t="str">
        <f t="shared" si="973"/>
        <v/>
      </c>
      <c r="AB2052" s="2">
        <f t="shared" si="960"/>
        <v>0</v>
      </c>
      <c r="AC2052" s="625">
        <v>0</v>
      </c>
      <c r="AD2052" s="625">
        <v>0</v>
      </c>
      <c r="AE2052" s="625">
        <v>0</v>
      </c>
      <c r="AF2052" s="625">
        <v>0</v>
      </c>
      <c r="AG2052" s="625">
        <v>0</v>
      </c>
      <c r="AH2052" s="625">
        <v>0</v>
      </c>
      <c r="AI2052" s="625">
        <v>0</v>
      </c>
      <c r="AJ2052" s="625">
        <v>0</v>
      </c>
      <c r="AK2052" s="625">
        <v>0</v>
      </c>
      <c r="AL2052" s="625">
        <v>0</v>
      </c>
      <c r="AM2052" s="625">
        <v>0</v>
      </c>
      <c r="AN2052" s="625">
        <v>0</v>
      </c>
      <c r="AO2052" s="625">
        <v>0</v>
      </c>
      <c r="AP2052" s="41" t="str">
        <f t="shared" si="943"/>
        <v>Def TaxR</v>
      </c>
      <c r="AQ2052" s="41" t="str">
        <f t="shared" si="944"/>
        <v>Def TaxRR11Excess Salvage</v>
      </c>
      <c r="AR2052" s="41" t="str">
        <f t="shared" si="945"/>
        <v>R11Excess Salvage</v>
      </c>
    </row>
    <row r="2053" spans="1:44" s="41" customFormat="1" ht="12.75" customHeight="1">
      <c r="A2053" s="25" t="s">
        <v>1590</v>
      </c>
      <c r="B2053" s="25" t="str">
        <f t="shared" si="950"/>
        <v>Def Tax282250282-008BT010098</v>
      </c>
      <c r="C2053" s="736">
        <v>282250</v>
      </c>
      <c r="D2053" s="735" t="s">
        <v>2089</v>
      </c>
      <c r="E2053" s="41" t="s">
        <v>2090</v>
      </c>
      <c r="F2053" s="41" t="str">
        <f t="shared" si="933"/>
        <v>ACCUM DEF INC TAX-OTH PROP-STATE-GAS</v>
      </c>
      <c r="G2053" s="41" t="s">
        <v>2091</v>
      </c>
      <c r="H2053" s="736" t="s">
        <v>2092</v>
      </c>
      <c r="I2053" s="25"/>
      <c r="J2053" s="25" t="str">
        <f t="shared" si="934"/>
        <v/>
      </c>
      <c r="K2053" s="442" t="str">
        <f t="shared" si="994"/>
        <v/>
      </c>
      <c r="L2053" s="736" t="s">
        <v>2443</v>
      </c>
      <c r="M2053" s="25" t="str">
        <f t="shared" si="995"/>
        <v>R</v>
      </c>
      <c r="N2053" s="25" t="str">
        <f>IF(L2053&lt;&gt;"",VLOOKUP(L2053,Categories!$B$2:$D$41,2,FALSE),IF(F2053&lt;&gt;"","No Cat",""))</f>
        <v>Rate Base</v>
      </c>
      <c r="O2053" s="25" t="str">
        <f>IF($L2053&lt;&gt;"",VLOOKUP($L2053,Categories!$B$2:$D$41,3,FALSE),IF($F2053&lt;&gt;"","No Cat",""))</f>
        <v>Deferred Income Taxes</v>
      </c>
      <c r="P2053" s="736" t="s">
        <v>2483</v>
      </c>
      <c r="Q2053" s="25" t="str">
        <f>VLOOKUP($P2053,Allocators!$B$7:$F$19,5,FALSE)</f>
        <v>Gas</v>
      </c>
      <c r="R2053" s="737">
        <f>VLOOKUP($P2053,Allocators!$B$7:$F$19,2,FALSE)</f>
        <v>0</v>
      </c>
      <c r="S2053" s="737">
        <f>VLOOKUP($P2053,Allocators!$B$7:$F$19,3,FALSE)</f>
        <v>1</v>
      </c>
      <c r="T2053" s="737" t="str">
        <f t="shared" si="967"/>
        <v>0.0%</v>
      </c>
      <c r="U2053" s="2" t="str">
        <f t="shared" si="968"/>
        <v/>
      </c>
      <c r="V2053" s="2" t="str">
        <f t="shared" si="969"/>
        <v/>
      </c>
      <c r="W2053" s="2" t="str">
        <f t="shared" si="970"/>
        <v/>
      </c>
      <c r="X2053" s="2">
        <f t="shared" si="959"/>
        <v>0</v>
      </c>
      <c r="Y2053" s="2" t="str">
        <f t="shared" si="971"/>
        <v/>
      </c>
      <c r="Z2053" s="2" t="str">
        <f t="shared" si="972"/>
        <v/>
      </c>
      <c r="AA2053" s="2" t="str">
        <f t="shared" si="973"/>
        <v/>
      </c>
      <c r="AB2053" s="2">
        <f t="shared" si="960"/>
        <v>0</v>
      </c>
      <c r="AC2053" s="625">
        <v>0</v>
      </c>
      <c r="AD2053" s="625">
        <v>0</v>
      </c>
      <c r="AE2053" s="625">
        <v>0</v>
      </c>
      <c r="AF2053" s="625">
        <v>0</v>
      </c>
      <c r="AG2053" s="625">
        <v>0</v>
      </c>
      <c r="AH2053" s="625">
        <v>0</v>
      </c>
      <c r="AI2053" s="625">
        <v>0</v>
      </c>
      <c r="AJ2053" s="625">
        <v>0</v>
      </c>
      <c r="AK2053" s="625">
        <v>0</v>
      </c>
      <c r="AL2053" s="625">
        <v>0</v>
      </c>
      <c r="AM2053" s="625">
        <v>0</v>
      </c>
      <c r="AN2053" s="625">
        <v>0</v>
      </c>
      <c r="AO2053" s="625">
        <v>0</v>
      </c>
      <c r="AP2053" s="41" t="str">
        <f t="shared" si="943"/>
        <v>Def TaxR</v>
      </c>
      <c r="AQ2053" s="41" t="str">
        <f t="shared" si="944"/>
        <v>Def TaxRR11Tax Gain / Loss on Retirement</v>
      </c>
      <c r="AR2053" s="41" t="str">
        <f t="shared" si="945"/>
        <v>R11Tax Gain / Loss on Retirement</v>
      </c>
    </row>
    <row r="2054" spans="1:44" s="41" customFormat="1" ht="12.75" customHeight="1">
      <c r="A2054" s="25" t="s">
        <v>1590</v>
      </c>
      <c r="B2054" s="25" t="str">
        <f t="shared" si="950"/>
        <v>Def Tax282250282-008-BOOKBT010097</v>
      </c>
      <c r="C2054" s="736">
        <v>282250</v>
      </c>
      <c r="D2054" s="735" t="s">
        <v>2093</v>
      </c>
      <c r="E2054" s="41" t="s">
        <v>2094</v>
      </c>
      <c r="F2054" s="41" t="str">
        <f t="shared" si="933"/>
        <v>ACCUM DEF INC TAX-OTH PROP-STATE-GAS</v>
      </c>
      <c r="G2054" s="41" t="s">
        <v>2095</v>
      </c>
      <c r="H2054" s="736" t="s">
        <v>2092</v>
      </c>
      <c r="I2054" s="25"/>
      <c r="J2054" s="25" t="str">
        <f t="shared" si="934"/>
        <v/>
      </c>
      <c r="K2054" s="442" t="str">
        <f t="shared" si="994"/>
        <v/>
      </c>
      <c r="L2054" s="736" t="s">
        <v>2443</v>
      </c>
      <c r="M2054" s="25" t="str">
        <f t="shared" si="995"/>
        <v>R</v>
      </c>
      <c r="N2054" s="25" t="str">
        <f>IF(L2054&lt;&gt;"",VLOOKUP(L2054,Categories!$B$2:$D$41,2,FALSE),IF(F2054&lt;&gt;"","No Cat",""))</f>
        <v>Rate Base</v>
      </c>
      <c r="O2054" s="25" t="str">
        <f>IF($L2054&lt;&gt;"",VLOOKUP($L2054,Categories!$B$2:$D$41,3,FALSE),IF($F2054&lt;&gt;"","No Cat",""))</f>
        <v>Deferred Income Taxes</v>
      </c>
      <c r="P2054" s="736" t="s">
        <v>2483</v>
      </c>
      <c r="Q2054" s="25" t="str">
        <f>VLOOKUP($P2054,Allocators!$B$7:$F$19,5,FALSE)</f>
        <v>Gas</v>
      </c>
      <c r="R2054" s="737">
        <f>VLOOKUP($P2054,Allocators!$B$7:$F$19,2,FALSE)</f>
        <v>0</v>
      </c>
      <c r="S2054" s="737">
        <f>VLOOKUP($P2054,Allocators!$B$7:$F$19,3,FALSE)</f>
        <v>1</v>
      </c>
      <c r="T2054" s="737" t="str">
        <f t="shared" si="967"/>
        <v>0.0%</v>
      </c>
      <c r="U2054" s="2" t="str">
        <f t="shared" si="968"/>
        <v/>
      </c>
      <c r="V2054" s="2" t="str">
        <f t="shared" si="969"/>
        <v/>
      </c>
      <c r="W2054" s="2" t="str">
        <f t="shared" si="970"/>
        <v/>
      </c>
      <c r="X2054" s="2">
        <f t="shared" si="959"/>
        <v>0</v>
      </c>
      <c r="Y2054" s="2" t="str">
        <f t="shared" si="971"/>
        <v/>
      </c>
      <c r="Z2054" s="2" t="str">
        <f t="shared" si="972"/>
        <v/>
      </c>
      <c r="AA2054" s="2" t="str">
        <f t="shared" si="973"/>
        <v/>
      </c>
      <c r="AB2054" s="2">
        <f t="shared" si="960"/>
        <v>0</v>
      </c>
      <c r="AC2054" s="625">
        <v>0</v>
      </c>
      <c r="AD2054" s="625">
        <v>0</v>
      </c>
      <c r="AE2054" s="625">
        <v>0</v>
      </c>
      <c r="AF2054" s="625">
        <v>0</v>
      </c>
      <c r="AG2054" s="625">
        <v>0</v>
      </c>
      <c r="AH2054" s="625">
        <v>0</v>
      </c>
      <c r="AI2054" s="625">
        <v>0</v>
      </c>
      <c r="AJ2054" s="625">
        <v>0</v>
      </c>
      <c r="AK2054" s="625">
        <v>0</v>
      </c>
      <c r="AL2054" s="625">
        <v>0</v>
      </c>
      <c r="AM2054" s="625">
        <v>0</v>
      </c>
      <c r="AN2054" s="625">
        <v>0</v>
      </c>
      <c r="AO2054" s="625">
        <v>0</v>
      </c>
      <c r="AP2054" s="41" t="str">
        <f t="shared" si="943"/>
        <v>Def TaxR</v>
      </c>
      <c r="AQ2054" s="41" t="str">
        <f t="shared" si="944"/>
        <v>Def TaxRR11Tax Gain / Loss on Retirement</v>
      </c>
      <c r="AR2054" s="41" t="str">
        <f t="shared" si="945"/>
        <v>R11Tax Gain / Loss on Retirement</v>
      </c>
    </row>
    <row r="2055" spans="1:44" s="41" customFormat="1" ht="12.75" customHeight="1">
      <c r="A2055" s="25" t="s">
        <v>1590</v>
      </c>
      <c r="B2055" s="25" t="str">
        <f t="shared" si="950"/>
        <v>Def Tax282250282-009-SBT010190</v>
      </c>
      <c r="C2055" s="736">
        <v>282250</v>
      </c>
      <c r="D2055" s="735" t="s">
        <v>2099</v>
      </c>
      <c r="E2055" s="41" t="s">
        <v>2097</v>
      </c>
      <c r="F2055" s="41" t="str">
        <f t="shared" si="933"/>
        <v>ACCUM DEF INC TAX-OTH PROP-STATE-GAS</v>
      </c>
      <c r="G2055" s="41" t="s">
        <v>2100</v>
      </c>
      <c r="H2055" s="736" t="s">
        <v>2092</v>
      </c>
      <c r="I2055" s="25"/>
      <c r="J2055" s="25" t="str">
        <f t="shared" si="934"/>
        <v/>
      </c>
      <c r="K2055" s="442" t="str">
        <f t="shared" si="994"/>
        <v/>
      </c>
      <c r="L2055" s="736" t="s">
        <v>2443</v>
      </c>
      <c r="M2055" s="25" t="str">
        <f t="shared" si="995"/>
        <v>R</v>
      </c>
      <c r="N2055" s="25" t="str">
        <f>IF(L2055&lt;&gt;"",VLOOKUP(L2055,Categories!$B$2:$D$41,2,FALSE),IF(F2055&lt;&gt;"","No Cat",""))</f>
        <v>Rate Base</v>
      </c>
      <c r="O2055" s="25" t="str">
        <f>IF($L2055&lt;&gt;"",VLOOKUP($L2055,Categories!$B$2:$D$41,3,FALSE),IF($F2055&lt;&gt;"","No Cat",""))</f>
        <v>Deferred Income Taxes</v>
      </c>
      <c r="P2055" s="736" t="s">
        <v>2483</v>
      </c>
      <c r="Q2055" s="25" t="str">
        <f>VLOOKUP($P2055,Allocators!$B$7:$F$19,5,FALSE)</f>
        <v>Gas</v>
      </c>
      <c r="R2055" s="737">
        <f>VLOOKUP($P2055,Allocators!$B$7:$F$19,2,FALSE)</f>
        <v>0</v>
      </c>
      <c r="S2055" s="737">
        <f>VLOOKUP($P2055,Allocators!$B$7:$F$19,3,FALSE)</f>
        <v>1</v>
      </c>
      <c r="T2055" s="737" t="str">
        <f t="shared" si="967"/>
        <v>0.0%</v>
      </c>
      <c r="U2055" s="2">
        <f t="shared" si="968"/>
        <v>0</v>
      </c>
      <c r="V2055" s="2">
        <f t="shared" si="969"/>
        <v>0.48141</v>
      </c>
      <c r="W2055" s="2">
        <f t="shared" si="970"/>
        <v>0</v>
      </c>
      <c r="X2055" s="2">
        <f t="shared" si="959"/>
        <v>0.48141</v>
      </c>
      <c r="Y2055" s="2">
        <f t="shared" si="971"/>
        <v>0</v>
      </c>
      <c r="Z2055" s="2">
        <f t="shared" si="972"/>
        <v>0.48141</v>
      </c>
      <c r="AA2055" s="2">
        <f t="shared" si="973"/>
        <v>0</v>
      </c>
      <c r="AB2055" s="2">
        <f t="shared" si="960"/>
        <v>0.48141</v>
      </c>
      <c r="AC2055" s="625">
        <v>0.48141</v>
      </c>
      <c r="AD2055" s="625">
        <v>0.48141</v>
      </c>
      <c r="AE2055" s="625">
        <v>0.48141</v>
      </c>
      <c r="AF2055" s="625">
        <v>0.48141</v>
      </c>
      <c r="AG2055" s="625">
        <v>0.48141</v>
      </c>
      <c r="AH2055" s="625">
        <v>0.48141</v>
      </c>
      <c r="AI2055" s="625">
        <v>0.48141</v>
      </c>
      <c r="AJ2055" s="625">
        <v>0.48141</v>
      </c>
      <c r="AK2055" s="625">
        <v>0.48141</v>
      </c>
      <c r="AL2055" s="625">
        <v>0.48141</v>
      </c>
      <c r="AM2055" s="625">
        <v>0.48141</v>
      </c>
      <c r="AN2055" s="625">
        <v>0.48141</v>
      </c>
      <c r="AO2055" s="625">
        <v>0.48141</v>
      </c>
      <c r="AP2055" s="41" t="str">
        <f t="shared" si="943"/>
        <v>Def TaxR</v>
      </c>
      <c r="AQ2055" s="41" t="str">
        <f t="shared" si="944"/>
        <v>Def TaxRR11Tax Gain / Loss on Retirement</v>
      </c>
      <c r="AR2055" s="41" t="str">
        <f t="shared" si="945"/>
        <v>R11Tax Gain / Loss on Retirement</v>
      </c>
    </row>
    <row r="2056" spans="1:44" s="41" customFormat="1" ht="12.75" customHeight="1">
      <c r="A2056" s="25" t="s">
        <v>1590</v>
      </c>
      <c r="B2056" s="25" t="str">
        <f t="shared" si="950"/>
        <v>Def Tax282250282-013</v>
      </c>
      <c r="C2056" s="736">
        <v>282250</v>
      </c>
      <c r="D2056" s="735" t="s">
        <v>2113</v>
      </c>
      <c r="F2056" s="41" t="str">
        <f t="shared" si="933"/>
        <v>ACCUM DEF INC TAX-OTH PROP-STATE-GAS</v>
      </c>
      <c r="G2056" s="41" t="s">
        <v>2114</v>
      </c>
      <c r="H2056" s="736" t="s">
        <v>2115</v>
      </c>
      <c r="I2056" s="25"/>
      <c r="J2056" s="25" t="str">
        <f t="shared" si="934"/>
        <v/>
      </c>
      <c r="K2056" s="442" t="str">
        <f t="shared" si="994"/>
        <v/>
      </c>
      <c r="L2056" s="736" t="s">
        <v>2443</v>
      </c>
      <c r="M2056" s="25" t="str">
        <f t="shared" si="995"/>
        <v>R</v>
      </c>
      <c r="N2056" s="25" t="str">
        <f>IF(L2056&lt;&gt;"",VLOOKUP(L2056,Categories!$B$2:$D$41,2,FALSE),IF(F2056&lt;&gt;"","No Cat",""))</f>
        <v>Rate Base</v>
      </c>
      <c r="O2056" s="25" t="str">
        <f>IF($L2056&lt;&gt;"",VLOOKUP($L2056,Categories!$B$2:$D$41,3,FALSE),IF($F2056&lt;&gt;"","No Cat",""))</f>
        <v>Deferred Income Taxes</v>
      </c>
      <c r="P2056" s="736" t="s">
        <v>2483</v>
      </c>
      <c r="Q2056" s="25" t="str">
        <f>VLOOKUP($P2056,Allocators!$B$7:$F$19,5,FALSE)</f>
        <v>Gas</v>
      </c>
      <c r="R2056" s="737">
        <f>VLOOKUP($P2056,Allocators!$B$7:$F$19,2,FALSE)</f>
        <v>0</v>
      </c>
      <c r="S2056" s="737">
        <f>VLOOKUP($P2056,Allocators!$B$7:$F$19,3,FALSE)</f>
        <v>1</v>
      </c>
      <c r="T2056" s="737" t="str">
        <f t="shared" si="967"/>
        <v>0.0%</v>
      </c>
      <c r="U2056" s="2" t="str">
        <f t="shared" si="968"/>
        <v/>
      </c>
      <c r="V2056" s="2" t="str">
        <f t="shared" si="969"/>
        <v/>
      </c>
      <c r="W2056" s="2" t="str">
        <f t="shared" si="970"/>
        <v/>
      </c>
      <c r="X2056" s="2">
        <f t="shared" si="959"/>
        <v>0</v>
      </c>
      <c r="Y2056" s="2" t="str">
        <f t="shared" si="971"/>
        <v/>
      </c>
      <c r="Z2056" s="2" t="str">
        <f t="shared" si="972"/>
        <v/>
      </c>
      <c r="AA2056" s="2" t="str">
        <f t="shared" si="973"/>
        <v/>
      </c>
      <c r="AB2056" s="2">
        <f t="shared" si="960"/>
        <v>0</v>
      </c>
      <c r="AC2056" s="625">
        <v>0</v>
      </c>
      <c r="AD2056" s="625">
        <v>0</v>
      </c>
      <c r="AE2056" s="625">
        <v>0</v>
      </c>
      <c r="AF2056" s="625">
        <v>0</v>
      </c>
      <c r="AG2056" s="625">
        <v>0</v>
      </c>
      <c r="AH2056" s="625">
        <v>0</v>
      </c>
      <c r="AI2056" s="625">
        <v>0</v>
      </c>
      <c r="AJ2056" s="625">
        <v>0</v>
      </c>
      <c r="AK2056" s="625">
        <v>0</v>
      </c>
      <c r="AL2056" s="625">
        <v>0</v>
      </c>
      <c r="AM2056" s="625">
        <v>0</v>
      </c>
      <c r="AN2056" s="625">
        <v>0</v>
      </c>
      <c r="AO2056" s="625">
        <v>0</v>
      </c>
      <c r="AP2056" s="41" t="str">
        <f t="shared" ref="AP2056:AP2119" si="1005">CONCATENATE(A2056,M2056)</f>
        <v>Def TaxR</v>
      </c>
      <c r="AQ2056" s="41" t="str">
        <f t="shared" ref="AQ2056:AQ2119" si="1006">CONCATENATE(AP2056,L2056,H2056)</f>
        <v>Def TaxRR11Internal Software - IBO</v>
      </c>
      <c r="AR2056" s="41" t="str">
        <f t="shared" ref="AR2056:AR2119" si="1007">CONCATENATE(L2056,H2056,J2056)</f>
        <v>R11Internal Software - IBO</v>
      </c>
    </row>
    <row r="2057" spans="1:44" s="41" customFormat="1" ht="12.75" customHeight="1">
      <c r="A2057" s="25" t="s">
        <v>1590</v>
      </c>
      <c r="B2057" s="25" t="str">
        <f t="shared" si="950"/>
        <v>Def Tax282250282-014</v>
      </c>
      <c r="C2057" s="736">
        <v>282250</v>
      </c>
      <c r="D2057" s="735" t="s">
        <v>2116</v>
      </c>
      <c r="F2057" s="41" t="str">
        <f t="shared" si="933"/>
        <v>ACCUM DEF INC TAX-OTH PROP-STATE-GAS</v>
      </c>
      <c r="G2057" s="41" t="s">
        <v>2117</v>
      </c>
      <c r="H2057" s="736" t="s">
        <v>2118</v>
      </c>
      <c r="I2057" s="25"/>
      <c r="J2057" s="25" t="str">
        <f t="shared" si="934"/>
        <v/>
      </c>
      <c r="K2057" s="442" t="str">
        <f t="shared" si="994"/>
        <v/>
      </c>
      <c r="L2057" s="736" t="s">
        <v>2443</v>
      </c>
      <c r="M2057" s="25" t="str">
        <f t="shared" si="995"/>
        <v>R</v>
      </c>
      <c r="N2057" s="25" t="str">
        <f>IF(L2057&lt;&gt;"",VLOOKUP(L2057,Categories!$B$2:$D$41,2,FALSE),IF(F2057&lt;&gt;"","No Cat",""))</f>
        <v>Rate Base</v>
      </c>
      <c r="O2057" s="25" t="str">
        <f>IF($L2057&lt;&gt;"",VLOOKUP($L2057,Categories!$B$2:$D$41,3,FALSE),IF($F2057&lt;&gt;"","No Cat",""))</f>
        <v>Deferred Income Taxes</v>
      </c>
      <c r="P2057" s="736" t="s">
        <v>2483</v>
      </c>
      <c r="Q2057" s="25" t="str">
        <f>VLOOKUP($P2057,Allocators!$B$7:$F$19,5,FALSE)</f>
        <v>Gas</v>
      </c>
      <c r="R2057" s="737">
        <f>VLOOKUP($P2057,Allocators!$B$7:$F$19,2,FALSE)</f>
        <v>0</v>
      </c>
      <c r="S2057" s="737">
        <f>VLOOKUP($P2057,Allocators!$B$7:$F$19,3,FALSE)</f>
        <v>1</v>
      </c>
      <c r="T2057" s="737" t="str">
        <f t="shared" si="967"/>
        <v>0.0%</v>
      </c>
      <c r="U2057" s="2" t="str">
        <f t="shared" si="968"/>
        <v/>
      </c>
      <c r="V2057" s="2" t="str">
        <f t="shared" si="969"/>
        <v/>
      </c>
      <c r="W2057" s="2" t="str">
        <f t="shared" si="970"/>
        <v/>
      </c>
      <c r="X2057" s="2">
        <f t="shared" si="959"/>
        <v>0</v>
      </c>
      <c r="Y2057" s="2" t="str">
        <f t="shared" si="971"/>
        <v/>
      </c>
      <c r="Z2057" s="2" t="str">
        <f t="shared" si="972"/>
        <v/>
      </c>
      <c r="AA2057" s="2" t="str">
        <f t="shared" si="973"/>
        <v/>
      </c>
      <c r="AB2057" s="2">
        <f t="shared" si="960"/>
        <v>0</v>
      </c>
      <c r="AC2057" s="625">
        <v>0</v>
      </c>
      <c r="AD2057" s="625">
        <v>0</v>
      </c>
      <c r="AE2057" s="625">
        <v>0</v>
      </c>
      <c r="AF2057" s="625">
        <v>0</v>
      </c>
      <c r="AG2057" s="625">
        <v>0</v>
      </c>
      <c r="AH2057" s="625">
        <v>0</v>
      </c>
      <c r="AI2057" s="625">
        <v>0</v>
      </c>
      <c r="AJ2057" s="625">
        <v>0</v>
      </c>
      <c r="AK2057" s="625">
        <v>0</v>
      </c>
      <c r="AL2057" s="625">
        <v>0</v>
      </c>
      <c r="AM2057" s="625">
        <v>0</v>
      </c>
      <c r="AN2057" s="625">
        <v>0</v>
      </c>
      <c r="AO2057" s="625">
        <v>0</v>
      </c>
      <c r="AP2057" s="41" t="str">
        <f t="shared" si="1005"/>
        <v>Def TaxR</v>
      </c>
      <c r="AQ2057" s="41" t="str">
        <f t="shared" si="1006"/>
        <v>Def TaxRR11Internal Software - WMS</v>
      </c>
      <c r="AR2057" s="41" t="str">
        <f t="shared" si="1007"/>
        <v>R11Internal Software - WMS</v>
      </c>
    </row>
    <row r="2058" spans="1:44" s="41" customFormat="1" ht="12.75" customHeight="1">
      <c r="A2058" s="25" t="s">
        <v>1590</v>
      </c>
      <c r="B2058" s="25" t="str">
        <f t="shared" si="950"/>
        <v>Def Tax282250282-015</v>
      </c>
      <c r="C2058" s="736">
        <v>282250</v>
      </c>
      <c r="D2058" s="735" t="s">
        <v>2119</v>
      </c>
      <c r="F2058" s="41" t="str">
        <f t="shared" si="933"/>
        <v>ACCUM DEF INC TAX-OTH PROP-STATE-GAS</v>
      </c>
      <c r="G2058" s="41" t="s">
        <v>2120</v>
      </c>
      <c r="H2058" s="736" t="s">
        <v>2121</v>
      </c>
      <c r="I2058" s="25"/>
      <c r="J2058" s="25" t="str">
        <f t="shared" si="934"/>
        <v/>
      </c>
      <c r="K2058" s="442" t="str">
        <f t="shared" si="994"/>
        <v/>
      </c>
      <c r="L2058" s="736" t="s">
        <v>2443</v>
      </c>
      <c r="M2058" s="25" t="str">
        <f t="shared" si="995"/>
        <v>R</v>
      </c>
      <c r="N2058" s="25" t="str">
        <f>IF(L2058&lt;&gt;"",VLOOKUP(L2058,Categories!$B$2:$D$41,2,FALSE),IF(F2058&lt;&gt;"","No Cat",""))</f>
        <v>Rate Base</v>
      </c>
      <c r="O2058" s="25" t="str">
        <f>IF($L2058&lt;&gt;"",VLOOKUP($L2058,Categories!$B$2:$D$41,3,FALSE),IF($F2058&lt;&gt;"","No Cat",""))</f>
        <v>Deferred Income Taxes</v>
      </c>
      <c r="P2058" s="736" t="s">
        <v>2483</v>
      </c>
      <c r="Q2058" s="25" t="str">
        <f>VLOOKUP($P2058,Allocators!$B$7:$F$19,5,FALSE)</f>
        <v>Gas</v>
      </c>
      <c r="R2058" s="737">
        <f>VLOOKUP($P2058,Allocators!$B$7:$F$19,2,FALSE)</f>
        <v>0</v>
      </c>
      <c r="S2058" s="737">
        <f>VLOOKUP($P2058,Allocators!$B$7:$F$19,3,FALSE)</f>
        <v>1</v>
      </c>
      <c r="T2058" s="737" t="str">
        <f t="shared" si="967"/>
        <v>0.0%</v>
      </c>
      <c r="U2058" s="2" t="str">
        <f t="shared" si="968"/>
        <v/>
      </c>
      <c r="V2058" s="2" t="str">
        <f t="shared" si="969"/>
        <v/>
      </c>
      <c r="W2058" s="2" t="str">
        <f t="shared" si="970"/>
        <v/>
      </c>
      <c r="X2058" s="2">
        <f t="shared" si="959"/>
        <v>0</v>
      </c>
      <c r="Y2058" s="2" t="str">
        <f t="shared" si="971"/>
        <v/>
      </c>
      <c r="Z2058" s="2" t="str">
        <f t="shared" si="972"/>
        <v/>
      </c>
      <c r="AA2058" s="2" t="str">
        <f t="shared" si="973"/>
        <v/>
      </c>
      <c r="AB2058" s="2">
        <f t="shared" si="960"/>
        <v>0</v>
      </c>
      <c r="AC2058" s="625">
        <v>0</v>
      </c>
      <c r="AD2058" s="625">
        <v>0</v>
      </c>
      <c r="AE2058" s="625">
        <v>0</v>
      </c>
      <c r="AF2058" s="625">
        <v>0</v>
      </c>
      <c r="AG2058" s="625">
        <v>0</v>
      </c>
      <c r="AH2058" s="625">
        <v>0</v>
      </c>
      <c r="AI2058" s="625">
        <v>0</v>
      </c>
      <c r="AJ2058" s="625">
        <v>0</v>
      </c>
      <c r="AK2058" s="625">
        <v>0</v>
      </c>
      <c r="AL2058" s="625">
        <v>0</v>
      </c>
      <c r="AM2058" s="625">
        <v>0</v>
      </c>
      <c r="AN2058" s="625">
        <v>0</v>
      </c>
      <c r="AO2058" s="625">
        <v>0</v>
      </c>
      <c r="AP2058" s="41" t="str">
        <f t="shared" si="1005"/>
        <v>Def TaxR</v>
      </c>
      <c r="AQ2058" s="41" t="str">
        <f t="shared" si="1006"/>
        <v>Def TaxRR11Internal Software - NIRP</v>
      </c>
      <c r="AR2058" s="41" t="str">
        <f t="shared" si="1007"/>
        <v>R11Internal Software - NIRP</v>
      </c>
    </row>
    <row r="2059" spans="1:44" s="41" customFormat="1" ht="12.75" customHeight="1">
      <c r="A2059" s="442" t="s">
        <v>1590</v>
      </c>
      <c r="B2059" s="442" t="str">
        <f t="shared" si="950"/>
        <v>Def Tax282250Severance-StateBT010211</v>
      </c>
      <c r="C2059" s="736">
        <v>282250</v>
      </c>
      <c r="D2059" s="735" t="s">
        <v>1702</v>
      </c>
      <c r="E2059" s="626" t="s">
        <v>1703</v>
      </c>
      <c r="F2059" s="626" t="str">
        <f t="shared" si="933"/>
        <v>ACCUM DEF INC TAX-OTH PROP-STATE-GAS</v>
      </c>
      <c r="G2059" s="626" t="s">
        <v>2123</v>
      </c>
      <c r="H2059" s="736" t="s">
        <v>1705</v>
      </c>
      <c r="I2059" s="442"/>
      <c r="J2059" s="442" t="str">
        <f t="shared" si="934"/>
        <v/>
      </c>
      <c r="K2059" s="442" t="str">
        <f t="shared" si="994"/>
        <v/>
      </c>
      <c r="L2059" s="736" t="s">
        <v>2421</v>
      </c>
      <c r="M2059" s="442" t="str">
        <f t="shared" si="995"/>
        <v>N</v>
      </c>
      <c r="N2059" s="442" t="str">
        <f>IF(L2059&lt;&gt;"",VLOOKUP(L2059,Categories!$B$2:$D$41,2,FALSE),IF(F2059&lt;&gt;"","No Cat",""))</f>
        <v>NRBASE</v>
      </c>
      <c r="O2059" s="442" t="str">
        <f>IF($L2059&lt;&gt;"",VLOOKUP($L2059,Categories!$B$2:$D$41,3,FALSE),IF($F2059&lt;&gt;"","No Cat",""))</f>
        <v>Direct Assign Items Not in RB</v>
      </c>
      <c r="P2059" s="736" t="s">
        <v>2468</v>
      </c>
      <c r="Q2059" s="442" t="str">
        <f>VLOOKUP($P2059,Allocators!$B$7:$F$19,5,FALSE)</f>
        <v>Not in Rate Base</v>
      </c>
      <c r="R2059" s="737">
        <f>VLOOKUP($P2059,Allocators!$B$7:$F$19,2,FALSE)</f>
        <v>0</v>
      </c>
      <c r="S2059" s="737">
        <f>VLOOKUP($P2059,Allocators!$B$7:$F$19,3,FALSE)</f>
        <v>0</v>
      </c>
      <c r="T2059" s="737">
        <f t="shared" si="967"/>
        <v>1</v>
      </c>
      <c r="U2059" s="2" t="str">
        <f t="shared" si="968"/>
        <v/>
      </c>
      <c r="V2059" s="2" t="str">
        <f t="shared" si="969"/>
        <v/>
      </c>
      <c r="W2059" s="2" t="str">
        <f t="shared" si="970"/>
        <v/>
      </c>
      <c r="X2059" s="2">
        <f t="shared" si="959"/>
        <v>0</v>
      </c>
      <c r="Y2059" s="2" t="str">
        <f t="shared" si="971"/>
        <v/>
      </c>
      <c r="Z2059" s="2" t="str">
        <f t="shared" si="972"/>
        <v/>
      </c>
      <c r="AA2059" s="2" t="str">
        <f t="shared" si="973"/>
        <v/>
      </c>
      <c r="AB2059" s="2">
        <f t="shared" si="960"/>
        <v>0</v>
      </c>
      <c r="AC2059" s="625">
        <v>0</v>
      </c>
      <c r="AD2059" s="625">
        <v>0</v>
      </c>
      <c r="AE2059" s="625">
        <v>0</v>
      </c>
      <c r="AF2059" s="625">
        <v>0</v>
      </c>
      <c r="AG2059" s="625">
        <v>0</v>
      </c>
      <c r="AH2059" s="625">
        <v>0</v>
      </c>
      <c r="AI2059" s="625">
        <v>0</v>
      </c>
      <c r="AJ2059" s="625">
        <v>0</v>
      </c>
      <c r="AK2059" s="625">
        <v>0</v>
      </c>
      <c r="AL2059" s="625">
        <v>0</v>
      </c>
      <c r="AM2059" s="625">
        <v>0</v>
      </c>
      <c r="AN2059" s="625">
        <v>0</v>
      </c>
      <c r="AO2059" s="625">
        <v>0</v>
      </c>
      <c r="AP2059" s="41" t="str">
        <f t="shared" si="1005"/>
        <v>Def TaxN</v>
      </c>
      <c r="AQ2059" s="41" t="str">
        <f t="shared" si="1006"/>
        <v>Def TaxNN2Iberdrola Merger Severance</v>
      </c>
      <c r="AR2059" s="41" t="str">
        <f t="shared" si="1007"/>
        <v>N2Iberdrola Merger Severance</v>
      </c>
    </row>
    <row r="2060" spans="1:44" s="41" customFormat="1" ht="12.75" customHeight="1">
      <c r="A2060" s="442" t="s">
        <v>1590</v>
      </c>
      <c r="B2060" s="442" t="str">
        <f t="shared" ref="B2060:B2065" si="1008">CONCATENATE(A2060,C2060,D2060,E2060)</f>
        <v>Def Tax282250BT010043</v>
      </c>
      <c r="C2060" s="736">
        <v>282250</v>
      </c>
      <c r="D2060" s="735"/>
      <c r="E2060" s="626" t="s">
        <v>1631</v>
      </c>
      <c r="F2060" s="626" t="str">
        <f t="shared" si="933"/>
        <v>ACCUM DEF INC TAX-OTH PROP-STATE-GAS</v>
      </c>
      <c r="G2060" s="626" t="s">
        <v>4119</v>
      </c>
      <c r="H2060" s="736" t="s">
        <v>1632</v>
      </c>
      <c r="I2060" s="442"/>
      <c r="J2060" s="442" t="str">
        <f t="shared" ref="J2060" si="1009">IF(L2060="N10","Y",IF(L2060="N8","Y",""))</f>
        <v/>
      </c>
      <c r="K2060" s="442" t="str">
        <f t="shared" si="994"/>
        <v/>
      </c>
      <c r="L2060" s="736" t="s">
        <v>2443</v>
      </c>
      <c r="M2060" s="442" t="str">
        <f t="shared" ref="M2060" si="1010">LEFT(L2060,1)</f>
        <v>R</v>
      </c>
      <c r="N2060" s="442" t="str">
        <f>IF(L2060&lt;&gt;"",VLOOKUP(L2060,Categories!$B$2:$D$41,2,FALSE),IF(F2060&lt;&gt;"","No Cat",""))</f>
        <v>Rate Base</v>
      </c>
      <c r="O2060" s="442" t="str">
        <f>IF($L2060&lt;&gt;"",VLOOKUP($L2060,Categories!$B$2:$D$41,3,FALSE),IF($F2060&lt;&gt;"","No Cat",""))</f>
        <v>Deferred Income Taxes</v>
      </c>
      <c r="P2060" s="736" t="s">
        <v>2483</v>
      </c>
      <c r="Q2060" s="442" t="str">
        <f>VLOOKUP($P2060,Allocators!$B$7:$F$19,5,FALSE)</f>
        <v>Gas</v>
      </c>
      <c r="R2060" s="737">
        <f>VLOOKUP($P2060,Allocators!$B$7:$F$19,2,FALSE)</f>
        <v>0</v>
      </c>
      <c r="S2060" s="737">
        <f>VLOOKUP($P2060,Allocators!$B$7:$F$19,3,FALSE)</f>
        <v>1</v>
      </c>
      <c r="T2060" s="737" t="str">
        <f t="shared" ref="T2060" si="1011">IF(P2060="N",1,"0.0%")</f>
        <v>0.0%</v>
      </c>
      <c r="U2060" s="2">
        <f t="shared" si="968"/>
        <v>0</v>
      </c>
      <c r="V2060" s="2">
        <f t="shared" si="969"/>
        <v>451.87028166666698</v>
      </c>
      <c r="W2060" s="2">
        <f t="shared" si="970"/>
        <v>0</v>
      </c>
      <c r="X2060" s="2">
        <f t="shared" si="959"/>
        <v>451.87028166666698</v>
      </c>
      <c r="Y2060" s="2">
        <f t="shared" si="971"/>
        <v>0</v>
      </c>
      <c r="Z2060" s="2">
        <f t="shared" si="972"/>
        <v>512.78094999999996</v>
      </c>
      <c r="AA2060" s="2">
        <f t="shared" si="973"/>
        <v>0</v>
      </c>
      <c r="AB2060" s="2">
        <f t="shared" si="960"/>
        <v>512.78094999999996</v>
      </c>
      <c r="AC2060" s="625">
        <v>412.97505000000001</v>
      </c>
      <c r="AD2060" s="625">
        <v>413.97685999999999</v>
      </c>
      <c r="AE2060" s="625">
        <v>422.89031</v>
      </c>
      <c r="AF2060" s="625">
        <v>425.22478999999998</v>
      </c>
      <c r="AG2060" s="625">
        <v>427.13038</v>
      </c>
      <c r="AH2060" s="625">
        <v>428.79679999999996</v>
      </c>
      <c r="AI2060" s="625">
        <v>445.30232000000001</v>
      </c>
      <c r="AJ2060" s="625">
        <v>459.80058000000002</v>
      </c>
      <c r="AK2060" s="625">
        <v>462.03872999999999</v>
      </c>
      <c r="AL2060" s="625">
        <v>479.31420000000003</v>
      </c>
      <c r="AM2060" s="625">
        <v>482.83481999999998</v>
      </c>
      <c r="AN2060" s="625">
        <v>512.25558999999998</v>
      </c>
      <c r="AO2060" s="625">
        <v>512.78094999999996</v>
      </c>
      <c r="AP2060" s="41" t="str">
        <f t="shared" si="1005"/>
        <v>Def TaxR</v>
      </c>
      <c r="AQ2060" s="41" t="str">
        <f t="shared" si="1006"/>
        <v>Def TaxRR11CIAC</v>
      </c>
      <c r="AR2060" s="41" t="str">
        <f t="shared" si="1007"/>
        <v>R11CIAC</v>
      </c>
    </row>
    <row r="2061" spans="1:44" s="41" customFormat="1" ht="12.75" customHeight="1">
      <c r="A2061" s="442" t="s">
        <v>1590</v>
      </c>
      <c r="B2061" s="442" t="str">
        <f t="shared" si="1008"/>
        <v>Def Tax282250BT010110</v>
      </c>
      <c r="C2061" s="736">
        <v>282250</v>
      </c>
      <c r="D2061" s="735"/>
      <c r="E2061" s="626" t="s">
        <v>2186</v>
      </c>
      <c r="F2061" s="626" t="str">
        <f t="shared" si="933"/>
        <v>ACCUM DEF INC TAX-OTH PROP-STATE-GAS</v>
      </c>
      <c r="G2061" s="626" t="s">
        <v>4120</v>
      </c>
      <c r="H2061" s="736">
        <v>0</v>
      </c>
      <c r="I2061" s="442"/>
      <c r="J2061" s="442" t="str">
        <f t="shared" ref="J2061" si="1012">IF(L2061="N10","Y",IF(L2061="N8","Y",""))</f>
        <v/>
      </c>
      <c r="K2061" s="442" t="str">
        <f t="shared" si="994"/>
        <v/>
      </c>
      <c r="L2061" s="736" t="s">
        <v>2421</v>
      </c>
      <c r="M2061" s="442" t="str">
        <f t="shared" ref="M2061:M2063" si="1013">LEFT(L2061,1)</f>
        <v>N</v>
      </c>
      <c r="N2061" s="442" t="str">
        <f>IF(L2061&lt;&gt;"",VLOOKUP(L2061,Categories!$B$2:$D$41,2,FALSE),IF(F2061&lt;&gt;"","No Cat",""))</f>
        <v>NRBASE</v>
      </c>
      <c r="O2061" s="442" t="str">
        <f>IF($L2061&lt;&gt;"",VLOOKUP($L2061,Categories!$B$2:$D$41,3,FALSE),IF($F2061&lt;&gt;"","No Cat",""))</f>
        <v>Direct Assign Items Not in RB</v>
      </c>
      <c r="P2061" s="736" t="s">
        <v>2468</v>
      </c>
      <c r="Q2061" s="442" t="str">
        <f>VLOOKUP($P2061,Allocators!$B$7:$F$19,5,FALSE)</f>
        <v>Not in Rate Base</v>
      </c>
      <c r="R2061" s="737">
        <f>VLOOKUP($P2061,Allocators!$B$7:$F$19,2,FALSE)</f>
        <v>0</v>
      </c>
      <c r="S2061" s="737">
        <f>VLOOKUP($P2061,Allocators!$B$7:$F$19,3,FALSE)</f>
        <v>0</v>
      </c>
      <c r="T2061" s="737">
        <f t="shared" ref="T2061:T2062" si="1014">IF(P2061="N",1,"0.0%")</f>
        <v>1</v>
      </c>
      <c r="U2061" s="2">
        <f t="shared" si="968"/>
        <v>0</v>
      </c>
      <c r="V2061" s="2">
        <f t="shared" si="969"/>
        <v>0</v>
      </c>
      <c r="W2061" s="2">
        <f t="shared" si="970"/>
        <v>0.74326999999999999</v>
      </c>
      <c r="X2061" s="2">
        <f t="shared" si="959"/>
        <v>0.74326999999999999</v>
      </c>
      <c r="Y2061" s="2">
        <f t="shared" si="971"/>
        <v>0</v>
      </c>
      <c r="Z2061" s="2">
        <f t="shared" si="972"/>
        <v>0</v>
      </c>
      <c r="AA2061" s="2">
        <f t="shared" si="973"/>
        <v>0.74326999999999999</v>
      </c>
      <c r="AB2061" s="2">
        <f t="shared" si="960"/>
        <v>0.74326999999999999</v>
      </c>
      <c r="AC2061" s="625">
        <v>0.74326999999999999</v>
      </c>
      <c r="AD2061" s="625">
        <v>0.74326999999999999</v>
      </c>
      <c r="AE2061" s="625">
        <v>0.74326999999999999</v>
      </c>
      <c r="AF2061" s="625">
        <v>0.74326999999999999</v>
      </c>
      <c r="AG2061" s="625">
        <v>0.74326999999999999</v>
      </c>
      <c r="AH2061" s="625">
        <v>0.74326999999999999</v>
      </c>
      <c r="AI2061" s="625">
        <v>0.74326999999999999</v>
      </c>
      <c r="AJ2061" s="625">
        <v>0.74326999999999999</v>
      </c>
      <c r="AK2061" s="625">
        <v>0.74326999999999999</v>
      </c>
      <c r="AL2061" s="625">
        <v>0.74326999999999999</v>
      </c>
      <c r="AM2061" s="625">
        <v>0.74326999999999999</v>
      </c>
      <c r="AN2061" s="625">
        <v>0.74326999999999999</v>
      </c>
      <c r="AO2061" s="625">
        <v>0.74326999999999999</v>
      </c>
      <c r="AP2061" s="41" t="str">
        <f t="shared" si="1005"/>
        <v>Def TaxN</v>
      </c>
      <c r="AQ2061" s="41" t="str">
        <f t="shared" si="1006"/>
        <v>Def TaxNN20</v>
      </c>
      <c r="AR2061" s="41" t="str">
        <f t="shared" si="1007"/>
        <v>N20</v>
      </c>
    </row>
    <row r="2062" spans="1:44" s="41" customFormat="1" ht="12.75" customHeight="1">
      <c r="A2062" s="442" t="s">
        <v>1590</v>
      </c>
      <c r="B2062" s="442" t="str">
        <f t="shared" si="1008"/>
        <v>Def Tax282250BT010111</v>
      </c>
      <c r="C2062" s="736">
        <v>282250</v>
      </c>
      <c r="D2062" s="735"/>
      <c r="E2062" s="626" t="s">
        <v>2183</v>
      </c>
      <c r="F2062" s="626" t="str">
        <f t="shared" si="933"/>
        <v>ACCUM DEF INC TAX-OTH PROP-STATE-GAS</v>
      </c>
      <c r="G2062" s="626" t="s">
        <v>2187</v>
      </c>
      <c r="H2062" s="736">
        <v>0</v>
      </c>
      <c r="I2062" s="442"/>
      <c r="J2062" s="442" t="str">
        <f t="shared" ref="J2062:J2065" si="1015">IF(L2062="N10","Y",IF(L2062="N8","Y",""))</f>
        <v/>
      </c>
      <c r="K2062" s="442" t="str">
        <f t="shared" si="994"/>
        <v/>
      </c>
      <c r="L2062" s="736" t="s">
        <v>2421</v>
      </c>
      <c r="M2062" s="442" t="str">
        <f t="shared" si="1013"/>
        <v>N</v>
      </c>
      <c r="N2062" s="442" t="str">
        <f>IF(L2062&lt;&gt;"",VLOOKUP(L2062,Categories!$B$2:$D$41,2,FALSE),IF(F2062&lt;&gt;"","No Cat",""))</f>
        <v>NRBASE</v>
      </c>
      <c r="O2062" s="442" t="str">
        <f>IF($L2062&lt;&gt;"",VLOOKUP($L2062,Categories!$B$2:$D$41,3,FALSE),IF($F2062&lt;&gt;"","No Cat",""))</f>
        <v>Direct Assign Items Not in RB</v>
      </c>
      <c r="P2062" s="736" t="s">
        <v>2468</v>
      </c>
      <c r="Q2062" s="442" t="str">
        <f>VLOOKUP($P2062,Allocators!$B$7:$F$19,5,FALSE)</f>
        <v>Not in Rate Base</v>
      </c>
      <c r="R2062" s="737">
        <f>VLOOKUP($P2062,Allocators!$B$7:$F$19,2,FALSE)</f>
        <v>0</v>
      </c>
      <c r="S2062" s="737">
        <f>VLOOKUP($P2062,Allocators!$B$7:$F$19,3,FALSE)</f>
        <v>0</v>
      </c>
      <c r="T2062" s="737">
        <f t="shared" si="1014"/>
        <v>1</v>
      </c>
      <c r="U2062" s="2">
        <f t="shared" si="968"/>
        <v>0</v>
      </c>
      <c r="V2062" s="2">
        <f t="shared" si="969"/>
        <v>0</v>
      </c>
      <c r="W2062" s="2">
        <f t="shared" si="970"/>
        <v>1.25779</v>
      </c>
      <c r="X2062" s="2">
        <f t="shared" si="959"/>
        <v>1.25779</v>
      </c>
      <c r="Y2062" s="2">
        <f t="shared" si="971"/>
        <v>0</v>
      </c>
      <c r="Z2062" s="2">
        <f t="shared" si="972"/>
        <v>0</v>
      </c>
      <c r="AA2062" s="2">
        <f t="shared" si="973"/>
        <v>1.25779</v>
      </c>
      <c r="AB2062" s="2">
        <f t="shared" si="960"/>
        <v>1.25779</v>
      </c>
      <c r="AC2062" s="625">
        <v>1.25779</v>
      </c>
      <c r="AD2062" s="625">
        <v>1.25779</v>
      </c>
      <c r="AE2062" s="625">
        <v>1.25779</v>
      </c>
      <c r="AF2062" s="625">
        <v>1.25779</v>
      </c>
      <c r="AG2062" s="625">
        <v>1.25779</v>
      </c>
      <c r="AH2062" s="625">
        <v>1.25779</v>
      </c>
      <c r="AI2062" s="625">
        <v>1.25779</v>
      </c>
      <c r="AJ2062" s="625">
        <v>1.25779</v>
      </c>
      <c r="AK2062" s="625">
        <v>1.25779</v>
      </c>
      <c r="AL2062" s="625">
        <v>1.25779</v>
      </c>
      <c r="AM2062" s="625">
        <v>1.25779</v>
      </c>
      <c r="AN2062" s="625">
        <v>1.25779</v>
      </c>
      <c r="AO2062" s="625">
        <v>1.25779</v>
      </c>
      <c r="AP2062" s="41" t="str">
        <f t="shared" si="1005"/>
        <v>Def TaxN</v>
      </c>
      <c r="AQ2062" s="41" t="str">
        <f t="shared" si="1006"/>
        <v>Def TaxNN20</v>
      </c>
      <c r="AR2062" s="41" t="str">
        <f t="shared" si="1007"/>
        <v>N20</v>
      </c>
    </row>
    <row r="2063" spans="1:44" s="41" customFormat="1" ht="12.75" customHeight="1">
      <c r="A2063" s="442" t="s">
        <v>1590</v>
      </c>
      <c r="B2063" s="442" t="str">
        <f t="shared" si="1008"/>
        <v>Def Tax282250BT010177</v>
      </c>
      <c r="C2063" s="736">
        <v>282250</v>
      </c>
      <c r="D2063" s="735"/>
      <c r="E2063" s="626" t="s">
        <v>1684</v>
      </c>
      <c r="F2063" s="626" t="str">
        <f t="shared" si="933"/>
        <v>ACCUM DEF INC TAX-OTH PROP-STATE-GAS</v>
      </c>
      <c r="G2063" s="626" t="s">
        <v>1683</v>
      </c>
      <c r="H2063" s="736" t="s">
        <v>1124</v>
      </c>
      <c r="I2063" s="442"/>
      <c r="J2063" s="442" t="str">
        <f t="shared" si="1015"/>
        <v/>
      </c>
      <c r="K2063" s="442" t="str">
        <f t="shared" si="994"/>
        <v/>
      </c>
      <c r="L2063" s="736" t="s">
        <v>2443</v>
      </c>
      <c r="M2063" s="442" t="str">
        <f t="shared" si="1013"/>
        <v>R</v>
      </c>
      <c r="N2063" s="442" t="str">
        <f>IF(L2063&lt;&gt;"",VLOOKUP(L2063,Categories!$B$2:$D$41,2,FALSE),IF(F2063&lt;&gt;"","No Cat",""))</f>
        <v>Rate Base</v>
      </c>
      <c r="O2063" s="442" t="str">
        <f>IF($L2063&lt;&gt;"",VLOOKUP($L2063,Categories!$B$2:$D$41,3,FALSE),IF($F2063&lt;&gt;"","No Cat",""))</f>
        <v>Deferred Income Taxes</v>
      </c>
      <c r="P2063" s="736" t="s">
        <v>2483</v>
      </c>
      <c r="Q2063" s="442" t="str">
        <f>VLOOKUP($P2063,Allocators!$B$7:$F$19,5,FALSE)</f>
        <v>Gas</v>
      </c>
      <c r="R2063" s="737">
        <f>VLOOKUP($P2063,Allocators!$B$7:$F$19,2,FALSE)</f>
        <v>0</v>
      </c>
      <c r="S2063" s="737">
        <f>VLOOKUP($P2063,Allocators!$B$7:$F$19,3,FALSE)</f>
        <v>1</v>
      </c>
      <c r="T2063" s="737" t="str">
        <f t="shared" ref="T2063" si="1016">IF(P2063="N",1,"0.0%")</f>
        <v>0.0%</v>
      </c>
      <c r="U2063" s="2">
        <f t="shared" si="968"/>
        <v>0</v>
      </c>
      <c r="V2063" s="2">
        <f t="shared" si="969"/>
        <v>62.934785833333301</v>
      </c>
      <c r="W2063" s="2">
        <f t="shared" si="970"/>
        <v>0</v>
      </c>
      <c r="X2063" s="2">
        <f t="shared" si="959"/>
        <v>62.934785833333301</v>
      </c>
      <c r="Y2063" s="2">
        <f t="shared" si="971"/>
        <v>0</v>
      </c>
      <c r="Z2063" s="2">
        <f t="shared" si="972"/>
        <v>75.629230000000007</v>
      </c>
      <c r="AA2063" s="2">
        <f t="shared" si="973"/>
        <v>0</v>
      </c>
      <c r="AB2063" s="2">
        <f t="shared" si="960"/>
        <v>75.629229999999993</v>
      </c>
      <c r="AC2063" s="625">
        <v>73.629229999999993</v>
      </c>
      <c r="AD2063" s="625">
        <v>73.795899999999989</v>
      </c>
      <c r="AE2063" s="625">
        <v>73.962559999999996</v>
      </c>
      <c r="AF2063" s="625">
        <v>74.129229999999993</v>
      </c>
      <c r="AG2063" s="625">
        <v>50.295900000000003</v>
      </c>
      <c r="AH2063" s="625">
        <v>44.462559999999996</v>
      </c>
      <c r="AI2063" s="625">
        <v>38.62923</v>
      </c>
      <c r="AJ2063" s="625">
        <v>32.795900000000003</v>
      </c>
      <c r="AK2063" s="625">
        <v>73.629229999999993</v>
      </c>
      <c r="AL2063" s="625">
        <v>72.629229999999993</v>
      </c>
      <c r="AM2063" s="625">
        <v>71.629229999999993</v>
      </c>
      <c r="AN2063" s="625">
        <v>74.629229999999993</v>
      </c>
      <c r="AO2063" s="625">
        <v>75.629229999999993</v>
      </c>
      <c r="AP2063" s="41" t="str">
        <f t="shared" si="1005"/>
        <v>Def TaxR</v>
      </c>
      <c r="AQ2063" s="41" t="str">
        <f t="shared" si="1006"/>
        <v>Def TaxRR11R&amp;D Tax Credit Deferral</v>
      </c>
      <c r="AR2063" s="41" t="str">
        <f t="shared" si="1007"/>
        <v>R11R&amp;D Tax Credit Deferral</v>
      </c>
    </row>
    <row r="2064" spans="1:44" s="41" customFormat="1" ht="12.75" customHeight="1">
      <c r="A2064" s="442" t="s">
        <v>1590</v>
      </c>
      <c r="B2064" s="442" t="str">
        <f t="shared" si="1008"/>
        <v>Def Tax282250BT010188</v>
      </c>
      <c r="C2064" s="736">
        <v>282250</v>
      </c>
      <c r="D2064" s="735"/>
      <c r="E2064" s="626" t="s">
        <v>4121</v>
      </c>
      <c r="F2064" s="626" t="str">
        <f t="shared" si="933"/>
        <v>ACCUM DEF INC TAX-OTH PROP-STATE-GAS</v>
      </c>
      <c r="G2064" s="626" t="s">
        <v>2233</v>
      </c>
      <c r="H2064" s="736" t="s">
        <v>2233</v>
      </c>
      <c r="I2064" s="442"/>
      <c r="J2064" s="442" t="str">
        <f t="shared" si="1015"/>
        <v/>
      </c>
      <c r="K2064" s="442" t="str">
        <f t="shared" si="994"/>
        <v/>
      </c>
      <c r="L2064" s="736" t="s">
        <v>2443</v>
      </c>
      <c r="M2064" s="442" t="str">
        <f t="shared" ref="M2064" si="1017">LEFT(L2064,1)</f>
        <v>R</v>
      </c>
      <c r="N2064" s="442" t="str">
        <f>IF(L2064&lt;&gt;"",VLOOKUP(L2064,Categories!$B$2:$D$41,2,FALSE),IF(F2064&lt;&gt;"","No Cat",""))</f>
        <v>Rate Base</v>
      </c>
      <c r="O2064" s="442" t="str">
        <f>IF($L2064&lt;&gt;"",VLOOKUP($L2064,Categories!$B$2:$D$41,3,FALSE),IF($F2064&lt;&gt;"","No Cat",""))</f>
        <v>Deferred Income Taxes</v>
      </c>
      <c r="P2064" s="736" t="s">
        <v>2483</v>
      </c>
      <c r="Q2064" s="442" t="str">
        <f>VLOOKUP($P2064,Allocators!$B$7:$F$19,5,FALSE)</f>
        <v>Gas</v>
      </c>
      <c r="R2064" s="737">
        <f>VLOOKUP($P2064,Allocators!$B$7:$F$19,2,FALSE)</f>
        <v>0</v>
      </c>
      <c r="S2064" s="737">
        <f>VLOOKUP($P2064,Allocators!$B$7:$F$19,3,FALSE)</f>
        <v>1</v>
      </c>
      <c r="T2064" s="737" t="str">
        <f t="shared" ref="T2064" si="1018">IF(P2064="N",1,"0.0%")</f>
        <v>0.0%</v>
      </c>
      <c r="U2064" s="2">
        <f t="shared" si="968"/>
        <v>0</v>
      </c>
      <c r="V2064" s="2">
        <f t="shared" si="969"/>
        <v>-1072.44924541667</v>
      </c>
      <c r="W2064" s="2">
        <f t="shared" si="970"/>
        <v>0</v>
      </c>
      <c r="X2064" s="2">
        <f t="shared" si="959"/>
        <v>-1072.44924541667</v>
      </c>
      <c r="Y2064" s="2">
        <f t="shared" si="971"/>
        <v>0</v>
      </c>
      <c r="Z2064" s="2">
        <f t="shared" si="972"/>
        <v>-1091.9336599999999</v>
      </c>
      <c r="AA2064" s="2">
        <f t="shared" si="973"/>
        <v>0</v>
      </c>
      <c r="AB2064" s="2">
        <f t="shared" si="960"/>
        <v>-1091.9336599999999</v>
      </c>
      <c r="AC2064" s="625">
        <v>-1044.9202299999999</v>
      </c>
      <c r="AD2064" s="625">
        <v>-1050.44694</v>
      </c>
      <c r="AE2064" s="625">
        <v>-1055.9736399999999</v>
      </c>
      <c r="AF2064" s="625">
        <v>-1061.50035</v>
      </c>
      <c r="AG2064" s="625">
        <v>-1067.0270500000001</v>
      </c>
      <c r="AH2064" s="625">
        <v>-1072.55376</v>
      </c>
      <c r="AI2064" s="625">
        <v>-1078.0804599999999</v>
      </c>
      <c r="AJ2064" s="625">
        <v>-1083.60717</v>
      </c>
      <c r="AK2064" s="625">
        <v>-1089.1338700000001</v>
      </c>
      <c r="AL2064" s="625">
        <v>-1075.35355</v>
      </c>
      <c r="AM2064" s="625">
        <v>-1080.8802499999999</v>
      </c>
      <c r="AN2064" s="625">
        <v>-1086.40696</v>
      </c>
      <c r="AO2064" s="625">
        <v>-1091.9336599999999</v>
      </c>
      <c r="AP2064" s="41" t="str">
        <f t="shared" si="1005"/>
        <v>Def TaxR</v>
      </c>
      <c r="AQ2064" s="41" t="str">
        <f t="shared" si="1006"/>
        <v>Def TaxRR11Repair Allowance</v>
      </c>
      <c r="AR2064" s="41" t="str">
        <f t="shared" si="1007"/>
        <v>R11Repair Allowance</v>
      </c>
    </row>
    <row r="2065" spans="1:44" s="41" customFormat="1" ht="12.75" customHeight="1">
      <c r="A2065" s="442" t="s">
        <v>1590</v>
      </c>
      <c r="B2065" s="442" t="str">
        <f t="shared" si="1008"/>
        <v>Def Tax282250BT010354</v>
      </c>
      <c r="C2065" s="736">
        <v>282250</v>
      </c>
      <c r="D2065" s="735"/>
      <c r="E2065" s="626" t="s">
        <v>2248</v>
      </c>
      <c r="F2065" s="626" t="str">
        <f t="shared" si="933"/>
        <v>ACCUM DEF INC TAX-OTH PROP-STATE-GAS</v>
      </c>
      <c r="G2065" s="626" t="s">
        <v>4123</v>
      </c>
      <c r="H2065" s="736" t="s">
        <v>2249</v>
      </c>
      <c r="I2065" s="442"/>
      <c r="J2065" s="442" t="str">
        <f t="shared" si="1015"/>
        <v/>
      </c>
      <c r="K2065" s="442" t="str">
        <f t="shared" si="994"/>
        <v/>
      </c>
      <c r="L2065" s="736" t="s">
        <v>2443</v>
      </c>
      <c r="M2065" s="442" t="str">
        <f t="shared" ref="M2065" si="1019">LEFT(L2065,1)</f>
        <v>R</v>
      </c>
      <c r="N2065" s="442" t="str">
        <f>IF(L2065&lt;&gt;"",VLOOKUP(L2065,Categories!$B$2:$D$41,2,FALSE),IF(F2065&lt;&gt;"","No Cat",""))</f>
        <v>Rate Base</v>
      </c>
      <c r="O2065" s="442" t="str">
        <f>IF($L2065&lt;&gt;"",VLOOKUP($L2065,Categories!$B$2:$D$41,3,FALSE),IF($F2065&lt;&gt;"","No Cat",""))</f>
        <v>Deferred Income Taxes</v>
      </c>
      <c r="P2065" s="736" t="s">
        <v>2483</v>
      </c>
      <c r="Q2065" s="442" t="str">
        <f>VLOOKUP($P2065,Allocators!$B$7:$F$19,5,FALSE)</f>
        <v>Gas</v>
      </c>
      <c r="R2065" s="737">
        <f>VLOOKUP($P2065,Allocators!$B$7:$F$19,2,FALSE)</f>
        <v>0</v>
      </c>
      <c r="S2065" s="737">
        <f>VLOOKUP($P2065,Allocators!$B$7:$F$19,3,FALSE)</f>
        <v>1</v>
      </c>
      <c r="T2065" s="737" t="str">
        <f t="shared" ref="T2065" si="1020">IF(P2065="N",1,"0.0%")</f>
        <v>0.0%</v>
      </c>
      <c r="U2065" s="2">
        <f t="shared" si="968"/>
        <v>0</v>
      </c>
      <c r="V2065" s="2">
        <f t="shared" si="969"/>
        <v>-404.71546208333302</v>
      </c>
      <c r="W2065" s="2">
        <f t="shared" si="970"/>
        <v>0</v>
      </c>
      <c r="X2065" s="2">
        <f t="shared" si="959"/>
        <v>-404.71546208333302</v>
      </c>
      <c r="Y2065" s="2">
        <f t="shared" si="971"/>
        <v>0</v>
      </c>
      <c r="Z2065" s="2">
        <f t="shared" si="972"/>
        <v>-387.67721999999998</v>
      </c>
      <c r="AA2065" s="2">
        <f t="shared" si="973"/>
        <v>0</v>
      </c>
      <c r="AB2065" s="2">
        <f t="shared" si="960"/>
        <v>-387.67721999999998</v>
      </c>
      <c r="AC2065" s="625">
        <v>-416.63418999999999</v>
      </c>
      <c r="AD2065" s="625">
        <v>-414.05086</v>
      </c>
      <c r="AE2065" s="625">
        <v>-411.46752000000004</v>
      </c>
      <c r="AF2065" s="625">
        <v>-408.88418999999999</v>
      </c>
      <c r="AG2065" s="625">
        <v>-406.30086</v>
      </c>
      <c r="AH2065" s="625">
        <v>-403.71752000000004</v>
      </c>
      <c r="AI2065" s="625">
        <v>-401.13418999999999</v>
      </c>
      <c r="AJ2065" s="625">
        <v>-398.55086</v>
      </c>
      <c r="AK2065" s="625">
        <v>-444.15285</v>
      </c>
      <c r="AL2065" s="625">
        <v>-396.38039000000003</v>
      </c>
      <c r="AM2065" s="625">
        <v>-383.96800000000002</v>
      </c>
      <c r="AN2065" s="625">
        <v>-385.82259999999997</v>
      </c>
      <c r="AO2065" s="625">
        <v>-387.67721999999998</v>
      </c>
      <c r="AP2065" s="41" t="str">
        <f t="shared" si="1005"/>
        <v>Def TaxR</v>
      </c>
      <c r="AQ2065" s="41" t="str">
        <f t="shared" si="1006"/>
        <v>Def TaxRR11Unit of Property - 481Adj</v>
      </c>
      <c r="AR2065" s="41" t="str">
        <f t="shared" si="1007"/>
        <v>R11Unit of Property - 481Adj</v>
      </c>
    </row>
    <row r="2066" spans="1:44" s="41" customFormat="1" ht="12.75" customHeight="1">
      <c r="A2066" s="442" t="s">
        <v>1590</v>
      </c>
      <c r="B2066" s="442" t="str">
        <f t="shared" ref="B2066" si="1021">CONCATENATE(A2066,C2066,D2066,E2066)</f>
        <v>Def Tax282250BT010390</v>
      </c>
      <c r="C2066" s="736">
        <v>282250</v>
      </c>
      <c r="D2066" s="735"/>
      <c r="E2066" s="626" t="s">
        <v>2126</v>
      </c>
      <c r="F2066" s="626" t="str">
        <f t="shared" si="933"/>
        <v>ACCUM DEF INC TAX-OTH PROP-STATE-GAS</v>
      </c>
      <c r="G2066" s="626" t="s">
        <v>2127</v>
      </c>
      <c r="H2066" s="736" t="s">
        <v>2125</v>
      </c>
      <c r="I2066" s="442"/>
      <c r="J2066" s="442" t="s">
        <v>7</v>
      </c>
      <c r="K2066" s="442" t="str">
        <f t="shared" si="994"/>
        <v/>
      </c>
      <c r="L2066" s="736" t="s">
        <v>2436</v>
      </c>
      <c r="M2066" s="442" t="str">
        <f t="shared" ref="M2066" si="1022">LEFT(L2066,1)</f>
        <v>N</v>
      </c>
      <c r="N2066" s="442" t="str">
        <f>IF(L2066&lt;&gt;"",VLOOKUP(L2066,Categories!$B$2:$D$41,2,FALSE),IF(F2066&lt;&gt;"","No Cat",""))</f>
        <v>NRBASE</v>
      </c>
      <c r="O2066" s="442" t="str">
        <f>IF($L2066&lt;&gt;"",VLOOKUP($L2066,Categories!$B$2:$D$41,3,FALSE),IF($F2066&lt;&gt;"","No Cat",""))</f>
        <v>Deferrals Accruing Non-Cash Return   (other than ASGA)</v>
      </c>
      <c r="P2066" s="736" t="s">
        <v>2468</v>
      </c>
      <c r="Q2066" s="442" t="str">
        <f>VLOOKUP($P2066,Allocators!$B$7:$F$19,5,FALSE)</f>
        <v>Not in Rate Base</v>
      </c>
      <c r="R2066" s="737">
        <f>VLOOKUP($P2066,Allocators!$B$7:$F$19,2,FALSE)</f>
        <v>0</v>
      </c>
      <c r="S2066" s="737">
        <f>VLOOKUP($P2066,Allocators!$B$7:$F$19,3,FALSE)</f>
        <v>0</v>
      </c>
      <c r="T2066" s="737">
        <f t="shared" ref="T2066" si="1023">IF(P2066="N",1,"0.0%")</f>
        <v>1</v>
      </c>
      <c r="U2066" s="2">
        <f t="shared" si="968"/>
        <v>0</v>
      </c>
      <c r="V2066" s="2">
        <f t="shared" si="969"/>
        <v>0</v>
      </c>
      <c r="W2066" s="2">
        <f t="shared" si="970"/>
        <v>-286.257917916667</v>
      </c>
      <c r="X2066" s="2">
        <f t="shared" ref="X2066:X2129" si="1024">IF(ISERROR(ROUND((SUM(AC2066:AO2066)-((AC2066+AO2066))/2)/12,15)),"",ROUND((SUM(AC2066:AO2066)-((AC2066+AO2066))/2)/12,15))</f>
        <v>-286.257917916667</v>
      </c>
      <c r="Y2066" s="2">
        <f t="shared" si="971"/>
        <v>0</v>
      </c>
      <c r="Z2066" s="2">
        <f t="shared" si="972"/>
        <v>0</v>
      </c>
      <c r="AA2066" s="2">
        <f t="shared" si="973"/>
        <v>-589.77674999999999</v>
      </c>
      <c r="AB2066" s="2">
        <f t="shared" ref="AB2066:AB2129" si="1025">IF(AO2066="",0,+AO2066)</f>
        <v>-589.77674999999999</v>
      </c>
      <c r="AC2066" s="625">
        <v>-218.71732</v>
      </c>
      <c r="AD2066" s="625">
        <v>-214.63398999999998</v>
      </c>
      <c r="AE2066" s="625">
        <v>-210.55064999999999</v>
      </c>
      <c r="AF2066" s="625">
        <v>-206.46732</v>
      </c>
      <c r="AG2066" s="625">
        <v>-202.38398999999998</v>
      </c>
      <c r="AH2066" s="625">
        <v>-198.30064999999999</v>
      </c>
      <c r="AI2066" s="625">
        <v>-194.21732</v>
      </c>
      <c r="AJ2066" s="625">
        <v>-190.13398999999998</v>
      </c>
      <c r="AK2066" s="625">
        <v>-186.05064999999999</v>
      </c>
      <c r="AL2066" s="625">
        <v>-309.45009000000005</v>
      </c>
      <c r="AM2066" s="625">
        <v>-549.18064000000004</v>
      </c>
      <c r="AN2066" s="625">
        <v>-569.47868999999992</v>
      </c>
      <c r="AO2066" s="625">
        <v>-589.77674999999999</v>
      </c>
      <c r="AP2066" s="41" t="str">
        <f t="shared" si="1005"/>
        <v>Def TaxN</v>
      </c>
      <c r="AQ2066" s="41" t="str">
        <f t="shared" si="1006"/>
        <v>Def TaxNN10Mixed Use 263(a)</v>
      </c>
      <c r="AR2066" s="41" t="str">
        <f t="shared" si="1007"/>
        <v>N10Mixed Use 263(a)NCR</v>
      </c>
    </row>
    <row r="2067" spans="1:44" s="41" customFormat="1" ht="12.75" customHeight="1">
      <c r="A2067" s="442" t="s">
        <v>1590</v>
      </c>
      <c r="B2067" s="442" t="str">
        <f t="shared" si="950"/>
        <v>Def Tax282250AROBT010390</v>
      </c>
      <c r="C2067" s="736">
        <v>282250</v>
      </c>
      <c r="D2067" s="735" t="s">
        <v>1613</v>
      </c>
      <c r="E2067" s="626" t="s">
        <v>2126</v>
      </c>
      <c r="F2067" s="626" t="str">
        <f t="shared" si="933"/>
        <v>ACCUM DEF INC TAX-OTH PROP-STATE-GAS</v>
      </c>
      <c r="G2067" s="626" t="s">
        <v>1615</v>
      </c>
      <c r="H2067" s="736" t="s">
        <v>1138</v>
      </c>
      <c r="I2067" s="442"/>
      <c r="J2067" s="442" t="str">
        <f t="shared" si="934"/>
        <v/>
      </c>
      <c r="K2067" s="442" t="str">
        <f t="shared" si="994"/>
        <v/>
      </c>
      <c r="L2067" s="736" t="s">
        <v>2421</v>
      </c>
      <c r="M2067" s="442" t="str">
        <f t="shared" si="995"/>
        <v>N</v>
      </c>
      <c r="N2067" s="442" t="str">
        <f>IF(L2067&lt;&gt;"",VLOOKUP(L2067,Categories!$B$2:$D$41,2,FALSE),IF(F2067&lt;&gt;"","No Cat",""))</f>
        <v>NRBASE</v>
      </c>
      <c r="O2067" s="442" t="str">
        <f>IF($L2067&lt;&gt;"",VLOOKUP($L2067,Categories!$B$2:$D$41,3,FALSE),IF($F2067&lt;&gt;"","No Cat",""))</f>
        <v>Direct Assign Items Not in RB</v>
      </c>
      <c r="P2067" s="736" t="s">
        <v>2468</v>
      </c>
      <c r="Q2067" s="442" t="str">
        <f>VLOOKUP($P2067,Allocators!$B$7:$F$19,5,FALSE)</f>
        <v>Not in Rate Base</v>
      </c>
      <c r="R2067" s="737">
        <f>VLOOKUP($P2067,Allocators!$B$7:$F$19,2,FALSE)</f>
        <v>0</v>
      </c>
      <c r="S2067" s="737">
        <f>VLOOKUP($P2067,Allocators!$B$7:$F$19,3,FALSE)</f>
        <v>0</v>
      </c>
      <c r="T2067" s="737">
        <f t="shared" si="967"/>
        <v>1</v>
      </c>
      <c r="U2067" s="2">
        <f t="shared" si="968"/>
        <v>0</v>
      </c>
      <c r="V2067" s="2">
        <f t="shared" si="969"/>
        <v>0</v>
      </c>
      <c r="W2067" s="2">
        <f t="shared" si="970"/>
        <v>-4.9333316666666702</v>
      </c>
      <c r="X2067" s="2">
        <f t="shared" si="1024"/>
        <v>-4.9333316666666702</v>
      </c>
      <c r="Y2067" s="2">
        <f t="shared" si="971"/>
        <v>0</v>
      </c>
      <c r="Z2067" s="2">
        <f t="shared" si="972"/>
        <v>0</v>
      </c>
      <c r="AA2067" s="2">
        <f t="shared" si="973"/>
        <v>-4.81968</v>
      </c>
      <c r="AB2067" s="2">
        <f t="shared" si="1025"/>
        <v>-4.81968</v>
      </c>
      <c r="AC2067" s="625">
        <v>-5.0469799999999996</v>
      </c>
      <c r="AD2067" s="625">
        <v>-5.0280399999999998</v>
      </c>
      <c r="AE2067" s="625">
        <v>-5.0091000000000001</v>
      </c>
      <c r="AF2067" s="625">
        <v>-4.9901599999999995</v>
      </c>
      <c r="AG2067" s="625">
        <v>-4.9712100000000001</v>
      </c>
      <c r="AH2067" s="625">
        <v>-4.9522700000000004</v>
      </c>
      <c r="AI2067" s="625">
        <v>-4.9333299999999998</v>
      </c>
      <c r="AJ2067" s="625">
        <v>-4.91439</v>
      </c>
      <c r="AK2067" s="625">
        <v>-4.8954499999999994</v>
      </c>
      <c r="AL2067" s="625">
        <v>-4.8765100000000006</v>
      </c>
      <c r="AM2067" s="625">
        <v>-4.8575699999999999</v>
      </c>
      <c r="AN2067" s="625">
        <v>-4.8386199999999997</v>
      </c>
      <c r="AO2067" s="625">
        <v>-4.81968</v>
      </c>
      <c r="AP2067" s="41" t="str">
        <f t="shared" si="1005"/>
        <v>Def TaxN</v>
      </c>
      <c r="AQ2067" s="41" t="str">
        <f t="shared" si="1006"/>
        <v>Def TaxNN2Asset Retirement Obligation</v>
      </c>
      <c r="AR2067" s="41" t="str">
        <f t="shared" si="1007"/>
        <v>N2Asset Retirement Obligation</v>
      </c>
    </row>
    <row r="2068" spans="1:44" s="41" customFormat="1" ht="12.75" customHeight="1">
      <c r="A2068" s="442" t="s">
        <v>1590</v>
      </c>
      <c r="B2068" s="442" t="str">
        <f t="shared" ref="B2068:B2069" si="1026">CONCATENATE(A2068,C2068,D2068,E2068)</f>
        <v>Def Tax283161</v>
      </c>
      <c r="C2068" s="736">
        <v>283161</v>
      </c>
      <c r="D2068" s="735"/>
      <c r="E2068" s="626"/>
      <c r="F2068" s="626" t="str">
        <f t="shared" si="933"/>
        <v>ACCUM DEF INC TAXES -FAS 109-OTHER-FEDERAL-ELEC</v>
      </c>
      <c r="G2068" s="626"/>
      <c r="H2068" s="736" t="s">
        <v>8</v>
      </c>
      <c r="I2068" s="442"/>
      <c r="J2068" s="442"/>
      <c r="K2068" s="442" t="str">
        <f t="shared" si="994"/>
        <v>Y</v>
      </c>
      <c r="L2068" s="736" t="s">
        <v>2423</v>
      </c>
      <c r="M2068" s="442" t="str">
        <f t="shared" ref="M2068:M2069" si="1027">LEFT(L2068,1)</f>
        <v>N</v>
      </c>
      <c r="N2068" s="442" t="str">
        <f>IF(L2068&lt;&gt;"",VLOOKUP(L2068,Categories!$B$2:$D$41,2,FALSE),IF(F2068&lt;&gt;"","No Cat",""))</f>
        <v>NRBASE</v>
      </c>
      <c r="O2068" s="442" t="str">
        <f>IF($L2068&lt;&gt;"",VLOOKUP($L2068,Categories!$B$2:$D$41,3,FALSE),IF($F2068&lt;&gt;"","No Cat",""))</f>
        <v>SFAS-109   (offsetting)</v>
      </c>
      <c r="P2068" s="736" t="s">
        <v>2468</v>
      </c>
      <c r="Q2068" s="442" t="str">
        <f>VLOOKUP($P2068,Allocators!$B$7:$F$19,5,FALSE)</f>
        <v>Not in Rate Base</v>
      </c>
      <c r="R2068" s="737">
        <f>VLOOKUP($P2068,Allocators!$B$7:$F$19,2,FALSE)</f>
        <v>0</v>
      </c>
      <c r="S2068" s="737">
        <f>VLOOKUP($P2068,Allocators!$B$7:$F$19,3,FALSE)</f>
        <v>0</v>
      </c>
      <c r="T2068" s="737">
        <f t="shared" ref="T2068:T2069" si="1028">IF(P2068="N",1,"0.0%")</f>
        <v>1</v>
      </c>
      <c r="U2068" s="2">
        <f t="shared" si="968"/>
        <v>0</v>
      </c>
      <c r="V2068" s="2">
        <f t="shared" si="969"/>
        <v>0</v>
      </c>
      <c r="W2068" s="2">
        <f t="shared" si="970"/>
        <v>-7116.6780095833301</v>
      </c>
      <c r="X2068" s="2">
        <f t="shared" si="1024"/>
        <v>-7116.6780095833301</v>
      </c>
      <c r="Y2068" s="2">
        <f t="shared" si="971"/>
        <v>0</v>
      </c>
      <c r="Z2068" s="2">
        <f t="shared" si="972"/>
        <v>0</v>
      </c>
      <c r="AA2068" s="2">
        <f t="shared" si="973"/>
        <v>-6118.0070900000001</v>
      </c>
      <c r="AB2068" s="2">
        <f t="shared" si="1025"/>
        <v>-6118.0070900000001</v>
      </c>
      <c r="AC2068" s="625">
        <v>-7160.0984799999997</v>
      </c>
      <c r="AD2068" s="625">
        <v>-7160.0984800000006</v>
      </c>
      <c r="AE2068" s="625">
        <v>-7160.0985099999998</v>
      </c>
      <c r="AF2068" s="625">
        <v>-7160.0985000000001</v>
      </c>
      <c r="AG2068" s="625">
        <v>-7160.0984699999999</v>
      </c>
      <c r="AH2068" s="625">
        <v>-7160.0985199999996</v>
      </c>
      <c r="AI2068" s="625">
        <v>-7160.0985099999998</v>
      </c>
      <c r="AJ2068" s="625">
        <v>-7160.0984800000006</v>
      </c>
      <c r="AK2068" s="625">
        <v>-7160.09843</v>
      </c>
      <c r="AL2068" s="625">
        <v>-7160.0985300000002</v>
      </c>
      <c r="AM2068" s="625">
        <v>-7160.0984600000002</v>
      </c>
      <c r="AN2068" s="625">
        <v>-7160.0984400000007</v>
      </c>
      <c r="AO2068" s="625">
        <v>-6118.0070900000001</v>
      </c>
      <c r="AP2068" s="41" t="str">
        <f t="shared" si="1005"/>
        <v>Def TaxN</v>
      </c>
      <c r="AQ2068" s="41" t="str">
        <f t="shared" si="1006"/>
        <v>Def TaxNN3SFAS 109</v>
      </c>
      <c r="AR2068" s="41" t="str">
        <f t="shared" si="1007"/>
        <v>N3SFAS 109</v>
      </c>
    </row>
    <row r="2069" spans="1:44" s="41" customFormat="1" ht="12.75" customHeight="1">
      <c r="A2069" s="442" t="s">
        <v>1590</v>
      </c>
      <c r="B2069" s="442" t="str">
        <f t="shared" si="1026"/>
        <v>Def Tax283162</v>
      </c>
      <c r="C2069" s="736">
        <v>283162</v>
      </c>
      <c r="D2069" s="735"/>
      <c r="E2069" s="626"/>
      <c r="F2069" s="626" t="str">
        <f t="shared" si="933"/>
        <v>ACCUM DEF INC TAXES -FAS 109-OTHER-FEDERAL-GAS</v>
      </c>
      <c r="G2069" s="626"/>
      <c r="H2069" s="736" t="s">
        <v>8</v>
      </c>
      <c r="I2069" s="442"/>
      <c r="J2069" s="442"/>
      <c r="K2069" s="442" t="str">
        <f t="shared" si="994"/>
        <v>Y</v>
      </c>
      <c r="L2069" s="736" t="s">
        <v>2423</v>
      </c>
      <c r="M2069" s="442" t="str">
        <f t="shared" si="1027"/>
        <v>N</v>
      </c>
      <c r="N2069" s="442" t="str">
        <f>IF(L2069&lt;&gt;"",VLOOKUP(L2069,Categories!$B$2:$D$41,2,FALSE),IF(F2069&lt;&gt;"","No Cat",""))</f>
        <v>NRBASE</v>
      </c>
      <c r="O2069" s="442" t="str">
        <f>IF($L2069&lt;&gt;"",VLOOKUP($L2069,Categories!$B$2:$D$41,3,FALSE),IF($F2069&lt;&gt;"","No Cat",""))</f>
        <v>SFAS-109   (offsetting)</v>
      </c>
      <c r="P2069" s="736" t="s">
        <v>2468</v>
      </c>
      <c r="Q2069" s="442" t="str">
        <f>VLOOKUP($P2069,Allocators!$B$7:$F$19,5,FALSE)</f>
        <v>Not in Rate Base</v>
      </c>
      <c r="R2069" s="737">
        <f>VLOOKUP($P2069,Allocators!$B$7:$F$19,2,FALSE)</f>
        <v>0</v>
      </c>
      <c r="S2069" s="737">
        <f>VLOOKUP($P2069,Allocators!$B$7:$F$19,3,FALSE)</f>
        <v>0</v>
      </c>
      <c r="T2069" s="737">
        <f t="shared" si="1028"/>
        <v>1</v>
      </c>
      <c r="U2069" s="2">
        <f t="shared" si="968"/>
        <v>0</v>
      </c>
      <c r="V2069" s="2">
        <f t="shared" si="969"/>
        <v>0</v>
      </c>
      <c r="W2069" s="2">
        <f t="shared" si="970"/>
        <v>1610.4238487499999</v>
      </c>
      <c r="X2069" s="2">
        <f t="shared" si="1024"/>
        <v>1610.4238487499999</v>
      </c>
      <c r="Y2069" s="2">
        <f t="shared" si="971"/>
        <v>0</v>
      </c>
      <c r="Z2069" s="2">
        <f t="shared" si="972"/>
        <v>0</v>
      </c>
      <c r="AA2069" s="2">
        <f t="shared" si="973"/>
        <v>2095.4258399999999</v>
      </c>
      <c r="AB2069" s="2">
        <f t="shared" si="1025"/>
        <v>2095.4258399999999</v>
      </c>
      <c r="AC2069" s="625">
        <v>1589.33681</v>
      </c>
      <c r="AD2069" s="625">
        <v>1589.33682</v>
      </c>
      <c r="AE2069" s="625">
        <v>1589.3368</v>
      </c>
      <c r="AF2069" s="625">
        <v>1589.33683</v>
      </c>
      <c r="AG2069" s="625">
        <v>1589.3367800000001</v>
      </c>
      <c r="AH2069" s="625">
        <v>1589.3367700000001</v>
      </c>
      <c r="AI2069" s="625">
        <v>1589.33681</v>
      </c>
      <c r="AJ2069" s="625">
        <v>1589.3368</v>
      </c>
      <c r="AK2069" s="625">
        <v>1589.3368400000002</v>
      </c>
      <c r="AL2069" s="625">
        <v>1589.33681</v>
      </c>
      <c r="AM2069" s="625">
        <v>1589.3367900000001</v>
      </c>
      <c r="AN2069" s="625">
        <v>1589.33681</v>
      </c>
      <c r="AO2069" s="625">
        <v>2095.4258399999999</v>
      </c>
      <c r="AP2069" s="41" t="str">
        <f t="shared" si="1005"/>
        <v>Def TaxN</v>
      </c>
      <c r="AQ2069" s="41" t="str">
        <f t="shared" si="1006"/>
        <v>Def TaxNN3SFAS 109</v>
      </c>
      <c r="AR2069" s="41" t="str">
        <f t="shared" si="1007"/>
        <v>N3SFAS 109</v>
      </c>
    </row>
    <row r="2070" spans="1:44" s="41" customFormat="1" ht="12.75" customHeight="1">
      <c r="A2070" s="442" t="s">
        <v>1590</v>
      </c>
      <c r="B2070" s="442" t="str">
        <f t="shared" ref="B2070:B2071" si="1029">CONCATENATE(A2070,C2070,D2070,E2070)</f>
        <v>Def Tax283171</v>
      </c>
      <c r="C2070" s="736">
        <v>283171</v>
      </c>
      <c r="D2070" s="735"/>
      <c r="E2070" s="626"/>
      <c r="F2070" s="626" t="str">
        <f t="shared" si="933"/>
        <v>ACCUM DEF INC TAXES -FAS 109-OTHER-STATE-ELECTRIC</v>
      </c>
      <c r="G2070" s="626"/>
      <c r="H2070" s="736" t="s">
        <v>8</v>
      </c>
      <c r="I2070" s="442"/>
      <c r="J2070" s="442"/>
      <c r="K2070" s="442" t="str">
        <f t="shared" si="994"/>
        <v>Y</v>
      </c>
      <c r="L2070" s="736" t="s">
        <v>2423</v>
      </c>
      <c r="M2070" s="442" t="str">
        <f t="shared" ref="M2070:M2071" si="1030">LEFT(L2070,1)</f>
        <v>N</v>
      </c>
      <c r="N2070" s="442" t="str">
        <f>IF(L2070&lt;&gt;"",VLOOKUP(L2070,Categories!$B$2:$D$41,2,FALSE),IF(F2070&lt;&gt;"","No Cat",""))</f>
        <v>NRBASE</v>
      </c>
      <c r="O2070" s="442" t="str">
        <f>IF($L2070&lt;&gt;"",VLOOKUP($L2070,Categories!$B$2:$D$41,3,FALSE),IF($F2070&lt;&gt;"","No Cat",""))</f>
        <v>SFAS-109   (offsetting)</v>
      </c>
      <c r="P2070" s="736" t="s">
        <v>2468</v>
      </c>
      <c r="Q2070" s="442" t="str">
        <f>VLOOKUP($P2070,Allocators!$B$7:$F$19,5,FALSE)</f>
        <v>Not in Rate Base</v>
      </c>
      <c r="R2070" s="737">
        <f>VLOOKUP($P2070,Allocators!$B$7:$F$19,2,FALSE)</f>
        <v>0</v>
      </c>
      <c r="S2070" s="737">
        <f>VLOOKUP($P2070,Allocators!$B$7:$F$19,3,FALSE)</f>
        <v>0</v>
      </c>
      <c r="T2070" s="737">
        <f t="shared" ref="T2070:T2071" si="1031">IF(P2070="N",1,"0.0%")</f>
        <v>1</v>
      </c>
      <c r="U2070" s="2">
        <f t="shared" si="968"/>
        <v>0</v>
      </c>
      <c r="V2070" s="2">
        <f t="shared" si="969"/>
        <v>0</v>
      </c>
      <c r="W2070" s="2">
        <f t="shared" si="970"/>
        <v>5191.0531208333296</v>
      </c>
      <c r="X2070" s="2">
        <f t="shared" si="1024"/>
        <v>5191.0531208333296</v>
      </c>
      <c r="Y2070" s="2">
        <f t="shared" si="971"/>
        <v>0</v>
      </c>
      <c r="Z2070" s="2">
        <f t="shared" si="972"/>
        <v>0</v>
      </c>
      <c r="AA2070" s="2">
        <f t="shared" si="973"/>
        <v>5191.05314</v>
      </c>
      <c r="AB2070" s="2">
        <f t="shared" si="1025"/>
        <v>5191.05314</v>
      </c>
      <c r="AC2070" s="625">
        <v>5191.0531600000004</v>
      </c>
      <c r="AD2070" s="625">
        <v>5191.0531100000007</v>
      </c>
      <c r="AE2070" s="625">
        <v>5191.0530899999994</v>
      </c>
      <c r="AF2070" s="625">
        <v>5191.0530899999994</v>
      </c>
      <c r="AG2070" s="625">
        <v>5191.0531300000002</v>
      </c>
      <c r="AH2070" s="625">
        <v>5191.0531500000006</v>
      </c>
      <c r="AI2070" s="625">
        <v>5191.0531300000002</v>
      </c>
      <c r="AJ2070" s="625">
        <v>5191.0531100000007</v>
      </c>
      <c r="AK2070" s="625">
        <v>5191.0530999999992</v>
      </c>
      <c r="AL2070" s="625">
        <v>5191.05314</v>
      </c>
      <c r="AM2070" s="625">
        <v>5191.0531300000002</v>
      </c>
      <c r="AN2070" s="625">
        <v>5191.0531200000005</v>
      </c>
      <c r="AO2070" s="625">
        <v>5191.05314</v>
      </c>
      <c r="AP2070" s="41" t="str">
        <f t="shared" si="1005"/>
        <v>Def TaxN</v>
      </c>
      <c r="AQ2070" s="41" t="str">
        <f t="shared" si="1006"/>
        <v>Def TaxNN3SFAS 109</v>
      </c>
      <c r="AR2070" s="41" t="str">
        <f t="shared" si="1007"/>
        <v>N3SFAS 109</v>
      </c>
    </row>
    <row r="2071" spans="1:44" s="41" customFormat="1" ht="12.75" customHeight="1">
      <c r="A2071" s="442" t="s">
        <v>1590</v>
      </c>
      <c r="B2071" s="442" t="str">
        <f t="shared" si="1029"/>
        <v>Def Tax283172</v>
      </c>
      <c r="C2071" s="736">
        <v>283172</v>
      </c>
      <c r="D2071" s="735"/>
      <c r="E2071" s="626"/>
      <c r="F2071" s="626" t="str">
        <f t="shared" si="933"/>
        <v>ACCUM DEF INC TAXES -FAS 109-OTHER-STATE-GAS</v>
      </c>
      <c r="G2071" s="626"/>
      <c r="H2071" s="736" t="s">
        <v>8</v>
      </c>
      <c r="I2071" s="442"/>
      <c r="J2071" s="442"/>
      <c r="K2071" s="442" t="str">
        <f t="shared" si="994"/>
        <v>Y</v>
      </c>
      <c r="L2071" s="736" t="s">
        <v>2423</v>
      </c>
      <c r="M2071" s="442" t="str">
        <f t="shared" si="1030"/>
        <v>N</v>
      </c>
      <c r="N2071" s="442" t="str">
        <f>IF(L2071&lt;&gt;"",VLOOKUP(L2071,Categories!$B$2:$D$41,2,FALSE),IF(F2071&lt;&gt;"","No Cat",""))</f>
        <v>NRBASE</v>
      </c>
      <c r="O2071" s="442" t="str">
        <f>IF($L2071&lt;&gt;"",VLOOKUP($L2071,Categories!$B$2:$D$41,3,FALSE),IF($F2071&lt;&gt;"","No Cat",""))</f>
        <v>SFAS-109   (offsetting)</v>
      </c>
      <c r="P2071" s="736" t="s">
        <v>2468</v>
      </c>
      <c r="Q2071" s="442" t="str">
        <f>VLOOKUP($P2071,Allocators!$B$7:$F$19,5,FALSE)</f>
        <v>Not in Rate Base</v>
      </c>
      <c r="R2071" s="737">
        <f>VLOOKUP($P2071,Allocators!$B$7:$F$19,2,FALSE)</f>
        <v>0</v>
      </c>
      <c r="S2071" s="737">
        <f>VLOOKUP($P2071,Allocators!$B$7:$F$19,3,FALSE)</f>
        <v>0</v>
      </c>
      <c r="T2071" s="737">
        <f t="shared" si="1031"/>
        <v>1</v>
      </c>
      <c r="U2071" s="2">
        <f t="shared" si="968"/>
        <v>0</v>
      </c>
      <c r="V2071" s="2">
        <f t="shared" si="969"/>
        <v>0</v>
      </c>
      <c r="W2071" s="2">
        <f t="shared" si="970"/>
        <v>3433.7083220833301</v>
      </c>
      <c r="X2071" s="2">
        <f t="shared" si="1024"/>
        <v>3433.7083220833301</v>
      </c>
      <c r="Y2071" s="2">
        <f t="shared" si="971"/>
        <v>0</v>
      </c>
      <c r="Z2071" s="2">
        <f t="shared" si="972"/>
        <v>0</v>
      </c>
      <c r="AA2071" s="2">
        <f t="shared" si="973"/>
        <v>3433.7083299999999</v>
      </c>
      <c r="AB2071" s="2">
        <f t="shared" si="1025"/>
        <v>3433.7083299999999</v>
      </c>
      <c r="AC2071" s="625">
        <v>3433.7083199999997</v>
      </c>
      <c r="AD2071" s="625">
        <v>3433.70829</v>
      </c>
      <c r="AE2071" s="625">
        <v>3433.70831</v>
      </c>
      <c r="AF2071" s="625">
        <v>3433.7082999999998</v>
      </c>
      <c r="AG2071" s="625">
        <v>3433.7083199999997</v>
      </c>
      <c r="AH2071" s="625">
        <v>3433.7083199999997</v>
      </c>
      <c r="AI2071" s="625">
        <v>3433.7083600000001</v>
      </c>
      <c r="AJ2071" s="625">
        <v>3433.7083199999997</v>
      </c>
      <c r="AK2071" s="625">
        <v>3433.7083399999997</v>
      </c>
      <c r="AL2071" s="625">
        <v>3433.7083199999997</v>
      </c>
      <c r="AM2071" s="625">
        <v>3433.7083399999997</v>
      </c>
      <c r="AN2071" s="625">
        <v>3433.7083199999997</v>
      </c>
      <c r="AO2071" s="625">
        <v>3433.7083299999999</v>
      </c>
      <c r="AP2071" s="41" t="str">
        <f t="shared" si="1005"/>
        <v>Def TaxN</v>
      </c>
      <c r="AQ2071" s="41" t="str">
        <f t="shared" si="1006"/>
        <v>Def TaxNN3SFAS 109</v>
      </c>
      <c r="AR2071" s="41" t="str">
        <f t="shared" si="1007"/>
        <v>N3SFAS 109</v>
      </c>
    </row>
    <row r="2072" spans="1:44" s="41" customFormat="1" ht="12.75" customHeight="1">
      <c r="A2072" s="25" t="s">
        <v>1590</v>
      </c>
      <c r="B2072" s="25" t="str">
        <f t="shared" si="950"/>
        <v>Def Tax283200283-048/
283-034/
283-043BT010229</v>
      </c>
      <c r="C2072" s="736">
        <v>283200</v>
      </c>
      <c r="D2072" s="735" t="s">
        <v>2133</v>
      </c>
      <c r="E2072" s="41" t="s">
        <v>2063</v>
      </c>
      <c r="F2072" s="41" t="str">
        <f t="shared" si="933"/>
        <v>ACCUM DEF INC TAX-OTH-FEDERAL-ELECTRIC</v>
      </c>
      <c r="G2072" s="41" t="s">
        <v>2134</v>
      </c>
      <c r="H2072" s="736">
        <v>0</v>
      </c>
      <c r="I2072" s="25"/>
      <c r="J2072" s="25" t="str">
        <f t="shared" si="934"/>
        <v/>
      </c>
      <c r="K2072" s="442" t="str">
        <f t="shared" si="994"/>
        <v/>
      </c>
      <c r="L2072" s="736" t="s">
        <v>2443</v>
      </c>
      <c r="M2072" s="25" t="str">
        <f t="shared" si="995"/>
        <v>R</v>
      </c>
      <c r="N2072" s="25" t="str">
        <f>IF(L2072&lt;&gt;"",VLOOKUP(L2072,Categories!$B$2:$D$41,2,FALSE),IF(F2072&lt;&gt;"","No Cat",""))</f>
        <v>Rate Base</v>
      </c>
      <c r="O2072" s="25" t="str">
        <f>IF($L2072&lt;&gt;"",VLOOKUP($L2072,Categories!$B$2:$D$41,3,FALSE),IF($F2072&lt;&gt;"","No Cat",""))</f>
        <v>Deferred Income Taxes</v>
      </c>
      <c r="P2072" s="736" t="s">
        <v>2482</v>
      </c>
      <c r="Q2072" s="25" t="str">
        <f>VLOOKUP($P2072,Allocators!$B$7:$F$19,5,FALSE)</f>
        <v>Electric</v>
      </c>
      <c r="R2072" s="737">
        <f>VLOOKUP($P2072,Allocators!$B$7:$F$19,2,FALSE)</f>
        <v>1</v>
      </c>
      <c r="S2072" s="737">
        <f>VLOOKUP($P2072,Allocators!$B$7:$F$19,3,FALSE)</f>
        <v>0</v>
      </c>
      <c r="T2072" s="737" t="str">
        <f t="shared" si="967"/>
        <v>0.0%</v>
      </c>
      <c r="U2072" s="2" t="str">
        <f t="shared" si="968"/>
        <v/>
      </c>
      <c r="V2072" s="2" t="str">
        <f t="shared" si="969"/>
        <v/>
      </c>
      <c r="W2072" s="2" t="str">
        <f t="shared" si="970"/>
        <v/>
      </c>
      <c r="X2072" s="2">
        <f t="shared" si="1024"/>
        <v>0</v>
      </c>
      <c r="Y2072" s="2" t="str">
        <f t="shared" si="971"/>
        <v/>
      </c>
      <c r="Z2072" s="2" t="str">
        <f t="shared" si="972"/>
        <v/>
      </c>
      <c r="AA2072" s="2" t="str">
        <f t="shared" si="973"/>
        <v/>
      </c>
      <c r="AB2072" s="2">
        <f t="shared" si="1025"/>
        <v>0</v>
      </c>
      <c r="AC2072" s="625">
        <v>0</v>
      </c>
      <c r="AD2072" s="625">
        <v>0</v>
      </c>
      <c r="AE2072" s="625">
        <v>0</v>
      </c>
      <c r="AF2072" s="625">
        <v>0</v>
      </c>
      <c r="AG2072" s="625">
        <v>0</v>
      </c>
      <c r="AH2072" s="625">
        <v>0</v>
      </c>
      <c r="AI2072" s="625">
        <v>0</v>
      </c>
      <c r="AJ2072" s="625">
        <v>0</v>
      </c>
      <c r="AK2072" s="625">
        <v>0</v>
      </c>
      <c r="AL2072" s="625">
        <v>0</v>
      </c>
      <c r="AM2072" s="625">
        <v>0</v>
      </c>
      <c r="AN2072" s="625">
        <v>0</v>
      </c>
      <c r="AO2072" s="625">
        <v>0</v>
      </c>
      <c r="AP2072" s="41" t="str">
        <f t="shared" si="1005"/>
        <v>Def TaxR</v>
      </c>
      <c r="AQ2072" s="41" t="str">
        <f t="shared" si="1006"/>
        <v>Def TaxRR110</v>
      </c>
      <c r="AR2072" s="41" t="str">
        <f t="shared" si="1007"/>
        <v>R110</v>
      </c>
    </row>
    <row r="2073" spans="1:44" s="41" customFormat="1" ht="12.75" customHeight="1">
      <c r="A2073" s="25" t="s">
        <v>1590</v>
      </c>
      <c r="B2073" s="25" t="str">
        <f t="shared" si="950"/>
        <v>Def Tax283200283-020</v>
      </c>
      <c r="C2073" s="736">
        <v>283200</v>
      </c>
      <c r="D2073" s="735" t="s">
        <v>1826</v>
      </c>
      <c r="F2073" s="41" t="str">
        <f t="shared" si="933"/>
        <v>ACCUM DEF INC TAX-OTH-FEDERAL-ELECTRIC</v>
      </c>
      <c r="G2073" s="41" t="s">
        <v>1828</v>
      </c>
      <c r="H2073" s="736" t="s">
        <v>1829</v>
      </c>
      <c r="I2073" s="25"/>
      <c r="J2073" s="25" t="str">
        <f t="shared" si="934"/>
        <v/>
      </c>
      <c r="K2073" s="442" t="str">
        <f t="shared" si="994"/>
        <v/>
      </c>
      <c r="L2073" s="736" t="s">
        <v>2443</v>
      </c>
      <c r="M2073" s="25" t="str">
        <f t="shared" si="995"/>
        <v>R</v>
      </c>
      <c r="N2073" s="25" t="str">
        <f>IF(L2073&lt;&gt;"",VLOOKUP(L2073,Categories!$B$2:$D$41,2,FALSE),IF(F2073&lt;&gt;"","No Cat",""))</f>
        <v>Rate Base</v>
      </c>
      <c r="O2073" s="25" t="str">
        <f>IF($L2073&lt;&gt;"",VLOOKUP($L2073,Categories!$B$2:$D$41,3,FALSE),IF($F2073&lt;&gt;"","No Cat",""))</f>
        <v>Deferred Income Taxes</v>
      </c>
      <c r="P2073" s="736" t="s">
        <v>2482</v>
      </c>
      <c r="Q2073" s="25" t="str">
        <f>VLOOKUP($P2073,Allocators!$B$7:$F$19,5,FALSE)</f>
        <v>Electric</v>
      </c>
      <c r="R2073" s="737">
        <f>VLOOKUP($P2073,Allocators!$B$7:$F$19,2,FALSE)</f>
        <v>1</v>
      </c>
      <c r="S2073" s="737">
        <f>VLOOKUP($P2073,Allocators!$B$7:$F$19,3,FALSE)</f>
        <v>0</v>
      </c>
      <c r="T2073" s="737" t="str">
        <f t="shared" si="967"/>
        <v>0.0%</v>
      </c>
      <c r="U2073" s="2" t="str">
        <f t="shared" si="968"/>
        <v/>
      </c>
      <c r="V2073" s="2" t="str">
        <f t="shared" si="969"/>
        <v/>
      </c>
      <c r="W2073" s="2" t="str">
        <f t="shared" si="970"/>
        <v/>
      </c>
      <c r="X2073" s="2">
        <f t="shared" si="1024"/>
        <v>0</v>
      </c>
      <c r="Y2073" s="2" t="str">
        <f t="shared" si="971"/>
        <v/>
      </c>
      <c r="Z2073" s="2" t="str">
        <f t="shared" si="972"/>
        <v/>
      </c>
      <c r="AA2073" s="2" t="str">
        <f t="shared" si="973"/>
        <v/>
      </c>
      <c r="AB2073" s="2">
        <f t="shared" si="1025"/>
        <v>0</v>
      </c>
      <c r="AC2073" s="625">
        <v>0</v>
      </c>
      <c r="AD2073" s="625">
        <v>0</v>
      </c>
      <c r="AE2073" s="625">
        <v>0</v>
      </c>
      <c r="AF2073" s="625">
        <v>0</v>
      </c>
      <c r="AG2073" s="625">
        <v>0</v>
      </c>
      <c r="AH2073" s="625">
        <v>0</v>
      </c>
      <c r="AI2073" s="625">
        <v>0</v>
      </c>
      <c r="AJ2073" s="625">
        <v>0</v>
      </c>
      <c r="AK2073" s="625">
        <v>0</v>
      </c>
      <c r="AL2073" s="625">
        <v>0</v>
      </c>
      <c r="AM2073" s="625">
        <v>0</v>
      </c>
      <c r="AN2073" s="625">
        <v>0</v>
      </c>
      <c r="AO2073" s="625">
        <v>0</v>
      </c>
      <c r="AP2073" s="41" t="str">
        <f t="shared" si="1005"/>
        <v>Def TaxR</v>
      </c>
      <c r="AQ2073" s="41" t="str">
        <f t="shared" si="1006"/>
        <v>Def TaxRR11Bad Debts</v>
      </c>
      <c r="AR2073" s="41" t="str">
        <f t="shared" si="1007"/>
        <v>R11Bad Debts</v>
      </c>
    </row>
    <row r="2074" spans="1:44" s="41" customFormat="1" ht="12.75" customHeight="1">
      <c r="A2074" s="25" t="s">
        <v>1590</v>
      </c>
      <c r="B2074" s="25" t="str">
        <f t="shared" si="950"/>
        <v>Def Tax283200283-049</v>
      </c>
      <c r="C2074" s="736">
        <v>283200</v>
      </c>
      <c r="D2074" s="735" t="s">
        <v>1888</v>
      </c>
      <c r="F2074" s="41" t="str">
        <f t="shared" si="933"/>
        <v>ACCUM DEF INC TAX-OTH-FEDERAL-ELECTRIC</v>
      </c>
      <c r="G2074" s="41" t="s">
        <v>1889</v>
      </c>
      <c r="H2074" s="736" t="s">
        <v>1890</v>
      </c>
      <c r="I2074" s="25"/>
      <c r="J2074" s="25" t="str">
        <f t="shared" si="934"/>
        <v/>
      </c>
      <c r="K2074" s="442" t="str">
        <f t="shared" si="994"/>
        <v/>
      </c>
      <c r="L2074" s="736" t="s">
        <v>2443</v>
      </c>
      <c r="M2074" s="25" t="str">
        <f t="shared" si="995"/>
        <v>R</v>
      </c>
      <c r="N2074" s="25" t="str">
        <f>IF(L2074&lt;&gt;"",VLOOKUP(L2074,Categories!$B$2:$D$41,2,FALSE),IF(F2074&lt;&gt;"","No Cat",""))</f>
        <v>Rate Base</v>
      </c>
      <c r="O2074" s="25" t="str">
        <f>IF($L2074&lt;&gt;"",VLOOKUP($L2074,Categories!$B$2:$D$41,3,FALSE),IF($F2074&lt;&gt;"","No Cat",""))</f>
        <v>Deferred Income Taxes</v>
      </c>
      <c r="P2074" s="736" t="s">
        <v>2482</v>
      </c>
      <c r="Q2074" s="25" t="str">
        <f>VLOOKUP($P2074,Allocators!$B$7:$F$19,5,FALSE)</f>
        <v>Electric</v>
      </c>
      <c r="R2074" s="737">
        <f>VLOOKUP($P2074,Allocators!$B$7:$F$19,2,FALSE)</f>
        <v>1</v>
      </c>
      <c r="S2074" s="737">
        <f>VLOOKUP($P2074,Allocators!$B$7:$F$19,3,FALSE)</f>
        <v>0</v>
      </c>
      <c r="T2074" s="737" t="str">
        <f t="shared" si="967"/>
        <v>0.0%</v>
      </c>
      <c r="U2074" s="2" t="str">
        <f t="shared" ref="U2074:U2137" si="1032">IF(ABS(X2074)=0,"",IF($R2074="NO ALLOC","NO ALLOC",ROUND($R2074*X2074,15)))</f>
        <v/>
      </c>
      <c r="V2074" s="2" t="str">
        <f t="shared" ref="V2074:V2137" si="1033">IF(ABS(X2074)=0,"",IF($S2074="NO ALLOC","NO ALLOC",ROUND($S2074*X2074,15)))</f>
        <v/>
      </c>
      <c r="W2074" s="2" t="str">
        <f t="shared" ref="W2074:W2137" si="1034">IF(ABS(X2074)=0,"",IF($T2074="NO ALLOC","NO ALLOC",ROUND($T2074*X2074,15)))</f>
        <v/>
      </c>
      <c r="X2074" s="2">
        <f t="shared" si="1024"/>
        <v>0</v>
      </c>
      <c r="Y2074" s="2" t="str">
        <f t="shared" ref="Y2074:Y2137" si="1035">IF(ABS(AB2074)=0,"",IF($R2074="NO ALLOC","NO ALLOC",ROUND($R2074*AB2074,15)))</f>
        <v/>
      </c>
      <c r="Z2074" s="2" t="str">
        <f t="shared" ref="Z2074:Z2137" si="1036">IF(ABS(AB2074)=0,"",IF($S2074="NO ALLOC","NO ALLOC",ROUND($S2074*AB2074,15)))</f>
        <v/>
      </c>
      <c r="AA2074" s="2" t="str">
        <f t="shared" ref="AA2074:AA2137" si="1037">IF(ABS(AB2074)=0,"",IF($T2074="NO ALLOC","NO ALLOC",ROUND($T2074*AB2074,15)))</f>
        <v/>
      </c>
      <c r="AB2074" s="2">
        <f t="shared" si="1025"/>
        <v>0</v>
      </c>
      <c r="AC2074" s="625">
        <v>0</v>
      </c>
      <c r="AD2074" s="625">
        <v>0</v>
      </c>
      <c r="AE2074" s="625">
        <v>0</v>
      </c>
      <c r="AF2074" s="625">
        <v>0</v>
      </c>
      <c r="AG2074" s="625">
        <v>0</v>
      </c>
      <c r="AH2074" s="625">
        <v>0</v>
      </c>
      <c r="AI2074" s="625">
        <v>0</v>
      </c>
      <c r="AJ2074" s="625">
        <v>0</v>
      </c>
      <c r="AK2074" s="625">
        <v>0</v>
      </c>
      <c r="AL2074" s="625">
        <v>0</v>
      </c>
      <c r="AM2074" s="625">
        <v>0</v>
      </c>
      <c r="AN2074" s="625">
        <v>0</v>
      </c>
      <c r="AO2074" s="625">
        <v>0</v>
      </c>
      <c r="AP2074" s="41" t="str">
        <f t="shared" si="1005"/>
        <v>Def TaxR</v>
      </c>
      <c r="AQ2074" s="41" t="str">
        <f t="shared" si="1006"/>
        <v>Def TaxRR11Beebee</v>
      </c>
      <c r="AR2074" s="41" t="str">
        <f t="shared" si="1007"/>
        <v>R11Beebee</v>
      </c>
    </row>
    <row r="2075" spans="1:44" s="41" customFormat="1" ht="12.75" customHeight="1">
      <c r="A2075" s="25" t="s">
        <v>1590</v>
      </c>
      <c r="B2075" s="25" t="str">
        <f t="shared" si="950"/>
        <v>Def Tax283200283-048</v>
      </c>
      <c r="C2075" s="736">
        <v>283200</v>
      </c>
      <c r="D2075" s="735" t="s">
        <v>2135</v>
      </c>
      <c r="F2075" s="41" t="str">
        <f t="shared" si="933"/>
        <v>ACCUM DEF INC TAX-OTH-FEDERAL-ELECTRIC</v>
      </c>
      <c r="G2075" s="41" t="s">
        <v>2136</v>
      </c>
      <c r="H2075" s="736">
        <v>0</v>
      </c>
      <c r="I2075" s="25"/>
      <c r="J2075" s="25" t="str">
        <f t="shared" si="934"/>
        <v/>
      </c>
      <c r="K2075" s="442" t="str">
        <f t="shared" si="994"/>
        <v/>
      </c>
      <c r="L2075" s="736" t="s">
        <v>2443</v>
      </c>
      <c r="M2075" s="25" t="str">
        <f t="shared" si="995"/>
        <v>R</v>
      </c>
      <c r="N2075" s="25" t="str">
        <f>IF(L2075&lt;&gt;"",VLOOKUP(L2075,Categories!$B$2:$D$41,2,FALSE),IF(F2075&lt;&gt;"","No Cat",""))</f>
        <v>Rate Base</v>
      </c>
      <c r="O2075" s="25" t="str">
        <f>IF($L2075&lt;&gt;"",VLOOKUP($L2075,Categories!$B$2:$D$41,3,FALSE),IF($F2075&lt;&gt;"","No Cat",""))</f>
        <v>Deferred Income Taxes</v>
      </c>
      <c r="P2075" s="736" t="s">
        <v>2482</v>
      </c>
      <c r="Q2075" s="25" t="str">
        <f>VLOOKUP($P2075,Allocators!$B$7:$F$19,5,FALSE)</f>
        <v>Electric</v>
      </c>
      <c r="R2075" s="737">
        <f>VLOOKUP($P2075,Allocators!$B$7:$F$19,2,FALSE)</f>
        <v>1</v>
      </c>
      <c r="S2075" s="737">
        <f>VLOOKUP($P2075,Allocators!$B$7:$F$19,3,FALSE)</f>
        <v>0</v>
      </c>
      <c r="T2075" s="737" t="str">
        <f t="shared" si="967"/>
        <v>0.0%</v>
      </c>
      <c r="U2075" s="2" t="str">
        <f t="shared" si="1032"/>
        <v/>
      </c>
      <c r="V2075" s="2" t="str">
        <f t="shared" si="1033"/>
        <v/>
      </c>
      <c r="W2075" s="2" t="str">
        <f t="shared" si="1034"/>
        <v/>
      </c>
      <c r="X2075" s="2">
        <f t="shared" si="1024"/>
        <v>0</v>
      </c>
      <c r="Y2075" s="2" t="str">
        <f t="shared" si="1035"/>
        <v/>
      </c>
      <c r="Z2075" s="2" t="str">
        <f t="shared" si="1036"/>
        <v/>
      </c>
      <c r="AA2075" s="2" t="str">
        <f t="shared" si="1037"/>
        <v/>
      </c>
      <c r="AB2075" s="2">
        <f t="shared" si="1025"/>
        <v>0</v>
      </c>
      <c r="AC2075" s="625">
        <v>0</v>
      </c>
      <c r="AD2075" s="625">
        <v>0</v>
      </c>
      <c r="AE2075" s="625">
        <v>0</v>
      </c>
      <c r="AF2075" s="625">
        <v>0</v>
      </c>
      <c r="AG2075" s="625">
        <v>0</v>
      </c>
      <c r="AH2075" s="625">
        <v>0</v>
      </c>
      <c r="AI2075" s="625">
        <v>0</v>
      </c>
      <c r="AJ2075" s="625">
        <v>0</v>
      </c>
      <c r="AK2075" s="625">
        <v>0</v>
      </c>
      <c r="AL2075" s="625">
        <v>0</v>
      </c>
      <c r="AM2075" s="625">
        <v>0</v>
      </c>
      <c r="AN2075" s="625">
        <v>0</v>
      </c>
      <c r="AO2075" s="625">
        <v>0</v>
      </c>
      <c r="AP2075" s="41" t="str">
        <f t="shared" si="1005"/>
        <v>Def TaxR</v>
      </c>
      <c r="AQ2075" s="41" t="str">
        <f t="shared" si="1006"/>
        <v>Def TaxRR110</v>
      </c>
      <c r="AR2075" s="41" t="str">
        <f t="shared" si="1007"/>
        <v>R110</v>
      </c>
    </row>
    <row r="2076" spans="1:44" s="41" customFormat="1" ht="12.75" customHeight="1">
      <c r="A2076" s="25" t="s">
        <v>1590</v>
      </c>
      <c r="B2076" s="25" t="str">
        <f t="shared" si="950"/>
        <v>Def Tax283200283-071</v>
      </c>
      <c r="C2076" s="736">
        <v>283200</v>
      </c>
      <c r="D2076" s="735" t="s">
        <v>1891</v>
      </c>
      <c r="F2076" s="41" t="str">
        <f t="shared" si="933"/>
        <v>ACCUM DEF INC TAX-OTH-FEDERAL-ELECTRIC</v>
      </c>
      <c r="G2076" s="41" t="s">
        <v>1892</v>
      </c>
      <c r="H2076" s="736" t="s">
        <v>1893</v>
      </c>
      <c r="I2076" s="25"/>
      <c r="J2076" s="25" t="str">
        <f t="shared" si="934"/>
        <v/>
      </c>
      <c r="K2076" s="442" t="str">
        <f t="shared" si="994"/>
        <v/>
      </c>
      <c r="L2076" s="736" t="s">
        <v>2443</v>
      </c>
      <c r="M2076" s="25" t="str">
        <f t="shared" si="995"/>
        <v>R</v>
      </c>
      <c r="N2076" s="25" t="str">
        <f>IF(L2076&lt;&gt;"",VLOOKUP(L2076,Categories!$B$2:$D$41,2,FALSE),IF(F2076&lt;&gt;"","No Cat",""))</f>
        <v>Rate Base</v>
      </c>
      <c r="O2076" s="25" t="str">
        <f>IF($L2076&lt;&gt;"",VLOOKUP($L2076,Categories!$B$2:$D$41,3,FALSE),IF($F2076&lt;&gt;"","No Cat",""))</f>
        <v>Deferred Income Taxes</v>
      </c>
      <c r="P2076" s="736" t="s">
        <v>2482</v>
      </c>
      <c r="Q2076" s="25" t="str">
        <f>VLOOKUP($P2076,Allocators!$B$7:$F$19,5,FALSE)</f>
        <v>Electric</v>
      </c>
      <c r="R2076" s="737">
        <f>VLOOKUP($P2076,Allocators!$B$7:$F$19,2,FALSE)</f>
        <v>1</v>
      </c>
      <c r="S2076" s="737">
        <f>VLOOKUP($P2076,Allocators!$B$7:$F$19,3,FALSE)</f>
        <v>0</v>
      </c>
      <c r="T2076" s="737" t="str">
        <f t="shared" si="967"/>
        <v>0.0%</v>
      </c>
      <c r="U2076" s="2" t="str">
        <f t="shared" si="1032"/>
        <v/>
      </c>
      <c r="V2076" s="2" t="str">
        <f t="shared" si="1033"/>
        <v/>
      </c>
      <c r="W2076" s="2" t="str">
        <f t="shared" si="1034"/>
        <v/>
      </c>
      <c r="X2076" s="2">
        <f t="shared" si="1024"/>
        <v>0</v>
      </c>
      <c r="Y2076" s="2" t="str">
        <f t="shared" si="1035"/>
        <v/>
      </c>
      <c r="Z2076" s="2" t="str">
        <f t="shared" si="1036"/>
        <v/>
      </c>
      <c r="AA2076" s="2" t="str">
        <f t="shared" si="1037"/>
        <v/>
      </c>
      <c r="AB2076" s="2">
        <f t="shared" si="1025"/>
        <v>0</v>
      </c>
      <c r="AC2076" s="625">
        <v>0</v>
      </c>
      <c r="AD2076" s="625">
        <v>0</v>
      </c>
      <c r="AE2076" s="625">
        <v>0</v>
      </c>
      <c r="AF2076" s="625">
        <v>0</v>
      </c>
      <c r="AG2076" s="625">
        <v>0</v>
      </c>
      <c r="AH2076" s="625">
        <v>0</v>
      </c>
      <c r="AI2076" s="625">
        <v>0</v>
      </c>
      <c r="AJ2076" s="625">
        <v>0</v>
      </c>
      <c r="AK2076" s="625">
        <v>0</v>
      </c>
      <c r="AL2076" s="625">
        <v>0</v>
      </c>
      <c r="AM2076" s="625">
        <v>0</v>
      </c>
      <c r="AN2076" s="625">
        <v>0</v>
      </c>
      <c r="AO2076" s="625">
        <v>0</v>
      </c>
      <c r="AP2076" s="41" t="str">
        <f t="shared" si="1005"/>
        <v>Def TaxR</v>
      </c>
      <c r="AQ2076" s="41" t="str">
        <f t="shared" si="1006"/>
        <v>Def TaxRR112003 Blackout</v>
      </c>
      <c r="AR2076" s="41" t="str">
        <f t="shared" si="1007"/>
        <v>R112003 Blackout</v>
      </c>
    </row>
    <row r="2077" spans="1:44" s="41" customFormat="1" ht="12.75" customHeight="1">
      <c r="A2077" s="25" t="s">
        <v>1590</v>
      </c>
      <c r="B2077" s="25" t="str">
        <f t="shared" si="950"/>
        <v>Def Tax283200283-071-JP</v>
      </c>
      <c r="C2077" s="736">
        <v>283200</v>
      </c>
      <c r="D2077" s="735" t="s">
        <v>2036</v>
      </c>
      <c r="F2077" s="41" t="str">
        <f t="shared" si="933"/>
        <v>ACCUM DEF INC TAX-OTH-FEDERAL-ELECTRIC</v>
      </c>
      <c r="G2077" s="41" t="s">
        <v>2137</v>
      </c>
      <c r="H2077" s="736" t="s">
        <v>1893</v>
      </c>
      <c r="I2077" s="25"/>
      <c r="J2077" s="25" t="str">
        <f t="shared" si="934"/>
        <v/>
      </c>
      <c r="K2077" s="442" t="str">
        <f t="shared" si="994"/>
        <v/>
      </c>
      <c r="L2077" s="736" t="s">
        <v>2443</v>
      </c>
      <c r="M2077" s="25" t="str">
        <f t="shared" si="995"/>
        <v>R</v>
      </c>
      <c r="N2077" s="25" t="str">
        <f>IF(L2077&lt;&gt;"",VLOOKUP(L2077,Categories!$B$2:$D$41,2,FALSE),IF(F2077&lt;&gt;"","No Cat",""))</f>
        <v>Rate Base</v>
      </c>
      <c r="O2077" s="25" t="str">
        <f>IF($L2077&lt;&gt;"",VLOOKUP($L2077,Categories!$B$2:$D$41,3,FALSE),IF($F2077&lt;&gt;"","No Cat",""))</f>
        <v>Deferred Income Taxes</v>
      </c>
      <c r="P2077" s="736" t="s">
        <v>2482</v>
      </c>
      <c r="Q2077" s="25" t="str">
        <f>VLOOKUP($P2077,Allocators!$B$7:$F$19,5,FALSE)</f>
        <v>Electric</v>
      </c>
      <c r="R2077" s="737">
        <f>VLOOKUP($P2077,Allocators!$B$7:$F$19,2,FALSE)</f>
        <v>1</v>
      </c>
      <c r="S2077" s="737">
        <f>VLOOKUP($P2077,Allocators!$B$7:$F$19,3,FALSE)</f>
        <v>0</v>
      </c>
      <c r="T2077" s="737" t="str">
        <f t="shared" si="967"/>
        <v>0.0%</v>
      </c>
      <c r="U2077" s="2" t="str">
        <f t="shared" si="1032"/>
        <v/>
      </c>
      <c r="V2077" s="2" t="str">
        <f t="shared" si="1033"/>
        <v/>
      </c>
      <c r="W2077" s="2" t="str">
        <f t="shared" si="1034"/>
        <v/>
      </c>
      <c r="X2077" s="2">
        <f t="shared" si="1024"/>
        <v>0</v>
      </c>
      <c r="Y2077" s="2" t="str">
        <f t="shared" si="1035"/>
        <v/>
      </c>
      <c r="Z2077" s="2" t="str">
        <f t="shared" si="1036"/>
        <v/>
      </c>
      <c r="AA2077" s="2" t="str">
        <f t="shared" si="1037"/>
        <v/>
      </c>
      <c r="AB2077" s="2">
        <f t="shared" si="1025"/>
        <v>0</v>
      </c>
      <c r="AC2077" s="625">
        <v>0</v>
      </c>
      <c r="AD2077" s="625">
        <v>0</v>
      </c>
      <c r="AE2077" s="625">
        <v>0</v>
      </c>
      <c r="AF2077" s="625">
        <v>0</v>
      </c>
      <c r="AG2077" s="625">
        <v>0</v>
      </c>
      <c r="AH2077" s="625">
        <v>0</v>
      </c>
      <c r="AI2077" s="625">
        <v>0</v>
      </c>
      <c r="AJ2077" s="625">
        <v>0</v>
      </c>
      <c r="AK2077" s="625">
        <v>0</v>
      </c>
      <c r="AL2077" s="625">
        <v>0</v>
      </c>
      <c r="AM2077" s="625">
        <v>0</v>
      </c>
      <c r="AN2077" s="625">
        <v>0</v>
      </c>
      <c r="AO2077" s="625">
        <v>0</v>
      </c>
      <c r="AP2077" s="41" t="str">
        <f t="shared" si="1005"/>
        <v>Def TaxR</v>
      </c>
      <c r="AQ2077" s="41" t="str">
        <f t="shared" si="1006"/>
        <v>Def TaxRR112003 Blackout</v>
      </c>
      <c r="AR2077" s="41" t="str">
        <f t="shared" si="1007"/>
        <v>R112003 Blackout</v>
      </c>
    </row>
    <row r="2078" spans="1:44" s="41" customFormat="1" ht="12.75" customHeight="1">
      <c r="A2078" s="25" t="s">
        <v>1590</v>
      </c>
      <c r="B2078" s="25" t="str">
        <f t="shared" si="950"/>
        <v>Def Tax283200283-087BT010264</v>
      </c>
      <c r="C2078" s="736">
        <v>283200</v>
      </c>
      <c r="D2078" s="735" t="s">
        <v>2138</v>
      </c>
      <c r="E2078" s="41" t="s">
        <v>2139</v>
      </c>
      <c r="F2078" s="41" t="str">
        <f t="shared" si="933"/>
        <v>ACCUM DEF INC TAX-OTH-FEDERAL-ELECTRIC</v>
      </c>
      <c r="G2078" s="41" t="s">
        <v>2140</v>
      </c>
      <c r="H2078" s="736" t="s">
        <v>2141</v>
      </c>
      <c r="I2078" s="25"/>
      <c r="J2078" s="25" t="str">
        <f t="shared" si="934"/>
        <v/>
      </c>
      <c r="K2078" s="442" t="str">
        <f t="shared" si="994"/>
        <v/>
      </c>
      <c r="L2078" s="736" t="s">
        <v>2443</v>
      </c>
      <c r="M2078" s="25" t="str">
        <f t="shared" si="995"/>
        <v>R</v>
      </c>
      <c r="N2078" s="25" t="str">
        <f>IF(L2078&lt;&gt;"",VLOOKUP(L2078,Categories!$B$2:$D$41,2,FALSE),IF(F2078&lt;&gt;"","No Cat",""))</f>
        <v>Rate Base</v>
      </c>
      <c r="O2078" s="25" t="str">
        <f>IF($L2078&lt;&gt;"",VLOOKUP($L2078,Categories!$B$2:$D$41,3,FALSE),IF($F2078&lt;&gt;"","No Cat",""))</f>
        <v>Deferred Income Taxes</v>
      </c>
      <c r="P2078" s="736" t="s">
        <v>2482</v>
      </c>
      <c r="Q2078" s="25" t="str">
        <f>VLOOKUP($P2078,Allocators!$B$7:$F$19,5,FALSE)</f>
        <v>Electric</v>
      </c>
      <c r="R2078" s="737">
        <f>VLOOKUP($P2078,Allocators!$B$7:$F$19,2,FALSE)</f>
        <v>1</v>
      </c>
      <c r="S2078" s="737">
        <f>VLOOKUP($P2078,Allocators!$B$7:$F$19,3,FALSE)</f>
        <v>0</v>
      </c>
      <c r="T2078" s="737" t="str">
        <f t="shared" si="967"/>
        <v>0.0%</v>
      </c>
      <c r="U2078" s="2" t="str">
        <f t="shared" si="1032"/>
        <v/>
      </c>
      <c r="V2078" s="2" t="str">
        <f t="shared" si="1033"/>
        <v/>
      </c>
      <c r="W2078" s="2" t="str">
        <f t="shared" si="1034"/>
        <v/>
      </c>
      <c r="X2078" s="2">
        <f t="shared" si="1024"/>
        <v>0</v>
      </c>
      <c r="Y2078" s="2" t="str">
        <f t="shared" si="1035"/>
        <v/>
      </c>
      <c r="Z2078" s="2" t="str">
        <f t="shared" si="1036"/>
        <v/>
      </c>
      <c r="AA2078" s="2" t="str">
        <f t="shared" si="1037"/>
        <v/>
      </c>
      <c r="AB2078" s="2">
        <f t="shared" si="1025"/>
        <v>0</v>
      </c>
      <c r="AC2078" s="625">
        <v>0</v>
      </c>
      <c r="AD2078" s="625">
        <v>0</v>
      </c>
      <c r="AE2078" s="625">
        <v>0</v>
      </c>
      <c r="AF2078" s="625">
        <v>0</v>
      </c>
      <c r="AG2078" s="625">
        <v>0</v>
      </c>
      <c r="AH2078" s="625">
        <v>0</v>
      </c>
      <c r="AI2078" s="625">
        <v>0</v>
      </c>
      <c r="AJ2078" s="625">
        <v>0</v>
      </c>
      <c r="AK2078" s="625">
        <v>0</v>
      </c>
      <c r="AL2078" s="625">
        <v>0</v>
      </c>
      <c r="AM2078" s="625">
        <v>0</v>
      </c>
      <c r="AN2078" s="625">
        <v>0</v>
      </c>
      <c r="AO2078" s="625">
        <v>0</v>
      </c>
      <c r="AP2078" s="41" t="str">
        <f t="shared" si="1005"/>
        <v>Def TaxR</v>
      </c>
      <c r="AQ2078" s="41" t="str">
        <f t="shared" si="1006"/>
        <v>Def TaxRR11Casualty Loss</v>
      </c>
      <c r="AR2078" s="41" t="str">
        <f t="shared" si="1007"/>
        <v>R11Casualty Loss</v>
      </c>
    </row>
    <row r="2079" spans="1:44" s="41" customFormat="1" ht="12.75" customHeight="1">
      <c r="A2079" s="25" t="s">
        <v>1590</v>
      </c>
      <c r="B2079" s="25" t="str">
        <f t="shared" si="950"/>
        <v>Def Tax283200283-087-SBT010264</v>
      </c>
      <c r="C2079" s="736">
        <v>283200</v>
      </c>
      <c r="D2079" s="735" t="s">
        <v>2142</v>
      </c>
      <c r="E2079" s="41" t="s">
        <v>2139</v>
      </c>
      <c r="F2079" s="41" t="str">
        <f t="shared" ref="F2079:F2143" si="1038">VLOOKUP(C2079,$C$7:$F$787,4,FALSE)</f>
        <v>ACCUM DEF INC TAX-OTH-FEDERAL-ELECTRIC</v>
      </c>
      <c r="G2079" s="41" t="s">
        <v>2143</v>
      </c>
      <c r="H2079" s="736" t="s">
        <v>2141</v>
      </c>
      <c r="I2079" s="25"/>
      <c r="J2079" s="25" t="str">
        <f t="shared" si="934"/>
        <v/>
      </c>
      <c r="K2079" s="442" t="str">
        <f t="shared" si="994"/>
        <v/>
      </c>
      <c r="L2079" s="736" t="s">
        <v>2443</v>
      </c>
      <c r="M2079" s="25" t="str">
        <f t="shared" si="995"/>
        <v>R</v>
      </c>
      <c r="N2079" s="25" t="str">
        <f>IF(L2079&lt;&gt;"",VLOOKUP(L2079,Categories!$B$2:$D$41,2,FALSE),IF(F2079&lt;&gt;"","No Cat",""))</f>
        <v>Rate Base</v>
      </c>
      <c r="O2079" s="25" t="str">
        <f>IF($L2079&lt;&gt;"",VLOOKUP($L2079,Categories!$B$2:$D$41,3,FALSE),IF($F2079&lt;&gt;"","No Cat",""))</f>
        <v>Deferred Income Taxes</v>
      </c>
      <c r="P2079" s="736" t="s">
        <v>2482</v>
      </c>
      <c r="Q2079" s="25" t="str">
        <f>VLOOKUP($P2079,Allocators!$B$7:$F$19,5,FALSE)</f>
        <v>Electric</v>
      </c>
      <c r="R2079" s="737">
        <f>VLOOKUP($P2079,Allocators!$B$7:$F$19,2,FALSE)</f>
        <v>1</v>
      </c>
      <c r="S2079" s="737">
        <f>VLOOKUP($P2079,Allocators!$B$7:$F$19,3,FALSE)</f>
        <v>0</v>
      </c>
      <c r="T2079" s="737" t="str">
        <f t="shared" si="967"/>
        <v>0.0%</v>
      </c>
      <c r="U2079" s="2" t="str">
        <f t="shared" si="1032"/>
        <v/>
      </c>
      <c r="V2079" s="2" t="str">
        <f t="shared" si="1033"/>
        <v/>
      </c>
      <c r="W2079" s="2" t="str">
        <f t="shared" si="1034"/>
        <v/>
      </c>
      <c r="X2079" s="2">
        <f t="shared" si="1024"/>
        <v>0</v>
      </c>
      <c r="Y2079" s="2" t="str">
        <f t="shared" si="1035"/>
        <v/>
      </c>
      <c r="Z2079" s="2" t="str">
        <f t="shared" si="1036"/>
        <v/>
      </c>
      <c r="AA2079" s="2" t="str">
        <f t="shared" si="1037"/>
        <v/>
      </c>
      <c r="AB2079" s="2">
        <f t="shared" si="1025"/>
        <v>0</v>
      </c>
      <c r="AC2079" s="625">
        <v>0</v>
      </c>
      <c r="AD2079" s="625">
        <v>0</v>
      </c>
      <c r="AE2079" s="625">
        <v>0</v>
      </c>
      <c r="AF2079" s="625">
        <v>0</v>
      </c>
      <c r="AG2079" s="625">
        <v>0</v>
      </c>
      <c r="AH2079" s="625">
        <v>0</v>
      </c>
      <c r="AI2079" s="625">
        <v>0</v>
      </c>
      <c r="AJ2079" s="625">
        <v>0</v>
      </c>
      <c r="AK2079" s="625">
        <v>0</v>
      </c>
      <c r="AL2079" s="625">
        <v>0</v>
      </c>
      <c r="AM2079" s="625">
        <v>0</v>
      </c>
      <c r="AN2079" s="625">
        <v>0</v>
      </c>
      <c r="AO2079" s="625">
        <v>0</v>
      </c>
      <c r="AP2079" s="41" t="str">
        <f t="shared" si="1005"/>
        <v>Def TaxR</v>
      </c>
      <c r="AQ2079" s="41" t="str">
        <f t="shared" si="1006"/>
        <v>Def TaxRR11Casualty Loss</v>
      </c>
      <c r="AR2079" s="41" t="str">
        <f t="shared" si="1007"/>
        <v>R11Casualty Loss</v>
      </c>
    </row>
    <row r="2080" spans="1:44" s="41" customFormat="1" ht="12.75" customHeight="1">
      <c r="A2080" s="25" t="s">
        <v>1590</v>
      </c>
      <c r="B2080" s="25" t="str">
        <f t="shared" si="950"/>
        <v>Def Tax283200283-070BT010225/
BT010036</v>
      </c>
      <c r="C2080" s="736">
        <v>283200</v>
      </c>
      <c r="D2080" s="735" t="s">
        <v>2144</v>
      </c>
      <c r="E2080" s="41" t="s">
        <v>2145</v>
      </c>
      <c r="F2080" s="41" t="str">
        <f t="shared" si="1038"/>
        <v>ACCUM DEF INC TAX-OTH-FEDERAL-ELECTRIC</v>
      </c>
      <c r="G2080" s="41" t="s">
        <v>1628</v>
      </c>
      <c r="H2080" s="736" t="s">
        <v>1629</v>
      </c>
      <c r="I2080" s="25"/>
      <c r="J2080" s="25" t="str">
        <f t="shared" ref="J2080:J2144" si="1039">IF(L2080="N10","Y",IF(L2080="N8","Y",""))</f>
        <v/>
      </c>
      <c r="K2080" s="442" t="str">
        <f t="shared" si="994"/>
        <v/>
      </c>
      <c r="L2080" s="736" t="s">
        <v>2443</v>
      </c>
      <c r="M2080" s="25" t="str">
        <f t="shared" si="995"/>
        <v>R</v>
      </c>
      <c r="N2080" s="25" t="str">
        <f>IF(L2080&lt;&gt;"",VLOOKUP(L2080,Categories!$B$2:$D$41,2,FALSE),IF(F2080&lt;&gt;"","No Cat",""))</f>
        <v>Rate Base</v>
      </c>
      <c r="O2080" s="25" t="str">
        <f>IF($L2080&lt;&gt;"",VLOOKUP($L2080,Categories!$B$2:$D$41,3,FALSE),IF($F2080&lt;&gt;"","No Cat",""))</f>
        <v>Deferred Income Taxes</v>
      </c>
      <c r="P2080" s="736" t="s">
        <v>2482</v>
      </c>
      <c r="Q2080" s="25" t="str">
        <f>VLOOKUP($P2080,Allocators!$B$7:$F$19,5,FALSE)</f>
        <v>Electric</v>
      </c>
      <c r="R2080" s="737">
        <f>VLOOKUP($P2080,Allocators!$B$7:$F$19,2,FALSE)</f>
        <v>1</v>
      </c>
      <c r="S2080" s="737">
        <f>VLOOKUP($P2080,Allocators!$B$7:$F$19,3,FALSE)</f>
        <v>0</v>
      </c>
      <c r="T2080" s="737" t="str">
        <f t="shared" si="967"/>
        <v>0.0%</v>
      </c>
      <c r="U2080" s="2" t="str">
        <f t="shared" si="1032"/>
        <v/>
      </c>
      <c r="V2080" s="2" t="str">
        <f t="shared" si="1033"/>
        <v/>
      </c>
      <c r="W2080" s="2" t="str">
        <f t="shared" si="1034"/>
        <v/>
      </c>
      <c r="X2080" s="2">
        <f t="shared" si="1024"/>
        <v>0</v>
      </c>
      <c r="Y2080" s="2" t="str">
        <f t="shared" si="1035"/>
        <v/>
      </c>
      <c r="Z2080" s="2" t="str">
        <f t="shared" si="1036"/>
        <v/>
      </c>
      <c r="AA2080" s="2" t="str">
        <f t="shared" si="1037"/>
        <v/>
      </c>
      <c r="AB2080" s="2">
        <f t="shared" si="1025"/>
        <v>0</v>
      </c>
      <c r="AC2080" s="625">
        <v>0</v>
      </c>
      <c r="AD2080" s="625">
        <v>0</v>
      </c>
      <c r="AE2080" s="625">
        <v>0</v>
      </c>
      <c r="AF2080" s="625">
        <v>0</v>
      </c>
      <c r="AG2080" s="625">
        <v>0</v>
      </c>
      <c r="AH2080" s="625">
        <v>0</v>
      </c>
      <c r="AI2080" s="625">
        <v>0</v>
      </c>
      <c r="AJ2080" s="625">
        <v>0</v>
      </c>
      <c r="AK2080" s="625">
        <v>0</v>
      </c>
      <c r="AL2080" s="625">
        <v>0</v>
      </c>
      <c r="AM2080" s="625">
        <v>0</v>
      </c>
      <c r="AN2080" s="625">
        <v>0</v>
      </c>
      <c r="AO2080" s="625">
        <v>0</v>
      </c>
      <c r="AP2080" s="41" t="str">
        <f t="shared" si="1005"/>
        <v>Def TaxR</v>
      </c>
      <c r="AQ2080" s="41" t="str">
        <f t="shared" si="1006"/>
        <v>Def TaxRR11Merger Related</v>
      </c>
      <c r="AR2080" s="41" t="str">
        <f t="shared" si="1007"/>
        <v>R11Merger Related</v>
      </c>
    </row>
    <row r="2081" spans="1:44" s="41" customFormat="1" ht="12.75" customHeight="1">
      <c r="A2081" s="25" t="s">
        <v>1590</v>
      </c>
      <c r="B2081" s="25" t="str">
        <f t="shared" si="950"/>
        <v>Def Tax283200283-070BT010225/BT010036</v>
      </c>
      <c r="C2081" s="736">
        <v>283200</v>
      </c>
      <c r="D2081" s="735" t="s">
        <v>2144</v>
      </c>
      <c r="E2081" s="41" t="s">
        <v>2146</v>
      </c>
      <c r="F2081" s="41" t="str">
        <f t="shared" si="1038"/>
        <v>ACCUM DEF INC TAX-OTH-FEDERAL-ELECTRIC</v>
      </c>
      <c r="G2081" s="41" t="s">
        <v>2147</v>
      </c>
      <c r="H2081" s="736" t="s">
        <v>2147</v>
      </c>
      <c r="I2081" s="25"/>
      <c r="J2081" s="25" t="str">
        <f t="shared" si="1039"/>
        <v/>
      </c>
      <c r="K2081" s="442" t="str">
        <f t="shared" si="994"/>
        <v/>
      </c>
      <c r="L2081" s="736" t="s">
        <v>2443</v>
      </c>
      <c r="M2081" s="25" t="str">
        <f t="shared" si="995"/>
        <v>R</v>
      </c>
      <c r="N2081" s="25" t="str">
        <f>IF(L2081&lt;&gt;"",VLOOKUP(L2081,Categories!$B$2:$D$41,2,FALSE),IF(F2081&lt;&gt;"","No Cat",""))</f>
        <v>Rate Base</v>
      </c>
      <c r="O2081" s="25" t="str">
        <f>IF($L2081&lt;&gt;"",VLOOKUP($L2081,Categories!$B$2:$D$41,3,FALSE),IF($F2081&lt;&gt;"","No Cat",""))</f>
        <v>Deferred Income Taxes</v>
      </c>
      <c r="P2081" s="736" t="s">
        <v>2482</v>
      </c>
      <c r="Q2081" s="25" t="str">
        <f>VLOOKUP($P2081,Allocators!$B$7:$F$19,5,FALSE)</f>
        <v>Electric</v>
      </c>
      <c r="R2081" s="737">
        <f>VLOOKUP($P2081,Allocators!$B$7:$F$19,2,FALSE)</f>
        <v>1</v>
      </c>
      <c r="S2081" s="737">
        <f>VLOOKUP($P2081,Allocators!$B$7:$F$19,3,FALSE)</f>
        <v>0</v>
      </c>
      <c r="T2081" s="737" t="str">
        <f t="shared" si="967"/>
        <v>0.0%</v>
      </c>
      <c r="U2081" s="2" t="str">
        <f t="shared" si="1032"/>
        <v/>
      </c>
      <c r="V2081" s="2" t="str">
        <f t="shared" si="1033"/>
        <v/>
      </c>
      <c r="W2081" s="2" t="str">
        <f t="shared" si="1034"/>
        <v/>
      </c>
      <c r="X2081" s="2">
        <f t="shared" si="1024"/>
        <v>0</v>
      </c>
      <c r="Y2081" s="2" t="str">
        <f t="shared" si="1035"/>
        <v/>
      </c>
      <c r="Z2081" s="2" t="str">
        <f t="shared" si="1036"/>
        <v/>
      </c>
      <c r="AA2081" s="2" t="str">
        <f t="shared" si="1037"/>
        <v/>
      </c>
      <c r="AB2081" s="2">
        <f t="shared" si="1025"/>
        <v>0</v>
      </c>
      <c r="AC2081" s="625">
        <v>0</v>
      </c>
      <c r="AD2081" s="625">
        <v>0</v>
      </c>
      <c r="AE2081" s="625">
        <v>0</v>
      </c>
      <c r="AF2081" s="625">
        <v>0</v>
      </c>
      <c r="AG2081" s="625">
        <v>0</v>
      </c>
      <c r="AH2081" s="625">
        <v>0</v>
      </c>
      <c r="AI2081" s="625">
        <v>0</v>
      </c>
      <c r="AJ2081" s="625">
        <v>0</v>
      </c>
      <c r="AK2081" s="625">
        <v>0</v>
      </c>
      <c r="AL2081" s="625">
        <v>0</v>
      </c>
      <c r="AM2081" s="625">
        <v>0</v>
      </c>
      <c r="AN2081" s="625">
        <v>0</v>
      </c>
      <c r="AO2081" s="625">
        <v>0</v>
      </c>
      <c r="AP2081" s="41" t="str">
        <f t="shared" si="1005"/>
        <v>Def TaxR</v>
      </c>
      <c r="AQ2081" s="41" t="str">
        <f t="shared" si="1006"/>
        <v>Def TaxRR11Change of Control</v>
      </c>
      <c r="AR2081" s="41" t="str">
        <f t="shared" si="1007"/>
        <v>R11Change of Control</v>
      </c>
    </row>
    <row r="2082" spans="1:44" s="41" customFormat="1" ht="12.75" customHeight="1">
      <c r="A2082" s="25" t="s">
        <v>1590</v>
      </c>
      <c r="B2082" s="25" t="str">
        <f t="shared" si="950"/>
        <v>Def Tax283200283-034</v>
      </c>
      <c r="C2082" s="736">
        <v>283200</v>
      </c>
      <c r="D2082" s="735" t="s">
        <v>2148</v>
      </c>
      <c r="F2082" s="41" t="str">
        <f t="shared" si="1038"/>
        <v>ACCUM DEF INC TAX-OTH-FEDERAL-ELECTRIC</v>
      </c>
      <c r="G2082" s="41" t="s">
        <v>2149</v>
      </c>
      <c r="H2082" s="736">
        <v>0</v>
      </c>
      <c r="I2082" s="25"/>
      <c r="J2082" s="25" t="str">
        <f t="shared" si="1039"/>
        <v/>
      </c>
      <c r="K2082" s="442" t="str">
        <f t="shared" si="994"/>
        <v/>
      </c>
      <c r="L2082" s="736" t="s">
        <v>2443</v>
      </c>
      <c r="M2082" s="25" t="str">
        <f t="shared" si="995"/>
        <v>R</v>
      </c>
      <c r="N2082" s="25" t="str">
        <f>IF(L2082&lt;&gt;"",VLOOKUP(L2082,Categories!$B$2:$D$41,2,FALSE),IF(F2082&lt;&gt;"","No Cat",""))</f>
        <v>Rate Base</v>
      </c>
      <c r="O2082" s="25" t="str">
        <f>IF($L2082&lt;&gt;"",VLOOKUP($L2082,Categories!$B$2:$D$41,3,FALSE),IF($F2082&lt;&gt;"","No Cat",""))</f>
        <v>Deferred Income Taxes</v>
      </c>
      <c r="P2082" s="736" t="s">
        <v>2482</v>
      </c>
      <c r="Q2082" s="25" t="str">
        <f>VLOOKUP($P2082,Allocators!$B$7:$F$19,5,FALSE)</f>
        <v>Electric</v>
      </c>
      <c r="R2082" s="737">
        <f>VLOOKUP($P2082,Allocators!$B$7:$F$19,2,FALSE)</f>
        <v>1</v>
      </c>
      <c r="S2082" s="737">
        <f>VLOOKUP($P2082,Allocators!$B$7:$F$19,3,FALSE)</f>
        <v>0</v>
      </c>
      <c r="T2082" s="737" t="str">
        <f t="shared" si="967"/>
        <v>0.0%</v>
      </c>
      <c r="U2082" s="2" t="str">
        <f t="shared" si="1032"/>
        <v/>
      </c>
      <c r="V2082" s="2" t="str">
        <f t="shared" si="1033"/>
        <v/>
      </c>
      <c r="W2082" s="2" t="str">
        <f t="shared" si="1034"/>
        <v/>
      </c>
      <c r="X2082" s="2">
        <f t="shared" si="1024"/>
        <v>0</v>
      </c>
      <c r="Y2082" s="2" t="str">
        <f t="shared" si="1035"/>
        <v/>
      </c>
      <c r="Z2082" s="2" t="str">
        <f t="shared" si="1036"/>
        <v/>
      </c>
      <c r="AA2082" s="2" t="str">
        <f t="shared" si="1037"/>
        <v/>
      </c>
      <c r="AB2082" s="2">
        <f t="shared" si="1025"/>
        <v>0</v>
      </c>
      <c r="AC2082" s="625">
        <v>0</v>
      </c>
      <c r="AD2082" s="625">
        <v>0</v>
      </c>
      <c r="AE2082" s="625">
        <v>0</v>
      </c>
      <c r="AF2082" s="625">
        <v>0</v>
      </c>
      <c r="AG2082" s="625">
        <v>0</v>
      </c>
      <c r="AH2082" s="625">
        <v>0</v>
      </c>
      <c r="AI2082" s="625">
        <v>0</v>
      </c>
      <c r="AJ2082" s="625">
        <v>0</v>
      </c>
      <c r="AK2082" s="625">
        <v>0</v>
      </c>
      <c r="AL2082" s="625">
        <v>0</v>
      </c>
      <c r="AM2082" s="625">
        <v>0</v>
      </c>
      <c r="AN2082" s="625">
        <v>0</v>
      </c>
      <c r="AO2082" s="625">
        <v>0</v>
      </c>
      <c r="AP2082" s="41" t="str">
        <f t="shared" si="1005"/>
        <v>Def TaxR</v>
      </c>
      <c r="AQ2082" s="41" t="str">
        <f t="shared" si="1006"/>
        <v>Def TaxRR110</v>
      </c>
      <c r="AR2082" s="41" t="str">
        <f t="shared" si="1007"/>
        <v>R110</v>
      </c>
    </row>
    <row r="2083" spans="1:44" s="41" customFormat="1" ht="12.75" customHeight="1">
      <c r="A2083" s="25" t="s">
        <v>1590</v>
      </c>
      <c r="B2083" s="25" t="str">
        <f t="shared" si="950"/>
        <v>Def Tax283200283-035BTHUNGDT</v>
      </c>
      <c r="C2083" s="736">
        <v>283200</v>
      </c>
      <c r="D2083" s="735" t="s">
        <v>2150</v>
      </c>
      <c r="E2083" s="41" t="s">
        <v>1624</v>
      </c>
      <c r="F2083" s="41" t="str">
        <f t="shared" si="1038"/>
        <v>ACCUM DEF INC TAX-OTH-FEDERAL-ELECTRIC</v>
      </c>
      <c r="G2083" s="41" t="s">
        <v>2151</v>
      </c>
      <c r="H2083" s="736">
        <v>0</v>
      </c>
      <c r="I2083" s="25"/>
      <c r="J2083" s="25" t="str">
        <f t="shared" si="1039"/>
        <v/>
      </c>
      <c r="K2083" s="442" t="str">
        <f t="shared" si="994"/>
        <v/>
      </c>
      <c r="L2083" s="736" t="s">
        <v>2443</v>
      </c>
      <c r="M2083" s="25" t="str">
        <f t="shared" si="995"/>
        <v>R</v>
      </c>
      <c r="N2083" s="25" t="str">
        <f>IF(L2083&lt;&gt;"",VLOOKUP(L2083,Categories!$B$2:$D$41,2,FALSE),IF(F2083&lt;&gt;"","No Cat",""))</f>
        <v>Rate Base</v>
      </c>
      <c r="O2083" s="25" t="str">
        <f>IF($L2083&lt;&gt;"",VLOOKUP($L2083,Categories!$B$2:$D$41,3,FALSE),IF($F2083&lt;&gt;"","No Cat",""))</f>
        <v>Deferred Income Taxes</v>
      </c>
      <c r="P2083" s="736" t="s">
        <v>2482</v>
      </c>
      <c r="Q2083" s="25" t="str">
        <f>VLOOKUP($P2083,Allocators!$B$7:$F$19,5,FALSE)</f>
        <v>Electric</v>
      </c>
      <c r="R2083" s="737">
        <f>VLOOKUP($P2083,Allocators!$B$7:$F$19,2,FALSE)</f>
        <v>1</v>
      </c>
      <c r="S2083" s="737">
        <f>VLOOKUP($P2083,Allocators!$B$7:$F$19,3,FALSE)</f>
        <v>0</v>
      </c>
      <c r="T2083" s="737" t="str">
        <f t="shared" si="967"/>
        <v>0.0%</v>
      </c>
      <c r="U2083" s="2" t="str">
        <f t="shared" si="1032"/>
        <v/>
      </c>
      <c r="V2083" s="2" t="str">
        <f t="shared" si="1033"/>
        <v/>
      </c>
      <c r="W2083" s="2" t="str">
        <f t="shared" si="1034"/>
        <v/>
      </c>
      <c r="X2083" s="2">
        <f t="shared" si="1024"/>
        <v>0</v>
      </c>
      <c r="Y2083" s="2" t="str">
        <f t="shared" si="1035"/>
        <v/>
      </c>
      <c r="Z2083" s="2" t="str">
        <f t="shared" si="1036"/>
        <v/>
      </c>
      <c r="AA2083" s="2" t="str">
        <f t="shared" si="1037"/>
        <v/>
      </c>
      <c r="AB2083" s="2">
        <f t="shared" si="1025"/>
        <v>0</v>
      </c>
      <c r="AC2083" s="625">
        <v>0</v>
      </c>
      <c r="AD2083" s="625">
        <v>0</v>
      </c>
      <c r="AE2083" s="625">
        <v>0</v>
      </c>
      <c r="AF2083" s="625">
        <v>0</v>
      </c>
      <c r="AG2083" s="625">
        <v>0</v>
      </c>
      <c r="AH2083" s="625">
        <v>0</v>
      </c>
      <c r="AI2083" s="625">
        <v>0</v>
      </c>
      <c r="AJ2083" s="625">
        <v>0</v>
      </c>
      <c r="AK2083" s="625">
        <v>0</v>
      </c>
      <c r="AL2083" s="625">
        <v>0</v>
      </c>
      <c r="AM2083" s="625">
        <v>0</v>
      </c>
      <c r="AN2083" s="625">
        <v>0</v>
      </c>
      <c r="AO2083" s="625">
        <v>0</v>
      </c>
      <c r="AP2083" s="41" t="str">
        <f t="shared" si="1005"/>
        <v>Def TaxR</v>
      </c>
      <c r="AQ2083" s="41" t="str">
        <f t="shared" si="1006"/>
        <v>Def TaxRR110</v>
      </c>
      <c r="AR2083" s="41" t="str">
        <f t="shared" si="1007"/>
        <v>R110</v>
      </c>
    </row>
    <row r="2084" spans="1:44" s="41" customFormat="1" ht="12.75" customHeight="1">
      <c r="A2084" s="25" t="s">
        <v>1590</v>
      </c>
      <c r="B2084" s="25" t="str">
        <f t="shared" si="950"/>
        <v>Def Tax283200283-068</v>
      </c>
      <c r="C2084" s="736">
        <v>283200</v>
      </c>
      <c r="D2084" s="735" t="s">
        <v>2152</v>
      </c>
      <c r="F2084" s="41" t="str">
        <f t="shared" si="1038"/>
        <v>ACCUM DEF INC TAX-OTH-FEDERAL-ELECTRIC</v>
      </c>
      <c r="G2084" s="41" t="s">
        <v>1752</v>
      </c>
      <c r="H2084" s="736" t="s">
        <v>1629</v>
      </c>
      <c r="I2084" s="25"/>
      <c r="J2084" s="25" t="str">
        <f t="shared" si="1039"/>
        <v/>
      </c>
      <c r="K2084" s="442" t="str">
        <f t="shared" si="994"/>
        <v/>
      </c>
      <c r="L2084" s="736" t="s">
        <v>2443</v>
      </c>
      <c r="M2084" s="25" t="str">
        <f t="shared" si="995"/>
        <v>R</v>
      </c>
      <c r="N2084" s="25" t="str">
        <f>IF(L2084&lt;&gt;"",VLOOKUP(L2084,Categories!$B$2:$D$41,2,FALSE),IF(F2084&lt;&gt;"","No Cat",""))</f>
        <v>Rate Base</v>
      </c>
      <c r="O2084" s="25" t="str">
        <f>IF($L2084&lt;&gt;"",VLOOKUP($L2084,Categories!$B$2:$D$41,3,FALSE),IF($F2084&lt;&gt;"","No Cat",""))</f>
        <v>Deferred Income Taxes</v>
      </c>
      <c r="P2084" s="736" t="s">
        <v>2482</v>
      </c>
      <c r="Q2084" s="25" t="str">
        <f>VLOOKUP($P2084,Allocators!$B$7:$F$19,5,FALSE)</f>
        <v>Electric</v>
      </c>
      <c r="R2084" s="737">
        <f>VLOOKUP($P2084,Allocators!$B$7:$F$19,2,FALSE)</f>
        <v>1</v>
      </c>
      <c r="S2084" s="737">
        <f>VLOOKUP($P2084,Allocators!$B$7:$F$19,3,FALSE)</f>
        <v>0</v>
      </c>
      <c r="T2084" s="737" t="str">
        <f t="shared" si="967"/>
        <v>0.0%</v>
      </c>
      <c r="U2084" s="2" t="str">
        <f t="shared" si="1032"/>
        <v/>
      </c>
      <c r="V2084" s="2" t="str">
        <f t="shared" si="1033"/>
        <v/>
      </c>
      <c r="W2084" s="2" t="str">
        <f t="shared" si="1034"/>
        <v/>
      </c>
      <c r="X2084" s="2">
        <f t="shared" si="1024"/>
        <v>0</v>
      </c>
      <c r="Y2084" s="2" t="str">
        <f t="shared" si="1035"/>
        <v/>
      </c>
      <c r="Z2084" s="2" t="str">
        <f t="shared" si="1036"/>
        <v/>
      </c>
      <c r="AA2084" s="2" t="str">
        <f t="shared" si="1037"/>
        <v/>
      </c>
      <c r="AB2084" s="2">
        <f t="shared" si="1025"/>
        <v>0</v>
      </c>
      <c r="AC2084" s="625">
        <v>0</v>
      </c>
      <c r="AD2084" s="625">
        <v>0</v>
      </c>
      <c r="AE2084" s="625">
        <v>0</v>
      </c>
      <c r="AF2084" s="625">
        <v>0</v>
      </c>
      <c r="AG2084" s="625">
        <v>0</v>
      </c>
      <c r="AH2084" s="625">
        <v>0</v>
      </c>
      <c r="AI2084" s="625">
        <v>0</v>
      </c>
      <c r="AJ2084" s="625">
        <v>0</v>
      </c>
      <c r="AK2084" s="625">
        <v>0</v>
      </c>
      <c r="AL2084" s="625">
        <v>0</v>
      </c>
      <c r="AM2084" s="625">
        <v>0</v>
      </c>
      <c r="AN2084" s="625">
        <v>0</v>
      </c>
      <c r="AO2084" s="625">
        <v>0</v>
      </c>
      <c r="AP2084" s="41" t="str">
        <f t="shared" si="1005"/>
        <v>Def TaxR</v>
      </c>
      <c r="AQ2084" s="41" t="str">
        <f t="shared" si="1006"/>
        <v>Def TaxRR11Merger Related</v>
      </c>
      <c r="AR2084" s="41" t="str">
        <f t="shared" si="1007"/>
        <v>R11Merger Related</v>
      </c>
    </row>
    <row r="2085" spans="1:44" s="41" customFormat="1" ht="12.75" customHeight="1">
      <c r="A2085" s="25" t="s">
        <v>1590</v>
      </c>
      <c r="B2085" s="25" t="str">
        <f t="shared" si="950"/>
        <v>Def Tax283200283-053</v>
      </c>
      <c r="C2085" s="736">
        <v>283200</v>
      </c>
      <c r="D2085" s="735" t="s">
        <v>2153</v>
      </c>
      <c r="F2085" s="41" t="str">
        <f t="shared" si="1038"/>
        <v>ACCUM DEF INC TAX-OTH-FEDERAL-ELECTRIC</v>
      </c>
      <c r="G2085" s="41" t="s">
        <v>2154</v>
      </c>
      <c r="H2085" s="736" t="s">
        <v>2155</v>
      </c>
      <c r="I2085" s="25"/>
      <c r="J2085" s="25" t="str">
        <f t="shared" si="1039"/>
        <v/>
      </c>
      <c r="K2085" s="442" t="str">
        <f t="shared" si="994"/>
        <v/>
      </c>
      <c r="L2085" s="736" t="s">
        <v>2443</v>
      </c>
      <c r="M2085" s="25" t="str">
        <f t="shared" si="995"/>
        <v>R</v>
      </c>
      <c r="N2085" s="25" t="str">
        <f>IF(L2085&lt;&gt;"",VLOOKUP(L2085,Categories!$B$2:$D$41,2,FALSE),IF(F2085&lt;&gt;"","No Cat",""))</f>
        <v>Rate Base</v>
      </c>
      <c r="O2085" s="25" t="str">
        <f>IF($L2085&lt;&gt;"",VLOOKUP($L2085,Categories!$B$2:$D$41,3,FALSE),IF($F2085&lt;&gt;"","No Cat",""))</f>
        <v>Deferred Income Taxes</v>
      </c>
      <c r="P2085" s="736" t="s">
        <v>2482</v>
      </c>
      <c r="Q2085" s="25" t="str">
        <f>VLOOKUP($P2085,Allocators!$B$7:$F$19,5,FALSE)</f>
        <v>Electric</v>
      </c>
      <c r="R2085" s="737">
        <f>VLOOKUP($P2085,Allocators!$B$7:$F$19,2,FALSE)</f>
        <v>1</v>
      </c>
      <c r="S2085" s="737">
        <f>VLOOKUP($P2085,Allocators!$B$7:$F$19,3,FALSE)</f>
        <v>0</v>
      </c>
      <c r="T2085" s="737" t="str">
        <f t="shared" si="967"/>
        <v>0.0%</v>
      </c>
      <c r="U2085" s="2" t="str">
        <f t="shared" si="1032"/>
        <v/>
      </c>
      <c r="V2085" s="2" t="str">
        <f t="shared" si="1033"/>
        <v/>
      </c>
      <c r="W2085" s="2" t="str">
        <f t="shared" si="1034"/>
        <v/>
      </c>
      <c r="X2085" s="2">
        <f t="shared" si="1024"/>
        <v>0</v>
      </c>
      <c r="Y2085" s="2" t="str">
        <f t="shared" si="1035"/>
        <v/>
      </c>
      <c r="Z2085" s="2" t="str">
        <f t="shared" si="1036"/>
        <v/>
      </c>
      <c r="AA2085" s="2" t="str">
        <f t="shared" si="1037"/>
        <v/>
      </c>
      <c r="AB2085" s="2">
        <f t="shared" si="1025"/>
        <v>0</v>
      </c>
      <c r="AC2085" s="625">
        <v>0</v>
      </c>
      <c r="AD2085" s="625">
        <v>0</v>
      </c>
      <c r="AE2085" s="625">
        <v>0</v>
      </c>
      <c r="AF2085" s="625">
        <v>0</v>
      </c>
      <c r="AG2085" s="625">
        <v>0</v>
      </c>
      <c r="AH2085" s="625">
        <v>0</v>
      </c>
      <c r="AI2085" s="625">
        <v>0</v>
      </c>
      <c r="AJ2085" s="625">
        <v>0</v>
      </c>
      <c r="AK2085" s="625">
        <v>0</v>
      </c>
      <c r="AL2085" s="625">
        <v>0</v>
      </c>
      <c r="AM2085" s="625">
        <v>0</v>
      </c>
      <c r="AN2085" s="625">
        <v>0</v>
      </c>
      <c r="AO2085" s="625">
        <v>0</v>
      </c>
      <c r="AP2085" s="41" t="str">
        <f t="shared" si="1005"/>
        <v>Def TaxR</v>
      </c>
      <c r="AQ2085" s="41" t="str">
        <f t="shared" si="1006"/>
        <v>Def TaxRR11Deferred Competition Implementation</v>
      </c>
      <c r="AR2085" s="41" t="str">
        <f t="shared" si="1007"/>
        <v>R11Deferred Competition Implementation</v>
      </c>
    </row>
    <row r="2086" spans="1:44" s="41" customFormat="1" ht="12.75" customHeight="1">
      <c r="A2086" s="442" t="s">
        <v>1590</v>
      </c>
      <c r="B2086" s="442" t="str">
        <f t="shared" si="950"/>
        <v>Def Tax283200283-080-JP</v>
      </c>
      <c r="C2086" s="736">
        <v>283200</v>
      </c>
      <c r="D2086" s="735" t="s">
        <v>2156</v>
      </c>
      <c r="E2086" s="626"/>
      <c r="F2086" s="626" t="str">
        <f t="shared" si="1038"/>
        <v>ACCUM DEF INC TAX-OTH-FEDERAL-ELECTRIC</v>
      </c>
      <c r="G2086" s="626" t="s">
        <v>2157</v>
      </c>
      <c r="H2086" s="736" t="s">
        <v>1113</v>
      </c>
      <c r="I2086" s="442"/>
      <c r="J2086" s="442" t="str">
        <f t="shared" si="1039"/>
        <v/>
      </c>
      <c r="K2086" s="442" t="str">
        <f t="shared" si="994"/>
        <v/>
      </c>
      <c r="L2086" s="736" t="s">
        <v>2421</v>
      </c>
      <c r="M2086" s="442" t="str">
        <f t="shared" si="995"/>
        <v>N</v>
      </c>
      <c r="N2086" s="442" t="str">
        <f>IF(L2086&lt;&gt;"",VLOOKUP(L2086,Categories!$B$2:$D$41,2,FALSE),IF(F2086&lt;&gt;"","No Cat",""))</f>
        <v>NRBASE</v>
      </c>
      <c r="O2086" s="442" t="str">
        <f>IF($L2086&lt;&gt;"",VLOOKUP($L2086,Categories!$B$2:$D$41,3,FALSE),IF($F2086&lt;&gt;"","No Cat",""))</f>
        <v>Direct Assign Items Not in RB</v>
      </c>
      <c r="P2086" s="736" t="s">
        <v>2468</v>
      </c>
      <c r="Q2086" s="442" t="str">
        <f>VLOOKUP($P2086,Allocators!$B$7:$F$19,5,FALSE)</f>
        <v>Not in Rate Base</v>
      </c>
      <c r="R2086" s="737">
        <f>VLOOKUP($P2086,Allocators!$B$7:$F$19,2,FALSE)</f>
        <v>0</v>
      </c>
      <c r="S2086" s="737">
        <f>VLOOKUP($P2086,Allocators!$B$7:$F$19,3,FALSE)</f>
        <v>0</v>
      </c>
      <c r="T2086" s="737">
        <f t="shared" si="967"/>
        <v>1</v>
      </c>
      <c r="U2086" s="2" t="str">
        <f t="shared" si="1032"/>
        <v/>
      </c>
      <c r="V2086" s="2" t="str">
        <f t="shared" si="1033"/>
        <v/>
      </c>
      <c r="W2086" s="2" t="str">
        <f t="shared" si="1034"/>
        <v/>
      </c>
      <c r="X2086" s="2">
        <f t="shared" si="1024"/>
        <v>0</v>
      </c>
      <c r="Y2086" s="2" t="str">
        <f t="shared" si="1035"/>
        <v/>
      </c>
      <c r="Z2086" s="2" t="str">
        <f t="shared" si="1036"/>
        <v/>
      </c>
      <c r="AA2086" s="2" t="str">
        <f t="shared" si="1037"/>
        <v/>
      </c>
      <c r="AB2086" s="2">
        <f t="shared" si="1025"/>
        <v>0</v>
      </c>
      <c r="AC2086" s="625">
        <v>0</v>
      </c>
      <c r="AD2086" s="625">
        <v>0</v>
      </c>
      <c r="AE2086" s="625">
        <v>0</v>
      </c>
      <c r="AF2086" s="625">
        <v>0</v>
      </c>
      <c r="AG2086" s="625">
        <v>0</v>
      </c>
      <c r="AH2086" s="625">
        <v>0</v>
      </c>
      <c r="AI2086" s="625">
        <v>0</v>
      </c>
      <c r="AJ2086" s="625">
        <v>0</v>
      </c>
      <c r="AK2086" s="625">
        <v>0</v>
      </c>
      <c r="AL2086" s="625">
        <v>0</v>
      </c>
      <c r="AM2086" s="625">
        <v>0</v>
      </c>
      <c r="AN2086" s="625">
        <v>0</v>
      </c>
      <c r="AO2086" s="625">
        <v>0</v>
      </c>
      <c r="AP2086" s="41" t="str">
        <f t="shared" si="1005"/>
        <v>Def TaxN</v>
      </c>
      <c r="AQ2086" s="41" t="str">
        <f t="shared" si="1006"/>
        <v>Def TaxNN2Property Tax Deferral</v>
      </c>
      <c r="AR2086" s="41" t="str">
        <f t="shared" si="1007"/>
        <v>N2Property Tax Deferral</v>
      </c>
    </row>
    <row r="2087" spans="1:44" s="41" customFormat="1" ht="12.75" customHeight="1">
      <c r="A2087" s="25" t="s">
        <v>1590</v>
      </c>
      <c r="B2087" s="25" t="str">
        <f t="shared" ref="B2087:B2152" si="1040">CONCATENATE(A2087,C2087,D2087,E2087)</f>
        <v>Def Tax283200283-061</v>
      </c>
      <c r="C2087" s="736">
        <v>283200</v>
      </c>
      <c r="D2087" s="735" t="s">
        <v>2158</v>
      </c>
      <c r="F2087" s="41" t="str">
        <f t="shared" si="1038"/>
        <v>ACCUM DEF INC TAX-OTH-FEDERAL-ELECTRIC</v>
      </c>
      <c r="G2087" s="41" t="s">
        <v>2159</v>
      </c>
      <c r="H2087" s="736">
        <v>0</v>
      </c>
      <c r="I2087" s="25"/>
      <c r="J2087" s="25" t="str">
        <f t="shared" si="1039"/>
        <v/>
      </c>
      <c r="K2087" s="442" t="str">
        <f t="shared" si="994"/>
        <v/>
      </c>
      <c r="L2087" s="736" t="s">
        <v>2443</v>
      </c>
      <c r="M2087" s="25" t="str">
        <f t="shared" si="995"/>
        <v>R</v>
      </c>
      <c r="N2087" s="25" t="str">
        <f>IF(L2087&lt;&gt;"",VLOOKUP(L2087,Categories!$B$2:$D$41,2,FALSE),IF(F2087&lt;&gt;"","No Cat",""))</f>
        <v>Rate Base</v>
      </c>
      <c r="O2087" s="25" t="str">
        <f>IF($L2087&lt;&gt;"",VLOOKUP($L2087,Categories!$B$2:$D$41,3,FALSE),IF($F2087&lt;&gt;"","No Cat",""))</f>
        <v>Deferred Income Taxes</v>
      </c>
      <c r="P2087" s="736" t="s">
        <v>2482</v>
      </c>
      <c r="Q2087" s="25" t="str">
        <f>VLOOKUP($P2087,Allocators!$B$7:$F$19,5,FALSE)</f>
        <v>Electric</v>
      </c>
      <c r="R2087" s="737">
        <f>VLOOKUP($P2087,Allocators!$B$7:$F$19,2,FALSE)</f>
        <v>1</v>
      </c>
      <c r="S2087" s="737">
        <f>VLOOKUP($P2087,Allocators!$B$7:$F$19,3,FALSE)</f>
        <v>0</v>
      </c>
      <c r="T2087" s="737" t="str">
        <f t="shared" si="967"/>
        <v>0.0%</v>
      </c>
      <c r="U2087" s="2" t="str">
        <f t="shared" si="1032"/>
        <v/>
      </c>
      <c r="V2087" s="2" t="str">
        <f t="shared" si="1033"/>
        <v/>
      </c>
      <c r="W2087" s="2" t="str">
        <f t="shared" si="1034"/>
        <v/>
      </c>
      <c r="X2087" s="2">
        <f t="shared" si="1024"/>
        <v>0</v>
      </c>
      <c r="Y2087" s="2" t="str">
        <f t="shared" si="1035"/>
        <v/>
      </c>
      <c r="Z2087" s="2" t="str">
        <f t="shared" si="1036"/>
        <v/>
      </c>
      <c r="AA2087" s="2" t="str">
        <f t="shared" si="1037"/>
        <v/>
      </c>
      <c r="AB2087" s="2">
        <f t="shared" si="1025"/>
        <v>0</v>
      </c>
      <c r="AC2087" s="625">
        <v>0</v>
      </c>
      <c r="AD2087" s="625">
        <v>0</v>
      </c>
      <c r="AE2087" s="625">
        <v>0</v>
      </c>
      <c r="AF2087" s="625">
        <v>0</v>
      </c>
      <c r="AG2087" s="625">
        <v>0</v>
      </c>
      <c r="AH2087" s="625">
        <v>0</v>
      </c>
      <c r="AI2087" s="625">
        <v>0</v>
      </c>
      <c r="AJ2087" s="625">
        <v>0</v>
      </c>
      <c r="AK2087" s="625">
        <v>0</v>
      </c>
      <c r="AL2087" s="625">
        <v>0</v>
      </c>
      <c r="AM2087" s="625">
        <v>0</v>
      </c>
      <c r="AN2087" s="625">
        <v>0</v>
      </c>
      <c r="AO2087" s="625">
        <v>0</v>
      </c>
      <c r="AP2087" s="41" t="str">
        <f t="shared" si="1005"/>
        <v>Def TaxR</v>
      </c>
      <c r="AQ2087" s="41" t="str">
        <f t="shared" si="1006"/>
        <v>Def TaxRR110</v>
      </c>
      <c r="AR2087" s="41" t="str">
        <f t="shared" si="1007"/>
        <v>R110</v>
      </c>
    </row>
    <row r="2088" spans="1:44" s="41" customFormat="1" ht="12.75" customHeight="1">
      <c r="A2088" s="25" t="s">
        <v>1590</v>
      </c>
      <c r="B2088" s="25" t="str">
        <f t="shared" si="1040"/>
        <v>Def Tax283200283-043</v>
      </c>
      <c r="C2088" s="736">
        <v>283200</v>
      </c>
      <c r="D2088" s="735" t="s">
        <v>2160</v>
      </c>
      <c r="F2088" s="41" t="str">
        <f t="shared" si="1038"/>
        <v>ACCUM DEF INC TAX-OTH-FEDERAL-ELECTRIC</v>
      </c>
      <c r="G2088" s="41" t="s">
        <v>2161</v>
      </c>
      <c r="H2088" s="736">
        <v>0</v>
      </c>
      <c r="I2088" s="25"/>
      <c r="J2088" s="25" t="str">
        <f t="shared" si="1039"/>
        <v/>
      </c>
      <c r="K2088" s="442" t="str">
        <f t="shared" si="994"/>
        <v/>
      </c>
      <c r="L2088" s="736" t="s">
        <v>2443</v>
      </c>
      <c r="M2088" s="25" t="str">
        <f t="shared" si="995"/>
        <v>R</v>
      </c>
      <c r="N2088" s="25" t="str">
        <f>IF(L2088&lt;&gt;"",VLOOKUP(L2088,Categories!$B$2:$D$41,2,FALSE),IF(F2088&lt;&gt;"","No Cat",""))</f>
        <v>Rate Base</v>
      </c>
      <c r="O2088" s="25" t="str">
        <f>IF($L2088&lt;&gt;"",VLOOKUP($L2088,Categories!$B$2:$D$41,3,FALSE),IF($F2088&lt;&gt;"","No Cat",""))</f>
        <v>Deferred Income Taxes</v>
      </c>
      <c r="P2088" s="736" t="s">
        <v>2482</v>
      </c>
      <c r="Q2088" s="25" t="str">
        <f>VLOOKUP($P2088,Allocators!$B$7:$F$19,5,FALSE)</f>
        <v>Electric</v>
      </c>
      <c r="R2088" s="737">
        <f>VLOOKUP($P2088,Allocators!$B$7:$F$19,2,FALSE)</f>
        <v>1</v>
      </c>
      <c r="S2088" s="737">
        <f>VLOOKUP($P2088,Allocators!$B$7:$F$19,3,FALSE)</f>
        <v>0</v>
      </c>
      <c r="T2088" s="737" t="str">
        <f t="shared" si="967"/>
        <v>0.0%</v>
      </c>
      <c r="U2088" s="2" t="str">
        <f t="shared" si="1032"/>
        <v/>
      </c>
      <c r="V2088" s="2" t="str">
        <f t="shared" si="1033"/>
        <v/>
      </c>
      <c r="W2088" s="2" t="str">
        <f t="shared" si="1034"/>
        <v/>
      </c>
      <c r="X2088" s="2">
        <f t="shared" si="1024"/>
        <v>0</v>
      </c>
      <c r="Y2088" s="2" t="str">
        <f t="shared" si="1035"/>
        <v/>
      </c>
      <c r="Z2088" s="2" t="str">
        <f t="shared" si="1036"/>
        <v/>
      </c>
      <c r="AA2088" s="2" t="str">
        <f t="shared" si="1037"/>
        <v/>
      </c>
      <c r="AB2088" s="2">
        <f t="shared" si="1025"/>
        <v>0</v>
      </c>
      <c r="AC2088" s="625">
        <v>0</v>
      </c>
      <c r="AD2088" s="625">
        <v>0</v>
      </c>
      <c r="AE2088" s="625">
        <v>0</v>
      </c>
      <c r="AF2088" s="625">
        <v>0</v>
      </c>
      <c r="AG2088" s="625">
        <v>0</v>
      </c>
      <c r="AH2088" s="625">
        <v>0</v>
      </c>
      <c r="AI2088" s="625">
        <v>0</v>
      </c>
      <c r="AJ2088" s="625">
        <v>0</v>
      </c>
      <c r="AK2088" s="625">
        <v>0</v>
      </c>
      <c r="AL2088" s="625">
        <v>0</v>
      </c>
      <c r="AM2088" s="625">
        <v>0</v>
      </c>
      <c r="AN2088" s="625">
        <v>0</v>
      </c>
      <c r="AO2088" s="625">
        <v>0</v>
      </c>
      <c r="AP2088" s="41" t="str">
        <f t="shared" si="1005"/>
        <v>Def TaxR</v>
      </c>
      <c r="AQ2088" s="41" t="str">
        <f t="shared" si="1006"/>
        <v>Def TaxRR110</v>
      </c>
      <c r="AR2088" s="41" t="str">
        <f t="shared" si="1007"/>
        <v>R110</v>
      </c>
    </row>
    <row r="2089" spans="1:44" s="41" customFormat="1" ht="12.75" customHeight="1">
      <c r="A2089" s="442" t="s">
        <v>1590</v>
      </c>
      <c r="B2089" s="442" t="str">
        <f t="shared" si="1040"/>
        <v>Def Tax283200283-078</v>
      </c>
      <c r="C2089" s="736">
        <v>283200</v>
      </c>
      <c r="D2089" s="735" t="s">
        <v>2162</v>
      </c>
      <c r="E2089" s="626"/>
      <c r="F2089" s="626" t="str">
        <f t="shared" si="1038"/>
        <v>ACCUM DEF INC TAX-OTH-FEDERAL-ELECTRIC</v>
      </c>
      <c r="G2089" s="626" t="s">
        <v>2163</v>
      </c>
      <c r="H2089" s="736" t="s">
        <v>1309</v>
      </c>
      <c r="I2089" s="442"/>
      <c r="J2089" s="442" t="str">
        <f t="shared" si="1039"/>
        <v/>
      </c>
      <c r="K2089" s="442" t="str">
        <f t="shared" si="994"/>
        <v/>
      </c>
      <c r="L2089" s="736" t="s">
        <v>2421</v>
      </c>
      <c r="M2089" s="442" t="str">
        <f t="shared" si="995"/>
        <v>N</v>
      </c>
      <c r="N2089" s="442" t="str">
        <f>IF(L2089&lt;&gt;"",VLOOKUP(L2089,Categories!$B$2:$D$41,2,FALSE),IF(F2089&lt;&gt;"","No Cat",""))</f>
        <v>NRBASE</v>
      </c>
      <c r="O2089" s="442" t="str">
        <f>IF($L2089&lt;&gt;"",VLOOKUP($L2089,Categories!$B$2:$D$41,3,FALSE),IF($F2089&lt;&gt;"","No Cat",""))</f>
        <v>Direct Assign Items Not in RB</v>
      </c>
      <c r="P2089" s="736" t="s">
        <v>2468</v>
      </c>
      <c r="Q2089" s="442" t="str">
        <f>VLOOKUP($P2089,Allocators!$B$7:$F$19,5,FALSE)</f>
        <v>Not in Rate Base</v>
      </c>
      <c r="R2089" s="737">
        <f>VLOOKUP($P2089,Allocators!$B$7:$F$19,2,FALSE)</f>
        <v>0</v>
      </c>
      <c r="S2089" s="737">
        <f>VLOOKUP($P2089,Allocators!$B$7:$F$19,3,FALSE)</f>
        <v>0</v>
      </c>
      <c r="T2089" s="737">
        <f t="shared" si="967"/>
        <v>1</v>
      </c>
      <c r="U2089" s="2" t="str">
        <f t="shared" si="1032"/>
        <v/>
      </c>
      <c r="V2089" s="2" t="str">
        <f t="shared" si="1033"/>
        <v/>
      </c>
      <c r="W2089" s="2" t="str">
        <f t="shared" si="1034"/>
        <v/>
      </c>
      <c r="X2089" s="2">
        <f t="shared" si="1024"/>
        <v>0</v>
      </c>
      <c r="Y2089" s="2" t="str">
        <f t="shared" si="1035"/>
        <v/>
      </c>
      <c r="Z2089" s="2" t="str">
        <f t="shared" si="1036"/>
        <v/>
      </c>
      <c r="AA2089" s="2" t="str">
        <f t="shared" si="1037"/>
        <v/>
      </c>
      <c r="AB2089" s="2">
        <f t="shared" si="1025"/>
        <v>0</v>
      </c>
      <c r="AC2089" s="625">
        <v>0</v>
      </c>
      <c r="AD2089" s="625">
        <v>0</v>
      </c>
      <c r="AE2089" s="625">
        <v>0</v>
      </c>
      <c r="AF2089" s="625">
        <v>0</v>
      </c>
      <c r="AG2089" s="625">
        <v>0</v>
      </c>
      <c r="AH2089" s="625">
        <v>0</v>
      </c>
      <c r="AI2089" s="625">
        <v>0</v>
      </c>
      <c r="AJ2089" s="625">
        <v>0</v>
      </c>
      <c r="AK2089" s="625">
        <v>0</v>
      </c>
      <c r="AL2089" s="625">
        <v>0</v>
      </c>
      <c r="AM2089" s="625">
        <v>0</v>
      </c>
      <c r="AN2089" s="625">
        <v>0</v>
      </c>
      <c r="AO2089" s="625">
        <v>0</v>
      </c>
      <c r="AP2089" s="41" t="str">
        <f t="shared" si="1005"/>
        <v>Def TaxN</v>
      </c>
      <c r="AQ2089" s="41" t="str">
        <f t="shared" si="1006"/>
        <v>Def TaxNN2Economic Development</v>
      </c>
      <c r="AR2089" s="41" t="str">
        <f t="shared" si="1007"/>
        <v>N2Economic Development</v>
      </c>
    </row>
    <row r="2090" spans="1:44" s="41" customFormat="1" ht="12.75" customHeight="1">
      <c r="A2090" s="25" t="s">
        <v>1590</v>
      </c>
      <c r="B2090" s="25" t="str">
        <f t="shared" si="1040"/>
        <v>Def Tax283200283-055BTHUNGDT</v>
      </c>
      <c r="C2090" s="736">
        <v>283200</v>
      </c>
      <c r="D2090" s="735" t="s">
        <v>2164</v>
      </c>
      <c r="E2090" s="41" t="s">
        <v>1624</v>
      </c>
      <c r="F2090" s="41" t="str">
        <f t="shared" si="1038"/>
        <v>ACCUM DEF INC TAX-OTH-FEDERAL-ELECTRIC</v>
      </c>
      <c r="G2090" s="41" t="s">
        <v>2165</v>
      </c>
      <c r="H2090" s="736" t="s">
        <v>2165</v>
      </c>
      <c r="I2090" s="25"/>
      <c r="J2090" s="25" t="str">
        <f t="shared" si="1039"/>
        <v/>
      </c>
      <c r="K2090" s="442" t="str">
        <f t="shared" si="994"/>
        <v/>
      </c>
      <c r="L2090" s="736" t="s">
        <v>2443</v>
      </c>
      <c r="M2090" s="25" t="str">
        <f t="shared" si="995"/>
        <v>R</v>
      </c>
      <c r="N2090" s="25" t="str">
        <f>IF(L2090&lt;&gt;"",VLOOKUP(L2090,Categories!$B$2:$D$41,2,FALSE),IF(F2090&lt;&gt;"","No Cat",""))</f>
        <v>Rate Base</v>
      </c>
      <c r="O2090" s="25" t="str">
        <f>IF($L2090&lt;&gt;"",VLOOKUP($L2090,Categories!$B$2:$D$41,3,FALSE),IF($F2090&lt;&gt;"","No Cat",""))</f>
        <v>Deferred Income Taxes</v>
      </c>
      <c r="P2090" s="736" t="s">
        <v>2482</v>
      </c>
      <c r="Q2090" s="25" t="str">
        <f>VLOOKUP($P2090,Allocators!$B$7:$F$19,5,FALSE)</f>
        <v>Electric</v>
      </c>
      <c r="R2090" s="737">
        <f>VLOOKUP($P2090,Allocators!$B$7:$F$19,2,FALSE)</f>
        <v>1</v>
      </c>
      <c r="S2090" s="737">
        <f>VLOOKUP($P2090,Allocators!$B$7:$F$19,3,FALSE)</f>
        <v>0</v>
      </c>
      <c r="T2090" s="737" t="str">
        <f t="shared" si="967"/>
        <v>0.0%</v>
      </c>
      <c r="U2090" s="2" t="str">
        <f t="shared" si="1032"/>
        <v/>
      </c>
      <c r="V2090" s="2" t="str">
        <f t="shared" si="1033"/>
        <v/>
      </c>
      <c r="W2090" s="2" t="str">
        <f t="shared" si="1034"/>
        <v/>
      </c>
      <c r="X2090" s="2">
        <f t="shared" si="1024"/>
        <v>0</v>
      </c>
      <c r="Y2090" s="2" t="str">
        <f t="shared" si="1035"/>
        <v/>
      </c>
      <c r="Z2090" s="2" t="str">
        <f t="shared" si="1036"/>
        <v/>
      </c>
      <c r="AA2090" s="2" t="str">
        <f t="shared" si="1037"/>
        <v/>
      </c>
      <c r="AB2090" s="2">
        <f t="shared" si="1025"/>
        <v>0</v>
      </c>
      <c r="AC2090" s="625">
        <v>0</v>
      </c>
      <c r="AD2090" s="625">
        <v>0</v>
      </c>
      <c r="AE2090" s="625">
        <v>0</v>
      </c>
      <c r="AF2090" s="625">
        <v>0</v>
      </c>
      <c r="AG2090" s="625">
        <v>0</v>
      </c>
      <c r="AH2090" s="625">
        <v>0</v>
      </c>
      <c r="AI2090" s="625">
        <v>0</v>
      </c>
      <c r="AJ2090" s="625">
        <v>0</v>
      </c>
      <c r="AK2090" s="625">
        <v>0</v>
      </c>
      <c r="AL2090" s="625">
        <v>0</v>
      </c>
      <c r="AM2090" s="625">
        <v>0</v>
      </c>
      <c r="AN2090" s="625">
        <v>0</v>
      </c>
      <c r="AO2090" s="625">
        <v>0</v>
      </c>
      <c r="AP2090" s="41" t="str">
        <f t="shared" si="1005"/>
        <v>Def TaxR</v>
      </c>
      <c r="AQ2090" s="41" t="str">
        <f t="shared" si="1006"/>
        <v>Def TaxRR11GECHO</v>
      </c>
      <c r="AR2090" s="41" t="str">
        <f t="shared" si="1007"/>
        <v>R11GECHO</v>
      </c>
    </row>
    <row r="2091" spans="1:44" s="41" customFormat="1" ht="12.75" customHeight="1">
      <c r="A2091" s="442" t="s">
        <v>1590</v>
      </c>
      <c r="B2091" s="442" t="str">
        <f t="shared" si="1040"/>
        <v>Def Tax283200GRT RefundBT010355</v>
      </c>
      <c r="C2091" s="736">
        <v>283200</v>
      </c>
      <c r="D2091" s="735" t="s">
        <v>2166</v>
      </c>
      <c r="E2091" s="626" t="s">
        <v>2167</v>
      </c>
      <c r="F2091" s="626" t="str">
        <f t="shared" si="1038"/>
        <v>ACCUM DEF INC TAX-OTH-FEDERAL-ELECTRIC</v>
      </c>
      <c r="G2091" s="626" t="s">
        <v>2168</v>
      </c>
      <c r="H2091" s="736" t="s">
        <v>1542</v>
      </c>
      <c r="I2091" s="442"/>
      <c r="J2091" s="442" t="str">
        <f t="shared" si="1039"/>
        <v/>
      </c>
      <c r="K2091" s="442" t="str">
        <f t="shared" si="994"/>
        <v/>
      </c>
      <c r="L2091" s="736" t="s">
        <v>2421</v>
      </c>
      <c r="M2091" s="442" t="str">
        <f t="shared" si="995"/>
        <v>N</v>
      </c>
      <c r="N2091" s="442" t="str">
        <f>IF(L2091&lt;&gt;"",VLOOKUP(L2091,Categories!$B$2:$D$41,2,FALSE),IF(F2091&lt;&gt;"","No Cat",""))</f>
        <v>NRBASE</v>
      </c>
      <c r="O2091" s="442" t="str">
        <f>IF($L2091&lt;&gt;"",VLOOKUP($L2091,Categories!$B$2:$D$41,3,FALSE),IF($F2091&lt;&gt;"","No Cat",""))</f>
        <v>Direct Assign Items Not in RB</v>
      </c>
      <c r="P2091" s="736" t="s">
        <v>2468</v>
      </c>
      <c r="Q2091" s="442" t="str">
        <f>VLOOKUP($P2091,Allocators!$B$7:$F$19,5,FALSE)</f>
        <v>Not in Rate Base</v>
      </c>
      <c r="R2091" s="737">
        <f>VLOOKUP($P2091,Allocators!$B$7:$F$19,2,FALSE)</f>
        <v>0</v>
      </c>
      <c r="S2091" s="737">
        <f>VLOOKUP($P2091,Allocators!$B$7:$F$19,3,FALSE)</f>
        <v>0</v>
      </c>
      <c r="T2091" s="737">
        <f t="shared" si="967"/>
        <v>1</v>
      </c>
      <c r="U2091" s="2">
        <f t="shared" si="1032"/>
        <v>0</v>
      </c>
      <c r="V2091" s="2">
        <f t="shared" si="1033"/>
        <v>0</v>
      </c>
      <c r="W2091" s="2">
        <f t="shared" si="1034"/>
        <v>-69.751170000000002</v>
      </c>
      <c r="X2091" s="2">
        <f t="shared" si="1024"/>
        <v>-69.751170000000002</v>
      </c>
      <c r="Y2091" s="2">
        <f t="shared" si="1035"/>
        <v>0</v>
      </c>
      <c r="Z2091" s="2">
        <f t="shared" si="1036"/>
        <v>0</v>
      </c>
      <c r="AA2091" s="2">
        <f t="shared" si="1037"/>
        <v>-69.751170000000002</v>
      </c>
      <c r="AB2091" s="2">
        <f t="shared" si="1025"/>
        <v>-69.751170000000002</v>
      </c>
      <c r="AC2091" s="625">
        <v>-69.751170000000002</v>
      </c>
      <c r="AD2091" s="625">
        <v>-69.751170000000002</v>
      </c>
      <c r="AE2091" s="625">
        <v>-69.751170000000002</v>
      </c>
      <c r="AF2091" s="625">
        <v>-69.751170000000002</v>
      </c>
      <c r="AG2091" s="625">
        <v>-69.751170000000002</v>
      </c>
      <c r="AH2091" s="625">
        <v>-69.751170000000002</v>
      </c>
      <c r="AI2091" s="625">
        <v>-69.751170000000002</v>
      </c>
      <c r="AJ2091" s="625">
        <v>-69.751170000000002</v>
      </c>
      <c r="AK2091" s="625">
        <v>-69.751170000000002</v>
      </c>
      <c r="AL2091" s="625">
        <v>-69.751170000000002</v>
      </c>
      <c r="AM2091" s="625">
        <v>-69.751170000000002</v>
      </c>
      <c r="AN2091" s="625">
        <v>-69.751170000000002</v>
      </c>
      <c r="AO2091" s="625">
        <v>-69.751170000000002</v>
      </c>
      <c r="AP2091" s="41" t="str">
        <f t="shared" si="1005"/>
        <v>Def TaxN</v>
      </c>
      <c r="AQ2091" s="41" t="str">
        <f t="shared" si="1006"/>
        <v>Def TaxNN2GRT Refund Requests</v>
      </c>
      <c r="AR2091" s="41" t="str">
        <f t="shared" si="1007"/>
        <v>N2GRT Refund Requests</v>
      </c>
    </row>
    <row r="2092" spans="1:44" s="41" customFormat="1" ht="12.75" customHeight="1">
      <c r="A2092" s="442" t="s">
        <v>1590</v>
      </c>
      <c r="B2092" s="442" t="str">
        <f t="shared" si="1040"/>
        <v>Def Tax283200HIST BK 0</v>
      </c>
      <c r="C2092" s="736">
        <v>283200</v>
      </c>
      <c r="D2092" s="735" t="s">
        <v>2169</v>
      </c>
      <c r="E2092" s="626">
        <v>0</v>
      </c>
      <c r="F2092" s="626" t="str">
        <f t="shared" si="1038"/>
        <v>ACCUM DEF INC TAX-OTH-FEDERAL-ELECTRIC</v>
      </c>
      <c r="G2092" s="626" t="s">
        <v>2170</v>
      </c>
      <c r="H2092" s="736" t="s">
        <v>1125</v>
      </c>
      <c r="I2092" s="442"/>
      <c r="J2092" s="442" t="str">
        <f t="shared" si="1039"/>
        <v/>
      </c>
      <c r="K2092" s="442" t="str">
        <f t="shared" si="994"/>
        <v/>
      </c>
      <c r="L2092" s="736" t="s">
        <v>2443</v>
      </c>
      <c r="M2092" s="442" t="str">
        <f t="shared" si="995"/>
        <v>R</v>
      </c>
      <c r="N2092" s="442" t="str">
        <f>IF(L2092&lt;&gt;"",VLOOKUP(L2092,Categories!$B$2:$D$41,2,FALSE),IF(F2092&lt;&gt;"","No Cat",""))</f>
        <v>Rate Base</v>
      </c>
      <c r="O2092" s="442" t="str">
        <f>IF($L2092&lt;&gt;"",VLOOKUP($L2092,Categories!$B$2:$D$41,3,FALSE),IF($F2092&lt;&gt;"","No Cat",""))</f>
        <v>Deferred Income Taxes</v>
      </c>
      <c r="P2092" s="736" t="s">
        <v>2482</v>
      </c>
      <c r="Q2092" s="442" t="str">
        <f>VLOOKUP($P2092,Allocators!$B$7:$F$19,5,FALSE)</f>
        <v>Electric</v>
      </c>
      <c r="R2092" s="737">
        <f>VLOOKUP($P2092,Allocators!$B$7:$F$19,2,FALSE)</f>
        <v>1</v>
      </c>
      <c r="S2092" s="737">
        <f>VLOOKUP($P2092,Allocators!$B$7:$F$19,3,FALSE)</f>
        <v>0</v>
      </c>
      <c r="T2092" s="737" t="str">
        <f t="shared" si="967"/>
        <v>0.0%</v>
      </c>
      <c r="U2092" s="2">
        <f t="shared" si="1032"/>
        <v>103.75198</v>
      </c>
      <c r="V2092" s="2">
        <f t="shared" si="1033"/>
        <v>0</v>
      </c>
      <c r="W2092" s="2">
        <f t="shared" si="1034"/>
        <v>0</v>
      </c>
      <c r="X2092" s="2">
        <f t="shared" si="1024"/>
        <v>103.75198</v>
      </c>
      <c r="Y2092" s="2">
        <f t="shared" si="1035"/>
        <v>103.75198</v>
      </c>
      <c r="Z2092" s="2">
        <f t="shared" si="1036"/>
        <v>0</v>
      </c>
      <c r="AA2092" s="2">
        <f t="shared" si="1037"/>
        <v>0</v>
      </c>
      <c r="AB2092" s="2">
        <f t="shared" si="1025"/>
        <v>103.75197999999999</v>
      </c>
      <c r="AC2092" s="625">
        <v>103.75197999999999</v>
      </c>
      <c r="AD2092" s="625">
        <v>103.75197999999999</v>
      </c>
      <c r="AE2092" s="625">
        <v>103.75197999999999</v>
      </c>
      <c r="AF2092" s="625">
        <v>103.75197999999999</v>
      </c>
      <c r="AG2092" s="625">
        <v>103.75197999999999</v>
      </c>
      <c r="AH2092" s="625">
        <v>103.75197999999999</v>
      </c>
      <c r="AI2092" s="625">
        <v>103.75197999999999</v>
      </c>
      <c r="AJ2092" s="625">
        <v>103.75197999999999</v>
      </c>
      <c r="AK2092" s="625">
        <v>103.75197999999999</v>
      </c>
      <c r="AL2092" s="625">
        <v>103.75197999999999</v>
      </c>
      <c r="AM2092" s="625">
        <v>103.75197999999999</v>
      </c>
      <c r="AN2092" s="625">
        <v>103.75197999999999</v>
      </c>
      <c r="AO2092" s="625">
        <v>103.75197999999999</v>
      </c>
      <c r="AP2092" s="41" t="str">
        <f t="shared" si="1005"/>
        <v>Def TaxR</v>
      </c>
      <c r="AQ2092" s="41" t="str">
        <f t="shared" si="1006"/>
        <v>Def TaxRR11NYS Tax Rate to 7.1%</v>
      </c>
      <c r="AR2092" s="41" t="str">
        <f t="shared" si="1007"/>
        <v>R11NYS Tax Rate to 7.1%</v>
      </c>
    </row>
    <row r="2093" spans="1:44" s="41" customFormat="1" ht="12.75" customHeight="1">
      <c r="A2093" s="25" t="s">
        <v>1590</v>
      </c>
      <c r="B2093" s="25" t="str">
        <f t="shared" si="1040"/>
        <v>Def Tax283200283-013</v>
      </c>
      <c r="C2093" s="736">
        <v>283200</v>
      </c>
      <c r="D2093" s="735" t="s">
        <v>2171</v>
      </c>
      <c r="F2093" s="41" t="str">
        <f t="shared" si="1038"/>
        <v>ACCUM DEF INC TAX-OTH-FEDERAL-ELECTRIC</v>
      </c>
      <c r="G2093" s="41" t="s">
        <v>2172</v>
      </c>
      <c r="H2093" s="736" t="s">
        <v>2173</v>
      </c>
      <c r="I2093" s="25"/>
      <c r="J2093" s="25" t="str">
        <f t="shared" si="1039"/>
        <v/>
      </c>
      <c r="K2093" s="442" t="str">
        <f t="shared" si="994"/>
        <v/>
      </c>
      <c r="L2093" s="736" t="s">
        <v>2443</v>
      </c>
      <c r="M2093" s="25" t="str">
        <f t="shared" si="995"/>
        <v>R</v>
      </c>
      <c r="N2093" s="25" t="str">
        <f>IF(L2093&lt;&gt;"",VLOOKUP(L2093,Categories!$B$2:$D$41,2,FALSE),IF(F2093&lt;&gt;"","No Cat",""))</f>
        <v>Rate Base</v>
      </c>
      <c r="O2093" s="25" t="str">
        <f>IF($L2093&lt;&gt;"",VLOOKUP($L2093,Categories!$B$2:$D$41,3,FALSE),IF($F2093&lt;&gt;"","No Cat",""))</f>
        <v>Deferred Income Taxes</v>
      </c>
      <c r="P2093" s="736" t="s">
        <v>2482</v>
      </c>
      <c r="Q2093" s="25" t="str">
        <f>VLOOKUP($P2093,Allocators!$B$7:$F$19,5,FALSE)</f>
        <v>Electric</v>
      </c>
      <c r="R2093" s="737">
        <f>VLOOKUP($P2093,Allocators!$B$7:$F$19,2,FALSE)</f>
        <v>1</v>
      </c>
      <c r="S2093" s="737">
        <f>VLOOKUP($P2093,Allocators!$B$7:$F$19,3,FALSE)</f>
        <v>0</v>
      </c>
      <c r="T2093" s="737" t="str">
        <f t="shared" si="967"/>
        <v>0.0%</v>
      </c>
      <c r="U2093" s="2" t="str">
        <f t="shared" si="1032"/>
        <v/>
      </c>
      <c r="V2093" s="2" t="str">
        <f t="shared" si="1033"/>
        <v/>
      </c>
      <c r="W2093" s="2" t="str">
        <f t="shared" si="1034"/>
        <v/>
      </c>
      <c r="X2093" s="2">
        <f t="shared" si="1024"/>
        <v>0</v>
      </c>
      <c r="Y2093" s="2" t="str">
        <f t="shared" si="1035"/>
        <v/>
      </c>
      <c r="Z2093" s="2" t="str">
        <f t="shared" si="1036"/>
        <v/>
      </c>
      <c r="AA2093" s="2" t="str">
        <f t="shared" si="1037"/>
        <v/>
      </c>
      <c r="AB2093" s="2">
        <f t="shared" si="1025"/>
        <v>0</v>
      </c>
      <c r="AC2093" s="625">
        <v>0</v>
      </c>
      <c r="AD2093" s="625">
        <v>0</v>
      </c>
      <c r="AE2093" s="625">
        <v>0</v>
      </c>
      <c r="AF2093" s="625">
        <v>0</v>
      </c>
      <c r="AG2093" s="625">
        <v>0</v>
      </c>
      <c r="AH2093" s="625">
        <v>0</v>
      </c>
      <c r="AI2093" s="625">
        <v>0</v>
      </c>
      <c r="AJ2093" s="625">
        <v>0</v>
      </c>
      <c r="AK2093" s="625">
        <v>0</v>
      </c>
      <c r="AL2093" s="625">
        <v>0</v>
      </c>
      <c r="AM2093" s="625">
        <v>0</v>
      </c>
      <c r="AN2093" s="625">
        <v>0</v>
      </c>
      <c r="AO2093" s="625">
        <v>0</v>
      </c>
      <c r="AP2093" s="41" t="str">
        <f t="shared" si="1005"/>
        <v>Def TaxR</v>
      </c>
      <c r="AQ2093" s="41" t="str">
        <f t="shared" si="1006"/>
        <v>Def TaxRR11Ice Storm</v>
      </c>
      <c r="AR2093" s="41" t="str">
        <f t="shared" si="1007"/>
        <v>R11Ice Storm</v>
      </c>
    </row>
    <row r="2094" spans="1:44" s="41" customFormat="1" ht="12.75" customHeight="1">
      <c r="A2094" s="25" t="s">
        <v>1590</v>
      </c>
      <c r="B2094" s="25" t="str">
        <f t="shared" si="1040"/>
        <v>Def Tax283200283-086BT010102</v>
      </c>
      <c r="C2094" s="736">
        <v>283200</v>
      </c>
      <c r="D2094" s="735" t="s">
        <v>2174</v>
      </c>
      <c r="E2094" s="41" t="s">
        <v>2175</v>
      </c>
      <c r="F2094" s="41" t="str">
        <f t="shared" si="1038"/>
        <v>ACCUM DEF INC TAX-OTH-FEDERAL-ELECTRIC</v>
      </c>
      <c r="G2094" s="41" t="s">
        <v>2176</v>
      </c>
      <c r="H2094" s="736" t="s">
        <v>1313</v>
      </c>
      <c r="I2094" s="25"/>
      <c r="J2094" s="25" t="str">
        <f t="shared" si="1039"/>
        <v/>
      </c>
      <c r="K2094" s="442" t="str">
        <f t="shared" si="994"/>
        <v/>
      </c>
      <c r="L2094" s="736" t="s">
        <v>2443</v>
      </c>
      <c r="M2094" s="25" t="str">
        <f t="shared" si="995"/>
        <v>R</v>
      </c>
      <c r="N2094" s="25" t="str">
        <f>IF(L2094&lt;&gt;"",VLOOKUP(L2094,Categories!$B$2:$D$41,2,FALSE),IF(F2094&lt;&gt;"","No Cat",""))</f>
        <v>Rate Base</v>
      </c>
      <c r="O2094" s="25" t="str">
        <f>IF($L2094&lt;&gt;"",VLOOKUP($L2094,Categories!$B$2:$D$41,3,FALSE),IF($F2094&lt;&gt;"","No Cat",""))</f>
        <v>Deferred Income Taxes</v>
      </c>
      <c r="P2094" s="736" t="s">
        <v>2482</v>
      </c>
      <c r="Q2094" s="25" t="str">
        <f>VLOOKUP($P2094,Allocators!$B$7:$F$19,5,FALSE)</f>
        <v>Electric</v>
      </c>
      <c r="R2094" s="737">
        <f>VLOOKUP($P2094,Allocators!$B$7:$F$19,2,FALSE)</f>
        <v>1</v>
      </c>
      <c r="S2094" s="737">
        <f>VLOOKUP($P2094,Allocators!$B$7:$F$19,3,FALSE)</f>
        <v>0</v>
      </c>
      <c r="T2094" s="737" t="str">
        <f t="shared" si="967"/>
        <v>0.0%</v>
      </c>
      <c r="U2094" s="2" t="str">
        <f t="shared" si="1032"/>
        <v/>
      </c>
      <c r="V2094" s="2" t="str">
        <f t="shared" si="1033"/>
        <v/>
      </c>
      <c r="W2094" s="2" t="str">
        <f t="shared" si="1034"/>
        <v/>
      </c>
      <c r="X2094" s="2">
        <f t="shared" si="1024"/>
        <v>0</v>
      </c>
      <c r="Y2094" s="2" t="str">
        <f t="shared" si="1035"/>
        <v/>
      </c>
      <c r="Z2094" s="2" t="str">
        <f t="shared" si="1036"/>
        <v/>
      </c>
      <c r="AA2094" s="2" t="str">
        <f t="shared" si="1037"/>
        <v/>
      </c>
      <c r="AB2094" s="2">
        <f t="shared" si="1025"/>
        <v>0</v>
      </c>
      <c r="AC2094" s="625">
        <v>0</v>
      </c>
      <c r="AD2094" s="625">
        <v>0</v>
      </c>
      <c r="AE2094" s="625">
        <v>0</v>
      </c>
      <c r="AF2094" s="625">
        <v>0</v>
      </c>
      <c r="AG2094" s="625">
        <v>0</v>
      </c>
      <c r="AH2094" s="625">
        <v>0</v>
      </c>
      <c r="AI2094" s="625">
        <v>0</v>
      </c>
      <c r="AJ2094" s="625">
        <v>0</v>
      </c>
      <c r="AK2094" s="625">
        <v>0</v>
      </c>
      <c r="AL2094" s="625">
        <v>0</v>
      </c>
      <c r="AM2094" s="625">
        <v>0</v>
      </c>
      <c r="AN2094" s="625">
        <v>0</v>
      </c>
      <c r="AO2094" s="625">
        <v>0</v>
      </c>
      <c r="AP2094" s="41" t="str">
        <f t="shared" si="1005"/>
        <v>Def TaxR</v>
      </c>
      <c r="AQ2094" s="41" t="str">
        <f t="shared" si="1006"/>
        <v>Def TaxRR11IMLR</v>
      </c>
      <c r="AR2094" s="41" t="str">
        <f t="shared" si="1007"/>
        <v>R11IMLR</v>
      </c>
    </row>
    <row r="2095" spans="1:44" s="41" customFormat="1" ht="12.75" customHeight="1">
      <c r="A2095" s="25" t="s">
        <v>1590</v>
      </c>
      <c r="B2095" s="25" t="str">
        <f t="shared" si="1040"/>
        <v>Def Tax283200283-077</v>
      </c>
      <c r="C2095" s="736">
        <v>283200</v>
      </c>
      <c r="D2095" s="735" t="s">
        <v>2177</v>
      </c>
      <c r="F2095" s="41" t="str">
        <f t="shared" si="1038"/>
        <v>ACCUM DEF INC TAX-OTH-FEDERAL-ELECTRIC</v>
      </c>
      <c r="G2095" s="41" t="s">
        <v>2178</v>
      </c>
      <c r="H2095" s="736" t="s">
        <v>2179</v>
      </c>
      <c r="I2095" s="25"/>
      <c r="J2095" s="25" t="str">
        <f t="shared" si="1039"/>
        <v/>
      </c>
      <c r="K2095" s="442" t="str">
        <f t="shared" si="994"/>
        <v/>
      </c>
      <c r="L2095" s="736" t="s">
        <v>2443</v>
      </c>
      <c r="M2095" s="25" t="str">
        <f t="shared" si="995"/>
        <v>R</v>
      </c>
      <c r="N2095" s="25" t="str">
        <f>IF(L2095&lt;&gt;"",VLOOKUP(L2095,Categories!$B$2:$D$41,2,FALSE),IF(F2095&lt;&gt;"","No Cat",""))</f>
        <v>Rate Base</v>
      </c>
      <c r="O2095" s="25" t="str">
        <f>IF($L2095&lt;&gt;"",VLOOKUP($L2095,Categories!$B$2:$D$41,3,FALSE),IF($F2095&lt;&gt;"","No Cat",""))</f>
        <v>Deferred Income Taxes</v>
      </c>
      <c r="P2095" s="736" t="s">
        <v>2482</v>
      </c>
      <c r="Q2095" s="25" t="str">
        <f>VLOOKUP($P2095,Allocators!$B$7:$F$19,5,FALSE)</f>
        <v>Electric</v>
      </c>
      <c r="R2095" s="737">
        <f>VLOOKUP($P2095,Allocators!$B$7:$F$19,2,FALSE)</f>
        <v>1</v>
      </c>
      <c r="S2095" s="737">
        <f>VLOOKUP($P2095,Allocators!$B$7:$F$19,3,FALSE)</f>
        <v>0</v>
      </c>
      <c r="T2095" s="737" t="str">
        <f t="shared" ref="T2095:T2160" si="1041">IF(P2095="N",1,"0.0%")</f>
        <v>0.0%</v>
      </c>
      <c r="U2095" s="2" t="str">
        <f t="shared" si="1032"/>
        <v/>
      </c>
      <c r="V2095" s="2" t="str">
        <f t="shared" si="1033"/>
        <v/>
      </c>
      <c r="W2095" s="2" t="str">
        <f t="shared" si="1034"/>
        <v/>
      </c>
      <c r="X2095" s="2">
        <f t="shared" si="1024"/>
        <v>0</v>
      </c>
      <c r="Y2095" s="2" t="str">
        <f t="shared" si="1035"/>
        <v/>
      </c>
      <c r="Z2095" s="2" t="str">
        <f t="shared" si="1036"/>
        <v/>
      </c>
      <c r="AA2095" s="2" t="str">
        <f t="shared" si="1037"/>
        <v/>
      </c>
      <c r="AB2095" s="2">
        <f t="shared" si="1025"/>
        <v>0</v>
      </c>
      <c r="AC2095" s="625">
        <v>0</v>
      </c>
      <c r="AD2095" s="625">
        <v>0</v>
      </c>
      <c r="AE2095" s="625">
        <v>0</v>
      </c>
      <c r="AF2095" s="625">
        <v>0</v>
      </c>
      <c r="AG2095" s="625">
        <v>0</v>
      </c>
      <c r="AH2095" s="625">
        <v>0</v>
      </c>
      <c r="AI2095" s="625">
        <v>0</v>
      </c>
      <c r="AJ2095" s="625">
        <v>0</v>
      </c>
      <c r="AK2095" s="625">
        <v>0</v>
      </c>
      <c r="AL2095" s="625">
        <v>0</v>
      </c>
      <c r="AM2095" s="625">
        <v>0</v>
      </c>
      <c r="AN2095" s="625">
        <v>0</v>
      </c>
      <c r="AO2095" s="625">
        <v>0</v>
      </c>
      <c r="AP2095" s="41" t="str">
        <f t="shared" si="1005"/>
        <v>Def TaxR</v>
      </c>
      <c r="AQ2095" s="41" t="str">
        <f t="shared" si="1006"/>
        <v>Def TaxRR11Internal Software</v>
      </c>
      <c r="AR2095" s="41" t="str">
        <f t="shared" si="1007"/>
        <v>R11Internal Software</v>
      </c>
    </row>
    <row r="2096" spans="1:44" s="41" customFormat="1" ht="12.75" customHeight="1">
      <c r="A2096" s="25" t="s">
        <v>1590</v>
      </c>
      <c r="B2096" s="25" t="str">
        <f t="shared" si="1040"/>
        <v>Def Tax283200283-075</v>
      </c>
      <c r="C2096" s="736">
        <v>283200</v>
      </c>
      <c r="D2096" s="735" t="s">
        <v>2016</v>
      </c>
      <c r="F2096" s="41" t="str">
        <f t="shared" si="1038"/>
        <v>ACCUM DEF INC TAX-OTH-FEDERAL-ELECTRIC</v>
      </c>
      <c r="G2096" s="41" t="s">
        <v>2018</v>
      </c>
      <c r="H2096" s="736" t="s">
        <v>2019</v>
      </c>
      <c r="I2096" s="25"/>
      <c r="J2096" s="25" t="str">
        <f t="shared" si="1039"/>
        <v/>
      </c>
      <c r="K2096" s="442" t="str">
        <f t="shared" si="994"/>
        <v/>
      </c>
      <c r="L2096" s="736" t="s">
        <v>2443</v>
      </c>
      <c r="M2096" s="25" t="str">
        <f t="shared" si="995"/>
        <v>R</v>
      </c>
      <c r="N2096" s="25" t="str">
        <f>IF(L2096&lt;&gt;"",VLOOKUP(L2096,Categories!$B$2:$D$41,2,FALSE),IF(F2096&lt;&gt;"","No Cat",""))</f>
        <v>Rate Base</v>
      </c>
      <c r="O2096" s="25" t="str">
        <f>IF($L2096&lt;&gt;"",VLOOKUP($L2096,Categories!$B$2:$D$41,3,FALSE),IF($F2096&lt;&gt;"","No Cat",""))</f>
        <v>Deferred Income Taxes</v>
      </c>
      <c r="P2096" s="736" t="s">
        <v>2482</v>
      </c>
      <c r="Q2096" s="25" t="str">
        <f>VLOOKUP($P2096,Allocators!$B$7:$F$19,5,FALSE)</f>
        <v>Electric</v>
      </c>
      <c r="R2096" s="737">
        <f>VLOOKUP($P2096,Allocators!$B$7:$F$19,2,FALSE)</f>
        <v>1</v>
      </c>
      <c r="S2096" s="737">
        <f>VLOOKUP($P2096,Allocators!$B$7:$F$19,3,FALSE)</f>
        <v>0</v>
      </c>
      <c r="T2096" s="737" t="str">
        <f t="shared" si="1041"/>
        <v>0.0%</v>
      </c>
      <c r="U2096" s="2" t="str">
        <f t="shared" si="1032"/>
        <v/>
      </c>
      <c r="V2096" s="2" t="str">
        <f t="shared" si="1033"/>
        <v/>
      </c>
      <c r="W2096" s="2" t="str">
        <f t="shared" si="1034"/>
        <v/>
      </c>
      <c r="X2096" s="2">
        <f t="shared" si="1024"/>
        <v>0</v>
      </c>
      <c r="Y2096" s="2" t="str">
        <f t="shared" si="1035"/>
        <v/>
      </c>
      <c r="Z2096" s="2" t="str">
        <f t="shared" si="1036"/>
        <v/>
      </c>
      <c r="AA2096" s="2" t="str">
        <f t="shared" si="1037"/>
        <v/>
      </c>
      <c r="AB2096" s="2">
        <f t="shared" si="1025"/>
        <v>0</v>
      </c>
      <c r="AC2096" s="625">
        <v>0</v>
      </c>
      <c r="AD2096" s="625">
        <v>0</v>
      </c>
      <c r="AE2096" s="625">
        <v>0</v>
      </c>
      <c r="AF2096" s="625">
        <v>0</v>
      </c>
      <c r="AG2096" s="625">
        <v>0</v>
      </c>
      <c r="AH2096" s="625">
        <v>0</v>
      </c>
      <c r="AI2096" s="625">
        <v>0</v>
      </c>
      <c r="AJ2096" s="625">
        <v>0</v>
      </c>
      <c r="AK2096" s="625">
        <v>0</v>
      </c>
      <c r="AL2096" s="625">
        <v>0</v>
      </c>
      <c r="AM2096" s="625">
        <v>0</v>
      </c>
      <c r="AN2096" s="625">
        <v>0</v>
      </c>
      <c r="AO2096" s="625">
        <v>0</v>
      </c>
      <c r="AP2096" s="41" t="str">
        <f t="shared" si="1005"/>
        <v>Def TaxR</v>
      </c>
      <c r="AQ2096" s="41" t="str">
        <f t="shared" si="1006"/>
        <v>Def TaxRR1198 - '01 IRS Audit</v>
      </c>
      <c r="AR2096" s="41" t="str">
        <f t="shared" si="1007"/>
        <v>R1198 - '01 IRS Audit</v>
      </c>
    </row>
    <row r="2097" spans="1:44" s="41" customFormat="1" ht="12.75" customHeight="1">
      <c r="A2097" s="25" t="s">
        <v>1590</v>
      </c>
      <c r="B2097" s="25" t="str">
        <f t="shared" si="1040"/>
        <v>Def Tax283200283-054</v>
      </c>
      <c r="C2097" s="736">
        <v>283200</v>
      </c>
      <c r="D2097" s="735" t="s">
        <v>2180</v>
      </c>
      <c r="F2097" s="41" t="str">
        <f t="shared" si="1038"/>
        <v>ACCUM DEF INC TAX-OTH-FEDERAL-ELECTRIC</v>
      </c>
      <c r="G2097" s="41" t="s">
        <v>2181</v>
      </c>
      <c r="H2097" s="736" t="s">
        <v>1140</v>
      </c>
      <c r="I2097" s="25"/>
      <c r="J2097" s="25" t="str">
        <f t="shared" si="1039"/>
        <v/>
      </c>
      <c r="K2097" s="442" t="str">
        <f t="shared" si="994"/>
        <v/>
      </c>
      <c r="L2097" s="736" t="s">
        <v>2443</v>
      </c>
      <c r="M2097" s="25" t="str">
        <f t="shared" si="995"/>
        <v>R</v>
      </c>
      <c r="N2097" s="25" t="str">
        <f>IF(L2097&lt;&gt;"",VLOOKUP(L2097,Categories!$B$2:$D$41,2,FALSE),IF(F2097&lt;&gt;"","No Cat",""))</f>
        <v>Rate Base</v>
      </c>
      <c r="O2097" s="25" t="str">
        <f>IF($L2097&lt;&gt;"",VLOOKUP($L2097,Categories!$B$2:$D$41,3,FALSE),IF($F2097&lt;&gt;"","No Cat",""))</f>
        <v>Deferred Income Taxes</v>
      </c>
      <c r="P2097" s="736" t="s">
        <v>2482</v>
      </c>
      <c r="Q2097" s="25" t="str">
        <f>VLOOKUP($P2097,Allocators!$B$7:$F$19,5,FALSE)</f>
        <v>Electric</v>
      </c>
      <c r="R2097" s="737">
        <f>VLOOKUP($P2097,Allocators!$B$7:$F$19,2,FALSE)</f>
        <v>1</v>
      </c>
      <c r="S2097" s="737">
        <f>VLOOKUP($P2097,Allocators!$B$7:$F$19,3,FALSE)</f>
        <v>0</v>
      </c>
      <c r="T2097" s="737" t="str">
        <f t="shared" si="1041"/>
        <v>0.0%</v>
      </c>
      <c r="U2097" s="2" t="str">
        <f t="shared" si="1032"/>
        <v/>
      </c>
      <c r="V2097" s="2" t="str">
        <f t="shared" si="1033"/>
        <v/>
      </c>
      <c r="W2097" s="2" t="str">
        <f t="shared" si="1034"/>
        <v/>
      </c>
      <c r="X2097" s="2">
        <f t="shared" si="1024"/>
        <v>0</v>
      </c>
      <c r="Y2097" s="2" t="str">
        <f t="shared" si="1035"/>
        <v/>
      </c>
      <c r="Z2097" s="2" t="str">
        <f t="shared" si="1036"/>
        <v/>
      </c>
      <c r="AA2097" s="2" t="str">
        <f t="shared" si="1037"/>
        <v/>
      </c>
      <c r="AB2097" s="2">
        <f t="shared" si="1025"/>
        <v>0</v>
      </c>
      <c r="AC2097" s="625">
        <v>0</v>
      </c>
      <c r="AD2097" s="625">
        <v>0</v>
      </c>
      <c r="AE2097" s="625">
        <v>0</v>
      </c>
      <c r="AF2097" s="625">
        <v>0</v>
      </c>
      <c r="AG2097" s="625">
        <v>0</v>
      </c>
      <c r="AH2097" s="625">
        <v>0</v>
      </c>
      <c r="AI2097" s="625">
        <v>0</v>
      </c>
      <c r="AJ2097" s="625">
        <v>0</v>
      </c>
      <c r="AK2097" s="625">
        <v>0</v>
      </c>
      <c r="AL2097" s="625">
        <v>0</v>
      </c>
      <c r="AM2097" s="625">
        <v>0</v>
      </c>
      <c r="AN2097" s="625">
        <v>0</v>
      </c>
      <c r="AO2097" s="625">
        <v>0</v>
      </c>
      <c r="AP2097" s="41" t="str">
        <f t="shared" si="1005"/>
        <v>Def TaxR</v>
      </c>
      <c r="AQ2097" s="41" t="str">
        <f t="shared" si="1006"/>
        <v>Def TaxRR11Allegany</v>
      </c>
      <c r="AR2097" s="41" t="str">
        <f t="shared" si="1007"/>
        <v>R11Allegany</v>
      </c>
    </row>
    <row r="2098" spans="1:44" s="41" customFormat="1" ht="12.75" customHeight="1">
      <c r="A2098" s="442" t="s">
        <v>1590</v>
      </c>
      <c r="B2098" s="442" t="str">
        <f t="shared" si="1040"/>
        <v>Def Tax283200283-083BT010111</v>
      </c>
      <c r="C2098" s="736">
        <v>283200</v>
      </c>
      <c r="D2098" s="735" t="s">
        <v>2182</v>
      </c>
      <c r="E2098" s="626" t="s">
        <v>2183</v>
      </c>
      <c r="F2098" s="626" t="str">
        <f t="shared" si="1038"/>
        <v>ACCUM DEF INC TAX-OTH-FEDERAL-ELECTRIC</v>
      </c>
      <c r="G2098" s="626" t="s">
        <v>2184</v>
      </c>
      <c r="H2098" s="736">
        <v>0</v>
      </c>
      <c r="I2098" s="442"/>
      <c r="J2098" s="442" t="str">
        <f t="shared" si="1039"/>
        <v/>
      </c>
      <c r="K2098" s="442" t="str">
        <f t="shared" ref="K2098:K2162" si="1042">IF(L2098="N3","Y","")</f>
        <v/>
      </c>
      <c r="L2098" s="736" t="s">
        <v>2421</v>
      </c>
      <c r="M2098" s="442" t="str">
        <f t="shared" si="995"/>
        <v>N</v>
      </c>
      <c r="N2098" s="442" t="str">
        <f>IF(L2098&lt;&gt;"",VLOOKUP(L2098,Categories!$B$2:$D$41,2,FALSE),IF(F2098&lt;&gt;"","No Cat",""))</f>
        <v>NRBASE</v>
      </c>
      <c r="O2098" s="442" t="str">
        <f>IF($L2098&lt;&gt;"",VLOOKUP($L2098,Categories!$B$2:$D$41,3,FALSE),IF($F2098&lt;&gt;"","No Cat",""))</f>
        <v>Direct Assign Items Not in RB</v>
      </c>
      <c r="P2098" s="736" t="s">
        <v>2468</v>
      </c>
      <c r="Q2098" s="442" t="str">
        <f>VLOOKUP($P2098,Allocators!$B$7:$F$19,5,FALSE)</f>
        <v>Not in Rate Base</v>
      </c>
      <c r="R2098" s="737">
        <f>VLOOKUP($P2098,Allocators!$B$7:$F$19,2,FALSE)</f>
        <v>0</v>
      </c>
      <c r="S2098" s="737">
        <f>VLOOKUP($P2098,Allocators!$B$7:$F$19,3,FALSE)</f>
        <v>0</v>
      </c>
      <c r="T2098" s="737">
        <f t="shared" si="1041"/>
        <v>1</v>
      </c>
      <c r="U2098" s="2" t="str">
        <f t="shared" si="1032"/>
        <v/>
      </c>
      <c r="V2098" s="2" t="str">
        <f t="shared" si="1033"/>
        <v/>
      </c>
      <c r="W2098" s="2" t="str">
        <f t="shared" si="1034"/>
        <v/>
      </c>
      <c r="X2098" s="2">
        <f t="shared" si="1024"/>
        <v>0</v>
      </c>
      <c r="Y2098" s="2" t="str">
        <f t="shared" si="1035"/>
        <v/>
      </c>
      <c r="Z2098" s="2" t="str">
        <f t="shared" si="1036"/>
        <v/>
      </c>
      <c r="AA2098" s="2" t="str">
        <f t="shared" si="1037"/>
        <v/>
      </c>
      <c r="AB2098" s="2">
        <f t="shared" si="1025"/>
        <v>0</v>
      </c>
      <c r="AC2098" s="625">
        <v>0</v>
      </c>
      <c r="AD2098" s="625">
        <v>0</v>
      </c>
      <c r="AE2098" s="625">
        <v>0</v>
      </c>
      <c r="AF2098" s="625">
        <v>0</v>
      </c>
      <c r="AG2098" s="625">
        <v>0</v>
      </c>
      <c r="AH2098" s="625">
        <v>0</v>
      </c>
      <c r="AI2098" s="625">
        <v>0</v>
      </c>
      <c r="AJ2098" s="625">
        <v>0</v>
      </c>
      <c r="AK2098" s="625">
        <v>0</v>
      </c>
      <c r="AL2098" s="625">
        <v>0</v>
      </c>
      <c r="AM2098" s="625">
        <v>0</v>
      </c>
      <c r="AN2098" s="625">
        <v>0</v>
      </c>
      <c r="AO2098" s="625">
        <v>0</v>
      </c>
      <c r="AP2098" s="41" t="str">
        <f t="shared" si="1005"/>
        <v>Def TaxN</v>
      </c>
      <c r="AQ2098" s="41" t="str">
        <f t="shared" si="1006"/>
        <v>Def TaxNN20</v>
      </c>
      <c r="AR2098" s="41" t="str">
        <f t="shared" si="1007"/>
        <v>N20</v>
      </c>
    </row>
    <row r="2099" spans="1:44" s="41" customFormat="1" ht="12.75" customHeight="1">
      <c r="A2099" s="442" t="s">
        <v>1590</v>
      </c>
      <c r="B2099" s="442" t="str">
        <f t="shared" si="1040"/>
        <v>Def Tax283200283-083-AMORTBT010110</v>
      </c>
      <c r="C2099" s="736">
        <v>283200</v>
      </c>
      <c r="D2099" s="735" t="s">
        <v>2185</v>
      </c>
      <c r="E2099" s="626" t="s">
        <v>2186</v>
      </c>
      <c r="F2099" s="626" t="str">
        <f t="shared" si="1038"/>
        <v>ACCUM DEF INC TAX-OTH-FEDERAL-ELECTRIC</v>
      </c>
      <c r="G2099" s="626" t="s">
        <v>2187</v>
      </c>
      <c r="H2099" s="736">
        <v>0</v>
      </c>
      <c r="I2099" s="442"/>
      <c r="J2099" s="442" t="str">
        <f t="shared" si="1039"/>
        <v/>
      </c>
      <c r="K2099" s="442" t="str">
        <f t="shared" si="1042"/>
        <v/>
      </c>
      <c r="L2099" s="736" t="s">
        <v>2421</v>
      </c>
      <c r="M2099" s="442" t="str">
        <f t="shared" si="995"/>
        <v>N</v>
      </c>
      <c r="N2099" s="442" t="str">
        <f>IF(L2099&lt;&gt;"",VLOOKUP(L2099,Categories!$B$2:$D$41,2,FALSE),IF(F2099&lt;&gt;"","No Cat",""))</f>
        <v>NRBASE</v>
      </c>
      <c r="O2099" s="442" t="str">
        <f>IF($L2099&lt;&gt;"",VLOOKUP($L2099,Categories!$B$2:$D$41,3,FALSE),IF($F2099&lt;&gt;"","No Cat",""))</f>
        <v>Direct Assign Items Not in RB</v>
      </c>
      <c r="P2099" s="736" t="s">
        <v>2468</v>
      </c>
      <c r="Q2099" s="442" t="str">
        <f>VLOOKUP($P2099,Allocators!$B$7:$F$19,5,FALSE)</f>
        <v>Not in Rate Base</v>
      </c>
      <c r="R2099" s="737">
        <f>VLOOKUP($P2099,Allocators!$B$7:$F$19,2,FALSE)</f>
        <v>0</v>
      </c>
      <c r="S2099" s="737">
        <f>VLOOKUP($P2099,Allocators!$B$7:$F$19,3,FALSE)</f>
        <v>0</v>
      </c>
      <c r="T2099" s="737">
        <f t="shared" si="1041"/>
        <v>1</v>
      </c>
      <c r="U2099" s="2" t="str">
        <f t="shared" si="1032"/>
        <v/>
      </c>
      <c r="V2099" s="2" t="str">
        <f t="shared" si="1033"/>
        <v/>
      </c>
      <c r="W2099" s="2" t="str">
        <f t="shared" si="1034"/>
        <v/>
      </c>
      <c r="X2099" s="2">
        <f t="shared" si="1024"/>
        <v>0</v>
      </c>
      <c r="Y2099" s="2" t="str">
        <f t="shared" si="1035"/>
        <v/>
      </c>
      <c r="Z2099" s="2" t="str">
        <f t="shared" si="1036"/>
        <v/>
      </c>
      <c r="AA2099" s="2" t="str">
        <f t="shared" si="1037"/>
        <v/>
      </c>
      <c r="AB2099" s="2">
        <f t="shared" si="1025"/>
        <v>0</v>
      </c>
      <c r="AC2099" s="625">
        <v>0</v>
      </c>
      <c r="AD2099" s="625">
        <v>0</v>
      </c>
      <c r="AE2099" s="625">
        <v>0</v>
      </c>
      <c r="AF2099" s="625">
        <v>0</v>
      </c>
      <c r="AG2099" s="625">
        <v>0</v>
      </c>
      <c r="AH2099" s="625">
        <v>0</v>
      </c>
      <c r="AI2099" s="625">
        <v>0</v>
      </c>
      <c r="AJ2099" s="625">
        <v>0</v>
      </c>
      <c r="AK2099" s="625">
        <v>0</v>
      </c>
      <c r="AL2099" s="625">
        <v>0</v>
      </c>
      <c r="AM2099" s="625">
        <v>0</v>
      </c>
      <c r="AN2099" s="625">
        <v>0</v>
      </c>
      <c r="AO2099" s="625">
        <v>0</v>
      </c>
      <c r="AP2099" s="41" t="str">
        <f t="shared" si="1005"/>
        <v>Def TaxN</v>
      </c>
      <c r="AQ2099" s="41" t="str">
        <f t="shared" si="1006"/>
        <v>Def TaxNN20</v>
      </c>
      <c r="AR2099" s="41" t="str">
        <f t="shared" si="1007"/>
        <v>N20</v>
      </c>
    </row>
    <row r="2100" spans="1:44" s="41" customFormat="1" ht="12.75" customHeight="1">
      <c r="A2100" s="25" t="s">
        <v>1590</v>
      </c>
      <c r="B2100" s="25" t="str">
        <f t="shared" si="1040"/>
        <v>Def Tax283200283-038BTHUNGDT</v>
      </c>
      <c r="C2100" s="736">
        <v>283200</v>
      </c>
      <c r="D2100" s="735" t="s">
        <v>2188</v>
      </c>
      <c r="E2100" s="41" t="s">
        <v>1624</v>
      </c>
      <c r="F2100" s="41" t="str">
        <f t="shared" si="1038"/>
        <v>ACCUM DEF INC TAX-OTH-FEDERAL-ELECTRIC</v>
      </c>
      <c r="G2100" s="41" t="s">
        <v>2189</v>
      </c>
      <c r="H2100" s="736" t="s">
        <v>2190</v>
      </c>
      <c r="I2100" s="25"/>
      <c r="J2100" s="25" t="str">
        <f t="shared" si="1039"/>
        <v/>
      </c>
      <c r="K2100" s="442" t="str">
        <f t="shared" si="1042"/>
        <v/>
      </c>
      <c r="L2100" s="736" t="s">
        <v>2443</v>
      </c>
      <c r="M2100" s="25" t="str">
        <f t="shared" si="995"/>
        <v>R</v>
      </c>
      <c r="N2100" s="25" t="str">
        <f>IF(L2100&lt;&gt;"",VLOOKUP(L2100,Categories!$B$2:$D$41,2,FALSE),IF(F2100&lt;&gt;"","No Cat",""))</f>
        <v>Rate Base</v>
      </c>
      <c r="O2100" s="25" t="str">
        <f>IF($L2100&lt;&gt;"",VLOOKUP($L2100,Categories!$B$2:$D$41,3,FALSE),IF($F2100&lt;&gt;"","No Cat",""))</f>
        <v>Deferred Income Taxes</v>
      </c>
      <c r="P2100" s="736" t="s">
        <v>2482</v>
      </c>
      <c r="Q2100" s="25" t="str">
        <f>VLOOKUP($P2100,Allocators!$B$7:$F$19,5,FALSE)</f>
        <v>Electric</v>
      </c>
      <c r="R2100" s="737">
        <f>VLOOKUP($P2100,Allocators!$B$7:$F$19,2,FALSE)</f>
        <v>1</v>
      </c>
      <c r="S2100" s="737">
        <f>VLOOKUP($P2100,Allocators!$B$7:$F$19,3,FALSE)</f>
        <v>0</v>
      </c>
      <c r="T2100" s="737" t="str">
        <f t="shared" si="1041"/>
        <v>0.0%</v>
      </c>
      <c r="U2100" s="2" t="str">
        <f t="shared" si="1032"/>
        <v/>
      </c>
      <c r="V2100" s="2" t="str">
        <f t="shared" si="1033"/>
        <v/>
      </c>
      <c r="W2100" s="2" t="str">
        <f t="shared" si="1034"/>
        <v/>
      </c>
      <c r="X2100" s="2">
        <f t="shared" si="1024"/>
        <v>0</v>
      </c>
      <c r="Y2100" s="2" t="str">
        <f t="shared" si="1035"/>
        <v/>
      </c>
      <c r="Z2100" s="2" t="str">
        <f t="shared" si="1036"/>
        <v/>
      </c>
      <c r="AA2100" s="2" t="str">
        <f t="shared" si="1037"/>
        <v/>
      </c>
      <c r="AB2100" s="2">
        <f t="shared" si="1025"/>
        <v>0</v>
      </c>
      <c r="AC2100" s="625">
        <v>0</v>
      </c>
      <c r="AD2100" s="625">
        <v>0</v>
      </c>
      <c r="AE2100" s="625">
        <v>0</v>
      </c>
      <c r="AF2100" s="625">
        <v>0</v>
      </c>
      <c r="AG2100" s="625">
        <v>0</v>
      </c>
      <c r="AH2100" s="625">
        <v>0</v>
      </c>
      <c r="AI2100" s="625">
        <v>0</v>
      </c>
      <c r="AJ2100" s="625">
        <v>0</v>
      </c>
      <c r="AK2100" s="625">
        <v>0</v>
      </c>
      <c r="AL2100" s="625">
        <v>0</v>
      </c>
      <c r="AM2100" s="625">
        <v>0</v>
      </c>
      <c r="AN2100" s="625">
        <v>0</v>
      </c>
      <c r="AO2100" s="625">
        <v>0</v>
      </c>
      <c r="AP2100" s="41" t="str">
        <f t="shared" si="1005"/>
        <v>Def TaxR</v>
      </c>
      <c r="AQ2100" s="41" t="str">
        <f t="shared" si="1006"/>
        <v>Def TaxRR11Laser Light Show</v>
      </c>
      <c r="AR2100" s="41" t="str">
        <f t="shared" si="1007"/>
        <v>R11Laser Light Show</v>
      </c>
    </row>
    <row r="2101" spans="1:44" s="41" customFormat="1" ht="12.75" customHeight="1">
      <c r="A2101" s="442" t="s">
        <v>1590</v>
      </c>
      <c r="B2101" s="442" t="str">
        <f t="shared" si="1040"/>
        <v>Def Tax283200283-085BT010102</v>
      </c>
      <c r="C2101" s="736">
        <v>283200</v>
      </c>
      <c r="D2101" s="735" t="s">
        <v>2191</v>
      </c>
      <c r="E2101" s="626" t="s">
        <v>2175</v>
      </c>
      <c r="F2101" s="626" t="str">
        <f t="shared" si="1038"/>
        <v>ACCUM DEF INC TAX-OTH-FEDERAL-ELECTRIC</v>
      </c>
      <c r="G2101" s="626" t="s">
        <v>2192</v>
      </c>
      <c r="H2101" s="736" t="s">
        <v>2193</v>
      </c>
      <c r="I2101" s="442"/>
      <c r="J2101" s="442" t="str">
        <f t="shared" si="1039"/>
        <v/>
      </c>
      <c r="K2101" s="442" t="str">
        <f t="shared" si="1042"/>
        <v/>
      </c>
      <c r="L2101" s="736" t="s">
        <v>2421</v>
      </c>
      <c r="M2101" s="442" t="str">
        <f t="shared" si="995"/>
        <v>N</v>
      </c>
      <c r="N2101" s="442" t="str">
        <f>IF(L2101&lt;&gt;"",VLOOKUP(L2101,Categories!$B$2:$D$41,2,FALSE),IF(F2101&lt;&gt;"","No Cat",""))</f>
        <v>NRBASE</v>
      </c>
      <c r="O2101" s="442" t="str">
        <f>IF($L2101&lt;&gt;"",VLOOKUP($L2101,Categories!$B$2:$D$41,3,FALSE),IF($F2101&lt;&gt;"","No Cat",""))</f>
        <v>Direct Assign Items Not in RB</v>
      </c>
      <c r="P2101" s="736" t="s">
        <v>2468</v>
      </c>
      <c r="Q2101" s="442" t="str">
        <f>VLOOKUP($P2101,Allocators!$B$7:$F$19,5,FALSE)</f>
        <v>Not in Rate Base</v>
      </c>
      <c r="R2101" s="737">
        <f>VLOOKUP($P2101,Allocators!$B$7:$F$19,2,FALSE)</f>
        <v>0</v>
      </c>
      <c r="S2101" s="737">
        <f>VLOOKUP($P2101,Allocators!$B$7:$F$19,3,FALSE)</f>
        <v>0</v>
      </c>
      <c r="T2101" s="737">
        <f t="shared" si="1041"/>
        <v>1</v>
      </c>
      <c r="U2101" s="2">
        <f t="shared" si="1032"/>
        <v>0</v>
      </c>
      <c r="V2101" s="2">
        <f t="shared" si="1033"/>
        <v>0</v>
      </c>
      <c r="W2101" s="2">
        <f t="shared" si="1034"/>
        <v>-411.58699999999999</v>
      </c>
      <c r="X2101" s="2">
        <f t="shared" si="1024"/>
        <v>-411.58699999999999</v>
      </c>
      <c r="Y2101" s="2">
        <f t="shared" si="1035"/>
        <v>0</v>
      </c>
      <c r="Z2101" s="2">
        <f t="shared" si="1036"/>
        <v>0</v>
      </c>
      <c r="AA2101" s="2">
        <f t="shared" si="1037"/>
        <v>-411.58699999999999</v>
      </c>
      <c r="AB2101" s="2">
        <f t="shared" si="1025"/>
        <v>-411.58699999999999</v>
      </c>
      <c r="AC2101" s="625">
        <v>-411.58699999999999</v>
      </c>
      <c r="AD2101" s="625">
        <v>-411.58699999999999</v>
      </c>
      <c r="AE2101" s="625">
        <v>-411.58699999999999</v>
      </c>
      <c r="AF2101" s="625">
        <v>-411.58699999999999</v>
      </c>
      <c r="AG2101" s="625">
        <v>-411.58699999999999</v>
      </c>
      <c r="AH2101" s="625">
        <v>-411.58699999999999</v>
      </c>
      <c r="AI2101" s="625">
        <v>-411.58699999999999</v>
      </c>
      <c r="AJ2101" s="625">
        <v>-411.58699999999999</v>
      </c>
      <c r="AK2101" s="625">
        <v>-411.58699999999999</v>
      </c>
      <c r="AL2101" s="625">
        <v>-411.58699999999999</v>
      </c>
      <c r="AM2101" s="625">
        <v>-411.58699999999999</v>
      </c>
      <c r="AN2101" s="625">
        <v>-411.58699999999999</v>
      </c>
      <c r="AO2101" s="625">
        <v>-411.58699999999999</v>
      </c>
      <c r="AP2101" s="41" t="str">
        <f t="shared" si="1005"/>
        <v>Def TaxN</v>
      </c>
      <c r="AQ2101" s="41" t="str">
        <f t="shared" si="1006"/>
        <v>Def TaxNN2Manufacturing Credit</v>
      </c>
      <c r="AR2101" s="41" t="str">
        <f t="shared" si="1007"/>
        <v>N2Manufacturing Credit</v>
      </c>
    </row>
    <row r="2102" spans="1:44" s="41" customFormat="1" ht="12.75" customHeight="1">
      <c r="A2102" s="25" t="s">
        <v>1590</v>
      </c>
      <c r="B2102" s="25" t="str">
        <f t="shared" si="1040"/>
        <v>Def Tax283200283-039BTHUNGDT</v>
      </c>
      <c r="C2102" s="736">
        <v>283200</v>
      </c>
      <c r="D2102" s="735" t="s">
        <v>2194</v>
      </c>
      <c r="E2102" s="41" t="s">
        <v>1624</v>
      </c>
      <c r="F2102" s="41" t="str">
        <f t="shared" si="1038"/>
        <v>ACCUM DEF INC TAX-OTH-FEDERAL-ELECTRIC</v>
      </c>
      <c r="G2102" s="41" t="s">
        <v>2195</v>
      </c>
      <c r="H2102" s="736">
        <v>0</v>
      </c>
      <c r="I2102" s="25"/>
      <c r="J2102" s="25" t="str">
        <f t="shared" si="1039"/>
        <v/>
      </c>
      <c r="K2102" s="442" t="str">
        <f t="shared" si="1042"/>
        <v/>
      </c>
      <c r="L2102" s="736" t="s">
        <v>2443</v>
      </c>
      <c r="M2102" s="25" t="str">
        <f t="shared" si="995"/>
        <v>R</v>
      </c>
      <c r="N2102" s="25" t="str">
        <f>IF(L2102&lt;&gt;"",VLOOKUP(L2102,Categories!$B$2:$D$41,2,FALSE),IF(F2102&lt;&gt;"","No Cat",""))</f>
        <v>Rate Base</v>
      </c>
      <c r="O2102" s="25" t="str">
        <f>IF($L2102&lt;&gt;"",VLOOKUP($L2102,Categories!$B$2:$D$41,3,FALSE),IF($F2102&lt;&gt;"","No Cat",""))</f>
        <v>Deferred Income Taxes</v>
      </c>
      <c r="P2102" s="736" t="s">
        <v>2482</v>
      </c>
      <c r="Q2102" s="25" t="str">
        <f>VLOOKUP($P2102,Allocators!$B$7:$F$19,5,FALSE)</f>
        <v>Electric</v>
      </c>
      <c r="R2102" s="737">
        <f>VLOOKUP($P2102,Allocators!$B$7:$F$19,2,FALSE)</f>
        <v>1</v>
      </c>
      <c r="S2102" s="737">
        <f>VLOOKUP($P2102,Allocators!$B$7:$F$19,3,FALSE)</f>
        <v>0</v>
      </c>
      <c r="T2102" s="737" t="str">
        <f t="shared" si="1041"/>
        <v>0.0%</v>
      </c>
      <c r="U2102" s="2" t="str">
        <f t="shared" si="1032"/>
        <v/>
      </c>
      <c r="V2102" s="2" t="str">
        <f t="shared" si="1033"/>
        <v/>
      </c>
      <c r="W2102" s="2" t="str">
        <f t="shared" si="1034"/>
        <v/>
      </c>
      <c r="X2102" s="2">
        <f t="shared" si="1024"/>
        <v>0</v>
      </c>
      <c r="Y2102" s="2" t="str">
        <f t="shared" si="1035"/>
        <v/>
      </c>
      <c r="Z2102" s="2" t="str">
        <f t="shared" si="1036"/>
        <v/>
      </c>
      <c r="AA2102" s="2" t="str">
        <f t="shared" si="1037"/>
        <v/>
      </c>
      <c r="AB2102" s="2">
        <f t="shared" si="1025"/>
        <v>0</v>
      </c>
      <c r="AC2102" s="625">
        <v>0</v>
      </c>
      <c r="AD2102" s="625">
        <v>0</v>
      </c>
      <c r="AE2102" s="625">
        <v>0</v>
      </c>
      <c r="AF2102" s="625">
        <v>0</v>
      </c>
      <c r="AG2102" s="625">
        <v>0</v>
      </c>
      <c r="AH2102" s="625">
        <v>0</v>
      </c>
      <c r="AI2102" s="625">
        <v>0</v>
      </c>
      <c r="AJ2102" s="625">
        <v>0</v>
      </c>
      <c r="AK2102" s="625">
        <v>0</v>
      </c>
      <c r="AL2102" s="625">
        <v>0</v>
      </c>
      <c r="AM2102" s="625">
        <v>0</v>
      </c>
      <c r="AN2102" s="625">
        <v>0</v>
      </c>
      <c r="AO2102" s="625">
        <v>0</v>
      </c>
      <c r="AP2102" s="41" t="str">
        <f t="shared" si="1005"/>
        <v>Def TaxR</v>
      </c>
      <c r="AQ2102" s="41" t="str">
        <f t="shared" si="1006"/>
        <v>Def TaxRR110</v>
      </c>
      <c r="AR2102" s="41" t="str">
        <f t="shared" si="1007"/>
        <v>R110</v>
      </c>
    </row>
    <row r="2103" spans="1:44" s="41" customFormat="1" ht="12.75" customHeight="1">
      <c r="A2103" s="442" t="s">
        <v>1590</v>
      </c>
      <c r="B2103" s="442" t="str">
        <f t="shared" si="1040"/>
        <v>Def Tax283200283-051BTHUNGDT</v>
      </c>
      <c r="C2103" s="736">
        <v>283200</v>
      </c>
      <c r="D2103" s="735" t="s">
        <v>2196</v>
      </c>
      <c r="E2103" s="626" t="s">
        <v>1624</v>
      </c>
      <c r="F2103" s="626" t="str">
        <f t="shared" si="1038"/>
        <v>ACCUM DEF INC TAX-OTH-FEDERAL-ELECTRIC</v>
      </c>
      <c r="G2103" s="626" t="s">
        <v>2197</v>
      </c>
      <c r="H2103" s="736" t="s">
        <v>2880</v>
      </c>
      <c r="I2103" s="442"/>
      <c r="J2103" s="442" t="str">
        <f t="shared" si="1039"/>
        <v/>
      </c>
      <c r="K2103" s="442" t="str">
        <f t="shared" si="1042"/>
        <v/>
      </c>
      <c r="L2103" s="736" t="s">
        <v>2421</v>
      </c>
      <c r="M2103" s="442" t="str">
        <f t="shared" si="995"/>
        <v>N</v>
      </c>
      <c r="N2103" s="442" t="str">
        <f>IF(L2103&lt;&gt;"",VLOOKUP(L2103,Categories!$B$2:$D$41,2,FALSE),IF(F2103&lt;&gt;"","No Cat",""))</f>
        <v>NRBASE</v>
      </c>
      <c r="O2103" s="442" t="str">
        <f>IF($L2103&lt;&gt;"",VLOOKUP($L2103,Categories!$B$2:$D$41,3,FALSE),IF($F2103&lt;&gt;"","No Cat",""))</f>
        <v>Direct Assign Items Not in RB</v>
      </c>
      <c r="P2103" s="736" t="s">
        <v>2468</v>
      </c>
      <c r="Q2103" s="442" t="str">
        <f>VLOOKUP($P2103,Allocators!$B$7:$F$19,5,FALSE)</f>
        <v>Not in Rate Base</v>
      </c>
      <c r="R2103" s="737">
        <f>VLOOKUP($P2103,Allocators!$B$7:$F$19,2,FALSE)</f>
        <v>0</v>
      </c>
      <c r="S2103" s="737">
        <f>VLOOKUP($P2103,Allocators!$B$7:$F$19,3,FALSE)</f>
        <v>0</v>
      </c>
      <c r="T2103" s="737">
        <f t="shared" si="1041"/>
        <v>1</v>
      </c>
      <c r="U2103" s="2" t="str">
        <f t="shared" si="1032"/>
        <v/>
      </c>
      <c r="V2103" s="2" t="str">
        <f t="shared" si="1033"/>
        <v/>
      </c>
      <c r="W2103" s="2" t="str">
        <f t="shared" si="1034"/>
        <v/>
      </c>
      <c r="X2103" s="2">
        <f t="shared" si="1024"/>
        <v>0</v>
      </c>
      <c r="Y2103" s="2" t="str">
        <f t="shared" si="1035"/>
        <v/>
      </c>
      <c r="Z2103" s="2" t="str">
        <f t="shared" si="1036"/>
        <v/>
      </c>
      <c r="AA2103" s="2" t="str">
        <f t="shared" si="1037"/>
        <v/>
      </c>
      <c r="AB2103" s="2">
        <f t="shared" si="1025"/>
        <v>0</v>
      </c>
      <c r="AC2103" s="625">
        <v>0</v>
      </c>
      <c r="AD2103" s="625">
        <v>0</v>
      </c>
      <c r="AE2103" s="625">
        <v>0</v>
      </c>
      <c r="AF2103" s="625">
        <v>0</v>
      </c>
      <c r="AG2103" s="625">
        <v>0</v>
      </c>
      <c r="AH2103" s="625">
        <v>0</v>
      </c>
      <c r="AI2103" s="625">
        <v>0</v>
      </c>
      <c r="AJ2103" s="625">
        <v>0</v>
      </c>
      <c r="AK2103" s="625">
        <v>0</v>
      </c>
      <c r="AL2103" s="625">
        <v>0</v>
      </c>
      <c r="AM2103" s="625">
        <v>0</v>
      </c>
      <c r="AN2103" s="625">
        <v>0</v>
      </c>
      <c r="AO2103" s="625">
        <v>0</v>
      </c>
      <c r="AP2103" s="41" t="str">
        <f t="shared" si="1005"/>
        <v>Def TaxN</v>
      </c>
      <c r="AQ2103" s="41" t="str">
        <f t="shared" si="1006"/>
        <v>Def TaxNN2Hung Deferred Taxes</v>
      </c>
      <c r="AR2103" s="41" t="str">
        <f t="shared" si="1007"/>
        <v>N2Hung Deferred Taxes</v>
      </c>
    </row>
    <row r="2104" spans="1:44" s="41" customFormat="1" ht="12.75" customHeight="1">
      <c r="A2104" s="25" t="s">
        <v>1590</v>
      </c>
      <c r="B2104" s="25" t="str">
        <f t="shared" si="1040"/>
        <v>Def Tax283200283-002BT010127</v>
      </c>
      <c r="C2104" s="736">
        <v>283200</v>
      </c>
      <c r="D2104" s="735" t="s">
        <v>2198</v>
      </c>
      <c r="E2104" s="41" t="s">
        <v>2199</v>
      </c>
      <c r="F2104" s="41" t="str">
        <f t="shared" si="1038"/>
        <v>ACCUM DEF INC TAX-OTH-FEDERAL-ELECTRIC</v>
      </c>
      <c r="G2104" s="41" t="s">
        <v>2200</v>
      </c>
      <c r="H2104" s="736" t="s">
        <v>2201</v>
      </c>
      <c r="I2104" s="25"/>
      <c r="J2104" s="25" t="str">
        <f t="shared" si="1039"/>
        <v/>
      </c>
      <c r="K2104" s="442" t="str">
        <f t="shared" si="1042"/>
        <v/>
      </c>
      <c r="L2104" s="736" t="s">
        <v>2443</v>
      </c>
      <c r="M2104" s="25" t="str">
        <f t="shared" si="995"/>
        <v>R</v>
      </c>
      <c r="N2104" s="25" t="str">
        <f>IF(L2104&lt;&gt;"",VLOOKUP(L2104,Categories!$B$2:$D$41,2,FALSE),IF(F2104&lt;&gt;"","No Cat",""))</f>
        <v>Rate Base</v>
      </c>
      <c r="O2104" s="25" t="str">
        <f>IF($L2104&lt;&gt;"",VLOOKUP($L2104,Categories!$B$2:$D$41,3,FALSE),IF($F2104&lt;&gt;"","No Cat",""))</f>
        <v>Deferred Income Taxes</v>
      </c>
      <c r="P2104" s="736" t="s">
        <v>2482</v>
      </c>
      <c r="Q2104" s="25" t="str">
        <f>VLOOKUP($P2104,Allocators!$B$7:$F$19,5,FALSE)</f>
        <v>Electric</v>
      </c>
      <c r="R2104" s="737">
        <f>VLOOKUP($P2104,Allocators!$B$7:$F$19,2,FALSE)</f>
        <v>1</v>
      </c>
      <c r="S2104" s="737">
        <f>VLOOKUP($P2104,Allocators!$B$7:$F$19,3,FALSE)</f>
        <v>0</v>
      </c>
      <c r="T2104" s="737" t="str">
        <f t="shared" si="1041"/>
        <v>0.0%</v>
      </c>
      <c r="U2104" s="2">
        <f t="shared" si="1032"/>
        <v>-1250.6788179166699</v>
      </c>
      <c r="V2104" s="2">
        <f t="shared" si="1033"/>
        <v>0</v>
      </c>
      <c r="W2104" s="2">
        <f t="shared" si="1034"/>
        <v>0</v>
      </c>
      <c r="X2104" s="2">
        <f t="shared" si="1024"/>
        <v>-1250.6788179166699</v>
      </c>
      <c r="Y2104" s="2">
        <f t="shared" si="1035"/>
        <v>-1290.2068300000001</v>
      </c>
      <c r="Z2104" s="2">
        <f t="shared" si="1036"/>
        <v>0</v>
      </c>
      <c r="AA2104" s="2">
        <f t="shared" si="1037"/>
        <v>0</v>
      </c>
      <c r="AB2104" s="2">
        <f t="shared" si="1025"/>
        <v>-1290.2068300000001</v>
      </c>
      <c r="AC2104" s="625">
        <v>-1170.3289</v>
      </c>
      <c r="AD2104" s="625">
        <v>-1188.4831100000001</v>
      </c>
      <c r="AE2104" s="625">
        <v>-1206.63732</v>
      </c>
      <c r="AF2104" s="625">
        <v>-1224.79153</v>
      </c>
      <c r="AG2104" s="625">
        <v>-1242.9457299999999</v>
      </c>
      <c r="AH2104" s="625">
        <v>-1261.0999399999998</v>
      </c>
      <c r="AI2104" s="625">
        <v>-1279.25415</v>
      </c>
      <c r="AJ2104" s="625">
        <v>-1297.4083600000001</v>
      </c>
      <c r="AK2104" s="625">
        <v>-1315.5625700000001</v>
      </c>
      <c r="AL2104" s="625">
        <v>-1235.7442100000001</v>
      </c>
      <c r="AM2104" s="625">
        <v>-1253.89841</v>
      </c>
      <c r="AN2104" s="625">
        <v>-1272.0526200000002</v>
      </c>
      <c r="AO2104" s="625">
        <v>-1290.2068300000001</v>
      </c>
      <c r="AP2104" s="41" t="str">
        <f t="shared" si="1005"/>
        <v>Def TaxR</v>
      </c>
      <c r="AQ2104" s="41" t="str">
        <f t="shared" si="1006"/>
        <v>Def TaxRR11Mortgage Recording Tax</v>
      </c>
      <c r="AR2104" s="41" t="str">
        <f t="shared" si="1007"/>
        <v>R11Mortgage Recording Tax</v>
      </c>
    </row>
    <row r="2105" spans="1:44" s="41" customFormat="1" ht="12.75" customHeight="1">
      <c r="A2105" s="25" t="s">
        <v>1590</v>
      </c>
      <c r="B2105" s="25" t="str">
        <f t="shared" si="1040"/>
        <v>Def Tax283200283-002-SBT010127</v>
      </c>
      <c r="C2105" s="736">
        <v>283200</v>
      </c>
      <c r="D2105" s="735" t="s">
        <v>2202</v>
      </c>
      <c r="E2105" s="41" t="s">
        <v>2199</v>
      </c>
      <c r="F2105" s="41" t="str">
        <f t="shared" si="1038"/>
        <v>ACCUM DEF INC TAX-OTH-FEDERAL-ELECTRIC</v>
      </c>
      <c r="G2105" s="41" t="s">
        <v>2203</v>
      </c>
      <c r="H2105" s="736" t="s">
        <v>2201</v>
      </c>
      <c r="I2105" s="25"/>
      <c r="J2105" s="25" t="str">
        <f t="shared" si="1039"/>
        <v/>
      </c>
      <c r="K2105" s="442" t="str">
        <f t="shared" si="1042"/>
        <v/>
      </c>
      <c r="L2105" s="736" t="s">
        <v>2443</v>
      </c>
      <c r="M2105" s="25" t="str">
        <f t="shared" si="995"/>
        <v>R</v>
      </c>
      <c r="N2105" s="25" t="str">
        <f>IF(L2105&lt;&gt;"",VLOOKUP(L2105,Categories!$B$2:$D$41,2,FALSE),IF(F2105&lt;&gt;"","No Cat",""))</f>
        <v>Rate Base</v>
      </c>
      <c r="O2105" s="25" t="str">
        <f>IF($L2105&lt;&gt;"",VLOOKUP($L2105,Categories!$B$2:$D$41,3,FALSE),IF($F2105&lt;&gt;"","No Cat",""))</f>
        <v>Deferred Income Taxes</v>
      </c>
      <c r="P2105" s="736" t="s">
        <v>2482</v>
      </c>
      <c r="Q2105" s="25" t="str">
        <f>VLOOKUP($P2105,Allocators!$B$7:$F$19,5,FALSE)</f>
        <v>Electric</v>
      </c>
      <c r="R2105" s="737">
        <f>VLOOKUP($P2105,Allocators!$B$7:$F$19,2,FALSE)</f>
        <v>1</v>
      </c>
      <c r="S2105" s="737">
        <f>VLOOKUP($P2105,Allocators!$B$7:$F$19,3,FALSE)</f>
        <v>0</v>
      </c>
      <c r="T2105" s="737" t="str">
        <f t="shared" si="1041"/>
        <v>0.0%</v>
      </c>
      <c r="U2105" s="2" t="str">
        <f t="shared" si="1032"/>
        <v/>
      </c>
      <c r="V2105" s="2" t="str">
        <f t="shared" si="1033"/>
        <v/>
      </c>
      <c r="W2105" s="2" t="str">
        <f t="shared" si="1034"/>
        <v/>
      </c>
      <c r="X2105" s="2">
        <f t="shared" si="1024"/>
        <v>0</v>
      </c>
      <c r="Y2105" s="2" t="str">
        <f t="shared" si="1035"/>
        <v/>
      </c>
      <c r="Z2105" s="2" t="str">
        <f t="shared" si="1036"/>
        <v/>
      </c>
      <c r="AA2105" s="2" t="str">
        <f t="shared" si="1037"/>
        <v/>
      </c>
      <c r="AB2105" s="2">
        <f t="shared" si="1025"/>
        <v>0</v>
      </c>
      <c r="AC2105" s="625">
        <v>0</v>
      </c>
      <c r="AD2105" s="625">
        <v>0</v>
      </c>
      <c r="AE2105" s="625">
        <v>0</v>
      </c>
      <c r="AF2105" s="625">
        <v>0</v>
      </c>
      <c r="AG2105" s="625">
        <v>0</v>
      </c>
      <c r="AH2105" s="625">
        <v>0</v>
      </c>
      <c r="AI2105" s="625">
        <v>0</v>
      </c>
      <c r="AJ2105" s="625">
        <v>0</v>
      </c>
      <c r="AK2105" s="625">
        <v>0</v>
      </c>
      <c r="AL2105" s="625">
        <v>0</v>
      </c>
      <c r="AM2105" s="625">
        <v>0</v>
      </c>
      <c r="AN2105" s="625">
        <v>0</v>
      </c>
      <c r="AO2105" s="625">
        <v>0</v>
      </c>
      <c r="AP2105" s="41" t="str">
        <f t="shared" si="1005"/>
        <v>Def TaxR</v>
      </c>
      <c r="AQ2105" s="41" t="str">
        <f t="shared" si="1006"/>
        <v>Def TaxRR11Mortgage Recording Tax</v>
      </c>
      <c r="AR2105" s="41" t="str">
        <f t="shared" si="1007"/>
        <v>R11Mortgage Recording Tax</v>
      </c>
    </row>
    <row r="2106" spans="1:44" s="41" customFormat="1" ht="12.75" customHeight="1">
      <c r="A2106" s="25" t="s">
        <v>1590</v>
      </c>
      <c r="B2106" s="25" t="str">
        <f t="shared" si="1040"/>
        <v>Def Tax283200283-0570</v>
      </c>
      <c r="C2106" s="736">
        <v>283200</v>
      </c>
      <c r="D2106" s="735" t="s">
        <v>2039</v>
      </c>
      <c r="E2106" s="41">
        <v>0</v>
      </c>
      <c r="F2106" s="41" t="str">
        <f t="shared" si="1038"/>
        <v>ACCUM DEF INC TAX-OTH-FEDERAL-ELECTRIC</v>
      </c>
      <c r="G2106" s="41" t="s">
        <v>2204</v>
      </c>
      <c r="H2106" s="736" t="s">
        <v>1145</v>
      </c>
      <c r="I2106" s="25"/>
      <c r="J2106" s="25" t="str">
        <f t="shared" si="1039"/>
        <v/>
      </c>
      <c r="K2106" s="442" t="str">
        <f t="shared" si="1042"/>
        <v/>
      </c>
      <c r="L2106" s="736" t="s">
        <v>2443</v>
      </c>
      <c r="M2106" s="25" t="str">
        <f t="shared" si="995"/>
        <v>R</v>
      </c>
      <c r="N2106" s="25" t="str">
        <f>IF(L2106&lt;&gt;"",VLOOKUP(L2106,Categories!$B$2:$D$41,2,FALSE),IF(F2106&lt;&gt;"","No Cat",""))</f>
        <v>Rate Base</v>
      </c>
      <c r="O2106" s="25" t="str">
        <f>IF($L2106&lt;&gt;"",VLOOKUP($L2106,Categories!$B$2:$D$41,3,FALSE),IF($F2106&lt;&gt;"","No Cat",""))</f>
        <v>Deferred Income Taxes</v>
      </c>
      <c r="P2106" s="736" t="s">
        <v>2482</v>
      </c>
      <c r="Q2106" s="25" t="str">
        <f>VLOOKUP($P2106,Allocators!$B$7:$F$19,5,FALSE)</f>
        <v>Electric</v>
      </c>
      <c r="R2106" s="737">
        <f>VLOOKUP($P2106,Allocators!$B$7:$F$19,2,FALSE)</f>
        <v>1</v>
      </c>
      <c r="S2106" s="737">
        <f>VLOOKUP($P2106,Allocators!$B$7:$F$19,3,FALSE)</f>
        <v>0</v>
      </c>
      <c r="T2106" s="737" t="str">
        <f t="shared" si="1041"/>
        <v>0.0%</v>
      </c>
      <c r="U2106" s="2" t="str">
        <f t="shared" si="1032"/>
        <v/>
      </c>
      <c r="V2106" s="2" t="str">
        <f t="shared" si="1033"/>
        <v/>
      </c>
      <c r="W2106" s="2" t="str">
        <f t="shared" si="1034"/>
        <v/>
      </c>
      <c r="X2106" s="2">
        <f t="shared" si="1024"/>
        <v>0</v>
      </c>
      <c r="Y2106" s="2" t="str">
        <f t="shared" si="1035"/>
        <v/>
      </c>
      <c r="Z2106" s="2" t="str">
        <f t="shared" si="1036"/>
        <v/>
      </c>
      <c r="AA2106" s="2" t="str">
        <f t="shared" si="1037"/>
        <v/>
      </c>
      <c r="AB2106" s="2">
        <f t="shared" si="1025"/>
        <v>0</v>
      </c>
      <c r="AC2106" s="625">
        <v>0</v>
      </c>
      <c r="AD2106" s="625">
        <v>0</v>
      </c>
      <c r="AE2106" s="625">
        <v>0</v>
      </c>
      <c r="AF2106" s="625">
        <v>0</v>
      </c>
      <c r="AG2106" s="625">
        <v>0</v>
      </c>
      <c r="AH2106" s="625">
        <v>0</v>
      </c>
      <c r="AI2106" s="625">
        <v>0</v>
      </c>
      <c r="AJ2106" s="625">
        <v>0</v>
      </c>
      <c r="AK2106" s="625">
        <v>0</v>
      </c>
      <c r="AL2106" s="625">
        <v>0</v>
      </c>
      <c r="AM2106" s="625">
        <v>0</v>
      </c>
      <c r="AN2106" s="625">
        <v>0</v>
      </c>
      <c r="AO2106" s="625">
        <v>0</v>
      </c>
      <c r="AP2106" s="41" t="str">
        <f t="shared" si="1005"/>
        <v>Def TaxR</v>
      </c>
      <c r="AQ2106" s="41" t="str">
        <f t="shared" si="1006"/>
        <v>Def TaxRR11NM2 Sale</v>
      </c>
      <c r="AR2106" s="41" t="str">
        <f t="shared" si="1007"/>
        <v>R11NM2 Sale</v>
      </c>
    </row>
    <row r="2107" spans="1:44" s="41" customFormat="1" ht="12.75" customHeight="1">
      <c r="A2107" s="442" t="s">
        <v>1590</v>
      </c>
      <c r="B2107" s="442" t="str">
        <f t="shared" si="1040"/>
        <v>Def Tax283200NM2-NYSBE030272/
BE030277</v>
      </c>
      <c r="C2107" s="736">
        <v>283200</v>
      </c>
      <c r="D2107" s="735" t="s">
        <v>2205</v>
      </c>
      <c r="E2107" s="626" t="s">
        <v>2206</v>
      </c>
      <c r="F2107" s="626" t="str">
        <f t="shared" si="1038"/>
        <v>ACCUM DEF INC TAX-OTH-FEDERAL-ELECTRIC</v>
      </c>
      <c r="G2107" s="626" t="s">
        <v>2207</v>
      </c>
      <c r="H2107" s="736" t="s">
        <v>2208</v>
      </c>
      <c r="I2107" s="442"/>
      <c r="J2107" s="442" t="str">
        <f t="shared" si="1039"/>
        <v/>
      </c>
      <c r="K2107" s="442" t="str">
        <f t="shared" si="1042"/>
        <v/>
      </c>
      <c r="L2107" s="736" t="s">
        <v>2421</v>
      </c>
      <c r="M2107" s="442" t="str">
        <f t="shared" si="995"/>
        <v>N</v>
      </c>
      <c r="N2107" s="442" t="str">
        <f>IF(L2107&lt;&gt;"",VLOOKUP(L2107,Categories!$B$2:$D$41,2,FALSE),IF(F2107&lt;&gt;"","No Cat",""))</f>
        <v>NRBASE</v>
      </c>
      <c r="O2107" s="442" t="str">
        <f>IF($L2107&lt;&gt;"",VLOOKUP($L2107,Categories!$B$2:$D$41,3,FALSE),IF($F2107&lt;&gt;"","No Cat",""))</f>
        <v>Direct Assign Items Not in RB</v>
      </c>
      <c r="P2107" s="736" t="s">
        <v>2468</v>
      </c>
      <c r="Q2107" s="442" t="str">
        <f>VLOOKUP($P2107,Allocators!$B$7:$F$19,5,FALSE)</f>
        <v>Not in Rate Base</v>
      </c>
      <c r="R2107" s="737">
        <f>VLOOKUP($P2107,Allocators!$B$7:$F$19,2,FALSE)</f>
        <v>0</v>
      </c>
      <c r="S2107" s="737">
        <f>VLOOKUP($P2107,Allocators!$B$7:$F$19,3,FALSE)</f>
        <v>0</v>
      </c>
      <c r="T2107" s="737">
        <f t="shared" si="1041"/>
        <v>1</v>
      </c>
      <c r="U2107" s="2" t="str">
        <f t="shared" si="1032"/>
        <v/>
      </c>
      <c r="V2107" s="2" t="str">
        <f t="shared" si="1033"/>
        <v/>
      </c>
      <c r="W2107" s="2" t="str">
        <f t="shared" si="1034"/>
        <v/>
      </c>
      <c r="X2107" s="2">
        <f t="shared" si="1024"/>
        <v>0</v>
      </c>
      <c r="Y2107" s="2" t="str">
        <f t="shared" si="1035"/>
        <v/>
      </c>
      <c r="Z2107" s="2" t="str">
        <f t="shared" si="1036"/>
        <v/>
      </c>
      <c r="AA2107" s="2" t="str">
        <f t="shared" si="1037"/>
        <v/>
      </c>
      <c r="AB2107" s="2">
        <f t="shared" si="1025"/>
        <v>0</v>
      </c>
      <c r="AC2107" s="625">
        <v>0</v>
      </c>
      <c r="AD2107" s="625">
        <v>0</v>
      </c>
      <c r="AE2107" s="625">
        <v>0</v>
      </c>
      <c r="AF2107" s="625">
        <v>0</v>
      </c>
      <c r="AG2107" s="625">
        <v>0</v>
      </c>
      <c r="AH2107" s="625">
        <v>0</v>
      </c>
      <c r="AI2107" s="625">
        <v>0</v>
      </c>
      <c r="AJ2107" s="625">
        <v>0</v>
      </c>
      <c r="AK2107" s="625">
        <v>0</v>
      </c>
      <c r="AL2107" s="625">
        <v>0</v>
      </c>
      <c r="AM2107" s="625">
        <v>0</v>
      </c>
      <c r="AN2107" s="625">
        <v>0</v>
      </c>
      <c r="AO2107" s="625">
        <v>0</v>
      </c>
      <c r="AP2107" s="41" t="str">
        <f t="shared" si="1005"/>
        <v>Def TaxN</v>
      </c>
      <c r="AQ2107" s="41" t="str">
        <f t="shared" si="1006"/>
        <v>Def TaxNN2NM2 NYS Valuation</v>
      </c>
      <c r="AR2107" s="41" t="str">
        <f t="shared" si="1007"/>
        <v>N2NM2 NYS Valuation</v>
      </c>
    </row>
    <row r="2108" spans="1:44" s="41" customFormat="1" ht="12.75" customHeight="1">
      <c r="A2108" s="25" t="s">
        <v>1590</v>
      </c>
      <c r="B2108" s="25" t="str">
        <f t="shared" si="1040"/>
        <v>Def Tax283200190-001BTHUNGDT</v>
      </c>
      <c r="C2108" s="736">
        <v>283200</v>
      </c>
      <c r="D2108" s="735" t="s">
        <v>1855</v>
      </c>
      <c r="E2108" s="41" t="s">
        <v>1624</v>
      </c>
      <c r="F2108" s="41" t="str">
        <f t="shared" si="1038"/>
        <v>ACCUM DEF INC TAX-OTH-FEDERAL-ELECTRIC</v>
      </c>
      <c r="G2108" s="41" t="s">
        <v>1857</v>
      </c>
      <c r="H2108" s="736" t="s">
        <v>1857</v>
      </c>
      <c r="I2108" s="25"/>
      <c r="J2108" s="25" t="str">
        <f t="shared" si="1039"/>
        <v/>
      </c>
      <c r="K2108" s="442" t="str">
        <f t="shared" si="1042"/>
        <v/>
      </c>
      <c r="L2108" s="736" t="s">
        <v>2443</v>
      </c>
      <c r="M2108" s="25" t="str">
        <f t="shared" si="995"/>
        <v>R</v>
      </c>
      <c r="N2108" s="25" t="str">
        <f>IF(L2108&lt;&gt;"",VLOOKUP(L2108,Categories!$B$2:$D$41,2,FALSE),IF(F2108&lt;&gt;"","No Cat",""))</f>
        <v>Rate Base</v>
      </c>
      <c r="O2108" s="25" t="str">
        <f>IF($L2108&lt;&gt;"",VLOOKUP($L2108,Categories!$B$2:$D$41,3,FALSE),IF($F2108&lt;&gt;"","No Cat",""))</f>
        <v>Deferred Income Taxes</v>
      </c>
      <c r="P2108" s="736" t="s">
        <v>2482</v>
      </c>
      <c r="Q2108" s="25" t="str">
        <f>VLOOKUP($P2108,Allocators!$B$7:$F$19,5,FALSE)</f>
        <v>Electric</v>
      </c>
      <c r="R2108" s="737">
        <f>VLOOKUP($P2108,Allocators!$B$7:$F$19,2,FALSE)</f>
        <v>1</v>
      </c>
      <c r="S2108" s="737">
        <f>VLOOKUP($P2108,Allocators!$B$7:$F$19,3,FALSE)</f>
        <v>0</v>
      </c>
      <c r="T2108" s="737" t="str">
        <f t="shared" si="1041"/>
        <v>0.0%</v>
      </c>
      <c r="U2108" s="2" t="str">
        <f t="shared" si="1032"/>
        <v/>
      </c>
      <c r="V2108" s="2" t="str">
        <f t="shared" si="1033"/>
        <v/>
      </c>
      <c r="W2108" s="2" t="str">
        <f t="shared" si="1034"/>
        <v/>
      </c>
      <c r="X2108" s="2">
        <f t="shared" si="1024"/>
        <v>0</v>
      </c>
      <c r="Y2108" s="2" t="str">
        <f t="shared" si="1035"/>
        <v/>
      </c>
      <c r="Z2108" s="2" t="str">
        <f t="shared" si="1036"/>
        <v/>
      </c>
      <c r="AA2108" s="2" t="str">
        <f t="shared" si="1037"/>
        <v/>
      </c>
      <c r="AB2108" s="2">
        <f t="shared" si="1025"/>
        <v>0</v>
      </c>
      <c r="AC2108" s="625">
        <v>0</v>
      </c>
      <c r="AD2108" s="625">
        <v>0</v>
      </c>
      <c r="AE2108" s="625">
        <v>0</v>
      </c>
      <c r="AF2108" s="625">
        <v>0</v>
      </c>
      <c r="AG2108" s="625">
        <v>0</v>
      </c>
      <c r="AH2108" s="625">
        <v>0</v>
      </c>
      <c r="AI2108" s="625">
        <v>0</v>
      </c>
      <c r="AJ2108" s="625">
        <v>0</v>
      </c>
      <c r="AK2108" s="625">
        <v>0</v>
      </c>
      <c r="AL2108" s="625">
        <v>0</v>
      </c>
      <c r="AM2108" s="625">
        <v>0</v>
      </c>
      <c r="AN2108" s="625">
        <v>0</v>
      </c>
      <c r="AO2108" s="625">
        <v>0</v>
      </c>
      <c r="AP2108" s="41" t="str">
        <f t="shared" si="1005"/>
        <v>Def TaxR</v>
      </c>
      <c r="AQ2108" s="41" t="str">
        <f t="shared" si="1006"/>
        <v>Def TaxRR11Nuclear Decommissioning</v>
      </c>
      <c r="AR2108" s="41" t="str">
        <f t="shared" si="1007"/>
        <v>R11Nuclear Decommissioning</v>
      </c>
    </row>
    <row r="2109" spans="1:44" s="41" customFormat="1" ht="12.75" customHeight="1">
      <c r="A2109" s="25" t="s">
        <v>1590</v>
      </c>
      <c r="B2109" s="25" t="str">
        <f t="shared" si="1040"/>
        <v>Def Tax283200283-045BTHUNGDT</v>
      </c>
      <c r="C2109" s="736">
        <v>283200</v>
      </c>
      <c r="D2109" s="735" t="s">
        <v>2209</v>
      </c>
      <c r="E2109" s="41" t="s">
        <v>1624</v>
      </c>
      <c r="F2109" s="41" t="str">
        <f t="shared" si="1038"/>
        <v>ACCUM DEF INC TAX-OTH-FEDERAL-ELECTRIC</v>
      </c>
      <c r="G2109" s="41" t="s">
        <v>2210</v>
      </c>
      <c r="H2109" s="736">
        <v>0</v>
      </c>
      <c r="I2109" s="25"/>
      <c r="J2109" s="25" t="str">
        <f t="shared" si="1039"/>
        <v/>
      </c>
      <c r="K2109" s="442" t="str">
        <f t="shared" si="1042"/>
        <v/>
      </c>
      <c r="L2109" s="736" t="s">
        <v>2443</v>
      </c>
      <c r="M2109" s="25" t="str">
        <f t="shared" si="995"/>
        <v>R</v>
      </c>
      <c r="N2109" s="25" t="str">
        <f>IF(L2109&lt;&gt;"",VLOOKUP(L2109,Categories!$B$2:$D$41,2,FALSE),IF(F2109&lt;&gt;"","No Cat",""))</f>
        <v>Rate Base</v>
      </c>
      <c r="O2109" s="25" t="str">
        <f>IF($L2109&lt;&gt;"",VLOOKUP($L2109,Categories!$B$2:$D$41,3,FALSE),IF($F2109&lt;&gt;"","No Cat",""))</f>
        <v>Deferred Income Taxes</v>
      </c>
      <c r="P2109" s="736" t="s">
        <v>2482</v>
      </c>
      <c r="Q2109" s="25" t="str">
        <f>VLOOKUP($P2109,Allocators!$B$7:$F$19,5,FALSE)</f>
        <v>Electric</v>
      </c>
      <c r="R2109" s="737">
        <f>VLOOKUP($P2109,Allocators!$B$7:$F$19,2,FALSE)</f>
        <v>1</v>
      </c>
      <c r="S2109" s="737">
        <f>VLOOKUP($P2109,Allocators!$B$7:$F$19,3,FALSE)</f>
        <v>0</v>
      </c>
      <c r="T2109" s="737" t="str">
        <f t="shared" si="1041"/>
        <v>0.0%</v>
      </c>
      <c r="U2109" s="2" t="str">
        <f t="shared" si="1032"/>
        <v/>
      </c>
      <c r="V2109" s="2" t="str">
        <f t="shared" si="1033"/>
        <v/>
      </c>
      <c r="W2109" s="2" t="str">
        <f t="shared" si="1034"/>
        <v/>
      </c>
      <c r="X2109" s="2">
        <f t="shared" si="1024"/>
        <v>0</v>
      </c>
      <c r="Y2109" s="2" t="str">
        <f t="shared" si="1035"/>
        <v/>
      </c>
      <c r="Z2109" s="2" t="str">
        <f t="shared" si="1036"/>
        <v/>
      </c>
      <c r="AA2109" s="2" t="str">
        <f t="shared" si="1037"/>
        <v/>
      </c>
      <c r="AB2109" s="2">
        <f t="shared" si="1025"/>
        <v>0</v>
      </c>
      <c r="AC2109" s="625">
        <v>0</v>
      </c>
      <c r="AD2109" s="625">
        <v>0</v>
      </c>
      <c r="AE2109" s="625">
        <v>0</v>
      </c>
      <c r="AF2109" s="625">
        <v>0</v>
      </c>
      <c r="AG2109" s="625">
        <v>0</v>
      </c>
      <c r="AH2109" s="625">
        <v>0</v>
      </c>
      <c r="AI2109" s="625">
        <v>0</v>
      </c>
      <c r="AJ2109" s="625">
        <v>0</v>
      </c>
      <c r="AK2109" s="625">
        <v>0</v>
      </c>
      <c r="AL2109" s="625">
        <v>0</v>
      </c>
      <c r="AM2109" s="625">
        <v>0</v>
      </c>
      <c r="AN2109" s="625">
        <v>0</v>
      </c>
      <c r="AO2109" s="625">
        <v>0</v>
      </c>
      <c r="AP2109" s="41" t="str">
        <f t="shared" si="1005"/>
        <v>Def TaxR</v>
      </c>
      <c r="AQ2109" s="41" t="str">
        <f t="shared" si="1006"/>
        <v>Def TaxRR110</v>
      </c>
      <c r="AR2109" s="41" t="str">
        <f t="shared" si="1007"/>
        <v>R110</v>
      </c>
    </row>
    <row r="2110" spans="1:44" s="41" customFormat="1" ht="12.75" customHeight="1">
      <c r="A2110" s="25" t="s">
        <v>1590</v>
      </c>
      <c r="B2110" s="25" t="str">
        <f t="shared" si="1040"/>
        <v>Def Tax283200283-058BE030270</v>
      </c>
      <c r="C2110" s="736">
        <v>283200</v>
      </c>
      <c r="D2110" s="735" t="s">
        <v>2124</v>
      </c>
      <c r="E2110" s="41" t="s">
        <v>985</v>
      </c>
      <c r="F2110" s="41" t="str">
        <f t="shared" si="1038"/>
        <v>ACCUM DEF INC TAX-OTH-FEDERAL-ELECTRIC</v>
      </c>
      <c r="G2110" s="41" t="s">
        <v>2061</v>
      </c>
      <c r="H2110" s="736" t="s">
        <v>2065</v>
      </c>
      <c r="I2110" s="25"/>
      <c r="J2110" s="25" t="str">
        <f t="shared" si="1039"/>
        <v/>
      </c>
      <c r="K2110" s="442" t="str">
        <f t="shared" si="1042"/>
        <v/>
      </c>
      <c r="L2110" s="736" t="s">
        <v>2443</v>
      </c>
      <c r="M2110" s="25" t="str">
        <f t="shared" si="995"/>
        <v>R</v>
      </c>
      <c r="N2110" s="25" t="str">
        <f>IF(L2110&lt;&gt;"",VLOOKUP(L2110,Categories!$B$2:$D$41,2,FALSE),IF(F2110&lt;&gt;"","No Cat",""))</f>
        <v>Rate Base</v>
      </c>
      <c r="O2110" s="25" t="str">
        <f>IF($L2110&lt;&gt;"",VLOOKUP($L2110,Categories!$B$2:$D$41,3,FALSE),IF($F2110&lt;&gt;"","No Cat",""))</f>
        <v>Deferred Income Taxes</v>
      </c>
      <c r="P2110" s="736" t="s">
        <v>2482</v>
      </c>
      <c r="Q2110" s="25" t="str">
        <f>VLOOKUP($P2110,Allocators!$B$7:$F$19,5,FALSE)</f>
        <v>Electric</v>
      </c>
      <c r="R2110" s="737">
        <f>VLOOKUP($P2110,Allocators!$B$7:$F$19,2,FALSE)</f>
        <v>1</v>
      </c>
      <c r="S2110" s="737">
        <f>VLOOKUP($P2110,Allocators!$B$7:$F$19,3,FALSE)</f>
        <v>0</v>
      </c>
      <c r="T2110" s="737" t="str">
        <f t="shared" si="1041"/>
        <v>0.0%</v>
      </c>
      <c r="U2110" s="2" t="str">
        <f t="shared" si="1032"/>
        <v/>
      </c>
      <c r="V2110" s="2" t="str">
        <f t="shared" si="1033"/>
        <v/>
      </c>
      <c r="W2110" s="2" t="str">
        <f t="shared" si="1034"/>
        <v/>
      </c>
      <c r="X2110" s="2">
        <f t="shared" si="1024"/>
        <v>0</v>
      </c>
      <c r="Y2110" s="2" t="str">
        <f t="shared" si="1035"/>
        <v/>
      </c>
      <c r="Z2110" s="2" t="str">
        <f t="shared" si="1036"/>
        <v/>
      </c>
      <c r="AA2110" s="2" t="str">
        <f t="shared" si="1037"/>
        <v/>
      </c>
      <c r="AB2110" s="2">
        <f t="shared" si="1025"/>
        <v>0</v>
      </c>
      <c r="AC2110" s="625">
        <v>0</v>
      </c>
      <c r="AD2110" s="625">
        <v>0</v>
      </c>
      <c r="AE2110" s="625">
        <v>0</v>
      </c>
      <c r="AF2110" s="625">
        <v>0</v>
      </c>
      <c r="AG2110" s="625">
        <v>0</v>
      </c>
      <c r="AH2110" s="625">
        <v>0</v>
      </c>
      <c r="AI2110" s="625">
        <v>0</v>
      </c>
      <c r="AJ2110" s="625">
        <v>0</v>
      </c>
      <c r="AK2110" s="625">
        <v>0</v>
      </c>
      <c r="AL2110" s="625">
        <v>0</v>
      </c>
      <c r="AM2110" s="625">
        <v>0</v>
      </c>
      <c r="AN2110" s="625">
        <v>0</v>
      </c>
      <c r="AO2110" s="625">
        <v>0</v>
      </c>
      <c r="AP2110" s="41" t="str">
        <f t="shared" si="1005"/>
        <v>Def TaxR</v>
      </c>
      <c r="AQ2110" s="41" t="str">
        <f t="shared" si="1006"/>
        <v>Def TaxRR11Accelerated Depreciation</v>
      </c>
      <c r="AR2110" s="41" t="str">
        <f t="shared" si="1007"/>
        <v>R11Accelerated Depreciation</v>
      </c>
    </row>
    <row r="2111" spans="1:44" s="41" customFormat="1" ht="12.75" customHeight="1">
      <c r="A2111" s="25" t="s">
        <v>1590</v>
      </c>
      <c r="B2111" s="25" t="str">
        <f t="shared" si="1040"/>
        <v>Def Tax283200283-062BTMISCDT</v>
      </c>
      <c r="C2111" s="736">
        <v>283200</v>
      </c>
      <c r="D2111" s="735" t="s">
        <v>2211</v>
      </c>
      <c r="E2111" s="41" t="s">
        <v>1971</v>
      </c>
      <c r="F2111" s="41" t="str">
        <f t="shared" si="1038"/>
        <v>ACCUM DEF INC TAX-OTH-FEDERAL-ELECTRIC</v>
      </c>
      <c r="G2111" s="41" t="s">
        <v>2212</v>
      </c>
      <c r="H2111" s="736" t="s">
        <v>2213</v>
      </c>
      <c r="I2111" s="25"/>
      <c r="J2111" s="25" t="str">
        <f t="shared" si="1039"/>
        <v/>
      </c>
      <c r="K2111" s="442" t="str">
        <f t="shared" si="1042"/>
        <v/>
      </c>
      <c r="L2111" s="736" t="s">
        <v>2443</v>
      </c>
      <c r="M2111" s="25" t="str">
        <f t="shared" si="995"/>
        <v>R</v>
      </c>
      <c r="N2111" s="25" t="str">
        <f>IF(L2111&lt;&gt;"",VLOOKUP(L2111,Categories!$B$2:$D$41,2,FALSE),IF(F2111&lt;&gt;"","No Cat",""))</f>
        <v>Rate Base</v>
      </c>
      <c r="O2111" s="25" t="str">
        <f>IF($L2111&lt;&gt;"",VLOOKUP($L2111,Categories!$B$2:$D$41,3,FALSE),IF($F2111&lt;&gt;"","No Cat",""))</f>
        <v>Deferred Income Taxes</v>
      </c>
      <c r="P2111" s="736" t="s">
        <v>2482</v>
      </c>
      <c r="Q2111" s="25" t="str">
        <f>VLOOKUP($P2111,Allocators!$B$7:$F$19,5,FALSE)</f>
        <v>Electric</v>
      </c>
      <c r="R2111" s="737">
        <f>VLOOKUP($P2111,Allocators!$B$7:$F$19,2,FALSE)</f>
        <v>1</v>
      </c>
      <c r="S2111" s="737">
        <f>VLOOKUP($P2111,Allocators!$B$7:$F$19,3,FALSE)</f>
        <v>0</v>
      </c>
      <c r="T2111" s="737" t="str">
        <f t="shared" si="1041"/>
        <v>0.0%</v>
      </c>
      <c r="U2111" s="2" t="str">
        <f t="shared" si="1032"/>
        <v/>
      </c>
      <c r="V2111" s="2" t="str">
        <f t="shared" si="1033"/>
        <v/>
      </c>
      <c r="W2111" s="2" t="str">
        <f t="shared" si="1034"/>
        <v/>
      </c>
      <c r="X2111" s="2">
        <f t="shared" si="1024"/>
        <v>0</v>
      </c>
      <c r="Y2111" s="2" t="str">
        <f t="shared" si="1035"/>
        <v/>
      </c>
      <c r="Z2111" s="2" t="str">
        <f t="shared" si="1036"/>
        <v/>
      </c>
      <c r="AA2111" s="2" t="str">
        <f t="shared" si="1037"/>
        <v/>
      </c>
      <c r="AB2111" s="2">
        <f t="shared" si="1025"/>
        <v>0</v>
      </c>
      <c r="AC2111" s="625">
        <v>0</v>
      </c>
      <c r="AD2111" s="625">
        <v>0</v>
      </c>
      <c r="AE2111" s="625">
        <v>0</v>
      </c>
      <c r="AF2111" s="625">
        <v>0</v>
      </c>
      <c r="AG2111" s="625">
        <v>0</v>
      </c>
      <c r="AH2111" s="625">
        <v>0</v>
      </c>
      <c r="AI2111" s="625">
        <v>0</v>
      </c>
      <c r="AJ2111" s="625">
        <v>0</v>
      </c>
      <c r="AK2111" s="625">
        <v>0</v>
      </c>
      <c r="AL2111" s="625">
        <v>0</v>
      </c>
      <c r="AM2111" s="625">
        <v>0</v>
      </c>
      <c r="AN2111" s="625">
        <v>0</v>
      </c>
      <c r="AO2111" s="625">
        <v>0</v>
      </c>
      <c r="AP2111" s="41" t="str">
        <f t="shared" si="1005"/>
        <v>Def TaxR</v>
      </c>
      <c r="AQ2111" s="41" t="str">
        <f t="shared" si="1006"/>
        <v>Def TaxRR11FIT Benefit - 2003</v>
      </c>
      <c r="AR2111" s="41" t="str">
        <f t="shared" si="1007"/>
        <v>R11FIT Benefit - 2003</v>
      </c>
    </row>
    <row r="2112" spans="1:44" s="41" customFormat="1" ht="12.75" customHeight="1">
      <c r="A2112" s="442" t="s">
        <v>1590</v>
      </c>
      <c r="B2112" s="442" t="str">
        <f t="shared" si="1040"/>
        <v>Def Tax283200PASGA2</v>
      </c>
      <c r="C2112" s="736">
        <v>283200</v>
      </c>
      <c r="D2112" s="735" t="s">
        <v>2214</v>
      </c>
      <c r="E2112" s="626"/>
      <c r="F2112" s="626" t="str">
        <f t="shared" si="1038"/>
        <v>ACCUM DEF INC TAX-OTH-FEDERAL-ELECTRIC</v>
      </c>
      <c r="G2112" s="626" t="s">
        <v>2215</v>
      </c>
      <c r="H2112" s="736" t="s">
        <v>1330</v>
      </c>
      <c r="I2112" s="442"/>
      <c r="J2112" s="442" t="str">
        <f t="shared" si="1039"/>
        <v/>
      </c>
      <c r="K2112" s="442" t="str">
        <f t="shared" si="1042"/>
        <v/>
      </c>
      <c r="L2112" s="736" t="s">
        <v>2421</v>
      </c>
      <c r="M2112" s="442" t="str">
        <f t="shared" si="995"/>
        <v>N</v>
      </c>
      <c r="N2112" s="442" t="str">
        <f>IF(L2112&lt;&gt;"",VLOOKUP(L2112,Categories!$B$2:$D$41,2,FALSE),IF(F2112&lt;&gt;"","No Cat",""))</f>
        <v>NRBASE</v>
      </c>
      <c r="O2112" s="442" t="str">
        <f>IF($L2112&lt;&gt;"",VLOOKUP($L2112,Categories!$B$2:$D$41,3,FALSE),IF($F2112&lt;&gt;"","No Cat",""))</f>
        <v>Direct Assign Items Not in RB</v>
      </c>
      <c r="P2112" s="736" t="s">
        <v>2468</v>
      </c>
      <c r="Q2112" s="442" t="str">
        <f>VLOOKUP($P2112,Allocators!$B$7:$F$19,5,FALSE)</f>
        <v>Not in Rate Base</v>
      </c>
      <c r="R2112" s="737">
        <f>VLOOKUP($P2112,Allocators!$B$7:$F$19,2,FALSE)</f>
        <v>0</v>
      </c>
      <c r="S2112" s="737">
        <f>VLOOKUP($P2112,Allocators!$B$7:$F$19,3,FALSE)</f>
        <v>0</v>
      </c>
      <c r="T2112" s="737">
        <f t="shared" si="1041"/>
        <v>1</v>
      </c>
      <c r="U2112" s="2" t="str">
        <f t="shared" si="1032"/>
        <v/>
      </c>
      <c r="V2112" s="2" t="str">
        <f t="shared" si="1033"/>
        <v/>
      </c>
      <c r="W2112" s="2" t="str">
        <f t="shared" si="1034"/>
        <v/>
      </c>
      <c r="X2112" s="2">
        <f t="shared" si="1024"/>
        <v>0</v>
      </c>
      <c r="Y2112" s="2" t="str">
        <f t="shared" si="1035"/>
        <v/>
      </c>
      <c r="Z2112" s="2" t="str">
        <f t="shared" si="1036"/>
        <v/>
      </c>
      <c r="AA2112" s="2" t="str">
        <f t="shared" si="1037"/>
        <v/>
      </c>
      <c r="AB2112" s="2">
        <f t="shared" si="1025"/>
        <v>0</v>
      </c>
      <c r="AC2112" s="625">
        <v>0</v>
      </c>
      <c r="AD2112" s="625">
        <v>0</v>
      </c>
      <c r="AE2112" s="625">
        <v>0</v>
      </c>
      <c r="AF2112" s="625">
        <v>0</v>
      </c>
      <c r="AG2112" s="625">
        <v>0</v>
      </c>
      <c r="AH2112" s="625">
        <v>0</v>
      </c>
      <c r="AI2112" s="625">
        <v>0</v>
      </c>
      <c r="AJ2112" s="625">
        <v>0</v>
      </c>
      <c r="AK2112" s="625">
        <v>0</v>
      </c>
      <c r="AL2112" s="625">
        <v>0</v>
      </c>
      <c r="AM2112" s="625">
        <v>0</v>
      </c>
      <c r="AN2112" s="625">
        <v>0</v>
      </c>
      <c r="AO2112" s="625">
        <v>0</v>
      </c>
      <c r="AP2112" s="41" t="str">
        <f t="shared" si="1005"/>
        <v>Def TaxN</v>
      </c>
      <c r="AQ2112" s="41" t="str">
        <f t="shared" si="1006"/>
        <v>Def TaxNN2ASGA</v>
      </c>
      <c r="AR2112" s="41" t="str">
        <f t="shared" si="1007"/>
        <v>N2ASGA</v>
      </c>
    </row>
    <row r="2113" spans="1:44" s="41" customFormat="1" ht="12.75" customHeight="1">
      <c r="A2113" s="25" t="s">
        <v>1590</v>
      </c>
      <c r="B2113" s="25" t="str">
        <f t="shared" si="1040"/>
        <v>Def Tax283200190-031BT010167</v>
      </c>
      <c r="C2113" s="736">
        <v>283200</v>
      </c>
      <c r="D2113" s="735" t="s">
        <v>1670</v>
      </c>
      <c r="E2113" s="41" t="s">
        <v>1671</v>
      </c>
      <c r="F2113" s="41" t="str">
        <f t="shared" si="1038"/>
        <v>ACCUM DEF INC TAX-OTH-FEDERAL-ELECTRIC</v>
      </c>
      <c r="G2113" s="41" t="s">
        <v>1875</v>
      </c>
      <c r="H2113" s="736" t="s">
        <v>1673</v>
      </c>
      <c r="I2113" s="25"/>
      <c r="J2113" s="25" t="str">
        <f t="shared" si="1039"/>
        <v/>
      </c>
      <c r="K2113" s="442" t="str">
        <f t="shared" si="1042"/>
        <v/>
      </c>
      <c r="L2113" s="736" t="s">
        <v>2443</v>
      </c>
      <c r="M2113" s="25" t="str">
        <f t="shared" si="995"/>
        <v>R</v>
      </c>
      <c r="N2113" s="25" t="str">
        <f>IF(L2113&lt;&gt;"",VLOOKUP(L2113,Categories!$B$2:$D$41,2,FALSE),IF(F2113&lt;&gt;"","No Cat",""))</f>
        <v>Rate Base</v>
      </c>
      <c r="O2113" s="25" t="str">
        <f>IF($L2113&lt;&gt;"",VLOOKUP($L2113,Categories!$B$2:$D$41,3,FALSE),IF($F2113&lt;&gt;"","No Cat",""))</f>
        <v>Deferred Income Taxes</v>
      </c>
      <c r="P2113" s="736" t="s">
        <v>2482</v>
      </c>
      <c r="Q2113" s="25" t="str">
        <f>VLOOKUP($P2113,Allocators!$B$7:$F$19,5,FALSE)</f>
        <v>Electric</v>
      </c>
      <c r="R2113" s="737">
        <f>VLOOKUP($P2113,Allocators!$B$7:$F$19,2,FALSE)</f>
        <v>1</v>
      </c>
      <c r="S2113" s="737">
        <f>VLOOKUP($P2113,Allocators!$B$7:$F$19,3,FALSE)</f>
        <v>0</v>
      </c>
      <c r="T2113" s="737" t="str">
        <f t="shared" si="1041"/>
        <v>0.0%</v>
      </c>
      <c r="U2113" s="2" t="str">
        <f t="shared" si="1032"/>
        <v/>
      </c>
      <c r="V2113" s="2" t="str">
        <f t="shared" si="1033"/>
        <v/>
      </c>
      <c r="W2113" s="2" t="str">
        <f t="shared" si="1034"/>
        <v/>
      </c>
      <c r="X2113" s="2">
        <f t="shared" si="1024"/>
        <v>0</v>
      </c>
      <c r="Y2113" s="2" t="str">
        <f t="shared" si="1035"/>
        <v/>
      </c>
      <c r="Z2113" s="2" t="str">
        <f t="shared" si="1036"/>
        <v/>
      </c>
      <c r="AA2113" s="2" t="str">
        <f t="shared" si="1037"/>
        <v/>
      </c>
      <c r="AB2113" s="2">
        <f t="shared" si="1025"/>
        <v>0</v>
      </c>
      <c r="AC2113" s="625">
        <v>0</v>
      </c>
      <c r="AD2113" s="625">
        <v>0</v>
      </c>
      <c r="AE2113" s="625">
        <v>0</v>
      </c>
      <c r="AF2113" s="625">
        <v>0</v>
      </c>
      <c r="AG2113" s="625">
        <v>0</v>
      </c>
      <c r="AH2113" s="625">
        <v>0</v>
      </c>
      <c r="AI2113" s="625">
        <v>0</v>
      </c>
      <c r="AJ2113" s="625">
        <v>0</v>
      </c>
      <c r="AK2113" s="625">
        <v>0</v>
      </c>
      <c r="AL2113" s="625">
        <v>0</v>
      </c>
      <c r="AM2113" s="625">
        <v>0</v>
      </c>
      <c r="AN2113" s="625">
        <v>0</v>
      </c>
      <c r="AO2113" s="625">
        <v>0</v>
      </c>
      <c r="AP2113" s="41" t="str">
        <f t="shared" si="1005"/>
        <v>Def TaxR</v>
      </c>
      <c r="AQ2113" s="41" t="str">
        <f t="shared" si="1006"/>
        <v>Def TaxRR11Pension</v>
      </c>
      <c r="AR2113" s="41" t="str">
        <f t="shared" si="1007"/>
        <v>R11Pension</v>
      </c>
    </row>
    <row r="2114" spans="1:44" s="41" customFormat="1" ht="12.75" customHeight="1">
      <c r="A2114" s="25" t="s">
        <v>1590</v>
      </c>
      <c r="B2114" s="25" t="str">
        <f t="shared" si="1040"/>
        <v>Def Tax283200190-031-SBT010167</v>
      </c>
      <c r="C2114" s="736">
        <v>283200</v>
      </c>
      <c r="D2114" s="735" t="s">
        <v>1741</v>
      </c>
      <c r="E2114" s="41" t="s">
        <v>1671</v>
      </c>
      <c r="F2114" s="41" t="str">
        <f t="shared" si="1038"/>
        <v>ACCUM DEF INC TAX-OTH-FEDERAL-ELECTRIC</v>
      </c>
      <c r="G2114" s="41" t="s">
        <v>1875</v>
      </c>
      <c r="H2114" s="736" t="s">
        <v>1673</v>
      </c>
      <c r="I2114" s="25"/>
      <c r="J2114" s="25" t="str">
        <f t="shared" si="1039"/>
        <v/>
      </c>
      <c r="K2114" s="442" t="str">
        <f t="shared" si="1042"/>
        <v/>
      </c>
      <c r="L2114" s="736" t="s">
        <v>2443</v>
      </c>
      <c r="M2114" s="25" t="str">
        <f t="shared" si="995"/>
        <v>R</v>
      </c>
      <c r="N2114" s="25" t="str">
        <f>IF(L2114&lt;&gt;"",VLOOKUP(L2114,Categories!$B$2:$D$41,2,FALSE),IF(F2114&lt;&gt;"","No Cat",""))</f>
        <v>Rate Base</v>
      </c>
      <c r="O2114" s="25" t="str">
        <f>IF($L2114&lt;&gt;"",VLOOKUP($L2114,Categories!$B$2:$D$41,3,FALSE),IF($F2114&lt;&gt;"","No Cat",""))</f>
        <v>Deferred Income Taxes</v>
      </c>
      <c r="P2114" s="736" t="s">
        <v>2482</v>
      </c>
      <c r="Q2114" s="25" t="str">
        <f>VLOOKUP($P2114,Allocators!$B$7:$F$19,5,FALSE)</f>
        <v>Electric</v>
      </c>
      <c r="R2114" s="737">
        <f>VLOOKUP($P2114,Allocators!$B$7:$F$19,2,FALSE)</f>
        <v>1</v>
      </c>
      <c r="S2114" s="737">
        <f>VLOOKUP($P2114,Allocators!$B$7:$F$19,3,FALSE)</f>
        <v>0</v>
      </c>
      <c r="T2114" s="737" t="str">
        <f t="shared" si="1041"/>
        <v>0.0%</v>
      </c>
      <c r="U2114" s="2" t="str">
        <f t="shared" si="1032"/>
        <v/>
      </c>
      <c r="V2114" s="2" t="str">
        <f t="shared" si="1033"/>
        <v/>
      </c>
      <c r="W2114" s="2" t="str">
        <f t="shared" si="1034"/>
        <v/>
      </c>
      <c r="X2114" s="2">
        <f t="shared" si="1024"/>
        <v>0</v>
      </c>
      <c r="Y2114" s="2" t="str">
        <f t="shared" si="1035"/>
        <v/>
      </c>
      <c r="Z2114" s="2" t="str">
        <f t="shared" si="1036"/>
        <v/>
      </c>
      <c r="AA2114" s="2" t="str">
        <f t="shared" si="1037"/>
        <v/>
      </c>
      <c r="AB2114" s="2">
        <f t="shared" si="1025"/>
        <v>0</v>
      </c>
      <c r="AC2114" s="625">
        <v>0</v>
      </c>
      <c r="AD2114" s="625">
        <v>0</v>
      </c>
      <c r="AE2114" s="625">
        <v>0</v>
      </c>
      <c r="AF2114" s="625">
        <v>0</v>
      </c>
      <c r="AG2114" s="625">
        <v>0</v>
      </c>
      <c r="AH2114" s="625">
        <v>0</v>
      </c>
      <c r="AI2114" s="625">
        <v>0</v>
      </c>
      <c r="AJ2114" s="625">
        <v>0</v>
      </c>
      <c r="AK2114" s="625">
        <v>0</v>
      </c>
      <c r="AL2114" s="625">
        <v>0</v>
      </c>
      <c r="AM2114" s="625">
        <v>0</v>
      </c>
      <c r="AN2114" s="625">
        <v>0</v>
      </c>
      <c r="AO2114" s="625">
        <v>0</v>
      </c>
      <c r="AP2114" s="41" t="str">
        <f t="shared" si="1005"/>
        <v>Def TaxR</v>
      </c>
      <c r="AQ2114" s="41" t="str">
        <f t="shared" si="1006"/>
        <v>Def TaxRR11Pension</v>
      </c>
      <c r="AR2114" s="41" t="str">
        <f t="shared" si="1007"/>
        <v>R11Pension</v>
      </c>
    </row>
    <row r="2115" spans="1:44" s="41" customFormat="1" ht="12.75" customHeight="1">
      <c r="A2115" s="25" t="s">
        <v>1590</v>
      </c>
      <c r="B2115" s="25" t="str">
        <f t="shared" si="1040"/>
        <v>Def Tax283200283-032BT010088</v>
      </c>
      <c r="C2115" s="736">
        <v>283200</v>
      </c>
      <c r="D2115" s="735" t="s">
        <v>1650</v>
      </c>
      <c r="E2115" s="41" t="s">
        <v>1651</v>
      </c>
      <c r="F2115" s="41" t="str">
        <f t="shared" si="1038"/>
        <v>ACCUM DEF INC TAX-OTH-FEDERAL-ELECTRIC</v>
      </c>
      <c r="G2115" s="41" t="s">
        <v>2216</v>
      </c>
      <c r="H2115" s="736" t="s">
        <v>1586</v>
      </c>
      <c r="I2115" s="25"/>
      <c r="J2115" s="25" t="str">
        <f t="shared" si="1039"/>
        <v/>
      </c>
      <c r="K2115" s="442" t="str">
        <f t="shared" si="1042"/>
        <v/>
      </c>
      <c r="L2115" s="736" t="s">
        <v>2443</v>
      </c>
      <c r="M2115" s="25" t="str">
        <f t="shared" si="995"/>
        <v>R</v>
      </c>
      <c r="N2115" s="25" t="str">
        <f>IF(L2115&lt;&gt;"",VLOOKUP(L2115,Categories!$B$2:$D$41,2,FALSE),IF(F2115&lt;&gt;"","No Cat",""))</f>
        <v>Rate Base</v>
      </c>
      <c r="O2115" s="25" t="str">
        <f>IF($L2115&lt;&gt;"",VLOOKUP($L2115,Categories!$B$2:$D$41,3,FALSE),IF($F2115&lt;&gt;"","No Cat",""))</f>
        <v>Deferred Income Taxes</v>
      </c>
      <c r="P2115" s="736" t="s">
        <v>2482</v>
      </c>
      <c r="Q2115" s="25" t="str">
        <f>VLOOKUP($P2115,Allocators!$B$7:$F$19,5,FALSE)</f>
        <v>Electric</v>
      </c>
      <c r="R2115" s="737">
        <f>VLOOKUP($P2115,Allocators!$B$7:$F$19,2,FALSE)</f>
        <v>1</v>
      </c>
      <c r="S2115" s="737">
        <f>VLOOKUP($P2115,Allocators!$B$7:$F$19,3,FALSE)</f>
        <v>0</v>
      </c>
      <c r="T2115" s="737" t="str">
        <f t="shared" si="1041"/>
        <v>0.0%</v>
      </c>
      <c r="U2115" s="2" t="str">
        <f t="shared" si="1032"/>
        <v/>
      </c>
      <c r="V2115" s="2" t="str">
        <f t="shared" si="1033"/>
        <v/>
      </c>
      <c r="W2115" s="2" t="str">
        <f t="shared" si="1034"/>
        <v/>
      </c>
      <c r="X2115" s="2">
        <f t="shared" si="1024"/>
        <v>0</v>
      </c>
      <c r="Y2115" s="2" t="str">
        <f t="shared" si="1035"/>
        <v/>
      </c>
      <c r="Z2115" s="2" t="str">
        <f t="shared" si="1036"/>
        <v/>
      </c>
      <c r="AA2115" s="2" t="str">
        <f t="shared" si="1037"/>
        <v/>
      </c>
      <c r="AB2115" s="2">
        <f t="shared" si="1025"/>
        <v>0</v>
      </c>
      <c r="AC2115" s="625">
        <v>0</v>
      </c>
      <c r="AD2115" s="625">
        <v>0</v>
      </c>
      <c r="AE2115" s="625">
        <v>0</v>
      </c>
      <c r="AF2115" s="625">
        <v>0</v>
      </c>
      <c r="AG2115" s="625">
        <v>0</v>
      </c>
      <c r="AH2115" s="625">
        <v>0</v>
      </c>
      <c r="AI2115" s="625">
        <v>0</v>
      </c>
      <c r="AJ2115" s="625">
        <v>0</v>
      </c>
      <c r="AK2115" s="625">
        <v>0</v>
      </c>
      <c r="AL2115" s="625">
        <v>0</v>
      </c>
      <c r="AM2115" s="625">
        <v>0</v>
      </c>
      <c r="AN2115" s="625">
        <v>0</v>
      </c>
      <c r="AO2115" s="625">
        <v>0</v>
      </c>
      <c r="AP2115" s="41" t="str">
        <f t="shared" si="1005"/>
        <v>Def TaxR</v>
      </c>
      <c r="AQ2115" s="41" t="str">
        <f t="shared" si="1006"/>
        <v>Def TaxRR11FAS 112</v>
      </c>
      <c r="AR2115" s="41" t="str">
        <f t="shared" si="1007"/>
        <v>R11FAS 112</v>
      </c>
    </row>
    <row r="2116" spans="1:44" s="41" customFormat="1" ht="12.75" customHeight="1">
      <c r="A2116" s="25" t="s">
        <v>1590</v>
      </c>
      <c r="B2116" s="25" t="str">
        <f t="shared" si="1040"/>
        <v>Def Tax283200Mixed Use 263(a)BT010390</v>
      </c>
      <c r="C2116" s="736">
        <v>283200</v>
      </c>
      <c r="D2116" s="735" t="s">
        <v>2125</v>
      </c>
      <c r="E2116" s="41" t="s">
        <v>2126</v>
      </c>
      <c r="F2116" s="41" t="str">
        <f t="shared" si="1038"/>
        <v>ACCUM DEF INC TAX-OTH-FEDERAL-ELECTRIC</v>
      </c>
      <c r="G2116" s="41" t="s">
        <v>2217</v>
      </c>
      <c r="H2116" s="736" t="s">
        <v>2125</v>
      </c>
      <c r="I2116" s="25"/>
      <c r="J2116" s="442" t="s">
        <v>7</v>
      </c>
      <c r="K2116" s="442" t="str">
        <f t="shared" si="1042"/>
        <v/>
      </c>
      <c r="L2116" s="736" t="s">
        <v>2436</v>
      </c>
      <c r="M2116" s="25" t="str">
        <f t="shared" si="995"/>
        <v>N</v>
      </c>
      <c r="N2116" s="25" t="str">
        <f>IF(L2116&lt;&gt;"",VLOOKUP(L2116,Categories!$B$2:$D$41,2,FALSE),IF(F2116&lt;&gt;"","No Cat",""))</f>
        <v>NRBASE</v>
      </c>
      <c r="O2116" s="25" t="str">
        <f>IF($L2116&lt;&gt;"",VLOOKUP($L2116,Categories!$B$2:$D$41,3,FALSE),IF($F2116&lt;&gt;"","No Cat",""))</f>
        <v>Deferrals Accruing Non-Cash Return   (other than ASGA)</v>
      </c>
      <c r="P2116" s="736" t="s">
        <v>2468</v>
      </c>
      <c r="Q2116" s="25" t="str">
        <f>VLOOKUP($P2116,Allocators!$B$7:$F$19,5,FALSE)</f>
        <v>Not in Rate Base</v>
      </c>
      <c r="R2116" s="737">
        <f>VLOOKUP($P2116,Allocators!$B$7:$F$19,2,FALSE)</f>
        <v>0</v>
      </c>
      <c r="S2116" s="737">
        <f>VLOOKUP($P2116,Allocators!$B$7:$F$19,3,FALSE)</f>
        <v>0</v>
      </c>
      <c r="T2116" s="737">
        <f t="shared" si="1041"/>
        <v>1</v>
      </c>
      <c r="U2116" s="2" t="str">
        <f t="shared" si="1032"/>
        <v/>
      </c>
      <c r="V2116" s="2" t="str">
        <f t="shared" si="1033"/>
        <v/>
      </c>
      <c r="W2116" s="2" t="str">
        <f t="shared" si="1034"/>
        <v/>
      </c>
      <c r="X2116" s="2">
        <f t="shared" si="1024"/>
        <v>0</v>
      </c>
      <c r="Y2116" s="2" t="str">
        <f t="shared" si="1035"/>
        <v/>
      </c>
      <c r="Z2116" s="2" t="str">
        <f t="shared" si="1036"/>
        <v/>
      </c>
      <c r="AA2116" s="2" t="str">
        <f t="shared" si="1037"/>
        <v/>
      </c>
      <c r="AB2116" s="2">
        <f t="shared" si="1025"/>
        <v>0</v>
      </c>
      <c r="AC2116" s="625">
        <v>0</v>
      </c>
      <c r="AD2116" s="625">
        <v>0</v>
      </c>
      <c r="AE2116" s="625">
        <v>0</v>
      </c>
      <c r="AF2116" s="625">
        <v>0</v>
      </c>
      <c r="AG2116" s="625">
        <v>0</v>
      </c>
      <c r="AH2116" s="625">
        <v>0</v>
      </c>
      <c r="AI2116" s="625">
        <v>0</v>
      </c>
      <c r="AJ2116" s="625">
        <v>0</v>
      </c>
      <c r="AK2116" s="625">
        <v>0</v>
      </c>
      <c r="AL2116" s="625">
        <v>0</v>
      </c>
      <c r="AM2116" s="625">
        <v>0</v>
      </c>
      <c r="AN2116" s="625">
        <v>0</v>
      </c>
      <c r="AO2116" s="625">
        <v>0</v>
      </c>
      <c r="AP2116" s="41" t="str">
        <f t="shared" si="1005"/>
        <v>Def TaxN</v>
      </c>
      <c r="AQ2116" s="41" t="str">
        <f t="shared" si="1006"/>
        <v>Def TaxNN10Mixed Use 263(a)</v>
      </c>
      <c r="AR2116" s="41" t="str">
        <f t="shared" si="1007"/>
        <v>N10Mixed Use 263(a)NCR</v>
      </c>
    </row>
    <row r="2117" spans="1:44" s="41" customFormat="1" ht="12.75" customHeight="1">
      <c r="A2117" s="25" t="s">
        <v>1590</v>
      </c>
      <c r="B2117" s="25" t="str">
        <f t="shared" si="1040"/>
        <v>Def Tax283200283-089BT010172</v>
      </c>
      <c r="C2117" s="736">
        <v>283200</v>
      </c>
      <c r="D2117" s="735" t="s">
        <v>2218</v>
      </c>
      <c r="E2117" s="41" t="s">
        <v>2219</v>
      </c>
      <c r="F2117" s="41" t="str">
        <f t="shared" si="1038"/>
        <v>ACCUM DEF INC TAX-OTH-FEDERAL-ELECTRIC</v>
      </c>
      <c r="G2117" s="41" t="s">
        <v>2220</v>
      </c>
      <c r="H2117" s="736" t="s">
        <v>2221</v>
      </c>
      <c r="I2117" s="25"/>
      <c r="J2117" s="25" t="str">
        <f t="shared" si="1039"/>
        <v/>
      </c>
      <c r="K2117" s="442" t="str">
        <f t="shared" si="1042"/>
        <v/>
      </c>
      <c r="L2117" s="736" t="s">
        <v>2443</v>
      </c>
      <c r="M2117" s="25" t="str">
        <f t="shared" ref="M2117:M2183" si="1043">LEFT(L2117,1)</f>
        <v>R</v>
      </c>
      <c r="N2117" s="25" t="str">
        <f>IF(L2117&lt;&gt;"",VLOOKUP(L2117,Categories!$B$2:$D$41,2,FALSE),IF(F2117&lt;&gt;"","No Cat",""))</f>
        <v>Rate Base</v>
      </c>
      <c r="O2117" s="25" t="str">
        <f>IF($L2117&lt;&gt;"",VLOOKUP($L2117,Categories!$B$2:$D$41,3,FALSE),IF($F2117&lt;&gt;"","No Cat",""))</f>
        <v>Deferred Income Taxes</v>
      </c>
      <c r="P2117" s="736" t="s">
        <v>2482</v>
      </c>
      <c r="Q2117" s="25" t="str">
        <f>VLOOKUP($P2117,Allocators!$B$7:$F$19,5,FALSE)</f>
        <v>Electric</v>
      </c>
      <c r="R2117" s="737">
        <f>VLOOKUP($P2117,Allocators!$B$7:$F$19,2,FALSE)</f>
        <v>1</v>
      </c>
      <c r="S2117" s="737">
        <f>VLOOKUP($P2117,Allocators!$B$7:$F$19,3,FALSE)</f>
        <v>0</v>
      </c>
      <c r="T2117" s="737" t="str">
        <f t="shared" si="1041"/>
        <v>0.0%</v>
      </c>
      <c r="U2117" s="2">
        <f t="shared" si="1032"/>
        <v>-152.26175499999999</v>
      </c>
      <c r="V2117" s="2">
        <f t="shared" si="1033"/>
        <v>0</v>
      </c>
      <c r="W2117" s="2">
        <f t="shared" si="1034"/>
        <v>0</v>
      </c>
      <c r="X2117" s="2">
        <f t="shared" si="1024"/>
        <v>-152.26175499999999</v>
      </c>
      <c r="Y2117" s="2">
        <f t="shared" si="1035"/>
        <v>-221.32080999999999</v>
      </c>
      <c r="Z2117" s="2">
        <f t="shared" si="1036"/>
        <v>0</v>
      </c>
      <c r="AA2117" s="2">
        <f t="shared" si="1037"/>
        <v>0</v>
      </c>
      <c r="AB2117" s="2">
        <f t="shared" si="1025"/>
        <v>-221.32080999999999</v>
      </c>
      <c r="AC2117" s="625">
        <v>-127.81238999999999</v>
      </c>
      <c r="AD2117" s="625">
        <v>-87.107649999999992</v>
      </c>
      <c r="AE2117" s="625">
        <v>-78.810640000000006</v>
      </c>
      <c r="AF2117" s="625">
        <v>-42.489510000000003</v>
      </c>
      <c r="AG2117" s="625">
        <v>-55.138839999999995</v>
      </c>
      <c r="AH2117" s="625">
        <v>-13.031370000000001</v>
      </c>
      <c r="AI2117" s="625">
        <v>9.0728500000000007</v>
      </c>
      <c r="AJ2117" s="625">
        <v>-179.63242000000002</v>
      </c>
      <c r="AK2117" s="625">
        <v>-361.74468000000002</v>
      </c>
      <c r="AL2117" s="625">
        <v>-320.80772999999999</v>
      </c>
      <c r="AM2117" s="625">
        <v>-273.22901999999999</v>
      </c>
      <c r="AN2117" s="625">
        <v>-249.65545</v>
      </c>
      <c r="AO2117" s="625">
        <v>-221.32080999999999</v>
      </c>
      <c r="AP2117" s="41" t="str">
        <f t="shared" si="1005"/>
        <v>Def TaxR</v>
      </c>
      <c r="AQ2117" s="41" t="str">
        <f t="shared" si="1006"/>
        <v>Def TaxRR11Prepaid Insurance</v>
      </c>
      <c r="AR2117" s="41" t="str">
        <f t="shared" si="1007"/>
        <v>R11Prepaid Insurance</v>
      </c>
    </row>
    <row r="2118" spans="1:44" s="41" customFormat="1" ht="12.75" customHeight="1">
      <c r="A2118" s="25" t="s">
        <v>1590</v>
      </c>
      <c r="B2118" s="25" t="str">
        <f t="shared" si="1040"/>
        <v>Def Tax283200283-056BT010173</v>
      </c>
      <c r="C2118" s="736">
        <v>283200</v>
      </c>
      <c r="D2118" s="735" t="s">
        <v>2222</v>
      </c>
      <c r="E2118" s="41" t="s">
        <v>2223</v>
      </c>
      <c r="F2118" s="41" t="str">
        <f t="shared" si="1038"/>
        <v>ACCUM DEF INC TAX-OTH-FEDERAL-ELECTRIC</v>
      </c>
      <c r="G2118" s="41" t="s">
        <v>2224</v>
      </c>
      <c r="H2118" s="736" t="s">
        <v>2224</v>
      </c>
      <c r="I2118" s="25"/>
      <c r="J2118" s="25" t="str">
        <f t="shared" si="1039"/>
        <v/>
      </c>
      <c r="K2118" s="442" t="str">
        <f t="shared" si="1042"/>
        <v/>
      </c>
      <c r="L2118" s="736" t="s">
        <v>2443</v>
      </c>
      <c r="M2118" s="25" t="str">
        <f t="shared" si="1043"/>
        <v>R</v>
      </c>
      <c r="N2118" s="25" t="str">
        <f>IF(L2118&lt;&gt;"",VLOOKUP(L2118,Categories!$B$2:$D$41,2,FALSE),IF(F2118&lt;&gt;"","No Cat",""))</f>
        <v>Rate Base</v>
      </c>
      <c r="O2118" s="25" t="str">
        <f>IF($L2118&lt;&gt;"",VLOOKUP($L2118,Categories!$B$2:$D$41,3,FALSE),IF($F2118&lt;&gt;"","No Cat",""))</f>
        <v>Deferred Income Taxes</v>
      </c>
      <c r="P2118" s="736" t="s">
        <v>2482</v>
      </c>
      <c r="Q2118" s="25" t="str">
        <f>VLOOKUP($P2118,Allocators!$B$7:$F$19,5,FALSE)</f>
        <v>Electric</v>
      </c>
      <c r="R2118" s="737">
        <f>VLOOKUP($P2118,Allocators!$B$7:$F$19,2,FALSE)</f>
        <v>1</v>
      </c>
      <c r="S2118" s="737">
        <f>VLOOKUP($P2118,Allocators!$B$7:$F$19,3,FALSE)</f>
        <v>0</v>
      </c>
      <c r="T2118" s="737" t="str">
        <f t="shared" si="1041"/>
        <v>0.0%</v>
      </c>
      <c r="U2118" s="2" t="str">
        <f t="shared" si="1032"/>
        <v/>
      </c>
      <c r="V2118" s="2" t="str">
        <f t="shared" si="1033"/>
        <v/>
      </c>
      <c r="W2118" s="2" t="str">
        <f t="shared" si="1034"/>
        <v/>
      </c>
      <c r="X2118" s="2">
        <f t="shared" si="1024"/>
        <v>0</v>
      </c>
      <c r="Y2118" s="2" t="str">
        <f t="shared" si="1035"/>
        <v/>
      </c>
      <c r="Z2118" s="2" t="str">
        <f t="shared" si="1036"/>
        <v/>
      </c>
      <c r="AA2118" s="2" t="str">
        <f t="shared" si="1037"/>
        <v/>
      </c>
      <c r="AB2118" s="2">
        <f t="shared" si="1025"/>
        <v>0</v>
      </c>
      <c r="AC2118" s="625">
        <v>0</v>
      </c>
      <c r="AD2118" s="625">
        <v>0</v>
      </c>
      <c r="AE2118" s="625">
        <v>0</v>
      </c>
      <c r="AF2118" s="625">
        <v>0</v>
      </c>
      <c r="AG2118" s="625">
        <v>0</v>
      </c>
      <c r="AH2118" s="625">
        <v>0</v>
      </c>
      <c r="AI2118" s="625">
        <v>0</v>
      </c>
      <c r="AJ2118" s="625">
        <v>0</v>
      </c>
      <c r="AK2118" s="625">
        <v>0</v>
      </c>
      <c r="AL2118" s="625">
        <v>0</v>
      </c>
      <c r="AM2118" s="625">
        <v>0</v>
      </c>
      <c r="AN2118" s="625">
        <v>0</v>
      </c>
      <c r="AO2118" s="625">
        <v>0</v>
      </c>
      <c r="AP2118" s="41" t="str">
        <f t="shared" si="1005"/>
        <v>Def TaxR</v>
      </c>
      <c r="AQ2118" s="41" t="str">
        <f t="shared" si="1006"/>
        <v>Def TaxRR11PRIDE</v>
      </c>
      <c r="AR2118" s="41" t="str">
        <f t="shared" si="1007"/>
        <v>R11PRIDE</v>
      </c>
    </row>
    <row r="2119" spans="1:44" s="41" customFormat="1" ht="12.75" customHeight="1">
      <c r="A2119" s="25" t="s">
        <v>1590</v>
      </c>
      <c r="B2119" s="25" t="str">
        <f t="shared" si="1040"/>
        <v>Def Tax283200283-067</v>
      </c>
      <c r="C2119" s="736">
        <v>283200</v>
      </c>
      <c r="D2119" s="735" t="s">
        <v>2045</v>
      </c>
      <c r="F2119" s="41" t="str">
        <f t="shared" si="1038"/>
        <v>ACCUM DEF INC TAX-OTH-FEDERAL-ELECTRIC</v>
      </c>
      <c r="G2119" s="41" t="s">
        <v>2046</v>
      </c>
      <c r="H2119" s="736" t="s">
        <v>1973</v>
      </c>
      <c r="I2119" s="25"/>
      <c r="J2119" s="25" t="str">
        <f t="shared" si="1039"/>
        <v/>
      </c>
      <c r="K2119" s="442" t="str">
        <f t="shared" si="1042"/>
        <v/>
      </c>
      <c r="L2119" s="736" t="s">
        <v>2443</v>
      </c>
      <c r="M2119" s="25" t="str">
        <f t="shared" si="1043"/>
        <v>R</v>
      </c>
      <c r="N2119" s="25" t="str">
        <f>IF(L2119&lt;&gt;"",VLOOKUP(L2119,Categories!$B$2:$D$41,2,FALSE),IF(F2119&lt;&gt;"","No Cat",""))</f>
        <v>Rate Base</v>
      </c>
      <c r="O2119" s="25" t="str">
        <f>IF($L2119&lt;&gt;"",VLOOKUP($L2119,Categories!$B$2:$D$41,3,FALSE),IF($F2119&lt;&gt;"","No Cat",""))</f>
        <v>Deferred Income Taxes</v>
      </c>
      <c r="P2119" s="736" t="s">
        <v>2482</v>
      </c>
      <c r="Q2119" s="25" t="str">
        <f>VLOOKUP($P2119,Allocators!$B$7:$F$19,5,FALSE)</f>
        <v>Electric</v>
      </c>
      <c r="R2119" s="737">
        <f>VLOOKUP($P2119,Allocators!$B$7:$F$19,2,FALSE)</f>
        <v>1</v>
      </c>
      <c r="S2119" s="737">
        <f>VLOOKUP($P2119,Allocators!$B$7:$F$19,3,FALSE)</f>
        <v>0</v>
      </c>
      <c r="T2119" s="737" t="str">
        <f t="shared" si="1041"/>
        <v>0.0%</v>
      </c>
      <c r="U2119" s="2" t="str">
        <f t="shared" si="1032"/>
        <v/>
      </c>
      <c r="V2119" s="2" t="str">
        <f t="shared" si="1033"/>
        <v/>
      </c>
      <c r="W2119" s="2" t="str">
        <f t="shared" si="1034"/>
        <v/>
      </c>
      <c r="X2119" s="2">
        <f t="shared" si="1024"/>
        <v>0</v>
      </c>
      <c r="Y2119" s="2" t="str">
        <f t="shared" si="1035"/>
        <v/>
      </c>
      <c r="Z2119" s="2" t="str">
        <f t="shared" si="1036"/>
        <v/>
      </c>
      <c r="AA2119" s="2" t="str">
        <f t="shared" si="1037"/>
        <v/>
      </c>
      <c r="AB2119" s="2">
        <f t="shared" si="1025"/>
        <v>0</v>
      </c>
      <c r="AC2119" s="625">
        <v>0</v>
      </c>
      <c r="AD2119" s="625">
        <v>0</v>
      </c>
      <c r="AE2119" s="625">
        <v>0</v>
      </c>
      <c r="AF2119" s="625">
        <v>0</v>
      </c>
      <c r="AG2119" s="625">
        <v>0</v>
      </c>
      <c r="AH2119" s="625">
        <v>0</v>
      </c>
      <c r="AI2119" s="625">
        <v>0</v>
      </c>
      <c r="AJ2119" s="625">
        <v>0</v>
      </c>
      <c r="AK2119" s="625">
        <v>0</v>
      </c>
      <c r="AL2119" s="625">
        <v>0</v>
      </c>
      <c r="AM2119" s="625">
        <v>0</v>
      </c>
      <c r="AN2119" s="625">
        <v>0</v>
      </c>
      <c r="AO2119" s="625">
        <v>0</v>
      </c>
      <c r="AP2119" s="41" t="str">
        <f t="shared" si="1005"/>
        <v>Def TaxR</v>
      </c>
      <c r="AQ2119" s="41" t="str">
        <f t="shared" si="1006"/>
        <v>Def TaxRR11Property Tax Audit</v>
      </c>
      <c r="AR2119" s="41" t="str">
        <f t="shared" si="1007"/>
        <v>R11Property Tax Audit</v>
      </c>
    </row>
    <row r="2120" spans="1:44" s="41" customFormat="1" ht="12.75" customHeight="1">
      <c r="A2120" s="25" t="s">
        <v>1590</v>
      </c>
      <c r="B2120" s="25" t="str">
        <f t="shared" si="1040"/>
        <v>Def Tax283200R&amp;D DeferralBT010177</v>
      </c>
      <c r="C2120" s="736">
        <v>283200</v>
      </c>
      <c r="D2120" s="735" t="s">
        <v>1683</v>
      </c>
      <c r="E2120" s="41" t="s">
        <v>1684</v>
      </c>
      <c r="F2120" s="41" t="str">
        <f t="shared" si="1038"/>
        <v>ACCUM DEF INC TAX-OTH-FEDERAL-ELECTRIC</v>
      </c>
      <c r="G2120" s="41" t="s">
        <v>1685</v>
      </c>
      <c r="H2120" s="736" t="s">
        <v>1124</v>
      </c>
      <c r="I2120" s="25"/>
      <c r="J2120" s="25" t="str">
        <f t="shared" si="1039"/>
        <v/>
      </c>
      <c r="K2120" s="442" t="str">
        <f t="shared" si="1042"/>
        <v/>
      </c>
      <c r="L2120" s="736" t="s">
        <v>2443</v>
      </c>
      <c r="M2120" s="25" t="str">
        <f t="shared" si="1043"/>
        <v>R</v>
      </c>
      <c r="N2120" s="25" t="str">
        <f>IF(L2120&lt;&gt;"",VLOOKUP(L2120,Categories!$B$2:$D$41,2,FALSE),IF(F2120&lt;&gt;"","No Cat",""))</f>
        <v>Rate Base</v>
      </c>
      <c r="O2120" s="25" t="str">
        <f>IF($L2120&lt;&gt;"",VLOOKUP($L2120,Categories!$B$2:$D$41,3,FALSE),IF($F2120&lt;&gt;"","No Cat",""))</f>
        <v>Deferred Income Taxes</v>
      </c>
      <c r="P2120" s="736" t="s">
        <v>2482</v>
      </c>
      <c r="Q2120" s="25" t="str">
        <f>VLOOKUP($P2120,Allocators!$B$7:$F$19,5,FALSE)</f>
        <v>Electric</v>
      </c>
      <c r="R2120" s="737">
        <f>VLOOKUP($P2120,Allocators!$B$7:$F$19,2,FALSE)</f>
        <v>1</v>
      </c>
      <c r="S2120" s="737">
        <f>VLOOKUP($P2120,Allocators!$B$7:$F$19,3,FALSE)</f>
        <v>0</v>
      </c>
      <c r="T2120" s="737" t="str">
        <f t="shared" si="1041"/>
        <v>0.0%</v>
      </c>
      <c r="U2120" s="2" t="str">
        <f t="shared" si="1032"/>
        <v/>
      </c>
      <c r="V2120" s="2" t="str">
        <f t="shared" si="1033"/>
        <v/>
      </c>
      <c r="W2120" s="2" t="str">
        <f t="shared" si="1034"/>
        <v/>
      </c>
      <c r="X2120" s="2">
        <f t="shared" si="1024"/>
        <v>0</v>
      </c>
      <c r="Y2120" s="2" t="str">
        <f t="shared" si="1035"/>
        <v/>
      </c>
      <c r="Z2120" s="2" t="str">
        <f t="shared" si="1036"/>
        <v/>
      </c>
      <c r="AA2120" s="2" t="str">
        <f t="shared" si="1037"/>
        <v/>
      </c>
      <c r="AB2120" s="2">
        <f t="shared" si="1025"/>
        <v>0</v>
      </c>
      <c r="AC2120" s="625">
        <v>0</v>
      </c>
      <c r="AD2120" s="625">
        <v>0</v>
      </c>
      <c r="AE2120" s="625">
        <v>0</v>
      </c>
      <c r="AF2120" s="625">
        <v>0</v>
      </c>
      <c r="AG2120" s="625">
        <v>0</v>
      </c>
      <c r="AH2120" s="625">
        <v>0</v>
      </c>
      <c r="AI2120" s="625">
        <v>0</v>
      </c>
      <c r="AJ2120" s="625">
        <v>0</v>
      </c>
      <c r="AK2120" s="625">
        <v>0</v>
      </c>
      <c r="AL2120" s="625">
        <v>0</v>
      </c>
      <c r="AM2120" s="625">
        <v>0</v>
      </c>
      <c r="AN2120" s="625">
        <v>0</v>
      </c>
      <c r="AO2120" s="625">
        <v>0</v>
      </c>
      <c r="AP2120" s="41" t="str">
        <f t="shared" ref="AP2120:AP2183" si="1044">CONCATENATE(A2120,M2120)</f>
        <v>Def TaxR</v>
      </c>
      <c r="AQ2120" s="41" t="str">
        <f t="shared" ref="AQ2120:AQ2183" si="1045">CONCATENATE(AP2120,L2120,H2120)</f>
        <v>Def TaxRR11R&amp;D Tax Credit Deferral</v>
      </c>
      <c r="AR2120" s="41" t="str">
        <f t="shared" ref="AR2120:AR2183" si="1046">CONCATENATE(L2120,H2120,J2120)</f>
        <v>R11R&amp;D Tax Credit Deferral</v>
      </c>
    </row>
    <row r="2121" spans="1:44" s="41" customFormat="1" ht="12.75" customHeight="1">
      <c r="A2121" s="442" t="s">
        <v>1590</v>
      </c>
      <c r="B2121" s="442" t="str">
        <f t="shared" si="1040"/>
        <v>Def Tax283200283-081-JPBT010176</v>
      </c>
      <c r="C2121" s="736">
        <v>283200</v>
      </c>
      <c r="D2121" s="735" t="s">
        <v>2026</v>
      </c>
      <c r="E2121" s="626" t="s">
        <v>1977</v>
      </c>
      <c r="F2121" s="626" t="str">
        <f t="shared" si="1038"/>
        <v>ACCUM DEF INC TAX-OTH-FEDERAL-ELECTRIC</v>
      </c>
      <c r="G2121" s="626" t="s">
        <v>2225</v>
      </c>
      <c r="H2121" s="736" t="s">
        <v>1245</v>
      </c>
      <c r="I2121" s="442"/>
      <c r="J2121" s="442" t="str">
        <f t="shared" si="1039"/>
        <v/>
      </c>
      <c r="K2121" s="442" t="str">
        <f t="shared" si="1042"/>
        <v/>
      </c>
      <c r="L2121" s="736" t="s">
        <v>2421</v>
      </c>
      <c r="M2121" s="442" t="str">
        <f t="shared" si="1043"/>
        <v>N</v>
      </c>
      <c r="N2121" s="442" t="str">
        <f>IF(L2121&lt;&gt;"",VLOOKUP(L2121,Categories!$B$2:$D$41,2,FALSE),IF(F2121&lt;&gt;"","No Cat",""))</f>
        <v>NRBASE</v>
      </c>
      <c r="O2121" s="442" t="str">
        <f>IF($L2121&lt;&gt;"",VLOOKUP($L2121,Categories!$B$2:$D$41,3,FALSE),IF($F2121&lt;&gt;"","No Cat",""))</f>
        <v>Direct Assign Items Not in RB</v>
      </c>
      <c r="P2121" s="736" t="s">
        <v>2468</v>
      </c>
      <c r="Q2121" s="442" t="str">
        <f>VLOOKUP($P2121,Allocators!$B$7:$F$19,5,FALSE)</f>
        <v>Not in Rate Base</v>
      </c>
      <c r="R2121" s="737">
        <f>VLOOKUP($P2121,Allocators!$B$7:$F$19,2,FALSE)</f>
        <v>0</v>
      </c>
      <c r="S2121" s="737">
        <f>VLOOKUP($P2121,Allocators!$B$7:$F$19,3,FALSE)</f>
        <v>0</v>
      </c>
      <c r="T2121" s="737">
        <f t="shared" si="1041"/>
        <v>1</v>
      </c>
      <c r="U2121" s="2" t="str">
        <f t="shared" si="1032"/>
        <v/>
      </c>
      <c r="V2121" s="2" t="str">
        <f t="shared" si="1033"/>
        <v/>
      </c>
      <c r="W2121" s="2" t="str">
        <f t="shared" si="1034"/>
        <v/>
      </c>
      <c r="X2121" s="2">
        <f t="shared" si="1024"/>
        <v>0</v>
      </c>
      <c r="Y2121" s="2" t="str">
        <f t="shared" si="1035"/>
        <v/>
      </c>
      <c r="Z2121" s="2" t="str">
        <f t="shared" si="1036"/>
        <v/>
      </c>
      <c r="AA2121" s="2" t="str">
        <f t="shared" si="1037"/>
        <v/>
      </c>
      <c r="AB2121" s="2">
        <f t="shared" si="1025"/>
        <v>0</v>
      </c>
      <c r="AC2121" s="625">
        <v>0</v>
      </c>
      <c r="AD2121" s="625">
        <v>0</v>
      </c>
      <c r="AE2121" s="625">
        <v>0</v>
      </c>
      <c r="AF2121" s="625">
        <v>0</v>
      </c>
      <c r="AG2121" s="625">
        <v>0</v>
      </c>
      <c r="AH2121" s="625">
        <v>0</v>
      </c>
      <c r="AI2121" s="625">
        <v>0</v>
      </c>
      <c r="AJ2121" s="625">
        <v>0</v>
      </c>
      <c r="AK2121" s="625">
        <v>0</v>
      </c>
      <c r="AL2121" s="625">
        <v>0</v>
      </c>
      <c r="AM2121" s="625">
        <v>0</v>
      </c>
      <c r="AN2121" s="625">
        <v>0</v>
      </c>
      <c r="AO2121" s="625">
        <v>0</v>
      </c>
      <c r="AP2121" s="41" t="str">
        <f t="shared" si="1044"/>
        <v>Def TaxN</v>
      </c>
      <c r="AQ2121" s="41" t="str">
        <f t="shared" si="1045"/>
        <v>Def TaxNN2Purchase of Receivables</v>
      </c>
      <c r="AR2121" s="41" t="str">
        <f t="shared" si="1046"/>
        <v>N2Purchase of Receivables</v>
      </c>
    </row>
    <row r="2122" spans="1:44" s="41" customFormat="1" ht="12.75" customHeight="1">
      <c r="A2122" s="25" t="s">
        <v>1590</v>
      </c>
      <c r="B2122" s="25" t="str">
        <f t="shared" si="1040"/>
        <v>Def Tax283200283-072-JP</v>
      </c>
      <c r="C2122" s="736">
        <v>283200</v>
      </c>
      <c r="D2122" s="735" t="s">
        <v>2226</v>
      </c>
      <c r="F2122" s="41" t="str">
        <f t="shared" si="1038"/>
        <v>ACCUM DEF INC TAX-OTH-FEDERAL-ELECTRIC</v>
      </c>
      <c r="G2122" s="41" t="s">
        <v>2227</v>
      </c>
      <c r="H2122" s="736" t="s">
        <v>2228</v>
      </c>
      <c r="I2122" s="25"/>
      <c r="J2122" s="25" t="str">
        <f t="shared" si="1039"/>
        <v/>
      </c>
      <c r="K2122" s="442" t="str">
        <f t="shared" si="1042"/>
        <v/>
      </c>
      <c r="L2122" s="736" t="s">
        <v>2443</v>
      </c>
      <c r="M2122" s="25" t="str">
        <f t="shared" si="1043"/>
        <v>R</v>
      </c>
      <c r="N2122" s="25" t="str">
        <f>IF(L2122&lt;&gt;"",VLOOKUP(L2122,Categories!$B$2:$D$41,2,FALSE),IF(F2122&lt;&gt;"","No Cat",""))</f>
        <v>Rate Base</v>
      </c>
      <c r="O2122" s="25" t="str">
        <f>IF($L2122&lt;&gt;"",VLOOKUP($L2122,Categories!$B$2:$D$41,3,FALSE),IF($F2122&lt;&gt;"","No Cat",""))</f>
        <v>Deferred Income Taxes</v>
      </c>
      <c r="P2122" s="736" t="s">
        <v>2482</v>
      </c>
      <c r="Q2122" s="25" t="str">
        <f>VLOOKUP($P2122,Allocators!$B$7:$F$19,5,FALSE)</f>
        <v>Electric</v>
      </c>
      <c r="R2122" s="737">
        <f>VLOOKUP($P2122,Allocators!$B$7:$F$19,2,FALSE)</f>
        <v>1</v>
      </c>
      <c r="S2122" s="737">
        <f>VLOOKUP($P2122,Allocators!$B$7:$F$19,3,FALSE)</f>
        <v>0</v>
      </c>
      <c r="T2122" s="737" t="str">
        <f t="shared" si="1041"/>
        <v>0.0%</v>
      </c>
      <c r="U2122" s="2" t="str">
        <f t="shared" si="1032"/>
        <v/>
      </c>
      <c r="V2122" s="2" t="str">
        <f t="shared" si="1033"/>
        <v/>
      </c>
      <c r="W2122" s="2" t="str">
        <f t="shared" si="1034"/>
        <v/>
      </c>
      <c r="X2122" s="2">
        <f t="shared" si="1024"/>
        <v>0</v>
      </c>
      <c r="Y2122" s="2" t="str">
        <f t="shared" si="1035"/>
        <v/>
      </c>
      <c r="Z2122" s="2" t="str">
        <f t="shared" si="1036"/>
        <v/>
      </c>
      <c r="AA2122" s="2" t="str">
        <f t="shared" si="1037"/>
        <v/>
      </c>
      <c r="AB2122" s="2">
        <f t="shared" si="1025"/>
        <v>0</v>
      </c>
      <c r="AC2122" s="625">
        <v>0</v>
      </c>
      <c r="AD2122" s="625">
        <v>0</v>
      </c>
      <c r="AE2122" s="625">
        <v>0</v>
      </c>
      <c r="AF2122" s="625">
        <v>0</v>
      </c>
      <c r="AG2122" s="625">
        <v>0</v>
      </c>
      <c r="AH2122" s="625">
        <v>0</v>
      </c>
      <c r="AI2122" s="625">
        <v>0</v>
      </c>
      <c r="AJ2122" s="625">
        <v>0</v>
      </c>
      <c r="AK2122" s="625">
        <v>0</v>
      </c>
      <c r="AL2122" s="625">
        <v>0</v>
      </c>
      <c r="AM2122" s="625">
        <v>0</v>
      </c>
      <c r="AN2122" s="625">
        <v>0</v>
      </c>
      <c r="AO2122" s="625">
        <v>0</v>
      </c>
      <c r="AP2122" s="41" t="str">
        <f t="shared" si="1044"/>
        <v>Def TaxR</v>
      </c>
      <c r="AQ2122" s="41" t="str">
        <f t="shared" si="1045"/>
        <v>Def TaxRR11RAS</v>
      </c>
      <c r="AR2122" s="41" t="str">
        <f t="shared" si="1046"/>
        <v>R11RAS</v>
      </c>
    </row>
    <row r="2123" spans="1:44" s="41" customFormat="1" ht="12.75" customHeight="1">
      <c r="A2123" s="25" t="s">
        <v>1590</v>
      </c>
      <c r="B2123" s="25" t="str">
        <f t="shared" si="1040"/>
        <v>Def Tax283200283-074-JP</v>
      </c>
      <c r="C2123" s="736">
        <v>283200</v>
      </c>
      <c r="D2123" s="735" t="s">
        <v>1980</v>
      </c>
      <c r="F2123" s="41" t="str">
        <f t="shared" si="1038"/>
        <v>ACCUM DEF INC TAX-OTH-FEDERAL-ELECTRIC</v>
      </c>
      <c r="G2123" s="41" t="s">
        <v>2229</v>
      </c>
      <c r="H2123" s="736" t="s">
        <v>1775</v>
      </c>
      <c r="I2123" s="25"/>
      <c r="J2123" s="25" t="str">
        <f t="shared" si="1039"/>
        <v/>
      </c>
      <c r="K2123" s="442" t="str">
        <f t="shared" si="1042"/>
        <v/>
      </c>
      <c r="L2123" s="736" t="s">
        <v>2443</v>
      </c>
      <c r="M2123" s="25" t="str">
        <f t="shared" si="1043"/>
        <v>R</v>
      </c>
      <c r="N2123" s="25" t="str">
        <f>IF(L2123&lt;&gt;"",VLOOKUP(L2123,Categories!$B$2:$D$41,2,FALSE),IF(F2123&lt;&gt;"","No Cat",""))</f>
        <v>Rate Base</v>
      </c>
      <c r="O2123" s="25" t="str">
        <f>IF($L2123&lt;&gt;"",VLOOKUP($L2123,Categories!$B$2:$D$41,3,FALSE),IF($F2123&lt;&gt;"","No Cat",""))</f>
        <v>Deferred Income Taxes</v>
      </c>
      <c r="P2123" s="736" t="s">
        <v>2482</v>
      </c>
      <c r="Q2123" s="25" t="str">
        <f>VLOOKUP($P2123,Allocators!$B$7:$F$19,5,FALSE)</f>
        <v>Electric</v>
      </c>
      <c r="R2123" s="737">
        <f>VLOOKUP($P2123,Allocators!$B$7:$F$19,2,FALSE)</f>
        <v>1</v>
      </c>
      <c r="S2123" s="737">
        <f>VLOOKUP($P2123,Allocators!$B$7:$F$19,3,FALSE)</f>
        <v>0</v>
      </c>
      <c r="T2123" s="737" t="str">
        <f t="shared" si="1041"/>
        <v>0.0%</v>
      </c>
      <c r="U2123" s="2" t="str">
        <f t="shared" si="1032"/>
        <v/>
      </c>
      <c r="V2123" s="2" t="str">
        <f t="shared" si="1033"/>
        <v/>
      </c>
      <c r="W2123" s="2" t="str">
        <f t="shared" si="1034"/>
        <v/>
      </c>
      <c r="X2123" s="2">
        <f t="shared" si="1024"/>
        <v>0</v>
      </c>
      <c r="Y2123" s="2" t="str">
        <f t="shared" si="1035"/>
        <v/>
      </c>
      <c r="Z2123" s="2" t="str">
        <f t="shared" si="1036"/>
        <v/>
      </c>
      <c r="AA2123" s="2" t="str">
        <f t="shared" si="1037"/>
        <v/>
      </c>
      <c r="AB2123" s="2">
        <f t="shared" si="1025"/>
        <v>0</v>
      </c>
      <c r="AC2123" s="625">
        <v>0</v>
      </c>
      <c r="AD2123" s="625">
        <v>0</v>
      </c>
      <c r="AE2123" s="625">
        <v>0</v>
      </c>
      <c r="AF2123" s="625">
        <v>0</v>
      </c>
      <c r="AG2123" s="625">
        <v>0</v>
      </c>
      <c r="AH2123" s="625">
        <v>0</v>
      </c>
      <c r="AI2123" s="625">
        <v>0</v>
      </c>
      <c r="AJ2123" s="625">
        <v>0</v>
      </c>
      <c r="AK2123" s="625">
        <v>0</v>
      </c>
      <c r="AL2123" s="625">
        <v>0</v>
      </c>
      <c r="AM2123" s="625">
        <v>0</v>
      </c>
      <c r="AN2123" s="625">
        <v>0</v>
      </c>
      <c r="AO2123" s="625">
        <v>0</v>
      </c>
      <c r="AP2123" s="41" t="str">
        <f t="shared" si="1044"/>
        <v>Def TaxR</v>
      </c>
      <c r="AQ2123" s="41" t="str">
        <f t="shared" si="1045"/>
        <v>Def TaxRR11Gain/Loss on Reacquired Debt</v>
      </c>
      <c r="AR2123" s="41" t="str">
        <f t="shared" si="1046"/>
        <v>R11Gain/Loss on Reacquired Debt</v>
      </c>
    </row>
    <row r="2124" spans="1:44" s="41" customFormat="1" ht="12.75" customHeight="1">
      <c r="A2124" s="25" t="s">
        <v>1590</v>
      </c>
      <c r="B2124" s="25" t="str">
        <f t="shared" si="1040"/>
        <v>Def Tax283200283-088BT010181</v>
      </c>
      <c r="C2124" s="736">
        <v>283200</v>
      </c>
      <c r="D2124" s="735" t="s">
        <v>2230</v>
      </c>
      <c r="E2124" s="41" t="s">
        <v>2231</v>
      </c>
      <c r="F2124" s="41" t="str">
        <f t="shared" si="1038"/>
        <v>ACCUM DEF INC TAX-OTH-FEDERAL-ELECTRIC</v>
      </c>
      <c r="G2124" s="41" t="s">
        <v>2232</v>
      </c>
      <c r="H2124" s="736" t="s">
        <v>2233</v>
      </c>
      <c r="I2124" s="25"/>
      <c r="J2124" s="25" t="str">
        <f t="shared" si="1039"/>
        <v/>
      </c>
      <c r="K2124" s="442" t="str">
        <f t="shared" si="1042"/>
        <v/>
      </c>
      <c r="L2124" s="736" t="s">
        <v>2443</v>
      </c>
      <c r="M2124" s="25" t="str">
        <f t="shared" si="1043"/>
        <v>R</v>
      </c>
      <c r="N2124" s="25" t="str">
        <f>IF(L2124&lt;&gt;"",VLOOKUP(L2124,Categories!$B$2:$D$41,2,FALSE),IF(F2124&lt;&gt;"","No Cat",""))</f>
        <v>Rate Base</v>
      </c>
      <c r="O2124" s="25" t="str">
        <f>IF($L2124&lt;&gt;"",VLOOKUP($L2124,Categories!$B$2:$D$41,3,FALSE),IF($F2124&lt;&gt;"","No Cat",""))</f>
        <v>Deferred Income Taxes</v>
      </c>
      <c r="P2124" s="736" t="s">
        <v>2482</v>
      </c>
      <c r="Q2124" s="25" t="str">
        <f>VLOOKUP($P2124,Allocators!$B$7:$F$19,5,FALSE)</f>
        <v>Electric</v>
      </c>
      <c r="R2124" s="737">
        <f>VLOOKUP($P2124,Allocators!$B$7:$F$19,2,FALSE)</f>
        <v>1</v>
      </c>
      <c r="S2124" s="737">
        <f>VLOOKUP($P2124,Allocators!$B$7:$F$19,3,FALSE)</f>
        <v>0</v>
      </c>
      <c r="T2124" s="737" t="str">
        <f t="shared" si="1041"/>
        <v>0.0%</v>
      </c>
      <c r="U2124" s="2" t="str">
        <f t="shared" si="1032"/>
        <v/>
      </c>
      <c r="V2124" s="2" t="str">
        <f t="shared" si="1033"/>
        <v/>
      </c>
      <c r="W2124" s="2" t="str">
        <f t="shared" si="1034"/>
        <v/>
      </c>
      <c r="X2124" s="2">
        <f t="shared" si="1024"/>
        <v>0</v>
      </c>
      <c r="Y2124" s="2" t="str">
        <f t="shared" si="1035"/>
        <v/>
      </c>
      <c r="Z2124" s="2" t="str">
        <f t="shared" si="1036"/>
        <v/>
      </c>
      <c r="AA2124" s="2" t="str">
        <f t="shared" si="1037"/>
        <v/>
      </c>
      <c r="AB2124" s="2">
        <f t="shared" si="1025"/>
        <v>0</v>
      </c>
      <c r="AC2124" s="625">
        <v>0</v>
      </c>
      <c r="AD2124" s="625">
        <v>0</v>
      </c>
      <c r="AE2124" s="625">
        <v>0</v>
      </c>
      <c r="AF2124" s="625">
        <v>0</v>
      </c>
      <c r="AG2124" s="625">
        <v>0</v>
      </c>
      <c r="AH2124" s="625">
        <v>0</v>
      </c>
      <c r="AI2124" s="625">
        <v>0</v>
      </c>
      <c r="AJ2124" s="625">
        <v>0</v>
      </c>
      <c r="AK2124" s="625">
        <v>0</v>
      </c>
      <c r="AL2124" s="625">
        <v>0</v>
      </c>
      <c r="AM2124" s="625">
        <v>0</v>
      </c>
      <c r="AN2124" s="625">
        <v>0</v>
      </c>
      <c r="AO2124" s="625">
        <v>0</v>
      </c>
      <c r="AP2124" s="41" t="str">
        <f t="shared" si="1044"/>
        <v>Def TaxR</v>
      </c>
      <c r="AQ2124" s="41" t="str">
        <f t="shared" si="1045"/>
        <v>Def TaxRR11Repair Allowance</v>
      </c>
      <c r="AR2124" s="41" t="str">
        <f t="shared" si="1046"/>
        <v>R11Repair Allowance</v>
      </c>
    </row>
    <row r="2125" spans="1:44" s="41" customFormat="1" ht="12.75" customHeight="1">
      <c r="A2125" s="25" t="s">
        <v>1590</v>
      </c>
      <c r="B2125" s="25" t="str">
        <f t="shared" si="1040"/>
        <v>Def Tax283200283-088-SBT010181</v>
      </c>
      <c r="C2125" s="736">
        <v>283200</v>
      </c>
      <c r="D2125" s="735" t="s">
        <v>2234</v>
      </c>
      <c r="E2125" s="41" t="s">
        <v>2231</v>
      </c>
      <c r="F2125" s="41" t="str">
        <f t="shared" si="1038"/>
        <v>ACCUM DEF INC TAX-OTH-FEDERAL-ELECTRIC</v>
      </c>
      <c r="G2125" s="41" t="s">
        <v>2235</v>
      </c>
      <c r="H2125" s="736" t="s">
        <v>2233</v>
      </c>
      <c r="I2125" s="25"/>
      <c r="J2125" s="25" t="str">
        <f t="shared" si="1039"/>
        <v/>
      </c>
      <c r="K2125" s="442" t="str">
        <f t="shared" si="1042"/>
        <v/>
      </c>
      <c r="L2125" s="736" t="s">
        <v>2443</v>
      </c>
      <c r="M2125" s="25" t="str">
        <f t="shared" si="1043"/>
        <v>R</v>
      </c>
      <c r="N2125" s="25" t="str">
        <f>IF(L2125&lt;&gt;"",VLOOKUP(L2125,Categories!$B$2:$D$41,2,FALSE),IF(F2125&lt;&gt;"","No Cat",""))</f>
        <v>Rate Base</v>
      </c>
      <c r="O2125" s="25" t="str">
        <f>IF($L2125&lt;&gt;"",VLOOKUP($L2125,Categories!$B$2:$D$41,3,FALSE),IF($F2125&lt;&gt;"","No Cat",""))</f>
        <v>Deferred Income Taxes</v>
      </c>
      <c r="P2125" s="736" t="s">
        <v>2482</v>
      </c>
      <c r="Q2125" s="25" t="str">
        <f>VLOOKUP($P2125,Allocators!$B$7:$F$19,5,FALSE)</f>
        <v>Electric</v>
      </c>
      <c r="R2125" s="737">
        <f>VLOOKUP($P2125,Allocators!$B$7:$F$19,2,FALSE)</f>
        <v>1</v>
      </c>
      <c r="S2125" s="737">
        <f>VLOOKUP($P2125,Allocators!$B$7:$F$19,3,FALSE)</f>
        <v>0</v>
      </c>
      <c r="T2125" s="737" t="str">
        <f t="shared" si="1041"/>
        <v>0.0%</v>
      </c>
      <c r="U2125" s="2" t="str">
        <f t="shared" si="1032"/>
        <v/>
      </c>
      <c r="V2125" s="2" t="str">
        <f t="shared" si="1033"/>
        <v/>
      </c>
      <c r="W2125" s="2" t="str">
        <f t="shared" si="1034"/>
        <v/>
      </c>
      <c r="X2125" s="2">
        <f t="shared" si="1024"/>
        <v>0</v>
      </c>
      <c r="Y2125" s="2" t="str">
        <f t="shared" si="1035"/>
        <v/>
      </c>
      <c r="Z2125" s="2" t="str">
        <f t="shared" si="1036"/>
        <v/>
      </c>
      <c r="AA2125" s="2" t="str">
        <f t="shared" si="1037"/>
        <v/>
      </c>
      <c r="AB2125" s="2">
        <f t="shared" si="1025"/>
        <v>0</v>
      </c>
      <c r="AC2125" s="625">
        <v>0</v>
      </c>
      <c r="AD2125" s="625">
        <v>0</v>
      </c>
      <c r="AE2125" s="625">
        <v>0</v>
      </c>
      <c r="AF2125" s="625">
        <v>0</v>
      </c>
      <c r="AG2125" s="625">
        <v>0</v>
      </c>
      <c r="AH2125" s="625">
        <v>0</v>
      </c>
      <c r="AI2125" s="625">
        <v>0</v>
      </c>
      <c r="AJ2125" s="625">
        <v>0</v>
      </c>
      <c r="AK2125" s="625">
        <v>0</v>
      </c>
      <c r="AL2125" s="625">
        <v>0</v>
      </c>
      <c r="AM2125" s="625">
        <v>0</v>
      </c>
      <c r="AN2125" s="625">
        <v>0</v>
      </c>
      <c r="AO2125" s="625">
        <v>0</v>
      </c>
      <c r="AP2125" s="41" t="str">
        <f t="shared" si="1044"/>
        <v>Def TaxR</v>
      </c>
      <c r="AQ2125" s="41" t="str">
        <f t="shared" si="1045"/>
        <v>Def TaxRR11Repair Allowance</v>
      </c>
      <c r="AR2125" s="41" t="str">
        <f t="shared" si="1046"/>
        <v>R11Repair Allowance</v>
      </c>
    </row>
    <row r="2126" spans="1:44" s="41" customFormat="1" ht="12.75" customHeight="1">
      <c r="A2126" s="25" t="s">
        <v>1590</v>
      </c>
      <c r="B2126" s="25" t="str">
        <f t="shared" si="1040"/>
        <v>Def Tax283200Russell DecomBE030278</v>
      </c>
      <c r="C2126" s="736">
        <v>283200</v>
      </c>
      <c r="D2126" s="735" t="s">
        <v>2236</v>
      </c>
      <c r="E2126" s="41" t="s">
        <v>1985</v>
      </c>
      <c r="F2126" s="41" t="str">
        <f t="shared" si="1038"/>
        <v>ACCUM DEF INC TAX-OTH-FEDERAL-ELECTRIC</v>
      </c>
      <c r="G2126" s="41" t="s">
        <v>1986</v>
      </c>
      <c r="H2126" s="736" t="s">
        <v>2694</v>
      </c>
      <c r="I2126" s="25"/>
      <c r="J2126" s="25" t="str">
        <f t="shared" si="1039"/>
        <v/>
      </c>
      <c r="K2126" s="442" t="str">
        <f t="shared" si="1042"/>
        <v/>
      </c>
      <c r="L2126" s="736" t="s">
        <v>2443</v>
      </c>
      <c r="M2126" s="25" t="str">
        <f t="shared" si="1043"/>
        <v>R</v>
      </c>
      <c r="N2126" s="25" t="str">
        <f>IF(L2126&lt;&gt;"",VLOOKUP(L2126,Categories!$B$2:$D$41,2,FALSE),IF(F2126&lt;&gt;"","No Cat",""))</f>
        <v>Rate Base</v>
      </c>
      <c r="O2126" s="25" t="str">
        <f>IF($L2126&lt;&gt;"",VLOOKUP($L2126,Categories!$B$2:$D$41,3,FALSE),IF($F2126&lt;&gt;"","No Cat",""))</f>
        <v>Deferred Income Taxes</v>
      </c>
      <c r="P2126" s="736" t="s">
        <v>2482</v>
      </c>
      <c r="Q2126" s="25" t="str">
        <f>VLOOKUP($P2126,Allocators!$B$7:$F$19,5,FALSE)</f>
        <v>Electric</v>
      </c>
      <c r="R2126" s="737">
        <f>VLOOKUP($P2126,Allocators!$B$7:$F$19,2,FALSE)</f>
        <v>1</v>
      </c>
      <c r="S2126" s="737">
        <f>VLOOKUP($P2126,Allocators!$B$7:$F$19,3,FALSE)</f>
        <v>0</v>
      </c>
      <c r="T2126" s="737" t="str">
        <f t="shared" si="1041"/>
        <v>0.0%</v>
      </c>
      <c r="U2126" s="2">
        <f t="shared" si="1032"/>
        <v>3316.3948475000002</v>
      </c>
      <c r="V2126" s="2">
        <f t="shared" si="1033"/>
        <v>0</v>
      </c>
      <c r="W2126" s="2">
        <f t="shared" si="1034"/>
        <v>0</v>
      </c>
      <c r="X2126" s="2">
        <f t="shared" si="1024"/>
        <v>3316.3948475000002</v>
      </c>
      <c r="Y2126" s="2" t="str">
        <f t="shared" si="1035"/>
        <v/>
      </c>
      <c r="Z2126" s="2" t="str">
        <f t="shared" si="1036"/>
        <v/>
      </c>
      <c r="AA2126" s="2" t="str">
        <f t="shared" si="1037"/>
        <v/>
      </c>
      <c r="AB2126" s="2">
        <f t="shared" si="1025"/>
        <v>0</v>
      </c>
      <c r="AC2126" s="625">
        <v>3649.2428599999998</v>
      </c>
      <c r="AD2126" s="625">
        <v>3634.4602100000002</v>
      </c>
      <c r="AE2126" s="625">
        <v>3622.8086899999998</v>
      </c>
      <c r="AF2126" s="625">
        <v>3582.9202099999998</v>
      </c>
      <c r="AG2126" s="625">
        <v>3567.4085</v>
      </c>
      <c r="AH2126" s="625">
        <v>3509.77169</v>
      </c>
      <c r="AI2126" s="625">
        <v>3496.7407699999999</v>
      </c>
      <c r="AJ2126" s="625">
        <v>3460.7794700000004</v>
      </c>
      <c r="AK2126" s="625">
        <v>3318.6054900000004</v>
      </c>
      <c r="AL2126" s="625">
        <v>3281.9071300000001</v>
      </c>
      <c r="AM2126" s="625">
        <v>3261.9100099999996</v>
      </c>
      <c r="AN2126" s="625">
        <v>3234.8045699999998</v>
      </c>
      <c r="AO2126" s="625">
        <v>0</v>
      </c>
      <c r="AP2126" s="41" t="str">
        <f t="shared" si="1044"/>
        <v>Def TaxR</v>
      </c>
      <c r="AQ2126" s="41" t="str">
        <f t="shared" si="1045"/>
        <v>Def TaxRR11Russell Decommissioning Reserve</v>
      </c>
      <c r="AR2126" s="41" t="str">
        <f t="shared" si="1046"/>
        <v>R11Russell Decommissioning Reserve</v>
      </c>
    </row>
    <row r="2127" spans="1:44" s="41" customFormat="1" ht="12.75" customHeight="1">
      <c r="A2127" s="25" t="s">
        <v>1590</v>
      </c>
      <c r="B2127" s="25" t="str">
        <f t="shared" si="1040"/>
        <v>Def Tax283200283-019BT010201</v>
      </c>
      <c r="C2127" s="736">
        <v>283200</v>
      </c>
      <c r="D2127" s="735" t="s">
        <v>2237</v>
      </c>
      <c r="E2127" s="41" t="s">
        <v>2238</v>
      </c>
      <c r="F2127" s="41" t="str">
        <f t="shared" si="1038"/>
        <v>ACCUM DEF INC TAX-OTH-FEDERAL-ELECTRIC</v>
      </c>
      <c r="G2127" s="41" t="s">
        <v>2239</v>
      </c>
      <c r="H2127" s="736" t="s">
        <v>2240</v>
      </c>
      <c r="I2127" s="25"/>
      <c r="J2127" s="25" t="str">
        <f t="shared" si="1039"/>
        <v/>
      </c>
      <c r="K2127" s="442" t="str">
        <f t="shared" si="1042"/>
        <v/>
      </c>
      <c r="L2127" s="736" t="s">
        <v>2443</v>
      </c>
      <c r="M2127" s="25" t="str">
        <f t="shared" si="1043"/>
        <v>R</v>
      </c>
      <c r="N2127" s="25" t="str">
        <f>IF(L2127&lt;&gt;"",VLOOKUP(L2127,Categories!$B$2:$D$41,2,FALSE),IF(F2127&lt;&gt;"","No Cat",""))</f>
        <v>Rate Base</v>
      </c>
      <c r="O2127" s="25" t="str">
        <f>IF($L2127&lt;&gt;"",VLOOKUP($L2127,Categories!$B$2:$D$41,3,FALSE),IF($F2127&lt;&gt;"","No Cat",""))</f>
        <v>Deferred Income Taxes</v>
      </c>
      <c r="P2127" s="736" t="s">
        <v>2482</v>
      </c>
      <c r="Q2127" s="25" t="str">
        <f>VLOOKUP($P2127,Allocators!$B$7:$F$19,5,FALSE)</f>
        <v>Electric</v>
      </c>
      <c r="R2127" s="737">
        <f>VLOOKUP($P2127,Allocators!$B$7:$F$19,2,FALSE)</f>
        <v>1</v>
      </c>
      <c r="S2127" s="737">
        <f>VLOOKUP($P2127,Allocators!$B$7:$F$19,3,FALSE)</f>
        <v>0</v>
      </c>
      <c r="T2127" s="737" t="str">
        <f t="shared" si="1041"/>
        <v>0.0%</v>
      </c>
      <c r="U2127" s="2">
        <f t="shared" si="1032"/>
        <v>84.863</v>
      </c>
      <c r="V2127" s="2">
        <f t="shared" si="1033"/>
        <v>0</v>
      </c>
      <c r="W2127" s="2">
        <f t="shared" si="1034"/>
        <v>0</v>
      </c>
      <c r="X2127" s="2">
        <f t="shared" si="1024"/>
        <v>84.863</v>
      </c>
      <c r="Y2127" s="2">
        <f t="shared" si="1035"/>
        <v>84.863</v>
      </c>
      <c r="Z2127" s="2">
        <f t="shared" si="1036"/>
        <v>0</v>
      </c>
      <c r="AA2127" s="2">
        <f t="shared" si="1037"/>
        <v>0</v>
      </c>
      <c r="AB2127" s="2">
        <f t="shared" si="1025"/>
        <v>84.863</v>
      </c>
      <c r="AC2127" s="625">
        <v>84.863</v>
      </c>
      <c r="AD2127" s="625">
        <v>84.863</v>
      </c>
      <c r="AE2127" s="625">
        <v>84.863</v>
      </c>
      <c r="AF2127" s="625">
        <v>84.863</v>
      </c>
      <c r="AG2127" s="625">
        <v>84.863</v>
      </c>
      <c r="AH2127" s="625">
        <v>84.863</v>
      </c>
      <c r="AI2127" s="625">
        <v>84.863</v>
      </c>
      <c r="AJ2127" s="625">
        <v>84.863</v>
      </c>
      <c r="AK2127" s="625">
        <v>84.863</v>
      </c>
      <c r="AL2127" s="625">
        <v>84.863</v>
      </c>
      <c r="AM2127" s="625">
        <v>84.863</v>
      </c>
      <c r="AN2127" s="625">
        <v>84.863</v>
      </c>
      <c r="AO2127" s="625">
        <v>84.863</v>
      </c>
      <c r="AP2127" s="41" t="str">
        <f t="shared" si="1044"/>
        <v>Def TaxR</v>
      </c>
      <c r="AQ2127" s="41" t="str">
        <f t="shared" si="1045"/>
        <v>Def TaxRR11Sales &amp; Use Tax Audit</v>
      </c>
      <c r="AR2127" s="41" t="str">
        <f t="shared" si="1046"/>
        <v>R11Sales &amp; Use Tax Audit</v>
      </c>
    </row>
    <row r="2128" spans="1:44" s="41" customFormat="1" ht="12.75" customHeight="1">
      <c r="A2128" s="25" t="s">
        <v>1590</v>
      </c>
      <c r="B2128" s="25" t="str">
        <f t="shared" si="1040"/>
        <v>Def Tax283200283-082-JP</v>
      </c>
      <c r="C2128" s="736">
        <v>283200</v>
      </c>
      <c r="D2128" s="735" t="s">
        <v>2241</v>
      </c>
      <c r="F2128" s="41" t="str">
        <f t="shared" si="1038"/>
        <v>ACCUM DEF INC TAX-OTH-FEDERAL-ELECTRIC</v>
      </c>
      <c r="G2128" s="41" t="s">
        <v>2242</v>
      </c>
      <c r="H2128" s="736" t="s">
        <v>1117</v>
      </c>
      <c r="I2128" s="25"/>
      <c r="J2128" s="25" t="str">
        <f t="shared" si="1039"/>
        <v/>
      </c>
      <c r="K2128" s="442" t="str">
        <f t="shared" si="1042"/>
        <v/>
      </c>
      <c r="L2128" s="736" t="s">
        <v>2443</v>
      </c>
      <c r="M2128" s="25" t="str">
        <f t="shared" si="1043"/>
        <v>R</v>
      </c>
      <c r="N2128" s="25" t="str">
        <f>IF(L2128&lt;&gt;"",VLOOKUP(L2128,Categories!$B$2:$D$41,2,FALSE),IF(F2128&lt;&gt;"","No Cat",""))</f>
        <v>Rate Base</v>
      </c>
      <c r="O2128" s="25" t="str">
        <f>IF($L2128&lt;&gt;"",VLOOKUP($L2128,Categories!$B$2:$D$41,3,FALSE),IF($F2128&lt;&gt;"","No Cat",""))</f>
        <v>Deferred Income Taxes</v>
      </c>
      <c r="P2128" s="736" t="s">
        <v>2482</v>
      </c>
      <c r="Q2128" s="25" t="str">
        <f>VLOOKUP($P2128,Allocators!$B$7:$F$19,5,FALSE)</f>
        <v>Electric</v>
      </c>
      <c r="R2128" s="737">
        <f>VLOOKUP($P2128,Allocators!$B$7:$F$19,2,FALSE)</f>
        <v>1</v>
      </c>
      <c r="S2128" s="737">
        <f>VLOOKUP($P2128,Allocators!$B$7:$F$19,3,FALSE)</f>
        <v>0</v>
      </c>
      <c r="T2128" s="737" t="str">
        <f t="shared" si="1041"/>
        <v>0.0%</v>
      </c>
      <c r="U2128" s="2" t="str">
        <f t="shared" si="1032"/>
        <v/>
      </c>
      <c r="V2128" s="2" t="str">
        <f t="shared" si="1033"/>
        <v/>
      </c>
      <c r="W2128" s="2" t="str">
        <f t="shared" si="1034"/>
        <v/>
      </c>
      <c r="X2128" s="2">
        <f t="shared" si="1024"/>
        <v>0</v>
      </c>
      <c r="Y2128" s="2" t="str">
        <f t="shared" si="1035"/>
        <v/>
      </c>
      <c r="Z2128" s="2" t="str">
        <f t="shared" si="1036"/>
        <v/>
      </c>
      <c r="AA2128" s="2" t="str">
        <f t="shared" si="1037"/>
        <v/>
      </c>
      <c r="AB2128" s="2">
        <f t="shared" si="1025"/>
        <v>0</v>
      </c>
      <c r="AC2128" s="625">
        <v>0</v>
      </c>
      <c r="AD2128" s="625">
        <v>0</v>
      </c>
      <c r="AE2128" s="625">
        <v>0</v>
      </c>
      <c r="AF2128" s="625">
        <v>0</v>
      </c>
      <c r="AG2128" s="625">
        <v>0</v>
      </c>
      <c r="AH2128" s="625">
        <v>0</v>
      </c>
      <c r="AI2128" s="625">
        <v>0</v>
      </c>
      <c r="AJ2128" s="625">
        <v>0</v>
      </c>
      <c r="AK2128" s="625">
        <v>0</v>
      </c>
      <c r="AL2128" s="625">
        <v>0</v>
      </c>
      <c r="AM2128" s="625">
        <v>0</v>
      </c>
      <c r="AN2128" s="625">
        <v>0</v>
      </c>
      <c r="AO2128" s="625">
        <v>0</v>
      </c>
      <c r="AP2128" s="41" t="str">
        <f t="shared" si="1044"/>
        <v>Def TaxR</v>
      </c>
      <c r="AQ2128" s="41" t="str">
        <f t="shared" si="1045"/>
        <v>Def TaxRR11Security Costs</v>
      </c>
      <c r="AR2128" s="41" t="str">
        <f t="shared" si="1046"/>
        <v>R11Security Costs</v>
      </c>
    </row>
    <row r="2129" spans="1:44" s="41" customFormat="1" ht="12.75" customHeight="1">
      <c r="A2129" s="25" t="s">
        <v>1590</v>
      </c>
      <c r="B2129" s="25" t="str">
        <f t="shared" si="1040"/>
        <v>Def Tax283200283-069</v>
      </c>
      <c r="C2129" s="736">
        <v>283200</v>
      </c>
      <c r="D2129" s="735" t="s">
        <v>1992</v>
      </c>
      <c r="F2129" s="41" t="str">
        <f t="shared" si="1038"/>
        <v>ACCUM DEF INC TAX-OTH-FEDERAL-ELECTRIC</v>
      </c>
      <c r="G2129" s="41" t="s">
        <v>1994</v>
      </c>
      <c r="H2129" s="736" t="s">
        <v>1995</v>
      </c>
      <c r="I2129" s="25"/>
      <c r="J2129" s="25" t="str">
        <f t="shared" si="1039"/>
        <v/>
      </c>
      <c r="K2129" s="442" t="str">
        <f t="shared" si="1042"/>
        <v/>
      </c>
      <c r="L2129" s="736" t="s">
        <v>2443</v>
      </c>
      <c r="M2129" s="25" t="str">
        <f t="shared" si="1043"/>
        <v>R</v>
      </c>
      <c r="N2129" s="25" t="str">
        <f>IF(L2129&lt;&gt;"",VLOOKUP(L2129,Categories!$B$2:$D$41,2,FALSE),IF(F2129&lt;&gt;"","No Cat",""))</f>
        <v>Rate Base</v>
      </c>
      <c r="O2129" s="25" t="str">
        <f>IF($L2129&lt;&gt;"",VLOOKUP($L2129,Categories!$B$2:$D$41,3,FALSE),IF($F2129&lt;&gt;"","No Cat",""))</f>
        <v>Deferred Income Taxes</v>
      </c>
      <c r="P2129" s="736" t="s">
        <v>2482</v>
      </c>
      <c r="Q2129" s="25" t="str">
        <f>VLOOKUP($P2129,Allocators!$B$7:$F$19,5,FALSE)</f>
        <v>Electric</v>
      </c>
      <c r="R2129" s="737">
        <f>VLOOKUP($P2129,Allocators!$B$7:$F$19,2,FALSE)</f>
        <v>1</v>
      </c>
      <c r="S2129" s="737">
        <f>VLOOKUP($P2129,Allocators!$B$7:$F$19,3,FALSE)</f>
        <v>0</v>
      </c>
      <c r="T2129" s="737" t="str">
        <f t="shared" si="1041"/>
        <v>0.0%</v>
      </c>
      <c r="U2129" s="2" t="str">
        <f t="shared" si="1032"/>
        <v/>
      </c>
      <c r="V2129" s="2" t="str">
        <f t="shared" si="1033"/>
        <v/>
      </c>
      <c r="W2129" s="2" t="str">
        <f t="shared" si="1034"/>
        <v/>
      </c>
      <c r="X2129" s="2">
        <f t="shared" si="1024"/>
        <v>0</v>
      </c>
      <c r="Y2129" s="2" t="str">
        <f t="shared" si="1035"/>
        <v/>
      </c>
      <c r="Z2129" s="2" t="str">
        <f t="shared" si="1036"/>
        <v/>
      </c>
      <c r="AA2129" s="2" t="str">
        <f t="shared" si="1037"/>
        <v/>
      </c>
      <c r="AB2129" s="2">
        <f t="shared" si="1025"/>
        <v>0</v>
      </c>
      <c r="AC2129" s="625">
        <v>0</v>
      </c>
      <c r="AD2129" s="625">
        <v>0</v>
      </c>
      <c r="AE2129" s="625">
        <v>0</v>
      </c>
      <c r="AF2129" s="625">
        <v>0</v>
      </c>
      <c r="AG2129" s="625">
        <v>0</v>
      </c>
      <c r="AH2129" s="625">
        <v>0</v>
      </c>
      <c r="AI2129" s="625">
        <v>0</v>
      </c>
      <c r="AJ2129" s="625">
        <v>0</v>
      </c>
      <c r="AK2129" s="625">
        <v>0</v>
      </c>
      <c r="AL2129" s="625">
        <v>0</v>
      </c>
      <c r="AM2129" s="625">
        <v>0</v>
      </c>
      <c r="AN2129" s="625">
        <v>0</v>
      </c>
      <c r="AO2129" s="625">
        <v>0</v>
      </c>
      <c r="AP2129" s="41" t="str">
        <f t="shared" si="1044"/>
        <v>Def TaxR</v>
      </c>
      <c r="AQ2129" s="41" t="str">
        <f t="shared" si="1045"/>
        <v>Def TaxRR11NYS Income Tax / GRT Deferral</v>
      </c>
      <c r="AR2129" s="41" t="str">
        <f t="shared" si="1046"/>
        <v>R11NYS Income Tax / GRT Deferral</v>
      </c>
    </row>
    <row r="2130" spans="1:44" s="41" customFormat="1" ht="12.75" customHeight="1">
      <c r="A2130" s="25" t="s">
        <v>1590</v>
      </c>
      <c r="B2130" s="25" t="str">
        <f t="shared" si="1040"/>
        <v>Def Tax283200283-026</v>
      </c>
      <c r="C2130" s="736">
        <v>283200</v>
      </c>
      <c r="D2130" s="735" t="s">
        <v>1706</v>
      </c>
      <c r="F2130" s="41" t="str">
        <f t="shared" si="1038"/>
        <v>ACCUM DEF INC TAX-OTH-FEDERAL-ELECTRIC</v>
      </c>
      <c r="G2130" s="41" t="s">
        <v>2243</v>
      </c>
      <c r="H2130" s="736" t="s">
        <v>1134</v>
      </c>
      <c r="I2130" s="25"/>
      <c r="J2130" s="25" t="str">
        <f t="shared" si="1039"/>
        <v/>
      </c>
      <c r="K2130" s="442" t="str">
        <f t="shared" si="1042"/>
        <v/>
      </c>
      <c r="L2130" s="736" t="s">
        <v>2421</v>
      </c>
      <c r="M2130" s="25" t="str">
        <f t="shared" si="1043"/>
        <v>N</v>
      </c>
      <c r="N2130" s="25" t="str">
        <f>IF(L2130&lt;&gt;"",VLOOKUP(L2130,Categories!$B$2:$D$41,2,FALSE),IF(F2130&lt;&gt;"","No Cat",""))</f>
        <v>NRBASE</v>
      </c>
      <c r="O2130" s="25" t="str">
        <f>IF($L2130&lt;&gt;"",VLOOKUP($L2130,Categories!$B$2:$D$41,3,FALSE),IF($F2130&lt;&gt;"","No Cat",""))</f>
        <v>Direct Assign Items Not in RB</v>
      </c>
      <c r="P2130" s="736" t="s">
        <v>2468</v>
      </c>
      <c r="Q2130" s="25" t="str">
        <f>VLOOKUP($P2130,Allocators!$B$7:$F$19,5,FALSE)</f>
        <v>Not in Rate Base</v>
      </c>
      <c r="R2130" s="737">
        <f>VLOOKUP($P2130,Allocators!$B$7:$F$19,2,FALSE)</f>
        <v>0</v>
      </c>
      <c r="S2130" s="737">
        <f>VLOOKUP($P2130,Allocators!$B$7:$F$19,3,FALSE)</f>
        <v>0</v>
      </c>
      <c r="T2130" s="737">
        <f t="shared" si="1041"/>
        <v>1</v>
      </c>
      <c r="U2130" s="2" t="str">
        <f t="shared" si="1032"/>
        <v/>
      </c>
      <c r="V2130" s="2" t="str">
        <f t="shared" si="1033"/>
        <v/>
      </c>
      <c r="W2130" s="2" t="str">
        <f t="shared" si="1034"/>
        <v/>
      </c>
      <c r="X2130" s="2">
        <f t="shared" ref="X2130:X2193" si="1047">IF(ISERROR(ROUND((SUM(AC2130:AO2130)-((AC2130+AO2130))/2)/12,15)),"",ROUND((SUM(AC2130:AO2130)-((AC2130+AO2130))/2)/12,15))</f>
        <v>0</v>
      </c>
      <c r="Y2130" s="2" t="str">
        <f t="shared" si="1035"/>
        <v/>
      </c>
      <c r="Z2130" s="2" t="str">
        <f t="shared" si="1036"/>
        <v/>
      </c>
      <c r="AA2130" s="2" t="str">
        <f t="shared" si="1037"/>
        <v/>
      </c>
      <c r="AB2130" s="2">
        <f t="shared" ref="AB2130:AB2193" si="1048">IF(AO2130="",0,+AO2130)</f>
        <v>0</v>
      </c>
      <c r="AC2130" s="625">
        <v>0</v>
      </c>
      <c r="AD2130" s="625">
        <v>0</v>
      </c>
      <c r="AE2130" s="625">
        <v>0</v>
      </c>
      <c r="AF2130" s="625">
        <v>0</v>
      </c>
      <c r="AG2130" s="625">
        <v>0</v>
      </c>
      <c r="AH2130" s="625">
        <v>0</v>
      </c>
      <c r="AI2130" s="625">
        <v>0</v>
      </c>
      <c r="AJ2130" s="625">
        <v>0</v>
      </c>
      <c r="AK2130" s="625">
        <v>0</v>
      </c>
      <c r="AL2130" s="625">
        <v>0</v>
      </c>
      <c r="AM2130" s="625">
        <v>0</v>
      </c>
      <c r="AN2130" s="625">
        <v>0</v>
      </c>
      <c r="AO2130" s="625">
        <v>0</v>
      </c>
      <c r="AP2130" s="41" t="str">
        <f t="shared" si="1044"/>
        <v>Def TaxN</v>
      </c>
      <c r="AQ2130" s="41" t="str">
        <f t="shared" si="1045"/>
        <v>Def TaxNN2Environmental</v>
      </c>
      <c r="AR2130" s="41" t="str">
        <f t="shared" si="1046"/>
        <v>N2Environmental</v>
      </c>
    </row>
    <row r="2131" spans="1:44" s="41" customFormat="1" ht="12.75" customHeight="1">
      <c r="A2131" s="25" t="s">
        <v>1590</v>
      </c>
      <c r="B2131" s="25" t="str">
        <f t="shared" si="1040"/>
        <v>Def Tax283200283-063BTMISCDT</v>
      </c>
      <c r="C2131" s="736">
        <v>283200</v>
      </c>
      <c r="D2131" s="735" t="s">
        <v>2244</v>
      </c>
      <c r="E2131" s="41" t="s">
        <v>1971</v>
      </c>
      <c r="F2131" s="41" t="str">
        <f t="shared" si="1038"/>
        <v>ACCUM DEF INC TAX-OTH-FEDERAL-ELECTRIC</v>
      </c>
      <c r="G2131" s="41" t="s">
        <v>2245</v>
      </c>
      <c r="H2131" s="736" t="s">
        <v>2246</v>
      </c>
      <c r="I2131" s="25"/>
      <c r="J2131" s="25" t="str">
        <f t="shared" si="1039"/>
        <v/>
      </c>
      <c r="K2131" s="442" t="str">
        <f t="shared" si="1042"/>
        <v/>
      </c>
      <c r="L2131" s="736" t="s">
        <v>2443</v>
      </c>
      <c r="M2131" s="25" t="str">
        <f t="shared" si="1043"/>
        <v>R</v>
      </c>
      <c r="N2131" s="25" t="str">
        <f>IF(L2131&lt;&gt;"",VLOOKUP(L2131,Categories!$B$2:$D$41,2,FALSE),IF(F2131&lt;&gt;"","No Cat",""))</f>
        <v>Rate Base</v>
      </c>
      <c r="O2131" s="25" t="str">
        <f>IF($L2131&lt;&gt;"",VLOOKUP($L2131,Categories!$B$2:$D$41,3,FALSE),IF($F2131&lt;&gt;"","No Cat",""))</f>
        <v>Deferred Income Taxes</v>
      </c>
      <c r="P2131" s="736" t="s">
        <v>2482</v>
      </c>
      <c r="Q2131" s="25" t="str">
        <f>VLOOKUP($P2131,Allocators!$B$7:$F$19,5,FALSE)</f>
        <v>Electric</v>
      </c>
      <c r="R2131" s="737">
        <f>VLOOKUP($P2131,Allocators!$B$7:$F$19,2,FALSE)</f>
        <v>1</v>
      </c>
      <c r="S2131" s="737">
        <f>VLOOKUP($P2131,Allocators!$B$7:$F$19,3,FALSE)</f>
        <v>0</v>
      </c>
      <c r="T2131" s="737" t="str">
        <f t="shared" si="1041"/>
        <v>0.0%</v>
      </c>
      <c r="U2131" s="2" t="str">
        <f t="shared" si="1032"/>
        <v/>
      </c>
      <c r="V2131" s="2" t="str">
        <f t="shared" si="1033"/>
        <v/>
      </c>
      <c r="W2131" s="2" t="str">
        <f t="shared" si="1034"/>
        <v/>
      </c>
      <c r="X2131" s="2">
        <f t="shared" si="1047"/>
        <v>0</v>
      </c>
      <c r="Y2131" s="2" t="str">
        <f t="shared" si="1035"/>
        <v/>
      </c>
      <c r="Z2131" s="2" t="str">
        <f t="shared" si="1036"/>
        <v/>
      </c>
      <c r="AA2131" s="2" t="str">
        <f t="shared" si="1037"/>
        <v/>
      </c>
      <c r="AB2131" s="2">
        <f t="shared" si="1048"/>
        <v>0</v>
      </c>
      <c r="AC2131" s="625">
        <v>0</v>
      </c>
      <c r="AD2131" s="625">
        <v>0</v>
      </c>
      <c r="AE2131" s="625">
        <v>0</v>
      </c>
      <c r="AF2131" s="625">
        <v>0</v>
      </c>
      <c r="AG2131" s="625">
        <v>0</v>
      </c>
      <c r="AH2131" s="625">
        <v>0</v>
      </c>
      <c r="AI2131" s="625">
        <v>0</v>
      </c>
      <c r="AJ2131" s="625">
        <v>0</v>
      </c>
      <c r="AK2131" s="625">
        <v>0</v>
      </c>
      <c r="AL2131" s="625">
        <v>0</v>
      </c>
      <c r="AM2131" s="625">
        <v>0</v>
      </c>
      <c r="AN2131" s="625">
        <v>0</v>
      </c>
      <c r="AO2131" s="625">
        <v>0</v>
      </c>
      <c r="AP2131" s="41" t="str">
        <f t="shared" si="1044"/>
        <v>Def TaxR</v>
      </c>
      <c r="AQ2131" s="41" t="str">
        <f t="shared" si="1045"/>
        <v>Def TaxRR11STAR</v>
      </c>
      <c r="AR2131" s="41" t="str">
        <f t="shared" si="1046"/>
        <v>R11STAR</v>
      </c>
    </row>
    <row r="2132" spans="1:44" s="41" customFormat="1" ht="12.75" customHeight="1">
      <c r="A2132" s="25" t="s">
        <v>1590</v>
      </c>
      <c r="B2132" s="25" t="str">
        <f t="shared" si="1040"/>
        <v>Def Tax283200Unit of PropBT010354</v>
      </c>
      <c r="C2132" s="736">
        <v>283200</v>
      </c>
      <c r="D2132" s="735" t="s">
        <v>2247</v>
      </c>
      <c r="E2132" s="41" t="s">
        <v>2248</v>
      </c>
      <c r="F2132" s="41" t="str">
        <f t="shared" si="1038"/>
        <v>ACCUM DEF INC TAX-OTH-FEDERAL-ELECTRIC</v>
      </c>
      <c r="G2132" s="41" t="s">
        <v>2249</v>
      </c>
      <c r="H2132" s="736" t="s">
        <v>2249</v>
      </c>
      <c r="I2132" s="25"/>
      <c r="J2132" s="25" t="str">
        <f t="shared" si="1039"/>
        <v/>
      </c>
      <c r="K2132" s="442" t="str">
        <f t="shared" si="1042"/>
        <v/>
      </c>
      <c r="L2132" s="736" t="s">
        <v>2443</v>
      </c>
      <c r="M2132" s="25" t="str">
        <f t="shared" si="1043"/>
        <v>R</v>
      </c>
      <c r="N2132" s="25" t="str">
        <f>IF(L2132&lt;&gt;"",VLOOKUP(L2132,Categories!$B$2:$D$41,2,FALSE),IF(F2132&lt;&gt;"","No Cat",""))</f>
        <v>Rate Base</v>
      </c>
      <c r="O2132" s="25" t="str">
        <f>IF($L2132&lt;&gt;"",VLOOKUP($L2132,Categories!$B$2:$D$41,3,FALSE),IF($F2132&lt;&gt;"","No Cat",""))</f>
        <v>Deferred Income Taxes</v>
      </c>
      <c r="P2132" s="736" t="s">
        <v>2482</v>
      </c>
      <c r="Q2132" s="25" t="str">
        <f>VLOOKUP($P2132,Allocators!$B$7:$F$19,5,FALSE)</f>
        <v>Electric</v>
      </c>
      <c r="R2132" s="737">
        <f>VLOOKUP($P2132,Allocators!$B$7:$F$19,2,FALSE)</f>
        <v>1</v>
      </c>
      <c r="S2132" s="737">
        <f>VLOOKUP($P2132,Allocators!$B$7:$F$19,3,FALSE)</f>
        <v>0</v>
      </c>
      <c r="T2132" s="737" t="str">
        <f t="shared" si="1041"/>
        <v>0.0%</v>
      </c>
      <c r="U2132" s="2" t="str">
        <f t="shared" si="1032"/>
        <v/>
      </c>
      <c r="V2132" s="2" t="str">
        <f t="shared" si="1033"/>
        <v/>
      </c>
      <c r="W2132" s="2" t="str">
        <f t="shared" si="1034"/>
        <v/>
      </c>
      <c r="X2132" s="2">
        <f t="shared" si="1047"/>
        <v>0</v>
      </c>
      <c r="Y2132" s="2" t="str">
        <f t="shared" si="1035"/>
        <v/>
      </c>
      <c r="Z2132" s="2" t="str">
        <f t="shared" si="1036"/>
        <v/>
      </c>
      <c r="AA2132" s="2" t="str">
        <f t="shared" si="1037"/>
        <v/>
      </c>
      <c r="AB2132" s="2">
        <f t="shared" si="1048"/>
        <v>0</v>
      </c>
      <c r="AC2132" s="625">
        <v>0</v>
      </c>
      <c r="AD2132" s="625">
        <v>0</v>
      </c>
      <c r="AE2132" s="625">
        <v>0</v>
      </c>
      <c r="AF2132" s="625">
        <v>0</v>
      </c>
      <c r="AG2132" s="625">
        <v>0</v>
      </c>
      <c r="AH2132" s="625">
        <v>0</v>
      </c>
      <c r="AI2132" s="625">
        <v>0</v>
      </c>
      <c r="AJ2132" s="625">
        <v>0</v>
      </c>
      <c r="AK2132" s="625">
        <v>0</v>
      </c>
      <c r="AL2132" s="625">
        <v>0</v>
      </c>
      <c r="AM2132" s="625">
        <v>0</v>
      </c>
      <c r="AN2132" s="625">
        <v>0</v>
      </c>
      <c r="AO2132" s="625">
        <v>0</v>
      </c>
      <c r="AP2132" s="41" t="str">
        <f t="shared" si="1044"/>
        <v>Def TaxR</v>
      </c>
      <c r="AQ2132" s="41" t="str">
        <f t="shared" si="1045"/>
        <v>Def TaxRR11Unit of Property - 481Adj</v>
      </c>
      <c r="AR2132" s="41" t="str">
        <f t="shared" si="1046"/>
        <v>R11Unit of Property - 481Adj</v>
      </c>
    </row>
    <row r="2133" spans="1:44" s="41" customFormat="1" ht="12.75" customHeight="1">
      <c r="A2133" s="25" t="s">
        <v>1590</v>
      </c>
      <c r="B2133" s="25" t="str">
        <f t="shared" si="1040"/>
        <v>Def Tax283200283-033</v>
      </c>
      <c r="C2133" s="736">
        <v>283200</v>
      </c>
      <c r="D2133" s="735" t="s">
        <v>2001</v>
      </c>
      <c r="F2133" s="41" t="str">
        <f t="shared" si="1038"/>
        <v>ACCUM DEF INC TAX-OTH-FEDERAL-ELECTRIC</v>
      </c>
      <c r="G2133" s="41" t="s">
        <v>2003</v>
      </c>
      <c r="H2133" s="736" t="s">
        <v>2004</v>
      </c>
      <c r="I2133" s="25"/>
      <c r="J2133" s="25" t="str">
        <f t="shared" si="1039"/>
        <v/>
      </c>
      <c r="K2133" s="442" t="str">
        <f t="shared" si="1042"/>
        <v/>
      </c>
      <c r="L2133" s="736" t="s">
        <v>2443</v>
      </c>
      <c r="M2133" s="25" t="str">
        <f t="shared" si="1043"/>
        <v>R</v>
      </c>
      <c r="N2133" s="25" t="str">
        <f>IF(L2133&lt;&gt;"",VLOOKUP(L2133,Categories!$B$2:$D$41,2,FALSE),IF(F2133&lt;&gt;"","No Cat",""))</f>
        <v>Rate Base</v>
      </c>
      <c r="O2133" s="25" t="str">
        <f>IF($L2133&lt;&gt;"",VLOOKUP($L2133,Categories!$B$2:$D$41,3,FALSE),IF($F2133&lt;&gt;"","No Cat",""))</f>
        <v>Deferred Income Taxes</v>
      </c>
      <c r="P2133" s="736" t="s">
        <v>2482</v>
      </c>
      <c r="Q2133" s="25" t="str">
        <f>VLOOKUP($P2133,Allocators!$B$7:$F$19,5,FALSE)</f>
        <v>Electric</v>
      </c>
      <c r="R2133" s="737">
        <f>VLOOKUP($P2133,Allocators!$B$7:$F$19,2,FALSE)</f>
        <v>1</v>
      </c>
      <c r="S2133" s="737">
        <f>VLOOKUP($P2133,Allocators!$B$7:$F$19,3,FALSE)</f>
        <v>0</v>
      </c>
      <c r="T2133" s="737" t="str">
        <f t="shared" si="1041"/>
        <v>0.0%</v>
      </c>
      <c r="U2133" s="2" t="str">
        <f t="shared" si="1032"/>
        <v/>
      </c>
      <c r="V2133" s="2" t="str">
        <f t="shared" si="1033"/>
        <v/>
      </c>
      <c r="W2133" s="2" t="str">
        <f t="shared" si="1034"/>
        <v/>
      </c>
      <c r="X2133" s="2">
        <f t="shared" si="1047"/>
        <v>0</v>
      </c>
      <c r="Y2133" s="2" t="str">
        <f t="shared" si="1035"/>
        <v/>
      </c>
      <c r="Z2133" s="2" t="str">
        <f t="shared" si="1036"/>
        <v/>
      </c>
      <c r="AA2133" s="2" t="str">
        <f t="shared" si="1037"/>
        <v/>
      </c>
      <c r="AB2133" s="2">
        <f t="shared" si="1048"/>
        <v>0</v>
      </c>
      <c r="AC2133" s="625">
        <v>0</v>
      </c>
      <c r="AD2133" s="625">
        <v>0</v>
      </c>
      <c r="AE2133" s="625">
        <v>0</v>
      </c>
      <c r="AF2133" s="625">
        <v>0</v>
      </c>
      <c r="AG2133" s="625">
        <v>0</v>
      </c>
      <c r="AH2133" s="625">
        <v>0</v>
      </c>
      <c r="AI2133" s="625">
        <v>0</v>
      </c>
      <c r="AJ2133" s="625">
        <v>0</v>
      </c>
      <c r="AK2133" s="625">
        <v>0</v>
      </c>
      <c r="AL2133" s="625">
        <v>0</v>
      </c>
      <c r="AM2133" s="625">
        <v>0</v>
      </c>
      <c r="AN2133" s="625">
        <v>0</v>
      </c>
      <c r="AO2133" s="625">
        <v>0</v>
      </c>
      <c r="AP2133" s="41" t="str">
        <f t="shared" si="1044"/>
        <v>Def TaxR</v>
      </c>
      <c r="AQ2133" s="41" t="str">
        <f t="shared" si="1045"/>
        <v>Def TaxRR11Uranium Enrichment D&amp;D</v>
      </c>
      <c r="AR2133" s="41" t="str">
        <f t="shared" si="1046"/>
        <v>R11Uranium Enrichment D&amp;D</v>
      </c>
    </row>
    <row r="2134" spans="1:44" s="41" customFormat="1" ht="12.75" customHeight="1">
      <c r="A2134" s="25" t="s">
        <v>1590</v>
      </c>
      <c r="B2134" s="25" t="str">
        <f t="shared" si="1040"/>
        <v>Def Tax283200283-044</v>
      </c>
      <c r="C2134" s="736">
        <v>283200</v>
      </c>
      <c r="D2134" s="735" t="s">
        <v>2007</v>
      </c>
      <c r="F2134" s="41" t="str">
        <f t="shared" si="1038"/>
        <v>ACCUM DEF INC TAX-OTH-FEDERAL-ELECTRIC</v>
      </c>
      <c r="G2134" s="41" t="s">
        <v>2008</v>
      </c>
      <c r="H2134" s="736" t="s">
        <v>2009</v>
      </c>
      <c r="I2134" s="25"/>
      <c r="J2134" s="25" t="str">
        <f t="shared" si="1039"/>
        <v/>
      </c>
      <c r="K2134" s="442" t="str">
        <f t="shared" si="1042"/>
        <v/>
      </c>
      <c r="L2134" s="736" t="s">
        <v>2443</v>
      </c>
      <c r="M2134" s="25" t="str">
        <f t="shared" si="1043"/>
        <v>R</v>
      </c>
      <c r="N2134" s="25" t="str">
        <f>IF(L2134&lt;&gt;"",VLOOKUP(L2134,Categories!$B$2:$D$41,2,FALSE),IF(F2134&lt;&gt;"","No Cat",""))</f>
        <v>Rate Base</v>
      </c>
      <c r="O2134" s="25" t="str">
        <f>IF($L2134&lt;&gt;"",VLOOKUP($L2134,Categories!$B$2:$D$41,3,FALSE),IF($F2134&lt;&gt;"","No Cat",""))</f>
        <v>Deferred Income Taxes</v>
      </c>
      <c r="P2134" s="736" t="s">
        <v>2482</v>
      </c>
      <c r="Q2134" s="25" t="str">
        <f>VLOOKUP($P2134,Allocators!$B$7:$F$19,5,FALSE)</f>
        <v>Electric</v>
      </c>
      <c r="R2134" s="737">
        <f>VLOOKUP($P2134,Allocators!$B$7:$F$19,2,FALSE)</f>
        <v>1</v>
      </c>
      <c r="S2134" s="737">
        <f>VLOOKUP($P2134,Allocators!$B$7:$F$19,3,FALSE)</f>
        <v>0</v>
      </c>
      <c r="T2134" s="737" t="str">
        <f t="shared" si="1041"/>
        <v>0.0%</v>
      </c>
      <c r="U2134" s="2" t="str">
        <f t="shared" si="1032"/>
        <v/>
      </c>
      <c r="V2134" s="2" t="str">
        <f t="shared" si="1033"/>
        <v/>
      </c>
      <c r="W2134" s="2" t="str">
        <f t="shared" si="1034"/>
        <v/>
      </c>
      <c r="X2134" s="2">
        <f t="shared" si="1047"/>
        <v>0</v>
      </c>
      <c r="Y2134" s="2" t="str">
        <f t="shared" si="1035"/>
        <v/>
      </c>
      <c r="Z2134" s="2" t="str">
        <f t="shared" si="1036"/>
        <v/>
      </c>
      <c r="AA2134" s="2" t="str">
        <f t="shared" si="1037"/>
        <v/>
      </c>
      <c r="AB2134" s="2">
        <f t="shared" si="1048"/>
        <v>0</v>
      </c>
      <c r="AC2134" s="625">
        <v>0</v>
      </c>
      <c r="AD2134" s="625">
        <v>0</v>
      </c>
      <c r="AE2134" s="625">
        <v>0</v>
      </c>
      <c r="AF2134" s="625">
        <v>0</v>
      </c>
      <c r="AG2134" s="625">
        <v>0</v>
      </c>
      <c r="AH2134" s="625">
        <v>0</v>
      </c>
      <c r="AI2134" s="625">
        <v>0</v>
      </c>
      <c r="AJ2134" s="625">
        <v>0</v>
      </c>
      <c r="AK2134" s="625">
        <v>0</v>
      </c>
      <c r="AL2134" s="625">
        <v>0</v>
      </c>
      <c r="AM2134" s="625">
        <v>0</v>
      </c>
      <c r="AN2134" s="625">
        <v>0</v>
      </c>
      <c r="AO2134" s="625">
        <v>0</v>
      </c>
      <c r="AP2134" s="41" t="str">
        <f t="shared" si="1044"/>
        <v>Def TaxR</v>
      </c>
      <c r="AQ2134" s="41" t="str">
        <f t="shared" si="1045"/>
        <v>Def TaxRR111998 Wind Storm</v>
      </c>
      <c r="AR2134" s="41" t="str">
        <f t="shared" si="1046"/>
        <v>R111998 Wind Storm</v>
      </c>
    </row>
    <row r="2135" spans="1:44" s="41" customFormat="1" ht="12.75" customHeight="1">
      <c r="A2135" s="25" t="s">
        <v>1590</v>
      </c>
      <c r="B2135" s="25" t="str">
        <f t="shared" ref="B2135" si="1049">CONCATENATE(A2135,C2135,D2135,E2135)</f>
        <v>Def Tax283200283-062BTMISCDT</v>
      </c>
      <c r="C2135" s="736">
        <v>283200</v>
      </c>
      <c r="D2135" s="735" t="s">
        <v>2211</v>
      </c>
      <c r="E2135" s="41" t="s">
        <v>1971</v>
      </c>
      <c r="F2135" s="41" t="str">
        <f t="shared" si="1038"/>
        <v>ACCUM DEF INC TAX-OTH-FEDERAL-ELECTRIC</v>
      </c>
      <c r="G2135" s="41" t="s">
        <v>4263</v>
      </c>
      <c r="H2135" s="736" t="s">
        <v>4455</v>
      </c>
      <c r="I2135" s="25"/>
      <c r="J2135" s="25"/>
      <c r="K2135" s="442"/>
      <c r="L2135" s="736" t="s">
        <v>2443</v>
      </c>
      <c r="M2135" s="25" t="str">
        <f t="shared" si="1043"/>
        <v>R</v>
      </c>
      <c r="N2135" s="25" t="str">
        <f>IF(L2135&lt;&gt;"",VLOOKUP(L2135,Categories!$B$2:$D$41,2,FALSE),IF(F2135&lt;&gt;"","No Cat",""))</f>
        <v>Rate Base</v>
      </c>
      <c r="O2135" s="25" t="str">
        <f>IF($L2135&lt;&gt;"",VLOOKUP($L2135,Categories!$B$2:$D$41,3,FALSE),IF($F2135&lt;&gt;"","No Cat",""))</f>
        <v>Deferred Income Taxes</v>
      </c>
      <c r="P2135" s="736" t="s">
        <v>2482</v>
      </c>
      <c r="Q2135" s="25" t="str">
        <f>VLOOKUP($P2135,Allocators!$B$7:$F$19,5,FALSE)</f>
        <v>Electric</v>
      </c>
      <c r="R2135" s="737">
        <f>VLOOKUP($P2135,Allocators!$B$7:$F$19,2,FALSE)</f>
        <v>1</v>
      </c>
      <c r="S2135" s="737">
        <f>VLOOKUP($P2135,Allocators!$B$7:$F$19,3,FALSE)</f>
        <v>0</v>
      </c>
      <c r="T2135" s="737" t="str">
        <f t="shared" si="1041"/>
        <v>0.0%</v>
      </c>
      <c r="U2135" s="2">
        <f t="shared" si="1032"/>
        <v>-378</v>
      </c>
      <c r="V2135" s="2">
        <f t="shared" si="1033"/>
        <v>0</v>
      </c>
      <c r="W2135" s="2">
        <f t="shared" si="1034"/>
        <v>0</v>
      </c>
      <c r="X2135" s="2">
        <f t="shared" si="1047"/>
        <v>-378</v>
      </c>
      <c r="Y2135" s="2">
        <f t="shared" si="1035"/>
        <v>-494</v>
      </c>
      <c r="Z2135" s="2">
        <f t="shared" si="1036"/>
        <v>0</v>
      </c>
      <c r="AA2135" s="2">
        <f t="shared" si="1037"/>
        <v>0</v>
      </c>
      <c r="AB2135" s="2">
        <f t="shared" si="1048"/>
        <v>-494</v>
      </c>
      <c r="AC2135" s="625"/>
      <c r="AD2135" s="625"/>
      <c r="AE2135" s="625"/>
      <c r="AF2135" s="625"/>
      <c r="AG2135" s="625"/>
      <c r="AH2135" s="625"/>
      <c r="AI2135" s="625">
        <v>-759</v>
      </c>
      <c r="AJ2135" s="625">
        <v>-759</v>
      </c>
      <c r="AK2135" s="625">
        <v>-759</v>
      </c>
      <c r="AL2135" s="625">
        <v>-759</v>
      </c>
      <c r="AM2135" s="625">
        <v>-759</v>
      </c>
      <c r="AN2135" s="625">
        <v>-494</v>
      </c>
      <c r="AO2135" s="625">
        <v>-494</v>
      </c>
      <c r="AP2135" s="41" t="str">
        <f t="shared" si="1044"/>
        <v>Def TaxR</v>
      </c>
      <c r="AQ2135" s="41" t="str">
        <f t="shared" si="1045"/>
        <v>Def TaxRR11Excess DIT - New York State Tax Rate change</v>
      </c>
      <c r="AR2135" s="41" t="str">
        <f t="shared" si="1046"/>
        <v>R11Excess DIT - New York State Tax Rate change</v>
      </c>
    </row>
    <row r="2136" spans="1:44" s="41" customFormat="1" ht="12.75" customHeight="1">
      <c r="A2136" s="442" t="s">
        <v>1590</v>
      </c>
      <c r="B2136" s="442" t="str">
        <f t="shared" si="1040"/>
        <v>Def Tax283200283-084</v>
      </c>
      <c r="C2136" s="736">
        <v>283200</v>
      </c>
      <c r="D2136" s="735" t="s">
        <v>2250</v>
      </c>
      <c r="E2136" s="626"/>
      <c r="F2136" s="626" t="str">
        <f t="shared" si="1038"/>
        <v>ACCUM DEF INC TAX-OTH-FEDERAL-ELECTRIC</v>
      </c>
      <c r="G2136" s="626" t="s">
        <v>2251</v>
      </c>
      <c r="H2136" s="736">
        <v>0</v>
      </c>
      <c r="I2136" s="442"/>
      <c r="J2136" s="442" t="str">
        <f t="shared" si="1039"/>
        <v/>
      </c>
      <c r="K2136" s="442" t="str">
        <f t="shared" si="1042"/>
        <v/>
      </c>
      <c r="L2136" s="736" t="s">
        <v>2421</v>
      </c>
      <c r="M2136" s="442" t="str">
        <f t="shared" si="1043"/>
        <v>N</v>
      </c>
      <c r="N2136" s="442" t="str">
        <f>IF(L2136&lt;&gt;"",VLOOKUP(L2136,Categories!$B$2:$D$41,2,FALSE),IF(F2136&lt;&gt;"","No Cat",""))</f>
        <v>NRBASE</v>
      </c>
      <c r="O2136" s="442" t="str">
        <f>IF($L2136&lt;&gt;"",VLOOKUP($L2136,Categories!$B$2:$D$41,3,FALSE),IF($F2136&lt;&gt;"","No Cat",""))</f>
        <v>Direct Assign Items Not in RB</v>
      </c>
      <c r="P2136" s="736" t="s">
        <v>2468</v>
      </c>
      <c r="Q2136" s="442" t="str">
        <f>VLOOKUP($P2136,Allocators!$B$7:$F$19,5,FALSE)</f>
        <v>Not in Rate Base</v>
      </c>
      <c r="R2136" s="737">
        <f>VLOOKUP($P2136,Allocators!$B$7:$F$19,2,FALSE)</f>
        <v>0</v>
      </c>
      <c r="S2136" s="737">
        <f>VLOOKUP($P2136,Allocators!$B$7:$F$19,3,FALSE)</f>
        <v>0</v>
      </c>
      <c r="T2136" s="737">
        <f t="shared" si="1041"/>
        <v>1</v>
      </c>
      <c r="U2136" s="2" t="str">
        <f t="shared" si="1032"/>
        <v/>
      </c>
      <c r="V2136" s="2" t="str">
        <f t="shared" si="1033"/>
        <v/>
      </c>
      <c r="W2136" s="2" t="str">
        <f t="shared" si="1034"/>
        <v/>
      </c>
      <c r="X2136" s="2">
        <f t="shared" si="1047"/>
        <v>0</v>
      </c>
      <c r="Y2136" s="2" t="str">
        <f t="shared" si="1035"/>
        <v/>
      </c>
      <c r="Z2136" s="2" t="str">
        <f t="shared" si="1036"/>
        <v/>
      </c>
      <c r="AA2136" s="2" t="str">
        <f t="shared" si="1037"/>
        <v/>
      </c>
      <c r="AB2136" s="2">
        <f t="shared" si="1048"/>
        <v>0</v>
      </c>
      <c r="AC2136" s="625">
        <v>0</v>
      </c>
      <c r="AD2136" s="625">
        <v>0</v>
      </c>
      <c r="AE2136" s="625">
        <v>0</v>
      </c>
      <c r="AF2136" s="625">
        <v>0</v>
      </c>
      <c r="AG2136" s="625">
        <v>0</v>
      </c>
      <c r="AH2136" s="625">
        <v>0</v>
      </c>
      <c r="AI2136" s="625">
        <v>0</v>
      </c>
      <c r="AJ2136" s="625">
        <v>0</v>
      </c>
      <c r="AK2136" s="625">
        <v>0</v>
      </c>
      <c r="AL2136" s="625">
        <v>0</v>
      </c>
      <c r="AM2136" s="625">
        <v>0</v>
      </c>
      <c r="AN2136" s="625">
        <v>0</v>
      </c>
      <c r="AO2136" s="625">
        <v>0</v>
      </c>
      <c r="AP2136" s="41" t="str">
        <f t="shared" si="1044"/>
        <v>Def TaxN</v>
      </c>
      <c r="AQ2136" s="41" t="str">
        <f t="shared" si="1045"/>
        <v>Def TaxNN20</v>
      </c>
      <c r="AR2136" s="41" t="str">
        <f t="shared" si="1046"/>
        <v>N20</v>
      </c>
    </row>
    <row r="2137" spans="1:44" s="41" customFormat="1" ht="12.75" customHeight="1">
      <c r="A2137" s="25" t="s">
        <v>1590</v>
      </c>
      <c r="B2137" s="25" t="str">
        <f t="shared" si="1040"/>
        <v>Def Tax283210283-048/
283-034/
283-043BT010229</v>
      </c>
      <c r="C2137" s="736">
        <v>283210</v>
      </c>
      <c r="D2137" s="735" t="s">
        <v>2133</v>
      </c>
      <c r="E2137" s="41" t="s">
        <v>2063</v>
      </c>
      <c r="F2137" s="41" t="str">
        <f t="shared" si="1038"/>
        <v>ACCUM DEF INC TAX-OTH-FEDERAL-GAS</v>
      </c>
      <c r="G2137" s="41" t="s">
        <v>2134</v>
      </c>
      <c r="H2137" s="736">
        <v>0</v>
      </c>
      <c r="I2137" s="25"/>
      <c r="J2137" s="25" t="str">
        <f t="shared" si="1039"/>
        <v/>
      </c>
      <c r="K2137" s="442" t="str">
        <f t="shared" si="1042"/>
        <v/>
      </c>
      <c r="L2137" s="736" t="s">
        <v>2443</v>
      </c>
      <c r="M2137" s="25" t="str">
        <f t="shared" si="1043"/>
        <v>R</v>
      </c>
      <c r="N2137" s="25" t="str">
        <f>IF(L2137&lt;&gt;"",VLOOKUP(L2137,Categories!$B$2:$D$41,2,FALSE),IF(F2137&lt;&gt;"","No Cat",""))</f>
        <v>Rate Base</v>
      </c>
      <c r="O2137" s="25" t="str">
        <f>IF($L2137&lt;&gt;"",VLOOKUP($L2137,Categories!$B$2:$D$41,3,FALSE),IF($F2137&lt;&gt;"","No Cat",""))</f>
        <v>Deferred Income Taxes</v>
      </c>
      <c r="P2137" s="736" t="s">
        <v>2483</v>
      </c>
      <c r="Q2137" s="25" t="str">
        <f>VLOOKUP($P2137,Allocators!$B$7:$F$19,5,FALSE)</f>
        <v>Gas</v>
      </c>
      <c r="R2137" s="737">
        <f>VLOOKUP($P2137,Allocators!$B$7:$F$19,2,FALSE)</f>
        <v>0</v>
      </c>
      <c r="S2137" s="737">
        <f>VLOOKUP($P2137,Allocators!$B$7:$F$19,3,FALSE)</f>
        <v>1</v>
      </c>
      <c r="T2137" s="737" t="str">
        <f t="shared" si="1041"/>
        <v>0.0%</v>
      </c>
      <c r="U2137" s="2" t="str">
        <f t="shared" si="1032"/>
        <v/>
      </c>
      <c r="V2137" s="2" t="str">
        <f t="shared" si="1033"/>
        <v/>
      </c>
      <c r="W2137" s="2" t="str">
        <f t="shared" si="1034"/>
        <v/>
      </c>
      <c r="X2137" s="2">
        <f t="shared" si="1047"/>
        <v>0</v>
      </c>
      <c r="Y2137" s="2" t="str">
        <f t="shared" si="1035"/>
        <v/>
      </c>
      <c r="Z2137" s="2" t="str">
        <f t="shared" si="1036"/>
        <v/>
      </c>
      <c r="AA2137" s="2" t="str">
        <f t="shared" si="1037"/>
        <v/>
      </c>
      <c r="AB2137" s="2">
        <f t="shared" si="1048"/>
        <v>0</v>
      </c>
      <c r="AC2137" s="625">
        <v>0</v>
      </c>
      <c r="AD2137" s="625">
        <v>0</v>
      </c>
      <c r="AE2137" s="625">
        <v>0</v>
      </c>
      <c r="AF2137" s="625">
        <v>0</v>
      </c>
      <c r="AG2137" s="625">
        <v>0</v>
      </c>
      <c r="AH2137" s="625">
        <v>0</v>
      </c>
      <c r="AI2137" s="625">
        <v>0</v>
      </c>
      <c r="AJ2137" s="625">
        <v>0</v>
      </c>
      <c r="AK2137" s="625">
        <v>0</v>
      </c>
      <c r="AL2137" s="625">
        <v>0</v>
      </c>
      <c r="AM2137" s="625">
        <v>0</v>
      </c>
      <c r="AN2137" s="625">
        <v>0</v>
      </c>
      <c r="AO2137" s="625">
        <v>0</v>
      </c>
      <c r="AP2137" s="41" t="str">
        <f t="shared" si="1044"/>
        <v>Def TaxR</v>
      </c>
      <c r="AQ2137" s="41" t="str">
        <f t="shared" si="1045"/>
        <v>Def TaxRR110</v>
      </c>
      <c r="AR2137" s="41" t="str">
        <f t="shared" si="1046"/>
        <v>R110</v>
      </c>
    </row>
    <row r="2138" spans="1:44" s="41" customFormat="1" ht="12.75" customHeight="1">
      <c r="A2138" s="25" t="s">
        <v>1590</v>
      </c>
      <c r="B2138" s="25" t="str">
        <f t="shared" si="1040"/>
        <v>Def Tax283210283-020</v>
      </c>
      <c r="C2138" s="736">
        <v>283210</v>
      </c>
      <c r="D2138" s="735" t="s">
        <v>1826</v>
      </c>
      <c r="F2138" s="41" t="str">
        <f t="shared" si="1038"/>
        <v>ACCUM DEF INC TAX-OTH-FEDERAL-GAS</v>
      </c>
      <c r="G2138" s="41" t="s">
        <v>1828</v>
      </c>
      <c r="H2138" s="736" t="s">
        <v>1829</v>
      </c>
      <c r="I2138" s="25"/>
      <c r="J2138" s="25" t="str">
        <f t="shared" si="1039"/>
        <v/>
      </c>
      <c r="K2138" s="442" t="str">
        <f t="shared" si="1042"/>
        <v/>
      </c>
      <c r="L2138" s="736" t="s">
        <v>2443</v>
      </c>
      <c r="M2138" s="25" t="str">
        <f t="shared" si="1043"/>
        <v>R</v>
      </c>
      <c r="N2138" s="25" t="str">
        <f>IF(L2138&lt;&gt;"",VLOOKUP(L2138,Categories!$B$2:$D$41,2,FALSE),IF(F2138&lt;&gt;"","No Cat",""))</f>
        <v>Rate Base</v>
      </c>
      <c r="O2138" s="25" t="str">
        <f>IF($L2138&lt;&gt;"",VLOOKUP($L2138,Categories!$B$2:$D$41,3,FALSE),IF($F2138&lt;&gt;"","No Cat",""))</f>
        <v>Deferred Income Taxes</v>
      </c>
      <c r="P2138" s="736" t="s">
        <v>2483</v>
      </c>
      <c r="Q2138" s="25" t="str">
        <f>VLOOKUP($P2138,Allocators!$B$7:$F$19,5,FALSE)</f>
        <v>Gas</v>
      </c>
      <c r="R2138" s="737">
        <f>VLOOKUP($P2138,Allocators!$B$7:$F$19,2,FALSE)</f>
        <v>0</v>
      </c>
      <c r="S2138" s="737">
        <f>VLOOKUP($P2138,Allocators!$B$7:$F$19,3,FALSE)</f>
        <v>1</v>
      </c>
      <c r="T2138" s="737" t="str">
        <f t="shared" si="1041"/>
        <v>0.0%</v>
      </c>
      <c r="U2138" s="2" t="str">
        <f t="shared" ref="U2138:U2201" si="1050">IF(ABS(X2138)=0,"",IF($R2138="NO ALLOC","NO ALLOC",ROUND($R2138*X2138,15)))</f>
        <v/>
      </c>
      <c r="V2138" s="2" t="str">
        <f t="shared" ref="V2138:V2201" si="1051">IF(ABS(X2138)=0,"",IF($S2138="NO ALLOC","NO ALLOC",ROUND($S2138*X2138,15)))</f>
        <v/>
      </c>
      <c r="W2138" s="2" t="str">
        <f t="shared" ref="W2138:W2201" si="1052">IF(ABS(X2138)=0,"",IF($T2138="NO ALLOC","NO ALLOC",ROUND($T2138*X2138,15)))</f>
        <v/>
      </c>
      <c r="X2138" s="2">
        <f t="shared" si="1047"/>
        <v>0</v>
      </c>
      <c r="Y2138" s="2" t="str">
        <f t="shared" ref="Y2138:Y2201" si="1053">IF(ABS(AB2138)=0,"",IF($R2138="NO ALLOC","NO ALLOC",ROUND($R2138*AB2138,15)))</f>
        <v/>
      </c>
      <c r="Z2138" s="2" t="str">
        <f t="shared" ref="Z2138:Z2201" si="1054">IF(ABS(AB2138)=0,"",IF($S2138="NO ALLOC","NO ALLOC",ROUND($S2138*AB2138,15)))</f>
        <v/>
      </c>
      <c r="AA2138" s="2" t="str">
        <f t="shared" ref="AA2138:AA2201" si="1055">IF(ABS(AB2138)=0,"",IF($T2138="NO ALLOC","NO ALLOC",ROUND($T2138*AB2138,15)))</f>
        <v/>
      </c>
      <c r="AB2138" s="2">
        <f t="shared" si="1048"/>
        <v>0</v>
      </c>
      <c r="AC2138" s="625">
        <v>0</v>
      </c>
      <c r="AD2138" s="625">
        <v>0</v>
      </c>
      <c r="AE2138" s="625">
        <v>0</v>
      </c>
      <c r="AF2138" s="625">
        <v>0</v>
      </c>
      <c r="AG2138" s="625">
        <v>0</v>
      </c>
      <c r="AH2138" s="625">
        <v>0</v>
      </c>
      <c r="AI2138" s="625">
        <v>0</v>
      </c>
      <c r="AJ2138" s="625">
        <v>0</v>
      </c>
      <c r="AK2138" s="625">
        <v>0</v>
      </c>
      <c r="AL2138" s="625">
        <v>0</v>
      </c>
      <c r="AM2138" s="625">
        <v>0</v>
      </c>
      <c r="AN2138" s="625">
        <v>0</v>
      </c>
      <c r="AO2138" s="625">
        <v>0</v>
      </c>
      <c r="AP2138" s="41" t="str">
        <f t="shared" si="1044"/>
        <v>Def TaxR</v>
      </c>
      <c r="AQ2138" s="41" t="str">
        <f t="shared" si="1045"/>
        <v>Def TaxRR11Bad Debts</v>
      </c>
      <c r="AR2138" s="41" t="str">
        <f t="shared" si="1046"/>
        <v>R11Bad Debts</v>
      </c>
    </row>
    <row r="2139" spans="1:44" s="41" customFormat="1" ht="12.75" customHeight="1">
      <c r="A2139" s="25" t="s">
        <v>1590</v>
      </c>
      <c r="B2139" s="25" t="str">
        <f t="shared" si="1040"/>
        <v>Def Tax283210283-048</v>
      </c>
      <c r="C2139" s="736">
        <v>283210</v>
      </c>
      <c r="D2139" s="735" t="s">
        <v>2135</v>
      </c>
      <c r="F2139" s="41" t="str">
        <f t="shared" si="1038"/>
        <v>ACCUM DEF INC TAX-OTH-FEDERAL-GAS</v>
      </c>
      <c r="G2139" s="41" t="s">
        <v>2136</v>
      </c>
      <c r="H2139" s="736">
        <v>0</v>
      </c>
      <c r="I2139" s="25"/>
      <c r="J2139" s="25" t="str">
        <f t="shared" si="1039"/>
        <v/>
      </c>
      <c r="K2139" s="442" t="str">
        <f t="shared" si="1042"/>
        <v/>
      </c>
      <c r="L2139" s="736" t="s">
        <v>2443</v>
      </c>
      <c r="M2139" s="25" t="str">
        <f t="shared" si="1043"/>
        <v>R</v>
      </c>
      <c r="N2139" s="25" t="str">
        <f>IF(L2139&lt;&gt;"",VLOOKUP(L2139,Categories!$B$2:$D$41,2,FALSE),IF(F2139&lt;&gt;"","No Cat",""))</f>
        <v>Rate Base</v>
      </c>
      <c r="O2139" s="25" t="str">
        <f>IF($L2139&lt;&gt;"",VLOOKUP($L2139,Categories!$B$2:$D$41,3,FALSE),IF($F2139&lt;&gt;"","No Cat",""))</f>
        <v>Deferred Income Taxes</v>
      </c>
      <c r="P2139" s="736" t="s">
        <v>2483</v>
      </c>
      <c r="Q2139" s="25" t="str">
        <f>VLOOKUP($P2139,Allocators!$B$7:$F$19,5,FALSE)</f>
        <v>Gas</v>
      </c>
      <c r="R2139" s="737">
        <f>VLOOKUP($P2139,Allocators!$B$7:$F$19,2,FALSE)</f>
        <v>0</v>
      </c>
      <c r="S2139" s="737">
        <f>VLOOKUP($P2139,Allocators!$B$7:$F$19,3,FALSE)</f>
        <v>1</v>
      </c>
      <c r="T2139" s="737" t="str">
        <f t="shared" si="1041"/>
        <v>0.0%</v>
      </c>
      <c r="U2139" s="2" t="str">
        <f t="shared" si="1050"/>
        <v/>
      </c>
      <c r="V2139" s="2" t="str">
        <f t="shared" si="1051"/>
        <v/>
      </c>
      <c r="W2139" s="2" t="str">
        <f t="shared" si="1052"/>
        <v/>
      </c>
      <c r="X2139" s="2">
        <f t="shared" si="1047"/>
        <v>0</v>
      </c>
      <c r="Y2139" s="2" t="str">
        <f t="shared" si="1053"/>
        <v/>
      </c>
      <c r="Z2139" s="2" t="str">
        <f t="shared" si="1054"/>
        <v/>
      </c>
      <c r="AA2139" s="2" t="str">
        <f t="shared" si="1055"/>
        <v/>
      </c>
      <c r="AB2139" s="2">
        <f t="shared" si="1048"/>
        <v>0</v>
      </c>
      <c r="AC2139" s="625">
        <v>0</v>
      </c>
      <c r="AD2139" s="625">
        <v>0</v>
      </c>
      <c r="AE2139" s="625">
        <v>0</v>
      </c>
      <c r="AF2139" s="625">
        <v>0</v>
      </c>
      <c r="AG2139" s="625">
        <v>0</v>
      </c>
      <c r="AH2139" s="625">
        <v>0</v>
      </c>
      <c r="AI2139" s="625">
        <v>0</v>
      </c>
      <c r="AJ2139" s="625">
        <v>0</v>
      </c>
      <c r="AK2139" s="625">
        <v>0</v>
      </c>
      <c r="AL2139" s="625">
        <v>0</v>
      </c>
      <c r="AM2139" s="625">
        <v>0</v>
      </c>
      <c r="AN2139" s="625">
        <v>0</v>
      </c>
      <c r="AO2139" s="625">
        <v>0</v>
      </c>
      <c r="AP2139" s="41" t="str">
        <f t="shared" si="1044"/>
        <v>Def TaxR</v>
      </c>
      <c r="AQ2139" s="41" t="str">
        <f t="shared" si="1045"/>
        <v>Def TaxRR110</v>
      </c>
      <c r="AR2139" s="41" t="str">
        <f t="shared" si="1046"/>
        <v>R110</v>
      </c>
    </row>
    <row r="2140" spans="1:44" s="41" customFormat="1" ht="12.75" customHeight="1">
      <c r="A2140" s="25" t="s">
        <v>1590</v>
      </c>
      <c r="B2140" s="25" t="str">
        <f t="shared" si="1040"/>
        <v>Def Tax283210283-070BT010225/
BT010036</v>
      </c>
      <c r="C2140" s="736">
        <v>283210</v>
      </c>
      <c r="D2140" s="735" t="s">
        <v>2144</v>
      </c>
      <c r="E2140" s="41" t="s">
        <v>2145</v>
      </c>
      <c r="F2140" s="41" t="str">
        <f t="shared" si="1038"/>
        <v>ACCUM DEF INC TAX-OTH-FEDERAL-GAS</v>
      </c>
      <c r="G2140" s="41" t="s">
        <v>1628</v>
      </c>
      <c r="H2140" s="736" t="s">
        <v>1629</v>
      </c>
      <c r="I2140" s="25"/>
      <c r="J2140" s="25" t="str">
        <f t="shared" si="1039"/>
        <v/>
      </c>
      <c r="K2140" s="442" t="str">
        <f t="shared" si="1042"/>
        <v/>
      </c>
      <c r="L2140" s="736" t="s">
        <v>2443</v>
      </c>
      <c r="M2140" s="25" t="str">
        <f t="shared" si="1043"/>
        <v>R</v>
      </c>
      <c r="N2140" s="25" t="str">
        <f>IF(L2140&lt;&gt;"",VLOOKUP(L2140,Categories!$B$2:$D$41,2,FALSE),IF(F2140&lt;&gt;"","No Cat",""))</f>
        <v>Rate Base</v>
      </c>
      <c r="O2140" s="25" t="str">
        <f>IF($L2140&lt;&gt;"",VLOOKUP($L2140,Categories!$B$2:$D$41,3,FALSE),IF($F2140&lt;&gt;"","No Cat",""))</f>
        <v>Deferred Income Taxes</v>
      </c>
      <c r="P2140" s="736" t="s">
        <v>2483</v>
      </c>
      <c r="Q2140" s="25" t="str">
        <f>VLOOKUP($P2140,Allocators!$B$7:$F$19,5,FALSE)</f>
        <v>Gas</v>
      </c>
      <c r="R2140" s="737">
        <f>VLOOKUP($P2140,Allocators!$B$7:$F$19,2,FALSE)</f>
        <v>0</v>
      </c>
      <c r="S2140" s="737">
        <f>VLOOKUP($P2140,Allocators!$B$7:$F$19,3,FALSE)</f>
        <v>1</v>
      </c>
      <c r="T2140" s="737" t="str">
        <f t="shared" si="1041"/>
        <v>0.0%</v>
      </c>
      <c r="U2140" s="2" t="str">
        <f t="shared" si="1050"/>
        <v/>
      </c>
      <c r="V2140" s="2" t="str">
        <f t="shared" si="1051"/>
        <v/>
      </c>
      <c r="W2140" s="2" t="str">
        <f t="shared" si="1052"/>
        <v/>
      </c>
      <c r="X2140" s="2">
        <f t="shared" si="1047"/>
        <v>0</v>
      </c>
      <c r="Y2140" s="2" t="str">
        <f t="shared" si="1053"/>
        <v/>
      </c>
      <c r="Z2140" s="2" t="str">
        <f t="shared" si="1054"/>
        <v/>
      </c>
      <c r="AA2140" s="2" t="str">
        <f t="shared" si="1055"/>
        <v/>
      </c>
      <c r="AB2140" s="2">
        <f t="shared" si="1048"/>
        <v>0</v>
      </c>
      <c r="AC2140" s="625">
        <v>0</v>
      </c>
      <c r="AD2140" s="625">
        <v>0</v>
      </c>
      <c r="AE2140" s="625">
        <v>0</v>
      </c>
      <c r="AF2140" s="625">
        <v>0</v>
      </c>
      <c r="AG2140" s="625">
        <v>0</v>
      </c>
      <c r="AH2140" s="625">
        <v>0</v>
      </c>
      <c r="AI2140" s="625">
        <v>0</v>
      </c>
      <c r="AJ2140" s="625">
        <v>0</v>
      </c>
      <c r="AK2140" s="625">
        <v>0</v>
      </c>
      <c r="AL2140" s="625">
        <v>0</v>
      </c>
      <c r="AM2140" s="625">
        <v>0</v>
      </c>
      <c r="AN2140" s="625">
        <v>0</v>
      </c>
      <c r="AO2140" s="625">
        <v>0</v>
      </c>
      <c r="AP2140" s="41" t="str">
        <f t="shared" si="1044"/>
        <v>Def TaxR</v>
      </c>
      <c r="AQ2140" s="41" t="str">
        <f t="shared" si="1045"/>
        <v>Def TaxRR11Merger Related</v>
      </c>
      <c r="AR2140" s="41" t="str">
        <f t="shared" si="1046"/>
        <v>R11Merger Related</v>
      </c>
    </row>
    <row r="2141" spans="1:44" s="41" customFormat="1" ht="12.75" customHeight="1">
      <c r="A2141" s="25" t="s">
        <v>1590</v>
      </c>
      <c r="B2141" s="25" t="str">
        <f t="shared" si="1040"/>
        <v>Def Tax283210283-034</v>
      </c>
      <c r="C2141" s="736">
        <v>283210</v>
      </c>
      <c r="D2141" s="735" t="s">
        <v>2148</v>
      </c>
      <c r="F2141" s="41" t="str">
        <f t="shared" si="1038"/>
        <v>ACCUM DEF INC TAX-OTH-FEDERAL-GAS</v>
      </c>
      <c r="G2141" s="41" t="s">
        <v>2149</v>
      </c>
      <c r="H2141" s="736">
        <v>0</v>
      </c>
      <c r="I2141" s="25"/>
      <c r="J2141" s="25" t="str">
        <f t="shared" si="1039"/>
        <v/>
      </c>
      <c r="K2141" s="442" t="str">
        <f t="shared" si="1042"/>
        <v/>
      </c>
      <c r="L2141" s="736" t="s">
        <v>2443</v>
      </c>
      <c r="M2141" s="25" t="str">
        <f t="shared" si="1043"/>
        <v>R</v>
      </c>
      <c r="N2141" s="25" t="str">
        <f>IF(L2141&lt;&gt;"",VLOOKUP(L2141,Categories!$B$2:$D$41,2,FALSE),IF(F2141&lt;&gt;"","No Cat",""))</f>
        <v>Rate Base</v>
      </c>
      <c r="O2141" s="25" t="str">
        <f>IF($L2141&lt;&gt;"",VLOOKUP($L2141,Categories!$B$2:$D$41,3,FALSE),IF($F2141&lt;&gt;"","No Cat",""))</f>
        <v>Deferred Income Taxes</v>
      </c>
      <c r="P2141" s="736" t="s">
        <v>2483</v>
      </c>
      <c r="Q2141" s="25" t="str">
        <f>VLOOKUP($P2141,Allocators!$B$7:$F$19,5,FALSE)</f>
        <v>Gas</v>
      </c>
      <c r="R2141" s="737">
        <f>VLOOKUP($P2141,Allocators!$B$7:$F$19,2,FALSE)</f>
        <v>0</v>
      </c>
      <c r="S2141" s="737">
        <f>VLOOKUP($P2141,Allocators!$B$7:$F$19,3,FALSE)</f>
        <v>1</v>
      </c>
      <c r="T2141" s="737" t="str">
        <f t="shared" si="1041"/>
        <v>0.0%</v>
      </c>
      <c r="U2141" s="2" t="str">
        <f t="shared" si="1050"/>
        <v/>
      </c>
      <c r="V2141" s="2" t="str">
        <f t="shared" si="1051"/>
        <v/>
      </c>
      <c r="W2141" s="2" t="str">
        <f t="shared" si="1052"/>
        <v/>
      </c>
      <c r="X2141" s="2">
        <f t="shared" si="1047"/>
        <v>0</v>
      </c>
      <c r="Y2141" s="2" t="str">
        <f t="shared" si="1053"/>
        <v/>
      </c>
      <c r="Z2141" s="2" t="str">
        <f t="shared" si="1054"/>
        <v/>
      </c>
      <c r="AA2141" s="2" t="str">
        <f t="shared" si="1055"/>
        <v/>
      </c>
      <c r="AB2141" s="2">
        <f t="shared" si="1048"/>
        <v>0</v>
      </c>
      <c r="AC2141" s="625">
        <v>0</v>
      </c>
      <c r="AD2141" s="625">
        <v>0</v>
      </c>
      <c r="AE2141" s="625">
        <v>0</v>
      </c>
      <c r="AF2141" s="625">
        <v>0</v>
      </c>
      <c r="AG2141" s="625">
        <v>0</v>
      </c>
      <c r="AH2141" s="625">
        <v>0</v>
      </c>
      <c r="AI2141" s="625">
        <v>0</v>
      </c>
      <c r="AJ2141" s="625">
        <v>0</v>
      </c>
      <c r="AK2141" s="625">
        <v>0</v>
      </c>
      <c r="AL2141" s="625">
        <v>0</v>
      </c>
      <c r="AM2141" s="625">
        <v>0</v>
      </c>
      <c r="AN2141" s="625">
        <v>0</v>
      </c>
      <c r="AO2141" s="625">
        <v>0</v>
      </c>
      <c r="AP2141" s="41" t="str">
        <f t="shared" si="1044"/>
        <v>Def TaxR</v>
      </c>
      <c r="AQ2141" s="41" t="str">
        <f t="shared" si="1045"/>
        <v>Def TaxRR110</v>
      </c>
      <c r="AR2141" s="41" t="str">
        <f t="shared" si="1046"/>
        <v>R110</v>
      </c>
    </row>
    <row r="2142" spans="1:44" s="41" customFormat="1" ht="12.75" customHeight="1">
      <c r="A2142" s="25" t="s">
        <v>1590</v>
      </c>
      <c r="B2142" s="25" t="str">
        <f t="shared" si="1040"/>
        <v>Def Tax283210283-035BTHUNGDT</v>
      </c>
      <c r="C2142" s="736">
        <v>283210</v>
      </c>
      <c r="D2142" s="735" t="s">
        <v>2150</v>
      </c>
      <c r="E2142" s="41" t="s">
        <v>1624</v>
      </c>
      <c r="F2142" s="41" t="str">
        <f t="shared" si="1038"/>
        <v>ACCUM DEF INC TAX-OTH-FEDERAL-GAS</v>
      </c>
      <c r="G2142" s="41" t="s">
        <v>2151</v>
      </c>
      <c r="H2142" s="736">
        <v>0</v>
      </c>
      <c r="I2142" s="25"/>
      <c r="J2142" s="25" t="str">
        <f t="shared" si="1039"/>
        <v/>
      </c>
      <c r="K2142" s="442" t="str">
        <f t="shared" si="1042"/>
        <v/>
      </c>
      <c r="L2142" s="736" t="s">
        <v>2443</v>
      </c>
      <c r="M2142" s="25" t="str">
        <f t="shared" si="1043"/>
        <v>R</v>
      </c>
      <c r="N2142" s="25" t="str">
        <f>IF(L2142&lt;&gt;"",VLOOKUP(L2142,Categories!$B$2:$D$41,2,FALSE),IF(F2142&lt;&gt;"","No Cat",""))</f>
        <v>Rate Base</v>
      </c>
      <c r="O2142" s="25" t="str">
        <f>IF($L2142&lt;&gt;"",VLOOKUP($L2142,Categories!$B$2:$D$41,3,FALSE),IF($F2142&lt;&gt;"","No Cat",""))</f>
        <v>Deferred Income Taxes</v>
      </c>
      <c r="P2142" s="736" t="s">
        <v>2483</v>
      </c>
      <c r="Q2142" s="25" t="str">
        <f>VLOOKUP($P2142,Allocators!$B$7:$F$19,5,FALSE)</f>
        <v>Gas</v>
      </c>
      <c r="R2142" s="737">
        <f>VLOOKUP($P2142,Allocators!$B$7:$F$19,2,FALSE)</f>
        <v>0</v>
      </c>
      <c r="S2142" s="737">
        <f>VLOOKUP($P2142,Allocators!$B$7:$F$19,3,FALSE)</f>
        <v>1</v>
      </c>
      <c r="T2142" s="737" t="str">
        <f t="shared" si="1041"/>
        <v>0.0%</v>
      </c>
      <c r="U2142" s="2" t="str">
        <f t="shared" si="1050"/>
        <v/>
      </c>
      <c r="V2142" s="2" t="str">
        <f t="shared" si="1051"/>
        <v/>
      </c>
      <c r="W2142" s="2" t="str">
        <f t="shared" si="1052"/>
        <v/>
      </c>
      <c r="X2142" s="2">
        <f t="shared" si="1047"/>
        <v>0</v>
      </c>
      <c r="Y2142" s="2" t="str">
        <f t="shared" si="1053"/>
        <v/>
      </c>
      <c r="Z2142" s="2" t="str">
        <f t="shared" si="1054"/>
        <v/>
      </c>
      <c r="AA2142" s="2" t="str">
        <f t="shared" si="1055"/>
        <v/>
      </c>
      <c r="AB2142" s="2">
        <f t="shared" si="1048"/>
        <v>0</v>
      </c>
      <c r="AC2142" s="625">
        <v>0</v>
      </c>
      <c r="AD2142" s="625">
        <v>0</v>
      </c>
      <c r="AE2142" s="625">
        <v>0</v>
      </c>
      <c r="AF2142" s="625">
        <v>0</v>
      </c>
      <c r="AG2142" s="625">
        <v>0</v>
      </c>
      <c r="AH2142" s="625">
        <v>0</v>
      </c>
      <c r="AI2142" s="625">
        <v>0</v>
      </c>
      <c r="AJ2142" s="625">
        <v>0</v>
      </c>
      <c r="AK2142" s="625">
        <v>0</v>
      </c>
      <c r="AL2142" s="625">
        <v>0</v>
      </c>
      <c r="AM2142" s="625">
        <v>0</v>
      </c>
      <c r="AN2142" s="625">
        <v>0</v>
      </c>
      <c r="AO2142" s="625">
        <v>0</v>
      </c>
      <c r="AP2142" s="41" t="str">
        <f t="shared" si="1044"/>
        <v>Def TaxR</v>
      </c>
      <c r="AQ2142" s="41" t="str">
        <f t="shared" si="1045"/>
        <v>Def TaxRR110</v>
      </c>
      <c r="AR2142" s="41" t="str">
        <f t="shared" si="1046"/>
        <v>R110</v>
      </c>
    </row>
    <row r="2143" spans="1:44" s="41" customFormat="1" ht="12.75" customHeight="1">
      <c r="A2143" s="25" t="s">
        <v>1590</v>
      </c>
      <c r="B2143" s="25" t="str">
        <f t="shared" si="1040"/>
        <v>Def Tax283210283-068</v>
      </c>
      <c r="C2143" s="736">
        <v>283210</v>
      </c>
      <c r="D2143" s="735" t="s">
        <v>2152</v>
      </c>
      <c r="F2143" s="41" t="str">
        <f t="shared" si="1038"/>
        <v>ACCUM DEF INC TAX-OTH-FEDERAL-GAS</v>
      </c>
      <c r="G2143" s="41" t="s">
        <v>1752</v>
      </c>
      <c r="H2143" s="736" t="s">
        <v>1629</v>
      </c>
      <c r="I2143" s="25"/>
      <c r="J2143" s="25" t="str">
        <f t="shared" si="1039"/>
        <v/>
      </c>
      <c r="K2143" s="442" t="str">
        <f t="shared" si="1042"/>
        <v/>
      </c>
      <c r="L2143" s="736" t="s">
        <v>2443</v>
      </c>
      <c r="M2143" s="25" t="str">
        <f t="shared" si="1043"/>
        <v>R</v>
      </c>
      <c r="N2143" s="25" t="str">
        <f>IF(L2143&lt;&gt;"",VLOOKUP(L2143,Categories!$B$2:$D$41,2,FALSE),IF(F2143&lt;&gt;"","No Cat",""))</f>
        <v>Rate Base</v>
      </c>
      <c r="O2143" s="25" t="str">
        <f>IF($L2143&lt;&gt;"",VLOOKUP($L2143,Categories!$B$2:$D$41,3,FALSE),IF($F2143&lt;&gt;"","No Cat",""))</f>
        <v>Deferred Income Taxes</v>
      </c>
      <c r="P2143" s="736" t="s">
        <v>2483</v>
      </c>
      <c r="Q2143" s="25" t="str">
        <f>VLOOKUP($P2143,Allocators!$B$7:$F$19,5,FALSE)</f>
        <v>Gas</v>
      </c>
      <c r="R2143" s="737">
        <f>VLOOKUP($P2143,Allocators!$B$7:$F$19,2,FALSE)</f>
        <v>0</v>
      </c>
      <c r="S2143" s="737">
        <f>VLOOKUP($P2143,Allocators!$B$7:$F$19,3,FALSE)</f>
        <v>1</v>
      </c>
      <c r="T2143" s="737" t="str">
        <f t="shared" si="1041"/>
        <v>0.0%</v>
      </c>
      <c r="U2143" s="2" t="str">
        <f t="shared" si="1050"/>
        <v/>
      </c>
      <c r="V2143" s="2" t="str">
        <f t="shared" si="1051"/>
        <v/>
      </c>
      <c r="W2143" s="2" t="str">
        <f t="shared" si="1052"/>
        <v/>
      </c>
      <c r="X2143" s="2">
        <f t="shared" si="1047"/>
        <v>0</v>
      </c>
      <c r="Y2143" s="2" t="str">
        <f t="shared" si="1053"/>
        <v/>
      </c>
      <c r="Z2143" s="2" t="str">
        <f t="shared" si="1054"/>
        <v/>
      </c>
      <c r="AA2143" s="2" t="str">
        <f t="shared" si="1055"/>
        <v/>
      </c>
      <c r="AB2143" s="2">
        <f t="shared" si="1048"/>
        <v>0</v>
      </c>
      <c r="AC2143" s="625">
        <v>0</v>
      </c>
      <c r="AD2143" s="625">
        <v>0</v>
      </c>
      <c r="AE2143" s="625">
        <v>0</v>
      </c>
      <c r="AF2143" s="625">
        <v>0</v>
      </c>
      <c r="AG2143" s="625">
        <v>0</v>
      </c>
      <c r="AH2143" s="625">
        <v>0</v>
      </c>
      <c r="AI2143" s="625">
        <v>0</v>
      </c>
      <c r="AJ2143" s="625">
        <v>0</v>
      </c>
      <c r="AK2143" s="625">
        <v>0</v>
      </c>
      <c r="AL2143" s="625">
        <v>0</v>
      </c>
      <c r="AM2143" s="625">
        <v>0</v>
      </c>
      <c r="AN2143" s="625">
        <v>0</v>
      </c>
      <c r="AO2143" s="625">
        <v>0</v>
      </c>
      <c r="AP2143" s="41" t="str">
        <f t="shared" si="1044"/>
        <v>Def TaxR</v>
      </c>
      <c r="AQ2143" s="41" t="str">
        <f t="shared" si="1045"/>
        <v>Def TaxRR11Merger Related</v>
      </c>
      <c r="AR2143" s="41" t="str">
        <f t="shared" si="1046"/>
        <v>R11Merger Related</v>
      </c>
    </row>
    <row r="2144" spans="1:44" s="41" customFormat="1" ht="12.75" customHeight="1">
      <c r="A2144" s="25" t="s">
        <v>1590</v>
      </c>
      <c r="B2144" s="25" t="str">
        <f t="shared" si="1040"/>
        <v>Def Tax283210283-008BTHUNGDT</v>
      </c>
      <c r="C2144" s="736">
        <v>283210</v>
      </c>
      <c r="D2144" s="735" t="s">
        <v>2252</v>
      </c>
      <c r="E2144" s="41" t="s">
        <v>1624</v>
      </c>
      <c r="F2144" s="41" t="str">
        <f t="shared" ref="F2144:F2210" si="1056">VLOOKUP(C2144,$C$7:$F$787,4,FALSE)</f>
        <v>ACCUM DEF INC TAX-OTH-FEDERAL-GAS</v>
      </c>
      <c r="G2144" s="41" t="s">
        <v>2253</v>
      </c>
      <c r="H2144" s="736" t="s">
        <v>1883</v>
      </c>
      <c r="I2144" s="25"/>
      <c r="J2144" s="25" t="str">
        <f t="shared" si="1039"/>
        <v/>
      </c>
      <c r="K2144" s="442" t="str">
        <f t="shared" si="1042"/>
        <v/>
      </c>
      <c r="L2144" s="736" t="s">
        <v>2443</v>
      </c>
      <c r="M2144" s="25" t="str">
        <f t="shared" si="1043"/>
        <v>R</v>
      </c>
      <c r="N2144" s="25" t="str">
        <f>IF(L2144&lt;&gt;"",VLOOKUP(L2144,Categories!$B$2:$D$41,2,FALSE),IF(F2144&lt;&gt;"","No Cat",""))</f>
        <v>Rate Base</v>
      </c>
      <c r="O2144" s="25" t="str">
        <f>IF($L2144&lt;&gt;"",VLOOKUP($L2144,Categories!$B$2:$D$41,3,FALSE),IF($F2144&lt;&gt;"","No Cat",""))</f>
        <v>Deferred Income Taxes</v>
      </c>
      <c r="P2144" s="736" t="s">
        <v>2483</v>
      </c>
      <c r="Q2144" s="25" t="str">
        <f>VLOOKUP($P2144,Allocators!$B$7:$F$19,5,FALSE)</f>
        <v>Gas</v>
      </c>
      <c r="R2144" s="737">
        <f>VLOOKUP($P2144,Allocators!$B$7:$F$19,2,FALSE)</f>
        <v>0</v>
      </c>
      <c r="S2144" s="737">
        <f>VLOOKUP($P2144,Allocators!$B$7:$F$19,3,FALSE)</f>
        <v>1</v>
      </c>
      <c r="T2144" s="737" t="str">
        <f t="shared" si="1041"/>
        <v>0.0%</v>
      </c>
      <c r="U2144" s="2" t="str">
        <f t="shared" si="1050"/>
        <v/>
      </c>
      <c r="V2144" s="2" t="str">
        <f t="shared" si="1051"/>
        <v/>
      </c>
      <c r="W2144" s="2" t="str">
        <f t="shared" si="1052"/>
        <v/>
      </c>
      <c r="X2144" s="2">
        <f t="shared" si="1047"/>
        <v>0</v>
      </c>
      <c r="Y2144" s="2" t="str">
        <f t="shared" si="1053"/>
        <v/>
      </c>
      <c r="Z2144" s="2" t="str">
        <f t="shared" si="1054"/>
        <v/>
      </c>
      <c r="AA2144" s="2" t="str">
        <f t="shared" si="1055"/>
        <v/>
      </c>
      <c r="AB2144" s="2">
        <f t="shared" si="1048"/>
        <v>0</v>
      </c>
      <c r="AC2144" s="625">
        <v>0</v>
      </c>
      <c r="AD2144" s="625">
        <v>0</v>
      </c>
      <c r="AE2144" s="625">
        <v>0</v>
      </c>
      <c r="AF2144" s="625">
        <v>0</v>
      </c>
      <c r="AG2144" s="625">
        <v>0</v>
      </c>
      <c r="AH2144" s="625">
        <v>0</v>
      </c>
      <c r="AI2144" s="625">
        <v>0</v>
      </c>
      <c r="AJ2144" s="625">
        <v>0</v>
      </c>
      <c r="AK2144" s="625">
        <v>0</v>
      </c>
      <c r="AL2144" s="625">
        <v>0</v>
      </c>
      <c r="AM2144" s="625">
        <v>0</v>
      </c>
      <c r="AN2144" s="625">
        <v>0</v>
      </c>
      <c r="AO2144" s="625">
        <v>0</v>
      </c>
      <c r="AP2144" s="41" t="str">
        <f t="shared" si="1044"/>
        <v>Def TaxR</v>
      </c>
      <c r="AQ2144" s="41" t="str">
        <f t="shared" si="1045"/>
        <v>Def TaxRR11D &amp; O Insurance</v>
      </c>
      <c r="AR2144" s="41" t="str">
        <f t="shared" si="1046"/>
        <v>R11D &amp; O Insurance</v>
      </c>
    </row>
    <row r="2145" spans="1:44" s="41" customFormat="1" ht="12.75" customHeight="1">
      <c r="A2145" s="25" t="s">
        <v>1590</v>
      </c>
      <c r="B2145" s="25" t="str">
        <f t="shared" ref="B2145" si="1057">CONCATENATE(A2145,C2145,D2145,E2145)</f>
        <v>Def Tax283210283-003BG030089/BT010099</v>
      </c>
      <c r="C2145" s="736">
        <v>283210</v>
      </c>
      <c r="D2145" s="735" t="s">
        <v>2257</v>
      </c>
      <c r="E2145" s="41" t="s">
        <v>4125</v>
      </c>
      <c r="F2145" s="41" t="str">
        <f t="shared" si="1056"/>
        <v>ACCUM DEF INC TAX-OTH-FEDERAL-GAS</v>
      </c>
      <c r="G2145" s="41" t="s">
        <v>4124</v>
      </c>
      <c r="H2145" s="736" t="s">
        <v>1142</v>
      </c>
      <c r="I2145" s="25"/>
      <c r="J2145" s="442" t="s">
        <v>7</v>
      </c>
      <c r="K2145" s="442" t="str">
        <f t="shared" si="1042"/>
        <v/>
      </c>
      <c r="L2145" s="736" t="s">
        <v>2436</v>
      </c>
      <c r="M2145" s="442" t="str">
        <f t="shared" ref="M2145" si="1058">LEFT(L2145,1)</f>
        <v>N</v>
      </c>
      <c r="N2145" s="442" t="str">
        <f>IF(L2145&lt;&gt;"",VLOOKUP(L2145,Categories!$B$2:$D$41,2,FALSE),IF(F2145&lt;&gt;"","No Cat",""))</f>
        <v>NRBASE</v>
      </c>
      <c r="O2145" s="442" t="str">
        <f>IF($L2145&lt;&gt;"",VLOOKUP($L2145,Categories!$B$2:$D$41,3,FALSE),IF($F2145&lt;&gt;"","No Cat",""))</f>
        <v>Deferrals Accruing Non-Cash Return   (other than ASGA)</v>
      </c>
      <c r="P2145" s="736" t="s">
        <v>2468</v>
      </c>
      <c r="Q2145" s="25" t="str">
        <f>VLOOKUP($P2145,Allocators!$B$7:$F$19,5,FALSE)</f>
        <v>Not in Rate Base</v>
      </c>
      <c r="R2145" s="737">
        <f>VLOOKUP($P2145,Allocators!$B$7:$F$19,2,FALSE)</f>
        <v>0</v>
      </c>
      <c r="S2145" s="737">
        <f>VLOOKUP($P2145,Allocators!$B$7:$F$19,3,FALSE)</f>
        <v>0</v>
      </c>
      <c r="T2145" s="737">
        <f t="shared" ref="T2145" si="1059">IF(P2145="N",1,"0.0%")</f>
        <v>1</v>
      </c>
      <c r="U2145" s="2">
        <f t="shared" si="1050"/>
        <v>0</v>
      </c>
      <c r="V2145" s="2">
        <f t="shared" si="1051"/>
        <v>0</v>
      </c>
      <c r="W2145" s="2">
        <f t="shared" si="1052"/>
        <v>4659.2942133333299</v>
      </c>
      <c r="X2145" s="2">
        <f t="shared" si="1047"/>
        <v>4659.2942133333299</v>
      </c>
      <c r="Y2145" s="2">
        <f t="shared" si="1053"/>
        <v>0</v>
      </c>
      <c r="Z2145" s="2">
        <f t="shared" si="1054"/>
        <v>0</v>
      </c>
      <c r="AA2145" s="2">
        <f t="shared" si="1055"/>
        <v>4777.7032799999997</v>
      </c>
      <c r="AB2145" s="2">
        <f t="shared" si="1048"/>
        <v>4777.7032800000006</v>
      </c>
      <c r="AC2145" s="625">
        <v>5430.0045599999994</v>
      </c>
      <c r="AD2145" s="625">
        <v>5436.0496299999995</v>
      </c>
      <c r="AE2145" s="625">
        <v>4934.6166299999995</v>
      </c>
      <c r="AF2145" s="625">
        <v>5551.5463899999995</v>
      </c>
      <c r="AG2145" s="625">
        <v>5709.4457899999998</v>
      </c>
      <c r="AH2145" s="625">
        <v>5475.7017100000003</v>
      </c>
      <c r="AI2145" s="625">
        <v>5006.6392400000004</v>
      </c>
      <c r="AJ2145" s="625">
        <v>4666.1325099999995</v>
      </c>
      <c r="AK2145" s="625">
        <v>3924.6556</v>
      </c>
      <c r="AL2145" s="625">
        <v>3277.82537</v>
      </c>
      <c r="AM2145" s="625">
        <v>3467.7654600000001</v>
      </c>
      <c r="AN2145" s="625">
        <v>3357.2983100000001</v>
      </c>
      <c r="AO2145" s="625">
        <v>4777.7032800000006</v>
      </c>
      <c r="AP2145" s="41" t="str">
        <f t="shared" si="1044"/>
        <v>Def TaxN</v>
      </c>
      <c r="AQ2145" s="41" t="str">
        <f t="shared" si="1045"/>
        <v>Def TaxNN10Gas Costs Deferred</v>
      </c>
      <c r="AR2145" s="41" t="str">
        <f t="shared" si="1046"/>
        <v>N10Gas Costs DeferredNCR</v>
      </c>
    </row>
    <row r="2146" spans="1:44" s="41" customFormat="1" ht="12.75" customHeight="1">
      <c r="A2146" s="442" t="s">
        <v>1590</v>
      </c>
      <c r="B2146" s="442" t="str">
        <f t="shared" si="1040"/>
        <v>Def Tax283210283-003-SBT010099</v>
      </c>
      <c r="C2146" s="736">
        <v>283210</v>
      </c>
      <c r="D2146" s="735" t="s">
        <v>2254</v>
      </c>
      <c r="E2146" s="626" t="s">
        <v>1734</v>
      </c>
      <c r="F2146" s="626" t="str">
        <f t="shared" si="1056"/>
        <v>ACCUM DEF INC TAX-OTH-FEDERAL-GAS</v>
      </c>
      <c r="G2146" s="626" t="s">
        <v>2255</v>
      </c>
      <c r="H2146" s="736" t="s">
        <v>1142</v>
      </c>
      <c r="I2146" s="442"/>
      <c r="J2146" s="442" t="s">
        <v>7</v>
      </c>
      <c r="K2146" s="442" t="str">
        <f t="shared" si="1042"/>
        <v/>
      </c>
      <c r="L2146" s="736" t="s">
        <v>2436</v>
      </c>
      <c r="M2146" s="442" t="str">
        <f t="shared" si="1043"/>
        <v>N</v>
      </c>
      <c r="N2146" s="442" t="str">
        <f>IF(L2146&lt;&gt;"",VLOOKUP(L2146,Categories!$B$2:$D$41,2,FALSE),IF(F2146&lt;&gt;"","No Cat",""))</f>
        <v>NRBASE</v>
      </c>
      <c r="O2146" s="442" t="str">
        <f>IF($L2146&lt;&gt;"",VLOOKUP($L2146,Categories!$B$2:$D$41,3,FALSE),IF($F2146&lt;&gt;"","No Cat",""))</f>
        <v>Deferrals Accruing Non-Cash Return   (other than ASGA)</v>
      </c>
      <c r="P2146" s="736" t="s">
        <v>2468</v>
      </c>
      <c r="Q2146" s="442" t="str">
        <f>VLOOKUP($P2146,Allocators!$B$7:$F$19,5,FALSE)</f>
        <v>Not in Rate Base</v>
      </c>
      <c r="R2146" s="737">
        <f>VLOOKUP($P2146,Allocators!$B$7:$F$19,2,FALSE)</f>
        <v>0</v>
      </c>
      <c r="S2146" s="737">
        <f>VLOOKUP($P2146,Allocators!$B$7:$F$19,3,FALSE)</f>
        <v>0</v>
      </c>
      <c r="T2146" s="737">
        <f t="shared" si="1041"/>
        <v>1</v>
      </c>
      <c r="U2146" s="2" t="str">
        <f t="shared" si="1050"/>
        <v/>
      </c>
      <c r="V2146" s="2" t="str">
        <f t="shared" si="1051"/>
        <v/>
      </c>
      <c r="W2146" s="2" t="str">
        <f t="shared" si="1052"/>
        <v/>
      </c>
      <c r="X2146" s="2">
        <f t="shared" si="1047"/>
        <v>0</v>
      </c>
      <c r="Y2146" s="2" t="str">
        <f t="shared" si="1053"/>
        <v/>
      </c>
      <c r="Z2146" s="2" t="str">
        <f t="shared" si="1054"/>
        <v/>
      </c>
      <c r="AA2146" s="2" t="str">
        <f t="shared" si="1055"/>
        <v/>
      </c>
      <c r="AB2146" s="2">
        <f t="shared" si="1048"/>
        <v>0</v>
      </c>
      <c r="AC2146" s="625">
        <v>0</v>
      </c>
      <c r="AD2146" s="625">
        <v>0</v>
      </c>
      <c r="AE2146" s="625">
        <v>0</v>
      </c>
      <c r="AF2146" s="625">
        <v>0</v>
      </c>
      <c r="AG2146" s="625">
        <v>0</v>
      </c>
      <c r="AH2146" s="625">
        <v>0</v>
      </c>
      <c r="AI2146" s="625">
        <v>0</v>
      </c>
      <c r="AJ2146" s="625">
        <v>0</v>
      </c>
      <c r="AK2146" s="625">
        <v>0</v>
      </c>
      <c r="AL2146" s="625">
        <v>0</v>
      </c>
      <c r="AM2146" s="625">
        <v>0</v>
      </c>
      <c r="AN2146" s="625">
        <v>0</v>
      </c>
      <c r="AO2146" s="625">
        <v>0</v>
      </c>
      <c r="AP2146" s="41" t="str">
        <f t="shared" si="1044"/>
        <v>Def TaxN</v>
      </c>
      <c r="AQ2146" s="41" t="str">
        <f t="shared" si="1045"/>
        <v>Def TaxNN10Gas Costs Deferred</v>
      </c>
      <c r="AR2146" s="41" t="str">
        <f t="shared" si="1046"/>
        <v>N10Gas Costs DeferredNCR</v>
      </c>
    </row>
    <row r="2147" spans="1:44" s="41" customFormat="1" ht="12.75" customHeight="1">
      <c r="A2147" s="442" t="s">
        <v>1590</v>
      </c>
      <c r="B2147" s="442" t="str">
        <f t="shared" si="1040"/>
        <v>Def Tax283210283-080-JP</v>
      </c>
      <c r="C2147" s="736">
        <v>283210</v>
      </c>
      <c r="D2147" s="735" t="s">
        <v>2156</v>
      </c>
      <c r="E2147" s="626"/>
      <c r="F2147" s="626" t="str">
        <f t="shared" si="1056"/>
        <v>ACCUM DEF INC TAX-OTH-FEDERAL-GAS</v>
      </c>
      <c r="G2147" s="626" t="s">
        <v>2157</v>
      </c>
      <c r="H2147" s="736" t="s">
        <v>1113</v>
      </c>
      <c r="I2147" s="442"/>
      <c r="J2147" s="442" t="str">
        <f t="shared" ref="J2147:J2211" si="1060">IF(L2147="N10","Y",IF(L2147="N8","Y",""))</f>
        <v/>
      </c>
      <c r="K2147" s="442" t="str">
        <f t="shared" si="1042"/>
        <v/>
      </c>
      <c r="L2147" s="736" t="s">
        <v>2421</v>
      </c>
      <c r="M2147" s="442" t="str">
        <f t="shared" si="1043"/>
        <v>N</v>
      </c>
      <c r="N2147" s="442" t="str">
        <f>IF(L2147&lt;&gt;"",VLOOKUP(L2147,Categories!$B$2:$D$41,2,FALSE),IF(F2147&lt;&gt;"","No Cat",""))</f>
        <v>NRBASE</v>
      </c>
      <c r="O2147" s="442" t="str">
        <f>IF($L2147&lt;&gt;"",VLOOKUP($L2147,Categories!$B$2:$D$41,3,FALSE),IF($F2147&lt;&gt;"","No Cat",""))</f>
        <v>Direct Assign Items Not in RB</v>
      </c>
      <c r="P2147" s="736" t="s">
        <v>2468</v>
      </c>
      <c r="Q2147" s="442" t="str">
        <f>VLOOKUP($P2147,Allocators!$B$7:$F$19,5,FALSE)</f>
        <v>Not in Rate Base</v>
      </c>
      <c r="R2147" s="737">
        <f>VLOOKUP($P2147,Allocators!$B$7:$F$19,2,FALSE)</f>
        <v>0</v>
      </c>
      <c r="S2147" s="737">
        <f>VLOOKUP($P2147,Allocators!$B$7:$F$19,3,FALSE)</f>
        <v>0</v>
      </c>
      <c r="T2147" s="737">
        <f t="shared" si="1041"/>
        <v>1</v>
      </c>
      <c r="U2147" s="2" t="str">
        <f t="shared" si="1050"/>
        <v/>
      </c>
      <c r="V2147" s="2" t="str">
        <f t="shared" si="1051"/>
        <v/>
      </c>
      <c r="W2147" s="2" t="str">
        <f t="shared" si="1052"/>
        <v/>
      </c>
      <c r="X2147" s="2">
        <f t="shared" si="1047"/>
        <v>0</v>
      </c>
      <c r="Y2147" s="2" t="str">
        <f t="shared" si="1053"/>
        <v/>
      </c>
      <c r="Z2147" s="2" t="str">
        <f t="shared" si="1054"/>
        <v/>
      </c>
      <c r="AA2147" s="2" t="str">
        <f t="shared" si="1055"/>
        <v/>
      </c>
      <c r="AB2147" s="2">
        <f t="shared" si="1048"/>
        <v>0</v>
      </c>
      <c r="AC2147" s="625">
        <v>0</v>
      </c>
      <c r="AD2147" s="625">
        <v>0</v>
      </c>
      <c r="AE2147" s="625">
        <v>0</v>
      </c>
      <c r="AF2147" s="625">
        <v>0</v>
      </c>
      <c r="AG2147" s="625">
        <v>0</v>
      </c>
      <c r="AH2147" s="625">
        <v>0</v>
      </c>
      <c r="AI2147" s="625">
        <v>0</v>
      </c>
      <c r="AJ2147" s="625">
        <v>0</v>
      </c>
      <c r="AK2147" s="625">
        <v>0</v>
      </c>
      <c r="AL2147" s="625">
        <v>0</v>
      </c>
      <c r="AM2147" s="625">
        <v>0</v>
      </c>
      <c r="AN2147" s="625">
        <v>0</v>
      </c>
      <c r="AO2147" s="625">
        <v>0</v>
      </c>
      <c r="AP2147" s="41" t="str">
        <f t="shared" si="1044"/>
        <v>Def TaxN</v>
      </c>
      <c r="AQ2147" s="41" t="str">
        <f t="shared" si="1045"/>
        <v>Def TaxNN2Property Tax Deferral</v>
      </c>
      <c r="AR2147" s="41" t="str">
        <f t="shared" si="1046"/>
        <v>N2Property Tax Deferral</v>
      </c>
    </row>
    <row r="2148" spans="1:44" s="41" customFormat="1" ht="12.75" customHeight="1">
      <c r="A2148" s="25" t="s">
        <v>1590</v>
      </c>
      <c r="B2148" s="25" t="str">
        <f t="shared" si="1040"/>
        <v>Def Tax283210283-061</v>
      </c>
      <c r="C2148" s="736">
        <v>283210</v>
      </c>
      <c r="D2148" s="735" t="s">
        <v>2158</v>
      </c>
      <c r="F2148" s="41" t="str">
        <f t="shared" si="1056"/>
        <v>ACCUM DEF INC TAX-OTH-FEDERAL-GAS</v>
      </c>
      <c r="G2148" s="41" t="s">
        <v>2256</v>
      </c>
      <c r="H2148" s="736">
        <v>0</v>
      </c>
      <c r="I2148" s="25"/>
      <c r="J2148" s="25" t="str">
        <f t="shared" si="1060"/>
        <v/>
      </c>
      <c r="K2148" s="442" t="str">
        <f t="shared" si="1042"/>
        <v/>
      </c>
      <c r="L2148" s="736" t="s">
        <v>2443</v>
      </c>
      <c r="M2148" s="25" t="str">
        <f t="shared" si="1043"/>
        <v>R</v>
      </c>
      <c r="N2148" s="25" t="str">
        <f>IF(L2148&lt;&gt;"",VLOOKUP(L2148,Categories!$B$2:$D$41,2,FALSE),IF(F2148&lt;&gt;"","No Cat",""))</f>
        <v>Rate Base</v>
      </c>
      <c r="O2148" s="25" t="str">
        <f>IF($L2148&lt;&gt;"",VLOOKUP($L2148,Categories!$B$2:$D$41,3,FALSE),IF($F2148&lt;&gt;"","No Cat",""))</f>
        <v>Deferred Income Taxes</v>
      </c>
      <c r="P2148" s="736" t="s">
        <v>2483</v>
      </c>
      <c r="Q2148" s="25" t="str">
        <f>VLOOKUP($P2148,Allocators!$B$7:$F$19,5,FALSE)</f>
        <v>Gas</v>
      </c>
      <c r="R2148" s="737">
        <f>VLOOKUP($P2148,Allocators!$B$7:$F$19,2,FALSE)</f>
        <v>0</v>
      </c>
      <c r="S2148" s="737">
        <f>VLOOKUP($P2148,Allocators!$B$7:$F$19,3,FALSE)</f>
        <v>1</v>
      </c>
      <c r="T2148" s="737" t="str">
        <f t="shared" si="1041"/>
        <v>0.0%</v>
      </c>
      <c r="U2148" s="2" t="str">
        <f t="shared" si="1050"/>
        <v/>
      </c>
      <c r="V2148" s="2" t="str">
        <f t="shared" si="1051"/>
        <v/>
      </c>
      <c r="W2148" s="2" t="str">
        <f t="shared" si="1052"/>
        <v/>
      </c>
      <c r="X2148" s="2">
        <f t="shared" si="1047"/>
        <v>0</v>
      </c>
      <c r="Y2148" s="2" t="str">
        <f t="shared" si="1053"/>
        <v/>
      </c>
      <c r="Z2148" s="2" t="str">
        <f t="shared" si="1054"/>
        <v/>
      </c>
      <c r="AA2148" s="2" t="str">
        <f t="shared" si="1055"/>
        <v/>
      </c>
      <c r="AB2148" s="2">
        <f t="shared" si="1048"/>
        <v>0</v>
      </c>
      <c r="AC2148" s="625">
        <v>0</v>
      </c>
      <c r="AD2148" s="625">
        <v>0</v>
      </c>
      <c r="AE2148" s="625">
        <v>0</v>
      </c>
      <c r="AF2148" s="625">
        <v>0</v>
      </c>
      <c r="AG2148" s="625">
        <v>0</v>
      </c>
      <c r="AH2148" s="625">
        <v>0</v>
      </c>
      <c r="AI2148" s="625">
        <v>0</v>
      </c>
      <c r="AJ2148" s="625">
        <v>0</v>
      </c>
      <c r="AK2148" s="625">
        <v>0</v>
      </c>
      <c r="AL2148" s="625">
        <v>0</v>
      </c>
      <c r="AM2148" s="625">
        <v>0</v>
      </c>
      <c r="AN2148" s="625">
        <v>0</v>
      </c>
      <c r="AO2148" s="625">
        <v>0</v>
      </c>
      <c r="AP2148" s="41" t="str">
        <f t="shared" si="1044"/>
        <v>Def TaxR</v>
      </c>
      <c r="AQ2148" s="41" t="str">
        <f t="shared" si="1045"/>
        <v>Def TaxRR110</v>
      </c>
      <c r="AR2148" s="41" t="str">
        <f t="shared" si="1046"/>
        <v>R110</v>
      </c>
    </row>
    <row r="2149" spans="1:44" s="41" customFormat="1" ht="12.75" customHeight="1">
      <c r="A2149" s="25" t="s">
        <v>1590</v>
      </c>
      <c r="B2149" s="25" t="str">
        <f t="shared" si="1040"/>
        <v>Def Tax283210283-043</v>
      </c>
      <c r="C2149" s="736">
        <v>283210</v>
      </c>
      <c r="D2149" s="735" t="s">
        <v>2160</v>
      </c>
      <c r="F2149" s="41" t="str">
        <f t="shared" si="1056"/>
        <v>ACCUM DEF INC TAX-OTH-FEDERAL-GAS</v>
      </c>
      <c r="G2149" s="41" t="s">
        <v>2161</v>
      </c>
      <c r="H2149" s="736">
        <v>0</v>
      </c>
      <c r="I2149" s="25"/>
      <c r="J2149" s="25" t="str">
        <f t="shared" si="1060"/>
        <v/>
      </c>
      <c r="K2149" s="442" t="str">
        <f t="shared" si="1042"/>
        <v/>
      </c>
      <c r="L2149" s="736" t="s">
        <v>2443</v>
      </c>
      <c r="M2149" s="25" t="str">
        <f t="shared" si="1043"/>
        <v>R</v>
      </c>
      <c r="N2149" s="25" t="str">
        <f>IF(L2149&lt;&gt;"",VLOOKUP(L2149,Categories!$B$2:$D$41,2,FALSE),IF(F2149&lt;&gt;"","No Cat",""))</f>
        <v>Rate Base</v>
      </c>
      <c r="O2149" s="25" t="str">
        <f>IF($L2149&lt;&gt;"",VLOOKUP($L2149,Categories!$B$2:$D$41,3,FALSE),IF($F2149&lt;&gt;"","No Cat",""))</f>
        <v>Deferred Income Taxes</v>
      </c>
      <c r="P2149" s="736" t="s">
        <v>2483</v>
      </c>
      <c r="Q2149" s="25" t="str">
        <f>VLOOKUP($P2149,Allocators!$B$7:$F$19,5,FALSE)</f>
        <v>Gas</v>
      </c>
      <c r="R2149" s="737">
        <f>VLOOKUP($P2149,Allocators!$B$7:$F$19,2,FALSE)</f>
        <v>0</v>
      </c>
      <c r="S2149" s="737">
        <f>VLOOKUP($P2149,Allocators!$B$7:$F$19,3,FALSE)</f>
        <v>1</v>
      </c>
      <c r="T2149" s="737" t="str">
        <f t="shared" si="1041"/>
        <v>0.0%</v>
      </c>
      <c r="U2149" s="2" t="str">
        <f t="shared" si="1050"/>
        <v/>
      </c>
      <c r="V2149" s="2" t="str">
        <f t="shared" si="1051"/>
        <v/>
      </c>
      <c r="W2149" s="2" t="str">
        <f t="shared" si="1052"/>
        <v/>
      </c>
      <c r="X2149" s="2">
        <f t="shared" si="1047"/>
        <v>0</v>
      </c>
      <c r="Y2149" s="2" t="str">
        <f t="shared" si="1053"/>
        <v/>
      </c>
      <c r="Z2149" s="2" t="str">
        <f t="shared" si="1054"/>
        <v/>
      </c>
      <c r="AA2149" s="2" t="str">
        <f t="shared" si="1055"/>
        <v/>
      </c>
      <c r="AB2149" s="2">
        <f t="shared" si="1048"/>
        <v>0</v>
      </c>
      <c r="AC2149" s="625">
        <v>0</v>
      </c>
      <c r="AD2149" s="625">
        <v>0</v>
      </c>
      <c r="AE2149" s="625">
        <v>0</v>
      </c>
      <c r="AF2149" s="625">
        <v>0</v>
      </c>
      <c r="AG2149" s="625">
        <v>0</v>
      </c>
      <c r="AH2149" s="625">
        <v>0</v>
      </c>
      <c r="AI2149" s="625">
        <v>0</v>
      </c>
      <c r="AJ2149" s="625">
        <v>0</v>
      </c>
      <c r="AK2149" s="625">
        <v>0</v>
      </c>
      <c r="AL2149" s="625">
        <v>0</v>
      </c>
      <c r="AM2149" s="625">
        <v>0</v>
      </c>
      <c r="AN2149" s="625">
        <v>0</v>
      </c>
      <c r="AO2149" s="625">
        <v>0</v>
      </c>
      <c r="AP2149" s="41" t="str">
        <f t="shared" si="1044"/>
        <v>Def TaxR</v>
      </c>
      <c r="AQ2149" s="41" t="str">
        <f t="shared" si="1045"/>
        <v>Def TaxRR110</v>
      </c>
      <c r="AR2149" s="41" t="str">
        <f t="shared" si="1046"/>
        <v>R110</v>
      </c>
    </row>
    <row r="2150" spans="1:44" s="41" customFormat="1" ht="12.75" customHeight="1">
      <c r="A2150" s="442" t="s">
        <v>1590</v>
      </c>
      <c r="B2150" s="442" t="str">
        <f t="shared" si="1040"/>
        <v>Def Tax283210283-078</v>
      </c>
      <c r="C2150" s="736">
        <v>283210</v>
      </c>
      <c r="D2150" s="735" t="s">
        <v>2162</v>
      </c>
      <c r="E2150" s="626"/>
      <c r="F2150" s="626" t="str">
        <f t="shared" si="1056"/>
        <v>ACCUM DEF INC TAX-OTH-FEDERAL-GAS</v>
      </c>
      <c r="G2150" s="626" t="s">
        <v>2163</v>
      </c>
      <c r="H2150" s="736" t="s">
        <v>1309</v>
      </c>
      <c r="I2150" s="442"/>
      <c r="J2150" s="442" t="str">
        <f t="shared" si="1060"/>
        <v/>
      </c>
      <c r="K2150" s="442" t="str">
        <f t="shared" si="1042"/>
        <v/>
      </c>
      <c r="L2150" s="736" t="s">
        <v>2421</v>
      </c>
      <c r="M2150" s="442" t="str">
        <f t="shared" si="1043"/>
        <v>N</v>
      </c>
      <c r="N2150" s="442" t="str">
        <f>IF(L2150&lt;&gt;"",VLOOKUP(L2150,Categories!$B$2:$D$41,2,FALSE),IF(F2150&lt;&gt;"","No Cat",""))</f>
        <v>NRBASE</v>
      </c>
      <c r="O2150" s="442" t="str">
        <f>IF($L2150&lt;&gt;"",VLOOKUP($L2150,Categories!$B$2:$D$41,3,FALSE),IF($F2150&lt;&gt;"","No Cat",""))</f>
        <v>Direct Assign Items Not in RB</v>
      </c>
      <c r="P2150" s="736" t="s">
        <v>2468</v>
      </c>
      <c r="Q2150" s="442" t="str">
        <f>VLOOKUP($P2150,Allocators!$B$7:$F$19,5,FALSE)</f>
        <v>Not in Rate Base</v>
      </c>
      <c r="R2150" s="737">
        <f>VLOOKUP($P2150,Allocators!$B$7:$F$19,2,FALSE)</f>
        <v>0</v>
      </c>
      <c r="S2150" s="737">
        <f>VLOOKUP($P2150,Allocators!$B$7:$F$19,3,FALSE)</f>
        <v>0</v>
      </c>
      <c r="T2150" s="737">
        <f t="shared" si="1041"/>
        <v>1</v>
      </c>
      <c r="U2150" s="2" t="str">
        <f t="shared" si="1050"/>
        <v/>
      </c>
      <c r="V2150" s="2" t="str">
        <f t="shared" si="1051"/>
        <v/>
      </c>
      <c r="W2150" s="2" t="str">
        <f t="shared" si="1052"/>
        <v/>
      </c>
      <c r="X2150" s="2">
        <f t="shared" si="1047"/>
        <v>0</v>
      </c>
      <c r="Y2150" s="2" t="str">
        <f t="shared" si="1053"/>
        <v/>
      </c>
      <c r="Z2150" s="2" t="str">
        <f t="shared" si="1054"/>
        <v/>
      </c>
      <c r="AA2150" s="2" t="str">
        <f t="shared" si="1055"/>
        <v/>
      </c>
      <c r="AB2150" s="2">
        <f t="shared" si="1048"/>
        <v>0</v>
      </c>
      <c r="AC2150" s="625">
        <v>0</v>
      </c>
      <c r="AD2150" s="625">
        <v>0</v>
      </c>
      <c r="AE2150" s="625">
        <v>0</v>
      </c>
      <c r="AF2150" s="625">
        <v>0</v>
      </c>
      <c r="AG2150" s="625">
        <v>0</v>
      </c>
      <c r="AH2150" s="625">
        <v>0</v>
      </c>
      <c r="AI2150" s="625">
        <v>0</v>
      </c>
      <c r="AJ2150" s="625">
        <v>0</v>
      </c>
      <c r="AK2150" s="625">
        <v>0</v>
      </c>
      <c r="AL2150" s="625">
        <v>0</v>
      </c>
      <c r="AM2150" s="625">
        <v>0</v>
      </c>
      <c r="AN2150" s="625">
        <v>0</v>
      </c>
      <c r="AO2150" s="625">
        <v>0</v>
      </c>
      <c r="AP2150" s="41" t="str">
        <f t="shared" si="1044"/>
        <v>Def TaxN</v>
      </c>
      <c r="AQ2150" s="41" t="str">
        <f t="shared" si="1045"/>
        <v>Def TaxNN2Economic Development</v>
      </c>
      <c r="AR2150" s="41" t="str">
        <f t="shared" si="1046"/>
        <v>N2Economic Development</v>
      </c>
    </row>
    <row r="2151" spans="1:44" s="41" customFormat="1" ht="12.75" customHeight="1">
      <c r="A2151" s="442" t="s">
        <v>1590</v>
      </c>
      <c r="B2151" s="442" t="str">
        <f t="shared" si="1040"/>
        <v>Def Tax283210283-003BT010099</v>
      </c>
      <c r="C2151" s="736">
        <v>283210</v>
      </c>
      <c r="D2151" s="735" t="s">
        <v>2257</v>
      </c>
      <c r="E2151" s="626" t="s">
        <v>1734</v>
      </c>
      <c r="F2151" s="626" t="str">
        <f t="shared" si="1056"/>
        <v>ACCUM DEF INC TAX-OTH-FEDERAL-GAS</v>
      </c>
      <c r="G2151" s="626" t="s">
        <v>2258</v>
      </c>
      <c r="H2151" s="736" t="s">
        <v>1142</v>
      </c>
      <c r="I2151" s="442"/>
      <c r="J2151" s="442" t="s">
        <v>7</v>
      </c>
      <c r="K2151" s="442" t="str">
        <f t="shared" si="1042"/>
        <v/>
      </c>
      <c r="L2151" s="736" t="s">
        <v>2436</v>
      </c>
      <c r="M2151" s="442" t="str">
        <f t="shared" si="1043"/>
        <v>N</v>
      </c>
      <c r="N2151" s="442" t="str">
        <f>IF(L2151&lt;&gt;"",VLOOKUP(L2151,Categories!$B$2:$D$41,2,FALSE),IF(F2151&lt;&gt;"","No Cat",""))</f>
        <v>NRBASE</v>
      </c>
      <c r="O2151" s="442" t="str">
        <f>IF($L2151&lt;&gt;"",VLOOKUP($L2151,Categories!$B$2:$D$41,3,FALSE),IF($F2151&lt;&gt;"","No Cat",""))</f>
        <v>Deferrals Accruing Non-Cash Return   (other than ASGA)</v>
      </c>
      <c r="P2151" s="736" t="s">
        <v>2468</v>
      </c>
      <c r="Q2151" s="442" t="str">
        <f>VLOOKUP($P2151,Allocators!$B$7:$F$19,5,FALSE)</f>
        <v>Not in Rate Base</v>
      </c>
      <c r="R2151" s="737">
        <f>VLOOKUP($P2151,Allocators!$B$7:$F$19,2,FALSE)</f>
        <v>0</v>
      </c>
      <c r="S2151" s="737">
        <f>VLOOKUP($P2151,Allocators!$B$7:$F$19,3,FALSE)</f>
        <v>0</v>
      </c>
      <c r="T2151" s="737">
        <f t="shared" si="1041"/>
        <v>1</v>
      </c>
      <c r="U2151" s="2" t="str">
        <f t="shared" si="1050"/>
        <v/>
      </c>
      <c r="V2151" s="2" t="str">
        <f t="shared" si="1051"/>
        <v/>
      </c>
      <c r="W2151" s="2" t="str">
        <f t="shared" si="1052"/>
        <v/>
      </c>
      <c r="X2151" s="2">
        <f t="shared" si="1047"/>
        <v>0</v>
      </c>
      <c r="Y2151" s="2" t="str">
        <f t="shared" si="1053"/>
        <v/>
      </c>
      <c r="Z2151" s="2" t="str">
        <f t="shared" si="1054"/>
        <v/>
      </c>
      <c r="AA2151" s="2" t="str">
        <f t="shared" si="1055"/>
        <v/>
      </c>
      <c r="AB2151" s="2">
        <f t="shared" si="1048"/>
        <v>0</v>
      </c>
      <c r="AC2151" s="625">
        <v>0</v>
      </c>
      <c r="AD2151" s="625">
        <v>0</v>
      </c>
      <c r="AE2151" s="625">
        <v>0</v>
      </c>
      <c r="AF2151" s="625">
        <v>0</v>
      </c>
      <c r="AG2151" s="625">
        <v>0</v>
      </c>
      <c r="AH2151" s="625">
        <v>0</v>
      </c>
      <c r="AI2151" s="625">
        <v>0</v>
      </c>
      <c r="AJ2151" s="625">
        <v>0</v>
      </c>
      <c r="AK2151" s="625">
        <v>0</v>
      </c>
      <c r="AL2151" s="625">
        <v>0</v>
      </c>
      <c r="AM2151" s="625">
        <v>0</v>
      </c>
      <c r="AN2151" s="625">
        <v>0</v>
      </c>
      <c r="AO2151" s="625">
        <v>0</v>
      </c>
      <c r="AP2151" s="41" t="str">
        <f t="shared" si="1044"/>
        <v>Def TaxN</v>
      </c>
      <c r="AQ2151" s="41" t="str">
        <f t="shared" si="1045"/>
        <v>Def TaxNN10Gas Costs Deferred</v>
      </c>
      <c r="AR2151" s="41" t="str">
        <f t="shared" si="1046"/>
        <v>N10Gas Costs DeferredNCR</v>
      </c>
    </row>
    <row r="2152" spans="1:44" s="41" customFormat="1" ht="12.75" customHeight="1">
      <c r="A2152" s="25" t="s">
        <v>1590</v>
      </c>
      <c r="B2152" s="25" t="str">
        <f t="shared" si="1040"/>
        <v>Def Tax283210283-055BTHUNGDT</v>
      </c>
      <c r="C2152" s="736">
        <v>283210</v>
      </c>
      <c r="D2152" s="735" t="s">
        <v>2164</v>
      </c>
      <c r="E2152" s="41" t="s">
        <v>1624</v>
      </c>
      <c r="F2152" s="41" t="str">
        <f t="shared" si="1056"/>
        <v>ACCUM DEF INC TAX-OTH-FEDERAL-GAS</v>
      </c>
      <c r="G2152" s="41" t="s">
        <v>2165</v>
      </c>
      <c r="H2152" s="736" t="s">
        <v>2165</v>
      </c>
      <c r="I2152" s="25"/>
      <c r="J2152" s="25" t="str">
        <f t="shared" si="1060"/>
        <v/>
      </c>
      <c r="K2152" s="442" t="str">
        <f t="shared" si="1042"/>
        <v/>
      </c>
      <c r="L2152" s="736" t="s">
        <v>2443</v>
      </c>
      <c r="M2152" s="25" t="str">
        <f t="shared" si="1043"/>
        <v>R</v>
      </c>
      <c r="N2152" s="25" t="str">
        <f>IF(L2152&lt;&gt;"",VLOOKUP(L2152,Categories!$B$2:$D$41,2,FALSE),IF(F2152&lt;&gt;"","No Cat",""))</f>
        <v>Rate Base</v>
      </c>
      <c r="O2152" s="25" t="str">
        <f>IF($L2152&lt;&gt;"",VLOOKUP($L2152,Categories!$B$2:$D$41,3,FALSE),IF($F2152&lt;&gt;"","No Cat",""))</f>
        <v>Deferred Income Taxes</v>
      </c>
      <c r="P2152" s="736" t="s">
        <v>2483</v>
      </c>
      <c r="Q2152" s="25" t="str">
        <f>VLOOKUP($P2152,Allocators!$B$7:$F$19,5,FALSE)</f>
        <v>Gas</v>
      </c>
      <c r="R2152" s="737">
        <f>VLOOKUP($P2152,Allocators!$B$7:$F$19,2,FALSE)</f>
        <v>0</v>
      </c>
      <c r="S2152" s="737">
        <f>VLOOKUP($P2152,Allocators!$B$7:$F$19,3,FALSE)</f>
        <v>1</v>
      </c>
      <c r="T2152" s="737" t="str">
        <f t="shared" si="1041"/>
        <v>0.0%</v>
      </c>
      <c r="U2152" s="2" t="str">
        <f t="shared" si="1050"/>
        <v/>
      </c>
      <c r="V2152" s="2" t="str">
        <f t="shared" si="1051"/>
        <v/>
      </c>
      <c r="W2152" s="2" t="str">
        <f t="shared" si="1052"/>
        <v/>
      </c>
      <c r="X2152" s="2">
        <f t="shared" si="1047"/>
        <v>0</v>
      </c>
      <c r="Y2152" s="2" t="str">
        <f t="shared" si="1053"/>
        <v/>
      </c>
      <c r="Z2152" s="2" t="str">
        <f t="shared" si="1054"/>
        <v/>
      </c>
      <c r="AA2152" s="2" t="str">
        <f t="shared" si="1055"/>
        <v/>
      </c>
      <c r="AB2152" s="2">
        <f t="shared" si="1048"/>
        <v>0</v>
      </c>
      <c r="AC2152" s="625">
        <v>0</v>
      </c>
      <c r="AD2152" s="625">
        <v>0</v>
      </c>
      <c r="AE2152" s="625">
        <v>0</v>
      </c>
      <c r="AF2152" s="625">
        <v>0</v>
      </c>
      <c r="AG2152" s="625">
        <v>0</v>
      </c>
      <c r="AH2152" s="625">
        <v>0</v>
      </c>
      <c r="AI2152" s="625">
        <v>0</v>
      </c>
      <c r="AJ2152" s="625">
        <v>0</v>
      </c>
      <c r="AK2152" s="625">
        <v>0</v>
      </c>
      <c r="AL2152" s="625">
        <v>0</v>
      </c>
      <c r="AM2152" s="625">
        <v>0</v>
      </c>
      <c r="AN2152" s="625">
        <v>0</v>
      </c>
      <c r="AO2152" s="625">
        <v>0</v>
      </c>
      <c r="AP2152" s="41" t="str">
        <f t="shared" si="1044"/>
        <v>Def TaxR</v>
      </c>
      <c r="AQ2152" s="41" t="str">
        <f t="shared" si="1045"/>
        <v>Def TaxRR11GECHO</v>
      </c>
      <c r="AR2152" s="41" t="str">
        <f t="shared" si="1046"/>
        <v>R11GECHO</v>
      </c>
    </row>
    <row r="2153" spans="1:44" s="41" customFormat="1" ht="12.75" customHeight="1">
      <c r="A2153" s="442" t="s">
        <v>1590</v>
      </c>
      <c r="B2153" s="442" t="str">
        <f t="shared" ref="B2153:B2218" si="1061">CONCATENATE(A2153,C2153,D2153,E2153)</f>
        <v>Def Tax283210GRT RefundBT010355</v>
      </c>
      <c r="C2153" s="736">
        <v>283210</v>
      </c>
      <c r="D2153" s="735" t="s">
        <v>2166</v>
      </c>
      <c r="E2153" s="626" t="s">
        <v>2167</v>
      </c>
      <c r="F2153" s="626" t="str">
        <f t="shared" si="1056"/>
        <v>ACCUM DEF INC TAX-OTH-FEDERAL-GAS</v>
      </c>
      <c r="G2153" s="626" t="s">
        <v>2168</v>
      </c>
      <c r="H2153" s="736" t="s">
        <v>1542</v>
      </c>
      <c r="I2153" s="442"/>
      <c r="J2153" s="442" t="str">
        <f t="shared" si="1060"/>
        <v/>
      </c>
      <c r="K2153" s="442" t="str">
        <f t="shared" si="1042"/>
        <v/>
      </c>
      <c r="L2153" s="736" t="s">
        <v>2421</v>
      </c>
      <c r="M2153" s="442" t="str">
        <f t="shared" si="1043"/>
        <v>N</v>
      </c>
      <c r="N2153" s="442" t="str">
        <f>IF(L2153&lt;&gt;"",VLOOKUP(L2153,Categories!$B$2:$D$41,2,FALSE),IF(F2153&lt;&gt;"","No Cat",""))</f>
        <v>NRBASE</v>
      </c>
      <c r="O2153" s="442" t="str">
        <f>IF($L2153&lt;&gt;"",VLOOKUP($L2153,Categories!$B$2:$D$41,3,FALSE),IF($F2153&lt;&gt;"","No Cat",""))</f>
        <v>Direct Assign Items Not in RB</v>
      </c>
      <c r="P2153" s="736" t="s">
        <v>2468</v>
      </c>
      <c r="Q2153" s="442" t="str">
        <f>VLOOKUP($P2153,Allocators!$B$7:$F$19,5,FALSE)</f>
        <v>Not in Rate Base</v>
      </c>
      <c r="R2153" s="737">
        <f>VLOOKUP($P2153,Allocators!$B$7:$F$19,2,FALSE)</f>
        <v>0</v>
      </c>
      <c r="S2153" s="737">
        <f>VLOOKUP($P2153,Allocators!$B$7:$F$19,3,FALSE)</f>
        <v>0</v>
      </c>
      <c r="T2153" s="737">
        <f t="shared" si="1041"/>
        <v>1</v>
      </c>
      <c r="U2153" s="2">
        <f t="shared" si="1050"/>
        <v>0</v>
      </c>
      <c r="V2153" s="2">
        <f t="shared" si="1051"/>
        <v>0</v>
      </c>
      <c r="W2153" s="2">
        <f t="shared" si="1052"/>
        <v>-249.30552</v>
      </c>
      <c r="X2153" s="2">
        <f t="shared" si="1047"/>
        <v>-249.30552</v>
      </c>
      <c r="Y2153" s="2">
        <f t="shared" si="1053"/>
        <v>0</v>
      </c>
      <c r="Z2153" s="2">
        <f t="shared" si="1054"/>
        <v>0</v>
      </c>
      <c r="AA2153" s="2">
        <f t="shared" si="1055"/>
        <v>-249.30552</v>
      </c>
      <c r="AB2153" s="2">
        <f t="shared" si="1048"/>
        <v>-249.30552</v>
      </c>
      <c r="AC2153" s="625">
        <v>-249.30552</v>
      </c>
      <c r="AD2153" s="625">
        <v>-249.30552</v>
      </c>
      <c r="AE2153" s="625">
        <v>-249.30552</v>
      </c>
      <c r="AF2153" s="625">
        <v>-249.30552</v>
      </c>
      <c r="AG2153" s="625">
        <v>-249.30552</v>
      </c>
      <c r="AH2153" s="625">
        <v>-249.30552</v>
      </c>
      <c r="AI2153" s="625">
        <v>-249.30552</v>
      </c>
      <c r="AJ2153" s="625">
        <v>-249.30552</v>
      </c>
      <c r="AK2153" s="625">
        <v>-249.30552</v>
      </c>
      <c r="AL2153" s="625">
        <v>-249.30552</v>
      </c>
      <c r="AM2153" s="625">
        <v>-249.30552</v>
      </c>
      <c r="AN2153" s="625">
        <v>-249.30552</v>
      </c>
      <c r="AO2153" s="625">
        <v>-249.30552</v>
      </c>
      <c r="AP2153" s="41" t="str">
        <f t="shared" si="1044"/>
        <v>Def TaxN</v>
      </c>
      <c r="AQ2153" s="41" t="str">
        <f t="shared" si="1045"/>
        <v>Def TaxNN2GRT Refund Requests</v>
      </c>
      <c r="AR2153" s="41" t="str">
        <f t="shared" si="1046"/>
        <v>N2GRT Refund Requests</v>
      </c>
    </row>
    <row r="2154" spans="1:44" s="41" customFormat="1" ht="12.75" customHeight="1">
      <c r="A2154" s="25" t="s">
        <v>1590</v>
      </c>
      <c r="B2154" s="25" t="str">
        <f t="shared" si="1061"/>
        <v>Def Tax283210283-077</v>
      </c>
      <c r="C2154" s="736">
        <v>283210</v>
      </c>
      <c r="D2154" s="735" t="s">
        <v>2177</v>
      </c>
      <c r="F2154" s="41" t="str">
        <f t="shared" si="1056"/>
        <v>ACCUM DEF INC TAX-OTH-FEDERAL-GAS</v>
      </c>
      <c r="G2154" s="41" t="s">
        <v>2178</v>
      </c>
      <c r="H2154" s="736" t="s">
        <v>2179</v>
      </c>
      <c r="I2154" s="25"/>
      <c r="J2154" s="25" t="str">
        <f t="shared" si="1060"/>
        <v/>
      </c>
      <c r="K2154" s="442" t="str">
        <f t="shared" si="1042"/>
        <v/>
      </c>
      <c r="L2154" s="736" t="s">
        <v>2443</v>
      </c>
      <c r="M2154" s="25" t="str">
        <f t="shared" si="1043"/>
        <v>R</v>
      </c>
      <c r="N2154" s="25" t="str">
        <f>IF(L2154&lt;&gt;"",VLOOKUP(L2154,Categories!$B$2:$D$41,2,FALSE),IF(F2154&lt;&gt;"","No Cat",""))</f>
        <v>Rate Base</v>
      </c>
      <c r="O2154" s="25" t="str">
        <f>IF($L2154&lt;&gt;"",VLOOKUP($L2154,Categories!$B$2:$D$41,3,FALSE),IF($F2154&lt;&gt;"","No Cat",""))</f>
        <v>Deferred Income Taxes</v>
      </c>
      <c r="P2154" s="736" t="s">
        <v>2483</v>
      </c>
      <c r="Q2154" s="25" t="str">
        <f>VLOOKUP($P2154,Allocators!$B$7:$F$19,5,FALSE)</f>
        <v>Gas</v>
      </c>
      <c r="R2154" s="737">
        <f>VLOOKUP($P2154,Allocators!$B$7:$F$19,2,FALSE)</f>
        <v>0</v>
      </c>
      <c r="S2154" s="737">
        <f>VLOOKUP($P2154,Allocators!$B$7:$F$19,3,FALSE)</f>
        <v>1</v>
      </c>
      <c r="T2154" s="737" t="str">
        <f t="shared" si="1041"/>
        <v>0.0%</v>
      </c>
      <c r="U2154" s="2" t="str">
        <f t="shared" si="1050"/>
        <v/>
      </c>
      <c r="V2154" s="2" t="str">
        <f t="shared" si="1051"/>
        <v/>
      </c>
      <c r="W2154" s="2" t="str">
        <f t="shared" si="1052"/>
        <v/>
      </c>
      <c r="X2154" s="2">
        <f t="shared" si="1047"/>
        <v>0</v>
      </c>
      <c r="Y2154" s="2" t="str">
        <f t="shared" si="1053"/>
        <v/>
      </c>
      <c r="Z2154" s="2" t="str">
        <f t="shared" si="1054"/>
        <v/>
      </c>
      <c r="AA2154" s="2" t="str">
        <f t="shared" si="1055"/>
        <v/>
      </c>
      <c r="AB2154" s="2">
        <f t="shared" si="1048"/>
        <v>0</v>
      </c>
      <c r="AC2154" s="625">
        <v>0</v>
      </c>
      <c r="AD2154" s="625">
        <v>0</v>
      </c>
      <c r="AE2154" s="625">
        <v>0</v>
      </c>
      <c r="AF2154" s="625">
        <v>0</v>
      </c>
      <c r="AG2154" s="625">
        <v>0</v>
      </c>
      <c r="AH2154" s="625">
        <v>0</v>
      </c>
      <c r="AI2154" s="625">
        <v>0</v>
      </c>
      <c r="AJ2154" s="625">
        <v>0</v>
      </c>
      <c r="AK2154" s="625">
        <v>0</v>
      </c>
      <c r="AL2154" s="625">
        <v>0</v>
      </c>
      <c r="AM2154" s="625">
        <v>0</v>
      </c>
      <c r="AN2154" s="625">
        <v>0</v>
      </c>
      <c r="AO2154" s="625">
        <v>0</v>
      </c>
      <c r="AP2154" s="41" t="str">
        <f t="shared" si="1044"/>
        <v>Def TaxR</v>
      </c>
      <c r="AQ2154" s="41" t="str">
        <f t="shared" si="1045"/>
        <v>Def TaxRR11Internal Software</v>
      </c>
      <c r="AR2154" s="41" t="str">
        <f t="shared" si="1046"/>
        <v>R11Internal Software</v>
      </c>
    </row>
    <row r="2155" spans="1:44" s="41" customFormat="1" ht="12.75" customHeight="1">
      <c r="A2155" s="25" t="s">
        <v>1590</v>
      </c>
      <c r="B2155" s="25" t="str">
        <f t="shared" si="1061"/>
        <v>Def Tax283210283-075</v>
      </c>
      <c r="C2155" s="736">
        <v>283210</v>
      </c>
      <c r="D2155" s="735" t="s">
        <v>2016</v>
      </c>
      <c r="F2155" s="41" t="str">
        <f t="shared" si="1056"/>
        <v>ACCUM DEF INC TAX-OTH-FEDERAL-GAS</v>
      </c>
      <c r="G2155" s="41" t="s">
        <v>2018</v>
      </c>
      <c r="H2155" s="736" t="s">
        <v>2019</v>
      </c>
      <c r="I2155" s="25"/>
      <c r="J2155" s="25" t="str">
        <f t="shared" si="1060"/>
        <v/>
      </c>
      <c r="K2155" s="442" t="str">
        <f t="shared" si="1042"/>
        <v/>
      </c>
      <c r="L2155" s="736" t="s">
        <v>2443</v>
      </c>
      <c r="M2155" s="25" t="str">
        <f t="shared" si="1043"/>
        <v>R</v>
      </c>
      <c r="N2155" s="25" t="str">
        <f>IF(L2155&lt;&gt;"",VLOOKUP(L2155,Categories!$B$2:$D$41,2,FALSE),IF(F2155&lt;&gt;"","No Cat",""))</f>
        <v>Rate Base</v>
      </c>
      <c r="O2155" s="25" t="str">
        <f>IF($L2155&lt;&gt;"",VLOOKUP($L2155,Categories!$B$2:$D$41,3,FALSE),IF($F2155&lt;&gt;"","No Cat",""))</f>
        <v>Deferred Income Taxes</v>
      </c>
      <c r="P2155" s="736" t="s">
        <v>2483</v>
      </c>
      <c r="Q2155" s="25" t="str">
        <f>VLOOKUP($P2155,Allocators!$B$7:$F$19,5,FALSE)</f>
        <v>Gas</v>
      </c>
      <c r="R2155" s="737">
        <f>VLOOKUP($P2155,Allocators!$B$7:$F$19,2,FALSE)</f>
        <v>0</v>
      </c>
      <c r="S2155" s="737">
        <f>VLOOKUP($P2155,Allocators!$B$7:$F$19,3,FALSE)</f>
        <v>1</v>
      </c>
      <c r="T2155" s="737" t="str">
        <f t="shared" si="1041"/>
        <v>0.0%</v>
      </c>
      <c r="U2155" s="2" t="str">
        <f t="shared" si="1050"/>
        <v/>
      </c>
      <c r="V2155" s="2" t="str">
        <f t="shared" si="1051"/>
        <v/>
      </c>
      <c r="W2155" s="2" t="str">
        <f t="shared" si="1052"/>
        <v/>
      </c>
      <c r="X2155" s="2">
        <f t="shared" si="1047"/>
        <v>0</v>
      </c>
      <c r="Y2155" s="2" t="str">
        <f t="shared" si="1053"/>
        <v/>
      </c>
      <c r="Z2155" s="2" t="str">
        <f t="shared" si="1054"/>
        <v/>
      </c>
      <c r="AA2155" s="2" t="str">
        <f t="shared" si="1055"/>
        <v/>
      </c>
      <c r="AB2155" s="2">
        <f t="shared" si="1048"/>
        <v>0</v>
      </c>
      <c r="AC2155" s="625">
        <v>0</v>
      </c>
      <c r="AD2155" s="625">
        <v>0</v>
      </c>
      <c r="AE2155" s="625">
        <v>0</v>
      </c>
      <c r="AF2155" s="625">
        <v>0</v>
      </c>
      <c r="AG2155" s="625">
        <v>0</v>
      </c>
      <c r="AH2155" s="625">
        <v>0</v>
      </c>
      <c r="AI2155" s="625">
        <v>0</v>
      </c>
      <c r="AJ2155" s="625">
        <v>0</v>
      </c>
      <c r="AK2155" s="625">
        <v>0</v>
      </c>
      <c r="AL2155" s="625">
        <v>0</v>
      </c>
      <c r="AM2155" s="625">
        <v>0</v>
      </c>
      <c r="AN2155" s="625">
        <v>0</v>
      </c>
      <c r="AO2155" s="625">
        <v>0</v>
      </c>
      <c r="AP2155" s="41" t="str">
        <f t="shared" si="1044"/>
        <v>Def TaxR</v>
      </c>
      <c r="AQ2155" s="41" t="str">
        <f t="shared" si="1045"/>
        <v>Def TaxRR1198 - '01 IRS Audit</v>
      </c>
      <c r="AR2155" s="41" t="str">
        <f t="shared" si="1046"/>
        <v>R1198 - '01 IRS Audit</v>
      </c>
    </row>
    <row r="2156" spans="1:44" s="41" customFormat="1" ht="12.75" customHeight="1">
      <c r="A2156" s="442" t="s">
        <v>1590</v>
      </c>
      <c r="B2156" s="442" t="str">
        <f t="shared" si="1061"/>
        <v>Def Tax283210283-083BT010110/
BT010111</v>
      </c>
      <c r="C2156" s="736">
        <v>283210</v>
      </c>
      <c r="D2156" s="735" t="s">
        <v>2182</v>
      </c>
      <c r="E2156" s="626" t="s">
        <v>2259</v>
      </c>
      <c r="F2156" s="626" t="str">
        <f t="shared" si="1056"/>
        <v>ACCUM DEF INC TAX-OTH-FEDERAL-GAS</v>
      </c>
      <c r="G2156" s="626" t="s">
        <v>2184</v>
      </c>
      <c r="H2156" s="736">
        <v>0</v>
      </c>
      <c r="I2156" s="442"/>
      <c r="J2156" s="442" t="str">
        <f t="shared" si="1060"/>
        <v/>
      </c>
      <c r="K2156" s="442" t="str">
        <f t="shared" si="1042"/>
        <v/>
      </c>
      <c r="L2156" s="736" t="s">
        <v>2421</v>
      </c>
      <c r="M2156" s="442" t="str">
        <f t="shared" si="1043"/>
        <v>N</v>
      </c>
      <c r="N2156" s="442" t="str">
        <f>IF(L2156&lt;&gt;"",VLOOKUP(L2156,Categories!$B$2:$D$41,2,FALSE),IF(F2156&lt;&gt;"","No Cat",""))</f>
        <v>NRBASE</v>
      </c>
      <c r="O2156" s="442" t="str">
        <f>IF($L2156&lt;&gt;"",VLOOKUP($L2156,Categories!$B$2:$D$41,3,FALSE),IF($F2156&lt;&gt;"","No Cat",""))</f>
        <v>Direct Assign Items Not in RB</v>
      </c>
      <c r="P2156" s="736" t="s">
        <v>2468</v>
      </c>
      <c r="Q2156" s="442" t="str">
        <f>VLOOKUP($P2156,Allocators!$B$7:$F$19,5,FALSE)</f>
        <v>Not in Rate Base</v>
      </c>
      <c r="R2156" s="737">
        <f>VLOOKUP($P2156,Allocators!$B$7:$F$19,2,FALSE)</f>
        <v>0</v>
      </c>
      <c r="S2156" s="737">
        <f>VLOOKUP($P2156,Allocators!$B$7:$F$19,3,FALSE)</f>
        <v>0</v>
      </c>
      <c r="T2156" s="737">
        <f t="shared" si="1041"/>
        <v>1</v>
      </c>
      <c r="U2156" s="2" t="str">
        <f t="shared" si="1050"/>
        <v/>
      </c>
      <c r="V2156" s="2" t="str">
        <f t="shared" si="1051"/>
        <v/>
      </c>
      <c r="W2156" s="2" t="str">
        <f t="shared" si="1052"/>
        <v/>
      </c>
      <c r="X2156" s="2">
        <f t="shared" si="1047"/>
        <v>0</v>
      </c>
      <c r="Y2156" s="2" t="str">
        <f t="shared" si="1053"/>
        <v/>
      </c>
      <c r="Z2156" s="2" t="str">
        <f t="shared" si="1054"/>
        <v/>
      </c>
      <c r="AA2156" s="2" t="str">
        <f t="shared" si="1055"/>
        <v/>
      </c>
      <c r="AB2156" s="2">
        <f t="shared" si="1048"/>
        <v>0</v>
      </c>
      <c r="AC2156" s="625">
        <v>0</v>
      </c>
      <c r="AD2156" s="625">
        <v>0</v>
      </c>
      <c r="AE2156" s="625">
        <v>0</v>
      </c>
      <c r="AF2156" s="625">
        <v>0</v>
      </c>
      <c r="AG2156" s="625">
        <v>0</v>
      </c>
      <c r="AH2156" s="625">
        <v>0</v>
      </c>
      <c r="AI2156" s="625">
        <v>0</v>
      </c>
      <c r="AJ2156" s="625">
        <v>0</v>
      </c>
      <c r="AK2156" s="625">
        <v>0</v>
      </c>
      <c r="AL2156" s="625">
        <v>0</v>
      </c>
      <c r="AM2156" s="625">
        <v>0</v>
      </c>
      <c r="AN2156" s="625">
        <v>0</v>
      </c>
      <c r="AO2156" s="625">
        <v>0</v>
      </c>
      <c r="AP2156" s="41" t="str">
        <f t="shared" si="1044"/>
        <v>Def TaxN</v>
      </c>
      <c r="AQ2156" s="41" t="str">
        <f t="shared" si="1045"/>
        <v>Def TaxNN20</v>
      </c>
      <c r="AR2156" s="41" t="str">
        <f t="shared" si="1046"/>
        <v>N20</v>
      </c>
    </row>
    <row r="2157" spans="1:44" s="41" customFormat="1" ht="12.75" customHeight="1">
      <c r="A2157" s="25" t="s">
        <v>1590</v>
      </c>
      <c r="B2157" s="25" t="str">
        <f t="shared" si="1061"/>
        <v>Def Tax283210283-073-JP</v>
      </c>
      <c r="C2157" s="736">
        <v>283210</v>
      </c>
      <c r="D2157" s="735" t="s">
        <v>2050</v>
      </c>
      <c r="F2157" s="41" t="str">
        <f t="shared" si="1056"/>
        <v>ACCUM DEF INC TAX-OTH-FEDERAL-GAS</v>
      </c>
      <c r="G2157" s="41" t="s">
        <v>2260</v>
      </c>
      <c r="H2157" s="736" t="s">
        <v>1234</v>
      </c>
      <c r="I2157" s="25"/>
      <c r="J2157" s="25" t="str">
        <f t="shared" si="1060"/>
        <v/>
      </c>
      <c r="K2157" s="442" t="str">
        <f t="shared" si="1042"/>
        <v/>
      </c>
      <c r="L2157" s="736" t="s">
        <v>2443</v>
      </c>
      <c r="M2157" s="25" t="str">
        <f t="shared" si="1043"/>
        <v>R</v>
      </c>
      <c r="N2157" s="25" t="str">
        <f>IF(L2157&lt;&gt;"",VLOOKUP(L2157,Categories!$B$2:$D$41,2,FALSE),IF(F2157&lt;&gt;"","No Cat",""))</f>
        <v>Rate Base</v>
      </c>
      <c r="O2157" s="25" t="str">
        <f>IF($L2157&lt;&gt;"",VLOOKUP($L2157,Categories!$B$2:$D$41,3,FALSE),IF($F2157&lt;&gt;"","No Cat",""))</f>
        <v>Deferred Income Taxes</v>
      </c>
      <c r="P2157" s="736" t="s">
        <v>2483</v>
      </c>
      <c r="Q2157" s="25" t="str">
        <f>VLOOKUP($P2157,Allocators!$B$7:$F$19,5,FALSE)</f>
        <v>Gas</v>
      </c>
      <c r="R2157" s="737">
        <f>VLOOKUP($P2157,Allocators!$B$7:$F$19,2,FALSE)</f>
        <v>0</v>
      </c>
      <c r="S2157" s="737">
        <f>VLOOKUP($P2157,Allocators!$B$7:$F$19,3,FALSE)</f>
        <v>1</v>
      </c>
      <c r="T2157" s="737" t="str">
        <f t="shared" si="1041"/>
        <v>0.0%</v>
      </c>
      <c r="U2157" s="2" t="str">
        <f t="shared" si="1050"/>
        <v/>
      </c>
      <c r="V2157" s="2" t="str">
        <f t="shared" si="1051"/>
        <v/>
      </c>
      <c r="W2157" s="2" t="str">
        <f t="shared" si="1052"/>
        <v/>
      </c>
      <c r="X2157" s="2">
        <f t="shared" si="1047"/>
        <v>0</v>
      </c>
      <c r="Y2157" s="2" t="str">
        <f t="shared" si="1053"/>
        <v/>
      </c>
      <c r="Z2157" s="2" t="str">
        <f t="shared" si="1054"/>
        <v/>
      </c>
      <c r="AA2157" s="2" t="str">
        <f t="shared" si="1055"/>
        <v/>
      </c>
      <c r="AB2157" s="2">
        <f t="shared" si="1048"/>
        <v>0</v>
      </c>
      <c r="AC2157" s="625">
        <v>0</v>
      </c>
      <c r="AD2157" s="625">
        <v>0</v>
      </c>
      <c r="AE2157" s="625">
        <v>0</v>
      </c>
      <c r="AF2157" s="625">
        <v>0</v>
      </c>
      <c r="AG2157" s="625">
        <v>0</v>
      </c>
      <c r="AH2157" s="625">
        <v>0</v>
      </c>
      <c r="AI2157" s="625">
        <v>0</v>
      </c>
      <c r="AJ2157" s="625">
        <v>0</v>
      </c>
      <c r="AK2157" s="625">
        <v>0</v>
      </c>
      <c r="AL2157" s="625">
        <v>0</v>
      </c>
      <c r="AM2157" s="625">
        <v>0</v>
      </c>
      <c r="AN2157" s="625">
        <v>0</v>
      </c>
      <c r="AO2157" s="625">
        <v>0</v>
      </c>
      <c r="AP2157" s="41" t="str">
        <f t="shared" si="1044"/>
        <v>Def TaxR</v>
      </c>
      <c r="AQ2157" s="41" t="str">
        <f t="shared" si="1045"/>
        <v>Def TaxRR11Merchant Function Charge-Gas</v>
      </c>
      <c r="AR2157" s="41" t="str">
        <f t="shared" si="1046"/>
        <v>R11Merchant Function Charge-Gas</v>
      </c>
    </row>
    <row r="2158" spans="1:44" s="41" customFormat="1" ht="12.75" customHeight="1">
      <c r="A2158" s="25" t="s">
        <v>1590</v>
      </c>
      <c r="B2158" s="25" t="str">
        <f t="shared" si="1061"/>
        <v>Def Tax283210283-002BT010127</v>
      </c>
      <c r="C2158" s="736">
        <v>283210</v>
      </c>
      <c r="D2158" s="735" t="s">
        <v>2198</v>
      </c>
      <c r="E2158" s="41" t="s">
        <v>2199</v>
      </c>
      <c r="F2158" s="41" t="str">
        <f t="shared" si="1056"/>
        <v>ACCUM DEF INC TAX-OTH-FEDERAL-GAS</v>
      </c>
      <c r="G2158" s="41" t="s">
        <v>2261</v>
      </c>
      <c r="H2158" s="736" t="s">
        <v>2201</v>
      </c>
      <c r="I2158" s="25"/>
      <c r="J2158" s="25" t="str">
        <f t="shared" si="1060"/>
        <v/>
      </c>
      <c r="K2158" s="442" t="str">
        <f t="shared" si="1042"/>
        <v/>
      </c>
      <c r="L2158" s="736" t="s">
        <v>2443</v>
      </c>
      <c r="M2158" s="25" t="str">
        <f t="shared" si="1043"/>
        <v>R</v>
      </c>
      <c r="N2158" s="25" t="str">
        <f>IF(L2158&lt;&gt;"",VLOOKUP(L2158,Categories!$B$2:$D$41,2,FALSE),IF(F2158&lt;&gt;"","No Cat",""))</f>
        <v>Rate Base</v>
      </c>
      <c r="O2158" s="25" t="str">
        <f>IF($L2158&lt;&gt;"",VLOOKUP($L2158,Categories!$B$2:$D$41,3,FALSE),IF($F2158&lt;&gt;"","No Cat",""))</f>
        <v>Deferred Income Taxes</v>
      </c>
      <c r="P2158" s="736" t="s">
        <v>2483</v>
      </c>
      <c r="Q2158" s="25" t="str">
        <f>VLOOKUP($P2158,Allocators!$B$7:$F$19,5,FALSE)</f>
        <v>Gas</v>
      </c>
      <c r="R2158" s="737">
        <f>VLOOKUP($P2158,Allocators!$B$7:$F$19,2,FALSE)</f>
        <v>0</v>
      </c>
      <c r="S2158" s="737">
        <f>VLOOKUP($P2158,Allocators!$B$7:$F$19,3,FALSE)</f>
        <v>1</v>
      </c>
      <c r="T2158" s="737" t="str">
        <f t="shared" si="1041"/>
        <v>0.0%</v>
      </c>
      <c r="U2158" s="2" t="str">
        <f t="shared" si="1050"/>
        <v/>
      </c>
      <c r="V2158" s="2" t="str">
        <f t="shared" si="1051"/>
        <v/>
      </c>
      <c r="W2158" s="2" t="str">
        <f t="shared" si="1052"/>
        <v/>
      </c>
      <c r="X2158" s="2">
        <f t="shared" si="1047"/>
        <v>0</v>
      </c>
      <c r="Y2158" s="2" t="str">
        <f t="shared" si="1053"/>
        <v/>
      </c>
      <c r="Z2158" s="2" t="str">
        <f t="shared" si="1054"/>
        <v/>
      </c>
      <c r="AA2158" s="2" t="str">
        <f t="shared" si="1055"/>
        <v/>
      </c>
      <c r="AB2158" s="2">
        <f t="shared" si="1048"/>
        <v>0</v>
      </c>
      <c r="AC2158" s="625">
        <v>0</v>
      </c>
      <c r="AD2158" s="625">
        <v>0</v>
      </c>
      <c r="AE2158" s="625">
        <v>0</v>
      </c>
      <c r="AF2158" s="625">
        <v>0</v>
      </c>
      <c r="AG2158" s="625">
        <v>0</v>
      </c>
      <c r="AH2158" s="625">
        <v>0</v>
      </c>
      <c r="AI2158" s="625">
        <v>0</v>
      </c>
      <c r="AJ2158" s="625">
        <v>0</v>
      </c>
      <c r="AK2158" s="625">
        <v>0</v>
      </c>
      <c r="AL2158" s="625">
        <v>0</v>
      </c>
      <c r="AM2158" s="625">
        <v>0</v>
      </c>
      <c r="AN2158" s="625">
        <v>0</v>
      </c>
      <c r="AO2158" s="625">
        <v>0</v>
      </c>
      <c r="AP2158" s="41" t="str">
        <f t="shared" si="1044"/>
        <v>Def TaxR</v>
      </c>
      <c r="AQ2158" s="41" t="str">
        <f t="shared" si="1045"/>
        <v>Def TaxRR11Mortgage Recording Tax</v>
      </c>
      <c r="AR2158" s="41" t="str">
        <f t="shared" si="1046"/>
        <v>R11Mortgage Recording Tax</v>
      </c>
    </row>
    <row r="2159" spans="1:44" s="41" customFormat="1" ht="12.75" customHeight="1">
      <c r="A2159" s="25" t="s">
        <v>1590</v>
      </c>
      <c r="B2159" s="25" t="str">
        <f t="shared" si="1061"/>
        <v>Def Tax283210283-002-SBT010127</v>
      </c>
      <c r="C2159" s="736">
        <v>283210</v>
      </c>
      <c r="D2159" s="735" t="s">
        <v>2202</v>
      </c>
      <c r="E2159" s="41" t="s">
        <v>2199</v>
      </c>
      <c r="F2159" s="41" t="str">
        <f t="shared" si="1056"/>
        <v>ACCUM DEF INC TAX-OTH-FEDERAL-GAS</v>
      </c>
      <c r="G2159" s="41" t="s">
        <v>2262</v>
      </c>
      <c r="H2159" s="736" t="s">
        <v>2201</v>
      </c>
      <c r="I2159" s="25"/>
      <c r="J2159" s="25" t="str">
        <f t="shared" si="1060"/>
        <v/>
      </c>
      <c r="K2159" s="442" t="str">
        <f t="shared" si="1042"/>
        <v/>
      </c>
      <c r="L2159" s="736" t="s">
        <v>2443</v>
      </c>
      <c r="M2159" s="25" t="str">
        <f t="shared" si="1043"/>
        <v>R</v>
      </c>
      <c r="N2159" s="25" t="str">
        <f>IF(L2159&lt;&gt;"",VLOOKUP(L2159,Categories!$B$2:$D$41,2,FALSE),IF(F2159&lt;&gt;"","No Cat",""))</f>
        <v>Rate Base</v>
      </c>
      <c r="O2159" s="25" t="str">
        <f>IF($L2159&lt;&gt;"",VLOOKUP($L2159,Categories!$B$2:$D$41,3,FALSE),IF($F2159&lt;&gt;"","No Cat",""))</f>
        <v>Deferred Income Taxes</v>
      </c>
      <c r="P2159" s="736" t="s">
        <v>2483</v>
      </c>
      <c r="Q2159" s="25" t="str">
        <f>VLOOKUP($P2159,Allocators!$B$7:$F$19,5,FALSE)</f>
        <v>Gas</v>
      </c>
      <c r="R2159" s="737">
        <f>VLOOKUP($P2159,Allocators!$B$7:$F$19,2,FALSE)</f>
        <v>0</v>
      </c>
      <c r="S2159" s="737">
        <f>VLOOKUP($P2159,Allocators!$B$7:$F$19,3,FALSE)</f>
        <v>1</v>
      </c>
      <c r="T2159" s="737" t="str">
        <f t="shared" si="1041"/>
        <v>0.0%</v>
      </c>
      <c r="U2159" s="2">
        <f t="shared" si="1050"/>
        <v>0</v>
      </c>
      <c r="V2159" s="2">
        <f t="shared" si="1051"/>
        <v>-216.47404374999999</v>
      </c>
      <c r="W2159" s="2">
        <f t="shared" si="1052"/>
        <v>0</v>
      </c>
      <c r="X2159" s="2">
        <f t="shared" si="1047"/>
        <v>-216.47404374999999</v>
      </c>
      <c r="Y2159" s="2">
        <f t="shared" si="1053"/>
        <v>0</v>
      </c>
      <c r="Z2159" s="2">
        <f t="shared" si="1054"/>
        <v>-223.46549999999999</v>
      </c>
      <c r="AA2159" s="2">
        <f t="shared" si="1055"/>
        <v>0</v>
      </c>
      <c r="AB2159" s="2">
        <f t="shared" si="1048"/>
        <v>-223.46549999999999</v>
      </c>
      <c r="AC2159" s="625">
        <v>-202.31058999999999</v>
      </c>
      <c r="AD2159" s="625">
        <v>-205.50790000000001</v>
      </c>
      <c r="AE2159" s="625">
        <v>-208.70520999999999</v>
      </c>
      <c r="AF2159" s="625">
        <v>-211.90251999999998</v>
      </c>
      <c r="AG2159" s="625">
        <v>-215.09981999999999</v>
      </c>
      <c r="AH2159" s="625">
        <v>-218.29713000000001</v>
      </c>
      <c r="AI2159" s="625">
        <v>-221.49444</v>
      </c>
      <c r="AJ2159" s="625">
        <v>-224.69175000000001</v>
      </c>
      <c r="AK2159" s="625">
        <v>-227.88906</v>
      </c>
      <c r="AL2159" s="625">
        <v>-213.87357999999998</v>
      </c>
      <c r="AM2159" s="625">
        <v>-217.07088000000002</v>
      </c>
      <c r="AN2159" s="625">
        <v>-220.26819</v>
      </c>
      <c r="AO2159" s="625">
        <v>-223.46549999999999</v>
      </c>
      <c r="AP2159" s="41" t="str">
        <f t="shared" si="1044"/>
        <v>Def TaxR</v>
      </c>
      <c r="AQ2159" s="41" t="str">
        <f t="shared" si="1045"/>
        <v>Def TaxRR11Mortgage Recording Tax</v>
      </c>
      <c r="AR2159" s="41" t="str">
        <f t="shared" si="1046"/>
        <v>R11Mortgage Recording Tax</v>
      </c>
    </row>
    <row r="2160" spans="1:44" s="41" customFormat="1" ht="12.75" customHeight="1">
      <c r="A2160" s="25" t="s">
        <v>1590</v>
      </c>
      <c r="B2160" s="25" t="str">
        <f t="shared" si="1061"/>
        <v>Def Tax283210283-062BTMISCDT</v>
      </c>
      <c r="C2160" s="736">
        <v>283210</v>
      </c>
      <c r="D2160" s="735" t="s">
        <v>2211</v>
      </c>
      <c r="E2160" s="41" t="s">
        <v>1971</v>
      </c>
      <c r="F2160" s="41" t="str">
        <f t="shared" si="1056"/>
        <v>ACCUM DEF INC TAX-OTH-FEDERAL-GAS</v>
      </c>
      <c r="G2160" s="41" t="s">
        <v>2263</v>
      </c>
      <c r="H2160" s="736" t="s">
        <v>2213</v>
      </c>
      <c r="I2160" s="25"/>
      <c r="J2160" s="25" t="str">
        <f t="shared" si="1060"/>
        <v/>
      </c>
      <c r="K2160" s="442" t="str">
        <f t="shared" si="1042"/>
        <v/>
      </c>
      <c r="L2160" s="736" t="s">
        <v>2443</v>
      </c>
      <c r="M2160" s="25" t="str">
        <f t="shared" si="1043"/>
        <v>R</v>
      </c>
      <c r="N2160" s="25" t="str">
        <f>IF(L2160&lt;&gt;"",VLOOKUP(L2160,Categories!$B$2:$D$41,2,FALSE),IF(F2160&lt;&gt;"","No Cat",""))</f>
        <v>Rate Base</v>
      </c>
      <c r="O2160" s="25" t="str">
        <f>IF($L2160&lt;&gt;"",VLOOKUP($L2160,Categories!$B$2:$D$41,3,FALSE),IF($F2160&lt;&gt;"","No Cat",""))</f>
        <v>Deferred Income Taxes</v>
      </c>
      <c r="P2160" s="736" t="s">
        <v>2483</v>
      </c>
      <c r="Q2160" s="25" t="str">
        <f>VLOOKUP($P2160,Allocators!$B$7:$F$19,5,FALSE)</f>
        <v>Gas</v>
      </c>
      <c r="R2160" s="737">
        <f>VLOOKUP($P2160,Allocators!$B$7:$F$19,2,FALSE)</f>
        <v>0</v>
      </c>
      <c r="S2160" s="737">
        <f>VLOOKUP($P2160,Allocators!$B$7:$F$19,3,FALSE)</f>
        <v>1</v>
      </c>
      <c r="T2160" s="737" t="str">
        <f t="shared" si="1041"/>
        <v>0.0%</v>
      </c>
      <c r="U2160" s="2" t="str">
        <f t="shared" si="1050"/>
        <v/>
      </c>
      <c r="V2160" s="2" t="str">
        <f t="shared" si="1051"/>
        <v/>
      </c>
      <c r="W2160" s="2" t="str">
        <f t="shared" si="1052"/>
        <v/>
      </c>
      <c r="X2160" s="2">
        <f t="shared" si="1047"/>
        <v>0</v>
      </c>
      <c r="Y2160" s="2" t="str">
        <f t="shared" si="1053"/>
        <v/>
      </c>
      <c r="Z2160" s="2" t="str">
        <f t="shared" si="1054"/>
        <v/>
      </c>
      <c r="AA2160" s="2" t="str">
        <f t="shared" si="1055"/>
        <v/>
      </c>
      <c r="AB2160" s="2">
        <f t="shared" si="1048"/>
        <v>0</v>
      </c>
      <c r="AC2160" s="625">
        <v>0</v>
      </c>
      <c r="AD2160" s="625">
        <v>0</v>
      </c>
      <c r="AE2160" s="625">
        <v>0</v>
      </c>
      <c r="AF2160" s="625">
        <v>0</v>
      </c>
      <c r="AG2160" s="625">
        <v>0</v>
      </c>
      <c r="AH2160" s="625">
        <v>0</v>
      </c>
      <c r="AI2160" s="625">
        <v>0</v>
      </c>
      <c r="AJ2160" s="625">
        <v>0</v>
      </c>
      <c r="AK2160" s="625">
        <v>0</v>
      </c>
      <c r="AL2160" s="625">
        <v>0</v>
      </c>
      <c r="AM2160" s="625">
        <v>0</v>
      </c>
      <c r="AN2160" s="625">
        <v>0</v>
      </c>
      <c r="AO2160" s="625">
        <v>0</v>
      </c>
      <c r="AP2160" s="41" t="str">
        <f t="shared" si="1044"/>
        <v>Def TaxR</v>
      </c>
      <c r="AQ2160" s="41" t="str">
        <f t="shared" si="1045"/>
        <v>Def TaxRR11FIT Benefit - 2003</v>
      </c>
      <c r="AR2160" s="41" t="str">
        <f t="shared" si="1046"/>
        <v>R11FIT Benefit - 2003</v>
      </c>
    </row>
    <row r="2161" spans="1:44" s="41" customFormat="1" ht="12.75" customHeight="1">
      <c r="A2161" s="25" t="s">
        <v>1590</v>
      </c>
      <c r="B2161" s="25" t="str">
        <f t="shared" si="1061"/>
        <v>Def Tax283210190-031BT010167</v>
      </c>
      <c r="C2161" s="736">
        <v>283210</v>
      </c>
      <c r="D2161" s="735" t="s">
        <v>1670</v>
      </c>
      <c r="E2161" s="41" t="s">
        <v>1671</v>
      </c>
      <c r="F2161" s="41" t="str">
        <f t="shared" si="1056"/>
        <v>ACCUM DEF INC TAX-OTH-FEDERAL-GAS</v>
      </c>
      <c r="G2161" s="41" t="s">
        <v>1875</v>
      </c>
      <c r="H2161" s="736" t="s">
        <v>1673</v>
      </c>
      <c r="I2161" s="25"/>
      <c r="J2161" s="25" t="str">
        <f t="shared" si="1060"/>
        <v/>
      </c>
      <c r="K2161" s="442" t="str">
        <f t="shared" si="1042"/>
        <v/>
      </c>
      <c r="L2161" s="736" t="s">
        <v>2443</v>
      </c>
      <c r="M2161" s="25" t="str">
        <f t="shared" si="1043"/>
        <v>R</v>
      </c>
      <c r="N2161" s="25" t="str">
        <f>IF(L2161&lt;&gt;"",VLOOKUP(L2161,Categories!$B$2:$D$41,2,FALSE),IF(F2161&lt;&gt;"","No Cat",""))</f>
        <v>Rate Base</v>
      </c>
      <c r="O2161" s="25" t="str">
        <f>IF($L2161&lt;&gt;"",VLOOKUP($L2161,Categories!$B$2:$D$41,3,FALSE),IF($F2161&lt;&gt;"","No Cat",""))</f>
        <v>Deferred Income Taxes</v>
      </c>
      <c r="P2161" s="736" t="s">
        <v>2483</v>
      </c>
      <c r="Q2161" s="25" t="str">
        <f>VLOOKUP($P2161,Allocators!$B$7:$F$19,5,FALSE)</f>
        <v>Gas</v>
      </c>
      <c r="R2161" s="737">
        <f>VLOOKUP($P2161,Allocators!$B$7:$F$19,2,FALSE)</f>
        <v>0</v>
      </c>
      <c r="S2161" s="737">
        <f>VLOOKUP($P2161,Allocators!$B$7:$F$19,3,FALSE)</f>
        <v>1</v>
      </c>
      <c r="T2161" s="737" t="str">
        <f t="shared" ref="T2161:T2226" si="1062">IF(P2161="N",1,"0.0%")</f>
        <v>0.0%</v>
      </c>
      <c r="U2161" s="2" t="str">
        <f t="shared" si="1050"/>
        <v/>
      </c>
      <c r="V2161" s="2" t="str">
        <f t="shared" si="1051"/>
        <v/>
      </c>
      <c r="W2161" s="2" t="str">
        <f t="shared" si="1052"/>
        <v/>
      </c>
      <c r="X2161" s="2">
        <f t="shared" si="1047"/>
        <v>0</v>
      </c>
      <c r="Y2161" s="2" t="str">
        <f t="shared" si="1053"/>
        <v/>
      </c>
      <c r="Z2161" s="2" t="str">
        <f t="shared" si="1054"/>
        <v/>
      </c>
      <c r="AA2161" s="2" t="str">
        <f t="shared" si="1055"/>
        <v/>
      </c>
      <c r="AB2161" s="2">
        <f t="shared" si="1048"/>
        <v>0</v>
      </c>
      <c r="AC2161" s="625">
        <v>0</v>
      </c>
      <c r="AD2161" s="625">
        <v>0</v>
      </c>
      <c r="AE2161" s="625">
        <v>0</v>
      </c>
      <c r="AF2161" s="625">
        <v>0</v>
      </c>
      <c r="AG2161" s="625">
        <v>0</v>
      </c>
      <c r="AH2161" s="625">
        <v>0</v>
      </c>
      <c r="AI2161" s="625">
        <v>0</v>
      </c>
      <c r="AJ2161" s="625">
        <v>0</v>
      </c>
      <c r="AK2161" s="625">
        <v>0</v>
      </c>
      <c r="AL2161" s="625">
        <v>0</v>
      </c>
      <c r="AM2161" s="625">
        <v>0</v>
      </c>
      <c r="AN2161" s="625">
        <v>0</v>
      </c>
      <c r="AO2161" s="625">
        <v>0</v>
      </c>
      <c r="AP2161" s="41" t="str">
        <f t="shared" si="1044"/>
        <v>Def TaxR</v>
      </c>
      <c r="AQ2161" s="41" t="str">
        <f t="shared" si="1045"/>
        <v>Def TaxRR11Pension</v>
      </c>
      <c r="AR2161" s="41" t="str">
        <f t="shared" si="1046"/>
        <v>R11Pension</v>
      </c>
    </row>
    <row r="2162" spans="1:44" s="41" customFormat="1" ht="12.75" customHeight="1">
      <c r="A2162" s="25" t="s">
        <v>1590</v>
      </c>
      <c r="B2162" s="25" t="str">
        <f t="shared" si="1061"/>
        <v>Def Tax283210190-031-SBT010167</v>
      </c>
      <c r="C2162" s="736">
        <v>283210</v>
      </c>
      <c r="D2162" s="735" t="s">
        <v>1741</v>
      </c>
      <c r="E2162" s="41" t="s">
        <v>1671</v>
      </c>
      <c r="F2162" s="41" t="str">
        <f t="shared" si="1056"/>
        <v>ACCUM DEF INC TAX-OTH-FEDERAL-GAS</v>
      </c>
      <c r="G2162" s="41" t="s">
        <v>1875</v>
      </c>
      <c r="H2162" s="736" t="s">
        <v>1673</v>
      </c>
      <c r="I2162" s="25"/>
      <c r="J2162" s="25" t="str">
        <f t="shared" si="1060"/>
        <v/>
      </c>
      <c r="K2162" s="442" t="str">
        <f t="shared" si="1042"/>
        <v/>
      </c>
      <c r="L2162" s="736" t="s">
        <v>2443</v>
      </c>
      <c r="M2162" s="25" t="str">
        <f t="shared" si="1043"/>
        <v>R</v>
      </c>
      <c r="N2162" s="25" t="str">
        <f>IF(L2162&lt;&gt;"",VLOOKUP(L2162,Categories!$B$2:$D$41,2,FALSE),IF(F2162&lt;&gt;"","No Cat",""))</f>
        <v>Rate Base</v>
      </c>
      <c r="O2162" s="25" t="str">
        <f>IF($L2162&lt;&gt;"",VLOOKUP($L2162,Categories!$B$2:$D$41,3,FALSE),IF($F2162&lt;&gt;"","No Cat",""))</f>
        <v>Deferred Income Taxes</v>
      </c>
      <c r="P2162" s="736" t="s">
        <v>2483</v>
      </c>
      <c r="Q2162" s="25" t="str">
        <f>VLOOKUP($P2162,Allocators!$B$7:$F$19,5,FALSE)</f>
        <v>Gas</v>
      </c>
      <c r="R2162" s="737">
        <f>VLOOKUP($P2162,Allocators!$B$7:$F$19,2,FALSE)</f>
        <v>0</v>
      </c>
      <c r="S2162" s="737">
        <f>VLOOKUP($P2162,Allocators!$B$7:$F$19,3,FALSE)</f>
        <v>1</v>
      </c>
      <c r="T2162" s="737" t="str">
        <f t="shared" si="1062"/>
        <v>0.0%</v>
      </c>
      <c r="U2162" s="2" t="str">
        <f t="shared" si="1050"/>
        <v/>
      </c>
      <c r="V2162" s="2" t="str">
        <f t="shared" si="1051"/>
        <v/>
      </c>
      <c r="W2162" s="2" t="str">
        <f t="shared" si="1052"/>
        <v/>
      </c>
      <c r="X2162" s="2">
        <f t="shared" si="1047"/>
        <v>0</v>
      </c>
      <c r="Y2162" s="2" t="str">
        <f t="shared" si="1053"/>
        <v/>
      </c>
      <c r="Z2162" s="2" t="str">
        <f t="shared" si="1054"/>
        <v/>
      </c>
      <c r="AA2162" s="2" t="str">
        <f t="shared" si="1055"/>
        <v/>
      </c>
      <c r="AB2162" s="2">
        <f t="shared" si="1048"/>
        <v>0</v>
      </c>
      <c r="AC2162" s="625">
        <v>0</v>
      </c>
      <c r="AD2162" s="625">
        <v>0</v>
      </c>
      <c r="AE2162" s="625">
        <v>0</v>
      </c>
      <c r="AF2162" s="625">
        <v>0</v>
      </c>
      <c r="AG2162" s="625">
        <v>0</v>
      </c>
      <c r="AH2162" s="625">
        <v>0</v>
      </c>
      <c r="AI2162" s="625">
        <v>0</v>
      </c>
      <c r="AJ2162" s="625">
        <v>0</v>
      </c>
      <c r="AK2162" s="625">
        <v>0</v>
      </c>
      <c r="AL2162" s="625">
        <v>0</v>
      </c>
      <c r="AM2162" s="625">
        <v>0</v>
      </c>
      <c r="AN2162" s="625">
        <v>0</v>
      </c>
      <c r="AO2162" s="625">
        <v>0</v>
      </c>
      <c r="AP2162" s="41" t="str">
        <f t="shared" si="1044"/>
        <v>Def TaxR</v>
      </c>
      <c r="AQ2162" s="41" t="str">
        <f t="shared" si="1045"/>
        <v>Def TaxRR11Pension</v>
      </c>
      <c r="AR2162" s="41" t="str">
        <f t="shared" si="1046"/>
        <v>R11Pension</v>
      </c>
    </row>
    <row r="2163" spans="1:44" s="41" customFormat="1" ht="12.75" customHeight="1">
      <c r="A2163" s="25" t="s">
        <v>1590</v>
      </c>
      <c r="B2163" s="25" t="str">
        <f t="shared" si="1061"/>
        <v>Def Tax283210283-032BT010088</v>
      </c>
      <c r="C2163" s="736">
        <v>283210</v>
      </c>
      <c r="D2163" s="735" t="s">
        <v>1650</v>
      </c>
      <c r="E2163" s="41" t="s">
        <v>1651</v>
      </c>
      <c r="F2163" s="41" t="str">
        <f t="shared" si="1056"/>
        <v>ACCUM DEF INC TAX-OTH-FEDERAL-GAS</v>
      </c>
      <c r="G2163" s="41" t="s">
        <v>2216</v>
      </c>
      <c r="H2163" s="736" t="s">
        <v>1586</v>
      </c>
      <c r="I2163" s="25"/>
      <c r="J2163" s="25" t="str">
        <f t="shared" si="1060"/>
        <v/>
      </c>
      <c r="K2163" s="442" t="str">
        <f t="shared" ref="K2163:K2228" si="1063">IF(L2163="N3","Y","")</f>
        <v/>
      </c>
      <c r="L2163" s="736" t="s">
        <v>2443</v>
      </c>
      <c r="M2163" s="25" t="str">
        <f t="shared" si="1043"/>
        <v>R</v>
      </c>
      <c r="N2163" s="25" t="str">
        <f>IF(L2163&lt;&gt;"",VLOOKUP(L2163,Categories!$B$2:$D$41,2,FALSE),IF(F2163&lt;&gt;"","No Cat",""))</f>
        <v>Rate Base</v>
      </c>
      <c r="O2163" s="25" t="str">
        <f>IF($L2163&lt;&gt;"",VLOOKUP($L2163,Categories!$B$2:$D$41,3,FALSE),IF($F2163&lt;&gt;"","No Cat",""))</f>
        <v>Deferred Income Taxes</v>
      </c>
      <c r="P2163" s="736" t="s">
        <v>2483</v>
      </c>
      <c r="Q2163" s="25" t="str">
        <f>VLOOKUP($P2163,Allocators!$B$7:$F$19,5,FALSE)</f>
        <v>Gas</v>
      </c>
      <c r="R2163" s="737">
        <f>VLOOKUP($P2163,Allocators!$B$7:$F$19,2,FALSE)</f>
        <v>0</v>
      </c>
      <c r="S2163" s="737">
        <f>VLOOKUP($P2163,Allocators!$B$7:$F$19,3,FALSE)</f>
        <v>1</v>
      </c>
      <c r="T2163" s="737" t="str">
        <f t="shared" si="1062"/>
        <v>0.0%</v>
      </c>
      <c r="U2163" s="2" t="str">
        <f t="shared" si="1050"/>
        <v/>
      </c>
      <c r="V2163" s="2" t="str">
        <f t="shared" si="1051"/>
        <v/>
      </c>
      <c r="W2163" s="2" t="str">
        <f t="shared" si="1052"/>
        <v/>
      </c>
      <c r="X2163" s="2">
        <f t="shared" si="1047"/>
        <v>0</v>
      </c>
      <c r="Y2163" s="2" t="str">
        <f t="shared" si="1053"/>
        <v/>
      </c>
      <c r="Z2163" s="2" t="str">
        <f t="shared" si="1054"/>
        <v/>
      </c>
      <c r="AA2163" s="2" t="str">
        <f t="shared" si="1055"/>
        <v/>
      </c>
      <c r="AB2163" s="2">
        <f t="shared" si="1048"/>
        <v>0</v>
      </c>
      <c r="AC2163" s="625">
        <v>0</v>
      </c>
      <c r="AD2163" s="625">
        <v>0</v>
      </c>
      <c r="AE2163" s="625">
        <v>0</v>
      </c>
      <c r="AF2163" s="625">
        <v>0</v>
      </c>
      <c r="AG2163" s="625">
        <v>0</v>
      </c>
      <c r="AH2163" s="625">
        <v>0</v>
      </c>
      <c r="AI2163" s="625">
        <v>0</v>
      </c>
      <c r="AJ2163" s="625">
        <v>0</v>
      </c>
      <c r="AK2163" s="625">
        <v>0</v>
      </c>
      <c r="AL2163" s="625">
        <v>0</v>
      </c>
      <c r="AM2163" s="625">
        <v>0</v>
      </c>
      <c r="AN2163" s="625">
        <v>0</v>
      </c>
      <c r="AO2163" s="625">
        <v>0</v>
      </c>
      <c r="AP2163" s="41" t="str">
        <f t="shared" si="1044"/>
        <v>Def TaxR</v>
      </c>
      <c r="AQ2163" s="41" t="str">
        <f t="shared" si="1045"/>
        <v>Def TaxRR11FAS 112</v>
      </c>
      <c r="AR2163" s="41" t="str">
        <f t="shared" si="1046"/>
        <v>R11FAS 112</v>
      </c>
    </row>
    <row r="2164" spans="1:44" s="41" customFormat="1" ht="12.75" customHeight="1">
      <c r="A2164" s="25" t="s">
        <v>1590</v>
      </c>
      <c r="B2164" s="25" t="str">
        <f t="shared" si="1061"/>
        <v>Def Tax283210Mixed Use 263(a)BT010390</v>
      </c>
      <c r="C2164" s="736">
        <v>283210</v>
      </c>
      <c r="D2164" s="735" t="s">
        <v>2125</v>
      </c>
      <c r="E2164" s="41" t="s">
        <v>2126</v>
      </c>
      <c r="F2164" s="41" t="str">
        <f t="shared" si="1056"/>
        <v>ACCUM DEF INC TAX-OTH-FEDERAL-GAS</v>
      </c>
      <c r="G2164" s="41" t="s">
        <v>2217</v>
      </c>
      <c r="H2164" s="736" t="s">
        <v>2125</v>
      </c>
      <c r="I2164" s="25"/>
      <c r="J2164" s="442" t="s">
        <v>7</v>
      </c>
      <c r="K2164" s="442" t="str">
        <f t="shared" si="1063"/>
        <v/>
      </c>
      <c r="L2164" s="736" t="s">
        <v>2436</v>
      </c>
      <c r="M2164" s="25" t="str">
        <f t="shared" si="1043"/>
        <v>N</v>
      </c>
      <c r="N2164" s="25" t="str">
        <f>IF(L2164&lt;&gt;"",VLOOKUP(L2164,Categories!$B$2:$D$41,2,FALSE),IF(F2164&lt;&gt;"","No Cat",""))</f>
        <v>NRBASE</v>
      </c>
      <c r="O2164" s="25" t="str">
        <f>IF($L2164&lt;&gt;"",VLOOKUP($L2164,Categories!$B$2:$D$41,3,FALSE),IF($F2164&lt;&gt;"","No Cat",""))</f>
        <v>Deferrals Accruing Non-Cash Return   (other than ASGA)</v>
      </c>
      <c r="P2164" s="736" t="s">
        <v>2468</v>
      </c>
      <c r="Q2164" s="25" t="str">
        <f>VLOOKUP($P2164,Allocators!$B$7:$F$19,5,FALSE)</f>
        <v>Not in Rate Base</v>
      </c>
      <c r="R2164" s="737">
        <f>VLOOKUP($P2164,Allocators!$B$7:$F$19,2,FALSE)</f>
        <v>0</v>
      </c>
      <c r="S2164" s="737">
        <f>VLOOKUP($P2164,Allocators!$B$7:$F$19,3,FALSE)</f>
        <v>0</v>
      </c>
      <c r="T2164" s="737">
        <f t="shared" si="1062"/>
        <v>1</v>
      </c>
      <c r="U2164" s="2" t="str">
        <f t="shared" si="1050"/>
        <v/>
      </c>
      <c r="V2164" s="2" t="str">
        <f t="shared" si="1051"/>
        <v/>
      </c>
      <c r="W2164" s="2" t="str">
        <f t="shared" si="1052"/>
        <v/>
      </c>
      <c r="X2164" s="2">
        <f t="shared" si="1047"/>
        <v>0</v>
      </c>
      <c r="Y2164" s="2" t="str">
        <f t="shared" si="1053"/>
        <v/>
      </c>
      <c r="Z2164" s="2" t="str">
        <f t="shared" si="1054"/>
        <v/>
      </c>
      <c r="AA2164" s="2" t="str">
        <f t="shared" si="1055"/>
        <v/>
      </c>
      <c r="AB2164" s="2">
        <f t="shared" si="1048"/>
        <v>0</v>
      </c>
      <c r="AC2164" s="625">
        <v>0</v>
      </c>
      <c r="AD2164" s="625">
        <v>0</v>
      </c>
      <c r="AE2164" s="625">
        <v>0</v>
      </c>
      <c r="AF2164" s="625">
        <v>0</v>
      </c>
      <c r="AG2164" s="625">
        <v>0</v>
      </c>
      <c r="AH2164" s="625">
        <v>0</v>
      </c>
      <c r="AI2164" s="625">
        <v>0</v>
      </c>
      <c r="AJ2164" s="625">
        <v>0</v>
      </c>
      <c r="AK2164" s="625">
        <v>0</v>
      </c>
      <c r="AL2164" s="625">
        <v>0</v>
      </c>
      <c r="AM2164" s="625">
        <v>0</v>
      </c>
      <c r="AN2164" s="625">
        <v>0</v>
      </c>
      <c r="AO2164" s="625">
        <v>0</v>
      </c>
      <c r="AP2164" s="41" t="str">
        <f t="shared" si="1044"/>
        <v>Def TaxN</v>
      </c>
      <c r="AQ2164" s="41" t="str">
        <f t="shared" si="1045"/>
        <v>Def TaxNN10Mixed Use 263(a)</v>
      </c>
      <c r="AR2164" s="41" t="str">
        <f t="shared" si="1046"/>
        <v>N10Mixed Use 263(a)NCR</v>
      </c>
    </row>
    <row r="2165" spans="1:44" s="41" customFormat="1" ht="12.75" customHeight="1">
      <c r="A2165" s="25" t="s">
        <v>1590</v>
      </c>
      <c r="B2165" s="25" t="str">
        <f t="shared" si="1061"/>
        <v>Def Tax283210283-089BT010172</v>
      </c>
      <c r="C2165" s="736">
        <v>283210</v>
      </c>
      <c r="D2165" s="735" t="s">
        <v>2218</v>
      </c>
      <c r="E2165" s="41" t="s">
        <v>2219</v>
      </c>
      <c r="F2165" s="41" t="str">
        <f t="shared" si="1056"/>
        <v>ACCUM DEF INC TAX-OTH-FEDERAL-GAS</v>
      </c>
      <c r="G2165" s="41" t="s">
        <v>2220</v>
      </c>
      <c r="H2165" s="736">
        <v>0</v>
      </c>
      <c r="I2165" s="25"/>
      <c r="J2165" s="25" t="str">
        <f t="shared" si="1060"/>
        <v/>
      </c>
      <c r="K2165" s="442" t="str">
        <f t="shared" si="1063"/>
        <v/>
      </c>
      <c r="L2165" s="736" t="s">
        <v>2443</v>
      </c>
      <c r="M2165" s="25" t="str">
        <f t="shared" si="1043"/>
        <v>R</v>
      </c>
      <c r="N2165" s="25" t="str">
        <f>IF(L2165&lt;&gt;"",VLOOKUP(L2165,Categories!$B$2:$D$41,2,FALSE),IF(F2165&lt;&gt;"","No Cat",""))</f>
        <v>Rate Base</v>
      </c>
      <c r="O2165" s="25" t="str">
        <f>IF($L2165&lt;&gt;"",VLOOKUP($L2165,Categories!$B$2:$D$41,3,FALSE),IF($F2165&lt;&gt;"","No Cat",""))</f>
        <v>Deferred Income Taxes</v>
      </c>
      <c r="P2165" s="736" t="s">
        <v>2483</v>
      </c>
      <c r="Q2165" s="25" t="str">
        <f>VLOOKUP($P2165,Allocators!$B$7:$F$19,5,FALSE)</f>
        <v>Gas</v>
      </c>
      <c r="R2165" s="737">
        <f>VLOOKUP($P2165,Allocators!$B$7:$F$19,2,FALSE)</f>
        <v>0</v>
      </c>
      <c r="S2165" s="737">
        <f>VLOOKUP($P2165,Allocators!$B$7:$F$19,3,FALSE)</f>
        <v>1</v>
      </c>
      <c r="T2165" s="737" t="str">
        <f t="shared" si="1062"/>
        <v>0.0%</v>
      </c>
      <c r="U2165" s="2">
        <f t="shared" si="1050"/>
        <v>0</v>
      </c>
      <c r="V2165" s="2">
        <f t="shared" si="1051"/>
        <v>-77.047167083333306</v>
      </c>
      <c r="W2165" s="2">
        <f t="shared" si="1052"/>
        <v>0</v>
      </c>
      <c r="X2165" s="2">
        <f t="shared" si="1047"/>
        <v>-77.047167083333306</v>
      </c>
      <c r="Y2165" s="2">
        <f t="shared" si="1053"/>
        <v>0</v>
      </c>
      <c r="Z2165" s="2">
        <f t="shared" si="1054"/>
        <v>-111.99272000000001</v>
      </c>
      <c r="AA2165" s="2">
        <f t="shared" si="1055"/>
        <v>0</v>
      </c>
      <c r="AB2165" s="2">
        <f t="shared" si="1048"/>
        <v>-111.99272000000001</v>
      </c>
      <c r="AC2165" s="625">
        <v>-64.675209999999993</v>
      </c>
      <c r="AD2165" s="625">
        <v>-44.077620000000003</v>
      </c>
      <c r="AE2165" s="625">
        <v>-39.87914</v>
      </c>
      <c r="AF2165" s="625">
        <v>-21.499770000000002</v>
      </c>
      <c r="AG2165" s="625">
        <v>-27.90063</v>
      </c>
      <c r="AH2165" s="625">
        <v>-6.5932299999999993</v>
      </c>
      <c r="AI2165" s="625">
        <v>4.5920299999999994</v>
      </c>
      <c r="AJ2165" s="625">
        <v>-90.897369999999995</v>
      </c>
      <c r="AK2165" s="625">
        <v>-183.05056999999999</v>
      </c>
      <c r="AL2165" s="625">
        <v>-162.33548999999999</v>
      </c>
      <c r="AM2165" s="625">
        <v>-138.25951999999998</v>
      </c>
      <c r="AN2165" s="625">
        <v>-126.33073</v>
      </c>
      <c r="AO2165" s="625">
        <v>-111.99272000000001</v>
      </c>
      <c r="AP2165" s="41" t="str">
        <f t="shared" si="1044"/>
        <v>Def TaxR</v>
      </c>
      <c r="AQ2165" s="41" t="str">
        <f t="shared" si="1045"/>
        <v>Def TaxRR110</v>
      </c>
      <c r="AR2165" s="41" t="str">
        <f t="shared" si="1046"/>
        <v>R110</v>
      </c>
    </row>
    <row r="2166" spans="1:44" s="41" customFormat="1" ht="12.75" customHeight="1">
      <c r="A2166" s="25" t="s">
        <v>1590</v>
      </c>
      <c r="B2166" s="25" t="str">
        <f t="shared" si="1061"/>
        <v>Def Tax283210283-056BT010173</v>
      </c>
      <c r="C2166" s="736">
        <v>283210</v>
      </c>
      <c r="D2166" s="735" t="s">
        <v>2222</v>
      </c>
      <c r="E2166" s="41" t="s">
        <v>2223</v>
      </c>
      <c r="F2166" s="41" t="str">
        <f t="shared" si="1056"/>
        <v>ACCUM DEF INC TAX-OTH-FEDERAL-GAS</v>
      </c>
      <c r="G2166" s="41" t="s">
        <v>2224</v>
      </c>
      <c r="H2166" s="736" t="s">
        <v>2224</v>
      </c>
      <c r="I2166" s="25"/>
      <c r="J2166" s="25" t="str">
        <f t="shared" si="1060"/>
        <v/>
      </c>
      <c r="K2166" s="442" t="str">
        <f t="shared" si="1063"/>
        <v/>
      </c>
      <c r="L2166" s="736" t="s">
        <v>2443</v>
      </c>
      <c r="M2166" s="25" t="str">
        <f t="shared" si="1043"/>
        <v>R</v>
      </c>
      <c r="N2166" s="25" t="str">
        <f>IF(L2166&lt;&gt;"",VLOOKUP(L2166,Categories!$B$2:$D$41,2,FALSE),IF(F2166&lt;&gt;"","No Cat",""))</f>
        <v>Rate Base</v>
      </c>
      <c r="O2166" s="25" t="str">
        <f>IF($L2166&lt;&gt;"",VLOOKUP($L2166,Categories!$B$2:$D$41,3,FALSE),IF($F2166&lt;&gt;"","No Cat",""))</f>
        <v>Deferred Income Taxes</v>
      </c>
      <c r="P2166" s="736" t="s">
        <v>2483</v>
      </c>
      <c r="Q2166" s="25" t="str">
        <f>VLOOKUP($P2166,Allocators!$B$7:$F$19,5,FALSE)</f>
        <v>Gas</v>
      </c>
      <c r="R2166" s="737">
        <f>VLOOKUP($P2166,Allocators!$B$7:$F$19,2,FALSE)</f>
        <v>0</v>
      </c>
      <c r="S2166" s="737">
        <f>VLOOKUP($P2166,Allocators!$B$7:$F$19,3,FALSE)</f>
        <v>1</v>
      </c>
      <c r="T2166" s="737" t="str">
        <f t="shared" si="1062"/>
        <v>0.0%</v>
      </c>
      <c r="U2166" s="2" t="str">
        <f t="shared" si="1050"/>
        <v/>
      </c>
      <c r="V2166" s="2" t="str">
        <f t="shared" si="1051"/>
        <v/>
      </c>
      <c r="W2166" s="2" t="str">
        <f t="shared" si="1052"/>
        <v/>
      </c>
      <c r="X2166" s="2">
        <f t="shared" si="1047"/>
        <v>0</v>
      </c>
      <c r="Y2166" s="2" t="str">
        <f t="shared" si="1053"/>
        <v/>
      </c>
      <c r="Z2166" s="2" t="str">
        <f t="shared" si="1054"/>
        <v/>
      </c>
      <c r="AA2166" s="2" t="str">
        <f t="shared" si="1055"/>
        <v/>
      </c>
      <c r="AB2166" s="2">
        <f t="shared" si="1048"/>
        <v>0</v>
      </c>
      <c r="AC2166" s="625">
        <v>0</v>
      </c>
      <c r="AD2166" s="625">
        <v>0</v>
      </c>
      <c r="AE2166" s="625">
        <v>0</v>
      </c>
      <c r="AF2166" s="625">
        <v>0</v>
      </c>
      <c r="AG2166" s="625">
        <v>0</v>
      </c>
      <c r="AH2166" s="625">
        <v>0</v>
      </c>
      <c r="AI2166" s="625">
        <v>0</v>
      </c>
      <c r="AJ2166" s="625">
        <v>0</v>
      </c>
      <c r="AK2166" s="625">
        <v>0</v>
      </c>
      <c r="AL2166" s="625">
        <v>0</v>
      </c>
      <c r="AM2166" s="625">
        <v>0</v>
      </c>
      <c r="AN2166" s="625">
        <v>0</v>
      </c>
      <c r="AO2166" s="625">
        <v>0</v>
      </c>
      <c r="AP2166" s="41" t="str">
        <f t="shared" si="1044"/>
        <v>Def TaxR</v>
      </c>
      <c r="AQ2166" s="41" t="str">
        <f t="shared" si="1045"/>
        <v>Def TaxRR11PRIDE</v>
      </c>
      <c r="AR2166" s="41" t="str">
        <f t="shared" si="1046"/>
        <v>R11PRIDE</v>
      </c>
    </row>
    <row r="2167" spans="1:44" s="41" customFormat="1" ht="12.75" customHeight="1">
      <c r="A2167" s="25" t="s">
        <v>1590</v>
      </c>
      <c r="B2167" s="25" t="str">
        <f t="shared" si="1061"/>
        <v>Def Tax283210R&amp;D DeferralBT010177</v>
      </c>
      <c r="C2167" s="736">
        <v>283210</v>
      </c>
      <c r="D2167" s="735" t="s">
        <v>1683</v>
      </c>
      <c r="E2167" s="41" t="s">
        <v>1684</v>
      </c>
      <c r="F2167" s="41" t="str">
        <f t="shared" si="1056"/>
        <v>ACCUM DEF INC TAX-OTH-FEDERAL-GAS</v>
      </c>
      <c r="G2167" s="41" t="s">
        <v>1685</v>
      </c>
      <c r="H2167" s="736" t="s">
        <v>1124</v>
      </c>
      <c r="I2167" s="25"/>
      <c r="J2167" s="25" t="str">
        <f t="shared" si="1060"/>
        <v/>
      </c>
      <c r="K2167" s="442" t="str">
        <f t="shared" si="1063"/>
        <v/>
      </c>
      <c r="L2167" s="736" t="s">
        <v>2421</v>
      </c>
      <c r="M2167" s="25" t="str">
        <f t="shared" si="1043"/>
        <v>N</v>
      </c>
      <c r="N2167" s="25" t="str">
        <f>IF(L2167&lt;&gt;"",VLOOKUP(L2167,Categories!$B$2:$D$41,2,FALSE),IF(F2167&lt;&gt;"","No Cat",""))</f>
        <v>NRBASE</v>
      </c>
      <c r="O2167" s="25" t="str">
        <f>IF($L2167&lt;&gt;"",VLOOKUP($L2167,Categories!$B$2:$D$41,3,FALSE),IF($F2167&lt;&gt;"","No Cat",""))</f>
        <v>Direct Assign Items Not in RB</v>
      </c>
      <c r="P2167" s="736" t="s">
        <v>2468</v>
      </c>
      <c r="Q2167" s="25" t="str">
        <f>VLOOKUP($P2167,Allocators!$B$7:$F$19,5,FALSE)</f>
        <v>Not in Rate Base</v>
      </c>
      <c r="R2167" s="737">
        <f>VLOOKUP($P2167,Allocators!$B$7:$F$19,2,FALSE)</f>
        <v>0</v>
      </c>
      <c r="S2167" s="737">
        <f>VLOOKUP($P2167,Allocators!$B$7:$F$19,3,FALSE)</f>
        <v>0</v>
      </c>
      <c r="T2167" s="737">
        <f t="shared" si="1062"/>
        <v>1</v>
      </c>
      <c r="U2167" s="2" t="str">
        <f t="shared" si="1050"/>
        <v/>
      </c>
      <c r="V2167" s="2" t="str">
        <f t="shared" si="1051"/>
        <v/>
      </c>
      <c r="W2167" s="2" t="str">
        <f t="shared" si="1052"/>
        <v/>
      </c>
      <c r="X2167" s="2">
        <f t="shared" si="1047"/>
        <v>0</v>
      </c>
      <c r="Y2167" s="2" t="str">
        <f t="shared" si="1053"/>
        <v/>
      </c>
      <c r="Z2167" s="2" t="str">
        <f t="shared" si="1054"/>
        <v/>
      </c>
      <c r="AA2167" s="2" t="str">
        <f t="shared" si="1055"/>
        <v/>
      </c>
      <c r="AB2167" s="2">
        <f t="shared" si="1048"/>
        <v>0</v>
      </c>
      <c r="AC2167" s="625">
        <v>0</v>
      </c>
      <c r="AD2167" s="625">
        <v>0</v>
      </c>
      <c r="AE2167" s="625">
        <v>0</v>
      </c>
      <c r="AF2167" s="625">
        <v>0</v>
      </c>
      <c r="AG2167" s="625">
        <v>0</v>
      </c>
      <c r="AH2167" s="625">
        <v>0</v>
      </c>
      <c r="AI2167" s="625">
        <v>0</v>
      </c>
      <c r="AJ2167" s="625">
        <v>0</v>
      </c>
      <c r="AK2167" s="625">
        <v>0</v>
      </c>
      <c r="AL2167" s="625">
        <v>0</v>
      </c>
      <c r="AM2167" s="625">
        <v>0</v>
      </c>
      <c r="AN2167" s="625">
        <v>0</v>
      </c>
      <c r="AO2167" s="625">
        <v>0</v>
      </c>
      <c r="AP2167" s="41" t="str">
        <f t="shared" si="1044"/>
        <v>Def TaxN</v>
      </c>
      <c r="AQ2167" s="41" t="str">
        <f t="shared" si="1045"/>
        <v>Def TaxNN2R&amp;D Tax Credit Deferral</v>
      </c>
      <c r="AR2167" s="41" t="str">
        <f t="shared" si="1046"/>
        <v>N2R&amp;D Tax Credit Deferral</v>
      </c>
    </row>
    <row r="2168" spans="1:44" s="41" customFormat="1" ht="12.75" customHeight="1">
      <c r="A2168" s="442" t="s">
        <v>1590</v>
      </c>
      <c r="B2168" s="442" t="str">
        <f t="shared" si="1061"/>
        <v>Def Tax283210283-081-JPBT010176</v>
      </c>
      <c r="C2168" s="736">
        <v>283210</v>
      </c>
      <c r="D2168" s="735" t="s">
        <v>2026</v>
      </c>
      <c r="E2168" s="626" t="s">
        <v>1977</v>
      </c>
      <c r="F2168" s="626" t="str">
        <f t="shared" si="1056"/>
        <v>ACCUM DEF INC TAX-OTH-FEDERAL-GAS</v>
      </c>
      <c r="G2168" s="626" t="s">
        <v>2225</v>
      </c>
      <c r="H2168" s="736" t="s">
        <v>1245</v>
      </c>
      <c r="I2168" s="442"/>
      <c r="J2168" s="442" t="str">
        <f t="shared" si="1060"/>
        <v/>
      </c>
      <c r="K2168" s="442" t="str">
        <f t="shared" si="1063"/>
        <v/>
      </c>
      <c r="L2168" s="736" t="s">
        <v>2421</v>
      </c>
      <c r="M2168" s="442" t="str">
        <f t="shared" si="1043"/>
        <v>N</v>
      </c>
      <c r="N2168" s="442" t="str">
        <f>IF(L2168&lt;&gt;"",VLOOKUP(L2168,Categories!$B$2:$D$41,2,FALSE),IF(F2168&lt;&gt;"","No Cat",""))</f>
        <v>NRBASE</v>
      </c>
      <c r="O2168" s="442" t="str">
        <f>IF($L2168&lt;&gt;"",VLOOKUP($L2168,Categories!$B$2:$D$41,3,FALSE),IF($F2168&lt;&gt;"","No Cat",""))</f>
        <v>Direct Assign Items Not in RB</v>
      </c>
      <c r="P2168" s="736" t="s">
        <v>2468</v>
      </c>
      <c r="Q2168" s="442" t="str">
        <f>VLOOKUP($P2168,Allocators!$B$7:$F$19,5,FALSE)</f>
        <v>Not in Rate Base</v>
      </c>
      <c r="R2168" s="737">
        <f>VLOOKUP($P2168,Allocators!$B$7:$F$19,2,FALSE)</f>
        <v>0</v>
      </c>
      <c r="S2168" s="737">
        <f>VLOOKUP($P2168,Allocators!$B$7:$F$19,3,FALSE)</f>
        <v>0</v>
      </c>
      <c r="T2168" s="737">
        <f t="shared" si="1062"/>
        <v>1</v>
      </c>
      <c r="U2168" s="2" t="str">
        <f t="shared" si="1050"/>
        <v/>
      </c>
      <c r="V2168" s="2" t="str">
        <f t="shared" si="1051"/>
        <v/>
      </c>
      <c r="W2168" s="2" t="str">
        <f t="shared" si="1052"/>
        <v/>
      </c>
      <c r="X2168" s="2">
        <f t="shared" si="1047"/>
        <v>0</v>
      </c>
      <c r="Y2168" s="2" t="str">
        <f t="shared" si="1053"/>
        <v/>
      </c>
      <c r="Z2168" s="2" t="str">
        <f t="shared" si="1054"/>
        <v/>
      </c>
      <c r="AA2168" s="2" t="str">
        <f t="shared" si="1055"/>
        <v/>
      </c>
      <c r="AB2168" s="2">
        <f t="shared" si="1048"/>
        <v>0</v>
      </c>
      <c r="AC2168" s="625">
        <v>0</v>
      </c>
      <c r="AD2168" s="625">
        <v>0</v>
      </c>
      <c r="AE2168" s="625">
        <v>0</v>
      </c>
      <c r="AF2168" s="625">
        <v>0</v>
      </c>
      <c r="AG2168" s="625">
        <v>0</v>
      </c>
      <c r="AH2168" s="625">
        <v>0</v>
      </c>
      <c r="AI2168" s="625">
        <v>0</v>
      </c>
      <c r="AJ2168" s="625">
        <v>0</v>
      </c>
      <c r="AK2168" s="625">
        <v>0</v>
      </c>
      <c r="AL2168" s="625">
        <v>0</v>
      </c>
      <c r="AM2168" s="625">
        <v>0</v>
      </c>
      <c r="AN2168" s="625">
        <v>0</v>
      </c>
      <c r="AO2168" s="625">
        <v>0</v>
      </c>
      <c r="AP2168" s="41" t="str">
        <f t="shared" si="1044"/>
        <v>Def TaxN</v>
      </c>
      <c r="AQ2168" s="41" t="str">
        <f t="shared" si="1045"/>
        <v>Def TaxNN2Purchase of Receivables</v>
      </c>
      <c r="AR2168" s="41" t="str">
        <f t="shared" si="1046"/>
        <v>N2Purchase of Receivables</v>
      </c>
    </row>
    <row r="2169" spans="1:44" s="41" customFormat="1" ht="12.75" customHeight="1">
      <c r="A2169" s="25" t="s">
        <v>1590</v>
      </c>
      <c r="B2169" s="25" t="str">
        <f t="shared" si="1061"/>
        <v>Def Tax283210283-088BT010181</v>
      </c>
      <c r="C2169" s="736">
        <v>283210</v>
      </c>
      <c r="D2169" s="735" t="s">
        <v>2230</v>
      </c>
      <c r="E2169" s="41" t="s">
        <v>2231</v>
      </c>
      <c r="F2169" s="41" t="str">
        <f t="shared" si="1056"/>
        <v>ACCUM DEF INC TAX-OTH-FEDERAL-GAS</v>
      </c>
      <c r="G2169" s="41" t="s">
        <v>2264</v>
      </c>
      <c r="H2169" s="736" t="s">
        <v>2233</v>
      </c>
      <c r="I2169" s="25"/>
      <c r="J2169" s="25" t="str">
        <f t="shared" si="1060"/>
        <v/>
      </c>
      <c r="K2169" s="442" t="str">
        <f t="shared" si="1063"/>
        <v/>
      </c>
      <c r="L2169" s="736" t="s">
        <v>2443</v>
      </c>
      <c r="M2169" s="25" t="str">
        <f t="shared" si="1043"/>
        <v>R</v>
      </c>
      <c r="N2169" s="25" t="str">
        <f>IF(L2169&lt;&gt;"",VLOOKUP(L2169,Categories!$B$2:$D$41,2,FALSE),IF(F2169&lt;&gt;"","No Cat",""))</f>
        <v>Rate Base</v>
      </c>
      <c r="O2169" s="25" t="str">
        <f>IF($L2169&lt;&gt;"",VLOOKUP($L2169,Categories!$B$2:$D$41,3,FALSE),IF($F2169&lt;&gt;"","No Cat",""))</f>
        <v>Deferred Income Taxes</v>
      </c>
      <c r="P2169" s="736" t="s">
        <v>2483</v>
      </c>
      <c r="Q2169" s="25" t="str">
        <f>VLOOKUP($P2169,Allocators!$B$7:$F$19,5,FALSE)</f>
        <v>Gas</v>
      </c>
      <c r="R2169" s="737">
        <f>VLOOKUP($P2169,Allocators!$B$7:$F$19,2,FALSE)</f>
        <v>0</v>
      </c>
      <c r="S2169" s="737">
        <f>VLOOKUP($P2169,Allocators!$B$7:$F$19,3,FALSE)</f>
        <v>1</v>
      </c>
      <c r="T2169" s="737" t="str">
        <f t="shared" si="1062"/>
        <v>0.0%</v>
      </c>
      <c r="U2169" s="2" t="str">
        <f t="shared" si="1050"/>
        <v/>
      </c>
      <c r="V2169" s="2" t="str">
        <f t="shared" si="1051"/>
        <v/>
      </c>
      <c r="W2169" s="2" t="str">
        <f t="shared" si="1052"/>
        <v/>
      </c>
      <c r="X2169" s="2">
        <f t="shared" si="1047"/>
        <v>0</v>
      </c>
      <c r="Y2169" s="2" t="str">
        <f t="shared" si="1053"/>
        <v/>
      </c>
      <c r="Z2169" s="2" t="str">
        <f t="shared" si="1054"/>
        <v/>
      </c>
      <c r="AA2169" s="2" t="str">
        <f t="shared" si="1055"/>
        <v/>
      </c>
      <c r="AB2169" s="2">
        <f t="shared" si="1048"/>
        <v>0</v>
      </c>
      <c r="AC2169" s="625">
        <v>0</v>
      </c>
      <c r="AD2169" s="625">
        <v>0</v>
      </c>
      <c r="AE2169" s="625">
        <v>0</v>
      </c>
      <c r="AF2169" s="625">
        <v>0</v>
      </c>
      <c r="AG2169" s="625">
        <v>0</v>
      </c>
      <c r="AH2169" s="625">
        <v>0</v>
      </c>
      <c r="AI2169" s="625">
        <v>0</v>
      </c>
      <c r="AJ2169" s="625">
        <v>0</v>
      </c>
      <c r="AK2169" s="625">
        <v>0</v>
      </c>
      <c r="AL2169" s="625">
        <v>0</v>
      </c>
      <c r="AM2169" s="625">
        <v>0</v>
      </c>
      <c r="AN2169" s="625">
        <v>0</v>
      </c>
      <c r="AO2169" s="625">
        <v>0</v>
      </c>
      <c r="AP2169" s="41" t="str">
        <f t="shared" si="1044"/>
        <v>Def TaxR</v>
      </c>
      <c r="AQ2169" s="41" t="str">
        <f t="shared" si="1045"/>
        <v>Def TaxRR11Repair Allowance</v>
      </c>
      <c r="AR2169" s="41" t="str">
        <f t="shared" si="1046"/>
        <v>R11Repair Allowance</v>
      </c>
    </row>
    <row r="2170" spans="1:44" s="41" customFormat="1" ht="12.75" customHeight="1">
      <c r="A2170" s="25" t="s">
        <v>1590</v>
      </c>
      <c r="B2170" s="25" t="str">
        <f t="shared" si="1061"/>
        <v>Def Tax283210283-082-JP</v>
      </c>
      <c r="C2170" s="736">
        <v>283210</v>
      </c>
      <c r="D2170" s="735" t="s">
        <v>2241</v>
      </c>
      <c r="F2170" s="41" t="str">
        <f t="shared" si="1056"/>
        <v>ACCUM DEF INC TAX-OTH-FEDERAL-GAS</v>
      </c>
      <c r="G2170" s="41" t="s">
        <v>2242</v>
      </c>
      <c r="H2170" s="736" t="s">
        <v>1117</v>
      </c>
      <c r="I2170" s="25"/>
      <c r="J2170" s="25" t="str">
        <f t="shared" si="1060"/>
        <v/>
      </c>
      <c r="K2170" s="442" t="str">
        <f t="shared" si="1063"/>
        <v/>
      </c>
      <c r="L2170" s="736" t="s">
        <v>2443</v>
      </c>
      <c r="M2170" s="25" t="str">
        <f t="shared" si="1043"/>
        <v>R</v>
      </c>
      <c r="N2170" s="25" t="str">
        <f>IF(L2170&lt;&gt;"",VLOOKUP(L2170,Categories!$B$2:$D$41,2,FALSE),IF(F2170&lt;&gt;"","No Cat",""))</f>
        <v>Rate Base</v>
      </c>
      <c r="O2170" s="25" t="str">
        <f>IF($L2170&lt;&gt;"",VLOOKUP($L2170,Categories!$B$2:$D$41,3,FALSE),IF($F2170&lt;&gt;"","No Cat",""))</f>
        <v>Deferred Income Taxes</v>
      </c>
      <c r="P2170" s="736" t="s">
        <v>2483</v>
      </c>
      <c r="Q2170" s="25" t="str">
        <f>VLOOKUP($P2170,Allocators!$B$7:$F$19,5,FALSE)</f>
        <v>Gas</v>
      </c>
      <c r="R2170" s="737">
        <f>VLOOKUP($P2170,Allocators!$B$7:$F$19,2,FALSE)</f>
        <v>0</v>
      </c>
      <c r="S2170" s="737">
        <f>VLOOKUP($P2170,Allocators!$B$7:$F$19,3,FALSE)</f>
        <v>1</v>
      </c>
      <c r="T2170" s="737" t="str">
        <f t="shared" si="1062"/>
        <v>0.0%</v>
      </c>
      <c r="U2170" s="2" t="str">
        <f t="shared" si="1050"/>
        <v/>
      </c>
      <c r="V2170" s="2" t="str">
        <f t="shared" si="1051"/>
        <v/>
      </c>
      <c r="W2170" s="2" t="str">
        <f t="shared" si="1052"/>
        <v/>
      </c>
      <c r="X2170" s="2">
        <f t="shared" si="1047"/>
        <v>0</v>
      </c>
      <c r="Y2170" s="2" t="str">
        <f t="shared" si="1053"/>
        <v/>
      </c>
      <c r="Z2170" s="2" t="str">
        <f t="shared" si="1054"/>
        <v/>
      </c>
      <c r="AA2170" s="2" t="str">
        <f t="shared" si="1055"/>
        <v/>
      </c>
      <c r="AB2170" s="2">
        <f t="shared" si="1048"/>
        <v>0</v>
      </c>
      <c r="AC2170" s="625">
        <v>0</v>
      </c>
      <c r="AD2170" s="625">
        <v>0</v>
      </c>
      <c r="AE2170" s="625">
        <v>0</v>
      </c>
      <c r="AF2170" s="625">
        <v>0</v>
      </c>
      <c r="AG2170" s="625">
        <v>0</v>
      </c>
      <c r="AH2170" s="625">
        <v>0</v>
      </c>
      <c r="AI2170" s="625">
        <v>0</v>
      </c>
      <c r="AJ2170" s="625">
        <v>0</v>
      </c>
      <c r="AK2170" s="625">
        <v>0</v>
      </c>
      <c r="AL2170" s="625">
        <v>0</v>
      </c>
      <c r="AM2170" s="625">
        <v>0</v>
      </c>
      <c r="AN2170" s="625">
        <v>0</v>
      </c>
      <c r="AO2170" s="625">
        <v>0</v>
      </c>
      <c r="AP2170" s="41" t="str">
        <f t="shared" si="1044"/>
        <v>Def TaxR</v>
      </c>
      <c r="AQ2170" s="41" t="str">
        <f t="shared" si="1045"/>
        <v>Def TaxRR11Security Costs</v>
      </c>
      <c r="AR2170" s="41" t="str">
        <f t="shared" si="1046"/>
        <v>R11Security Costs</v>
      </c>
    </row>
    <row r="2171" spans="1:44" s="41" customFormat="1" ht="12.75" customHeight="1">
      <c r="A2171" s="25" t="s">
        <v>1590</v>
      </c>
      <c r="B2171" s="25" t="str">
        <f t="shared" si="1061"/>
        <v>Def Tax283210283-069</v>
      </c>
      <c r="C2171" s="736">
        <v>283210</v>
      </c>
      <c r="D2171" s="735" t="s">
        <v>1992</v>
      </c>
      <c r="F2171" s="41" t="str">
        <f t="shared" si="1056"/>
        <v>ACCUM DEF INC TAX-OTH-FEDERAL-GAS</v>
      </c>
      <c r="G2171" s="41" t="s">
        <v>1994</v>
      </c>
      <c r="H2171" s="736" t="s">
        <v>1995</v>
      </c>
      <c r="I2171" s="25"/>
      <c r="J2171" s="25" t="str">
        <f t="shared" si="1060"/>
        <v/>
      </c>
      <c r="K2171" s="442" t="str">
        <f t="shared" si="1063"/>
        <v/>
      </c>
      <c r="L2171" s="736" t="s">
        <v>2443</v>
      </c>
      <c r="M2171" s="25" t="str">
        <f t="shared" si="1043"/>
        <v>R</v>
      </c>
      <c r="N2171" s="25" t="str">
        <f>IF(L2171&lt;&gt;"",VLOOKUP(L2171,Categories!$B$2:$D$41,2,FALSE),IF(F2171&lt;&gt;"","No Cat",""))</f>
        <v>Rate Base</v>
      </c>
      <c r="O2171" s="25" t="str">
        <f>IF($L2171&lt;&gt;"",VLOOKUP($L2171,Categories!$B$2:$D$41,3,FALSE),IF($F2171&lt;&gt;"","No Cat",""))</f>
        <v>Deferred Income Taxes</v>
      </c>
      <c r="P2171" s="736" t="s">
        <v>2483</v>
      </c>
      <c r="Q2171" s="25" t="str">
        <f>VLOOKUP($P2171,Allocators!$B$7:$F$19,5,FALSE)</f>
        <v>Gas</v>
      </c>
      <c r="R2171" s="737">
        <f>VLOOKUP($P2171,Allocators!$B$7:$F$19,2,FALSE)</f>
        <v>0</v>
      </c>
      <c r="S2171" s="737">
        <f>VLOOKUP($P2171,Allocators!$B$7:$F$19,3,FALSE)</f>
        <v>1</v>
      </c>
      <c r="T2171" s="737" t="str">
        <f t="shared" si="1062"/>
        <v>0.0%</v>
      </c>
      <c r="U2171" s="2" t="str">
        <f t="shared" si="1050"/>
        <v/>
      </c>
      <c r="V2171" s="2" t="str">
        <f t="shared" si="1051"/>
        <v/>
      </c>
      <c r="W2171" s="2" t="str">
        <f t="shared" si="1052"/>
        <v/>
      </c>
      <c r="X2171" s="2">
        <f t="shared" si="1047"/>
        <v>0</v>
      </c>
      <c r="Y2171" s="2" t="str">
        <f t="shared" si="1053"/>
        <v/>
      </c>
      <c r="Z2171" s="2" t="str">
        <f t="shared" si="1054"/>
        <v/>
      </c>
      <c r="AA2171" s="2" t="str">
        <f t="shared" si="1055"/>
        <v/>
      </c>
      <c r="AB2171" s="2">
        <f t="shared" si="1048"/>
        <v>0</v>
      </c>
      <c r="AC2171" s="625">
        <v>0</v>
      </c>
      <c r="AD2171" s="625">
        <v>0</v>
      </c>
      <c r="AE2171" s="625">
        <v>0</v>
      </c>
      <c r="AF2171" s="625">
        <v>0</v>
      </c>
      <c r="AG2171" s="625">
        <v>0</v>
      </c>
      <c r="AH2171" s="625">
        <v>0</v>
      </c>
      <c r="AI2171" s="625">
        <v>0</v>
      </c>
      <c r="AJ2171" s="625">
        <v>0</v>
      </c>
      <c r="AK2171" s="625">
        <v>0</v>
      </c>
      <c r="AL2171" s="625">
        <v>0</v>
      </c>
      <c r="AM2171" s="625">
        <v>0</v>
      </c>
      <c r="AN2171" s="625">
        <v>0</v>
      </c>
      <c r="AO2171" s="625">
        <v>0</v>
      </c>
      <c r="AP2171" s="41" t="str">
        <f t="shared" si="1044"/>
        <v>Def TaxR</v>
      </c>
      <c r="AQ2171" s="41" t="str">
        <f t="shared" si="1045"/>
        <v>Def TaxRR11NYS Income Tax / GRT Deferral</v>
      </c>
      <c r="AR2171" s="41" t="str">
        <f t="shared" si="1046"/>
        <v>R11NYS Income Tax / GRT Deferral</v>
      </c>
    </row>
    <row r="2172" spans="1:44" s="41" customFormat="1" ht="12.75" customHeight="1">
      <c r="A2172" s="25" t="s">
        <v>1590</v>
      </c>
      <c r="B2172" s="25" t="str">
        <f t="shared" si="1061"/>
        <v>Def Tax283210283-026</v>
      </c>
      <c r="C2172" s="736">
        <v>283210</v>
      </c>
      <c r="D2172" s="735" t="s">
        <v>1706</v>
      </c>
      <c r="F2172" s="41" t="str">
        <f t="shared" si="1056"/>
        <v>ACCUM DEF INC TAX-OTH-FEDERAL-GAS</v>
      </c>
      <c r="G2172" s="41" t="s">
        <v>2243</v>
      </c>
      <c r="H2172" s="736" t="s">
        <v>1134</v>
      </c>
      <c r="I2172" s="25"/>
      <c r="J2172" s="25" t="str">
        <f t="shared" si="1060"/>
        <v/>
      </c>
      <c r="K2172" s="442" t="str">
        <f t="shared" si="1063"/>
        <v/>
      </c>
      <c r="L2172" s="736" t="s">
        <v>2421</v>
      </c>
      <c r="M2172" s="25" t="str">
        <f t="shared" si="1043"/>
        <v>N</v>
      </c>
      <c r="N2172" s="25" t="str">
        <f>IF(L2172&lt;&gt;"",VLOOKUP(L2172,Categories!$B$2:$D$41,2,FALSE),IF(F2172&lt;&gt;"","No Cat",""))</f>
        <v>NRBASE</v>
      </c>
      <c r="O2172" s="25" t="str">
        <f>IF($L2172&lt;&gt;"",VLOOKUP($L2172,Categories!$B$2:$D$41,3,FALSE),IF($F2172&lt;&gt;"","No Cat",""))</f>
        <v>Direct Assign Items Not in RB</v>
      </c>
      <c r="P2172" s="736" t="s">
        <v>2468</v>
      </c>
      <c r="Q2172" s="25" t="str">
        <f>VLOOKUP($P2172,Allocators!$B$7:$F$19,5,FALSE)</f>
        <v>Not in Rate Base</v>
      </c>
      <c r="R2172" s="737">
        <f>VLOOKUP($P2172,Allocators!$B$7:$F$19,2,FALSE)</f>
        <v>0</v>
      </c>
      <c r="S2172" s="737">
        <f>VLOOKUP($P2172,Allocators!$B$7:$F$19,3,FALSE)</f>
        <v>0</v>
      </c>
      <c r="T2172" s="737">
        <f t="shared" si="1062"/>
        <v>1</v>
      </c>
      <c r="U2172" s="2" t="str">
        <f t="shared" si="1050"/>
        <v/>
      </c>
      <c r="V2172" s="2" t="str">
        <f t="shared" si="1051"/>
        <v/>
      </c>
      <c r="W2172" s="2" t="str">
        <f t="shared" si="1052"/>
        <v/>
      </c>
      <c r="X2172" s="2">
        <f t="shared" si="1047"/>
        <v>0</v>
      </c>
      <c r="Y2172" s="2" t="str">
        <f t="shared" si="1053"/>
        <v/>
      </c>
      <c r="Z2172" s="2" t="str">
        <f t="shared" si="1054"/>
        <v/>
      </c>
      <c r="AA2172" s="2" t="str">
        <f t="shared" si="1055"/>
        <v/>
      </c>
      <c r="AB2172" s="2">
        <f t="shared" si="1048"/>
        <v>0</v>
      </c>
      <c r="AC2172" s="625">
        <v>0</v>
      </c>
      <c r="AD2172" s="625">
        <v>0</v>
      </c>
      <c r="AE2172" s="625">
        <v>0</v>
      </c>
      <c r="AF2172" s="625">
        <v>0</v>
      </c>
      <c r="AG2172" s="625">
        <v>0</v>
      </c>
      <c r="AH2172" s="625">
        <v>0</v>
      </c>
      <c r="AI2172" s="625">
        <v>0</v>
      </c>
      <c r="AJ2172" s="625">
        <v>0</v>
      </c>
      <c r="AK2172" s="625">
        <v>0</v>
      </c>
      <c r="AL2172" s="625">
        <v>0</v>
      </c>
      <c r="AM2172" s="625">
        <v>0</v>
      </c>
      <c r="AN2172" s="625">
        <v>0</v>
      </c>
      <c r="AO2172" s="625">
        <v>0</v>
      </c>
      <c r="AP2172" s="41" t="str">
        <f t="shared" si="1044"/>
        <v>Def TaxN</v>
      </c>
      <c r="AQ2172" s="41" t="str">
        <f t="shared" si="1045"/>
        <v>Def TaxNN2Environmental</v>
      </c>
      <c r="AR2172" s="41" t="str">
        <f t="shared" si="1046"/>
        <v>N2Environmental</v>
      </c>
    </row>
    <row r="2173" spans="1:44" s="41" customFormat="1" ht="12.75" customHeight="1">
      <c r="A2173" s="25" t="s">
        <v>1590</v>
      </c>
      <c r="B2173" s="25" t="str">
        <f t="shared" si="1061"/>
        <v>Def Tax283210283-063BTMISCDT</v>
      </c>
      <c r="C2173" s="736">
        <v>283210</v>
      </c>
      <c r="D2173" s="735" t="s">
        <v>2244</v>
      </c>
      <c r="E2173" s="41" t="s">
        <v>1971</v>
      </c>
      <c r="F2173" s="41" t="str">
        <f t="shared" si="1056"/>
        <v>ACCUM DEF INC TAX-OTH-FEDERAL-GAS</v>
      </c>
      <c r="G2173" s="41" t="s">
        <v>2265</v>
      </c>
      <c r="H2173" s="736" t="s">
        <v>2246</v>
      </c>
      <c r="I2173" s="25"/>
      <c r="J2173" s="25" t="str">
        <f t="shared" si="1060"/>
        <v/>
      </c>
      <c r="K2173" s="442" t="str">
        <f t="shared" si="1063"/>
        <v/>
      </c>
      <c r="L2173" s="736" t="s">
        <v>2443</v>
      </c>
      <c r="M2173" s="25" t="str">
        <f t="shared" si="1043"/>
        <v>R</v>
      </c>
      <c r="N2173" s="25" t="str">
        <f>IF(L2173&lt;&gt;"",VLOOKUP(L2173,Categories!$B$2:$D$41,2,FALSE),IF(F2173&lt;&gt;"","No Cat",""))</f>
        <v>Rate Base</v>
      </c>
      <c r="O2173" s="25" t="str">
        <f>IF($L2173&lt;&gt;"",VLOOKUP($L2173,Categories!$B$2:$D$41,3,FALSE),IF($F2173&lt;&gt;"","No Cat",""))</f>
        <v>Deferred Income Taxes</v>
      </c>
      <c r="P2173" s="736" t="s">
        <v>2483</v>
      </c>
      <c r="Q2173" s="25" t="str">
        <f>VLOOKUP($P2173,Allocators!$B$7:$F$19,5,FALSE)</f>
        <v>Gas</v>
      </c>
      <c r="R2173" s="737">
        <f>VLOOKUP($P2173,Allocators!$B$7:$F$19,2,FALSE)</f>
        <v>0</v>
      </c>
      <c r="S2173" s="737">
        <f>VLOOKUP($P2173,Allocators!$B$7:$F$19,3,FALSE)</f>
        <v>1</v>
      </c>
      <c r="T2173" s="737" t="str">
        <f t="shared" si="1062"/>
        <v>0.0%</v>
      </c>
      <c r="U2173" s="2">
        <f t="shared" si="1050"/>
        <v>0</v>
      </c>
      <c r="V2173" s="2">
        <f t="shared" si="1051"/>
        <v>180.934</v>
      </c>
      <c r="W2173" s="2">
        <f t="shared" si="1052"/>
        <v>0</v>
      </c>
      <c r="X2173" s="2">
        <f t="shared" si="1047"/>
        <v>180.934</v>
      </c>
      <c r="Y2173" s="2">
        <f t="shared" si="1053"/>
        <v>0</v>
      </c>
      <c r="Z2173" s="2">
        <f t="shared" si="1054"/>
        <v>180.934</v>
      </c>
      <c r="AA2173" s="2">
        <f t="shared" si="1055"/>
        <v>0</v>
      </c>
      <c r="AB2173" s="2">
        <f t="shared" si="1048"/>
        <v>180.934</v>
      </c>
      <c r="AC2173" s="625">
        <v>180.934</v>
      </c>
      <c r="AD2173" s="625">
        <v>180.934</v>
      </c>
      <c r="AE2173" s="625">
        <v>180.934</v>
      </c>
      <c r="AF2173" s="625">
        <v>180.934</v>
      </c>
      <c r="AG2173" s="625">
        <v>180.934</v>
      </c>
      <c r="AH2173" s="625">
        <v>180.934</v>
      </c>
      <c r="AI2173" s="625">
        <v>180.934</v>
      </c>
      <c r="AJ2173" s="625">
        <v>180.934</v>
      </c>
      <c r="AK2173" s="625">
        <v>180.934</v>
      </c>
      <c r="AL2173" s="625">
        <v>180.934</v>
      </c>
      <c r="AM2173" s="625">
        <v>180.934</v>
      </c>
      <c r="AN2173" s="625">
        <v>180.934</v>
      </c>
      <c r="AO2173" s="625">
        <v>180.934</v>
      </c>
      <c r="AP2173" s="41" t="str">
        <f t="shared" si="1044"/>
        <v>Def TaxR</v>
      </c>
      <c r="AQ2173" s="41" t="str">
        <f t="shared" si="1045"/>
        <v>Def TaxRR11STAR</v>
      </c>
      <c r="AR2173" s="41" t="str">
        <f t="shared" si="1046"/>
        <v>R11STAR</v>
      </c>
    </row>
    <row r="2174" spans="1:44" s="41" customFormat="1" ht="12.75" customHeight="1">
      <c r="A2174" s="442" t="s">
        <v>1590</v>
      </c>
      <c r="B2174" s="442" t="str">
        <f t="shared" si="1061"/>
        <v>Def Tax283210GSC RefundBG030586</v>
      </c>
      <c r="C2174" s="736">
        <v>283210</v>
      </c>
      <c r="D2174" s="735" t="s">
        <v>2033</v>
      </c>
      <c r="E2174" s="626" t="s">
        <v>1150</v>
      </c>
      <c r="F2174" s="626" t="str">
        <f t="shared" si="1056"/>
        <v>ACCUM DEF INC TAX-OTH-FEDERAL-GAS</v>
      </c>
      <c r="G2174" s="626" t="s">
        <v>1509</v>
      </c>
      <c r="H2174" s="736" t="s">
        <v>1142</v>
      </c>
      <c r="I2174" s="442"/>
      <c r="J2174" s="442" t="s">
        <v>7</v>
      </c>
      <c r="K2174" s="442" t="str">
        <f t="shared" si="1063"/>
        <v/>
      </c>
      <c r="L2174" s="736" t="s">
        <v>2436</v>
      </c>
      <c r="M2174" s="442" t="str">
        <f t="shared" si="1043"/>
        <v>N</v>
      </c>
      <c r="N2174" s="442" t="str">
        <f>IF(L2174&lt;&gt;"",VLOOKUP(L2174,Categories!$B$2:$D$41,2,FALSE),IF(F2174&lt;&gt;"","No Cat",""))</f>
        <v>NRBASE</v>
      </c>
      <c r="O2174" s="442" t="str">
        <f>IF($L2174&lt;&gt;"",VLOOKUP($L2174,Categories!$B$2:$D$41,3,FALSE),IF($F2174&lt;&gt;"","No Cat",""))</f>
        <v>Deferrals Accruing Non-Cash Return   (other than ASGA)</v>
      </c>
      <c r="P2174" s="736" t="s">
        <v>2468</v>
      </c>
      <c r="Q2174" s="442" t="str">
        <f>VLOOKUP($P2174,Allocators!$B$7:$F$19,5,FALSE)</f>
        <v>Not in Rate Base</v>
      </c>
      <c r="R2174" s="737">
        <f>VLOOKUP($P2174,Allocators!$B$7:$F$19,2,FALSE)</f>
        <v>0</v>
      </c>
      <c r="S2174" s="737">
        <f>VLOOKUP($P2174,Allocators!$B$7:$F$19,3,FALSE)</f>
        <v>0</v>
      </c>
      <c r="T2174" s="737">
        <f t="shared" si="1062"/>
        <v>1</v>
      </c>
      <c r="U2174" s="2">
        <f t="shared" si="1050"/>
        <v>0</v>
      </c>
      <c r="V2174" s="2">
        <f t="shared" si="1051"/>
        <v>0</v>
      </c>
      <c r="W2174" s="2">
        <f t="shared" si="1052"/>
        <v>-8.0000000000000007E-5</v>
      </c>
      <c r="X2174" s="2">
        <f t="shared" si="1047"/>
        <v>-8.0000000000000007E-5</v>
      </c>
      <c r="Y2174" s="2">
        <f t="shared" si="1053"/>
        <v>0</v>
      </c>
      <c r="Z2174" s="2">
        <f t="shared" si="1054"/>
        <v>0</v>
      </c>
      <c r="AA2174" s="2">
        <f t="shared" si="1055"/>
        <v>-8.0000000000000007E-5</v>
      </c>
      <c r="AB2174" s="2">
        <f t="shared" si="1048"/>
        <v>-8.0000000000000007E-5</v>
      </c>
      <c r="AC2174" s="625">
        <v>-8.0000000000000007E-5</v>
      </c>
      <c r="AD2174" s="625">
        <v>-8.0000000000000007E-5</v>
      </c>
      <c r="AE2174" s="625">
        <v>-8.0000000000000007E-5</v>
      </c>
      <c r="AF2174" s="625">
        <v>-8.0000000000000007E-5</v>
      </c>
      <c r="AG2174" s="625">
        <v>-8.0000000000000007E-5</v>
      </c>
      <c r="AH2174" s="625">
        <v>-8.0000000000000007E-5</v>
      </c>
      <c r="AI2174" s="625">
        <v>-8.0000000000000007E-5</v>
      </c>
      <c r="AJ2174" s="625">
        <v>-8.0000000000000007E-5</v>
      </c>
      <c r="AK2174" s="625">
        <v>-8.0000000000000007E-5</v>
      </c>
      <c r="AL2174" s="625">
        <v>-8.0000000000000007E-5</v>
      </c>
      <c r="AM2174" s="625">
        <v>-8.0000000000000007E-5</v>
      </c>
      <c r="AN2174" s="625">
        <v>-8.0000000000000007E-5</v>
      </c>
      <c r="AO2174" s="625">
        <v>-8.0000000000000007E-5</v>
      </c>
      <c r="AP2174" s="41" t="str">
        <f t="shared" si="1044"/>
        <v>Def TaxN</v>
      </c>
      <c r="AQ2174" s="41" t="str">
        <f t="shared" si="1045"/>
        <v>Def TaxNN10Gas Costs Deferred</v>
      </c>
      <c r="AR2174" s="41" t="str">
        <f t="shared" si="1046"/>
        <v>N10Gas Costs DeferredNCR</v>
      </c>
    </row>
    <row r="2175" spans="1:44" s="41" customFormat="1" ht="12.75" customHeight="1">
      <c r="A2175" s="25" t="s">
        <v>1590</v>
      </c>
      <c r="B2175" s="25" t="str">
        <f t="shared" si="1061"/>
        <v>Def Tax283210Unit of PropBT010354</v>
      </c>
      <c r="C2175" s="736">
        <v>283210</v>
      </c>
      <c r="D2175" s="735" t="s">
        <v>2247</v>
      </c>
      <c r="E2175" s="41" t="s">
        <v>2248</v>
      </c>
      <c r="F2175" s="41" t="str">
        <f t="shared" si="1056"/>
        <v>ACCUM DEF INC TAX-OTH-FEDERAL-GAS</v>
      </c>
      <c r="G2175" s="41" t="s">
        <v>2249</v>
      </c>
      <c r="H2175" s="736" t="s">
        <v>2249</v>
      </c>
      <c r="I2175" s="25"/>
      <c r="J2175" s="25" t="str">
        <f t="shared" si="1060"/>
        <v/>
      </c>
      <c r="K2175" s="442" t="str">
        <f t="shared" si="1063"/>
        <v/>
      </c>
      <c r="L2175" s="736" t="s">
        <v>2443</v>
      </c>
      <c r="M2175" s="25" t="str">
        <f t="shared" si="1043"/>
        <v>R</v>
      </c>
      <c r="N2175" s="25" t="str">
        <f>IF(L2175&lt;&gt;"",VLOOKUP(L2175,Categories!$B$2:$D$41,2,FALSE),IF(F2175&lt;&gt;"","No Cat",""))</f>
        <v>Rate Base</v>
      </c>
      <c r="O2175" s="25" t="str">
        <f>IF($L2175&lt;&gt;"",VLOOKUP($L2175,Categories!$B$2:$D$41,3,FALSE),IF($F2175&lt;&gt;"","No Cat",""))</f>
        <v>Deferred Income Taxes</v>
      </c>
      <c r="P2175" s="736" t="s">
        <v>2483</v>
      </c>
      <c r="Q2175" s="25" t="str">
        <f>VLOOKUP($P2175,Allocators!$B$7:$F$19,5,FALSE)</f>
        <v>Gas</v>
      </c>
      <c r="R2175" s="737">
        <f>VLOOKUP($P2175,Allocators!$B$7:$F$19,2,FALSE)</f>
        <v>0</v>
      </c>
      <c r="S2175" s="737">
        <f>VLOOKUP($P2175,Allocators!$B$7:$F$19,3,FALSE)</f>
        <v>1</v>
      </c>
      <c r="T2175" s="737" t="str">
        <f t="shared" si="1062"/>
        <v>0.0%</v>
      </c>
      <c r="U2175" s="2" t="str">
        <f t="shared" si="1050"/>
        <v/>
      </c>
      <c r="V2175" s="2" t="str">
        <f t="shared" si="1051"/>
        <v/>
      </c>
      <c r="W2175" s="2" t="str">
        <f t="shared" si="1052"/>
        <v/>
      </c>
      <c r="X2175" s="2">
        <f t="shared" si="1047"/>
        <v>0</v>
      </c>
      <c r="Y2175" s="2" t="str">
        <f t="shared" si="1053"/>
        <v/>
      </c>
      <c r="Z2175" s="2" t="str">
        <f t="shared" si="1054"/>
        <v/>
      </c>
      <c r="AA2175" s="2" t="str">
        <f t="shared" si="1055"/>
        <v/>
      </c>
      <c r="AB2175" s="2">
        <f t="shared" si="1048"/>
        <v>0</v>
      </c>
      <c r="AC2175" s="625">
        <v>0</v>
      </c>
      <c r="AD2175" s="625">
        <v>0</v>
      </c>
      <c r="AE2175" s="625">
        <v>0</v>
      </c>
      <c r="AF2175" s="625">
        <v>0</v>
      </c>
      <c r="AG2175" s="625">
        <v>0</v>
      </c>
      <c r="AH2175" s="625">
        <v>0</v>
      </c>
      <c r="AI2175" s="625">
        <v>0</v>
      </c>
      <c r="AJ2175" s="625">
        <v>0</v>
      </c>
      <c r="AK2175" s="625">
        <v>0</v>
      </c>
      <c r="AL2175" s="625">
        <v>0</v>
      </c>
      <c r="AM2175" s="625">
        <v>0</v>
      </c>
      <c r="AN2175" s="625">
        <v>0</v>
      </c>
      <c r="AO2175" s="625">
        <v>0</v>
      </c>
      <c r="AP2175" s="41" t="str">
        <f t="shared" si="1044"/>
        <v>Def TaxR</v>
      </c>
      <c r="AQ2175" s="41" t="str">
        <f t="shared" si="1045"/>
        <v>Def TaxRR11Unit of Property - 481Adj</v>
      </c>
      <c r="AR2175" s="41" t="str">
        <f t="shared" si="1046"/>
        <v>R11Unit of Property - 481Adj</v>
      </c>
    </row>
    <row r="2176" spans="1:44" s="41" customFormat="1" ht="12.75" customHeight="1">
      <c r="A2176" s="25" t="s">
        <v>1590</v>
      </c>
      <c r="B2176" s="25" t="str">
        <f t="shared" ref="B2176" si="1064">CONCATENATE(A2176,C2176,D2176,E2176)</f>
        <v>Def Tax283210BTMISCDT</v>
      </c>
      <c r="C2176" s="736">
        <v>283210</v>
      </c>
      <c r="D2176" s="735"/>
      <c r="E2176" s="41" t="s">
        <v>1971</v>
      </c>
      <c r="F2176" s="41" t="str">
        <f t="shared" si="1056"/>
        <v>ACCUM DEF INC TAX-OTH-FEDERAL-GAS</v>
      </c>
      <c r="G2176" s="41" t="s">
        <v>4263</v>
      </c>
      <c r="H2176" s="736" t="s">
        <v>4455</v>
      </c>
      <c r="I2176" s="25"/>
      <c r="J2176" s="25"/>
      <c r="K2176" s="442"/>
      <c r="L2176" s="736" t="s">
        <v>2443</v>
      </c>
      <c r="M2176" s="25" t="str">
        <f t="shared" ref="M2176" si="1065">LEFT(L2176,1)</f>
        <v>R</v>
      </c>
      <c r="N2176" s="25" t="str">
        <f>IF(L2176&lt;&gt;"",VLOOKUP(L2176,Categories!$B$2:$D$41,2,FALSE),IF(F2176&lt;&gt;"","No Cat",""))</f>
        <v>Rate Base</v>
      </c>
      <c r="O2176" s="25" t="str">
        <f>IF($L2176&lt;&gt;"",VLOOKUP($L2176,Categories!$B$2:$D$41,3,FALSE),IF($F2176&lt;&gt;"","No Cat",""))</f>
        <v>Deferred Income Taxes</v>
      </c>
      <c r="P2176" s="736" t="s">
        <v>2483</v>
      </c>
      <c r="Q2176" s="25" t="str">
        <f>VLOOKUP($P2176,Allocators!$B$7:$F$19,5,FALSE)</f>
        <v>Gas</v>
      </c>
      <c r="R2176" s="737">
        <f>VLOOKUP($P2176,Allocators!$B$7:$F$19,2,FALSE)</f>
        <v>0</v>
      </c>
      <c r="S2176" s="737">
        <f>VLOOKUP($P2176,Allocators!$B$7:$F$19,3,FALSE)</f>
        <v>1</v>
      </c>
      <c r="T2176" s="737" t="str">
        <f t="shared" si="1062"/>
        <v>0.0%</v>
      </c>
      <c r="U2176" s="2">
        <f t="shared" si="1050"/>
        <v>0</v>
      </c>
      <c r="V2176" s="2">
        <f t="shared" si="1051"/>
        <v>-161.416666666667</v>
      </c>
      <c r="W2176" s="2">
        <f t="shared" si="1052"/>
        <v>0</v>
      </c>
      <c r="X2176" s="2">
        <f t="shared" si="1047"/>
        <v>-161.416666666667</v>
      </c>
      <c r="Y2176" s="2">
        <f t="shared" si="1053"/>
        <v>0</v>
      </c>
      <c r="Z2176" s="2">
        <f t="shared" si="1054"/>
        <v>-388</v>
      </c>
      <c r="AA2176" s="2">
        <f t="shared" si="1055"/>
        <v>0</v>
      </c>
      <c r="AB2176" s="2">
        <f t="shared" si="1048"/>
        <v>-388</v>
      </c>
      <c r="AC2176" s="625"/>
      <c r="AD2176" s="625"/>
      <c r="AE2176" s="625"/>
      <c r="AF2176" s="625"/>
      <c r="AG2176" s="625"/>
      <c r="AH2176" s="625"/>
      <c r="AI2176" s="625">
        <v>-271</v>
      </c>
      <c r="AJ2176" s="625">
        <v>-271</v>
      </c>
      <c r="AK2176" s="625">
        <v>-271</v>
      </c>
      <c r="AL2176" s="625">
        <v>-271</v>
      </c>
      <c r="AM2176" s="625">
        <v>-271</v>
      </c>
      <c r="AN2176" s="625">
        <v>-388</v>
      </c>
      <c r="AO2176" s="625">
        <v>-388</v>
      </c>
      <c r="AP2176" s="41" t="str">
        <f t="shared" si="1044"/>
        <v>Def TaxR</v>
      </c>
      <c r="AQ2176" s="41" t="str">
        <f t="shared" si="1045"/>
        <v>Def TaxRR11Excess DIT - New York State Tax Rate change</v>
      </c>
      <c r="AR2176" s="41" t="str">
        <f t="shared" si="1046"/>
        <v>R11Excess DIT - New York State Tax Rate change</v>
      </c>
    </row>
    <row r="2177" spans="1:44" s="41" customFormat="1" ht="12.75" customHeight="1">
      <c r="A2177" s="442" t="s">
        <v>1590</v>
      </c>
      <c r="B2177" s="442" t="str">
        <f t="shared" si="1061"/>
        <v>Def Tax283210283-084</v>
      </c>
      <c r="C2177" s="736">
        <v>283210</v>
      </c>
      <c r="D2177" s="735" t="s">
        <v>2250</v>
      </c>
      <c r="E2177" s="626"/>
      <c r="F2177" s="626" t="str">
        <f t="shared" si="1056"/>
        <v>ACCUM DEF INC TAX-OTH-FEDERAL-GAS</v>
      </c>
      <c r="G2177" s="626" t="s">
        <v>2251</v>
      </c>
      <c r="H2177" s="736">
        <v>0</v>
      </c>
      <c r="I2177" s="442"/>
      <c r="J2177" s="442" t="str">
        <f t="shared" si="1060"/>
        <v/>
      </c>
      <c r="K2177" s="442" t="str">
        <f t="shared" si="1063"/>
        <v/>
      </c>
      <c r="L2177" s="736" t="s">
        <v>2421</v>
      </c>
      <c r="M2177" s="442" t="str">
        <f t="shared" si="1043"/>
        <v>N</v>
      </c>
      <c r="N2177" s="442" t="str">
        <f>IF(L2177&lt;&gt;"",VLOOKUP(L2177,Categories!$B$2:$D$41,2,FALSE),IF(F2177&lt;&gt;"","No Cat",""))</f>
        <v>NRBASE</v>
      </c>
      <c r="O2177" s="442" t="str">
        <f>IF($L2177&lt;&gt;"",VLOOKUP($L2177,Categories!$B$2:$D$41,3,FALSE),IF($F2177&lt;&gt;"","No Cat",""))</f>
        <v>Direct Assign Items Not in RB</v>
      </c>
      <c r="P2177" s="736" t="s">
        <v>2468</v>
      </c>
      <c r="Q2177" s="442" t="str">
        <f>VLOOKUP($P2177,Allocators!$B$7:$F$19,5,FALSE)</f>
        <v>Not in Rate Base</v>
      </c>
      <c r="R2177" s="737">
        <f>VLOOKUP($P2177,Allocators!$B$7:$F$19,2,FALSE)</f>
        <v>0</v>
      </c>
      <c r="S2177" s="737">
        <f>VLOOKUP($P2177,Allocators!$B$7:$F$19,3,FALSE)</f>
        <v>0</v>
      </c>
      <c r="T2177" s="737">
        <f t="shared" si="1062"/>
        <v>1</v>
      </c>
      <c r="U2177" s="2" t="str">
        <f t="shared" si="1050"/>
        <v/>
      </c>
      <c r="V2177" s="2" t="str">
        <f t="shared" si="1051"/>
        <v/>
      </c>
      <c r="W2177" s="2" t="str">
        <f t="shared" si="1052"/>
        <v/>
      </c>
      <c r="X2177" s="2">
        <f t="shared" si="1047"/>
        <v>0</v>
      </c>
      <c r="Y2177" s="2" t="str">
        <f t="shared" si="1053"/>
        <v/>
      </c>
      <c r="Z2177" s="2" t="str">
        <f t="shared" si="1054"/>
        <v/>
      </c>
      <c r="AA2177" s="2" t="str">
        <f t="shared" si="1055"/>
        <v/>
      </c>
      <c r="AB2177" s="2">
        <f t="shared" si="1048"/>
        <v>0</v>
      </c>
      <c r="AC2177" s="625">
        <v>0</v>
      </c>
      <c r="AD2177" s="625">
        <v>0</v>
      </c>
      <c r="AE2177" s="625">
        <v>0</v>
      </c>
      <c r="AF2177" s="625">
        <v>0</v>
      </c>
      <c r="AG2177" s="625">
        <v>0</v>
      </c>
      <c r="AH2177" s="625">
        <v>0</v>
      </c>
      <c r="AI2177" s="625">
        <v>0</v>
      </c>
      <c r="AJ2177" s="625">
        <v>0</v>
      </c>
      <c r="AK2177" s="625">
        <v>0</v>
      </c>
      <c r="AL2177" s="625">
        <v>0</v>
      </c>
      <c r="AM2177" s="625">
        <v>0</v>
      </c>
      <c r="AN2177" s="625">
        <v>0</v>
      </c>
      <c r="AO2177" s="625">
        <v>0</v>
      </c>
      <c r="AP2177" s="41" t="str">
        <f t="shared" si="1044"/>
        <v>Def TaxN</v>
      </c>
      <c r="AQ2177" s="41" t="str">
        <f t="shared" si="1045"/>
        <v>Def TaxNN20</v>
      </c>
      <c r="AR2177" s="41" t="str">
        <f t="shared" si="1046"/>
        <v>N20</v>
      </c>
    </row>
    <row r="2178" spans="1:44" s="41" customFormat="1" ht="12.75" customHeight="1">
      <c r="A2178" s="25" t="s">
        <v>1590</v>
      </c>
      <c r="B2178" s="25" t="str">
        <f t="shared" si="1061"/>
        <v>Def Tax283300283-059BTHUNGDT</v>
      </c>
      <c r="C2178" s="736">
        <v>283300</v>
      </c>
      <c r="D2178" s="735" t="s">
        <v>2266</v>
      </c>
      <c r="E2178" s="41" t="s">
        <v>1624</v>
      </c>
      <c r="F2178" s="41" t="str">
        <f t="shared" si="1056"/>
        <v>ACCUM DEF INC TAX-OTH-FEDERAL-ELECTRIC-NONOP</v>
      </c>
      <c r="G2178" s="41" t="s">
        <v>1790</v>
      </c>
      <c r="H2178" s="736">
        <v>0</v>
      </c>
      <c r="I2178" s="25"/>
      <c r="J2178" s="25" t="str">
        <f t="shared" si="1060"/>
        <v/>
      </c>
      <c r="K2178" s="442" t="str">
        <f t="shared" si="1063"/>
        <v/>
      </c>
      <c r="L2178" s="736" t="s">
        <v>2443</v>
      </c>
      <c r="M2178" s="25" t="str">
        <f t="shared" si="1043"/>
        <v>R</v>
      </c>
      <c r="N2178" s="25" t="str">
        <f>IF(L2178&lt;&gt;"",VLOOKUP(L2178,Categories!$B$2:$D$41,2,FALSE),IF(F2178&lt;&gt;"","No Cat",""))</f>
        <v>Rate Base</v>
      </c>
      <c r="O2178" s="25" t="str">
        <f>IF($L2178&lt;&gt;"",VLOOKUP($L2178,Categories!$B$2:$D$41,3,FALSE),IF($F2178&lt;&gt;"","No Cat",""))</f>
        <v>Deferred Income Taxes</v>
      </c>
      <c r="P2178" s="736" t="s">
        <v>2483</v>
      </c>
      <c r="Q2178" s="25" t="str">
        <f>VLOOKUP($P2178,Allocators!$B$7:$F$19,5,FALSE)</f>
        <v>Gas</v>
      </c>
      <c r="R2178" s="737">
        <f>VLOOKUP($P2178,Allocators!$B$7:$F$19,2,FALSE)</f>
        <v>0</v>
      </c>
      <c r="S2178" s="737">
        <f>VLOOKUP($P2178,Allocators!$B$7:$F$19,3,FALSE)</f>
        <v>1</v>
      </c>
      <c r="T2178" s="737" t="str">
        <f t="shared" si="1062"/>
        <v>0.0%</v>
      </c>
      <c r="U2178" s="2" t="str">
        <f t="shared" si="1050"/>
        <v/>
      </c>
      <c r="V2178" s="2" t="str">
        <f t="shared" si="1051"/>
        <v/>
      </c>
      <c r="W2178" s="2" t="str">
        <f t="shared" si="1052"/>
        <v/>
      </c>
      <c r="X2178" s="2">
        <f t="shared" si="1047"/>
        <v>0</v>
      </c>
      <c r="Y2178" s="2" t="str">
        <f t="shared" si="1053"/>
        <v/>
      </c>
      <c r="Z2178" s="2" t="str">
        <f t="shared" si="1054"/>
        <v/>
      </c>
      <c r="AA2178" s="2" t="str">
        <f t="shared" si="1055"/>
        <v/>
      </c>
      <c r="AB2178" s="2">
        <f t="shared" si="1048"/>
        <v>0</v>
      </c>
      <c r="AC2178" s="625">
        <v>0</v>
      </c>
      <c r="AD2178" s="625">
        <v>0</v>
      </c>
      <c r="AE2178" s="625">
        <v>0</v>
      </c>
      <c r="AF2178" s="625">
        <v>0</v>
      </c>
      <c r="AG2178" s="625">
        <v>0</v>
      </c>
      <c r="AH2178" s="625">
        <v>0</v>
      </c>
      <c r="AI2178" s="625">
        <v>0</v>
      </c>
      <c r="AJ2178" s="625">
        <v>0</v>
      </c>
      <c r="AK2178" s="625">
        <v>0</v>
      </c>
      <c r="AL2178" s="625">
        <v>0</v>
      </c>
      <c r="AM2178" s="625">
        <v>0</v>
      </c>
      <c r="AN2178" s="625">
        <v>0</v>
      </c>
      <c r="AO2178" s="625">
        <v>0</v>
      </c>
      <c r="AP2178" s="41" t="str">
        <f t="shared" si="1044"/>
        <v>Def TaxR</v>
      </c>
      <c r="AQ2178" s="41" t="str">
        <f t="shared" si="1045"/>
        <v>Def TaxRR110</v>
      </c>
      <c r="AR2178" s="41" t="str">
        <f t="shared" si="1046"/>
        <v>R110</v>
      </c>
    </row>
    <row r="2179" spans="1:44" s="41" customFormat="1" ht="12.75" customHeight="1">
      <c r="A2179" s="442" t="s">
        <v>1590</v>
      </c>
      <c r="B2179" s="442" t="str">
        <f t="shared" si="1061"/>
        <v>Def Tax283300283-035BTHUNGDT</v>
      </c>
      <c r="C2179" s="736">
        <v>283300</v>
      </c>
      <c r="D2179" s="735" t="s">
        <v>2150</v>
      </c>
      <c r="E2179" s="626" t="s">
        <v>1624</v>
      </c>
      <c r="F2179" s="626" t="str">
        <f t="shared" si="1056"/>
        <v>ACCUM DEF INC TAX-OTH-FEDERAL-ELECTRIC-NONOP</v>
      </c>
      <c r="G2179" s="626" t="s">
        <v>2151</v>
      </c>
      <c r="H2179" s="736" t="s">
        <v>2880</v>
      </c>
      <c r="I2179" s="442"/>
      <c r="J2179" s="442" t="str">
        <f t="shared" si="1060"/>
        <v/>
      </c>
      <c r="K2179" s="442" t="str">
        <f t="shared" si="1063"/>
        <v/>
      </c>
      <c r="L2179" s="736" t="s">
        <v>2421</v>
      </c>
      <c r="M2179" s="442" t="str">
        <f t="shared" si="1043"/>
        <v>N</v>
      </c>
      <c r="N2179" s="442" t="str">
        <f>IF(L2179&lt;&gt;"",VLOOKUP(L2179,Categories!$B$2:$D$41,2,FALSE),IF(F2179&lt;&gt;"","No Cat",""))</f>
        <v>NRBASE</v>
      </c>
      <c r="O2179" s="442" t="str">
        <f>IF($L2179&lt;&gt;"",VLOOKUP($L2179,Categories!$B$2:$D$41,3,FALSE),IF($F2179&lt;&gt;"","No Cat",""))</f>
        <v>Direct Assign Items Not in RB</v>
      </c>
      <c r="P2179" s="736" t="s">
        <v>2468</v>
      </c>
      <c r="Q2179" s="442" t="str">
        <f>VLOOKUP($P2179,Allocators!$B$7:$F$19,5,FALSE)</f>
        <v>Not in Rate Base</v>
      </c>
      <c r="R2179" s="737">
        <f>VLOOKUP($P2179,Allocators!$B$7:$F$19,2,FALSE)</f>
        <v>0</v>
      </c>
      <c r="S2179" s="737">
        <f>VLOOKUP($P2179,Allocators!$B$7:$F$19,3,FALSE)</f>
        <v>0</v>
      </c>
      <c r="T2179" s="737">
        <f t="shared" si="1062"/>
        <v>1</v>
      </c>
      <c r="U2179" s="2" t="str">
        <f t="shared" si="1050"/>
        <v/>
      </c>
      <c r="V2179" s="2" t="str">
        <f t="shared" si="1051"/>
        <v/>
      </c>
      <c r="W2179" s="2" t="str">
        <f t="shared" si="1052"/>
        <v/>
      </c>
      <c r="X2179" s="2">
        <f t="shared" si="1047"/>
        <v>0</v>
      </c>
      <c r="Y2179" s="2" t="str">
        <f t="shared" si="1053"/>
        <v/>
      </c>
      <c r="Z2179" s="2" t="str">
        <f t="shared" si="1054"/>
        <v/>
      </c>
      <c r="AA2179" s="2" t="str">
        <f t="shared" si="1055"/>
        <v/>
      </c>
      <c r="AB2179" s="2">
        <f t="shared" si="1048"/>
        <v>0</v>
      </c>
      <c r="AC2179" s="625">
        <v>0</v>
      </c>
      <c r="AD2179" s="625">
        <v>0</v>
      </c>
      <c r="AE2179" s="625">
        <v>0</v>
      </c>
      <c r="AF2179" s="625">
        <v>0</v>
      </c>
      <c r="AG2179" s="625">
        <v>0</v>
      </c>
      <c r="AH2179" s="625">
        <v>0</v>
      </c>
      <c r="AI2179" s="625">
        <v>0</v>
      </c>
      <c r="AJ2179" s="625">
        <v>0</v>
      </c>
      <c r="AK2179" s="625">
        <v>0</v>
      </c>
      <c r="AL2179" s="625">
        <v>0</v>
      </c>
      <c r="AM2179" s="625">
        <v>0</v>
      </c>
      <c r="AN2179" s="625">
        <v>0</v>
      </c>
      <c r="AO2179" s="625">
        <v>0</v>
      </c>
      <c r="AP2179" s="41" t="str">
        <f t="shared" si="1044"/>
        <v>Def TaxN</v>
      </c>
      <c r="AQ2179" s="41" t="str">
        <f t="shared" si="1045"/>
        <v>Def TaxNN2Hung Deferred Taxes</v>
      </c>
      <c r="AR2179" s="41" t="str">
        <f t="shared" si="1046"/>
        <v>N2Hung Deferred Taxes</v>
      </c>
    </row>
    <row r="2180" spans="1:44" s="41" customFormat="1" ht="12.75" customHeight="1">
      <c r="A2180" s="442" t="s">
        <v>1590</v>
      </c>
      <c r="B2180" s="442" t="str">
        <f t="shared" si="1061"/>
        <v>Def Tax283300283-004BTHUNGDT</v>
      </c>
      <c r="C2180" s="736">
        <v>283300</v>
      </c>
      <c r="D2180" s="735" t="s">
        <v>2267</v>
      </c>
      <c r="E2180" s="626" t="s">
        <v>1624</v>
      </c>
      <c r="F2180" s="626" t="str">
        <f t="shared" si="1056"/>
        <v>ACCUM DEF INC TAX-OTH-FEDERAL-ELECTRIC-NONOP</v>
      </c>
      <c r="G2180" s="626" t="s">
        <v>2268</v>
      </c>
      <c r="H2180" s="736" t="s">
        <v>2880</v>
      </c>
      <c r="I2180" s="442"/>
      <c r="J2180" s="442" t="str">
        <f t="shared" si="1060"/>
        <v/>
      </c>
      <c r="K2180" s="442" t="str">
        <f t="shared" si="1063"/>
        <v/>
      </c>
      <c r="L2180" s="736" t="s">
        <v>2421</v>
      </c>
      <c r="M2180" s="442" t="str">
        <f t="shared" si="1043"/>
        <v>N</v>
      </c>
      <c r="N2180" s="442" t="str">
        <f>IF(L2180&lt;&gt;"",VLOOKUP(L2180,Categories!$B$2:$D$41,2,FALSE),IF(F2180&lt;&gt;"","No Cat",""))</f>
        <v>NRBASE</v>
      </c>
      <c r="O2180" s="442" t="str">
        <f>IF($L2180&lt;&gt;"",VLOOKUP($L2180,Categories!$B$2:$D$41,3,FALSE),IF($F2180&lt;&gt;"","No Cat",""))</f>
        <v>Direct Assign Items Not in RB</v>
      </c>
      <c r="P2180" s="736" t="s">
        <v>2468</v>
      </c>
      <c r="Q2180" s="442" t="str">
        <f>VLOOKUP($P2180,Allocators!$B$7:$F$19,5,FALSE)</f>
        <v>Not in Rate Base</v>
      </c>
      <c r="R2180" s="737">
        <f>VLOOKUP($P2180,Allocators!$B$7:$F$19,2,FALSE)</f>
        <v>0</v>
      </c>
      <c r="S2180" s="737">
        <f>VLOOKUP($P2180,Allocators!$B$7:$F$19,3,FALSE)</f>
        <v>0</v>
      </c>
      <c r="T2180" s="737">
        <f t="shared" si="1062"/>
        <v>1</v>
      </c>
      <c r="U2180" s="2" t="str">
        <f t="shared" si="1050"/>
        <v/>
      </c>
      <c r="V2180" s="2" t="str">
        <f t="shared" si="1051"/>
        <v/>
      </c>
      <c r="W2180" s="2" t="str">
        <f t="shared" si="1052"/>
        <v/>
      </c>
      <c r="X2180" s="2">
        <f t="shared" si="1047"/>
        <v>0</v>
      </c>
      <c r="Y2180" s="2" t="str">
        <f t="shared" si="1053"/>
        <v/>
      </c>
      <c r="Z2180" s="2" t="str">
        <f t="shared" si="1054"/>
        <v/>
      </c>
      <c r="AA2180" s="2" t="str">
        <f t="shared" si="1055"/>
        <v/>
      </c>
      <c r="AB2180" s="2">
        <f t="shared" si="1048"/>
        <v>0</v>
      </c>
      <c r="AC2180" s="625">
        <v>0</v>
      </c>
      <c r="AD2180" s="625">
        <v>0</v>
      </c>
      <c r="AE2180" s="625">
        <v>0</v>
      </c>
      <c r="AF2180" s="625">
        <v>0</v>
      </c>
      <c r="AG2180" s="625">
        <v>0</v>
      </c>
      <c r="AH2180" s="625">
        <v>0</v>
      </c>
      <c r="AI2180" s="625">
        <v>0</v>
      </c>
      <c r="AJ2180" s="625">
        <v>0</v>
      </c>
      <c r="AK2180" s="625">
        <v>0</v>
      </c>
      <c r="AL2180" s="625">
        <v>0</v>
      </c>
      <c r="AM2180" s="625">
        <v>0</v>
      </c>
      <c r="AN2180" s="625">
        <v>0</v>
      </c>
      <c r="AO2180" s="625">
        <v>0</v>
      </c>
      <c r="AP2180" s="41" t="str">
        <f t="shared" si="1044"/>
        <v>Def TaxN</v>
      </c>
      <c r="AQ2180" s="41" t="str">
        <f t="shared" si="1045"/>
        <v>Def TaxNN2Hung Deferred Taxes</v>
      </c>
      <c r="AR2180" s="41" t="str">
        <f t="shared" si="1046"/>
        <v>N2Hung Deferred Taxes</v>
      </c>
    </row>
    <row r="2181" spans="1:44" s="41" customFormat="1" ht="12.75" customHeight="1">
      <c r="A2181" s="442" t="s">
        <v>1590</v>
      </c>
      <c r="B2181" s="442" t="str">
        <f t="shared" si="1061"/>
        <v>Def Tax283300283-046BTHUNGDT</v>
      </c>
      <c r="C2181" s="736">
        <v>283300</v>
      </c>
      <c r="D2181" s="735" t="s">
        <v>2269</v>
      </c>
      <c r="E2181" s="626" t="s">
        <v>1624</v>
      </c>
      <c r="F2181" s="626" t="str">
        <f t="shared" si="1056"/>
        <v>ACCUM DEF INC TAX-OTH-FEDERAL-ELECTRIC-NONOP</v>
      </c>
      <c r="G2181" s="626" t="s">
        <v>2270</v>
      </c>
      <c r="H2181" s="736" t="s">
        <v>2880</v>
      </c>
      <c r="I2181" s="442"/>
      <c r="J2181" s="442" t="str">
        <f t="shared" si="1060"/>
        <v/>
      </c>
      <c r="K2181" s="442" t="str">
        <f t="shared" si="1063"/>
        <v/>
      </c>
      <c r="L2181" s="736" t="s">
        <v>2421</v>
      </c>
      <c r="M2181" s="442" t="str">
        <f t="shared" si="1043"/>
        <v>N</v>
      </c>
      <c r="N2181" s="442" t="str">
        <f>IF(L2181&lt;&gt;"",VLOOKUP(L2181,Categories!$B$2:$D$41,2,FALSE),IF(F2181&lt;&gt;"","No Cat",""))</f>
        <v>NRBASE</v>
      </c>
      <c r="O2181" s="442" t="str">
        <f>IF($L2181&lt;&gt;"",VLOOKUP($L2181,Categories!$B$2:$D$41,3,FALSE),IF($F2181&lt;&gt;"","No Cat",""))</f>
        <v>Direct Assign Items Not in RB</v>
      </c>
      <c r="P2181" s="736" t="s">
        <v>2468</v>
      </c>
      <c r="Q2181" s="442" t="str">
        <f>VLOOKUP($P2181,Allocators!$B$7:$F$19,5,FALSE)</f>
        <v>Not in Rate Base</v>
      </c>
      <c r="R2181" s="737">
        <f>VLOOKUP($P2181,Allocators!$B$7:$F$19,2,FALSE)</f>
        <v>0</v>
      </c>
      <c r="S2181" s="737">
        <f>VLOOKUP($P2181,Allocators!$B$7:$F$19,3,FALSE)</f>
        <v>0</v>
      </c>
      <c r="T2181" s="737">
        <f t="shared" si="1062"/>
        <v>1</v>
      </c>
      <c r="U2181" s="2" t="str">
        <f t="shared" si="1050"/>
        <v/>
      </c>
      <c r="V2181" s="2" t="str">
        <f t="shared" si="1051"/>
        <v/>
      </c>
      <c r="W2181" s="2" t="str">
        <f t="shared" si="1052"/>
        <v/>
      </c>
      <c r="X2181" s="2">
        <f t="shared" si="1047"/>
        <v>0</v>
      </c>
      <c r="Y2181" s="2" t="str">
        <f t="shared" si="1053"/>
        <v/>
      </c>
      <c r="Z2181" s="2" t="str">
        <f t="shared" si="1054"/>
        <v/>
      </c>
      <c r="AA2181" s="2" t="str">
        <f t="shared" si="1055"/>
        <v/>
      </c>
      <c r="AB2181" s="2">
        <f t="shared" si="1048"/>
        <v>0</v>
      </c>
      <c r="AC2181" s="625">
        <v>0</v>
      </c>
      <c r="AD2181" s="625">
        <v>0</v>
      </c>
      <c r="AE2181" s="625">
        <v>0</v>
      </c>
      <c r="AF2181" s="625">
        <v>0</v>
      </c>
      <c r="AG2181" s="625">
        <v>0</v>
      </c>
      <c r="AH2181" s="625">
        <v>0</v>
      </c>
      <c r="AI2181" s="625">
        <v>0</v>
      </c>
      <c r="AJ2181" s="625">
        <v>0</v>
      </c>
      <c r="AK2181" s="625">
        <v>0</v>
      </c>
      <c r="AL2181" s="625">
        <v>0</v>
      </c>
      <c r="AM2181" s="625">
        <v>0</v>
      </c>
      <c r="AN2181" s="625">
        <v>0</v>
      </c>
      <c r="AO2181" s="625">
        <v>0</v>
      </c>
      <c r="AP2181" s="41" t="str">
        <f t="shared" si="1044"/>
        <v>Def TaxN</v>
      </c>
      <c r="AQ2181" s="41" t="str">
        <f t="shared" si="1045"/>
        <v>Def TaxNN2Hung Deferred Taxes</v>
      </c>
      <c r="AR2181" s="41" t="str">
        <f t="shared" si="1046"/>
        <v>N2Hung Deferred Taxes</v>
      </c>
    </row>
    <row r="2182" spans="1:44" s="41" customFormat="1" ht="12.75" customHeight="1">
      <c r="A2182" s="442" t="s">
        <v>1590</v>
      </c>
      <c r="B2182" s="442" t="str">
        <f t="shared" si="1061"/>
        <v>Def Tax283300283-076BTHUNGDT</v>
      </c>
      <c r="C2182" s="736">
        <v>283300</v>
      </c>
      <c r="D2182" s="735" t="s">
        <v>2271</v>
      </c>
      <c r="E2182" s="626" t="s">
        <v>1624</v>
      </c>
      <c r="F2182" s="626" t="str">
        <f t="shared" si="1056"/>
        <v>ACCUM DEF INC TAX-OTH-FEDERAL-ELECTRIC-NONOP</v>
      </c>
      <c r="G2182" s="626" t="s">
        <v>2272</v>
      </c>
      <c r="H2182" s="736" t="s">
        <v>2880</v>
      </c>
      <c r="I2182" s="442"/>
      <c r="J2182" s="442" t="str">
        <f t="shared" si="1060"/>
        <v/>
      </c>
      <c r="K2182" s="442" t="str">
        <f t="shared" si="1063"/>
        <v/>
      </c>
      <c r="L2182" s="736" t="s">
        <v>2421</v>
      </c>
      <c r="M2182" s="442" t="str">
        <f t="shared" si="1043"/>
        <v>N</v>
      </c>
      <c r="N2182" s="442" t="str">
        <f>IF(L2182&lt;&gt;"",VLOOKUP(L2182,Categories!$B$2:$D$41,2,FALSE),IF(F2182&lt;&gt;"","No Cat",""))</f>
        <v>NRBASE</v>
      </c>
      <c r="O2182" s="442" t="str">
        <f>IF($L2182&lt;&gt;"",VLOOKUP($L2182,Categories!$B$2:$D$41,3,FALSE),IF($F2182&lt;&gt;"","No Cat",""))</f>
        <v>Direct Assign Items Not in RB</v>
      </c>
      <c r="P2182" s="736" t="s">
        <v>2468</v>
      </c>
      <c r="Q2182" s="442" t="str">
        <f>VLOOKUP($P2182,Allocators!$B$7:$F$19,5,FALSE)</f>
        <v>Not in Rate Base</v>
      </c>
      <c r="R2182" s="737">
        <f>VLOOKUP($P2182,Allocators!$B$7:$F$19,2,FALSE)</f>
        <v>0</v>
      </c>
      <c r="S2182" s="737">
        <f>VLOOKUP($P2182,Allocators!$B$7:$F$19,3,FALSE)</f>
        <v>0</v>
      </c>
      <c r="T2182" s="737">
        <f t="shared" si="1062"/>
        <v>1</v>
      </c>
      <c r="U2182" s="2" t="str">
        <f t="shared" si="1050"/>
        <v/>
      </c>
      <c r="V2182" s="2" t="str">
        <f t="shared" si="1051"/>
        <v/>
      </c>
      <c r="W2182" s="2" t="str">
        <f t="shared" si="1052"/>
        <v/>
      </c>
      <c r="X2182" s="2">
        <f t="shared" si="1047"/>
        <v>0</v>
      </c>
      <c r="Y2182" s="2" t="str">
        <f t="shared" si="1053"/>
        <v/>
      </c>
      <c r="Z2182" s="2" t="str">
        <f t="shared" si="1054"/>
        <v/>
      </c>
      <c r="AA2182" s="2" t="str">
        <f t="shared" si="1055"/>
        <v/>
      </c>
      <c r="AB2182" s="2">
        <f t="shared" si="1048"/>
        <v>0</v>
      </c>
      <c r="AC2182" s="625">
        <v>0</v>
      </c>
      <c r="AD2182" s="625">
        <v>0</v>
      </c>
      <c r="AE2182" s="625">
        <v>0</v>
      </c>
      <c r="AF2182" s="625">
        <v>0</v>
      </c>
      <c r="AG2182" s="625">
        <v>0</v>
      </c>
      <c r="AH2182" s="625">
        <v>0</v>
      </c>
      <c r="AI2182" s="625">
        <v>0</v>
      </c>
      <c r="AJ2182" s="625">
        <v>0</v>
      </c>
      <c r="AK2182" s="625">
        <v>0</v>
      </c>
      <c r="AL2182" s="625">
        <v>0</v>
      </c>
      <c r="AM2182" s="625">
        <v>0</v>
      </c>
      <c r="AN2182" s="625">
        <v>0</v>
      </c>
      <c r="AO2182" s="625">
        <v>0</v>
      </c>
      <c r="AP2182" s="41" t="str">
        <f t="shared" si="1044"/>
        <v>Def TaxN</v>
      </c>
      <c r="AQ2182" s="41" t="str">
        <f t="shared" si="1045"/>
        <v>Def TaxNN2Hung Deferred Taxes</v>
      </c>
      <c r="AR2182" s="41" t="str">
        <f t="shared" si="1046"/>
        <v>N2Hung Deferred Taxes</v>
      </c>
    </row>
    <row r="2183" spans="1:44" s="41" customFormat="1" ht="12.75" customHeight="1">
      <c r="A2183" s="442" t="s">
        <v>1590</v>
      </c>
      <c r="B2183" s="442" t="str">
        <f t="shared" si="1061"/>
        <v>Def Tax283300283-039BTHUNGDT</v>
      </c>
      <c r="C2183" s="736">
        <v>283300</v>
      </c>
      <c r="D2183" s="735" t="s">
        <v>2194</v>
      </c>
      <c r="E2183" s="626" t="s">
        <v>1624</v>
      </c>
      <c r="F2183" s="626" t="str">
        <f t="shared" si="1056"/>
        <v>ACCUM DEF INC TAX-OTH-FEDERAL-ELECTRIC-NONOP</v>
      </c>
      <c r="G2183" s="626" t="s">
        <v>2195</v>
      </c>
      <c r="H2183" s="736" t="s">
        <v>2880</v>
      </c>
      <c r="I2183" s="442"/>
      <c r="J2183" s="442" t="str">
        <f t="shared" si="1060"/>
        <v/>
      </c>
      <c r="K2183" s="442" t="str">
        <f t="shared" si="1063"/>
        <v/>
      </c>
      <c r="L2183" s="736" t="s">
        <v>2421</v>
      </c>
      <c r="M2183" s="442" t="str">
        <f t="shared" si="1043"/>
        <v>N</v>
      </c>
      <c r="N2183" s="442" t="str">
        <f>IF(L2183&lt;&gt;"",VLOOKUP(L2183,Categories!$B$2:$D$41,2,FALSE),IF(F2183&lt;&gt;"","No Cat",""))</f>
        <v>NRBASE</v>
      </c>
      <c r="O2183" s="442" t="str">
        <f>IF($L2183&lt;&gt;"",VLOOKUP($L2183,Categories!$B$2:$D$41,3,FALSE),IF($F2183&lt;&gt;"","No Cat",""))</f>
        <v>Direct Assign Items Not in RB</v>
      </c>
      <c r="P2183" s="736" t="s">
        <v>2468</v>
      </c>
      <c r="Q2183" s="442" t="str">
        <f>VLOOKUP($P2183,Allocators!$B$7:$F$19,5,FALSE)</f>
        <v>Not in Rate Base</v>
      </c>
      <c r="R2183" s="737">
        <f>VLOOKUP($P2183,Allocators!$B$7:$F$19,2,FALSE)</f>
        <v>0</v>
      </c>
      <c r="S2183" s="737">
        <f>VLOOKUP($P2183,Allocators!$B$7:$F$19,3,FALSE)</f>
        <v>0</v>
      </c>
      <c r="T2183" s="737">
        <f t="shared" si="1062"/>
        <v>1</v>
      </c>
      <c r="U2183" s="2" t="str">
        <f t="shared" si="1050"/>
        <v/>
      </c>
      <c r="V2183" s="2" t="str">
        <f t="shared" si="1051"/>
        <v/>
      </c>
      <c r="W2183" s="2" t="str">
        <f t="shared" si="1052"/>
        <v/>
      </c>
      <c r="X2183" s="2">
        <f t="shared" si="1047"/>
        <v>0</v>
      </c>
      <c r="Y2183" s="2" t="str">
        <f t="shared" si="1053"/>
        <v/>
      </c>
      <c r="Z2183" s="2" t="str">
        <f t="shared" si="1054"/>
        <v/>
      </c>
      <c r="AA2183" s="2" t="str">
        <f t="shared" si="1055"/>
        <v/>
      </c>
      <c r="AB2183" s="2">
        <f t="shared" si="1048"/>
        <v>0</v>
      </c>
      <c r="AC2183" s="625">
        <v>0</v>
      </c>
      <c r="AD2183" s="625">
        <v>0</v>
      </c>
      <c r="AE2183" s="625">
        <v>0</v>
      </c>
      <c r="AF2183" s="625">
        <v>0</v>
      </c>
      <c r="AG2183" s="625">
        <v>0</v>
      </c>
      <c r="AH2183" s="625">
        <v>0</v>
      </c>
      <c r="AI2183" s="625">
        <v>0</v>
      </c>
      <c r="AJ2183" s="625">
        <v>0</v>
      </c>
      <c r="AK2183" s="625">
        <v>0</v>
      </c>
      <c r="AL2183" s="625">
        <v>0</v>
      </c>
      <c r="AM2183" s="625">
        <v>0</v>
      </c>
      <c r="AN2183" s="625">
        <v>0</v>
      </c>
      <c r="AO2183" s="625">
        <v>0</v>
      </c>
      <c r="AP2183" s="41" t="str">
        <f t="shared" si="1044"/>
        <v>Def TaxN</v>
      </c>
      <c r="AQ2183" s="41" t="str">
        <f t="shared" si="1045"/>
        <v>Def TaxNN2Hung Deferred Taxes</v>
      </c>
      <c r="AR2183" s="41" t="str">
        <f t="shared" si="1046"/>
        <v>N2Hung Deferred Taxes</v>
      </c>
    </row>
    <row r="2184" spans="1:44" s="41" customFormat="1" ht="12.75" customHeight="1">
      <c r="A2184" s="442" t="s">
        <v>1590</v>
      </c>
      <c r="B2184" s="442" t="str">
        <f t="shared" si="1061"/>
        <v>Def Tax283300283-051BTHUNGDT</v>
      </c>
      <c r="C2184" s="736">
        <v>283300</v>
      </c>
      <c r="D2184" s="735" t="s">
        <v>2196</v>
      </c>
      <c r="E2184" s="626" t="s">
        <v>1624</v>
      </c>
      <c r="F2184" s="626" t="str">
        <f t="shared" si="1056"/>
        <v>ACCUM DEF INC TAX-OTH-FEDERAL-ELECTRIC-NONOP</v>
      </c>
      <c r="G2184" s="626" t="s">
        <v>2197</v>
      </c>
      <c r="H2184" s="736" t="s">
        <v>2880</v>
      </c>
      <c r="I2184" s="442"/>
      <c r="J2184" s="442" t="str">
        <f t="shared" si="1060"/>
        <v/>
      </c>
      <c r="K2184" s="442" t="str">
        <f t="shared" si="1063"/>
        <v/>
      </c>
      <c r="L2184" s="736" t="s">
        <v>2421</v>
      </c>
      <c r="M2184" s="442" t="str">
        <f t="shared" ref="M2184:M2248" si="1066">LEFT(L2184,1)</f>
        <v>N</v>
      </c>
      <c r="N2184" s="442" t="str">
        <f>IF(L2184&lt;&gt;"",VLOOKUP(L2184,Categories!$B$2:$D$41,2,FALSE),IF(F2184&lt;&gt;"","No Cat",""))</f>
        <v>NRBASE</v>
      </c>
      <c r="O2184" s="442" t="str">
        <f>IF($L2184&lt;&gt;"",VLOOKUP($L2184,Categories!$B$2:$D$41,3,FALSE),IF($F2184&lt;&gt;"","No Cat",""))</f>
        <v>Direct Assign Items Not in RB</v>
      </c>
      <c r="P2184" s="736" t="s">
        <v>2468</v>
      </c>
      <c r="Q2184" s="442" t="str">
        <f>VLOOKUP($P2184,Allocators!$B$7:$F$19,5,FALSE)</f>
        <v>Not in Rate Base</v>
      </c>
      <c r="R2184" s="737">
        <f>VLOOKUP($P2184,Allocators!$B$7:$F$19,2,FALSE)</f>
        <v>0</v>
      </c>
      <c r="S2184" s="737">
        <f>VLOOKUP($P2184,Allocators!$B$7:$F$19,3,FALSE)</f>
        <v>0</v>
      </c>
      <c r="T2184" s="737">
        <f t="shared" si="1062"/>
        <v>1</v>
      </c>
      <c r="U2184" s="2" t="str">
        <f t="shared" si="1050"/>
        <v/>
      </c>
      <c r="V2184" s="2" t="str">
        <f t="shared" si="1051"/>
        <v/>
      </c>
      <c r="W2184" s="2" t="str">
        <f t="shared" si="1052"/>
        <v/>
      </c>
      <c r="X2184" s="2">
        <f t="shared" si="1047"/>
        <v>0</v>
      </c>
      <c r="Y2184" s="2" t="str">
        <f t="shared" si="1053"/>
        <v/>
      </c>
      <c r="Z2184" s="2" t="str">
        <f t="shared" si="1054"/>
        <v/>
      </c>
      <c r="AA2184" s="2" t="str">
        <f t="shared" si="1055"/>
        <v/>
      </c>
      <c r="AB2184" s="2">
        <f t="shared" si="1048"/>
        <v>0</v>
      </c>
      <c r="AC2184" s="625">
        <v>0</v>
      </c>
      <c r="AD2184" s="625">
        <v>0</v>
      </c>
      <c r="AE2184" s="625">
        <v>0</v>
      </c>
      <c r="AF2184" s="625">
        <v>0</v>
      </c>
      <c r="AG2184" s="625">
        <v>0</v>
      </c>
      <c r="AH2184" s="625">
        <v>0</v>
      </c>
      <c r="AI2184" s="625">
        <v>0</v>
      </c>
      <c r="AJ2184" s="625">
        <v>0</v>
      </c>
      <c r="AK2184" s="625">
        <v>0</v>
      </c>
      <c r="AL2184" s="625">
        <v>0</v>
      </c>
      <c r="AM2184" s="625">
        <v>0</v>
      </c>
      <c r="AN2184" s="625">
        <v>0</v>
      </c>
      <c r="AO2184" s="625">
        <v>0</v>
      </c>
      <c r="AP2184" s="41" t="str">
        <f t="shared" ref="AP2184:AP2247" si="1067">CONCATENATE(A2184,M2184)</f>
        <v>Def TaxN</v>
      </c>
      <c r="AQ2184" s="41" t="str">
        <f t="shared" ref="AQ2184:AQ2247" si="1068">CONCATENATE(AP2184,L2184,H2184)</f>
        <v>Def TaxNN2Hung Deferred Taxes</v>
      </c>
      <c r="AR2184" s="41" t="str">
        <f t="shared" ref="AR2184:AR2247" si="1069">CONCATENATE(L2184,H2184,J2184)</f>
        <v>N2Hung Deferred Taxes</v>
      </c>
    </row>
    <row r="2185" spans="1:44" s="41" customFormat="1" ht="12.75" customHeight="1">
      <c r="A2185" s="25" t="s">
        <v>1590</v>
      </c>
      <c r="B2185" s="25" t="str">
        <f t="shared" si="1061"/>
        <v>Def Tax283300283-002BT010127</v>
      </c>
      <c r="C2185" s="736">
        <v>283300</v>
      </c>
      <c r="D2185" s="735" t="s">
        <v>2198</v>
      </c>
      <c r="E2185" s="41" t="s">
        <v>2199</v>
      </c>
      <c r="F2185" s="41" t="str">
        <f t="shared" si="1056"/>
        <v>ACCUM DEF INC TAX-OTH-FEDERAL-ELECTRIC-NONOP</v>
      </c>
      <c r="G2185" s="41" t="s">
        <v>2261</v>
      </c>
      <c r="H2185" s="736" t="s">
        <v>2201</v>
      </c>
      <c r="I2185" s="25"/>
      <c r="J2185" s="25" t="str">
        <f t="shared" si="1060"/>
        <v/>
      </c>
      <c r="K2185" s="442" t="str">
        <f t="shared" si="1063"/>
        <v/>
      </c>
      <c r="L2185" s="736" t="s">
        <v>2443</v>
      </c>
      <c r="M2185" s="25" t="str">
        <f t="shared" si="1066"/>
        <v>R</v>
      </c>
      <c r="N2185" s="25" t="str">
        <f>IF(L2185&lt;&gt;"",VLOOKUP(L2185,Categories!$B$2:$D$41,2,FALSE),IF(F2185&lt;&gt;"","No Cat",""))</f>
        <v>Rate Base</v>
      </c>
      <c r="O2185" s="25" t="str">
        <f>IF($L2185&lt;&gt;"",VLOOKUP($L2185,Categories!$B$2:$D$41,3,FALSE),IF($F2185&lt;&gt;"","No Cat",""))</f>
        <v>Deferred Income Taxes</v>
      </c>
      <c r="P2185" s="736" t="s">
        <v>2482</v>
      </c>
      <c r="Q2185" s="25" t="str">
        <f>VLOOKUP($P2185,Allocators!$B$7:$F$19,5,FALSE)</f>
        <v>Electric</v>
      </c>
      <c r="R2185" s="737">
        <f>VLOOKUP($P2185,Allocators!$B$7:$F$19,2,FALSE)</f>
        <v>1</v>
      </c>
      <c r="S2185" s="737">
        <f>VLOOKUP($P2185,Allocators!$B$7:$F$19,3,FALSE)</f>
        <v>0</v>
      </c>
      <c r="T2185" s="737" t="str">
        <f t="shared" si="1062"/>
        <v>0.0%</v>
      </c>
      <c r="U2185" s="2" t="str">
        <f t="shared" si="1050"/>
        <v/>
      </c>
      <c r="V2185" s="2" t="str">
        <f t="shared" si="1051"/>
        <v/>
      </c>
      <c r="W2185" s="2" t="str">
        <f t="shared" si="1052"/>
        <v/>
      </c>
      <c r="X2185" s="2">
        <f t="shared" si="1047"/>
        <v>0</v>
      </c>
      <c r="Y2185" s="2" t="str">
        <f t="shared" si="1053"/>
        <v/>
      </c>
      <c r="Z2185" s="2" t="str">
        <f t="shared" si="1054"/>
        <v/>
      </c>
      <c r="AA2185" s="2" t="str">
        <f t="shared" si="1055"/>
        <v/>
      </c>
      <c r="AB2185" s="2">
        <f t="shared" si="1048"/>
        <v>0</v>
      </c>
      <c r="AC2185" s="625">
        <v>0</v>
      </c>
      <c r="AD2185" s="625">
        <v>0</v>
      </c>
      <c r="AE2185" s="625">
        <v>0</v>
      </c>
      <c r="AF2185" s="625">
        <v>0</v>
      </c>
      <c r="AG2185" s="625">
        <v>0</v>
      </c>
      <c r="AH2185" s="625">
        <v>0</v>
      </c>
      <c r="AI2185" s="625">
        <v>0</v>
      </c>
      <c r="AJ2185" s="625">
        <v>0</v>
      </c>
      <c r="AK2185" s="625">
        <v>0</v>
      </c>
      <c r="AL2185" s="625">
        <v>0</v>
      </c>
      <c r="AM2185" s="625">
        <v>0</v>
      </c>
      <c r="AN2185" s="625">
        <v>0</v>
      </c>
      <c r="AO2185" s="625">
        <v>0</v>
      </c>
      <c r="AP2185" s="41" t="str">
        <f t="shared" si="1067"/>
        <v>Def TaxR</v>
      </c>
      <c r="AQ2185" s="41" t="str">
        <f t="shared" si="1068"/>
        <v>Def TaxRR11Mortgage Recording Tax</v>
      </c>
      <c r="AR2185" s="41" t="str">
        <f t="shared" si="1069"/>
        <v>R11Mortgage Recording Tax</v>
      </c>
    </row>
    <row r="2186" spans="1:44" s="41" customFormat="1" ht="12.75" customHeight="1">
      <c r="A2186" s="442" t="s">
        <v>1590</v>
      </c>
      <c r="B2186" s="442" t="str">
        <f t="shared" si="1061"/>
        <v>Def Tax283300283-045BTHUNGDT</v>
      </c>
      <c r="C2186" s="736">
        <v>283300</v>
      </c>
      <c r="D2186" s="735" t="s">
        <v>2209</v>
      </c>
      <c r="E2186" s="626" t="s">
        <v>1624</v>
      </c>
      <c r="F2186" s="626" t="str">
        <f t="shared" si="1056"/>
        <v>ACCUM DEF INC TAX-OTH-FEDERAL-ELECTRIC-NONOP</v>
      </c>
      <c r="G2186" s="626" t="s">
        <v>2210</v>
      </c>
      <c r="H2186" s="736" t="s">
        <v>2880</v>
      </c>
      <c r="I2186" s="442"/>
      <c r="J2186" s="442" t="str">
        <f t="shared" si="1060"/>
        <v/>
      </c>
      <c r="K2186" s="442" t="str">
        <f t="shared" si="1063"/>
        <v/>
      </c>
      <c r="L2186" s="736" t="s">
        <v>2421</v>
      </c>
      <c r="M2186" s="442" t="str">
        <f t="shared" si="1066"/>
        <v>N</v>
      </c>
      <c r="N2186" s="442" t="str">
        <f>IF(L2186&lt;&gt;"",VLOOKUP(L2186,Categories!$B$2:$D$41,2,FALSE),IF(F2186&lt;&gt;"","No Cat",""))</f>
        <v>NRBASE</v>
      </c>
      <c r="O2186" s="442" t="str">
        <f>IF($L2186&lt;&gt;"",VLOOKUP($L2186,Categories!$B$2:$D$41,3,FALSE),IF($F2186&lt;&gt;"","No Cat",""))</f>
        <v>Direct Assign Items Not in RB</v>
      </c>
      <c r="P2186" s="736" t="s">
        <v>2468</v>
      </c>
      <c r="Q2186" s="442" t="str">
        <f>VLOOKUP($P2186,Allocators!$B$7:$F$19,5,FALSE)</f>
        <v>Not in Rate Base</v>
      </c>
      <c r="R2186" s="737">
        <f>VLOOKUP($P2186,Allocators!$B$7:$F$19,2,FALSE)</f>
        <v>0</v>
      </c>
      <c r="S2186" s="737">
        <f>VLOOKUP($P2186,Allocators!$B$7:$F$19,3,FALSE)</f>
        <v>0</v>
      </c>
      <c r="T2186" s="737">
        <f t="shared" si="1062"/>
        <v>1</v>
      </c>
      <c r="U2186" s="2" t="str">
        <f t="shared" si="1050"/>
        <v/>
      </c>
      <c r="V2186" s="2" t="str">
        <f t="shared" si="1051"/>
        <v/>
      </c>
      <c r="W2186" s="2" t="str">
        <f t="shared" si="1052"/>
        <v/>
      </c>
      <c r="X2186" s="2">
        <f t="shared" si="1047"/>
        <v>0</v>
      </c>
      <c r="Y2186" s="2" t="str">
        <f t="shared" si="1053"/>
        <v/>
      </c>
      <c r="Z2186" s="2" t="str">
        <f t="shared" si="1054"/>
        <v/>
      </c>
      <c r="AA2186" s="2" t="str">
        <f t="shared" si="1055"/>
        <v/>
      </c>
      <c r="AB2186" s="2">
        <f t="shared" si="1048"/>
        <v>0</v>
      </c>
      <c r="AC2186" s="625">
        <v>0</v>
      </c>
      <c r="AD2186" s="625">
        <v>0</v>
      </c>
      <c r="AE2186" s="625">
        <v>0</v>
      </c>
      <c r="AF2186" s="625">
        <v>0</v>
      </c>
      <c r="AG2186" s="625">
        <v>0</v>
      </c>
      <c r="AH2186" s="625">
        <v>0</v>
      </c>
      <c r="AI2186" s="625">
        <v>0</v>
      </c>
      <c r="AJ2186" s="625">
        <v>0</v>
      </c>
      <c r="AK2186" s="625">
        <v>0</v>
      </c>
      <c r="AL2186" s="625">
        <v>0</v>
      </c>
      <c r="AM2186" s="625">
        <v>0</v>
      </c>
      <c r="AN2186" s="625">
        <v>0</v>
      </c>
      <c r="AO2186" s="625">
        <v>0</v>
      </c>
      <c r="AP2186" s="41" t="str">
        <f t="shared" si="1067"/>
        <v>Def TaxN</v>
      </c>
      <c r="AQ2186" s="41" t="str">
        <f t="shared" si="1068"/>
        <v>Def TaxNN2Hung Deferred Taxes</v>
      </c>
      <c r="AR2186" s="41" t="str">
        <f t="shared" si="1069"/>
        <v>N2Hung Deferred Taxes</v>
      </c>
    </row>
    <row r="2187" spans="1:44" s="41" customFormat="1" ht="12.75" customHeight="1">
      <c r="A2187" s="25" t="s">
        <v>1590</v>
      </c>
      <c r="B2187" s="25" t="str">
        <f t="shared" si="1061"/>
        <v>Def Tax283300283-064</v>
      </c>
      <c r="C2187" s="736">
        <v>283300</v>
      </c>
      <c r="D2187" s="735" t="s">
        <v>2273</v>
      </c>
      <c r="F2187" s="41" t="str">
        <f t="shared" si="1056"/>
        <v>ACCUM DEF INC TAX-OTH-FEDERAL-ELECTRIC-NONOP</v>
      </c>
      <c r="G2187" s="41" t="s">
        <v>2274</v>
      </c>
      <c r="H2187" s="736" t="s">
        <v>1629</v>
      </c>
      <c r="I2187" s="25"/>
      <c r="J2187" s="25" t="str">
        <f t="shared" si="1060"/>
        <v/>
      </c>
      <c r="K2187" s="442" t="str">
        <f t="shared" si="1063"/>
        <v/>
      </c>
      <c r="L2187" s="736" t="s">
        <v>2443</v>
      </c>
      <c r="M2187" s="25" t="str">
        <f t="shared" si="1066"/>
        <v>R</v>
      </c>
      <c r="N2187" s="25" t="str">
        <f>IF(L2187&lt;&gt;"",VLOOKUP(L2187,Categories!$B$2:$D$41,2,FALSE),IF(F2187&lt;&gt;"","No Cat",""))</f>
        <v>Rate Base</v>
      </c>
      <c r="O2187" s="25" t="str">
        <f>IF($L2187&lt;&gt;"",VLOOKUP($L2187,Categories!$B$2:$D$41,3,FALSE),IF($F2187&lt;&gt;"","No Cat",""))</f>
        <v>Deferred Income Taxes</v>
      </c>
      <c r="P2187" s="736" t="s">
        <v>2482</v>
      </c>
      <c r="Q2187" s="25" t="str">
        <f>VLOOKUP($P2187,Allocators!$B$7:$F$19,5,FALSE)</f>
        <v>Electric</v>
      </c>
      <c r="R2187" s="737">
        <f>VLOOKUP($P2187,Allocators!$B$7:$F$19,2,FALSE)</f>
        <v>1</v>
      </c>
      <c r="S2187" s="737">
        <f>VLOOKUP($P2187,Allocators!$B$7:$F$19,3,FALSE)</f>
        <v>0</v>
      </c>
      <c r="T2187" s="737" t="str">
        <f t="shared" si="1062"/>
        <v>0.0%</v>
      </c>
      <c r="U2187" s="2" t="str">
        <f t="shared" si="1050"/>
        <v/>
      </c>
      <c r="V2187" s="2" t="str">
        <f t="shared" si="1051"/>
        <v/>
      </c>
      <c r="W2187" s="2" t="str">
        <f t="shared" si="1052"/>
        <v/>
      </c>
      <c r="X2187" s="2">
        <f t="shared" si="1047"/>
        <v>0</v>
      </c>
      <c r="Y2187" s="2" t="str">
        <f t="shared" si="1053"/>
        <v/>
      </c>
      <c r="Z2187" s="2" t="str">
        <f t="shared" si="1054"/>
        <v/>
      </c>
      <c r="AA2187" s="2" t="str">
        <f t="shared" si="1055"/>
        <v/>
      </c>
      <c r="AB2187" s="2">
        <f t="shared" si="1048"/>
        <v>0</v>
      </c>
      <c r="AC2187" s="625">
        <v>0</v>
      </c>
      <c r="AD2187" s="625">
        <v>0</v>
      </c>
      <c r="AE2187" s="625">
        <v>0</v>
      </c>
      <c r="AF2187" s="625">
        <v>0</v>
      </c>
      <c r="AG2187" s="625">
        <v>0</v>
      </c>
      <c r="AH2187" s="625">
        <v>0</v>
      </c>
      <c r="AI2187" s="625">
        <v>0</v>
      </c>
      <c r="AJ2187" s="625">
        <v>0</v>
      </c>
      <c r="AK2187" s="625">
        <v>0</v>
      </c>
      <c r="AL2187" s="625">
        <v>0</v>
      </c>
      <c r="AM2187" s="625">
        <v>0</v>
      </c>
      <c r="AN2187" s="625">
        <v>0</v>
      </c>
      <c r="AO2187" s="625">
        <v>0</v>
      </c>
      <c r="AP2187" s="41" t="str">
        <f t="shared" si="1067"/>
        <v>Def TaxR</v>
      </c>
      <c r="AQ2187" s="41" t="str">
        <f t="shared" si="1068"/>
        <v>Def TaxRR11Merger Related</v>
      </c>
      <c r="AR2187" s="41" t="str">
        <f t="shared" si="1069"/>
        <v>R11Merger Related</v>
      </c>
    </row>
    <row r="2188" spans="1:44" s="41" customFormat="1" ht="12.75" customHeight="1">
      <c r="A2188" s="25" t="s">
        <v>1590</v>
      </c>
      <c r="B2188" s="25" t="str">
        <f t="shared" si="1061"/>
        <v>Def Tax283300283-014BTHUNGDT</v>
      </c>
      <c r="C2188" s="736">
        <v>283300</v>
      </c>
      <c r="D2188" s="735" t="s">
        <v>2275</v>
      </c>
      <c r="E2188" s="41" t="s">
        <v>1624</v>
      </c>
      <c r="F2188" s="41" t="str">
        <f t="shared" si="1056"/>
        <v>ACCUM DEF INC TAX-OTH-FEDERAL-ELECTRIC-NONOP</v>
      </c>
      <c r="G2188" s="41" t="s">
        <v>2276</v>
      </c>
      <c r="H2188" s="736" t="s">
        <v>1673</v>
      </c>
      <c r="I2188" s="25"/>
      <c r="J2188" s="25" t="str">
        <f t="shared" si="1060"/>
        <v/>
      </c>
      <c r="K2188" s="442" t="str">
        <f t="shared" si="1063"/>
        <v/>
      </c>
      <c r="L2188" s="736" t="s">
        <v>2443</v>
      </c>
      <c r="M2188" s="25" t="str">
        <f t="shared" si="1066"/>
        <v>R</v>
      </c>
      <c r="N2188" s="25" t="str">
        <f>IF(L2188&lt;&gt;"",VLOOKUP(L2188,Categories!$B$2:$D$41,2,FALSE),IF(F2188&lt;&gt;"","No Cat",""))</f>
        <v>Rate Base</v>
      </c>
      <c r="O2188" s="25" t="str">
        <f>IF($L2188&lt;&gt;"",VLOOKUP($L2188,Categories!$B$2:$D$41,3,FALSE),IF($F2188&lt;&gt;"","No Cat",""))</f>
        <v>Deferred Income Taxes</v>
      </c>
      <c r="P2188" s="736" t="s">
        <v>2482</v>
      </c>
      <c r="Q2188" s="25" t="str">
        <f>VLOOKUP($P2188,Allocators!$B$7:$F$19,5,FALSE)</f>
        <v>Electric</v>
      </c>
      <c r="R2188" s="737">
        <f>VLOOKUP($P2188,Allocators!$B$7:$F$19,2,FALSE)</f>
        <v>1</v>
      </c>
      <c r="S2188" s="737">
        <f>VLOOKUP($P2188,Allocators!$B$7:$F$19,3,FALSE)</f>
        <v>0</v>
      </c>
      <c r="T2188" s="737" t="str">
        <f t="shared" si="1062"/>
        <v>0.0%</v>
      </c>
      <c r="U2188" s="2" t="str">
        <f t="shared" si="1050"/>
        <v/>
      </c>
      <c r="V2188" s="2" t="str">
        <f t="shared" si="1051"/>
        <v/>
      </c>
      <c r="W2188" s="2" t="str">
        <f t="shared" si="1052"/>
        <v/>
      </c>
      <c r="X2188" s="2">
        <f t="shared" si="1047"/>
        <v>0</v>
      </c>
      <c r="Y2188" s="2" t="str">
        <f t="shared" si="1053"/>
        <v/>
      </c>
      <c r="Z2188" s="2" t="str">
        <f t="shared" si="1054"/>
        <v/>
      </c>
      <c r="AA2188" s="2" t="str">
        <f t="shared" si="1055"/>
        <v/>
      </c>
      <c r="AB2188" s="2">
        <f t="shared" si="1048"/>
        <v>0</v>
      </c>
      <c r="AC2188" s="625">
        <v>0</v>
      </c>
      <c r="AD2188" s="625">
        <v>0</v>
      </c>
      <c r="AE2188" s="625">
        <v>0</v>
      </c>
      <c r="AF2188" s="625">
        <v>0</v>
      </c>
      <c r="AG2188" s="625">
        <v>0</v>
      </c>
      <c r="AH2188" s="625">
        <v>0</v>
      </c>
      <c r="AI2188" s="625">
        <v>0</v>
      </c>
      <c r="AJ2188" s="625">
        <v>0</v>
      </c>
      <c r="AK2188" s="625">
        <v>0</v>
      </c>
      <c r="AL2188" s="625">
        <v>0</v>
      </c>
      <c r="AM2188" s="625">
        <v>0</v>
      </c>
      <c r="AN2188" s="625">
        <v>0</v>
      </c>
      <c r="AO2188" s="625">
        <v>0</v>
      </c>
      <c r="AP2188" s="41" t="str">
        <f t="shared" si="1067"/>
        <v>Def TaxR</v>
      </c>
      <c r="AQ2188" s="41" t="str">
        <f t="shared" si="1068"/>
        <v>Def TaxRR11Pension</v>
      </c>
      <c r="AR2188" s="41" t="str">
        <f t="shared" si="1069"/>
        <v>R11Pension</v>
      </c>
    </row>
    <row r="2189" spans="1:44" s="41" customFormat="1" ht="12.75" customHeight="1">
      <c r="A2189" s="25" t="s">
        <v>1590</v>
      </c>
      <c r="B2189" s="25" t="str">
        <f t="shared" si="1061"/>
        <v>Def Tax283300283-050BTHUNGDT</v>
      </c>
      <c r="C2189" s="736">
        <v>283300</v>
      </c>
      <c r="D2189" s="735" t="s">
        <v>2277</v>
      </c>
      <c r="E2189" s="41" t="s">
        <v>1624</v>
      </c>
      <c r="F2189" s="41" t="str">
        <f t="shared" si="1056"/>
        <v>ACCUM DEF INC TAX-OTH-FEDERAL-ELECTRIC-NONOP</v>
      </c>
      <c r="G2189" s="41" t="s">
        <v>2278</v>
      </c>
      <c r="H2189" s="736">
        <v>0</v>
      </c>
      <c r="I2189" s="25"/>
      <c r="J2189" s="25" t="str">
        <f t="shared" si="1060"/>
        <v/>
      </c>
      <c r="K2189" s="442" t="str">
        <f t="shared" si="1063"/>
        <v/>
      </c>
      <c r="L2189" s="736" t="s">
        <v>2443</v>
      </c>
      <c r="M2189" s="25" t="str">
        <f t="shared" si="1066"/>
        <v>R</v>
      </c>
      <c r="N2189" s="25" t="str">
        <f>IF(L2189&lt;&gt;"",VLOOKUP(L2189,Categories!$B$2:$D$41,2,FALSE),IF(F2189&lt;&gt;"","No Cat",""))</f>
        <v>Rate Base</v>
      </c>
      <c r="O2189" s="25" t="str">
        <f>IF($L2189&lt;&gt;"",VLOOKUP($L2189,Categories!$B$2:$D$41,3,FALSE),IF($F2189&lt;&gt;"","No Cat",""))</f>
        <v>Deferred Income Taxes</v>
      </c>
      <c r="P2189" s="736" t="s">
        <v>2482</v>
      </c>
      <c r="Q2189" s="25" t="str">
        <f>VLOOKUP($P2189,Allocators!$B$7:$F$19,5,FALSE)</f>
        <v>Electric</v>
      </c>
      <c r="R2189" s="737">
        <f>VLOOKUP($P2189,Allocators!$B$7:$F$19,2,FALSE)</f>
        <v>1</v>
      </c>
      <c r="S2189" s="737">
        <f>VLOOKUP($P2189,Allocators!$B$7:$F$19,3,FALSE)</f>
        <v>0</v>
      </c>
      <c r="T2189" s="737" t="str">
        <f t="shared" si="1062"/>
        <v>0.0%</v>
      </c>
      <c r="U2189" s="2" t="str">
        <f t="shared" si="1050"/>
        <v/>
      </c>
      <c r="V2189" s="2" t="str">
        <f t="shared" si="1051"/>
        <v/>
      </c>
      <c r="W2189" s="2" t="str">
        <f t="shared" si="1052"/>
        <v/>
      </c>
      <c r="X2189" s="2">
        <f t="shared" si="1047"/>
        <v>0</v>
      </c>
      <c r="Y2189" s="2" t="str">
        <f t="shared" si="1053"/>
        <v/>
      </c>
      <c r="Z2189" s="2" t="str">
        <f t="shared" si="1054"/>
        <v/>
      </c>
      <c r="AA2189" s="2" t="str">
        <f t="shared" si="1055"/>
        <v/>
      </c>
      <c r="AB2189" s="2">
        <f t="shared" si="1048"/>
        <v>0</v>
      </c>
      <c r="AC2189" s="625">
        <v>0</v>
      </c>
      <c r="AD2189" s="625">
        <v>0</v>
      </c>
      <c r="AE2189" s="625">
        <v>0</v>
      </c>
      <c r="AF2189" s="625">
        <v>0</v>
      </c>
      <c r="AG2189" s="625">
        <v>0</v>
      </c>
      <c r="AH2189" s="625">
        <v>0</v>
      </c>
      <c r="AI2189" s="625">
        <v>0</v>
      </c>
      <c r="AJ2189" s="625">
        <v>0</v>
      </c>
      <c r="AK2189" s="625">
        <v>0</v>
      </c>
      <c r="AL2189" s="625">
        <v>0</v>
      </c>
      <c r="AM2189" s="625">
        <v>0</v>
      </c>
      <c r="AN2189" s="625">
        <v>0</v>
      </c>
      <c r="AO2189" s="625">
        <v>0</v>
      </c>
      <c r="AP2189" s="41" t="str">
        <f t="shared" si="1067"/>
        <v>Def TaxR</v>
      </c>
      <c r="AQ2189" s="41" t="str">
        <f t="shared" si="1068"/>
        <v>Def TaxRR110</v>
      </c>
      <c r="AR2189" s="41" t="str">
        <f t="shared" si="1069"/>
        <v>R110</v>
      </c>
    </row>
    <row r="2190" spans="1:44" s="41" customFormat="1" ht="12.75" customHeight="1">
      <c r="A2190" s="25" t="s">
        <v>1590</v>
      </c>
      <c r="B2190" s="25" t="str">
        <f t="shared" si="1061"/>
        <v>Def Tax283300283-066</v>
      </c>
      <c r="C2190" s="736">
        <v>283300</v>
      </c>
      <c r="D2190" s="735" t="s">
        <v>2279</v>
      </c>
      <c r="F2190" s="41" t="str">
        <f t="shared" si="1056"/>
        <v>ACCUM DEF INC TAX-OTH-FEDERAL-ELECTRIC-NONOP</v>
      </c>
      <c r="G2190" s="41" t="s">
        <v>1811</v>
      </c>
      <c r="H2190" s="736" t="s">
        <v>1629</v>
      </c>
      <c r="I2190" s="25"/>
      <c r="J2190" s="25" t="str">
        <f t="shared" si="1060"/>
        <v/>
      </c>
      <c r="K2190" s="442" t="str">
        <f t="shared" si="1063"/>
        <v/>
      </c>
      <c r="L2190" s="736" t="s">
        <v>2443</v>
      </c>
      <c r="M2190" s="25" t="str">
        <f t="shared" si="1066"/>
        <v>R</v>
      </c>
      <c r="N2190" s="25" t="str">
        <f>IF(L2190&lt;&gt;"",VLOOKUP(L2190,Categories!$B$2:$D$41,2,FALSE),IF(F2190&lt;&gt;"","No Cat",""))</f>
        <v>Rate Base</v>
      </c>
      <c r="O2190" s="25" t="str">
        <f>IF($L2190&lt;&gt;"",VLOOKUP($L2190,Categories!$B$2:$D$41,3,FALSE),IF($F2190&lt;&gt;"","No Cat",""))</f>
        <v>Deferred Income Taxes</v>
      </c>
      <c r="P2190" s="736" t="s">
        <v>2482</v>
      </c>
      <c r="Q2190" s="25" t="str">
        <f>VLOOKUP($P2190,Allocators!$B$7:$F$19,5,FALSE)</f>
        <v>Electric</v>
      </c>
      <c r="R2190" s="737">
        <f>VLOOKUP($P2190,Allocators!$B$7:$F$19,2,FALSE)</f>
        <v>1</v>
      </c>
      <c r="S2190" s="737">
        <f>VLOOKUP($P2190,Allocators!$B$7:$F$19,3,FALSE)</f>
        <v>0</v>
      </c>
      <c r="T2190" s="737" t="str">
        <f t="shared" si="1062"/>
        <v>0.0%</v>
      </c>
      <c r="U2190" s="2">
        <f t="shared" si="1050"/>
        <v>1504.09521</v>
      </c>
      <c r="V2190" s="2">
        <f t="shared" si="1051"/>
        <v>0</v>
      </c>
      <c r="W2190" s="2">
        <f t="shared" si="1052"/>
        <v>0</v>
      </c>
      <c r="X2190" s="2">
        <f t="shared" si="1047"/>
        <v>1504.09521</v>
      </c>
      <c r="Y2190" s="2">
        <f t="shared" si="1053"/>
        <v>1504.09521</v>
      </c>
      <c r="Z2190" s="2">
        <f t="shared" si="1054"/>
        <v>0</v>
      </c>
      <c r="AA2190" s="2">
        <f t="shared" si="1055"/>
        <v>0</v>
      </c>
      <c r="AB2190" s="2">
        <f t="shared" si="1048"/>
        <v>1504.09521</v>
      </c>
      <c r="AC2190" s="625">
        <v>1504.09521</v>
      </c>
      <c r="AD2190" s="625">
        <v>1504.09521</v>
      </c>
      <c r="AE2190" s="625">
        <v>1504.09521</v>
      </c>
      <c r="AF2190" s="625">
        <v>1504.09521</v>
      </c>
      <c r="AG2190" s="625">
        <v>1504.09521</v>
      </c>
      <c r="AH2190" s="625">
        <v>1504.09521</v>
      </c>
      <c r="AI2190" s="625">
        <v>1504.09521</v>
      </c>
      <c r="AJ2190" s="625">
        <v>1504.09521</v>
      </c>
      <c r="AK2190" s="625">
        <v>1504.09521</v>
      </c>
      <c r="AL2190" s="625">
        <v>1504.09521</v>
      </c>
      <c r="AM2190" s="625">
        <v>1504.09521</v>
      </c>
      <c r="AN2190" s="625">
        <v>1504.09521</v>
      </c>
      <c r="AO2190" s="625">
        <v>1504.09521</v>
      </c>
      <c r="AP2190" s="41" t="str">
        <f t="shared" si="1067"/>
        <v>Def TaxR</v>
      </c>
      <c r="AQ2190" s="41" t="str">
        <f t="shared" si="1068"/>
        <v>Def TaxRR11Merger Related</v>
      </c>
      <c r="AR2190" s="41" t="str">
        <f t="shared" si="1069"/>
        <v>R11Merger Related</v>
      </c>
    </row>
    <row r="2191" spans="1:44" s="41" customFormat="1" ht="12.75" customHeight="1">
      <c r="A2191" s="442" t="s">
        <v>1590</v>
      </c>
      <c r="B2191" s="442" t="str">
        <f t="shared" si="1061"/>
        <v>Def Tax283300283-047BTHUNGDT</v>
      </c>
      <c r="C2191" s="736">
        <v>283300</v>
      </c>
      <c r="D2191" s="735" t="s">
        <v>2280</v>
      </c>
      <c r="E2191" s="626" t="s">
        <v>1624</v>
      </c>
      <c r="F2191" s="626" t="str">
        <f t="shared" si="1056"/>
        <v>ACCUM DEF INC TAX-OTH-FEDERAL-ELECTRIC-NONOP</v>
      </c>
      <c r="G2191" s="626" t="s">
        <v>2281</v>
      </c>
      <c r="H2191" s="736" t="s">
        <v>2880</v>
      </c>
      <c r="I2191" s="442"/>
      <c r="J2191" s="442" t="str">
        <f t="shared" si="1060"/>
        <v/>
      </c>
      <c r="K2191" s="442" t="str">
        <f t="shared" si="1063"/>
        <v/>
      </c>
      <c r="L2191" s="736" t="s">
        <v>2421</v>
      </c>
      <c r="M2191" s="442" t="str">
        <f t="shared" si="1066"/>
        <v>N</v>
      </c>
      <c r="N2191" s="442" t="str">
        <f>IF(L2191&lt;&gt;"",VLOOKUP(L2191,Categories!$B$2:$D$41,2,FALSE),IF(F2191&lt;&gt;"","No Cat",""))</f>
        <v>NRBASE</v>
      </c>
      <c r="O2191" s="442" t="str">
        <f>IF($L2191&lt;&gt;"",VLOOKUP($L2191,Categories!$B$2:$D$41,3,FALSE),IF($F2191&lt;&gt;"","No Cat",""))</f>
        <v>Direct Assign Items Not in RB</v>
      </c>
      <c r="P2191" s="736" t="s">
        <v>2468</v>
      </c>
      <c r="Q2191" s="442" t="str">
        <f>VLOOKUP($P2191,Allocators!$B$7:$F$19,5,FALSE)</f>
        <v>Not in Rate Base</v>
      </c>
      <c r="R2191" s="737">
        <f>VLOOKUP($P2191,Allocators!$B$7:$F$19,2,FALSE)</f>
        <v>0</v>
      </c>
      <c r="S2191" s="737">
        <f>VLOOKUP($P2191,Allocators!$B$7:$F$19,3,FALSE)</f>
        <v>0</v>
      </c>
      <c r="T2191" s="737">
        <f t="shared" si="1062"/>
        <v>1</v>
      </c>
      <c r="U2191" s="2" t="str">
        <f t="shared" si="1050"/>
        <v/>
      </c>
      <c r="V2191" s="2" t="str">
        <f t="shared" si="1051"/>
        <v/>
      </c>
      <c r="W2191" s="2" t="str">
        <f t="shared" si="1052"/>
        <v/>
      </c>
      <c r="X2191" s="2">
        <f t="shared" si="1047"/>
        <v>0</v>
      </c>
      <c r="Y2191" s="2" t="str">
        <f t="shared" si="1053"/>
        <v/>
      </c>
      <c r="Z2191" s="2" t="str">
        <f t="shared" si="1054"/>
        <v/>
      </c>
      <c r="AA2191" s="2" t="str">
        <f t="shared" si="1055"/>
        <v/>
      </c>
      <c r="AB2191" s="2">
        <f t="shared" si="1048"/>
        <v>0</v>
      </c>
      <c r="AC2191" s="625">
        <v>0</v>
      </c>
      <c r="AD2191" s="625">
        <v>0</v>
      </c>
      <c r="AE2191" s="625">
        <v>0</v>
      </c>
      <c r="AF2191" s="625">
        <v>0</v>
      </c>
      <c r="AG2191" s="625">
        <v>0</v>
      </c>
      <c r="AH2191" s="625">
        <v>0</v>
      </c>
      <c r="AI2191" s="625">
        <v>0</v>
      </c>
      <c r="AJ2191" s="625">
        <v>0</v>
      </c>
      <c r="AK2191" s="625">
        <v>0</v>
      </c>
      <c r="AL2191" s="625">
        <v>0</v>
      </c>
      <c r="AM2191" s="625">
        <v>0</v>
      </c>
      <c r="AN2191" s="625">
        <v>0</v>
      </c>
      <c r="AO2191" s="625">
        <v>0</v>
      </c>
      <c r="AP2191" s="41" t="str">
        <f t="shared" si="1067"/>
        <v>Def TaxN</v>
      </c>
      <c r="AQ2191" s="41" t="str">
        <f t="shared" si="1068"/>
        <v>Def TaxNN2Hung Deferred Taxes</v>
      </c>
      <c r="AR2191" s="41" t="str">
        <f t="shared" si="1069"/>
        <v>N2Hung Deferred Taxes</v>
      </c>
    </row>
    <row r="2192" spans="1:44" s="41" customFormat="1" ht="12.75" customHeight="1">
      <c r="A2192" s="25" t="s">
        <v>1590</v>
      </c>
      <c r="B2192" s="25" t="str">
        <f t="shared" si="1061"/>
        <v>Def Tax283300283-065</v>
      </c>
      <c r="C2192" s="736">
        <v>283300</v>
      </c>
      <c r="D2192" s="735" t="s">
        <v>2282</v>
      </c>
      <c r="F2192" s="41" t="str">
        <f t="shared" si="1056"/>
        <v>ACCUM DEF INC TAX-OTH-FEDERAL-ELECTRIC-NONOP</v>
      </c>
      <c r="G2192" s="41" t="s">
        <v>2283</v>
      </c>
      <c r="H2192" s="736" t="s">
        <v>1629</v>
      </c>
      <c r="I2192" s="25"/>
      <c r="J2192" s="25" t="str">
        <f t="shared" si="1060"/>
        <v/>
      </c>
      <c r="K2192" s="442" t="str">
        <f t="shared" si="1063"/>
        <v/>
      </c>
      <c r="L2192" s="736" t="s">
        <v>2443</v>
      </c>
      <c r="M2192" s="25" t="str">
        <f t="shared" si="1066"/>
        <v>R</v>
      </c>
      <c r="N2192" s="25" t="str">
        <f>IF(L2192&lt;&gt;"",VLOOKUP(L2192,Categories!$B$2:$D$41,2,FALSE),IF(F2192&lt;&gt;"","No Cat",""))</f>
        <v>Rate Base</v>
      </c>
      <c r="O2192" s="25" t="str">
        <f>IF($L2192&lt;&gt;"",VLOOKUP($L2192,Categories!$B$2:$D$41,3,FALSE),IF($F2192&lt;&gt;"","No Cat",""))</f>
        <v>Deferred Income Taxes</v>
      </c>
      <c r="P2192" s="736" t="s">
        <v>2482</v>
      </c>
      <c r="Q2192" s="25" t="str">
        <f>VLOOKUP($P2192,Allocators!$B$7:$F$19,5,FALSE)</f>
        <v>Electric</v>
      </c>
      <c r="R2192" s="737">
        <f>VLOOKUP($P2192,Allocators!$B$7:$F$19,2,FALSE)</f>
        <v>1</v>
      </c>
      <c r="S2192" s="737">
        <f>VLOOKUP($P2192,Allocators!$B$7:$F$19,3,FALSE)</f>
        <v>0</v>
      </c>
      <c r="T2192" s="737" t="str">
        <f t="shared" si="1062"/>
        <v>0.0%</v>
      </c>
      <c r="U2192" s="2" t="str">
        <f t="shared" si="1050"/>
        <v/>
      </c>
      <c r="V2192" s="2" t="str">
        <f t="shared" si="1051"/>
        <v/>
      </c>
      <c r="W2192" s="2" t="str">
        <f t="shared" si="1052"/>
        <v/>
      </c>
      <c r="X2192" s="2">
        <f t="shared" si="1047"/>
        <v>0</v>
      </c>
      <c r="Y2192" s="2" t="str">
        <f t="shared" si="1053"/>
        <v/>
      </c>
      <c r="Z2192" s="2" t="str">
        <f t="shared" si="1054"/>
        <v/>
      </c>
      <c r="AA2192" s="2" t="str">
        <f t="shared" si="1055"/>
        <v/>
      </c>
      <c r="AB2192" s="2">
        <f t="shared" si="1048"/>
        <v>0</v>
      </c>
      <c r="AC2192" s="625">
        <v>0</v>
      </c>
      <c r="AD2192" s="625">
        <v>0</v>
      </c>
      <c r="AE2192" s="625">
        <v>0</v>
      </c>
      <c r="AF2192" s="625">
        <v>0</v>
      </c>
      <c r="AG2192" s="625">
        <v>0</v>
      </c>
      <c r="AH2192" s="625">
        <v>0</v>
      </c>
      <c r="AI2192" s="625">
        <v>0</v>
      </c>
      <c r="AJ2192" s="625">
        <v>0</v>
      </c>
      <c r="AK2192" s="625">
        <v>0</v>
      </c>
      <c r="AL2192" s="625">
        <v>0</v>
      </c>
      <c r="AM2192" s="625">
        <v>0</v>
      </c>
      <c r="AN2192" s="625">
        <v>0</v>
      </c>
      <c r="AO2192" s="625">
        <v>0</v>
      </c>
      <c r="AP2192" s="41" t="str">
        <f t="shared" si="1067"/>
        <v>Def TaxR</v>
      </c>
      <c r="AQ2192" s="41" t="str">
        <f t="shared" si="1068"/>
        <v>Def TaxRR11Merger Related</v>
      </c>
      <c r="AR2192" s="41" t="str">
        <f t="shared" si="1069"/>
        <v>R11Merger Related</v>
      </c>
    </row>
    <row r="2193" spans="1:44" s="41" customFormat="1" ht="12.75" customHeight="1">
      <c r="A2193" s="25" t="s">
        <v>1590</v>
      </c>
      <c r="B2193" s="25" t="str">
        <f t="shared" ref="B2193" si="1070">CONCATENATE(A2193,C2193,D2193,E2193)</f>
        <v>Def Tax283300283-050BTHUNGDT</v>
      </c>
      <c r="C2193" s="736">
        <v>283300</v>
      </c>
      <c r="D2193" s="735" t="s">
        <v>2277</v>
      </c>
      <c r="E2193" s="41" t="s">
        <v>1624</v>
      </c>
      <c r="F2193" s="41" t="str">
        <f t="shared" si="1056"/>
        <v>ACCUM DEF INC TAX-OTH-FEDERAL-ELECTRIC-NONOP</v>
      </c>
      <c r="G2193" s="41" t="s">
        <v>4272</v>
      </c>
      <c r="H2193" s="736" t="s">
        <v>1946</v>
      </c>
      <c r="I2193" s="25"/>
      <c r="J2193" s="25" t="str">
        <f t="shared" si="1060"/>
        <v/>
      </c>
      <c r="K2193" s="442" t="str">
        <f t="shared" si="1063"/>
        <v/>
      </c>
      <c r="L2193" s="736" t="s">
        <v>2443</v>
      </c>
      <c r="M2193" s="25" t="str">
        <f t="shared" si="1066"/>
        <v>R</v>
      </c>
      <c r="N2193" s="25" t="str">
        <f>IF(L2193&lt;&gt;"",VLOOKUP(L2193,Categories!$B$2:$D$41,2,FALSE),IF(F2193&lt;&gt;"","No Cat",""))</f>
        <v>Rate Base</v>
      </c>
      <c r="O2193" s="25" t="str">
        <f>IF($L2193&lt;&gt;"",VLOOKUP($L2193,Categories!$B$2:$D$41,3,FALSE),IF($F2193&lt;&gt;"","No Cat",""))</f>
        <v>Deferred Income Taxes</v>
      </c>
      <c r="P2193" s="736" t="s">
        <v>2482</v>
      </c>
      <c r="Q2193" s="25" t="str">
        <f>VLOOKUP($P2193,Allocators!$B$7:$F$19,5,FALSE)</f>
        <v>Electric</v>
      </c>
      <c r="R2193" s="737">
        <f>VLOOKUP($P2193,Allocators!$B$7:$F$19,2,FALSE)</f>
        <v>1</v>
      </c>
      <c r="S2193" s="737">
        <f>VLOOKUP($P2193,Allocators!$B$7:$F$19,3,FALSE)</f>
        <v>0</v>
      </c>
      <c r="T2193" s="737" t="str">
        <f t="shared" si="1062"/>
        <v>0.0%</v>
      </c>
      <c r="U2193" s="2">
        <f t="shared" si="1050"/>
        <v>0.156</v>
      </c>
      <c r="V2193" s="2">
        <f t="shared" si="1051"/>
        <v>0</v>
      </c>
      <c r="W2193" s="2">
        <f t="shared" si="1052"/>
        <v>0</v>
      </c>
      <c r="X2193" s="2">
        <f t="shared" si="1047"/>
        <v>0.156</v>
      </c>
      <c r="Y2193" s="2">
        <f t="shared" si="1053"/>
        <v>0.156</v>
      </c>
      <c r="Z2193" s="2">
        <f t="shared" si="1054"/>
        <v>0</v>
      </c>
      <c r="AA2193" s="2">
        <f t="shared" si="1055"/>
        <v>0</v>
      </c>
      <c r="AB2193" s="2">
        <f t="shared" si="1048"/>
        <v>0.156</v>
      </c>
      <c r="AC2193" s="625">
        <v>0.156</v>
      </c>
      <c r="AD2193" s="625">
        <v>0.156</v>
      </c>
      <c r="AE2193" s="625">
        <v>0.156</v>
      </c>
      <c r="AF2193" s="625">
        <v>0.156</v>
      </c>
      <c r="AG2193" s="625">
        <v>0.156</v>
      </c>
      <c r="AH2193" s="625">
        <v>0.156</v>
      </c>
      <c r="AI2193" s="625">
        <v>0.156</v>
      </c>
      <c r="AJ2193" s="625">
        <v>0.156</v>
      </c>
      <c r="AK2193" s="625">
        <v>0.156</v>
      </c>
      <c r="AL2193" s="625">
        <v>0.156</v>
      </c>
      <c r="AM2193" s="625">
        <v>0.156</v>
      </c>
      <c r="AN2193" s="625">
        <v>0.156</v>
      </c>
      <c r="AO2193" s="625">
        <v>0.156</v>
      </c>
      <c r="AP2193" s="41" t="str">
        <f t="shared" si="1067"/>
        <v>Def TaxR</v>
      </c>
      <c r="AQ2193" s="41" t="str">
        <f t="shared" si="1068"/>
        <v>Def TaxRR11NM2 Related</v>
      </c>
      <c r="AR2193" s="41" t="str">
        <f t="shared" si="1069"/>
        <v>R11NM2 Related</v>
      </c>
    </row>
    <row r="2194" spans="1:44" s="41" customFormat="1" ht="12.75" customHeight="1">
      <c r="A2194" s="25" t="s">
        <v>1590</v>
      </c>
      <c r="B2194" s="25" t="str">
        <f t="shared" si="1061"/>
        <v>Def Tax283300283-066/
283-065BT010196</v>
      </c>
      <c r="C2194" s="736">
        <v>283300</v>
      </c>
      <c r="D2194" s="735" t="s">
        <v>2284</v>
      </c>
      <c r="E2194" s="41" t="s">
        <v>1810</v>
      </c>
      <c r="F2194" s="41" t="str">
        <f t="shared" si="1056"/>
        <v>ACCUM DEF INC TAX-OTH-FEDERAL-ELECTRIC-NONOP</v>
      </c>
      <c r="G2194" s="41" t="s">
        <v>2285</v>
      </c>
      <c r="H2194" s="736" t="s">
        <v>1629</v>
      </c>
      <c r="I2194" s="25"/>
      <c r="J2194" s="25" t="str">
        <f t="shared" si="1060"/>
        <v/>
      </c>
      <c r="K2194" s="442" t="str">
        <f t="shared" si="1063"/>
        <v/>
      </c>
      <c r="L2194" s="736" t="s">
        <v>2443</v>
      </c>
      <c r="M2194" s="25" t="str">
        <f t="shared" si="1066"/>
        <v>R</v>
      </c>
      <c r="N2194" s="25" t="str">
        <f>IF(L2194&lt;&gt;"",VLOOKUP(L2194,Categories!$B$2:$D$41,2,FALSE),IF(F2194&lt;&gt;"","No Cat",""))</f>
        <v>Rate Base</v>
      </c>
      <c r="O2194" s="25" t="str">
        <f>IF($L2194&lt;&gt;"",VLOOKUP($L2194,Categories!$B$2:$D$41,3,FALSE),IF($F2194&lt;&gt;"","No Cat",""))</f>
        <v>Deferred Income Taxes</v>
      </c>
      <c r="P2194" s="736" t="s">
        <v>2482</v>
      </c>
      <c r="Q2194" s="25" t="str">
        <f>VLOOKUP($P2194,Allocators!$B$7:$F$19,5,FALSE)</f>
        <v>Electric</v>
      </c>
      <c r="R2194" s="737">
        <f>VLOOKUP($P2194,Allocators!$B$7:$F$19,2,FALSE)</f>
        <v>1</v>
      </c>
      <c r="S2194" s="737">
        <f>VLOOKUP($P2194,Allocators!$B$7:$F$19,3,FALSE)</f>
        <v>0</v>
      </c>
      <c r="T2194" s="737" t="str">
        <f t="shared" si="1062"/>
        <v>0.0%</v>
      </c>
      <c r="U2194" s="2" t="str">
        <f t="shared" si="1050"/>
        <v/>
      </c>
      <c r="V2194" s="2" t="str">
        <f t="shared" si="1051"/>
        <v/>
      </c>
      <c r="W2194" s="2" t="str">
        <f t="shared" si="1052"/>
        <v/>
      </c>
      <c r="X2194" s="2">
        <f t="shared" ref="X2194:X2257" si="1071">IF(ISERROR(ROUND((SUM(AC2194:AO2194)-((AC2194+AO2194))/2)/12,15)),"",ROUND((SUM(AC2194:AO2194)-((AC2194+AO2194))/2)/12,15))</f>
        <v>0</v>
      </c>
      <c r="Y2194" s="2" t="str">
        <f t="shared" si="1053"/>
        <v/>
      </c>
      <c r="Z2194" s="2" t="str">
        <f t="shared" si="1054"/>
        <v/>
      </c>
      <c r="AA2194" s="2" t="str">
        <f t="shared" si="1055"/>
        <v/>
      </c>
      <c r="AB2194" s="2">
        <f t="shared" ref="AB2194:AB2257" si="1072">IF(AO2194="",0,+AO2194)</f>
        <v>0</v>
      </c>
      <c r="AC2194" s="625">
        <v>0</v>
      </c>
      <c r="AD2194" s="625">
        <v>0</v>
      </c>
      <c r="AE2194" s="625">
        <v>0</v>
      </c>
      <c r="AF2194" s="625">
        <v>0</v>
      </c>
      <c r="AG2194" s="625">
        <v>0</v>
      </c>
      <c r="AH2194" s="625">
        <v>0</v>
      </c>
      <c r="AI2194" s="625">
        <v>0</v>
      </c>
      <c r="AJ2194" s="625">
        <v>0</v>
      </c>
      <c r="AK2194" s="625">
        <v>0</v>
      </c>
      <c r="AL2194" s="625">
        <v>0</v>
      </c>
      <c r="AM2194" s="625">
        <v>0</v>
      </c>
      <c r="AN2194" s="625">
        <v>0</v>
      </c>
      <c r="AO2194" s="625">
        <v>0</v>
      </c>
      <c r="AP2194" s="41" t="str">
        <f t="shared" si="1067"/>
        <v>Def TaxR</v>
      </c>
      <c r="AQ2194" s="41" t="str">
        <f t="shared" si="1068"/>
        <v>Def TaxRR11Merger Related</v>
      </c>
      <c r="AR2194" s="41" t="str">
        <f t="shared" si="1069"/>
        <v>R11Merger Related</v>
      </c>
    </row>
    <row r="2195" spans="1:44" s="41" customFormat="1" ht="12.75" customHeight="1">
      <c r="A2195" s="25" t="s">
        <v>1590</v>
      </c>
      <c r="B2195" s="25" t="str">
        <f t="shared" si="1061"/>
        <v>Def Tax283310283-059BTHUNGDT</v>
      </c>
      <c r="C2195" s="736">
        <v>283310</v>
      </c>
      <c r="D2195" s="735" t="s">
        <v>2266</v>
      </c>
      <c r="E2195" s="41" t="s">
        <v>1624</v>
      </c>
      <c r="F2195" s="41" t="str">
        <f t="shared" si="1056"/>
        <v>ACCUM DEF INC TAX-OTH-FEDERAL-GAS-NONOP</v>
      </c>
      <c r="G2195" s="41" t="s">
        <v>1790</v>
      </c>
      <c r="H2195" s="736">
        <v>0</v>
      </c>
      <c r="I2195" s="25"/>
      <c r="J2195" s="25" t="str">
        <f t="shared" si="1060"/>
        <v/>
      </c>
      <c r="K2195" s="442" t="str">
        <f t="shared" si="1063"/>
        <v/>
      </c>
      <c r="L2195" s="736" t="s">
        <v>2443</v>
      </c>
      <c r="M2195" s="25" t="str">
        <f t="shared" si="1066"/>
        <v>R</v>
      </c>
      <c r="N2195" s="25" t="str">
        <f>IF(L2195&lt;&gt;"",VLOOKUP(L2195,Categories!$B$2:$D$41,2,FALSE),IF(F2195&lt;&gt;"","No Cat",""))</f>
        <v>Rate Base</v>
      </c>
      <c r="O2195" s="25" t="str">
        <f>IF($L2195&lt;&gt;"",VLOOKUP($L2195,Categories!$B$2:$D$41,3,FALSE),IF($F2195&lt;&gt;"","No Cat",""))</f>
        <v>Deferred Income Taxes</v>
      </c>
      <c r="P2195" s="736" t="s">
        <v>2483</v>
      </c>
      <c r="Q2195" s="25" t="str">
        <f>VLOOKUP($P2195,Allocators!$B$7:$F$19,5,FALSE)</f>
        <v>Gas</v>
      </c>
      <c r="R2195" s="737">
        <f>VLOOKUP($P2195,Allocators!$B$7:$F$19,2,FALSE)</f>
        <v>0</v>
      </c>
      <c r="S2195" s="737">
        <f>VLOOKUP($P2195,Allocators!$B$7:$F$19,3,FALSE)</f>
        <v>1</v>
      </c>
      <c r="T2195" s="737" t="str">
        <f t="shared" si="1062"/>
        <v>0.0%</v>
      </c>
      <c r="U2195" s="2" t="str">
        <f t="shared" si="1050"/>
        <v/>
      </c>
      <c r="V2195" s="2" t="str">
        <f t="shared" si="1051"/>
        <v/>
      </c>
      <c r="W2195" s="2" t="str">
        <f t="shared" si="1052"/>
        <v/>
      </c>
      <c r="X2195" s="2">
        <f t="shared" si="1071"/>
        <v>0</v>
      </c>
      <c r="Y2195" s="2" t="str">
        <f t="shared" si="1053"/>
        <v/>
      </c>
      <c r="Z2195" s="2" t="str">
        <f t="shared" si="1054"/>
        <v/>
      </c>
      <c r="AA2195" s="2" t="str">
        <f t="shared" si="1055"/>
        <v/>
      </c>
      <c r="AB2195" s="2">
        <f t="shared" si="1072"/>
        <v>0</v>
      </c>
      <c r="AC2195" s="625">
        <v>0</v>
      </c>
      <c r="AD2195" s="625">
        <v>0</v>
      </c>
      <c r="AE2195" s="625">
        <v>0</v>
      </c>
      <c r="AF2195" s="625">
        <v>0</v>
      </c>
      <c r="AG2195" s="625">
        <v>0</v>
      </c>
      <c r="AH2195" s="625">
        <v>0</v>
      </c>
      <c r="AI2195" s="625">
        <v>0</v>
      </c>
      <c r="AJ2195" s="625">
        <v>0</v>
      </c>
      <c r="AK2195" s="625">
        <v>0</v>
      </c>
      <c r="AL2195" s="625">
        <v>0</v>
      </c>
      <c r="AM2195" s="625">
        <v>0</v>
      </c>
      <c r="AN2195" s="625">
        <v>0</v>
      </c>
      <c r="AO2195" s="625">
        <v>0</v>
      </c>
      <c r="AP2195" s="41" t="str">
        <f t="shared" si="1067"/>
        <v>Def TaxR</v>
      </c>
      <c r="AQ2195" s="41" t="str">
        <f t="shared" si="1068"/>
        <v>Def TaxRR110</v>
      </c>
      <c r="AR2195" s="41" t="str">
        <f t="shared" si="1069"/>
        <v>R110</v>
      </c>
    </row>
    <row r="2196" spans="1:44" s="41" customFormat="1" ht="12.75" customHeight="1">
      <c r="A2196" s="442" t="s">
        <v>1590</v>
      </c>
      <c r="B2196" s="442" t="str">
        <f t="shared" si="1061"/>
        <v>Def Tax283310283-035BTHUNGDT</v>
      </c>
      <c r="C2196" s="736">
        <v>283310</v>
      </c>
      <c r="D2196" s="735" t="s">
        <v>2150</v>
      </c>
      <c r="E2196" s="626" t="s">
        <v>1624</v>
      </c>
      <c r="F2196" s="626" t="str">
        <f t="shared" si="1056"/>
        <v>ACCUM DEF INC TAX-OTH-FEDERAL-GAS-NONOP</v>
      </c>
      <c r="G2196" s="626" t="s">
        <v>2151</v>
      </c>
      <c r="H2196" s="736" t="s">
        <v>2880</v>
      </c>
      <c r="I2196" s="442"/>
      <c r="J2196" s="442" t="str">
        <f t="shared" si="1060"/>
        <v/>
      </c>
      <c r="K2196" s="442" t="str">
        <f t="shared" si="1063"/>
        <v/>
      </c>
      <c r="L2196" s="736" t="s">
        <v>2421</v>
      </c>
      <c r="M2196" s="442" t="str">
        <f t="shared" si="1066"/>
        <v>N</v>
      </c>
      <c r="N2196" s="442" t="str">
        <f>IF(L2196&lt;&gt;"",VLOOKUP(L2196,Categories!$B$2:$D$41,2,FALSE),IF(F2196&lt;&gt;"","No Cat",""))</f>
        <v>NRBASE</v>
      </c>
      <c r="O2196" s="442" t="str">
        <f>IF($L2196&lt;&gt;"",VLOOKUP($L2196,Categories!$B$2:$D$41,3,FALSE),IF($F2196&lt;&gt;"","No Cat",""))</f>
        <v>Direct Assign Items Not in RB</v>
      </c>
      <c r="P2196" s="736" t="s">
        <v>2468</v>
      </c>
      <c r="Q2196" s="442" t="str">
        <f>VLOOKUP($P2196,Allocators!$B$7:$F$19,5,FALSE)</f>
        <v>Not in Rate Base</v>
      </c>
      <c r="R2196" s="737">
        <f>VLOOKUP($P2196,Allocators!$B$7:$F$19,2,FALSE)</f>
        <v>0</v>
      </c>
      <c r="S2196" s="737">
        <f>VLOOKUP($P2196,Allocators!$B$7:$F$19,3,FALSE)</f>
        <v>0</v>
      </c>
      <c r="T2196" s="737">
        <f t="shared" si="1062"/>
        <v>1</v>
      </c>
      <c r="U2196" s="2" t="str">
        <f t="shared" si="1050"/>
        <v/>
      </c>
      <c r="V2196" s="2" t="str">
        <f t="shared" si="1051"/>
        <v/>
      </c>
      <c r="W2196" s="2" t="str">
        <f t="shared" si="1052"/>
        <v/>
      </c>
      <c r="X2196" s="2">
        <f t="shared" si="1071"/>
        <v>0</v>
      </c>
      <c r="Y2196" s="2" t="str">
        <f t="shared" si="1053"/>
        <v/>
      </c>
      <c r="Z2196" s="2" t="str">
        <f t="shared" si="1054"/>
        <v/>
      </c>
      <c r="AA2196" s="2" t="str">
        <f t="shared" si="1055"/>
        <v/>
      </c>
      <c r="AB2196" s="2">
        <f t="shared" si="1072"/>
        <v>0</v>
      </c>
      <c r="AC2196" s="625">
        <v>0</v>
      </c>
      <c r="AD2196" s="625">
        <v>0</v>
      </c>
      <c r="AE2196" s="625">
        <v>0</v>
      </c>
      <c r="AF2196" s="625">
        <v>0</v>
      </c>
      <c r="AG2196" s="625">
        <v>0</v>
      </c>
      <c r="AH2196" s="625">
        <v>0</v>
      </c>
      <c r="AI2196" s="625">
        <v>0</v>
      </c>
      <c r="AJ2196" s="625">
        <v>0</v>
      </c>
      <c r="AK2196" s="625">
        <v>0</v>
      </c>
      <c r="AL2196" s="625">
        <v>0</v>
      </c>
      <c r="AM2196" s="625">
        <v>0</v>
      </c>
      <c r="AN2196" s="625">
        <v>0</v>
      </c>
      <c r="AO2196" s="625">
        <v>0</v>
      </c>
      <c r="AP2196" s="41" t="str">
        <f t="shared" si="1067"/>
        <v>Def TaxN</v>
      </c>
      <c r="AQ2196" s="41" t="str">
        <f t="shared" si="1068"/>
        <v>Def TaxNN2Hung Deferred Taxes</v>
      </c>
      <c r="AR2196" s="41" t="str">
        <f t="shared" si="1069"/>
        <v>N2Hung Deferred Taxes</v>
      </c>
    </row>
    <row r="2197" spans="1:44" s="41" customFormat="1" ht="12.75" customHeight="1">
      <c r="A2197" s="442" t="s">
        <v>1590</v>
      </c>
      <c r="B2197" s="442" t="str">
        <f t="shared" si="1061"/>
        <v>Def Tax283310283-004BTHUNGDT</v>
      </c>
      <c r="C2197" s="736">
        <v>283310</v>
      </c>
      <c r="D2197" s="735" t="s">
        <v>2267</v>
      </c>
      <c r="E2197" s="626" t="s">
        <v>1624</v>
      </c>
      <c r="F2197" s="626" t="str">
        <f t="shared" si="1056"/>
        <v>ACCUM DEF INC TAX-OTH-FEDERAL-GAS-NONOP</v>
      </c>
      <c r="G2197" s="626" t="s">
        <v>2268</v>
      </c>
      <c r="H2197" s="736" t="s">
        <v>2880</v>
      </c>
      <c r="I2197" s="442"/>
      <c r="J2197" s="442" t="str">
        <f t="shared" si="1060"/>
        <v/>
      </c>
      <c r="K2197" s="442" t="str">
        <f t="shared" si="1063"/>
        <v/>
      </c>
      <c r="L2197" s="736" t="s">
        <v>2421</v>
      </c>
      <c r="M2197" s="442" t="str">
        <f t="shared" si="1066"/>
        <v>N</v>
      </c>
      <c r="N2197" s="442" t="str">
        <f>IF(L2197&lt;&gt;"",VLOOKUP(L2197,Categories!$B$2:$D$41,2,FALSE),IF(F2197&lt;&gt;"","No Cat",""))</f>
        <v>NRBASE</v>
      </c>
      <c r="O2197" s="442" t="str">
        <f>IF($L2197&lt;&gt;"",VLOOKUP($L2197,Categories!$B$2:$D$41,3,FALSE),IF($F2197&lt;&gt;"","No Cat",""))</f>
        <v>Direct Assign Items Not in RB</v>
      </c>
      <c r="P2197" s="736" t="s">
        <v>2468</v>
      </c>
      <c r="Q2197" s="442" t="str">
        <f>VLOOKUP($P2197,Allocators!$B$7:$F$19,5,FALSE)</f>
        <v>Not in Rate Base</v>
      </c>
      <c r="R2197" s="737">
        <f>VLOOKUP($P2197,Allocators!$B$7:$F$19,2,FALSE)</f>
        <v>0</v>
      </c>
      <c r="S2197" s="737">
        <f>VLOOKUP($P2197,Allocators!$B$7:$F$19,3,FALSE)</f>
        <v>0</v>
      </c>
      <c r="T2197" s="737">
        <f t="shared" si="1062"/>
        <v>1</v>
      </c>
      <c r="U2197" s="2" t="str">
        <f t="shared" si="1050"/>
        <v/>
      </c>
      <c r="V2197" s="2" t="str">
        <f t="shared" si="1051"/>
        <v/>
      </c>
      <c r="W2197" s="2" t="str">
        <f t="shared" si="1052"/>
        <v/>
      </c>
      <c r="X2197" s="2">
        <f t="shared" si="1071"/>
        <v>0</v>
      </c>
      <c r="Y2197" s="2" t="str">
        <f t="shared" si="1053"/>
        <v/>
      </c>
      <c r="Z2197" s="2" t="str">
        <f t="shared" si="1054"/>
        <v/>
      </c>
      <c r="AA2197" s="2" t="str">
        <f t="shared" si="1055"/>
        <v/>
      </c>
      <c r="AB2197" s="2">
        <f t="shared" si="1072"/>
        <v>0</v>
      </c>
      <c r="AC2197" s="625">
        <v>0</v>
      </c>
      <c r="AD2197" s="625">
        <v>0</v>
      </c>
      <c r="AE2197" s="625">
        <v>0</v>
      </c>
      <c r="AF2197" s="625">
        <v>0</v>
      </c>
      <c r="AG2197" s="625">
        <v>0</v>
      </c>
      <c r="AH2197" s="625">
        <v>0</v>
      </c>
      <c r="AI2197" s="625">
        <v>0</v>
      </c>
      <c r="AJ2197" s="625">
        <v>0</v>
      </c>
      <c r="AK2197" s="625">
        <v>0</v>
      </c>
      <c r="AL2197" s="625">
        <v>0</v>
      </c>
      <c r="AM2197" s="625">
        <v>0</v>
      </c>
      <c r="AN2197" s="625">
        <v>0</v>
      </c>
      <c r="AO2197" s="625">
        <v>0</v>
      </c>
      <c r="AP2197" s="41" t="str">
        <f t="shared" si="1067"/>
        <v>Def TaxN</v>
      </c>
      <c r="AQ2197" s="41" t="str">
        <f t="shared" si="1068"/>
        <v>Def TaxNN2Hung Deferred Taxes</v>
      </c>
      <c r="AR2197" s="41" t="str">
        <f t="shared" si="1069"/>
        <v>N2Hung Deferred Taxes</v>
      </c>
    </row>
    <row r="2198" spans="1:44" s="41" customFormat="1" ht="12.75" customHeight="1">
      <c r="A2198" s="442" t="s">
        <v>1590</v>
      </c>
      <c r="B2198" s="442" t="str">
        <f t="shared" si="1061"/>
        <v>Def Tax283310283-046BTHUNGDT</v>
      </c>
      <c r="C2198" s="736">
        <v>283310</v>
      </c>
      <c r="D2198" s="735" t="s">
        <v>2269</v>
      </c>
      <c r="E2198" s="626" t="s">
        <v>1624</v>
      </c>
      <c r="F2198" s="626" t="str">
        <f t="shared" si="1056"/>
        <v>ACCUM DEF INC TAX-OTH-FEDERAL-GAS-NONOP</v>
      </c>
      <c r="G2198" s="626" t="s">
        <v>2270</v>
      </c>
      <c r="H2198" s="736" t="s">
        <v>2880</v>
      </c>
      <c r="I2198" s="442"/>
      <c r="J2198" s="442" t="str">
        <f t="shared" si="1060"/>
        <v/>
      </c>
      <c r="K2198" s="442" t="str">
        <f t="shared" si="1063"/>
        <v/>
      </c>
      <c r="L2198" s="736" t="s">
        <v>2421</v>
      </c>
      <c r="M2198" s="442" t="str">
        <f t="shared" si="1066"/>
        <v>N</v>
      </c>
      <c r="N2198" s="442" t="str">
        <f>IF(L2198&lt;&gt;"",VLOOKUP(L2198,Categories!$B$2:$D$41,2,FALSE),IF(F2198&lt;&gt;"","No Cat",""))</f>
        <v>NRBASE</v>
      </c>
      <c r="O2198" s="442" t="str">
        <f>IF($L2198&lt;&gt;"",VLOOKUP($L2198,Categories!$B$2:$D$41,3,FALSE),IF($F2198&lt;&gt;"","No Cat",""))</f>
        <v>Direct Assign Items Not in RB</v>
      </c>
      <c r="P2198" s="736" t="s">
        <v>2468</v>
      </c>
      <c r="Q2198" s="442" t="str">
        <f>VLOOKUP($P2198,Allocators!$B$7:$F$19,5,FALSE)</f>
        <v>Not in Rate Base</v>
      </c>
      <c r="R2198" s="737">
        <f>VLOOKUP($P2198,Allocators!$B$7:$F$19,2,FALSE)</f>
        <v>0</v>
      </c>
      <c r="S2198" s="737">
        <f>VLOOKUP($P2198,Allocators!$B$7:$F$19,3,FALSE)</f>
        <v>0</v>
      </c>
      <c r="T2198" s="737">
        <f t="shared" si="1062"/>
        <v>1</v>
      </c>
      <c r="U2198" s="2" t="str">
        <f t="shared" si="1050"/>
        <v/>
      </c>
      <c r="V2198" s="2" t="str">
        <f t="shared" si="1051"/>
        <v/>
      </c>
      <c r="W2198" s="2" t="str">
        <f t="shared" si="1052"/>
        <v/>
      </c>
      <c r="X2198" s="2">
        <f t="shared" si="1071"/>
        <v>0</v>
      </c>
      <c r="Y2198" s="2" t="str">
        <f t="shared" si="1053"/>
        <v/>
      </c>
      <c r="Z2198" s="2" t="str">
        <f t="shared" si="1054"/>
        <v/>
      </c>
      <c r="AA2198" s="2" t="str">
        <f t="shared" si="1055"/>
        <v/>
      </c>
      <c r="AB2198" s="2">
        <f t="shared" si="1072"/>
        <v>0</v>
      </c>
      <c r="AC2198" s="625">
        <v>0</v>
      </c>
      <c r="AD2198" s="625">
        <v>0</v>
      </c>
      <c r="AE2198" s="625">
        <v>0</v>
      </c>
      <c r="AF2198" s="625">
        <v>0</v>
      </c>
      <c r="AG2198" s="625">
        <v>0</v>
      </c>
      <c r="AH2198" s="625">
        <v>0</v>
      </c>
      <c r="AI2198" s="625">
        <v>0</v>
      </c>
      <c r="AJ2198" s="625">
        <v>0</v>
      </c>
      <c r="AK2198" s="625">
        <v>0</v>
      </c>
      <c r="AL2198" s="625">
        <v>0</v>
      </c>
      <c r="AM2198" s="625">
        <v>0</v>
      </c>
      <c r="AN2198" s="625">
        <v>0</v>
      </c>
      <c r="AO2198" s="625">
        <v>0</v>
      </c>
      <c r="AP2198" s="41" t="str">
        <f t="shared" si="1067"/>
        <v>Def TaxN</v>
      </c>
      <c r="AQ2198" s="41" t="str">
        <f t="shared" si="1068"/>
        <v>Def TaxNN2Hung Deferred Taxes</v>
      </c>
      <c r="AR2198" s="41" t="str">
        <f t="shared" si="1069"/>
        <v>N2Hung Deferred Taxes</v>
      </c>
    </row>
    <row r="2199" spans="1:44" s="41" customFormat="1" ht="12.75" customHeight="1">
      <c r="A2199" s="442" t="s">
        <v>1590</v>
      </c>
      <c r="B2199" s="442" t="str">
        <f t="shared" si="1061"/>
        <v>Def Tax283310283-076BTHUNGDT</v>
      </c>
      <c r="C2199" s="736">
        <v>283310</v>
      </c>
      <c r="D2199" s="735" t="s">
        <v>2271</v>
      </c>
      <c r="E2199" s="626" t="s">
        <v>1624</v>
      </c>
      <c r="F2199" s="626" t="str">
        <f t="shared" si="1056"/>
        <v>ACCUM DEF INC TAX-OTH-FEDERAL-GAS-NONOP</v>
      </c>
      <c r="G2199" s="626" t="s">
        <v>2272</v>
      </c>
      <c r="H2199" s="736" t="s">
        <v>2880</v>
      </c>
      <c r="I2199" s="442"/>
      <c r="J2199" s="442" t="str">
        <f t="shared" si="1060"/>
        <v/>
      </c>
      <c r="K2199" s="442" t="str">
        <f t="shared" si="1063"/>
        <v/>
      </c>
      <c r="L2199" s="736" t="s">
        <v>2421</v>
      </c>
      <c r="M2199" s="442" t="str">
        <f t="shared" si="1066"/>
        <v>N</v>
      </c>
      <c r="N2199" s="442" t="str">
        <f>IF(L2199&lt;&gt;"",VLOOKUP(L2199,Categories!$B$2:$D$41,2,FALSE),IF(F2199&lt;&gt;"","No Cat",""))</f>
        <v>NRBASE</v>
      </c>
      <c r="O2199" s="442" t="str">
        <f>IF($L2199&lt;&gt;"",VLOOKUP($L2199,Categories!$B$2:$D$41,3,FALSE),IF($F2199&lt;&gt;"","No Cat",""))</f>
        <v>Direct Assign Items Not in RB</v>
      </c>
      <c r="P2199" s="736" t="s">
        <v>2468</v>
      </c>
      <c r="Q2199" s="442" t="str">
        <f>VLOOKUP($P2199,Allocators!$B$7:$F$19,5,FALSE)</f>
        <v>Not in Rate Base</v>
      </c>
      <c r="R2199" s="737">
        <f>VLOOKUP($P2199,Allocators!$B$7:$F$19,2,FALSE)</f>
        <v>0</v>
      </c>
      <c r="S2199" s="737">
        <f>VLOOKUP($P2199,Allocators!$B$7:$F$19,3,FALSE)</f>
        <v>0</v>
      </c>
      <c r="T2199" s="737">
        <f t="shared" si="1062"/>
        <v>1</v>
      </c>
      <c r="U2199" s="2" t="str">
        <f t="shared" si="1050"/>
        <v/>
      </c>
      <c r="V2199" s="2" t="str">
        <f t="shared" si="1051"/>
        <v/>
      </c>
      <c r="W2199" s="2" t="str">
        <f t="shared" si="1052"/>
        <v/>
      </c>
      <c r="X2199" s="2">
        <f t="shared" si="1071"/>
        <v>0</v>
      </c>
      <c r="Y2199" s="2" t="str">
        <f t="shared" si="1053"/>
        <v/>
      </c>
      <c r="Z2199" s="2" t="str">
        <f t="shared" si="1054"/>
        <v/>
      </c>
      <c r="AA2199" s="2" t="str">
        <f t="shared" si="1055"/>
        <v/>
      </c>
      <c r="AB2199" s="2">
        <f t="shared" si="1072"/>
        <v>0</v>
      </c>
      <c r="AC2199" s="625">
        <v>0</v>
      </c>
      <c r="AD2199" s="625">
        <v>0</v>
      </c>
      <c r="AE2199" s="625">
        <v>0</v>
      </c>
      <c r="AF2199" s="625">
        <v>0</v>
      </c>
      <c r="AG2199" s="625">
        <v>0</v>
      </c>
      <c r="AH2199" s="625">
        <v>0</v>
      </c>
      <c r="AI2199" s="625">
        <v>0</v>
      </c>
      <c r="AJ2199" s="625">
        <v>0</v>
      </c>
      <c r="AK2199" s="625">
        <v>0</v>
      </c>
      <c r="AL2199" s="625">
        <v>0</v>
      </c>
      <c r="AM2199" s="625">
        <v>0</v>
      </c>
      <c r="AN2199" s="625">
        <v>0</v>
      </c>
      <c r="AO2199" s="625">
        <v>0</v>
      </c>
      <c r="AP2199" s="41" t="str">
        <f t="shared" si="1067"/>
        <v>Def TaxN</v>
      </c>
      <c r="AQ2199" s="41" t="str">
        <f t="shared" si="1068"/>
        <v>Def TaxNN2Hung Deferred Taxes</v>
      </c>
      <c r="AR2199" s="41" t="str">
        <f t="shared" si="1069"/>
        <v>N2Hung Deferred Taxes</v>
      </c>
    </row>
    <row r="2200" spans="1:44" s="41" customFormat="1" ht="12.75" customHeight="1">
      <c r="A2200" s="442" t="s">
        <v>1590</v>
      </c>
      <c r="B2200" s="442" t="str">
        <f t="shared" si="1061"/>
        <v>Def Tax283310283-039BTHUNGDT</v>
      </c>
      <c r="C2200" s="736">
        <v>283310</v>
      </c>
      <c r="D2200" s="735" t="s">
        <v>2194</v>
      </c>
      <c r="E2200" s="626" t="s">
        <v>1624</v>
      </c>
      <c r="F2200" s="626" t="str">
        <f t="shared" si="1056"/>
        <v>ACCUM DEF INC TAX-OTH-FEDERAL-GAS-NONOP</v>
      </c>
      <c r="G2200" s="626" t="s">
        <v>2195</v>
      </c>
      <c r="H2200" s="736" t="s">
        <v>2880</v>
      </c>
      <c r="I2200" s="442"/>
      <c r="J2200" s="442" t="str">
        <f t="shared" si="1060"/>
        <v/>
      </c>
      <c r="K2200" s="442" t="str">
        <f t="shared" si="1063"/>
        <v/>
      </c>
      <c r="L2200" s="736" t="s">
        <v>2421</v>
      </c>
      <c r="M2200" s="442" t="str">
        <f t="shared" si="1066"/>
        <v>N</v>
      </c>
      <c r="N2200" s="442" t="str">
        <f>IF(L2200&lt;&gt;"",VLOOKUP(L2200,Categories!$B$2:$D$41,2,FALSE),IF(F2200&lt;&gt;"","No Cat",""))</f>
        <v>NRBASE</v>
      </c>
      <c r="O2200" s="442" t="str">
        <f>IF($L2200&lt;&gt;"",VLOOKUP($L2200,Categories!$B$2:$D$41,3,FALSE),IF($F2200&lt;&gt;"","No Cat",""))</f>
        <v>Direct Assign Items Not in RB</v>
      </c>
      <c r="P2200" s="736" t="s">
        <v>2468</v>
      </c>
      <c r="Q2200" s="442" t="str">
        <f>VLOOKUP($P2200,Allocators!$B$7:$F$19,5,FALSE)</f>
        <v>Not in Rate Base</v>
      </c>
      <c r="R2200" s="737">
        <f>VLOOKUP($P2200,Allocators!$B$7:$F$19,2,FALSE)</f>
        <v>0</v>
      </c>
      <c r="S2200" s="737">
        <f>VLOOKUP($P2200,Allocators!$B$7:$F$19,3,FALSE)</f>
        <v>0</v>
      </c>
      <c r="T2200" s="737">
        <f t="shared" si="1062"/>
        <v>1</v>
      </c>
      <c r="U2200" s="2" t="str">
        <f t="shared" si="1050"/>
        <v/>
      </c>
      <c r="V2200" s="2" t="str">
        <f t="shared" si="1051"/>
        <v/>
      </c>
      <c r="W2200" s="2" t="str">
        <f t="shared" si="1052"/>
        <v/>
      </c>
      <c r="X2200" s="2">
        <f t="shared" si="1071"/>
        <v>0</v>
      </c>
      <c r="Y2200" s="2" t="str">
        <f t="shared" si="1053"/>
        <v/>
      </c>
      <c r="Z2200" s="2" t="str">
        <f t="shared" si="1054"/>
        <v/>
      </c>
      <c r="AA2200" s="2" t="str">
        <f t="shared" si="1055"/>
        <v/>
      </c>
      <c r="AB2200" s="2">
        <f t="shared" si="1072"/>
        <v>0</v>
      </c>
      <c r="AC2200" s="625">
        <v>0</v>
      </c>
      <c r="AD2200" s="625">
        <v>0</v>
      </c>
      <c r="AE2200" s="625">
        <v>0</v>
      </c>
      <c r="AF2200" s="625">
        <v>0</v>
      </c>
      <c r="AG2200" s="625">
        <v>0</v>
      </c>
      <c r="AH2200" s="625">
        <v>0</v>
      </c>
      <c r="AI2200" s="625">
        <v>0</v>
      </c>
      <c r="AJ2200" s="625">
        <v>0</v>
      </c>
      <c r="AK2200" s="625">
        <v>0</v>
      </c>
      <c r="AL2200" s="625">
        <v>0</v>
      </c>
      <c r="AM2200" s="625">
        <v>0</v>
      </c>
      <c r="AN2200" s="625">
        <v>0</v>
      </c>
      <c r="AO2200" s="625">
        <v>0</v>
      </c>
      <c r="AP2200" s="41" t="str">
        <f t="shared" si="1067"/>
        <v>Def TaxN</v>
      </c>
      <c r="AQ2200" s="41" t="str">
        <f t="shared" si="1068"/>
        <v>Def TaxNN2Hung Deferred Taxes</v>
      </c>
      <c r="AR2200" s="41" t="str">
        <f t="shared" si="1069"/>
        <v>N2Hung Deferred Taxes</v>
      </c>
    </row>
    <row r="2201" spans="1:44" s="41" customFormat="1" ht="12.75" customHeight="1">
      <c r="A2201" s="442" t="s">
        <v>1590</v>
      </c>
      <c r="B2201" s="442" t="str">
        <f t="shared" si="1061"/>
        <v>Def Tax283310283-051BTHUNGDT</v>
      </c>
      <c r="C2201" s="736">
        <v>283310</v>
      </c>
      <c r="D2201" s="735" t="s">
        <v>2196</v>
      </c>
      <c r="E2201" s="626" t="s">
        <v>1624</v>
      </c>
      <c r="F2201" s="626" t="str">
        <f t="shared" si="1056"/>
        <v>ACCUM DEF INC TAX-OTH-FEDERAL-GAS-NONOP</v>
      </c>
      <c r="G2201" s="626" t="s">
        <v>2197</v>
      </c>
      <c r="H2201" s="736" t="s">
        <v>2880</v>
      </c>
      <c r="I2201" s="442"/>
      <c r="J2201" s="442" t="str">
        <f t="shared" si="1060"/>
        <v/>
      </c>
      <c r="K2201" s="442" t="str">
        <f t="shared" si="1063"/>
        <v/>
      </c>
      <c r="L2201" s="736" t="s">
        <v>2421</v>
      </c>
      <c r="M2201" s="442" t="str">
        <f t="shared" si="1066"/>
        <v>N</v>
      </c>
      <c r="N2201" s="442" t="str">
        <f>IF(L2201&lt;&gt;"",VLOOKUP(L2201,Categories!$B$2:$D$41,2,FALSE),IF(F2201&lt;&gt;"","No Cat",""))</f>
        <v>NRBASE</v>
      </c>
      <c r="O2201" s="442" t="str">
        <f>IF($L2201&lt;&gt;"",VLOOKUP($L2201,Categories!$B$2:$D$41,3,FALSE),IF($F2201&lt;&gt;"","No Cat",""))</f>
        <v>Direct Assign Items Not in RB</v>
      </c>
      <c r="P2201" s="736" t="s">
        <v>2468</v>
      </c>
      <c r="Q2201" s="442" t="str">
        <f>VLOOKUP($P2201,Allocators!$B$7:$F$19,5,FALSE)</f>
        <v>Not in Rate Base</v>
      </c>
      <c r="R2201" s="737">
        <f>VLOOKUP($P2201,Allocators!$B$7:$F$19,2,FALSE)</f>
        <v>0</v>
      </c>
      <c r="S2201" s="737">
        <f>VLOOKUP($P2201,Allocators!$B$7:$F$19,3,FALSE)</f>
        <v>0</v>
      </c>
      <c r="T2201" s="737">
        <f t="shared" si="1062"/>
        <v>1</v>
      </c>
      <c r="U2201" s="2" t="str">
        <f t="shared" si="1050"/>
        <v/>
      </c>
      <c r="V2201" s="2" t="str">
        <f t="shared" si="1051"/>
        <v/>
      </c>
      <c r="W2201" s="2" t="str">
        <f t="shared" si="1052"/>
        <v/>
      </c>
      <c r="X2201" s="2">
        <f t="shared" si="1071"/>
        <v>0</v>
      </c>
      <c r="Y2201" s="2" t="str">
        <f t="shared" si="1053"/>
        <v/>
      </c>
      <c r="Z2201" s="2" t="str">
        <f t="shared" si="1054"/>
        <v/>
      </c>
      <c r="AA2201" s="2" t="str">
        <f t="shared" si="1055"/>
        <v/>
      </c>
      <c r="AB2201" s="2">
        <f t="shared" si="1072"/>
        <v>0</v>
      </c>
      <c r="AC2201" s="625">
        <v>0</v>
      </c>
      <c r="AD2201" s="625">
        <v>0</v>
      </c>
      <c r="AE2201" s="625">
        <v>0</v>
      </c>
      <c r="AF2201" s="625">
        <v>0</v>
      </c>
      <c r="AG2201" s="625">
        <v>0</v>
      </c>
      <c r="AH2201" s="625">
        <v>0</v>
      </c>
      <c r="AI2201" s="625">
        <v>0</v>
      </c>
      <c r="AJ2201" s="625">
        <v>0</v>
      </c>
      <c r="AK2201" s="625">
        <v>0</v>
      </c>
      <c r="AL2201" s="625">
        <v>0</v>
      </c>
      <c r="AM2201" s="625">
        <v>0</v>
      </c>
      <c r="AN2201" s="625">
        <v>0</v>
      </c>
      <c r="AO2201" s="625">
        <v>0</v>
      </c>
      <c r="AP2201" s="41" t="str">
        <f t="shared" si="1067"/>
        <v>Def TaxN</v>
      </c>
      <c r="AQ2201" s="41" t="str">
        <f t="shared" si="1068"/>
        <v>Def TaxNN2Hung Deferred Taxes</v>
      </c>
      <c r="AR2201" s="41" t="str">
        <f t="shared" si="1069"/>
        <v>N2Hung Deferred Taxes</v>
      </c>
    </row>
    <row r="2202" spans="1:44" s="41" customFormat="1" ht="12.75" customHeight="1">
      <c r="A2202" s="442" t="s">
        <v>1590</v>
      </c>
      <c r="B2202" s="442" t="str">
        <f t="shared" si="1061"/>
        <v>Def Tax283310283-045BTHUNGDT</v>
      </c>
      <c r="C2202" s="736">
        <v>283310</v>
      </c>
      <c r="D2202" s="735" t="s">
        <v>2209</v>
      </c>
      <c r="E2202" s="626" t="s">
        <v>1624</v>
      </c>
      <c r="F2202" s="626" t="str">
        <f t="shared" si="1056"/>
        <v>ACCUM DEF INC TAX-OTH-FEDERAL-GAS-NONOP</v>
      </c>
      <c r="G2202" s="626" t="s">
        <v>2210</v>
      </c>
      <c r="H2202" s="736" t="s">
        <v>2880</v>
      </c>
      <c r="I2202" s="442"/>
      <c r="J2202" s="442" t="str">
        <f t="shared" si="1060"/>
        <v/>
      </c>
      <c r="K2202" s="442" t="str">
        <f t="shared" si="1063"/>
        <v/>
      </c>
      <c r="L2202" s="736" t="s">
        <v>2421</v>
      </c>
      <c r="M2202" s="442" t="str">
        <f t="shared" si="1066"/>
        <v>N</v>
      </c>
      <c r="N2202" s="442" t="str">
        <f>IF(L2202&lt;&gt;"",VLOOKUP(L2202,Categories!$B$2:$D$41,2,FALSE),IF(F2202&lt;&gt;"","No Cat",""))</f>
        <v>NRBASE</v>
      </c>
      <c r="O2202" s="442" t="str">
        <f>IF($L2202&lt;&gt;"",VLOOKUP($L2202,Categories!$B$2:$D$41,3,FALSE),IF($F2202&lt;&gt;"","No Cat",""))</f>
        <v>Direct Assign Items Not in RB</v>
      </c>
      <c r="P2202" s="736" t="s">
        <v>2468</v>
      </c>
      <c r="Q2202" s="442" t="str">
        <f>VLOOKUP($P2202,Allocators!$B$7:$F$19,5,FALSE)</f>
        <v>Not in Rate Base</v>
      </c>
      <c r="R2202" s="737">
        <f>VLOOKUP($P2202,Allocators!$B$7:$F$19,2,FALSE)</f>
        <v>0</v>
      </c>
      <c r="S2202" s="737">
        <f>VLOOKUP($P2202,Allocators!$B$7:$F$19,3,FALSE)</f>
        <v>0</v>
      </c>
      <c r="T2202" s="737">
        <f t="shared" si="1062"/>
        <v>1</v>
      </c>
      <c r="U2202" s="2" t="str">
        <f t="shared" ref="U2202:U2265" si="1073">IF(ABS(X2202)=0,"",IF($R2202="NO ALLOC","NO ALLOC",ROUND($R2202*X2202,15)))</f>
        <v/>
      </c>
      <c r="V2202" s="2" t="str">
        <f t="shared" ref="V2202:V2265" si="1074">IF(ABS(X2202)=0,"",IF($S2202="NO ALLOC","NO ALLOC",ROUND($S2202*X2202,15)))</f>
        <v/>
      </c>
      <c r="W2202" s="2" t="str">
        <f t="shared" ref="W2202:W2265" si="1075">IF(ABS(X2202)=0,"",IF($T2202="NO ALLOC","NO ALLOC",ROUND($T2202*X2202,15)))</f>
        <v/>
      </c>
      <c r="X2202" s="2">
        <f t="shared" si="1071"/>
        <v>0</v>
      </c>
      <c r="Y2202" s="2" t="str">
        <f t="shared" ref="Y2202:Y2265" si="1076">IF(ABS(AB2202)=0,"",IF($R2202="NO ALLOC","NO ALLOC",ROUND($R2202*AB2202,15)))</f>
        <v/>
      </c>
      <c r="Z2202" s="2" t="str">
        <f t="shared" ref="Z2202:Z2265" si="1077">IF(ABS(AB2202)=0,"",IF($S2202="NO ALLOC","NO ALLOC",ROUND($S2202*AB2202,15)))</f>
        <v/>
      </c>
      <c r="AA2202" s="2" t="str">
        <f t="shared" ref="AA2202:AA2265" si="1078">IF(ABS(AB2202)=0,"",IF($T2202="NO ALLOC","NO ALLOC",ROUND($T2202*AB2202,15)))</f>
        <v/>
      </c>
      <c r="AB2202" s="2">
        <f t="shared" si="1072"/>
        <v>0</v>
      </c>
      <c r="AC2202" s="625">
        <v>0</v>
      </c>
      <c r="AD2202" s="625">
        <v>0</v>
      </c>
      <c r="AE2202" s="625">
        <v>0</v>
      </c>
      <c r="AF2202" s="625">
        <v>0</v>
      </c>
      <c r="AG2202" s="625">
        <v>0</v>
      </c>
      <c r="AH2202" s="625">
        <v>0</v>
      </c>
      <c r="AI2202" s="625">
        <v>0</v>
      </c>
      <c r="AJ2202" s="625">
        <v>0</v>
      </c>
      <c r="AK2202" s="625">
        <v>0</v>
      </c>
      <c r="AL2202" s="625">
        <v>0</v>
      </c>
      <c r="AM2202" s="625">
        <v>0</v>
      </c>
      <c r="AN2202" s="625">
        <v>0</v>
      </c>
      <c r="AO2202" s="625">
        <v>0</v>
      </c>
      <c r="AP2202" s="41" t="str">
        <f t="shared" si="1067"/>
        <v>Def TaxN</v>
      </c>
      <c r="AQ2202" s="41" t="str">
        <f t="shared" si="1068"/>
        <v>Def TaxNN2Hung Deferred Taxes</v>
      </c>
      <c r="AR2202" s="41" t="str">
        <f t="shared" si="1069"/>
        <v>N2Hung Deferred Taxes</v>
      </c>
    </row>
    <row r="2203" spans="1:44" s="41" customFormat="1" ht="12.75" customHeight="1">
      <c r="A2203" s="25" t="s">
        <v>1590</v>
      </c>
      <c r="B2203" s="25" t="str">
        <f t="shared" si="1061"/>
        <v>Def Tax283310283-064</v>
      </c>
      <c r="C2203" s="736">
        <v>283310</v>
      </c>
      <c r="D2203" s="735" t="s">
        <v>2273</v>
      </c>
      <c r="F2203" s="41" t="str">
        <f t="shared" si="1056"/>
        <v>ACCUM DEF INC TAX-OTH-FEDERAL-GAS-NONOP</v>
      </c>
      <c r="G2203" s="41" t="s">
        <v>2274</v>
      </c>
      <c r="H2203" s="736" t="s">
        <v>1629</v>
      </c>
      <c r="I2203" s="25"/>
      <c r="J2203" s="25" t="str">
        <f t="shared" si="1060"/>
        <v/>
      </c>
      <c r="K2203" s="442" t="str">
        <f t="shared" si="1063"/>
        <v/>
      </c>
      <c r="L2203" s="736" t="s">
        <v>2443</v>
      </c>
      <c r="M2203" s="25" t="str">
        <f t="shared" si="1066"/>
        <v>R</v>
      </c>
      <c r="N2203" s="25" t="str">
        <f>IF(L2203&lt;&gt;"",VLOOKUP(L2203,Categories!$B$2:$D$41,2,FALSE),IF(F2203&lt;&gt;"","No Cat",""))</f>
        <v>Rate Base</v>
      </c>
      <c r="O2203" s="25" t="str">
        <f>IF($L2203&lt;&gt;"",VLOOKUP($L2203,Categories!$B$2:$D$41,3,FALSE),IF($F2203&lt;&gt;"","No Cat",""))</f>
        <v>Deferred Income Taxes</v>
      </c>
      <c r="P2203" s="736" t="s">
        <v>2483</v>
      </c>
      <c r="Q2203" s="25" t="str">
        <f>VLOOKUP($P2203,Allocators!$B$7:$F$19,5,FALSE)</f>
        <v>Gas</v>
      </c>
      <c r="R2203" s="737">
        <f>VLOOKUP($P2203,Allocators!$B$7:$F$19,2,FALSE)</f>
        <v>0</v>
      </c>
      <c r="S2203" s="737">
        <f>VLOOKUP($P2203,Allocators!$B$7:$F$19,3,FALSE)</f>
        <v>1</v>
      </c>
      <c r="T2203" s="737" t="str">
        <f t="shared" si="1062"/>
        <v>0.0%</v>
      </c>
      <c r="U2203" s="2" t="str">
        <f t="shared" si="1073"/>
        <v/>
      </c>
      <c r="V2203" s="2" t="str">
        <f t="shared" si="1074"/>
        <v/>
      </c>
      <c r="W2203" s="2" t="str">
        <f t="shared" si="1075"/>
        <v/>
      </c>
      <c r="X2203" s="2">
        <f t="shared" si="1071"/>
        <v>0</v>
      </c>
      <c r="Y2203" s="2" t="str">
        <f t="shared" si="1076"/>
        <v/>
      </c>
      <c r="Z2203" s="2" t="str">
        <f t="shared" si="1077"/>
        <v/>
      </c>
      <c r="AA2203" s="2" t="str">
        <f t="shared" si="1078"/>
        <v/>
      </c>
      <c r="AB2203" s="2">
        <f t="shared" si="1072"/>
        <v>0</v>
      </c>
      <c r="AC2203" s="625">
        <v>0</v>
      </c>
      <c r="AD2203" s="625">
        <v>0</v>
      </c>
      <c r="AE2203" s="625">
        <v>0</v>
      </c>
      <c r="AF2203" s="625">
        <v>0</v>
      </c>
      <c r="AG2203" s="625">
        <v>0</v>
      </c>
      <c r="AH2203" s="625">
        <v>0</v>
      </c>
      <c r="AI2203" s="625">
        <v>0</v>
      </c>
      <c r="AJ2203" s="625">
        <v>0</v>
      </c>
      <c r="AK2203" s="625">
        <v>0</v>
      </c>
      <c r="AL2203" s="625">
        <v>0</v>
      </c>
      <c r="AM2203" s="625">
        <v>0</v>
      </c>
      <c r="AN2203" s="625">
        <v>0</v>
      </c>
      <c r="AO2203" s="625">
        <v>0</v>
      </c>
      <c r="AP2203" s="41" t="str">
        <f t="shared" si="1067"/>
        <v>Def TaxR</v>
      </c>
      <c r="AQ2203" s="41" t="str">
        <f t="shared" si="1068"/>
        <v>Def TaxRR11Merger Related</v>
      </c>
      <c r="AR2203" s="41" t="str">
        <f t="shared" si="1069"/>
        <v>R11Merger Related</v>
      </c>
    </row>
    <row r="2204" spans="1:44" s="41" customFormat="1" ht="12.75" customHeight="1">
      <c r="A2204" s="25" t="s">
        <v>1590</v>
      </c>
      <c r="B2204" s="25" t="str">
        <f t="shared" si="1061"/>
        <v>Def Tax283310283-014BTHUNGDT</v>
      </c>
      <c r="C2204" s="736">
        <v>283310</v>
      </c>
      <c r="D2204" s="735" t="s">
        <v>2275</v>
      </c>
      <c r="E2204" s="41" t="s">
        <v>1624</v>
      </c>
      <c r="F2204" s="41" t="str">
        <f t="shared" si="1056"/>
        <v>ACCUM DEF INC TAX-OTH-FEDERAL-GAS-NONOP</v>
      </c>
      <c r="G2204" s="41" t="s">
        <v>2276</v>
      </c>
      <c r="H2204" s="736" t="s">
        <v>1673</v>
      </c>
      <c r="I2204" s="25"/>
      <c r="J2204" s="25" t="str">
        <f t="shared" si="1060"/>
        <v/>
      </c>
      <c r="K2204" s="442" t="str">
        <f t="shared" si="1063"/>
        <v/>
      </c>
      <c r="L2204" s="736" t="s">
        <v>2443</v>
      </c>
      <c r="M2204" s="25" t="str">
        <f t="shared" si="1066"/>
        <v>R</v>
      </c>
      <c r="N2204" s="25" t="str">
        <f>IF(L2204&lt;&gt;"",VLOOKUP(L2204,Categories!$B$2:$D$41,2,FALSE),IF(F2204&lt;&gt;"","No Cat",""))</f>
        <v>Rate Base</v>
      </c>
      <c r="O2204" s="25" t="str">
        <f>IF($L2204&lt;&gt;"",VLOOKUP($L2204,Categories!$B$2:$D$41,3,FALSE),IF($F2204&lt;&gt;"","No Cat",""))</f>
        <v>Deferred Income Taxes</v>
      </c>
      <c r="P2204" s="736" t="s">
        <v>2483</v>
      </c>
      <c r="Q2204" s="25" t="str">
        <f>VLOOKUP($P2204,Allocators!$B$7:$F$19,5,FALSE)</f>
        <v>Gas</v>
      </c>
      <c r="R2204" s="737">
        <f>VLOOKUP($P2204,Allocators!$B$7:$F$19,2,FALSE)</f>
        <v>0</v>
      </c>
      <c r="S2204" s="737">
        <f>VLOOKUP($P2204,Allocators!$B$7:$F$19,3,FALSE)</f>
        <v>1</v>
      </c>
      <c r="T2204" s="737" t="str">
        <f t="shared" si="1062"/>
        <v>0.0%</v>
      </c>
      <c r="U2204" s="2" t="str">
        <f t="shared" si="1073"/>
        <v/>
      </c>
      <c r="V2204" s="2" t="str">
        <f t="shared" si="1074"/>
        <v/>
      </c>
      <c r="W2204" s="2" t="str">
        <f t="shared" si="1075"/>
        <v/>
      </c>
      <c r="X2204" s="2">
        <f t="shared" si="1071"/>
        <v>0</v>
      </c>
      <c r="Y2204" s="2" t="str">
        <f t="shared" si="1076"/>
        <v/>
      </c>
      <c r="Z2204" s="2" t="str">
        <f t="shared" si="1077"/>
        <v/>
      </c>
      <c r="AA2204" s="2" t="str">
        <f t="shared" si="1078"/>
        <v/>
      </c>
      <c r="AB2204" s="2">
        <f t="shared" si="1072"/>
        <v>0</v>
      </c>
      <c r="AC2204" s="625">
        <v>0</v>
      </c>
      <c r="AD2204" s="625">
        <v>0</v>
      </c>
      <c r="AE2204" s="625">
        <v>0</v>
      </c>
      <c r="AF2204" s="625">
        <v>0</v>
      </c>
      <c r="AG2204" s="625">
        <v>0</v>
      </c>
      <c r="AH2204" s="625">
        <v>0</v>
      </c>
      <c r="AI2204" s="625">
        <v>0</v>
      </c>
      <c r="AJ2204" s="625">
        <v>0</v>
      </c>
      <c r="AK2204" s="625">
        <v>0</v>
      </c>
      <c r="AL2204" s="625">
        <v>0</v>
      </c>
      <c r="AM2204" s="625">
        <v>0</v>
      </c>
      <c r="AN2204" s="625">
        <v>0</v>
      </c>
      <c r="AO2204" s="625">
        <v>0</v>
      </c>
      <c r="AP2204" s="41" t="str">
        <f t="shared" si="1067"/>
        <v>Def TaxR</v>
      </c>
      <c r="AQ2204" s="41" t="str">
        <f t="shared" si="1068"/>
        <v>Def TaxRR11Pension</v>
      </c>
      <c r="AR2204" s="41" t="str">
        <f t="shared" si="1069"/>
        <v>R11Pension</v>
      </c>
    </row>
    <row r="2205" spans="1:44" s="41" customFormat="1" ht="12.75" customHeight="1">
      <c r="A2205" s="25" t="s">
        <v>1590</v>
      </c>
      <c r="B2205" s="25" t="str">
        <f t="shared" si="1061"/>
        <v>Def Tax283310283-050BTHUNGDT</v>
      </c>
      <c r="C2205" s="736">
        <v>283310</v>
      </c>
      <c r="D2205" s="735" t="s">
        <v>2277</v>
      </c>
      <c r="E2205" s="41" t="s">
        <v>1624</v>
      </c>
      <c r="F2205" s="41" t="str">
        <f t="shared" si="1056"/>
        <v>ACCUM DEF INC TAX-OTH-FEDERAL-GAS-NONOP</v>
      </c>
      <c r="G2205" s="41" t="s">
        <v>2278</v>
      </c>
      <c r="H2205" s="736">
        <v>0</v>
      </c>
      <c r="I2205" s="25"/>
      <c r="J2205" s="25" t="str">
        <f t="shared" si="1060"/>
        <v/>
      </c>
      <c r="K2205" s="442" t="str">
        <f t="shared" si="1063"/>
        <v/>
      </c>
      <c r="L2205" s="736" t="s">
        <v>2443</v>
      </c>
      <c r="M2205" s="25" t="str">
        <f t="shared" si="1066"/>
        <v>R</v>
      </c>
      <c r="N2205" s="25" t="str">
        <f>IF(L2205&lt;&gt;"",VLOOKUP(L2205,Categories!$B$2:$D$41,2,FALSE),IF(F2205&lt;&gt;"","No Cat",""))</f>
        <v>Rate Base</v>
      </c>
      <c r="O2205" s="25" t="str">
        <f>IF($L2205&lt;&gt;"",VLOOKUP($L2205,Categories!$B$2:$D$41,3,FALSE),IF($F2205&lt;&gt;"","No Cat",""))</f>
        <v>Deferred Income Taxes</v>
      </c>
      <c r="P2205" s="736" t="s">
        <v>2483</v>
      </c>
      <c r="Q2205" s="25" t="str">
        <f>VLOOKUP($P2205,Allocators!$B$7:$F$19,5,FALSE)</f>
        <v>Gas</v>
      </c>
      <c r="R2205" s="737">
        <f>VLOOKUP($P2205,Allocators!$B$7:$F$19,2,FALSE)</f>
        <v>0</v>
      </c>
      <c r="S2205" s="737">
        <f>VLOOKUP($P2205,Allocators!$B$7:$F$19,3,FALSE)</f>
        <v>1</v>
      </c>
      <c r="T2205" s="737" t="str">
        <f t="shared" si="1062"/>
        <v>0.0%</v>
      </c>
      <c r="U2205" s="2" t="str">
        <f t="shared" si="1073"/>
        <v/>
      </c>
      <c r="V2205" s="2" t="str">
        <f t="shared" si="1074"/>
        <v/>
      </c>
      <c r="W2205" s="2" t="str">
        <f t="shared" si="1075"/>
        <v/>
      </c>
      <c r="X2205" s="2">
        <f t="shared" si="1071"/>
        <v>0</v>
      </c>
      <c r="Y2205" s="2" t="str">
        <f t="shared" si="1076"/>
        <v/>
      </c>
      <c r="Z2205" s="2" t="str">
        <f t="shared" si="1077"/>
        <v/>
      </c>
      <c r="AA2205" s="2" t="str">
        <f t="shared" si="1078"/>
        <v/>
      </c>
      <c r="AB2205" s="2">
        <f t="shared" si="1072"/>
        <v>0</v>
      </c>
      <c r="AC2205" s="625">
        <v>0</v>
      </c>
      <c r="AD2205" s="625">
        <v>0</v>
      </c>
      <c r="AE2205" s="625">
        <v>0</v>
      </c>
      <c r="AF2205" s="625">
        <v>0</v>
      </c>
      <c r="AG2205" s="625">
        <v>0</v>
      </c>
      <c r="AH2205" s="625">
        <v>0</v>
      </c>
      <c r="AI2205" s="625">
        <v>0</v>
      </c>
      <c r="AJ2205" s="625">
        <v>0</v>
      </c>
      <c r="AK2205" s="625">
        <v>0</v>
      </c>
      <c r="AL2205" s="625">
        <v>0</v>
      </c>
      <c r="AM2205" s="625">
        <v>0</v>
      </c>
      <c r="AN2205" s="625">
        <v>0</v>
      </c>
      <c r="AO2205" s="625">
        <v>0</v>
      </c>
      <c r="AP2205" s="41" t="str">
        <f t="shared" si="1067"/>
        <v>Def TaxR</v>
      </c>
      <c r="AQ2205" s="41" t="str">
        <f t="shared" si="1068"/>
        <v>Def TaxRR110</v>
      </c>
      <c r="AR2205" s="41" t="str">
        <f t="shared" si="1069"/>
        <v>R110</v>
      </c>
    </row>
    <row r="2206" spans="1:44" s="41" customFormat="1" ht="12.75" customHeight="1">
      <c r="A2206" s="25" t="s">
        <v>1590</v>
      </c>
      <c r="B2206" s="25" t="str">
        <f t="shared" si="1061"/>
        <v>Def Tax283310283-066</v>
      </c>
      <c r="C2206" s="736">
        <v>283310</v>
      </c>
      <c r="D2206" s="735" t="s">
        <v>2279</v>
      </c>
      <c r="F2206" s="41" t="str">
        <f t="shared" si="1056"/>
        <v>ACCUM DEF INC TAX-OTH-FEDERAL-GAS-NONOP</v>
      </c>
      <c r="G2206" s="41" t="s">
        <v>1811</v>
      </c>
      <c r="H2206" s="736" t="s">
        <v>1629</v>
      </c>
      <c r="I2206" s="25"/>
      <c r="J2206" s="25" t="str">
        <f t="shared" si="1060"/>
        <v/>
      </c>
      <c r="K2206" s="442" t="str">
        <f t="shared" si="1063"/>
        <v/>
      </c>
      <c r="L2206" s="736" t="s">
        <v>2443</v>
      </c>
      <c r="M2206" s="25" t="str">
        <f t="shared" si="1066"/>
        <v>R</v>
      </c>
      <c r="N2206" s="25" t="str">
        <f>IF(L2206&lt;&gt;"",VLOOKUP(L2206,Categories!$B$2:$D$41,2,FALSE),IF(F2206&lt;&gt;"","No Cat",""))</f>
        <v>Rate Base</v>
      </c>
      <c r="O2206" s="25" t="str">
        <f>IF($L2206&lt;&gt;"",VLOOKUP($L2206,Categories!$B$2:$D$41,3,FALSE),IF($F2206&lt;&gt;"","No Cat",""))</f>
        <v>Deferred Income Taxes</v>
      </c>
      <c r="P2206" s="736" t="s">
        <v>2483</v>
      </c>
      <c r="Q2206" s="25" t="str">
        <f>VLOOKUP($P2206,Allocators!$B$7:$F$19,5,FALSE)</f>
        <v>Gas</v>
      </c>
      <c r="R2206" s="737">
        <f>VLOOKUP($P2206,Allocators!$B$7:$F$19,2,FALSE)</f>
        <v>0</v>
      </c>
      <c r="S2206" s="737">
        <f>VLOOKUP($P2206,Allocators!$B$7:$F$19,3,FALSE)</f>
        <v>1</v>
      </c>
      <c r="T2206" s="737" t="str">
        <f t="shared" si="1062"/>
        <v>0.0%</v>
      </c>
      <c r="U2206" s="2">
        <f t="shared" si="1073"/>
        <v>0</v>
      </c>
      <c r="V2206" s="2">
        <f t="shared" si="1074"/>
        <v>1494.75566</v>
      </c>
      <c r="W2206" s="2">
        <f t="shared" si="1075"/>
        <v>0</v>
      </c>
      <c r="X2206" s="2">
        <f t="shared" si="1071"/>
        <v>1494.75566</v>
      </c>
      <c r="Y2206" s="2">
        <f t="shared" si="1076"/>
        <v>0</v>
      </c>
      <c r="Z2206" s="2">
        <f t="shared" si="1077"/>
        <v>1494.75566</v>
      </c>
      <c r="AA2206" s="2">
        <f t="shared" si="1078"/>
        <v>0</v>
      </c>
      <c r="AB2206" s="2">
        <f t="shared" si="1072"/>
        <v>1494.7556599999998</v>
      </c>
      <c r="AC2206" s="625">
        <v>1494.7556599999998</v>
      </c>
      <c r="AD2206" s="625">
        <v>1494.7556599999998</v>
      </c>
      <c r="AE2206" s="625">
        <v>1494.7556599999998</v>
      </c>
      <c r="AF2206" s="625">
        <v>1494.7556599999998</v>
      </c>
      <c r="AG2206" s="625">
        <v>1494.7556599999998</v>
      </c>
      <c r="AH2206" s="625">
        <v>1494.7556599999998</v>
      </c>
      <c r="AI2206" s="625">
        <v>1494.7556599999998</v>
      </c>
      <c r="AJ2206" s="625">
        <v>1494.7556599999998</v>
      </c>
      <c r="AK2206" s="625">
        <v>1494.7556599999998</v>
      </c>
      <c r="AL2206" s="625">
        <v>1494.7556599999998</v>
      </c>
      <c r="AM2206" s="625">
        <v>1494.7556599999998</v>
      </c>
      <c r="AN2206" s="625">
        <v>1494.7556599999998</v>
      </c>
      <c r="AO2206" s="625">
        <v>1494.7556599999998</v>
      </c>
      <c r="AP2206" s="41" t="str">
        <f t="shared" si="1067"/>
        <v>Def TaxR</v>
      </c>
      <c r="AQ2206" s="41" t="str">
        <f t="shared" si="1068"/>
        <v>Def TaxRR11Merger Related</v>
      </c>
      <c r="AR2206" s="41" t="str">
        <f t="shared" si="1069"/>
        <v>R11Merger Related</v>
      </c>
    </row>
    <row r="2207" spans="1:44" s="41" customFormat="1" ht="12.75" customHeight="1">
      <c r="A2207" s="442" t="s">
        <v>1590</v>
      </c>
      <c r="B2207" s="442" t="str">
        <f t="shared" si="1061"/>
        <v>Def Tax283310283-047BTHUNGDT</v>
      </c>
      <c r="C2207" s="736">
        <v>283310</v>
      </c>
      <c r="D2207" s="735" t="s">
        <v>2280</v>
      </c>
      <c r="E2207" s="626" t="s">
        <v>1624</v>
      </c>
      <c r="F2207" s="626" t="str">
        <f t="shared" si="1056"/>
        <v>ACCUM DEF INC TAX-OTH-FEDERAL-GAS-NONOP</v>
      </c>
      <c r="G2207" s="626" t="s">
        <v>2281</v>
      </c>
      <c r="H2207" s="736" t="s">
        <v>2880</v>
      </c>
      <c r="I2207" s="442"/>
      <c r="J2207" s="442" t="str">
        <f t="shared" si="1060"/>
        <v/>
      </c>
      <c r="K2207" s="442" t="str">
        <f t="shared" si="1063"/>
        <v/>
      </c>
      <c r="L2207" s="736" t="s">
        <v>2421</v>
      </c>
      <c r="M2207" s="442" t="str">
        <f t="shared" si="1066"/>
        <v>N</v>
      </c>
      <c r="N2207" s="442" t="str">
        <f>IF(L2207&lt;&gt;"",VLOOKUP(L2207,Categories!$B$2:$D$41,2,FALSE),IF(F2207&lt;&gt;"","No Cat",""))</f>
        <v>NRBASE</v>
      </c>
      <c r="O2207" s="442" t="str">
        <f>IF($L2207&lt;&gt;"",VLOOKUP($L2207,Categories!$B$2:$D$41,3,FALSE),IF($F2207&lt;&gt;"","No Cat",""))</f>
        <v>Direct Assign Items Not in RB</v>
      </c>
      <c r="P2207" s="736" t="s">
        <v>2468</v>
      </c>
      <c r="Q2207" s="442" t="str">
        <f>VLOOKUP($P2207,Allocators!$B$7:$F$19,5,FALSE)</f>
        <v>Not in Rate Base</v>
      </c>
      <c r="R2207" s="737">
        <f>VLOOKUP($P2207,Allocators!$B$7:$F$19,2,FALSE)</f>
        <v>0</v>
      </c>
      <c r="S2207" s="737">
        <f>VLOOKUP($P2207,Allocators!$B$7:$F$19,3,FALSE)</f>
        <v>0</v>
      </c>
      <c r="T2207" s="737">
        <f t="shared" si="1062"/>
        <v>1</v>
      </c>
      <c r="U2207" s="2" t="str">
        <f t="shared" si="1073"/>
        <v/>
      </c>
      <c r="V2207" s="2" t="str">
        <f t="shared" si="1074"/>
        <v/>
      </c>
      <c r="W2207" s="2" t="str">
        <f t="shared" si="1075"/>
        <v/>
      </c>
      <c r="X2207" s="2">
        <f t="shared" si="1071"/>
        <v>0</v>
      </c>
      <c r="Y2207" s="2" t="str">
        <f t="shared" si="1076"/>
        <v/>
      </c>
      <c r="Z2207" s="2" t="str">
        <f t="shared" si="1077"/>
        <v/>
      </c>
      <c r="AA2207" s="2" t="str">
        <f t="shared" si="1078"/>
        <v/>
      </c>
      <c r="AB2207" s="2">
        <f t="shared" si="1072"/>
        <v>0</v>
      </c>
      <c r="AC2207" s="625">
        <v>0</v>
      </c>
      <c r="AD2207" s="625">
        <v>0</v>
      </c>
      <c r="AE2207" s="625">
        <v>0</v>
      </c>
      <c r="AF2207" s="625">
        <v>0</v>
      </c>
      <c r="AG2207" s="625">
        <v>0</v>
      </c>
      <c r="AH2207" s="625">
        <v>0</v>
      </c>
      <c r="AI2207" s="625">
        <v>0</v>
      </c>
      <c r="AJ2207" s="625">
        <v>0</v>
      </c>
      <c r="AK2207" s="625">
        <v>0</v>
      </c>
      <c r="AL2207" s="625">
        <v>0</v>
      </c>
      <c r="AM2207" s="625">
        <v>0</v>
      </c>
      <c r="AN2207" s="625">
        <v>0</v>
      </c>
      <c r="AO2207" s="625">
        <v>0</v>
      </c>
      <c r="AP2207" s="41" t="str">
        <f t="shared" si="1067"/>
        <v>Def TaxN</v>
      </c>
      <c r="AQ2207" s="41" t="str">
        <f t="shared" si="1068"/>
        <v>Def TaxNN2Hung Deferred Taxes</v>
      </c>
      <c r="AR2207" s="41" t="str">
        <f t="shared" si="1069"/>
        <v>N2Hung Deferred Taxes</v>
      </c>
    </row>
    <row r="2208" spans="1:44" s="41" customFormat="1" ht="12.75" customHeight="1">
      <c r="A2208" s="25" t="s">
        <v>1590</v>
      </c>
      <c r="B2208" s="25" t="str">
        <f t="shared" si="1061"/>
        <v>Def Tax283310283-065</v>
      </c>
      <c r="C2208" s="736">
        <v>283310</v>
      </c>
      <c r="D2208" s="735" t="s">
        <v>2282</v>
      </c>
      <c r="F2208" s="41" t="str">
        <f t="shared" si="1056"/>
        <v>ACCUM DEF INC TAX-OTH-FEDERAL-GAS-NONOP</v>
      </c>
      <c r="G2208" s="41" t="s">
        <v>2283</v>
      </c>
      <c r="H2208" s="736" t="s">
        <v>1629</v>
      </c>
      <c r="I2208" s="25"/>
      <c r="J2208" s="25" t="str">
        <f t="shared" si="1060"/>
        <v/>
      </c>
      <c r="K2208" s="442" t="str">
        <f t="shared" si="1063"/>
        <v/>
      </c>
      <c r="L2208" s="736" t="s">
        <v>2443</v>
      </c>
      <c r="M2208" s="25" t="str">
        <f t="shared" si="1066"/>
        <v>R</v>
      </c>
      <c r="N2208" s="25" t="str">
        <f>IF(L2208&lt;&gt;"",VLOOKUP(L2208,Categories!$B$2:$D$41,2,FALSE),IF(F2208&lt;&gt;"","No Cat",""))</f>
        <v>Rate Base</v>
      </c>
      <c r="O2208" s="25" t="str">
        <f>IF($L2208&lt;&gt;"",VLOOKUP($L2208,Categories!$B$2:$D$41,3,FALSE),IF($F2208&lt;&gt;"","No Cat",""))</f>
        <v>Deferred Income Taxes</v>
      </c>
      <c r="P2208" s="736" t="s">
        <v>2483</v>
      </c>
      <c r="Q2208" s="25" t="str">
        <f>VLOOKUP($P2208,Allocators!$B$7:$F$19,5,FALSE)</f>
        <v>Gas</v>
      </c>
      <c r="R2208" s="737">
        <f>VLOOKUP($P2208,Allocators!$B$7:$F$19,2,FALSE)</f>
        <v>0</v>
      </c>
      <c r="S2208" s="737">
        <f>VLOOKUP($P2208,Allocators!$B$7:$F$19,3,FALSE)</f>
        <v>1</v>
      </c>
      <c r="T2208" s="737" t="str">
        <f t="shared" si="1062"/>
        <v>0.0%</v>
      </c>
      <c r="U2208" s="2" t="str">
        <f t="shared" si="1073"/>
        <v/>
      </c>
      <c r="V2208" s="2" t="str">
        <f t="shared" si="1074"/>
        <v/>
      </c>
      <c r="W2208" s="2" t="str">
        <f t="shared" si="1075"/>
        <v/>
      </c>
      <c r="X2208" s="2">
        <f t="shared" si="1071"/>
        <v>0</v>
      </c>
      <c r="Y2208" s="2" t="str">
        <f t="shared" si="1076"/>
        <v/>
      </c>
      <c r="Z2208" s="2" t="str">
        <f t="shared" si="1077"/>
        <v/>
      </c>
      <c r="AA2208" s="2" t="str">
        <f t="shared" si="1078"/>
        <v/>
      </c>
      <c r="AB2208" s="2">
        <f t="shared" si="1072"/>
        <v>0</v>
      </c>
      <c r="AC2208" s="741">
        <v>0</v>
      </c>
      <c r="AD2208" s="625">
        <v>0</v>
      </c>
      <c r="AE2208" s="625">
        <v>0</v>
      </c>
      <c r="AF2208" s="625">
        <v>0</v>
      </c>
      <c r="AG2208" s="625">
        <v>0</v>
      </c>
      <c r="AH2208" s="625">
        <v>0</v>
      </c>
      <c r="AI2208" s="625">
        <v>0</v>
      </c>
      <c r="AJ2208" s="625">
        <v>0</v>
      </c>
      <c r="AK2208" s="625">
        <v>0</v>
      </c>
      <c r="AL2208" s="625">
        <v>0</v>
      </c>
      <c r="AM2208" s="625">
        <v>0</v>
      </c>
      <c r="AN2208" s="625">
        <v>0</v>
      </c>
      <c r="AO2208" s="625">
        <v>0</v>
      </c>
      <c r="AP2208" s="41" t="str">
        <f t="shared" si="1067"/>
        <v>Def TaxR</v>
      </c>
      <c r="AQ2208" s="41" t="str">
        <f t="shared" si="1068"/>
        <v>Def TaxRR11Merger Related</v>
      </c>
      <c r="AR2208" s="41" t="str">
        <f t="shared" si="1069"/>
        <v>R11Merger Related</v>
      </c>
    </row>
    <row r="2209" spans="1:44" s="41" customFormat="1" ht="12.75" customHeight="1">
      <c r="A2209" s="25" t="s">
        <v>1590</v>
      </c>
      <c r="B2209" s="25" t="str">
        <f t="shared" si="1061"/>
        <v>Def Tax283310283-066/
283-065BT010196</v>
      </c>
      <c r="C2209" s="736">
        <v>283310</v>
      </c>
      <c r="D2209" s="735" t="s">
        <v>2284</v>
      </c>
      <c r="E2209" s="41" t="s">
        <v>1810</v>
      </c>
      <c r="F2209" s="41" t="str">
        <f t="shared" si="1056"/>
        <v>ACCUM DEF INC TAX-OTH-FEDERAL-GAS-NONOP</v>
      </c>
      <c r="G2209" s="41" t="s">
        <v>2285</v>
      </c>
      <c r="H2209" s="736" t="s">
        <v>1629</v>
      </c>
      <c r="I2209" s="25"/>
      <c r="J2209" s="25" t="str">
        <f t="shared" si="1060"/>
        <v/>
      </c>
      <c r="K2209" s="442" t="str">
        <f t="shared" si="1063"/>
        <v/>
      </c>
      <c r="L2209" s="736" t="s">
        <v>2443</v>
      </c>
      <c r="M2209" s="25" t="str">
        <f t="shared" si="1066"/>
        <v>R</v>
      </c>
      <c r="N2209" s="25" t="str">
        <f>IF(L2209&lt;&gt;"",VLOOKUP(L2209,Categories!$B$2:$D$41,2,FALSE),IF(F2209&lt;&gt;"","No Cat",""))</f>
        <v>Rate Base</v>
      </c>
      <c r="O2209" s="25" t="str">
        <f>IF($L2209&lt;&gt;"",VLOOKUP($L2209,Categories!$B$2:$D$41,3,FALSE),IF($F2209&lt;&gt;"","No Cat",""))</f>
        <v>Deferred Income Taxes</v>
      </c>
      <c r="P2209" s="736" t="s">
        <v>2483</v>
      </c>
      <c r="Q2209" s="25" t="str">
        <f>VLOOKUP($P2209,Allocators!$B$7:$F$19,5,FALSE)</f>
        <v>Gas</v>
      </c>
      <c r="R2209" s="737">
        <f>VLOOKUP($P2209,Allocators!$B$7:$F$19,2,FALSE)</f>
        <v>0</v>
      </c>
      <c r="S2209" s="737">
        <f>VLOOKUP($P2209,Allocators!$B$7:$F$19,3,FALSE)</f>
        <v>1</v>
      </c>
      <c r="T2209" s="737" t="str">
        <f t="shared" si="1062"/>
        <v>0.0%</v>
      </c>
      <c r="U2209" s="2" t="str">
        <f t="shared" si="1073"/>
        <v/>
      </c>
      <c r="V2209" s="2" t="str">
        <f t="shared" si="1074"/>
        <v/>
      </c>
      <c r="W2209" s="2" t="str">
        <f t="shared" si="1075"/>
        <v/>
      </c>
      <c r="X2209" s="2">
        <f t="shared" si="1071"/>
        <v>0</v>
      </c>
      <c r="Y2209" s="2" t="str">
        <f t="shared" si="1076"/>
        <v/>
      </c>
      <c r="Z2209" s="2" t="str">
        <f t="shared" si="1077"/>
        <v/>
      </c>
      <c r="AA2209" s="2" t="str">
        <f t="shared" si="1078"/>
        <v/>
      </c>
      <c r="AB2209" s="2">
        <f t="shared" si="1072"/>
        <v>0</v>
      </c>
      <c r="AC2209" s="741">
        <v>0</v>
      </c>
      <c r="AD2209" s="625">
        <v>0</v>
      </c>
      <c r="AE2209" s="625">
        <v>0</v>
      </c>
      <c r="AF2209" s="625">
        <v>0</v>
      </c>
      <c r="AG2209" s="625">
        <v>0</v>
      </c>
      <c r="AH2209" s="625">
        <v>0</v>
      </c>
      <c r="AI2209" s="625">
        <v>0</v>
      </c>
      <c r="AJ2209" s="625">
        <v>0</v>
      </c>
      <c r="AK2209" s="625">
        <v>0</v>
      </c>
      <c r="AL2209" s="625">
        <v>0</v>
      </c>
      <c r="AM2209" s="625">
        <v>0</v>
      </c>
      <c r="AN2209" s="625">
        <v>0</v>
      </c>
      <c r="AO2209" s="625">
        <v>0</v>
      </c>
      <c r="AP2209" s="41" t="str">
        <f t="shared" si="1067"/>
        <v>Def TaxR</v>
      </c>
      <c r="AQ2209" s="41" t="str">
        <f t="shared" si="1068"/>
        <v>Def TaxRR11Merger Related</v>
      </c>
      <c r="AR2209" s="41" t="str">
        <f t="shared" si="1069"/>
        <v>R11Merger Related</v>
      </c>
    </row>
    <row r="2210" spans="1:44" s="41" customFormat="1" ht="12.75" customHeight="1">
      <c r="A2210" s="25" t="s">
        <v>1590</v>
      </c>
      <c r="B2210" s="25" t="str">
        <f t="shared" si="1061"/>
        <v>Def Tax283400283-048/
283-043BT010229</v>
      </c>
      <c r="C2210" s="736">
        <v>283400</v>
      </c>
      <c r="D2210" s="735" t="s">
        <v>2286</v>
      </c>
      <c r="E2210" s="41" t="s">
        <v>2063</v>
      </c>
      <c r="F2210" s="41" t="str">
        <f t="shared" si="1056"/>
        <v>ACCUM DEF INC TAX-OTH-STATE-ELECTRIC</v>
      </c>
      <c r="G2210" s="41" t="s">
        <v>2287</v>
      </c>
      <c r="H2210" s="736">
        <v>0</v>
      </c>
      <c r="I2210" s="25"/>
      <c r="J2210" s="25" t="str">
        <f t="shared" si="1060"/>
        <v/>
      </c>
      <c r="K2210" s="442" t="str">
        <f t="shared" si="1063"/>
        <v/>
      </c>
      <c r="L2210" s="736" t="s">
        <v>2443</v>
      </c>
      <c r="M2210" s="25" t="str">
        <f t="shared" si="1066"/>
        <v>R</v>
      </c>
      <c r="N2210" s="25" t="str">
        <f>IF(L2210&lt;&gt;"",VLOOKUP(L2210,Categories!$B$2:$D$41,2,FALSE),IF(F2210&lt;&gt;"","No Cat",""))</f>
        <v>Rate Base</v>
      </c>
      <c r="O2210" s="25" t="str">
        <f>IF($L2210&lt;&gt;"",VLOOKUP($L2210,Categories!$B$2:$D$41,3,FALSE),IF($F2210&lt;&gt;"","No Cat",""))</f>
        <v>Deferred Income Taxes</v>
      </c>
      <c r="P2210" s="736" t="s">
        <v>2482</v>
      </c>
      <c r="Q2210" s="25" t="str">
        <f>VLOOKUP($P2210,Allocators!$B$7:$F$19,5,FALSE)</f>
        <v>Electric</v>
      </c>
      <c r="R2210" s="737">
        <f>VLOOKUP($P2210,Allocators!$B$7:$F$19,2,FALSE)</f>
        <v>1</v>
      </c>
      <c r="S2210" s="737">
        <f>VLOOKUP($P2210,Allocators!$B$7:$F$19,3,FALSE)</f>
        <v>0</v>
      </c>
      <c r="T2210" s="737" t="str">
        <f t="shared" si="1062"/>
        <v>0.0%</v>
      </c>
      <c r="U2210" s="2" t="str">
        <f t="shared" si="1073"/>
        <v/>
      </c>
      <c r="V2210" s="2" t="str">
        <f t="shared" si="1074"/>
        <v/>
      </c>
      <c r="W2210" s="2" t="str">
        <f t="shared" si="1075"/>
        <v/>
      </c>
      <c r="X2210" s="2">
        <f t="shared" si="1071"/>
        <v>0</v>
      </c>
      <c r="Y2210" s="2" t="str">
        <f t="shared" si="1076"/>
        <v/>
      </c>
      <c r="Z2210" s="2" t="str">
        <f t="shared" si="1077"/>
        <v/>
      </c>
      <c r="AA2210" s="2" t="str">
        <f t="shared" si="1078"/>
        <v/>
      </c>
      <c r="AB2210" s="2">
        <f t="shared" si="1072"/>
        <v>0</v>
      </c>
      <c r="AC2210" s="625">
        <v>0</v>
      </c>
      <c r="AD2210" s="625">
        <v>0</v>
      </c>
      <c r="AE2210" s="625">
        <v>0</v>
      </c>
      <c r="AF2210" s="625">
        <v>0</v>
      </c>
      <c r="AG2210" s="625">
        <v>0</v>
      </c>
      <c r="AH2210" s="625">
        <v>0</v>
      </c>
      <c r="AI2210" s="625">
        <v>0</v>
      </c>
      <c r="AJ2210" s="625">
        <v>0</v>
      </c>
      <c r="AK2210" s="625">
        <v>0</v>
      </c>
      <c r="AL2210" s="625">
        <v>0</v>
      </c>
      <c r="AM2210" s="625">
        <v>0</v>
      </c>
      <c r="AN2210" s="625">
        <v>0</v>
      </c>
      <c r="AO2210" s="625">
        <v>0</v>
      </c>
      <c r="AP2210" s="41" t="str">
        <f t="shared" si="1067"/>
        <v>Def TaxR</v>
      </c>
      <c r="AQ2210" s="41" t="str">
        <f t="shared" si="1068"/>
        <v>Def TaxRR110</v>
      </c>
      <c r="AR2210" s="41" t="str">
        <f t="shared" si="1069"/>
        <v>R110</v>
      </c>
    </row>
    <row r="2211" spans="1:44" s="41" customFormat="1" ht="12.75" customHeight="1">
      <c r="A2211" s="25" t="s">
        <v>1590</v>
      </c>
      <c r="B2211" s="25" t="str">
        <f t="shared" si="1061"/>
        <v>Def Tax283400AMT CREDIT</v>
      </c>
      <c r="C2211" s="736">
        <v>283400</v>
      </c>
      <c r="D2211" s="735" t="s">
        <v>2288</v>
      </c>
      <c r="F2211" s="41" t="str">
        <f t="shared" ref="F2211:F2276" si="1079">VLOOKUP(C2211,$C$7:$F$787,4,FALSE)</f>
        <v>ACCUM DEF INC TAX-OTH-STATE-ELECTRIC</v>
      </c>
      <c r="G2211" s="41" t="s">
        <v>2288</v>
      </c>
      <c r="H2211" s="736">
        <v>0</v>
      </c>
      <c r="I2211" s="25"/>
      <c r="J2211" s="25" t="str">
        <f t="shared" si="1060"/>
        <v/>
      </c>
      <c r="K2211" s="442" t="str">
        <f t="shared" si="1063"/>
        <v/>
      </c>
      <c r="L2211" s="736" t="s">
        <v>2443</v>
      </c>
      <c r="M2211" s="25" t="str">
        <f t="shared" si="1066"/>
        <v>R</v>
      </c>
      <c r="N2211" s="25" t="str">
        <f>IF(L2211&lt;&gt;"",VLOOKUP(L2211,Categories!$B$2:$D$41,2,FALSE),IF(F2211&lt;&gt;"","No Cat",""))</f>
        <v>Rate Base</v>
      </c>
      <c r="O2211" s="25" t="str">
        <f>IF($L2211&lt;&gt;"",VLOOKUP($L2211,Categories!$B$2:$D$41,3,FALSE),IF($F2211&lt;&gt;"","No Cat",""))</f>
        <v>Deferred Income Taxes</v>
      </c>
      <c r="P2211" s="736" t="s">
        <v>2482</v>
      </c>
      <c r="Q2211" s="25" t="str">
        <f>VLOOKUP($P2211,Allocators!$B$7:$F$19,5,FALSE)</f>
        <v>Electric</v>
      </c>
      <c r="R2211" s="737">
        <f>VLOOKUP($P2211,Allocators!$B$7:$F$19,2,FALSE)</f>
        <v>1</v>
      </c>
      <c r="S2211" s="737">
        <f>VLOOKUP($P2211,Allocators!$B$7:$F$19,3,FALSE)</f>
        <v>0</v>
      </c>
      <c r="T2211" s="737" t="str">
        <f t="shared" si="1062"/>
        <v>0.0%</v>
      </c>
      <c r="U2211" s="2" t="str">
        <f t="shared" si="1073"/>
        <v/>
      </c>
      <c r="V2211" s="2" t="str">
        <f t="shared" si="1074"/>
        <v/>
      </c>
      <c r="W2211" s="2" t="str">
        <f t="shared" si="1075"/>
        <v/>
      </c>
      <c r="X2211" s="2">
        <f t="shared" si="1071"/>
        <v>0</v>
      </c>
      <c r="Y2211" s="2" t="str">
        <f t="shared" si="1076"/>
        <v/>
      </c>
      <c r="Z2211" s="2" t="str">
        <f t="shared" si="1077"/>
        <v/>
      </c>
      <c r="AA2211" s="2" t="str">
        <f t="shared" si="1078"/>
        <v/>
      </c>
      <c r="AB2211" s="2">
        <f t="shared" si="1072"/>
        <v>0</v>
      </c>
      <c r="AC2211" s="625">
        <v>0</v>
      </c>
      <c r="AD2211" s="625">
        <v>0</v>
      </c>
      <c r="AE2211" s="625">
        <v>0</v>
      </c>
      <c r="AF2211" s="625">
        <v>0</v>
      </c>
      <c r="AG2211" s="625">
        <v>0</v>
      </c>
      <c r="AH2211" s="625">
        <v>0</v>
      </c>
      <c r="AI2211" s="625">
        <v>0</v>
      </c>
      <c r="AJ2211" s="625">
        <v>0</v>
      </c>
      <c r="AK2211" s="625">
        <v>0</v>
      </c>
      <c r="AL2211" s="625">
        <v>0</v>
      </c>
      <c r="AM2211" s="625">
        <v>0</v>
      </c>
      <c r="AN2211" s="625">
        <v>0</v>
      </c>
      <c r="AO2211" s="625">
        <v>0</v>
      </c>
      <c r="AP2211" s="41" t="str">
        <f t="shared" si="1067"/>
        <v>Def TaxR</v>
      </c>
      <c r="AQ2211" s="41" t="str">
        <f t="shared" si="1068"/>
        <v>Def TaxRR110</v>
      </c>
      <c r="AR2211" s="41" t="str">
        <f t="shared" si="1069"/>
        <v>R110</v>
      </c>
    </row>
    <row r="2212" spans="1:44" s="41" customFormat="1" ht="12.75" customHeight="1">
      <c r="A2212" s="25" t="s">
        <v>1590</v>
      </c>
      <c r="B2212" s="25" t="str">
        <f t="shared" si="1061"/>
        <v>Def Tax283400283-020</v>
      </c>
      <c r="C2212" s="736">
        <v>283400</v>
      </c>
      <c r="D2212" s="735" t="s">
        <v>1826</v>
      </c>
      <c r="F2212" s="41" t="str">
        <f t="shared" si="1079"/>
        <v>ACCUM DEF INC TAX-OTH-STATE-ELECTRIC</v>
      </c>
      <c r="G2212" s="41" t="s">
        <v>1828</v>
      </c>
      <c r="H2212" s="736" t="s">
        <v>1829</v>
      </c>
      <c r="I2212" s="25"/>
      <c r="J2212" s="25" t="str">
        <f t="shared" ref="J2212:J2277" si="1080">IF(L2212="N10","Y",IF(L2212="N8","Y",""))</f>
        <v/>
      </c>
      <c r="K2212" s="442" t="str">
        <f t="shared" si="1063"/>
        <v/>
      </c>
      <c r="L2212" s="736" t="s">
        <v>2443</v>
      </c>
      <c r="M2212" s="25" t="str">
        <f t="shared" si="1066"/>
        <v>R</v>
      </c>
      <c r="N2212" s="25" t="str">
        <f>IF(L2212&lt;&gt;"",VLOOKUP(L2212,Categories!$B$2:$D$41,2,FALSE),IF(F2212&lt;&gt;"","No Cat",""))</f>
        <v>Rate Base</v>
      </c>
      <c r="O2212" s="25" t="str">
        <f>IF($L2212&lt;&gt;"",VLOOKUP($L2212,Categories!$B$2:$D$41,3,FALSE),IF($F2212&lt;&gt;"","No Cat",""))</f>
        <v>Deferred Income Taxes</v>
      </c>
      <c r="P2212" s="736" t="s">
        <v>2482</v>
      </c>
      <c r="Q2212" s="25" t="str">
        <f>VLOOKUP($P2212,Allocators!$B$7:$F$19,5,FALSE)</f>
        <v>Electric</v>
      </c>
      <c r="R2212" s="737">
        <f>VLOOKUP($P2212,Allocators!$B$7:$F$19,2,FALSE)</f>
        <v>1</v>
      </c>
      <c r="S2212" s="737">
        <f>VLOOKUP($P2212,Allocators!$B$7:$F$19,3,FALSE)</f>
        <v>0</v>
      </c>
      <c r="T2212" s="737" t="str">
        <f t="shared" si="1062"/>
        <v>0.0%</v>
      </c>
      <c r="U2212" s="2" t="str">
        <f t="shared" si="1073"/>
        <v/>
      </c>
      <c r="V2212" s="2" t="str">
        <f t="shared" si="1074"/>
        <v/>
      </c>
      <c r="W2212" s="2" t="str">
        <f t="shared" si="1075"/>
        <v/>
      </c>
      <c r="X2212" s="2">
        <f t="shared" si="1071"/>
        <v>0</v>
      </c>
      <c r="Y2212" s="2" t="str">
        <f t="shared" si="1076"/>
        <v/>
      </c>
      <c r="Z2212" s="2" t="str">
        <f t="shared" si="1077"/>
        <v/>
      </c>
      <c r="AA2212" s="2" t="str">
        <f t="shared" si="1078"/>
        <v/>
      </c>
      <c r="AB2212" s="2">
        <f t="shared" si="1072"/>
        <v>0</v>
      </c>
      <c r="AC2212" s="625">
        <v>0</v>
      </c>
      <c r="AD2212" s="625">
        <v>0</v>
      </c>
      <c r="AE2212" s="625">
        <v>0</v>
      </c>
      <c r="AF2212" s="625">
        <v>0</v>
      </c>
      <c r="AG2212" s="625">
        <v>0</v>
      </c>
      <c r="AH2212" s="625">
        <v>0</v>
      </c>
      <c r="AI2212" s="625">
        <v>0</v>
      </c>
      <c r="AJ2212" s="625">
        <v>0</v>
      </c>
      <c r="AK2212" s="625">
        <v>0</v>
      </c>
      <c r="AL2212" s="625">
        <v>0</v>
      </c>
      <c r="AM2212" s="625">
        <v>0</v>
      </c>
      <c r="AN2212" s="625">
        <v>0</v>
      </c>
      <c r="AO2212" s="625">
        <v>0</v>
      </c>
      <c r="AP2212" s="41" t="str">
        <f t="shared" si="1067"/>
        <v>Def TaxR</v>
      </c>
      <c r="AQ2212" s="41" t="str">
        <f t="shared" si="1068"/>
        <v>Def TaxRR11Bad Debts</v>
      </c>
      <c r="AR2212" s="41" t="str">
        <f t="shared" si="1069"/>
        <v>R11Bad Debts</v>
      </c>
    </row>
    <row r="2213" spans="1:44" s="41" customFormat="1" ht="12.75" customHeight="1">
      <c r="A2213" s="25" t="s">
        <v>1590</v>
      </c>
      <c r="B2213" s="25" t="str">
        <f t="shared" si="1061"/>
        <v>Def Tax283400283-049</v>
      </c>
      <c r="C2213" s="736">
        <v>283400</v>
      </c>
      <c r="D2213" s="735" t="s">
        <v>1888</v>
      </c>
      <c r="F2213" s="41" t="str">
        <f t="shared" si="1079"/>
        <v>ACCUM DEF INC TAX-OTH-STATE-ELECTRIC</v>
      </c>
      <c r="G2213" s="41" t="s">
        <v>1889</v>
      </c>
      <c r="H2213" s="736" t="s">
        <v>1890</v>
      </c>
      <c r="I2213" s="25"/>
      <c r="J2213" s="25" t="str">
        <f t="shared" si="1080"/>
        <v/>
      </c>
      <c r="K2213" s="442" t="str">
        <f t="shared" si="1063"/>
        <v/>
      </c>
      <c r="L2213" s="736" t="s">
        <v>2443</v>
      </c>
      <c r="M2213" s="25" t="str">
        <f t="shared" si="1066"/>
        <v>R</v>
      </c>
      <c r="N2213" s="25" t="str">
        <f>IF(L2213&lt;&gt;"",VLOOKUP(L2213,Categories!$B$2:$D$41,2,FALSE),IF(F2213&lt;&gt;"","No Cat",""))</f>
        <v>Rate Base</v>
      </c>
      <c r="O2213" s="25" t="str">
        <f>IF($L2213&lt;&gt;"",VLOOKUP($L2213,Categories!$B$2:$D$41,3,FALSE),IF($F2213&lt;&gt;"","No Cat",""))</f>
        <v>Deferred Income Taxes</v>
      </c>
      <c r="P2213" s="736" t="s">
        <v>2482</v>
      </c>
      <c r="Q2213" s="25" t="str">
        <f>VLOOKUP($P2213,Allocators!$B$7:$F$19,5,FALSE)</f>
        <v>Electric</v>
      </c>
      <c r="R2213" s="737">
        <f>VLOOKUP($P2213,Allocators!$B$7:$F$19,2,FALSE)</f>
        <v>1</v>
      </c>
      <c r="S2213" s="737">
        <f>VLOOKUP($P2213,Allocators!$B$7:$F$19,3,FALSE)</f>
        <v>0</v>
      </c>
      <c r="T2213" s="737" t="str">
        <f t="shared" si="1062"/>
        <v>0.0%</v>
      </c>
      <c r="U2213" s="2" t="str">
        <f t="shared" si="1073"/>
        <v/>
      </c>
      <c r="V2213" s="2" t="str">
        <f t="shared" si="1074"/>
        <v/>
      </c>
      <c r="W2213" s="2" t="str">
        <f t="shared" si="1075"/>
        <v/>
      </c>
      <c r="X2213" s="2">
        <f t="shared" si="1071"/>
        <v>0</v>
      </c>
      <c r="Y2213" s="2" t="str">
        <f t="shared" si="1076"/>
        <v/>
      </c>
      <c r="Z2213" s="2" t="str">
        <f t="shared" si="1077"/>
        <v/>
      </c>
      <c r="AA2213" s="2" t="str">
        <f t="shared" si="1078"/>
        <v/>
      </c>
      <c r="AB2213" s="2">
        <f t="shared" si="1072"/>
        <v>0</v>
      </c>
      <c r="AC2213" s="625">
        <v>0</v>
      </c>
      <c r="AD2213" s="625">
        <v>0</v>
      </c>
      <c r="AE2213" s="625">
        <v>0</v>
      </c>
      <c r="AF2213" s="625">
        <v>0</v>
      </c>
      <c r="AG2213" s="625">
        <v>0</v>
      </c>
      <c r="AH2213" s="625">
        <v>0</v>
      </c>
      <c r="AI2213" s="625">
        <v>0</v>
      </c>
      <c r="AJ2213" s="625">
        <v>0</v>
      </c>
      <c r="AK2213" s="625">
        <v>0</v>
      </c>
      <c r="AL2213" s="625">
        <v>0</v>
      </c>
      <c r="AM2213" s="625">
        <v>0</v>
      </c>
      <c r="AN2213" s="625">
        <v>0</v>
      </c>
      <c r="AO2213" s="625">
        <v>0</v>
      </c>
      <c r="AP2213" s="41" t="str">
        <f t="shared" si="1067"/>
        <v>Def TaxR</v>
      </c>
      <c r="AQ2213" s="41" t="str">
        <f t="shared" si="1068"/>
        <v>Def TaxRR11Beebee</v>
      </c>
      <c r="AR2213" s="41" t="str">
        <f t="shared" si="1069"/>
        <v>R11Beebee</v>
      </c>
    </row>
    <row r="2214" spans="1:44" s="41" customFormat="1" ht="12.75" customHeight="1">
      <c r="A2214" s="25" t="s">
        <v>1590</v>
      </c>
      <c r="B2214" s="25" t="str">
        <f t="shared" si="1061"/>
        <v>Def Tax283400283-048</v>
      </c>
      <c r="C2214" s="736">
        <v>283400</v>
      </c>
      <c r="D2214" s="735" t="s">
        <v>2135</v>
      </c>
      <c r="F2214" s="41" t="str">
        <f t="shared" si="1079"/>
        <v>ACCUM DEF INC TAX-OTH-STATE-ELECTRIC</v>
      </c>
      <c r="G2214" s="41" t="s">
        <v>2136</v>
      </c>
      <c r="H2214" s="736">
        <v>0</v>
      </c>
      <c r="I2214" s="25"/>
      <c r="J2214" s="25" t="str">
        <f t="shared" si="1080"/>
        <v/>
      </c>
      <c r="K2214" s="442" t="str">
        <f t="shared" si="1063"/>
        <v/>
      </c>
      <c r="L2214" s="736" t="s">
        <v>2443</v>
      </c>
      <c r="M2214" s="25" t="str">
        <f t="shared" si="1066"/>
        <v>R</v>
      </c>
      <c r="N2214" s="25" t="str">
        <f>IF(L2214&lt;&gt;"",VLOOKUP(L2214,Categories!$B$2:$D$41,2,FALSE),IF(F2214&lt;&gt;"","No Cat",""))</f>
        <v>Rate Base</v>
      </c>
      <c r="O2214" s="25" t="str">
        <f>IF($L2214&lt;&gt;"",VLOOKUP($L2214,Categories!$B$2:$D$41,3,FALSE),IF($F2214&lt;&gt;"","No Cat",""))</f>
        <v>Deferred Income Taxes</v>
      </c>
      <c r="P2214" s="736" t="s">
        <v>2482</v>
      </c>
      <c r="Q2214" s="25" t="str">
        <f>VLOOKUP($P2214,Allocators!$B$7:$F$19,5,FALSE)</f>
        <v>Electric</v>
      </c>
      <c r="R2214" s="737">
        <f>VLOOKUP($P2214,Allocators!$B$7:$F$19,2,FALSE)</f>
        <v>1</v>
      </c>
      <c r="S2214" s="737">
        <f>VLOOKUP($P2214,Allocators!$B$7:$F$19,3,FALSE)</f>
        <v>0</v>
      </c>
      <c r="T2214" s="737" t="str">
        <f t="shared" si="1062"/>
        <v>0.0%</v>
      </c>
      <c r="U2214" s="2" t="str">
        <f t="shared" si="1073"/>
        <v/>
      </c>
      <c r="V2214" s="2" t="str">
        <f t="shared" si="1074"/>
        <v/>
      </c>
      <c r="W2214" s="2" t="str">
        <f t="shared" si="1075"/>
        <v/>
      </c>
      <c r="X2214" s="2">
        <f t="shared" si="1071"/>
        <v>0</v>
      </c>
      <c r="Y2214" s="2" t="str">
        <f t="shared" si="1076"/>
        <v/>
      </c>
      <c r="Z2214" s="2" t="str">
        <f t="shared" si="1077"/>
        <v/>
      </c>
      <c r="AA2214" s="2" t="str">
        <f t="shared" si="1078"/>
        <v/>
      </c>
      <c r="AB2214" s="2">
        <f t="shared" si="1072"/>
        <v>0</v>
      </c>
      <c r="AC2214" s="625">
        <v>0</v>
      </c>
      <c r="AD2214" s="625">
        <v>0</v>
      </c>
      <c r="AE2214" s="625">
        <v>0</v>
      </c>
      <c r="AF2214" s="625">
        <v>0</v>
      </c>
      <c r="AG2214" s="625">
        <v>0</v>
      </c>
      <c r="AH2214" s="625">
        <v>0</v>
      </c>
      <c r="AI2214" s="625">
        <v>0</v>
      </c>
      <c r="AJ2214" s="625">
        <v>0</v>
      </c>
      <c r="AK2214" s="625">
        <v>0</v>
      </c>
      <c r="AL2214" s="625">
        <v>0</v>
      </c>
      <c r="AM2214" s="625">
        <v>0</v>
      </c>
      <c r="AN2214" s="625">
        <v>0</v>
      </c>
      <c r="AO2214" s="625">
        <v>0</v>
      </c>
      <c r="AP2214" s="41" t="str">
        <f t="shared" si="1067"/>
        <v>Def TaxR</v>
      </c>
      <c r="AQ2214" s="41" t="str">
        <f t="shared" si="1068"/>
        <v>Def TaxRR110</v>
      </c>
      <c r="AR2214" s="41" t="str">
        <f t="shared" si="1069"/>
        <v>R110</v>
      </c>
    </row>
    <row r="2215" spans="1:44" s="41" customFormat="1" ht="12.75" customHeight="1">
      <c r="A2215" s="25" t="s">
        <v>1590</v>
      </c>
      <c r="B2215" s="25" t="str">
        <f t="shared" si="1061"/>
        <v>Def Tax283400283-071-JP</v>
      </c>
      <c r="C2215" s="736">
        <v>283400</v>
      </c>
      <c r="D2215" s="735" t="s">
        <v>2036</v>
      </c>
      <c r="F2215" s="41" t="str">
        <f t="shared" si="1079"/>
        <v>ACCUM DEF INC TAX-OTH-STATE-ELECTRIC</v>
      </c>
      <c r="G2215" s="41" t="s">
        <v>2137</v>
      </c>
      <c r="H2215" s="736" t="s">
        <v>1893</v>
      </c>
      <c r="I2215" s="25"/>
      <c r="J2215" s="25" t="str">
        <f t="shared" si="1080"/>
        <v/>
      </c>
      <c r="K2215" s="442" t="str">
        <f t="shared" si="1063"/>
        <v/>
      </c>
      <c r="L2215" s="736" t="s">
        <v>2443</v>
      </c>
      <c r="M2215" s="25" t="str">
        <f t="shared" si="1066"/>
        <v>R</v>
      </c>
      <c r="N2215" s="25" t="str">
        <f>IF(L2215&lt;&gt;"",VLOOKUP(L2215,Categories!$B$2:$D$41,2,FALSE),IF(F2215&lt;&gt;"","No Cat",""))</f>
        <v>Rate Base</v>
      </c>
      <c r="O2215" s="25" t="str">
        <f>IF($L2215&lt;&gt;"",VLOOKUP($L2215,Categories!$B$2:$D$41,3,FALSE),IF($F2215&lt;&gt;"","No Cat",""))</f>
        <v>Deferred Income Taxes</v>
      </c>
      <c r="P2215" s="736" t="s">
        <v>2482</v>
      </c>
      <c r="Q2215" s="25" t="str">
        <f>VLOOKUP($P2215,Allocators!$B$7:$F$19,5,FALSE)</f>
        <v>Electric</v>
      </c>
      <c r="R2215" s="737">
        <f>VLOOKUP($P2215,Allocators!$B$7:$F$19,2,FALSE)</f>
        <v>1</v>
      </c>
      <c r="S2215" s="737">
        <f>VLOOKUP($P2215,Allocators!$B$7:$F$19,3,FALSE)</f>
        <v>0</v>
      </c>
      <c r="T2215" s="737" t="str">
        <f t="shared" si="1062"/>
        <v>0.0%</v>
      </c>
      <c r="U2215" s="2" t="str">
        <f t="shared" si="1073"/>
        <v/>
      </c>
      <c r="V2215" s="2" t="str">
        <f t="shared" si="1074"/>
        <v/>
      </c>
      <c r="W2215" s="2" t="str">
        <f t="shared" si="1075"/>
        <v/>
      </c>
      <c r="X2215" s="2">
        <f t="shared" si="1071"/>
        <v>0</v>
      </c>
      <c r="Y2215" s="2" t="str">
        <f t="shared" si="1076"/>
        <v/>
      </c>
      <c r="Z2215" s="2" t="str">
        <f t="shared" si="1077"/>
        <v/>
      </c>
      <c r="AA2215" s="2" t="str">
        <f t="shared" si="1078"/>
        <v/>
      </c>
      <c r="AB2215" s="2">
        <f t="shared" si="1072"/>
        <v>0</v>
      </c>
      <c r="AC2215" s="625">
        <v>0</v>
      </c>
      <c r="AD2215" s="625">
        <v>0</v>
      </c>
      <c r="AE2215" s="625">
        <v>0</v>
      </c>
      <c r="AF2215" s="625">
        <v>0</v>
      </c>
      <c r="AG2215" s="625">
        <v>0</v>
      </c>
      <c r="AH2215" s="625">
        <v>0</v>
      </c>
      <c r="AI2215" s="625">
        <v>0</v>
      </c>
      <c r="AJ2215" s="625">
        <v>0</v>
      </c>
      <c r="AK2215" s="625">
        <v>0</v>
      </c>
      <c r="AL2215" s="625">
        <v>0</v>
      </c>
      <c r="AM2215" s="625">
        <v>0</v>
      </c>
      <c r="AN2215" s="625">
        <v>0</v>
      </c>
      <c r="AO2215" s="625">
        <v>0</v>
      </c>
      <c r="AP2215" s="41" t="str">
        <f t="shared" si="1067"/>
        <v>Def TaxR</v>
      </c>
      <c r="AQ2215" s="41" t="str">
        <f t="shared" si="1068"/>
        <v>Def TaxRR112003 Blackout</v>
      </c>
      <c r="AR2215" s="41" t="str">
        <f t="shared" si="1069"/>
        <v>R112003 Blackout</v>
      </c>
    </row>
    <row r="2216" spans="1:44" s="41" customFormat="1" ht="12.75" customHeight="1">
      <c r="A2216" s="25" t="s">
        <v>1590</v>
      </c>
      <c r="B2216" s="25" t="str">
        <f t="shared" si="1061"/>
        <v>Def Tax283400283-087BT010264</v>
      </c>
      <c r="C2216" s="736">
        <v>283400</v>
      </c>
      <c r="D2216" s="735" t="s">
        <v>2138</v>
      </c>
      <c r="E2216" s="41" t="s">
        <v>2139</v>
      </c>
      <c r="F2216" s="41" t="str">
        <f t="shared" si="1079"/>
        <v>ACCUM DEF INC TAX-OTH-STATE-ELECTRIC</v>
      </c>
      <c r="G2216" s="41" t="s">
        <v>2140</v>
      </c>
      <c r="H2216" s="736" t="s">
        <v>2141</v>
      </c>
      <c r="I2216" s="25"/>
      <c r="J2216" s="25" t="str">
        <f t="shared" si="1080"/>
        <v/>
      </c>
      <c r="K2216" s="442" t="str">
        <f t="shared" si="1063"/>
        <v/>
      </c>
      <c r="L2216" s="736" t="s">
        <v>2443</v>
      </c>
      <c r="M2216" s="25" t="str">
        <f t="shared" si="1066"/>
        <v>R</v>
      </c>
      <c r="N2216" s="25" t="str">
        <f>IF(L2216&lt;&gt;"",VLOOKUP(L2216,Categories!$B$2:$D$41,2,FALSE),IF(F2216&lt;&gt;"","No Cat",""))</f>
        <v>Rate Base</v>
      </c>
      <c r="O2216" s="25" t="str">
        <f>IF($L2216&lt;&gt;"",VLOOKUP($L2216,Categories!$B$2:$D$41,3,FALSE),IF($F2216&lt;&gt;"","No Cat",""))</f>
        <v>Deferred Income Taxes</v>
      </c>
      <c r="P2216" s="736" t="s">
        <v>2482</v>
      </c>
      <c r="Q2216" s="25" t="str">
        <f>VLOOKUP($P2216,Allocators!$B$7:$F$19,5,FALSE)</f>
        <v>Electric</v>
      </c>
      <c r="R2216" s="737">
        <f>VLOOKUP($P2216,Allocators!$B$7:$F$19,2,FALSE)</f>
        <v>1</v>
      </c>
      <c r="S2216" s="737">
        <f>VLOOKUP($P2216,Allocators!$B$7:$F$19,3,FALSE)</f>
        <v>0</v>
      </c>
      <c r="T2216" s="737" t="str">
        <f t="shared" si="1062"/>
        <v>0.0%</v>
      </c>
      <c r="U2216" s="2" t="str">
        <f t="shared" si="1073"/>
        <v/>
      </c>
      <c r="V2216" s="2" t="str">
        <f t="shared" si="1074"/>
        <v/>
      </c>
      <c r="W2216" s="2" t="str">
        <f t="shared" si="1075"/>
        <v/>
      </c>
      <c r="X2216" s="2">
        <f t="shared" si="1071"/>
        <v>0</v>
      </c>
      <c r="Y2216" s="2" t="str">
        <f t="shared" si="1076"/>
        <v/>
      </c>
      <c r="Z2216" s="2" t="str">
        <f t="shared" si="1077"/>
        <v/>
      </c>
      <c r="AA2216" s="2" t="str">
        <f t="shared" si="1078"/>
        <v/>
      </c>
      <c r="AB2216" s="2">
        <f t="shared" si="1072"/>
        <v>0</v>
      </c>
      <c r="AC2216" s="625">
        <v>0</v>
      </c>
      <c r="AD2216" s="625">
        <v>0</v>
      </c>
      <c r="AE2216" s="625">
        <v>0</v>
      </c>
      <c r="AF2216" s="625">
        <v>0</v>
      </c>
      <c r="AG2216" s="625">
        <v>0</v>
      </c>
      <c r="AH2216" s="625">
        <v>0</v>
      </c>
      <c r="AI2216" s="625">
        <v>0</v>
      </c>
      <c r="AJ2216" s="625">
        <v>0</v>
      </c>
      <c r="AK2216" s="625">
        <v>0</v>
      </c>
      <c r="AL2216" s="625">
        <v>0</v>
      </c>
      <c r="AM2216" s="625">
        <v>0</v>
      </c>
      <c r="AN2216" s="625">
        <v>0</v>
      </c>
      <c r="AO2216" s="625">
        <v>0</v>
      </c>
      <c r="AP2216" s="41" t="str">
        <f t="shared" si="1067"/>
        <v>Def TaxR</v>
      </c>
      <c r="AQ2216" s="41" t="str">
        <f t="shared" si="1068"/>
        <v>Def TaxRR11Casualty Loss</v>
      </c>
      <c r="AR2216" s="41" t="str">
        <f t="shared" si="1069"/>
        <v>R11Casualty Loss</v>
      </c>
    </row>
    <row r="2217" spans="1:44" s="41" customFormat="1" ht="12.75" customHeight="1">
      <c r="A2217" s="25" t="s">
        <v>1590</v>
      </c>
      <c r="B2217" s="25" t="str">
        <f t="shared" si="1061"/>
        <v>Def Tax283400283-070BT010225/
BT010036</v>
      </c>
      <c r="C2217" s="736">
        <v>283400</v>
      </c>
      <c r="D2217" s="735" t="s">
        <v>2144</v>
      </c>
      <c r="E2217" s="41" t="s">
        <v>2145</v>
      </c>
      <c r="F2217" s="41" t="str">
        <f t="shared" si="1079"/>
        <v>ACCUM DEF INC TAX-OTH-STATE-ELECTRIC</v>
      </c>
      <c r="G2217" s="41" t="s">
        <v>1628</v>
      </c>
      <c r="H2217" s="736" t="s">
        <v>1629</v>
      </c>
      <c r="I2217" s="25"/>
      <c r="J2217" s="25" t="str">
        <f t="shared" si="1080"/>
        <v/>
      </c>
      <c r="K2217" s="442" t="str">
        <f t="shared" si="1063"/>
        <v/>
      </c>
      <c r="L2217" s="736" t="s">
        <v>2443</v>
      </c>
      <c r="M2217" s="25" t="str">
        <f t="shared" si="1066"/>
        <v>R</v>
      </c>
      <c r="N2217" s="25" t="str">
        <f>IF(L2217&lt;&gt;"",VLOOKUP(L2217,Categories!$B$2:$D$41,2,FALSE),IF(F2217&lt;&gt;"","No Cat",""))</f>
        <v>Rate Base</v>
      </c>
      <c r="O2217" s="25" t="str">
        <f>IF($L2217&lt;&gt;"",VLOOKUP($L2217,Categories!$B$2:$D$41,3,FALSE),IF($F2217&lt;&gt;"","No Cat",""))</f>
        <v>Deferred Income Taxes</v>
      </c>
      <c r="P2217" s="736" t="s">
        <v>2482</v>
      </c>
      <c r="Q2217" s="25" t="str">
        <f>VLOOKUP($P2217,Allocators!$B$7:$F$19,5,FALSE)</f>
        <v>Electric</v>
      </c>
      <c r="R2217" s="737">
        <f>VLOOKUP($P2217,Allocators!$B$7:$F$19,2,FALSE)</f>
        <v>1</v>
      </c>
      <c r="S2217" s="737">
        <f>VLOOKUP($P2217,Allocators!$B$7:$F$19,3,FALSE)</f>
        <v>0</v>
      </c>
      <c r="T2217" s="737" t="str">
        <f t="shared" si="1062"/>
        <v>0.0%</v>
      </c>
      <c r="U2217" s="2" t="str">
        <f t="shared" si="1073"/>
        <v/>
      </c>
      <c r="V2217" s="2" t="str">
        <f t="shared" si="1074"/>
        <v/>
      </c>
      <c r="W2217" s="2" t="str">
        <f t="shared" si="1075"/>
        <v/>
      </c>
      <c r="X2217" s="2">
        <f t="shared" si="1071"/>
        <v>0</v>
      </c>
      <c r="Y2217" s="2" t="str">
        <f t="shared" si="1076"/>
        <v/>
      </c>
      <c r="Z2217" s="2" t="str">
        <f t="shared" si="1077"/>
        <v/>
      </c>
      <c r="AA2217" s="2" t="str">
        <f t="shared" si="1078"/>
        <v/>
      </c>
      <c r="AB2217" s="2">
        <f t="shared" si="1072"/>
        <v>0</v>
      </c>
      <c r="AC2217" s="625">
        <v>0</v>
      </c>
      <c r="AD2217" s="625">
        <v>0</v>
      </c>
      <c r="AE2217" s="625">
        <v>0</v>
      </c>
      <c r="AF2217" s="625">
        <v>0</v>
      </c>
      <c r="AG2217" s="625">
        <v>0</v>
      </c>
      <c r="AH2217" s="625">
        <v>0</v>
      </c>
      <c r="AI2217" s="625">
        <v>0</v>
      </c>
      <c r="AJ2217" s="625">
        <v>0</v>
      </c>
      <c r="AK2217" s="625">
        <v>0</v>
      </c>
      <c r="AL2217" s="625">
        <v>0</v>
      </c>
      <c r="AM2217" s="625">
        <v>0</v>
      </c>
      <c r="AN2217" s="625">
        <v>0</v>
      </c>
      <c r="AO2217" s="625">
        <v>0</v>
      </c>
      <c r="AP2217" s="41" t="str">
        <f t="shared" si="1067"/>
        <v>Def TaxR</v>
      </c>
      <c r="AQ2217" s="41" t="str">
        <f t="shared" si="1068"/>
        <v>Def TaxRR11Merger Related</v>
      </c>
      <c r="AR2217" s="41" t="str">
        <f t="shared" si="1069"/>
        <v>R11Merger Related</v>
      </c>
    </row>
    <row r="2218" spans="1:44" s="41" customFormat="1" ht="12.75" customHeight="1">
      <c r="A2218" s="25" t="s">
        <v>1590</v>
      </c>
      <c r="B2218" s="25" t="str">
        <f t="shared" si="1061"/>
        <v>Def Tax283400283-068</v>
      </c>
      <c r="C2218" s="736">
        <v>283400</v>
      </c>
      <c r="D2218" s="735" t="s">
        <v>2152</v>
      </c>
      <c r="F2218" s="41" t="str">
        <f t="shared" si="1079"/>
        <v>ACCUM DEF INC TAX-OTH-STATE-ELECTRIC</v>
      </c>
      <c r="G2218" s="41" t="s">
        <v>1752</v>
      </c>
      <c r="H2218" s="736" t="s">
        <v>1629</v>
      </c>
      <c r="I2218" s="25"/>
      <c r="J2218" s="25" t="str">
        <f t="shared" si="1080"/>
        <v/>
      </c>
      <c r="K2218" s="442" t="str">
        <f t="shared" si="1063"/>
        <v/>
      </c>
      <c r="L2218" s="736" t="s">
        <v>2443</v>
      </c>
      <c r="M2218" s="25" t="str">
        <f t="shared" si="1066"/>
        <v>R</v>
      </c>
      <c r="N2218" s="25" t="str">
        <f>IF(L2218&lt;&gt;"",VLOOKUP(L2218,Categories!$B$2:$D$41,2,FALSE),IF(F2218&lt;&gt;"","No Cat",""))</f>
        <v>Rate Base</v>
      </c>
      <c r="O2218" s="25" t="str">
        <f>IF($L2218&lt;&gt;"",VLOOKUP($L2218,Categories!$B$2:$D$41,3,FALSE),IF($F2218&lt;&gt;"","No Cat",""))</f>
        <v>Deferred Income Taxes</v>
      </c>
      <c r="P2218" s="736" t="s">
        <v>2482</v>
      </c>
      <c r="Q2218" s="25" t="str">
        <f>VLOOKUP($P2218,Allocators!$B$7:$F$19,5,FALSE)</f>
        <v>Electric</v>
      </c>
      <c r="R2218" s="737">
        <f>VLOOKUP($P2218,Allocators!$B$7:$F$19,2,FALSE)</f>
        <v>1</v>
      </c>
      <c r="S2218" s="737">
        <f>VLOOKUP($P2218,Allocators!$B$7:$F$19,3,FALSE)</f>
        <v>0</v>
      </c>
      <c r="T2218" s="737" t="str">
        <f t="shared" si="1062"/>
        <v>0.0%</v>
      </c>
      <c r="U2218" s="2" t="str">
        <f t="shared" si="1073"/>
        <v/>
      </c>
      <c r="V2218" s="2" t="str">
        <f t="shared" si="1074"/>
        <v/>
      </c>
      <c r="W2218" s="2" t="str">
        <f t="shared" si="1075"/>
        <v/>
      </c>
      <c r="X2218" s="2">
        <f t="shared" si="1071"/>
        <v>0</v>
      </c>
      <c r="Y2218" s="2" t="str">
        <f t="shared" si="1076"/>
        <v/>
      </c>
      <c r="Z2218" s="2" t="str">
        <f t="shared" si="1077"/>
        <v/>
      </c>
      <c r="AA2218" s="2" t="str">
        <f t="shared" si="1078"/>
        <v/>
      </c>
      <c r="AB2218" s="2">
        <f t="shared" si="1072"/>
        <v>0</v>
      </c>
      <c r="AC2218" s="625">
        <v>0</v>
      </c>
      <c r="AD2218" s="625">
        <v>0</v>
      </c>
      <c r="AE2218" s="625">
        <v>0</v>
      </c>
      <c r="AF2218" s="625">
        <v>0</v>
      </c>
      <c r="AG2218" s="625">
        <v>0</v>
      </c>
      <c r="AH2218" s="625">
        <v>0</v>
      </c>
      <c r="AI2218" s="625">
        <v>0</v>
      </c>
      <c r="AJ2218" s="625">
        <v>0</v>
      </c>
      <c r="AK2218" s="625">
        <v>0</v>
      </c>
      <c r="AL2218" s="625">
        <v>0</v>
      </c>
      <c r="AM2218" s="625">
        <v>0</v>
      </c>
      <c r="AN2218" s="625">
        <v>0</v>
      </c>
      <c r="AO2218" s="625">
        <v>0</v>
      </c>
      <c r="AP2218" s="41" t="str">
        <f t="shared" si="1067"/>
        <v>Def TaxR</v>
      </c>
      <c r="AQ2218" s="41" t="str">
        <f t="shared" si="1068"/>
        <v>Def TaxRR11Merger Related</v>
      </c>
      <c r="AR2218" s="41" t="str">
        <f t="shared" si="1069"/>
        <v>R11Merger Related</v>
      </c>
    </row>
    <row r="2219" spans="1:44" s="41" customFormat="1" ht="12.75" customHeight="1">
      <c r="A2219" s="25" t="s">
        <v>1590</v>
      </c>
      <c r="B2219" s="25" t="str">
        <f t="shared" ref="B2219:B2284" si="1081">CONCATENATE(A2219,C2219,D2219,E2219)</f>
        <v>Def Tax283400283-053</v>
      </c>
      <c r="C2219" s="736">
        <v>283400</v>
      </c>
      <c r="D2219" s="735" t="s">
        <v>2153</v>
      </c>
      <c r="F2219" s="41" t="str">
        <f t="shared" si="1079"/>
        <v>ACCUM DEF INC TAX-OTH-STATE-ELECTRIC</v>
      </c>
      <c r="G2219" s="41" t="s">
        <v>2154</v>
      </c>
      <c r="H2219" s="736" t="s">
        <v>2155</v>
      </c>
      <c r="I2219" s="25"/>
      <c r="J2219" s="25" t="str">
        <f t="shared" si="1080"/>
        <v/>
      </c>
      <c r="K2219" s="442" t="str">
        <f t="shared" si="1063"/>
        <v/>
      </c>
      <c r="L2219" s="736" t="s">
        <v>2443</v>
      </c>
      <c r="M2219" s="25" t="str">
        <f t="shared" si="1066"/>
        <v>R</v>
      </c>
      <c r="N2219" s="25" t="str">
        <f>IF(L2219&lt;&gt;"",VLOOKUP(L2219,Categories!$B$2:$D$41,2,FALSE),IF(F2219&lt;&gt;"","No Cat",""))</f>
        <v>Rate Base</v>
      </c>
      <c r="O2219" s="25" t="str">
        <f>IF($L2219&lt;&gt;"",VLOOKUP($L2219,Categories!$B$2:$D$41,3,FALSE),IF($F2219&lt;&gt;"","No Cat",""))</f>
        <v>Deferred Income Taxes</v>
      </c>
      <c r="P2219" s="736" t="s">
        <v>2482</v>
      </c>
      <c r="Q2219" s="25" t="str">
        <f>VLOOKUP($P2219,Allocators!$B$7:$F$19,5,FALSE)</f>
        <v>Electric</v>
      </c>
      <c r="R2219" s="737">
        <f>VLOOKUP($P2219,Allocators!$B$7:$F$19,2,FALSE)</f>
        <v>1</v>
      </c>
      <c r="S2219" s="737">
        <f>VLOOKUP($P2219,Allocators!$B$7:$F$19,3,FALSE)</f>
        <v>0</v>
      </c>
      <c r="T2219" s="737" t="str">
        <f t="shared" si="1062"/>
        <v>0.0%</v>
      </c>
      <c r="U2219" s="2" t="str">
        <f t="shared" si="1073"/>
        <v/>
      </c>
      <c r="V2219" s="2" t="str">
        <f t="shared" si="1074"/>
        <v/>
      </c>
      <c r="W2219" s="2" t="str">
        <f t="shared" si="1075"/>
        <v/>
      </c>
      <c r="X2219" s="2">
        <f t="shared" si="1071"/>
        <v>0</v>
      </c>
      <c r="Y2219" s="2" t="str">
        <f t="shared" si="1076"/>
        <v/>
      </c>
      <c r="Z2219" s="2" t="str">
        <f t="shared" si="1077"/>
        <v/>
      </c>
      <c r="AA2219" s="2" t="str">
        <f t="shared" si="1078"/>
        <v/>
      </c>
      <c r="AB2219" s="2">
        <f t="shared" si="1072"/>
        <v>0</v>
      </c>
      <c r="AC2219" s="625">
        <v>0</v>
      </c>
      <c r="AD2219" s="625">
        <v>0</v>
      </c>
      <c r="AE2219" s="625">
        <v>0</v>
      </c>
      <c r="AF2219" s="625">
        <v>0</v>
      </c>
      <c r="AG2219" s="625">
        <v>0</v>
      </c>
      <c r="AH2219" s="625">
        <v>0</v>
      </c>
      <c r="AI2219" s="625">
        <v>0</v>
      </c>
      <c r="AJ2219" s="625">
        <v>0</v>
      </c>
      <c r="AK2219" s="625">
        <v>0</v>
      </c>
      <c r="AL2219" s="625">
        <v>0</v>
      </c>
      <c r="AM2219" s="625">
        <v>0</v>
      </c>
      <c r="AN2219" s="625">
        <v>0</v>
      </c>
      <c r="AO2219" s="625">
        <v>0</v>
      </c>
      <c r="AP2219" s="41" t="str">
        <f t="shared" si="1067"/>
        <v>Def TaxR</v>
      </c>
      <c r="AQ2219" s="41" t="str">
        <f t="shared" si="1068"/>
        <v>Def TaxRR11Deferred Competition Implementation</v>
      </c>
      <c r="AR2219" s="41" t="str">
        <f t="shared" si="1069"/>
        <v>R11Deferred Competition Implementation</v>
      </c>
    </row>
    <row r="2220" spans="1:44" s="41" customFormat="1" ht="12.75" customHeight="1">
      <c r="A2220" s="442" t="s">
        <v>1590</v>
      </c>
      <c r="B2220" s="442" t="str">
        <f t="shared" si="1081"/>
        <v>Def Tax283400283-080-JP</v>
      </c>
      <c r="C2220" s="736">
        <v>283400</v>
      </c>
      <c r="D2220" s="735" t="s">
        <v>2156</v>
      </c>
      <c r="E2220" s="626"/>
      <c r="F2220" s="626" t="str">
        <f t="shared" si="1079"/>
        <v>ACCUM DEF INC TAX-OTH-STATE-ELECTRIC</v>
      </c>
      <c r="G2220" s="626" t="s">
        <v>2157</v>
      </c>
      <c r="H2220" s="736" t="s">
        <v>1113</v>
      </c>
      <c r="I2220" s="442"/>
      <c r="J2220" s="442" t="str">
        <f t="shared" si="1080"/>
        <v/>
      </c>
      <c r="K2220" s="442" t="str">
        <f t="shared" si="1063"/>
        <v/>
      </c>
      <c r="L2220" s="736" t="s">
        <v>2421</v>
      </c>
      <c r="M2220" s="442" t="str">
        <f t="shared" si="1066"/>
        <v>N</v>
      </c>
      <c r="N2220" s="442" t="str">
        <f>IF(L2220&lt;&gt;"",VLOOKUP(L2220,Categories!$B$2:$D$41,2,FALSE),IF(F2220&lt;&gt;"","No Cat",""))</f>
        <v>NRBASE</v>
      </c>
      <c r="O2220" s="442" t="str">
        <f>IF($L2220&lt;&gt;"",VLOOKUP($L2220,Categories!$B$2:$D$41,3,FALSE),IF($F2220&lt;&gt;"","No Cat",""))</f>
        <v>Direct Assign Items Not in RB</v>
      </c>
      <c r="P2220" s="736" t="s">
        <v>2468</v>
      </c>
      <c r="Q2220" s="442" t="str">
        <f>VLOOKUP($P2220,Allocators!$B$7:$F$19,5,FALSE)</f>
        <v>Not in Rate Base</v>
      </c>
      <c r="R2220" s="737">
        <f>VLOOKUP($P2220,Allocators!$B$7:$F$19,2,FALSE)</f>
        <v>0</v>
      </c>
      <c r="S2220" s="737">
        <f>VLOOKUP($P2220,Allocators!$B$7:$F$19,3,FALSE)</f>
        <v>0</v>
      </c>
      <c r="T2220" s="737">
        <f t="shared" si="1062"/>
        <v>1</v>
      </c>
      <c r="U2220" s="2" t="str">
        <f t="shared" si="1073"/>
        <v/>
      </c>
      <c r="V2220" s="2" t="str">
        <f t="shared" si="1074"/>
        <v/>
      </c>
      <c r="W2220" s="2" t="str">
        <f t="shared" si="1075"/>
        <v/>
      </c>
      <c r="X2220" s="2">
        <f t="shared" si="1071"/>
        <v>0</v>
      </c>
      <c r="Y2220" s="2" t="str">
        <f t="shared" si="1076"/>
        <v/>
      </c>
      <c r="Z2220" s="2" t="str">
        <f t="shared" si="1077"/>
        <v/>
      </c>
      <c r="AA2220" s="2" t="str">
        <f t="shared" si="1078"/>
        <v/>
      </c>
      <c r="AB2220" s="2">
        <f t="shared" si="1072"/>
        <v>0</v>
      </c>
      <c r="AC2220" s="625">
        <v>0</v>
      </c>
      <c r="AD2220" s="625">
        <v>0</v>
      </c>
      <c r="AE2220" s="625">
        <v>0</v>
      </c>
      <c r="AF2220" s="625">
        <v>0</v>
      </c>
      <c r="AG2220" s="625">
        <v>0</v>
      </c>
      <c r="AH2220" s="625">
        <v>0</v>
      </c>
      <c r="AI2220" s="625">
        <v>0</v>
      </c>
      <c r="AJ2220" s="625">
        <v>0</v>
      </c>
      <c r="AK2220" s="625">
        <v>0</v>
      </c>
      <c r="AL2220" s="625">
        <v>0</v>
      </c>
      <c r="AM2220" s="625">
        <v>0</v>
      </c>
      <c r="AN2220" s="625">
        <v>0</v>
      </c>
      <c r="AO2220" s="625">
        <v>0</v>
      </c>
      <c r="AP2220" s="41" t="str">
        <f t="shared" si="1067"/>
        <v>Def TaxN</v>
      </c>
      <c r="AQ2220" s="41" t="str">
        <f t="shared" si="1068"/>
        <v>Def TaxNN2Property Tax Deferral</v>
      </c>
      <c r="AR2220" s="41" t="str">
        <f t="shared" si="1069"/>
        <v>N2Property Tax Deferral</v>
      </c>
    </row>
    <row r="2221" spans="1:44" s="41" customFormat="1" ht="12.75" customHeight="1">
      <c r="A2221" s="25" t="s">
        <v>1590</v>
      </c>
      <c r="B2221" s="25" t="str">
        <f t="shared" si="1081"/>
        <v>Def Tax283400283-043</v>
      </c>
      <c r="C2221" s="736">
        <v>283400</v>
      </c>
      <c r="D2221" s="735" t="s">
        <v>2160</v>
      </c>
      <c r="F2221" s="41" t="str">
        <f t="shared" si="1079"/>
        <v>ACCUM DEF INC TAX-OTH-STATE-ELECTRIC</v>
      </c>
      <c r="G2221" s="41" t="s">
        <v>2161</v>
      </c>
      <c r="H2221" s="736">
        <v>0</v>
      </c>
      <c r="I2221" s="25"/>
      <c r="J2221" s="25" t="str">
        <f t="shared" si="1080"/>
        <v/>
      </c>
      <c r="K2221" s="442" t="str">
        <f t="shared" si="1063"/>
        <v/>
      </c>
      <c r="L2221" s="736" t="s">
        <v>2443</v>
      </c>
      <c r="M2221" s="25" t="str">
        <f t="shared" si="1066"/>
        <v>R</v>
      </c>
      <c r="N2221" s="25" t="str">
        <f>IF(L2221&lt;&gt;"",VLOOKUP(L2221,Categories!$B$2:$D$41,2,FALSE),IF(F2221&lt;&gt;"","No Cat",""))</f>
        <v>Rate Base</v>
      </c>
      <c r="O2221" s="25" t="str">
        <f>IF($L2221&lt;&gt;"",VLOOKUP($L2221,Categories!$B$2:$D$41,3,FALSE),IF($F2221&lt;&gt;"","No Cat",""))</f>
        <v>Deferred Income Taxes</v>
      </c>
      <c r="P2221" s="736" t="s">
        <v>2482</v>
      </c>
      <c r="Q2221" s="25" t="str">
        <f>VLOOKUP($P2221,Allocators!$B$7:$F$19,5,FALSE)</f>
        <v>Electric</v>
      </c>
      <c r="R2221" s="737">
        <f>VLOOKUP($P2221,Allocators!$B$7:$F$19,2,FALSE)</f>
        <v>1</v>
      </c>
      <c r="S2221" s="737">
        <f>VLOOKUP($P2221,Allocators!$B$7:$F$19,3,FALSE)</f>
        <v>0</v>
      </c>
      <c r="T2221" s="737" t="str">
        <f t="shared" si="1062"/>
        <v>0.0%</v>
      </c>
      <c r="U2221" s="2" t="str">
        <f t="shared" si="1073"/>
        <v/>
      </c>
      <c r="V2221" s="2" t="str">
        <f t="shared" si="1074"/>
        <v/>
      </c>
      <c r="W2221" s="2" t="str">
        <f t="shared" si="1075"/>
        <v/>
      </c>
      <c r="X2221" s="2">
        <f t="shared" si="1071"/>
        <v>0</v>
      </c>
      <c r="Y2221" s="2" t="str">
        <f t="shared" si="1076"/>
        <v/>
      </c>
      <c r="Z2221" s="2" t="str">
        <f t="shared" si="1077"/>
        <v/>
      </c>
      <c r="AA2221" s="2" t="str">
        <f t="shared" si="1078"/>
        <v/>
      </c>
      <c r="AB2221" s="2">
        <f t="shared" si="1072"/>
        <v>0</v>
      </c>
      <c r="AC2221" s="625">
        <v>0</v>
      </c>
      <c r="AD2221" s="625">
        <v>0</v>
      </c>
      <c r="AE2221" s="625">
        <v>0</v>
      </c>
      <c r="AF2221" s="625">
        <v>0</v>
      </c>
      <c r="AG2221" s="625">
        <v>0</v>
      </c>
      <c r="AH2221" s="625">
        <v>0</v>
      </c>
      <c r="AI2221" s="625">
        <v>0</v>
      </c>
      <c r="AJ2221" s="625">
        <v>0</v>
      </c>
      <c r="AK2221" s="625">
        <v>0</v>
      </c>
      <c r="AL2221" s="625">
        <v>0</v>
      </c>
      <c r="AM2221" s="625">
        <v>0</v>
      </c>
      <c r="AN2221" s="625">
        <v>0</v>
      </c>
      <c r="AO2221" s="625">
        <v>0</v>
      </c>
      <c r="AP2221" s="41" t="str">
        <f t="shared" si="1067"/>
        <v>Def TaxR</v>
      </c>
      <c r="AQ2221" s="41" t="str">
        <f t="shared" si="1068"/>
        <v>Def TaxRR110</v>
      </c>
      <c r="AR2221" s="41" t="str">
        <f t="shared" si="1069"/>
        <v>R110</v>
      </c>
    </row>
    <row r="2222" spans="1:44" s="41" customFormat="1" ht="12.75" customHeight="1">
      <c r="A2222" s="442" t="s">
        <v>1590</v>
      </c>
      <c r="B2222" s="442" t="str">
        <f t="shared" si="1081"/>
        <v>Def Tax283400283-078</v>
      </c>
      <c r="C2222" s="736">
        <v>283400</v>
      </c>
      <c r="D2222" s="735" t="s">
        <v>2162</v>
      </c>
      <c r="E2222" s="626"/>
      <c r="F2222" s="626" t="str">
        <f t="shared" si="1079"/>
        <v>ACCUM DEF INC TAX-OTH-STATE-ELECTRIC</v>
      </c>
      <c r="G2222" s="626" t="s">
        <v>2163</v>
      </c>
      <c r="H2222" s="736" t="s">
        <v>1309</v>
      </c>
      <c r="I2222" s="442"/>
      <c r="J2222" s="442" t="str">
        <f t="shared" si="1080"/>
        <v/>
      </c>
      <c r="K2222" s="442" t="str">
        <f t="shared" si="1063"/>
        <v/>
      </c>
      <c r="L2222" s="736" t="s">
        <v>2421</v>
      </c>
      <c r="M2222" s="442" t="str">
        <f t="shared" si="1066"/>
        <v>N</v>
      </c>
      <c r="N2222" s="442" t="str">
        <f>IF(L2222&lt;&gt;"",VLOOKUP(L2222,Categories!$B$2:$D$41,2,FALSE),IF(F2222&lt;&gt;"","No Cat",""))</f>
        <v>NRBASE</v>
      </c>
      <c r="O2222" s="442" t="str">
        <f>IF($L2222&lt;&gt;"",VLOOKUP($L2222,Categories!$B$2:$D$41,3,FALSE),IF($F2222&lt;&gt;"","No Cat",""))</f>
        <v>Direct Assign Items Not in RB</v>
      </c>
      <c r="P2222" s="736" t="s">
        <v>2468</v>
      </c>
      <c r="Q2222" s="442" t="str">
        <f>VLOOKUP($P2222,Allocators!$B$7:$F$19,5,FALSE)</f>
        <v>Not in Rate Base</v>
      </c>
      <c r="R2222" s="737">
        <f>VLOOKUP($P2222,Allocators!$B$7:$F$19,2,FALSE)</f>
        <v>0</v>
      </c>
      <c r="S2222" s="737">
        <f>VLOOKUP($P2222,Allocators!$B$7:$F$19,3,FALSE)</f>
        <v>0</v>
      </c>
      <c r="T2222" s="737">
        <f t="shared" si="1062"/>
        <v>1</v>
      </c>
      <c r="U2222" s="2" t="str">
        <f t="shared" si="1073"/>
        <v/>
      </c>
      <c r="V2222" s="2" t="str">
        <f t="shared" si="1074"/>
        <v/>
      </c>
      <c r="W2222" s="2" t="str">
        <f t="shared" si="1075"/>
        <v/>
      </c>
      <c r="X2222" s="2">
        <f t="shared" si="1071"/>
        <v>0</v>
      </c>
      <c r="Y2222" s="2" t="str">
        <f t="shared" si="1076"/>
        <v/>
      </c>
      <c r="Z2222" s="2" t="str">
        <f t="shared" si="1077"/>
        <v/>
      </c>
      <c r="AA2222" s="2" t="str">
        <f t="shared" si="1078"/>
        <v/>
      </c>
      <c r="AB2222" s="2">
        <f t="shared" si="1072"/>
        <v>0</v>
      </c>
      <c r="AC2222" s="625">
        <v>0</v>
      </c>
      <c r="AD2222" s="625">
        <v>0</v>
      </c>
      <c r="AE2222" s="625">
        <v>0</v>
      </c>
      <c r="AF2222" s="625">
        <v>0</v>
      </c>
      <c r="AG2222" s="625">
        <v>0</v>
      </c>
      <c r="AH2222" s="625">
        <v>0</v>
      </c>
      <c r="AI2222" s="625">
        <v>0</v>
      </c>
      <c r="AJ2222" s="625">
        <v>0</v>
      </c>
      <c r="AK2222" s="625">
        <v>0</v>
      </c>
      <c r="AL2222" s="625">
        <v>0</v>
      </c>
      <c r="AM2222" s="625">
        <v>0</v>
      </c>
      <c r="AN2222" s="625">
        <v>0</v>
      </c>
      <c r="AO2222" s="625">
        <v>0</v>
      </c>
      <c r="AP2222" s="41" t="str">
        <f t="shared" si="1067"/>
        <v>Def TaxN</v>
      </c>
      <c r="AQ2222" s="41" t="str">
        <f t="shared" si="1068"/>
        <v>Def TaxNN2Economic Development</v>
      </c>
      <c r="AR2222" s="41" t="str">
        <f t="shared" si="1069"/>
        <v>N2Economic Development</v>
      </c>
    </row>
    <row r="2223" spans="1:44" s="41" customFormat="1" ht="12.75" customHeight="1">
      <c r="A2223" s="25" t="s">
        <v>1590</v>
      </c>
      <c r="B2223" s="25" t="str">
        <f t="shared" si="1081"/>
        <v>Def Tax283400283-079-JP</v>
      </c>
      <c r="C2223" s="736">
        <v>283400</v>
      </c>
      <c r="D2223" s="735" t="s">
        <v>2289</v>
      </c>
      <c r="F2223" s="41" t="str">
        <f t="shared" si="1079"/>
        <v>ACCUM DEF INC TAX-OTH-STATE-ELECTRIC</v>
      </c>
      <c r="G2223" s="41" t="s">
        <v>2290</v>
      </c>
      <c r="H2223" s="736" t="s">
        <v>1926</v>
      </c>
      <c r="I2223" s="25"/>
      <c r="J2223" s="25" t="str">
        <f t="shared" si="1080"/>
        <v/>
      </c>
      <c r="K2223" s="442" t="str">
        <f t="shared" si="1063"/>
        <v/>
      </c>
      <c r="L2223" s="736" t="s">
        <v>2443</v>
      </c>
      <c r="M2223" s="25" t="str">
        <f t="shared" si="1066"/>
        <v>R</v>
      </c>
      <c r="N2223" s="25" t="str">
        <f>IF(L2223&lt;&gt;"",VLOOKUP(L2223,Categories!$B$2:$D$41,2,FALSE),IF(F2223&lt;&gt;"","No Cat",""))</f>
        <v>Rate Base</v>
      </c>
      <c r="O2223" s="25" t="str">
        <f>IF($L2223&lt;&gt;"",VLOOKUP($L2223,Categories!$B$2:$D$41,3,FALSE),IF($F2223&lt;&gt;"","No Cat",""))</f>
        <v>Deferred Income Taxes</v>
      </c>
      <c r="P2223" s="736" t="s">
        <v>2482</v>
      </c>
      <c r="Q2223" s="25" t="str">
        <f>VLOOKUP($P2223,Allocators!$B$7:$F$19,5,FALSE)</f>
        <v>Electric</v>
      </c>
      <c r="R2223" s="737">
        <f>VLOOKUP($P2223,Allocators!$B$7:$F$19,2,FALSE)</f>
        <v>1</v>
      </c>
      <c r="S2223" s="737">
        <f>VLOOKUP($P2223,Allocators!$B$7:$F$19,3,FALSE)</f>
        <v>0</v>
      </c>
      <c r="T2223" s="737" t="str">
        <f t="shared" si="1062"/>
        <v>0.0%</v>
      </c>
      <c r="U2223" s="2" t="str">
        <f t="shared" si="1073"/>
        <v/>
      </c>
      <c r="V2223" s="2" t="str">
        <f t="shared" si="1074"/>
        <v/>
      </c>
      <c r="W2223" s="2" t="str">
        <f t="shared" si="1075"/>
        <v/>
      </c>
      <c r="X2223" s="2">
        <f t="shared" si="1071"/>
        <v>0</v>
      </c>
      <c r="Y2223" s="2" t="str">
        <f t="shared" si="1076"/>
        <v/>
      </c>
      <c r="Z2223" s="2" t="str">
        <f t="shared" si="1077"/>
        <v/>
      </c>
      <c r="AA2223" s="2" t="str">
        <f t="shared" si="1078"/>
        <v/>
      </c>
      <c r="AB2223" s="2">
        <f t="shared" si="1072"/>
        <v>0</v>
      </c>
      <c r="AC2223" s="625">
        <v>0</v>
      </c>
      <c r="AD2223" s="625">
        <v>0</v>
      </c>
      <c r="AE2223" s="625">
        <v>0</v>
      </c>
      <c r="AF2223" s="625">
        <v>0</v>
      </c>
      <c r="AG2223" s="625">
        <v>0</v>
      </c>
      <c r="AH2223" s="625">
        <v>0</v>
      </c>
      <c r="AI2223" s="625">
        <v>0</v>
      </c>
      <c r="AJ2223" s="625">
        <v>0</v>
      </c>
      <c r="AK2223" s="625">
        <v>0</v>
      </c>
      <c r="AL2223" s="625">
        <v>0</v>
      </c>
      <c r="AM2223" s="625">
        <v>0</v>
      </c>
      <c r="AN2223" s="625">
        <v>0</v>
      </c>
      <c r="AO2223" s="625">
        <v>0</v>
      </c>
      <c r="AP2223" s="41" t="str">
        <f t="shared" si="1067"/>
        <v>Def TaxR</v>
      </c>
      <c r="AQ2223" s="41" t="str">
        <f t="shared" si="1068"/>
        <v>Def TaxRR11Ginna Related</v>
      </c>
      <c r="AR2223" s="41" t="str">
        <f t="shared" si="1069"/>
        <v>R11Ginna Related</v>
      </c>
    </row>
    <row r="2224" spans="1:44" s="41" customFormat="1" ht="12.75" customHeight="1">
      <c r="A2224" s="442" t="s">
        <v>1590</v>
      </c>
      <c r="B2224" s="442" t="str">
        <f t="shared" si="1081"/>
        <v>Def Tax283400GRT RefundBT010355</v>
      </c>
      <c r="C2224" s="736">
        <v>283400</v>
      </c>
      <c r="D2224" s="735" t="s">
        <v>2166</v>
      </c>
      <c r="E2224" s="626" t="s">
        <v>2167</v>
      </c>
      <c r="F2224" s="626" t="str">
        <f t="shared" si="1079"/>
        <v>ACCUM DEF INC TAX-OTH-STATE-ELECTRIC</v>
      </c>
      <c r="G2224" s="626" t="s">
        <v>2168</v>
      </c>
      <c r="H2224" s="736" t="s">
        <v>1542</v>
      </c>
      <c r="I2224" s="442"/>
      <c r="J2224" s="442" t="str">
        <f t="shared" si="1080"/>
        <v/>
      </c>
      <c r="K2224" s="442" t="str">
        <f t="shared" si="1063"/>
        <v/>
      </c>
      <c r="L2224" s="736" t="s">
        <v>2421</v>
      </c>
      <c r="M2224" s="442" t="str">
        <f t="shared" si="1066"/>
        <v>N</v>
      </c>
      <c r="N2224" s="442" t="str">
        <f>IF(L2224&lt;&gt;"",VLOOKUP(L2224,Categories!$B$2:$D$41,2,FALSE),IF(F2224&lt;&gt;"","No Cat",""))</f>
        <v>NRBASE</v>
      </c>
      <c r="O2224" s="442" t="str">
        <f>IF($L2224&lt;&gt;"",VLOOKUP($L2224,Categories!$B$2:$D$41,3,FALSE),IF($F2224&lt;&gt;"","No Cat",""))</f>
        <v>Direct Assign Items Not in RB</v>
      </c>
      <c r="P2224" s="736" t="s">
        <v>2468</v>
      </c>
      <c r="Q2224" s="442" t="str">
        <f>VLOOKUP($P2224,Allocators!$B$7:$F$19,5,FALSE)</f>
        <v>Not in Rate Base</v>
      </c>
      <c r="R2224" s="737">
        <f>VLOOKUP($P2224,Allocators!$B$7:$F$19,2,FALSE)</f>
        <v>0</v>
      </c>
      <c r="S2224" s="737">
        <f>VLOOKUP($P2224,Allocators!$B$7:$F$19,3,FALSE)</f>
        <v>0</v>
      </c>
      <c r="T2224" s="737">
        <f t="shared" si="1062"/>
        <v>1</v>
      </c>
      <c r="U2224" s="2">
        <f t="shared" si="1073"/>
        <v>0</v>
      </c>
      <c r="V2224" s="2">
        <f t="shared" si="1074"/>
        <v>0</v>
      </c>
      <c r="W2224" s="2">
        <f t="shared" si="1075"/>
        <v>-15.230919999999999</v>
      </c>
      <c r="X2224" s="2">
        <f t="shared" si="1071"/>
        <v>-15.230919999999999</v>
      </c>
      <c r="Y2224" s="2">
        <f t="shared" si="1076"/>
        <v>0</v>
      </c>
      <c r="Z2224" s="2">
        <f t="shared" si="1077"/>
        <v>0</v>
      </c>
      <c r="AA2224" s="2">
        <f t="shared" si="1078"/>
        <v>-15.230919999999999</v>
      </c>
      <c r="AB2224" s="2">
        <f t="shared" si="1072"/>
        <v>-15.230919999999999</v>
      </c>
      <c r="AC2224" s="625">
        <v>-15.230919999999999</v>
      </c>
      <c r="AD2224" s="625">
        <v>-15.230919999999999</v>
      </c>
      <c r="AE2224" s="625">
        <v>-15.230919999999999</v>
      </c>
      <c r="AF2224" s="625">
        <v>-15.230919999999999</v>
      </c>
      <c r="AG2224" s="625">
        <v>-15.230919999999999</v>
      </c>
      <c r="AH2224" s="625">
        <v>-15.230919999999999</v>
      </c>
      <c r="AI2224" s="625">
        <v>-15.230919999999999</v>
      </c>
      <c r="AJ2224" s="625">
        <v>-15.230919999999999</v>
      </c>
      <c r="AK2224" s="625">
        <v>-15.230919999999999</v>
      </c>
      <c r="AL2224" s="625">
        <v>-15.230919999999999</v>
      </c>
      <c r="AM2224" s="625">
        <v>-15.230919999999999</v>
      </c>
      <c r="AN2224" s="625">
        <v>-15.230919999999999</v>
      </c>
      <c r="AO2224" s="625">
        <v>-15.230919999999999</v>
      </c>
      <c r="AP2224" s="41" t="str">
        <f t="shared" si="1067"/>
        <v>Def TaxN</v>
      </c>
      <c r="AQ2224" s="41" t="str">
        <f t="shared" si="1068"/>
        <v>Def TaxNN2GRT Refund Requests</v>
      </c>
      <c r="AR2224" s="41" t="str">
        <f t="shared" si="1069"/>
        <v>N2GRT Refund Requests</v>
      </c>
    </row>
    <row r="2225" spans="1:44" s="41" customFormat="1" ht="12.75" customHeight="1">
      <c r="A2225" s="442" t="s">
        <v>1590</v>
      </c>
      <c r="B2225" s="442" t="str">
        <f t="shared" si="1081"/>
        <v>Def Tax283400HIST BK BE030368/ BDEFAULT</v>
      </c>
      <c r="C2225" s="736">
        <v>283400</v>
      </c>
      <c r="D2225" s="735" t="s">
        <v>2169</v>
      </c>
      <c r="E2225" s="626" t="s">
        <v>2291</v>
      </c>
      <c r="F2225" s="626" t="str">
        <f t="shared" si="1079"/>
        <v>ACCUM DEF INC TAX-OTH-STATE-ELECTRIC</v>
      </c>
      <c r="G2225" s="626" t="s">
        <v>2170</v>
      </c>
      <c r="H2225" s="736" t="s">
        <v>1125</v>
      </c>
      <c r="I2225" s="442"/>
      <c r="J2225" s="442" t="str">
        <f t="shared" si="1080"/>
        <v/>
      </c>
      <c r="K2225" s="442" t="str">
        <f t="shared" si="1063"/>
        <v/>
      </c>
      <c r="L2225" s="736" t="s">
        <v>2443</v>
      </c>
      <c r="M2225" s="442" t="str">
        <f t="shared" si="1066"/>
        <v>R</v>
      </c>
      <c r="N2225" s="442" t="str">
        <f>IF(L2225&lt;&gt;"",VLOOKUP(L2225,Categories!$B$2:$D$41,2,FALSE),IF(F2225&lt;&gt;"","No Cat",""))</f>
        <v>Rate Base</v>
      </c>
      <c r="O2225" s="442" t="str">
        <f>IF($L2225&lt;&gt;"",VLOOKUP($L2225,Categories!$B$2:$D$41,3,FALSE),IF($F2225&lt;&gt;"","No Cat",""))</f>
        <v>Deferred Income Taxes</v>
      </c>
      <c r="P2225" s="736" t="s">
        <v>2482</v>
      </c>
      <c r="Q2225" s="442" t="str">
        <f>VLOOKUP($P2225,Allocators!$B$7:$F$19,5,FALSE)</f>
        <v>Electric</v>
      </c>
      <c r="R2225" s="737">
        <f>VLOOKUP($P2225,Allocators!$B$7:$F$19,2,FALSE)</f>
        <v>1</v>
      </c>
      <c r="S2225" s="737">
        <f>VLOOKUP($P2225,Allocators!$B$7:$F$19,3,FALSE)</f>
        <v>0</v>
      </c>
      <c r="T2225" s="737" t="str">
        <f t="shared" si="1062"/>
        <v>0.0%</v>
      </c>
      <c r="U2225" s="2">
        <f t="shared" si="1073"/>
        <v>22.655370000000001</v>
      </c>
      <c r="V2225" s="2">
        <f t="shared" si="1074"/>
        <v>0</v>
      </c>
      <c r="W2225" s="2">
        <f t="shared" si="1075"/>
        <v>0</v>
      </c>
      <c r="X2225" s="2">
        <f t="shared" si="1071"/>
        <v>22.655370000000001</v>
      </c>
      <c r="Y2225" s="2">
        <f t="shared" si="1076"/>
        <v>22.655370000000001</v>
      </c>
      <c r="Z2225" s="2">
        <f t="shared" si="1077"/>
        <v>0</v>
      </c>
      <c r="AA2225" s="2">
        <f t="shared" si="1078"/>
        <v>0</v>
      </c>
      <c r="AB2225" s="2">
        <f t="shared" si="1072"/>
        <v>22.655369999999998</v>
      </c>
      <c r="AC2225" s="625">
        <v>22.655369999999998</v>
      </c>
      <c r="AD2225" s="625">
        <v>22.655369999999998</v>
      </c>
      <c r="AE2225" s="625">
        <v>22.655369999999998</v>
      </c>
      <c r="AF2225" s="625">
        <v>22.655369999999998</v>
      </c>
      <c r="AG2225" s="625">
        <v>22.655369999999998</v>
      </c>
      <c r="AH2225" s="625">
        <v>22.655369999999998</v>
      </c>
      <c r="AI2225" s="625">
        <v>22.655369999999998</v>
      </c>
      <c r="AJ2225" s="625">
        <v>22.655369999999998</v>
      </c>
      <c r="AK2225" s="625">
        <v>22.655369999999998</v>
      </c>
      <c r="AL2225" s="625">
        <v>22.655369999999998</v>
      </c>
      <c r="AM2225" s="625">
        <v>22.655369999999998</v>
      </c>
      <c r="AN2225" s="625">
        <v>22.655369999999998</v>
      </c>
      <c r="AO2225" s="625">
        <v>22.655369999999998</v>
      </c>
      <c r="AP2225" s="41" t="str">
        <f t="shared" si="1067"/>
        <v>Def TaxR</v>
      </c>
      <c r="AQ2225" s="41" t="str">
        <f t="shared" si="1068"/>
        <v>Def TaxRR11NYS Tax Rate to 7.1%</v>
      </c>
      <c r="AR2225" s="41" t="str">
        <f t="shared" si="1069"/>
        <v>R11NYS Tax Rate to 7.1%</v>
      </c>
    </row>
    <row r="2226" spans="1:44" s="41" customFormat="1" ht="12.75" customHeight="1">
      <c r="A2226" s="25" t="s">
        <v>1590</v>
      </c>
      <c r="B2226" s="25" t="str">
        <f t="shared" si="1081"/>
        <v>Def Tax283400283-013</v>
      </c>
      <c r="C2226" s="736">
        <v>283400</v>
      </c>
      <c r="D2226" s="735" t="s">
        <v>2171</v>
      </c>
      <c r="F2226" s="41" t="str">
        <f t="shared" si="1079"/>
        <v>ACCUM DEF INC TAX-OTH-STATE-ELECTRIC</v>
      </c>
      <c r="G2226" s="41" t="s">
        <v>2292</v>
      </c>
      <c r="H2226" s="736" t="s">
        <v>2173</v>
      </c>
      <c r="I2226" s="25"/>
      <c r="J2226" s="25" t="str">
        <f t="shared" si="1080"/>
        <v/>
      </c>
      <c r="K2226" s="442" t="str">
        <f t="shared" si="1063"/>
        <v/>
      </c>
      <c r="L2226" s="736" t="s">
        <v>2443</v>
      </c>
      <c r="M2226" s="25" t="str">
        <f t="shared" si="1066"/>
        <v>R</v>
      </c>
      <c r="N2226" s="25" t="str">
        <f>IF(L2226&lt;&gt;"",VLOOKUP(L2226,Categories!$B$2:$D$41,2,FALSE),IF(F2226&lt;&gt;"","No Cat",""))</f>
        <v>Rate Base</v>
      </c>
      <c r="O2226" s="25" t="str">
        <f>IF($L2226&lt;&gt;"",VLOOKUP($L2226,Categories!$B$2:$D$41,3,FALSE),IF($F2226&lt;&gt;"","No Cat",""))</f>
        <v>Deferred Income Taxes</v>
      </c>
      <c r="P2226" s="736" t="s">
        <v>2482</v>
      </c>
      <c r="Q2226" s="25" t="str">
        <f>VLOOKUP($P2226,Allocators!$B$7:$F$19,5,FALSE)</f>
        <v>Electric</v>
      </c>
      <c r="R2226" s="737">
        <f>VLOOKUP($P2226,Allocators!$B$7:$F$19,2,FALSE)</f>
        <v>1</v>
      </c>
      <c r="S2226" s="737">
        <f>VLOOKUP($P2226,Allocators!$B$7:$F$19,3,FALSE)</f>
        <v>0</v>
      </c>
      <c r="T2226" s="737" t="str">
        <f t="shared" si="1062"/>
        <v>0.0%</v>
      </c>
      <c r="U2226" s="2" t="str">
        <f t="shared" si="1073"/>
        <v/>
      </c>
      <c r="V2226" s="2" t="str">
        <f t="shared" si="1074"/>
        <v/>
      </c>
      <c r="W2226" s="2" t="str">
        <f t="shared" si="1075"/>
        <v/>
      </c>
      <c r="X2226" s="2">
        <f t="shared" si="1071"/>
        <v>0</v>
      </c>
      <c r="Y2226" s="2" t="str">
        <f t="shared" si="1076"/>
        <v/>
      </c>
      <c r="Z2226" s="2" t="str">
        <f t="shared" si="1077"/>
        <v/>
      </c>
      <c r="AA2226" s="2" t="str">
        <f t="shared" si="1078"/>
        <v/>
      </c>
      <c r="AB2226" s="2">
        <f t="shared" si="1072"/>
        <v>0</v>
      </c>
      <c r="AC2226" s="625">
        <v>0</v>
      </c>
      <c r="AD2226" s="625">
        <v>0</v>
      </c>
      <c r="AE2226" s="625">
        <v>0</v>
      </c>
      <c r="AF2226" s="625">
        <v>0</v>
      </c>
      <c r="AG2226" s="625">
        <v>0</v>
      </c>
      <c r="AH2226" s="625">
        <v>0</v>
      </c>
      <c r="AI2226" s="625">
        <v>0</v>
      </c>
      <c r="AJ2226" s="625">
        <v>0</v>
      </c>
      <c r="AK2226" s="625">
        <v>0</v>
      </c>
      <c r="AL2226" s="625">
        <v>0</v>
      </c>
      <c r="AM2226" s="625">
        <v>0</v>
      </c>
      <c r="AN2226" s="625">
        <v>0</v>
      </c>
      <c r="AO2226" s="625">
        <v>0</v>
      </c>
      <c r="AP2226" s="41" t="str">
        <f t="shared" si="1067"/>
        <v>Def TaxR</v>
      </c>
      <c r="AQ2226" s="41" t="str">
        <f t="shared" si="1068"/>
        <v>Def TaxRR11Ice Storm</v>
      </c>
      <c r="AR2226" s="41" t="str">
        <f t="shared" si="1069"/>
        <v>R11Ice Storm</v>
      </c>
    </row>
    <row r="2227" spans="1:44" s="41" customFormat="1" ht="12.75" customHeight="1">
      <c r="A2227" s="25" t="s">
        <v>1590</v>
      </c>
      <c r="B2227" s="25" t="str">
        <f t="shared" si="1081"/>
        <v>Def Tax283400BT010102</v>
      </c>
      <c r="C2227" s="736">
        <v>283400</v>
      </c>
      <c r="D2227" s="735"/>
      <c r="E2227" s="41" t="s">
        <v>2175</v>
      </c>
      <c r="F2227" s="41" t="str">
        <f t="shared" si="1079"/>
        <v>ACCUM DEF INC TAX-OTH-STATE-ELECTRIC</v>
      </c>
      <c r="G2227" s="41" t="s">
        <v>2293</v>
      </c>
      <c r="H2227" s="736" t="s">
        <v>1313</v>
      </c>
      <c r="I2227" s="25"/>
      <c r="J2227" s="25" t="str">
        <f t="shared" si="1080"/>
        <v/>
      </c>
      <c r="K2227" s="442" t="str">
        <f t="shared" si="1063"/>
        <v/>
      </c>
      <c r="L2227" s="736" t="s">
        <v>2443</v>
      </c>
      <c r="M2227" s="25" t="str">
        <f t="shared" si="1066"/>
        <v>R</v>
      </c>
      <c r="N2227" s="25" t="str">
        <f>IF(L2227&lt;&gt;"",VLOOKUP(L2227,Categories!$B$2:$D$41,2,FALSE),IF(F2227&lt;&gt;"","No Cat",""))</f>
        <v>Rate Base</v>
      </c>
      <c r="O2227" s="25" t="str">
        <f>IF($L2227&lt;&gt;"",VLOOKUP($L2227,Categories!$B$2:$D$41,3,FALSE),IF($F2227&lt;&gt;"","No Cat",""))</f>
        <v>Deferred Income Taxes</v>
      </c>
      <c r="P2227" s="736" t="s">
        <v>2482</v>
      </c>
      <c r="Q2227" s="25" t="str">
        <f>VLOOKUP($P2227,Allocators!$B$7:$F$19,5,FALSE)</f>
        <v>Electric</v>
      </c>
      <c r="R2227" s="737">
        <f>VLOOKUP($P2227,Allocators!$B$7:$F$19,2,FALSE)</f>
        <v>1</v>
      </c>
      <c r="S2227" s="737">
        <f>VLOOKUP($P2227,Allocators!$B$7:$F$19,3,FALSE)</f>
        <v>0</v>
      </c>
      <c r="T2227" s="737" t="str">
        <f t="shared" ref="T2227:T2292" si="1082">IF(P2227="N",1,"0.0%")</f>
        <v>0.0%</v>
      </c>
      <c r="U2227" s="2" t="str">
        <f t="shared" si="1073"/>
        <v/>
      </c>
      <c r="V2227" s="2" t="str">
        <f t="shared" si="1074"/>
        <v/>
      </c>
      <c r="W2227" s="2" t="str">
        <f t="shared" si="1075"/>
        <v/>
      </c>
      <c r="X2227" s="2">
        <f t="shared" si="1071"/>
        <v>0</v>
      </c>
      <c r="Y2227" s="2" t="str">
        <f t="shared" si="1076"/>
        <v/>
      </c>
      <c r="Z2227" s="2" t="str">
        <f t="shared" si="1077"/>
        <v/>
      </c>
      <c r="AA2227" s="2" t="str">
        <f t="shared" si="1078"/>
        <v/>
      </c>
      <c r="AB2227" s="2">
        <f t="shared" si="1072"/>
        <v>0</v>
      </c>
      <c r="AC2227" s="625">
        <v>0</v>
      </c>
      <c r="AD2227" s="625">
        <v>0</v>
      </c>
      <c r="AE2227" s="625">
        <v>0</v>
      </c>
      <c r="AF2227" s="625">
        <v>0</v>
      </c>
      <c r="AG2227" s="625">
        <v>0</v>
      </c>
      <c r="AH2227" s="625">
        <v>0</v>
      </c>
      <c r="AI2227" s="625">
        <v>0</v>
      </c>
      <c r="AJ2227" s="625">
        <v>0</v>
      </c>
      <c r="AK2227" s="625">
        <v>0</v>
      </c>
      <c r="AL2227" s="625">
        <v>0</v>
      </c>
      <c r="AM2227" s="625">
        <v>0</v>
      </c>
      <c r="AN2227" s="625">
        <v>0</v>
      </c>
      <c r="AO2227" s="625">
        <v>0</v>
      </c>
      <c r="AP2227" s="41" t="str">
        <f t="shared" si="1067"/>
        <v>Def TaxR</v>
      </c>
      <c r="AQ2227" s="41" t="str">
        <f t="shared" si="1068"/>
        <v>Def TaxRR11IMLR</v>
      </c>
      <c r="AR2227" s="41" t="str">
        <f t="shared" si="1069"/>
        <v>R11IMLR</v>
      </c>
    </row>
    <row r="2228" spans="1:44" s="41" customFormat="1" ht="12.75" customHeight="1">
      <c r="A2228" s="25" t="s">
        <v>1590</v>
      </c>
      <c r="B2228" s="25" t="str">
        <f t="shared" si="1081"/>
        <v>Def Tax283400283-077</v>
      </c>
      <c r="C2228" s="736">
        <v>283400</v>
      </c>
      <c r="D2228" s="735" t="s">
        <v>2177</v>
      </c>
      <c r="F2228" s="41" t="str">
        <f t="shared" si="1079"/>
        <v>ACCUM DEF INC TAX-OTH-STATE-ELECTRIC</v>
      </c>
      <c r="G2228" s="41" t="s">
        <v>2178</v>
      </c>
      <c r="H2228" s="736" t="s">
        <v>2179</v>
      </c>
      <c r="I2228" s="25"/>
      <c r="J2228" s="25" t="str">
        <f t="shared" si="1080"/>
        <v/>
      </c>
      <c r="K2228" s="442" t="str">
        <f t="shared" si="1063"/>
        <v/>
      </c>
      <c r="L2228" s="736" t="s">
        <v>2443</v>
      </c>
      <c r="M2228" s="25" t="str">
        <f t="shared" si="1066"/>
        <v>R</v>
      </c>
      <c r="N2228" s="25" t="str">
        <f>IF(L2228&lt;&gt;"",VLOOKUP(L2228,Categories!$B$2:$D$41,2,FALSE),IF(F2228&lt;&gt;"","No Cat",""))</f>
        <v>Rate Base</v>
      </c>
      <c r="O2228" s="25" t="str">
        <f>IF($L2228&lt;&gt;"",VLOOKUP($L2228,Categories!$B$2:$D$41,3,FALSE),IF($F2228&lt;&gt;"","No Cat",""))</f>
        <v>Deferred Income Taxes</v>
      </c>
      <c r="P2228" s="736" t="s">
        <v>2482</v>
      </c>
      <c r="Q2228" s="25" t="str">
        <f>VLOOKUP($P2228,Allocators!$B$7:$F$19,5,FALSE)</f>
        <v>Electric</v>
      </c>
      <c r="R2228" s="737">
        <f>VLOOKUP($P2228,Allocators!$B$7:$F$19,2,FALSE)</f>
        <v>1</v>
      </c>
      <c r="S2228" s="737">
        <f>VLOOKUP($P2228,Allocators!$B$7:$F$19,3,FALSE)</f>
        <v>0</v>
      </c>
      <c r="T2228" s="737" t="str">
        <f t="shared" si="1082"/>
        <v>0.0%</v>
      </c>
      <c r="U2228" s="2" t="str">
        <f t="shared" si="1073"/>
        <v/>
      </c>
      <c r="V2228" s="2" t="str">
        <f t="shared" si="1074"/>
        <v/>
      </c>
      <c r="W2228" s="2" t="str">
        <f t="shared" si="1075"/>
        <v/>
      </c>
      <c r="X2228" s="2">
        <f t="shared" si="1071"/>
        <v>0</v>
      </c>
      <c r="Y2228" s="2" t="str">
        <f t="shared" si="1076"/>
        <v/>
      </c>
      <c r="Z2228" s="2" t="str">
        <f t="shared" si="1077"/>
        <v/>
      </c>
      <c r="AA2228" s="2" t="str">
        <f t="shared" si="1078"/>
        <v/>
      </c>
      <c r="AB2228" s="2">
        <f t="shared" si="1072"/>
        <v>0</v>
      </c>
      <c r="AC2228" s="625">
        <v>0</v>
      </c>
      <c r="AD2228" s="625">
        <v>0</v>
      </c>
      <c r="AE2228" s="625">
        <v>0</v>
      </c>
      <c r="AF2228" s="625">
        <v>0</v>
      </c>
      <c r="AG2228" s="625">
        <v>0</v>
      </c>
      <c r="AH2228" s="625">
        <v>0</v>
      </c>
      <c r="AI2228" s="625">
        <v>0</v>
      </c>
      <c r="AJ2228" s="625">
        <v>0</v>
      </c>
      <c r="AK2228" s="625">
        <v>0</v>
      </c>
      <c r="AL2228" s="625">
        <v>0</v>
      </c>
      <c r="AM2228" s="625">
        <v>0</v>
      </c>
      <c r="AN2228" s="625">
        <v>0</v>
      </c>
      <c r="AO2228" s="625">
        <v>0</v>
      </c>
      <c r="AP2228" s="41" t="str">
        <f t="shared" si="1067"/>
        <v>Def TaxR</v>
      </c>
      <c r="AQ2228" s="41" t="str">
        <f t="shared" si="1068"/>
        <v>Def TaxRR11Internal Software</v>
      </c>
      <c r="AR2228" s="41" t="str">
        <f t="shared" si="1069"/>
        <v>R11Internal Software</v>
      </c>
    </row>
    <row r="2229" spans="1:44" s="41" customFormat="1" ht="12.75" customHeight="1">
      <c r="A2229" s="25" t="s">
        <v>1590</v>
      </c>
      <c r="B2229" s="25" t="str">
        <f t="shared" si="1081"/>
        <v>Def Tax283400283-075</v>
      </c>
      <c r="C2229" s="736">
        <v>283400</v>
      </c>
      <c r="D2229" s="735" t="s">
        <v>2016</v>
      </c>
      <c r="F2229" s="41" t="str">
        <f t="shared" si="1079"/>
        <v>ACCUM DEF INC TAX-OTH-STATE-ELECTRIC</v>
      </c>
      <c r="G2229" s="41" t="s">
        <v>2018</v>
      </c>
      <c r="H2229" s="736" t="s">
        <v>2019</v>
      </c>
      <c r="I2229" s="25"/>
      <c r="J2229" s="25" t="str">
        <f t="shared" si="1080"/>
        <v/>
      </c>
      <c r="K2229" s="442" t="str">
        <f t="shared" ref="K2229:K2294" si="1083">IF(L2229="N3","Y","")</f>
        <v/>
      </c>
      <c r="L2229" s="736" t="s">
        <v>2443</v>
      </c>
      <c r="M2229" s="25" t="str">
        <f t="shared" si="1066"/>
        <v>R</v>
      </c>
      <c r="N2229" s="25" t="str">
        <f>IF(L2229&lt;&gt;"",VLOOKUP(L2229,Categories!$B$2:$D$41,2,FALSE),IF(F2229&lt;&gt;"","No Cat",""))</f>
        <v>Rate Base</v>
      </c>
      <c r="O2229" s="25" t="str">
        <f>IF($L2229&lt;&gt;"",VLOOKUP($L2229,Categories!$B$2:$D$41,3,FALSE),IF($F2229&lt;&gt;"","No Cat",""))</f>
        <v>Deferred Income Taxes</v>
      </c>
      <c r="P2229" s="736" t="s">
        <v>2482</v>
      </c>
      <c r="Q2229" s="25" t="str">
        <f>VLOOKUP($P2229,Allocators!$B$7:$F$19,5,FALSE)</f>
        <v>Electric</v>
      </c>
      <c r="R2229" s="737">
        <f>VLOOKUP($P2229,Allocators!$B$7:$F$19,2,FALSE)</f>
        <v>1</v>
      </c>
      <c r="S2229" s="737">
        <f>VLOOKUP($P2229,Allocators!$B$7:$F$19,3,FALSE)</f>
        <v>0</v>
      </c>
      <c r="T2229" s="737" t="str">
        <f t="shared" si="1082"/>
        <v>0.0%</v>
      </c>
      <c r="U2229" s="2" t="str">
        <f t="shared" si="1073"/>
        <v/>
      </c>
      <c r="V2229" s="2" t="str">
        <f t="shared" si="1074"/>
        <v/>
      </c>
      <c r="W2229" s="2" t="str">
        <f t="shared" si="1075"/>
        <v/>
      </c>
      <c r="X2229" s="2">
        <f t="shared" si="1071"/>
        <v>0</v>
      </c>
      <c r="Y2229" s="2" t="str">
        <f t="shared" si="1076"/>
        <v/>
      </c>
      <c r="Z2229" s="2" t="str">
        <f t="shared" si="1077"/>
        <v/>
      </c>
      <c r="AA2229" s="2" t="str">
        <f t="shared" si="1078"/>
        <v/>
      </c>
      <c r="AB2229" s="2">
        <f t="shared" si="1072"/>
        <v>0</v>
      </c>
      <c r="AC2229" s="625">
        <v>0</v>
      </c>
      <c r="AD2229" s="625">
        <v>0</v>
      </c>
      <c r="AE2229" s="625">
        <v>0</v>
      </c>
      <c r="AF2229" s="625">
        <v>0</v>
      </c>
      <c r="AG2229" s="625">
        <v>0</v>
      </c>
      <c r="AH2229" s="625">
        <v>0</v>
      </c>
      <c r="AI2229" s="625">
        <v>0</v>
      </c>
      <c r="AJ2229" s="625">
        <v>0</v>
      </c>
      <c r="AK2229" s="625">
        <v>0</v>
      </c>
      <c r="AL2229" s="625">
        <v>0</v>
      </c>
      <c r="AM2229" s="625">
        <v>0</v>
      </c>
      <c r="AN2229" s="625">
        <v>0</v>
      </c>
      <c r="AO2229" s="625">
        <v>0</v>
      </c>
      <c r="AP2229" s="41" t="str">
        <f t="shared" si="1067"/>
        <v>Def TaxR</v>
      </c>
      <c r="AQ2229" s="41" t="str">
        <f t="shared" si="1068"/>
        <v>Def TaxRR1198 - '01 IRS Audit</v>
      </c>
      <c r="AR2229" s="41" t="str">
        <f t="shared" si="1069"/>
        <v>R1198 - '01 IRS Audit</v>
      </c>
    </row>
    <row r="2230" spans="1:44" s="41" customFormat="1" ht="12.75" customHeight="1">
      <c r="A2230" s="25" t="s">
        <v>1590</v>
      </c>
      <c r="B2230" s="25" t="str">
        <f t="shared" si="1081"/>
        <v>Def Tax283400283-054</v>
      </c>
      <c r="C2230" s="736">
        <v>283400</v>
      </c>
      <c r="D2230" s="735" t="s">
        <v>2180</v>
      </c>
      <c r="F2230" s="41" t="str">
        <f t="shared" si="1079"/>
        <v>ACCUM DEF INC TAX-OTH-STATE-ELECTRIC</v>
      </c>
      <c r="G2230" s="41" t="s">
        <v>2181</v>
      </c>
      <c r="H2230" s="736" t="s">
        <v>1140</v>
      </c>
      <c r="I2230" s="25"/>
      <c r="J2230" s="25" t="str">
        <f t="shared" si="1080"/>
        <v/>
      </c>
      <c r="K2230" s="442" t="str">
        <f t="shared" si="1083"/>
        <v/>
      </c>
      <c r="L2230" s="736" t="s">
        <v>2443</v>
      </c>
      <c r="M2230" s="25" t="str">
        <f t="shared" si="1066"/>
        <v>R</v>
      </c>
      <c r="N2230" s="25" t="str">
        <f>IF(L2230&lt;&gt;"",VLOOKUP(L2230,Categories!$B$2:$D$41,2,FALSE),IF(F2230&lt;&gt;"","No Cat",""))</f>
        <v>Rate Base</v>
      </c>
      <c r="O2230" s="25" t="str">
        <f>IF($L2230&lt;&gt;"",VLOOKUP($L2230,Categories!$B$2:$D$41,3,FALSE),IF($F2230&lt;&gt;"","No Cat",""))</f>
        <v>Deferred Income Taxes</v>
      </c>
      <c r="P2230" s="736" t="s">
        <v>2482</v>
      </c>
      <c r="Q2230" s="25" t="str">
        <f>VLOOKUP($P2230,Allocators!$B$7:$F$19,5,FALSE)</f>
        <v>Electric</v>
      </c>
      <c r="R2230" s="737">
        <f>VLOOKUP($P2230,Allocators!$B$7:$F$19,2,FALSE)</f>
        <v>1</v>
      </c>
      <c r="S2230" s="737">
        <f>VLOOKUP($P2230,Allocators!$B$7:$F$19,3,FALSE)</f>
        <v>0</v>
      </c>
      <c r="T2230" s="737" t="str">
        <f t="shared" si="1082"/>
        <v>0.0%</v>
      </c>
      <c r="U2230" s="2" t="str">
        <f t="shared" si="1073"/>
        <v/>
      </c>
      <c r="V2230" s="2" t="str">
        <f t="shared" si="1074"/>
        <v/>
      </c>
      <c r="W2230" s="2" t="str">
        <f t="shared" si="1075"/>
        <v/>
      </c>
      <c r="X2230" s="2">
        <f t="shared" si="1071"/>
        <v>0</v>
      </c>
      <c r="Y2230" s="2" t="str">
        <f t="shared" si="1076"/>
        <v/>
      </c>
      <c r="Z2230" s="2" t="str">
        <f t="shared" si="1077"/>
        <v/>
      </c>
      <c r="AA2230" s="2" t="str">
        <f t="shared" si="1078"/>
        <v/>
      </c>
      <c r="AB2230" s="2">
        <f t="shared" si="1072"/>
        <v>0</v>
      </c>
      <c r="AC2230" s="625">
        <v>0</v>
      </c>
      <c r="AD2230" s="625">
        <v>0</v>
      </c>
      <c r="AE2230" s="625">
        <v>0</v>
      </c>
      <c r="AF2230" s="625">
        <v>0</v>
      </c>
      <c r="AG2230" s="625">
        <v>0</v>
      </c>
      <c r="AH2230" s="625">
        <v>0</v>
      </c>
      <c r="AI2230" s="625">
        <v>0</v>
      </c>
      <c r="AJ2230" s="625">
        <v>0</v>
      </c>
      <c r="AK2230" s="625">
        <v>0</v>
      </c>
      <c r="AL2230" s="625">
        <v>0</v>
      </c>
      <c r="AM2230" s="625">
        <v>0</v>
      </c>
      <c r="AN2230" s="625">
        <v>0</v>
      </c>
      <c r="AO2230" s="625">
        <v>0</v>
      </c>
      <c r="AP2230" s="41" t="str">
        <f t="shared" si="1067"/>
        <v>Def TaxR</v>
      </c>
      <c r="AQ2230" s="41" t="str">
        <f t="shared" si="1068"/>
        <v>Def TaxRR11Allegany</v>
      </c>
      <c r="AR2230" s="41" t="str">
        <f t="shared" si="1069"/>
        <v>R11Allegany</v>
      </c>
    </row>
    <row r="2231" spans="1:44" s="41" customFormat="1" ht="12.75" customHeight="1">
      <c r="A2231" s="25" t="s">
        <v>1590</v>
      </c>
      <c r="B2231" s="25" t="str">
        <f t="shared" si="1081"/>
        <v>Def Tax283400283-083BT010110</v>
      </c>
      <c r="C2231" s="736">
        <v>283400</v>
      </c>
      <c r="D2231" s="735" t="s">
        <v>2182</v>
      </c>
      <c r="E2231" s="41" t="s">
        <v>2186</v>
      </c>
      <c r="F2231" s="41" t="str">
        <f t="shared" si="1079"/>
        <v>ACCUM DEF INC TAX-OTH-STATE-ELECTRIC</v>
      </c>
      <c r="G2231" s="41" t="s">
        <v>2184</v>
      </c>
      <c r="H2231" s="736">
        <v>0</v>
      </c>
      <c r="I2231" s="25"/>
      <c r="J2231" s="25" t="str">
        <f t="shared" si="1080"/>
        <v/>
      </c>
      <c r="K2231" s="442" t="str">
        <f t="shared" si="1083"/>
        <v/>
      </c>
      <c r="L2231" s="736" t="s">
        <v>2443</v>
      </c>
      <c r="M2231" s="25" t="str">
        <f t="shared" si="1066"/>
        <v>R</v>
      </c>
      <c r="N2231" s="25" t="str">
        <f>IF(L2231&lt;&gt;"",VLOOKUP(L2231,Categories!$B$2:$D$41,2,FALSE),IF(F2231&lt;&gt;"","No Cat",""))</f>
        <v>Rate Base</v>
      </c>
      <c r="O2231" s="25" t="str">
        <f>IF($L2231&lt;&gt;"",VLOOKUP($L2231,Categories!$B$2:$D$41,3,FALSE),IF($F2231&lt;&gt;"","No Cat",""))</f>
        <v>Deferred Income Taxes</v>
      </c>
      <c r="P2231" s="736" t="s">
        <v>2482</v>
      </c>
      <c r="Q2231" s="25" t="str">
        <f>VLOOKUP($P2231,Allocators!$B$7:$F$19,5,FALSE)</f>
        <v>Electric</v>
      </c>
      <c r="R2231" s="737">
        <f>VLOOKUP($P2231,Allocators!$B$7:$F$19,2,FALSE)</f>
        <v>1</v>
      </c>
      <c r="S2231" s="737">
        <f>VLOOKUP($P2231,Allocators!$B$7:$F$19,3,FALSE)</f>
        <v>0</v>
      </c>
      <c r="T2231" s="737" t="str">
        <f t="shared" si="1082"/>
        <v>0.0%</v>
      </c>
      <c r="U2231" s="2" t="str">
        <f t="shared" si="1073"/>
        <v/>
      </c>
      <c r="V2231" s="2" t="str">
        <f t="shared" si="1074"/>
        <v/>
      </c>
      <c r="W2231" s="2" t="str">
        <f t="shared" si="1075"/>
        <v/>
      </c>
      <c r="X2231" s="2">
        <f t="shared" si="1071"/>
        <v>0</v>
      </c>
      <c r="Y2231" s="2" t="str">
        <f t="shared" si="1076"/>
        <v/>
      </c>
      <c r="Z2231" s="2" t="str">
        <f t="shared" si="1077"/>
        <v/>
      </c>
      <c r="AA2231" s="2" t="str">
        <f t="shared" si="1078"/>
        <v/>
      </c>
      <c r="AB2231" s="2">
        <f t="shared" si="1072"/>
        <v>0</v>
      </c>
      <c r="AC2231" s="625">
        <v>0</v>
      </c>
      <c r="AD2231" s="625">
        <v>0</v>
      </c>
      <c r="AE2231" s="625">
        <v>0</v>
      </c>
      <c r="AF2231" s="625">
        <v>0</v>
      </c>
      <c r="AG2231" s="625">
        <v>0</v>
      </c>
      <c r="AH2231" s="625">
        <v>0</v>
      </c>
      <c r="AI2231" s="625">
        <v>0</v>
      </c>
      <c r="AJ2231" s="625">
        <v>0</v>
      </c>
      <c r="AK2231" s="625">
        <v>0</v>
      </c>
      <c r="AL2231" s="625">
        <v>0</v>
      </c>
      <c r="AM2231" s="625">
        <v>0</v>
      </c>
      <c r="AN2231" s="625">
        <v>0</v>
      </c>
      <c r="AO2231" s="625">
        <v>0</v>
      </c>
      <c r="AP2231" s="41" t="str">
        <f t="shared" si="1067"/>
        <v>Def TaxR</v>
      </c>
      <c r="AQ2231" s="41" t="str">
        <f t="shared" si="1068"/>
        <v>Def TaxRR110</v>
      </c>
      <c r="AR2231" s="41" t="str">
        <f t="shared" si="1069"/>
        <v>R110</v>
      </c>
    </row>
    <row r="2232" spans="1:44" s="41" customFormat="1" ht="12.75" customHeight="1">
      <c r="A2232" s="442" t="s">
        <v>1590</v>
      </c>
      <c r="B2232" s="442" t="str">
        <f t="shared" si="1081"/>
        <v>Def Tax283400283-083-AMORTBT010111</v>
      </c>
      <c r="C2232" s="736">
        <v>283400</v>
      </c>
      <c r="D2232" s="735" t="s">
        <v>2185</v>
      </c>
      <c r="E2232" s="626" t="s">
        <v>2183</v>
      </c>
      <c r="F2232" s="626" t="str">
        <f t="shared" si="1079"/>
        <v>ACCUM DEF INC TAX-OTH-STATE-ELECTRIC</v>
      </c>
      <c r="G2232" s="626" t="s">
        <v>2187</v>
      </c>
      <c r="H2232" s="736">
        <v>0</v>
      </c>
      <c r="I2232" s="442"/>
      <c r="J2232" s="442" t="str">
        <f t="shared" si="1080"/>
        <v/>
      </c>
      <c r="K2232" s="442" t="str">
        <f t="shared" si="1083"/>
        <v/>
      </c>
      <c r="L2232" s="736" t="s">
        <v>2421</v>
      </c>
      <c r="M2232" s="442" t="str">
        <f t="shared" si="1066"/>
        <v>N</v>
      </c>
      <c r="N2232" s="442" t="str">
        <f>IF(L2232&lt;&gt;"",VLOOKUP(L2232,Categories!$B$2:$D$41,2,FALSE),IF(F2232&lt;&gt;"","No Cat",""))</f>
        <v>NRBASE</v>
      </c>
      <c r="O2232" s="442" t="str">
        <f>IF($L2232&lt;&gt;"",VLOOKUP($L2232,Categories!$B$2:$D$41,3,FALSE),IF($F2232&lt;&gt;"","No Cat",""))</f>
        <v>Direct Assign Items Not in RB</v>
      </c>
      <c r="P2232" s="736" t="s">
        <v>2468</v>
      </c>
      <c r="Q2232" s="442" t="str">
        <f>VLOOKUP($P2232,Allocators!$B$7:$F$19,5,FALSE)</f>
        <v>Not in Rate Base</v>
      </c>
      <c r="R2232" s="737">
        <f>VLOOKUP($P2232,Allocators!$B$7:$F$19,2,FALSE)</f>
        <v>0</v>
      </c>
      <c r="S2232" s="737">
        <f>VLOOKUP($P2232,Allocators!$B$7:$F$19,3,FALSE)</f>
        <v>0</v>
      </c>
      <c r="T2232" s="737">
        <f t="shared" si="1082"/>
        <v>1</v>
      </c>
      <c r="U2232" s="2" t="str">
        <f t="shared" si="1073"/>
        <v/>
      </c>
      <c r="V2232" s="2" t="str">
        <f t="shared" si="1074"/>
        <v/>
      </c>
      <c r="W2232" s="2" t="str">
        <f t="shared" si="1075"/>
        <v/>
      </c>
      <c r="X2232" s="2">
        <f t="shared" si="1071"/>
        <v>0</v>
      </c>
      <c r="Y2232" s="2" t="str">
        <f t="shared" si="1076"/>
        <v/>
      </c>
      <c r="Z2232" s="2" t="str">
        <f t="shared" si="1077"/>
        <v/>
      </c>
      <c r="AA2232" s="2" t="str">
        <f t="shared" si="1078"/>
        <v/>
      </c>
      <c r="AB2232" s="2">
        <f t="shared" si="1072"/>
        <v>0</v>
      </c>
      <c r="AC2232" s="625">
        <v>0</v>
      </c>
      <c r="AD2232" s="625">
        <v>0</v>
      </c>
      <c r="AE2232" s="625">
        <v>0</v>
      </c>
      <c r="AF2232" s="625">
        <v>0</v>
      </c>
      <c r="AG2232" s="625">
        <v>0</v>
      </c>
      <c r="AH2232" s="625">
        <v>0</v>
      </c>
      <c r="AI2232" s="625">
        <v>0</v>
      </c>
      <c r="AJ2232" s="625">
        <v>0</v>
      </c>
      <c r="AK2232" s="625">
        <v>0</v>
      </c>
      <c r="AL2232" s="625">
        <v>0</v>
      </c>
      <c r="AM2232" s="625">
        <v>0</v>
      </c>
      <c r="AN2232" s="625">
        <v>0</v>
      </c>
      <c r="AO2232" s="625">
        <v>0</v>
      </c>
      <c r="AP2232" s="41" t="str">
        <f t="shared" si="1067"/>
        <v>Def TaxN</v>
      </c>
      <c r="AQ2232" s="41" t="str">
        <f t="shared" si="1068"/>
        <v>Def TaxNN20</v>
      </c>
      <c r="AR2232" s="41" t="str">
        <f t="shared" si="1069"/>
        <v>N20</v>
      </c>
    </row>
    <row r="2233" spans="1:44" s="41" customFormat="1" ht="12.75" customHeight="1">
      <c r="A2233" s="442" t="s">
        <v>1590</v>
      </c>
      <c r="B2233" s="442" t="str">
        <f t="shared" si="1081"/>
        <v>Def Tax283400283-085</v>
      </c>
      <c r="C2233" s="736">
        <v>283400</v>
      </c>
      <c r="D2233" s="735" t="s">
        <v>2191</v>
      </c>
      <c r="E2233" s="626"/>
      <c r="F2233" s="626" t="str">
        <f t="shared" si="1079"/>
        <v>ACCUM DEF INC TAX-OTH-STATE-ELECTRIC</v>
      </c>
      <c r="G2233" s="626" t="s">
        <v>2192</v>
      </c>
      <c r="H2233" s="736" t="s">
        <v>2193</v>
      </c>
      <c r="I2233" s="442"/>
      <c r="J2233" s="442" t="str">
        <f t="shared" si="1080"/>
        <v/>
      </c>
      <c r="K2233" s="442" t="str">
        <f t="shared" si="1083"/>
        <v/>
      </c>
      <c r="L2233" s="736" t="s">
        <v>2421</v>
      </c>
      <c r="M2233" s="442" t="str">
        <f t="shared" si="1066"/>
        <v>N</v>
      </c>
      <c r="N2233" s="442" t="str">
        <f>IF(L2233&lt;&gt;"",VLOOKUP(L2233,Categories!$B$2:$D$41,2,FALSE),IF(F2233&lt;&gt;"","No Cat",""))</f>
        <v>NRBASE</v>
      </c>
      <c r="O2233" s="442" t="str">
        <f>IF($L2233&lt;&gt;"",VLOOKUP($L2233,Categories!$B$2:$D$41,3,FALSE),IF($F2233&lt;&gt;"","No Cat",""))</f>
        <v>Direct Assign Items Not in RB</v>
      </c>
      <c r="P2233" s="736" t="s">
        <v>2468</v>
      </c>
      <c r="Q2233" s="442" t="str">
        <f>VLOOKUP($P2233,Allocators!$B$7:$F$19,5,FALSE)</f>
        <v>Not in Rate Base</v>
      </c>
      <c r="R2233" s="737">
        <f>VLOOKUP($P2233,Allocators!$B$7:$F$19,2,FALSE)</f>
        <v>0</v>
      </c>
      <c r="S2233" s="737">
        <f>VLOOKUP($P2233,Allocators!$B$7:$F$19,3,FALSE)</f>
        <v>0</v>
      </c>
      <c r="T2233" s="737">
        <f t="shared" si="1082"/>
        <v>1</v>
      </c>
      <c r="U2233" s="2" t="str">
        <f t="shared" si="1073"/>
        <v/>
      </c>
      <c r="V2233" s="2" t="str">
        <f t="shared" si="1074"/>
        <v/>
      </c>
      <c r="W2233" s="2" t="str">
        <f t="shared" si="1075"/>
        <v/>
      </c>
      <c r="X2233" s="2">
        <f t="shared" si="1071"/>
        <v>0</v>
      </c>
      <c r="Y2233" s="2" t="str">
        <f t="shared" si="1076"/>
        <v/>
      </c>
      <c r="Z2233" s="2" t="str">
        <f t="shared" si="1077"/>
        <v/>
      </c>
      <c r="AA2233" s="2" t="str">
        <f t="shared" si="1078"/>
        <v/>
      </c>
      <c r="AB2233" s="2">
        <f t="shared" si="1072"/>
        <v>0</v>
      </c>
      <c r="AC2233" s="625">
        <v>0</v>
      </c>
      <c r="AD2233" s="625">
        <v>0</v>
      </c>
      <c r="AE2233" s="625">
        <v>0</v>
      </c>
      <c r="AF2233" s="625">
        <v>0</v>
      </c>
      <c r="AG2233" s="625">
        <v>0</v>
      </c>
      <c r="AH2233" s="625">
        <v>0</v>
      </c>
      <c r="AI2233" s="625">
        <v>0</v>
      </c>
      <c r="AJ2233" s="625">
        <v>0</v>
      </c>
      <c r="AK2233" s="625">
        <v>0</v>
      </c>
      <c r="AL2233" s="625">
        <v>0</v>
      </c>
      <c r="AM2233" s="625">
        <v>0</v>
      </c>
      <c r="AN2233" s="625">
        <v>0</v>
      </c>
      <c r="AO2233" s="625">
        <v>0</v>
      </c>
      <c r="AP2233" s="41" t="str">
        <f t="shared" si="1067"/>
        <v>Def TaxN</v>
      </c>
      <c r="AQ2233" s="41" t="str">
        <f t="shared" si="1068"/>
        <v>Def TaxNN2Manufacturing Credit</v>
      </c>
      <c r="AR2233" s="41" t="str">
        <f t="shared" si="1069"/>
        <v>N2Manufacturing Credit</v>
      </c>
    </row>
    <row r="2234" spans="1:44" s="41" customFormat="1" ht="12.75" customHeight="1">
      <c r="A2234" s="25" t="s">
        <v>1590</v>
      </c>
      <c r="B2234" s="25" t="str">
        <f t="shared" si="1081"/>
        <v>Def Tax283400283-002BT010127</v>
      </c>
      <c r="C2234" s="736">
        <v>283400</v>
      </c>
      <c r="D2234" s="735" t="s">
        <v>2198</v>
      </c>
      <c r="E2234" s="41" t="s">
        <v>2199</v>
      </c>
      <c r="F2234" s="41" t="str">
        <f t="shared" si="1079"/>
        <v>ACCUM DEF INC TAX-OTH-STATE-ELECTRIC</v>
      </c>
      <c r="G2234" s="41" t="s">
        <v>2261</v>
      </c>
      <c r="H2234" s="736" t="s">
        <v>2201</v>
      </c>
      <c r="I2234" s="25"/>
      <c r="J2234" s="25" t="str">
        <f t="shared" si="1080"/>
        <v/>
      </c>
      <c r="K2234" s="442" t="str">
        <f t="shared" si="1083"/>
        <v/>
      </c>
      <c r="L2234" s="736" t="s">
        <v>2443</v>
      </c>
      <c r="M2234" s="25" t="str">
        <f t="shared" si="1066"/>
        <v>R</v>
      </c>
      <c r="N2234" s="25" t="str">
        <f>IF(L2234&lt;&gt;"",VLOOKUP(L2234,Categories!$B$2:$D$41,2,FALSE),IF(F2234&lt;&gt;"","No Cat",""))</f>
        <v>Rate Base</v>
      </c>
      <c r="O2234" s="25" t="str">
        <f>IF($L2234&lt;&gt;"",VLOOKUP($L2234,Categories!$B$2:$D$41,3,FALSE),IF($F2234&lt;&gt;"","No Cat",""))</f>
        <v>Deferred Income Taxes</v>
      </c>
      <c r="P2234" s="736" t="s">
        <v>2482</v>
      </c>
      <c r="Q2234" s="25" t="str">
        <f>VLOOKUP($P2234,Allocators!$B$7:$F$19,5,FALSE)</f>
        <v>Electric</v>
      </c>
      <c r="R2234" s="737">
        <f>VLOOKUP($P2234,Allocators!$B$7:$F$19,2,FALSE)</f>
        <v>1</v>
      </c>
      <c r="S2234" s="737">
        <f>VLOOKUP($P2234,Allocators!$B$7:$F$19,3,FALSE)</f>
        <v>0</v>
      </c>
      <c r="T2234" s="737" t="str">
        <f t="shared" si="1082"/>
        <v>0.0%</v>
      </c>
      <c r="U2234" s="2">
        <f t="shared" si="1073"/>
        <v>-146.32339999999999</v>
      </c>
      <c r="V2234" s="2">
        <f t="shared" si="1074"/>
        <v>0</v>
      </c>
      <c r="W2234" s="2">
        <f t="shared" si="1075"/>
        <v>0</v>
      </c>
      <c r="X2234" s="2">
        <f t="shared" si="1071"/>
        <v>-146.32339999999999</v>
      </c>
      <c r="Y2234" s="2">
        <f t="shared" si="1076"/>
        <v>-154.95477</v>
      </c>
      <c r="Z2234" s="2">
        <f t="shared" si="1077"/>
        <v>0</v>
      </c>
      <c r="AA2234" s="2">
        <f t="shared" si="1078"/>
        <v>0</v>
      </c>
      <c r="AB2234" s="2">
        <f t="shared" si="1072"/>
        <v>-154.95477</v>
      </c>
      <c r="AC2234" s="625">
        <v>-128.77813</v>
      </c>
      <c r="AD2234" s="625">
        <v>-132.7423</v>
      </c>
      <c r="AE2234" s="625">
        <v>-136.70645999999999</v>
      </c>
      <c r="AF2234" s="625">
        <v>-140.67063000000002</v>
      </c>
      <c r="AG2234" s="625">
        <v>-144.63479999999998</v>
      </c>
      <c r="AH2234" s="625">
        <v>-148.59896000000001</v>
      </c>
      <c r="AI2234" s="625">
        <v>-152.56313</v>
      </c>
      <c r="AJ2234" s="625">
        <v>-156.5273</v>
      </c>
      <c r="AK2234" s="625">
        <v>-160.49145999999999</v>
      </c>
      <c r="AL2234" s="625">
        <v>-143.06226999999998</v>
      </c>
      <c r="AM2234" s="625">
        <v>-147.02644000000001</v>
      </c>
      <c r="AN2234" s="625">
        <v>-150.9906</v>
      </c>
      <c r="AO2234" s="625">
        <v>-154.95477</v>
      </c>
      <c r="AP2234" s="41" t="str">
        <f t="shared" si="1067"/>
        <v>Def TaxR</v>
      </c>
      <c r="AQ2234" s="41" t="str">
        <f t="shared" si="1068"/>
        <v>Def TaxRR11Mortgage Recording Tax</v>
      </c>
      <c r="AR2234" s="41" t="str">
        <f t="shared" si="1069"/>
        <v>R11Mortgage Recording Tax</v>
      </c>
    </row>
    <row r="2235" spans="1:44" s="41" customFormat="1" ht="12.75" customHeight="1">
      <c r="A2235" s="25" t="s">
        <v>1590</v>
      </c>
      <c r="B2235" s="25" t="str">
        <f t="shared" si="1081"/>
        <v>Def Tax283400283-002-SBT010127</v>
      </c>
      <c r="C2235" s="736">
        <v>283400</v>
      </c>
      <c r="D2235" s="735" t="s">
        <v>2202</v>
      </c>
      <c r="E2235" s="41" t="s">
        <v>2199</v>
      </c>
      <c r="F2235" s="41" t="str">
        <f t="shared" si="1079"/>
        <v>ACCUM DEF INC TAX-OTH-STATE-ELECTRIC</v>
      </c>
      <c r="G2235" s="41" t="s">
        <v>2262</v>
      </c>
      <c r="H2235" s="736" t="s">
        <v>2201</v>
      </c>
      <c r="I2235" s="25"/>
      <c r="J2235" s="25" t="str">
        <f t="shared" si="1080"/>
        <v/>
      </c>
      <c r="K2235" s="442" t="str">
        <f t="shared" si="1083"/>
        <v/>
      </c>
      <c r="L2235" s="736" t="s">
        <v>2443</v>
      </c>
      <c r="M2235" s="25" t="str">
        <f t="shared" si="1066"/>
        <v>R</v>
      </c>
      <c r="N2235" s="25" t="str">
        <f>IF(L2235&lt;&gt;"",VLOOKUP(L2235,Categories!$B$2:$D$41,2,FALSE),IF(F2235&lt;&gt;"","No Cat",""))</f>
        <v>Rate Base</v>
      </c>
      <c r="O2235" s="25" t="str">
        <f>IF($L2235&lt;&gt;"",VLOOKUP($L2235,Categories!$B$2:$D$41,3,FALSE),IF($F2235&lt;&gt;"","No Cat",""))</f>
        <v>Deferred Income Taxes</v>
      </c>
      <c r="P2235" s="736" t="s">
        <v>2482</v>
      </c>
      <c r="Q2235" s="25" t="str">
        <f>VLOOKUP($P2235,Allocators!$B$7:$F$19,5,FALSE)</f>
        <v>Electric</v>
      </c>
      <c r="R2235" s="737">
        <f>VLOOKUP($P2235,Allocators!$B$7:$F$19,2,FALSE)</f>
        <v>1</v>
      </c>
      <c r="S2235" s="737">
        <f>VLOOKUP($P2235,Allocators!$B$7:$F$19,3,FALSE)</f>
        <v>0</v>
      </c>
      <c r="T2235" s="737" t="str">
        <f t="shared" si="1082"/>
        <v>0.0%</v>
      </c>
      <c r="U2235" s="2" t="str">
        <f t="shared" si="1073"/>
        <v/>
      </c>
      <c r="V2235" s="2" t="str">
        <f t="shared" si="1074"/>
        <v/>
      </c>
      <c r="W2235" s="2" t="str">
        <f t="shared" si="1075"/>
        <v/>
      </c>
      <c r="X2235" s="2">
        <f t="shared" si="1071"/>
        <v>0</v>
      </c>
      <c r="Y2235" s="2" t="str">
        <f t="shared" si="1076"/>
        <v/>
      </c>
      <c r="Z2235" s="2" t="str">
        <f t="shared" si="1077"/>
        <v/>
      </c>
      <c r="AA2235" s="2" t="str">
        <f t="shared" si="1078"/>
        <v/>
      </c>
      <c r="AB2235" s="2">
        <f t="shared" si="1072"/>
        <v>0</v>
      </c>
      <c r="AC2235" s="625">
        <v>0</v>
      </c>
      <c r="AD2235" s="625">
        <v>0</v>
      </c>
      <c r="AE2235" s="625">
        <v>0</v>
      </c>
      <c r="AF2235" s="625">
        <v>0</v>
      </c>
      <c r="AG2235" s="625">
        <v>0</v>
      </c>
      <c r="AH2235" s="625">
        <v>0</v>
      </c>
      <c r="AI2235" s="625">
        <v>0</v>
      </c>
      <c r="AJ2235" s="625">
        <v>0</v>
      </c>
      <c r="AK2235" s="625">
        <v>0</v>
      </c>
      <c r="AL2235" s="625">
        <v>0</v>
      </c>
      <c r="AM2235" s="625">
        <v>0</v>
      </c>
      <c r="AN2235" s="625">
        <v>0</v>
      </c>
      <c r="AO2235" s="625">
        <v>0</v>
      </c>
      <c r="AP2235" s="41" t="str">
        <f t="shared" si="1067"/>
        <v>Def TaxR</v>
      </c>
      <c r="AQ2235" s="41" t="str">
        <f t="shared" si="1068"/>
        <v>Def TaxRR11Mortgage Recording Tax</v>
      </c>
      <c r="AR2235" s="41" t="str">
        <f t="shared" si="1069"/>
        <v>R11Mortgage Recording Tax</v>
      </c>
    </row>
    <row r="2236" spans="1:44" s="41" customFormat="1" ht="12.75" customHeight="1">
      <c r="A2236" s="25" t="s">
        <v>1590</v>
      </c>
      <c r="B2236" s="25" t="str">
        <f t="shared" si="1081"/>
        <v>Def Tax283400283-057BE030272/
BE030277</v>
      </c>
      <c r="C2236" s="736">
        <v>283400</v>
      </c>
      <c r="D2236" s="735" t="s">
        <v>2039</v>
      </c>
      <c r="E2236" s="41" t="s">
        <v>2206</v>
      </c>
      <c r="F2236" s="41" t="str">
        <f t="shared" si="1079"/>
        <v>ACCUM DEF INC TAX-OTH-STATE-ELECTRIC</v>
      </c>
      <c r="G2236" s="41" t="s">
        <v>2294</v>
      </c>
      <c r="H2236" s="736" t="s">
        <v>1145</v>
      </c>
      <c r="I2236" s="25"/>
      <c r="J2236" s="25" t="str">
        <f t="shared" si="1080"/>
        <v/>
      </c>
      <c r="K2236" s="442" t="str">
        <f t="shared" si="1083"/>
        <v/>
      </c>
      <c r="L2236" s="736" t="s">
        <v>2443</v>
      </c>
      <c r="M2236" s="25" t="str">
        <f t="shared" si="1066"/>
        <v>R</v>
      </c>
      <c r="N2236" s="25" t="str">
        <f>IF(L2236&lt;&gt;"",VLOOKUP(L2236,Categories!$B$2:$D$41,2,FALSE),IF(F2236&lt;&gt;"","No Cat",""))</f>
        <v>Rate Base</v>
      </c>
      <c r="O2236" s="25" t="str">
        <f>IF($L2236&lt;&gt;"",VLOOKUP($L2236,Categories!$B$2:$D$41,3,FALSE),IF($F2236&lt;&gt;"","No Cat",""))</f>
        <v>Deferred Income Taxes</v>
      </c>
      <c r="P2236" s="736" t="s">
        <v>2482</v>
      </c>
      <c r="Q2236" s="25" t="str">
        <f>VLOOKUP($P2236,Allocators!$B$7:$F$19,5,FALSE)</f>
        <v>Electric</v>
      </c>
      <c r="R2236" s="737">
        <f>VLOOKUP($P2236,Allocators!$B$7:$F$19,2,FALSE)</f>
        <v>1</v>
      </c>
      <c r="S2236" s="737">
        <f>VLOOKUP($P2236,Allocators!$B$7:$F$19,3,FALSE)</f>
        <v>0</v>
      </c>
      <c r="T2236" s="737" t="str">
        <f t="shared" si="1082"/>
        <v>0.0%</v>
      </c>
      <c r="U2236" s="2" t="str">
        <f t="shared" si="1073"/>
        <v/>
      </c>
      <c r="V2236" s="2" t="str">
        <f t="shared" si="1074"/>
        <v/>
      </c>
      <c r="W2236" s="2" t="str">
        <f t="shared" si="1075"/>
        <v/>
      </c>
      <c r="X2236" s="2">
        <f t="shared" si="1071"/>
        <v>0</v>
      </c>
      <c r="Y2236" s="2" t="str">
        <f t="shared" si="1076"/>
        <v/>
      </c>
      <c r="Z2236" s="2" t="str">
        <f t="shared" si="1077"/>
        <v/>
      </c>
      <c r="AA2236" s="2" t="str">
        <f t="shared" si="1078"/>
        <v/>
      </c>
      <c r="AB2236" s="2">
        <f t="shared" si="1072"/>
        <v>0</v>
      </c>
      <c r="AC2236" s="625">
        <v>0</v>
      </c>
      <c r="AD2236" s="625">
        <v>0</v>
      </c>
      <c r="AE2236" s="625">
        <v>0</v>
      </c>
      <c r="AF2236" s="625">
        <v>0</v>
      </c>
      <c r="AG2236" s="625">
        <v>0</v>
      </c>
      <c r="AH2236" s="625">
        <v>0</v>
      </c>
      <c r="AI2236" s="625">
        <v>0</v>
      </c>
      <c r="AJ2236" s="625">
        <v>0</v>
      </c>
      <c r="AK2236" s="625">
        <v>0</v>
      </c>
      <c r="AL2236" s="625">
        <v>0</v>
      </c>
      <c r="AM2236" s="625">
        <v>0</v>
      </c>
      <c r="AN2236" s="625">
        <v>0</v>
      </c>
      <c r="AO2236" s="625">
        <v>0</v>
      </c>
      <c r="AP2236" s="41" t="str">
        <f t="shared" si="1067"/>
        <v>Def TaxR</v>
      </c>
      <c r="AQ2236" s="41" t="str">
        <f t="shared" si="1068"/>
        <v>Def TaxRR11NM2 Sale</v>
      </c>
      <c r="AR2236" s="41" t="str">
        <f t="shared" si="1069"/>
        <v>R11NM2 Sale</v>
      </c>
    </row>
    <row r="2237" spans="1:44" s="41" customFormat="1" ht="12.75" customHeight="1">
      <c r="A2237" s="442" t="s">
        <v>1590</v>
      </c>
      <c r="B2237" s="442" t="str">
        <f t="shared" si="1081"/>
        <v>Def Tax283400NM2-NYS</v>
      </c>
      <c r="C2237" s="736">
        <v>283400</v>
      </c>
      <c r="D2237" s="735" t="s">
        <v>2205</v>
      </c>
      <c r="E2237" s="626"/>
      <c r="F2237" s="626" t="str">
        <f t="shared" si="1079"/>
        <v>ACCUM DEF INC TAX-OTH-STATE-ELECTRIC</v>
      </c>
      <c r="G2237" s="626" t="s">
        <v>2207</v>
      </c>
      <c r="H2237" s="736" t="s">
        <v>2208</v>
      </c>
      <c r="I2237" s="442"/>
      <c r="J2237" s="442" t="str">
        <f t="shared" si="1080"/>
        <v/>
      </c>
      <c r="K2237" s="442" t="str">
        <f t="shared" si="1083"/>
        <v/>
      </c>
      <c r="L2237" s="736" t="s">
        <v>2421</v>
      </c>
      <c r="M2237" s="442" t="str">
        <f t="shared" si="1066"/>
        <v>N</v>
      </c>
      <c r="N2237" s="442" t="str">
        <f>IF(L2237&lt;&gt;"",VLOOKUP(L2237,Categories!$B$2:$D$41,2,FALSE),IF(F2237&lt;&gt;"","No Cat",""))</f>
        <v>NRBASE</v>
      </c>
      <c r="O2237" s="442" t="str">
        <f>IF($L2237&lt;&gt;"",VLOOKUP($L2237,Categories!$B$2:$D$41,3,FALSE),IF($F2237&lt;&gt;"","No Cat",""))</f>
        <v>Direct Assign Items Not in RB</v>
      </c>
      <c r="P2237" s="736" t="s">
        <v>2468</v>
      </c>
      <c r="Q2237" s="442" t="str">
        <f>VLOOKUP($P2237,Allocators!$B$7:$F$19,5,FALSE)</f>
        <v>Not in Rate Base</v>
      </c>
      <c r="R2237" s="737">
        <f>VLOOKUP($P2237,Allocators!$B$7:$F$19,2,FALSE)</f>
        <v>0</v>
      </c>
      <c r="S2237" s="737">
        <f>VLOOKUP($P2237,Allocators!$B$7:$F$19,3,FALSE)</f>
        <v>0</v>
      </c>
      <c r="T2237" s="737">
        <f t="shared" si="1082"/>
        <v>1</v>
      </c>
      <c r="U2237" s="2" t="str">
        <f t="shared" si="1073"/>
        <v/>
      </c>
      <c r="V2237" s="2" t="str">
        <f t="shared" si="1074"/>
        <v/>
      </c>
      <c r="W2237" s="2" t="str">
        <f t="shared" si="1075"/>
        <v/>
      </c>
      <c r="X2237" s="2">
        <f t="shared" si="1071"/>
        <v>0</v>
      </c>
      <c r="Y2237" s="2" t="str">
        <f t="shared" si="1076"/>
        <v/>
      </c>
      <c r="Z2237" s="2" t="str">
        <f t="shared" si="1077"/>
        <v/>
      </c>
      <c r="AA2237" s="2" t="str">
        <f t="shared" si="1078"/>
        <v/>
      </c>
      <c r="AB2237" s="2">
        <f t="shared" si="1072"/>
        <v>0</v>
      </c>
      <c r="AC2237" s="625">
        <v>0</v>
      </c>
      <c r="AD2237" s="625">
        <v>0</v>
      </c>
      <c r="AE2237" s="625">
        <v>0</v>
      </c>
      <c r="AF2237" s="625">
        <v>0</v>
      </c>
      <c r="AG2237" s="625">
        <v>0</v>
      </c>
      <c r="AH2237" s="625">
        <v>0</v>
      </c>
      <c r="AI2237" s="625">
        <v>0</v>
      </c>
      <c r="AJ2237" s="625">
        <v>0</v>
      </c>
      <c r="AK2237" s="625">
        <v>0</v>
      </c>
      <c r="AL2237" s="625">
        <v>0</v>
      </c>
      <c r="AM2237" s="625">
        <v>0</v>
      </c>
      <c r="AN2237" s="625">
        <v>0</v>
      </c>
      <c r="AO2237" s="625">
        <v>0</v>
      </c>
      <c r="AP2237" s="41" t="str">
        <f t="shared" si="1067"/>
        <v>Def TaxN</v>
      </c>
      <c r="AQ2237" s="41" t="str">
        <f t="shared" si="1068"/>
        <v>Def TaxNN2NM2 NYS Valuation</v>
      </c>
      <c r="AR2237" s="41" t="str">
        <f t="shared" si="1069"/>
        <v>N2NM2 NYS Valuation</v>
      </c>
    </row>
    <row r="2238" spans="1:44" s="41" customFormat="1" ht="12.75" customHeight="1">
      <c r="A2238" s="25" t="s">
        <v>1590</v>
      </c>
      <c r="B2238" s="25" t="str">
        <f t="shared" si="1081"/>
        <v>Def Tax283400283-058</v>
      </c>
      <c r="C2238" s="736">
        <v>283400</v>
      </c>
      <c r="D2238" s="735" t="s">
        <v>2124</v>
      </c>
      <c r="F2238" s="41" t="str">
        <f t="shared" si="1079"/>
        <v>ACCUM DEF INC TAX-OTH-STATE-ELECTRIC</v>
      </c>
      <c r="G2238" s="41" t="s">
        <v>2295</v>
      </c>
      <c r="H2238" s="736" t="s">
        <v>1139</v>
      </c>
      <c r="I2238" s="25"/>
      <c r="J2238" s="25" t="str">
        <f t="shared" si="1080"/>
        <v/>
      </c>
      <c r="K2238" s="442" t="str">
        <f t="shared" si="1083"/>
        <v/>
      </c>
      <c r="L2238" s="736" t="s">
        <v>2443</v>
      </c>
      <c r="M2238" s="25" t="str">
        <f t="shared" si="1066"/>
        <v>R</v>
      </c>
      <c r="N2238" s="25" t="str">
        <f>IF(L2238&lt;&gt;"",VLOOKUP(L2238,Categories!$B$2:$D$41,2,FALSE),IF(F2238&lt;&gt;"","No Cat",""))</f>
        <v>Rate Base</v>
      </c>
      <c r="O2238" s="25" t="str">
        <f>IF($L2238&lt;&gt;"",VLOOKUP($L2238,Categories!$B$2:$D$41,3,FALSE),IF($F2238&lt;&gt;"","No Cat",""))</f>
        <v>Deferred Income Taxes</v>
      </c>
      <c r="P2238" s="736" t="s">
        <v>2482</v>
      </c>
      <c r="Q2238" s="25" t="str">
        <f>VLOOKUP($P2238,Allocators!$B$7:$F$19,5,FALSE)</f>
        <v>Electric</v>
      </c>
      <c r="R2238" s="737">
        <f>VLOOKUP($P2238,Allocators!$B$7:$F$19,2,FALSE)</f>
        <v>1</v>
      </c>
      <c r="S2238" s="737">
        <f>VLOOKUP($P2238,Allocators!$B$7:$F$19,3,FALSE)</f>
        <v>0</v>
      </c>
      <c r="T2238" s="737" t="str">
        <f t="shared" si="1082"/>
        <v>0.0%</v>
      </c>
      <c r="U2238" s="2" t="str">
        <f t="shared" si="1073"/>
        <v/>
      </c>
      <c r="V2238" s="2" t="str">
        <f t="shared" si="1074"/>
        <v/>
      </c>
      <c r="W2238" s="2" t="str">
        <f t="shared" si="1075"/>
        <v/>
      </c>
      <c r="X2238" s="2">
        <f t="shared" si="1071"/>
        <v>0</v>
      </c>
      <c r="Y2238" s="2" t="str">
        <f t="shared" si="1076"/>
        <v/>
      </c>
      <c r="Z2238" s="2" t="str">
        <f t="shared" si="1077"/>
        <v/>
      </c>
      <c r="AA2238" s="2" t="str">
        <f t="shared" si="1078"/>
        <v/>
      </c>
      <c r="AB2238" s="2">
        <f t="shared" si="1072"/>
        <v>0</v>
      </c>
      <c r="AC2238" s="625">
        <v>0</v>
      </c>
      <c r="AD2238" s="625">
        <v>0</v>
      </c>
      <c r="AE2238" s="625">
        <v>0</v>
      </c>
      <c r="AF2238" s="625">
        <v>0</v>
      </c>
      <c r="AG2238" s="625">
        <v>0</v>
      </c>
      <c r="AH2238" s="625">
        <v>0</v>
      </c>
      <c r="AI2238" s="625">
        <v>0</v>
      </c>
      <c r="AJ2238" s="625">
        <v>0</v>
      </c>
      <c r="AK2238" s="625">
        <v>0</v>
      </c>
      <c r="AL2238" s="625">
        <v>0</v>
      </c>
      <c r="AM2238" s="625">
        <v>0</v>
      </c>
      <c r="AN2238" s="625">
        <v>0</v>
      </c>
      <c r="AO2238" s="625">
        <v>0</v>
      </c>
      <c r="AP2238" s="41" t="str">
        <f t="shared" si="1067"/>
        <v>Def TaxR</v>
      </c>
      <c r="AQ2238" s="41" t="str">
        <f t="shared" si="1068"/>
        <v>Def TaxRR11Oswego</v>
      </c>
      <c r="AR2238" s="41" t="str">
        <f t="shared" si="1069"/>
        <v>R11Oswego</v>
      </c>
    </row>
    <row r="2239" spans="1:44" s="41" customFormat="1" ht="12.75" customHeight="1">
      <c r="A2239" s="442" t="s">
        <v>1590</v>
      </c>
      <c r="B2239" s="442" t="str">
        <f t="shared" si="1081"/>
        <v>Def Tax283400PASGA2</v>
      </c>
      <c r="C2239" s="736">
        <v>283400</v>
      </c>
      <c r="D2239" s="735" t="s">
        <v>2214</v>
      </c>
      <c r="E2239" s="626"/>
      <c r="F2239" s="626" t="str">
        <f t="shared" si="1079"/>
        <v>ACCUM DEF INC TAX-OTH-STATE-ELECTRIC</v>
      </c>
      <c r="G2239" s="626" t="s">
        <v>2215</v>
      </c>
      <c r="H2239" s="736" t="s">
        <v>1330</v>
      </c>
      <c r="I2239" s="442"/>
      <c r="J2239" s="442" t="str">
        <f t="shared" si="1080"/>
        <v/>
      </c>
      <c r="K2239" s="442" t="str">
        <f t="shared" si="1083"/>
        <v/>
      </c>
      <c r="L2239" s="736" t="s">
        <v>2421</v>
      </c>
      <c r="M2239" s="442" t="str">
        <f t="shared" si="1066"/>
        <v>N</v>
      </c>
      <c r="N2239" s="442" t="str">
        <f>IF(L2239&lt;&gt;"",VLOOKUP(L2239,Categories!$B$2:$D$41,2,FALSE),IF(F2239&lt;&gt;"","No Cat",""))</f>
        <v>NRBASE</v>
      </c>
      <c r="O2239" s="442" t="str">
        <f>IF($L2239&lt;&gt;"",VLOOKUP($L2239,Categories!$B$2:$D$41,3,FALSE),IF($F2239&lt;&gt;"","No Cat",""))</f>
        <v>Direct Assign Items Not in RB</v>
      </c>
      <c r="P2239" s="736" t="s">
        <v>2468</v>
      </c>
      <c r="Q2239" s="442" t="str">
        <f>VLOOKUP($P2239,Allocators!$B$7:$F$19,5,FALSE)</f>
        <v>Not in Rate Base</v>
      </c>
      <c r="R2239" s="737">
        <f>VLOOKUP($P2239,Allocators!$B$7:$F$19,2,FALSE)</f>
        <v>0</v>
      </c>
      <c r="S2239" s="737">
        <f>VLOOKUP($P2239,Allocators!$B$7:$F$19,3,FALSE)</f>
        <v>0</v>
      </c>
      <c r="T2239" s="737">
        <f t="shared" si="1082"/>
        <v>1</v>
      </c>
      <c r="U2239" s="2" t="str">
        <f t="shared" si="1073"/>
        <v/>
      </c>
      <c r="V2239" s="2" t="str">
        <f t="shared" si="1074"/>
        <v/>
      </c>
      <c r="W2239" s="2" t="str">
        <f t="shared" si="1075"/>
        <v/>
      </c>
      <c r="X2239" s="2">
        <f t="shared" si="1071"/>
        <v>0</v>
      </c>
      <c r="Y2239" s="2" t="str">
        <f t="shared" si="1076"/>
        <v/>
      </c>
      <c r="Z2239" s="2" t="str">
        <f t="shared" si="1077"/>
        <v/>
      </c>
      <c r="AA2239" s="2" t="str">
        <f t="shared" si="1078"/>
        <v/>
      </c>
      <c r="AB2239" s="2">
        <f t="shared" si="1072"/>
        <v>0</v>
      </c>
      <c r="AC2239" s="625">
        <v>0</v>
      </c>
      <c r="AD2239" s="625">
        <v>0</v>
      </c>
      <c r="AE2239" s="625">
        <v>0</v>
      </c>
      <c r="AF2239" s="625">
        <v>0</v>
      </c>
      <c r="AG2239" s="625">
        <v>0</v>
      </c>
      <c r="AH2239" s="625">
        <v>0</v>
      </c>
      <c r="AI2239" s="625">
        <v>0</v>
      </c>
      <c r="AJ2239" s="625">
        <v>0</v>
      </c>
      <c r="AK2239" s="625">
        <v>0</v>
      </c>
      <c r="AL2239" s="625">
        <v>0</v>
      </c>
      <c r="AM2239" s="625">
        <v>0</v>
      </c>
      <c r="AN2239" s="625">
        <v>0</v>
      </c>
      <c r="AO2239" s="625">
        <v>0</v>
      </c>
      <c r="AP2239" s="41" t="str">
        <f t="shared" si="1067"/>
        <v>Def TaxN</v>
      </c>
      <c r="AQ2239" s="41" t="str">
        <f t="shared" si="1068"/>
        <v>Def TaxNN2ASGA</v>
      </c>
      <c r="AR2239" s="41" t="str">
        <f t="shared" si="1069"/>
        <v>N2ASGA</v>
      </c>
    </row>
    <row r="2240" spans="1:44" s="41" customFormat="1" ht="12.75" customHeight="1">
      <c r="A2240" s="25" t="s">
        <v>1590</v>
      </c>
      <c r="B2240" s="25" t="str">
        <f t="shared" si="1081"/>
        <v>Def Tax283400PensionBT010167</v>
      </c>
      <c r="C2240" s="736">
        <v>283400</v>
      </c>
      <c r="D2240" s="735" t="s">
        <v>1673</v>
      </c>
      <c r="E2240" s="41" t="s">
        <v>1671</v>
      </c>
      <c r="F2240" s="41" t="str">
        <f t="shared" si="1079"/>
        <v>ACCUM DEF INC TAX-OTH-STATE-ELECTRIC</v>
      </c>
      <c r="G2240" s="41" t="s">
        <v>1876</v>
      </c>
      <c r="H2240" s="736" t="s">
        <v>1673</v>
      </c>
      <c r="I2240" s="25"/>
      <c r="J2240" s="25" t="str">
        <f t="shared" si="1080"/>
        <v/>
      </c>
      <c r="K2240" s="442" t="str">
        <f t="shared" si="1083"/>
        <v/>
      </c>
      <c r="L2240" s="736" t="s">
        <v>2443</v>
      </c>
      <c r="M2240" s="25" t="str">
        <f t="shared" si="1066"/>
        <v>R</v>
      </c>
      <c r="N2240" s="25" t="str">
        <f>IF(L2240&lt;&gt;"",VLOOKUP(L2240,Categories!$B$2:$D$41,2,FALSE),IF(F2240&lt;&gt;"","No Cat",""))</f>
        <v>Rate Base</v>
      </c>
      <c r="O2240" s="25" t="str">
        <f>IF($L2240&lt;&gt;"",VLOOKUP($L2240,Categories!$B$2:$D$41,3,FALSE),IF($F2240&lt;&gt;"","No Cat",""))</f>
        <v>Deferred Income Taxes</v>
      </c>
      <c r="P2240" s="736" t="s">
        <v>2482</v>
      </c>
      <c r="Q2240" s="25" t="str">
        <f>VLOOKUP($P2240,Allocators!$B$7:$F$19,5,FALSE)</f>
        <v>Electric</v>
      </c>
      <c r="R2240" s="737">
        <f>VLOOKUP($P2240,Allocators!$B$7:$F$19,2,FALSE)</f>
        <v>1</v>
      </c>
      <c r="S2240" s="737">
        <f>VLOOKUP($P2240,Allocators!$B$7:$F$19,3,FALSE)</f>
        <v>0</v>
      </c>
      <c r="T2240" s="737" t="str">
        <f t="shared" si="1082"/>
        <v>0.0%</v>
      </c>
      <c r="U2240" s="2" t="str">
        <f t="shared" si="1073"/>
        <v/>
      </c>
      <c r="V2240" s="2" t="str">
        <f t="shared" si="1074"/>
        <v/>
      </c>
      <c r="W2240" s="2" t="str">
        <f t="shared" si="1075"/>
        <v/>
      </c>
      <c r="X2240" s="2">
        <f t="shared" si="1071"/>
        <v>0</v>
      </c>
      <c r="Y2240" s="2" t="str">
        <f t="shared" si="1076"/>
        <v/>
      </c>
      <c r="Z2240" s="2" t="str">
        <f t="shared" si="1077"/>
        <v/>
      </c>
      <c r="AA2240" s="2" t="str">
        <f t="shared" si="1078"/>
        <v/>
      </c>
      <c r="AB2240" s="2">
        <f t="shared" si="1072"/>
        <v>0</v>
      </c>
      <c r="AC2240" s="625">
        <v>0</v>
      </c>
      <c r="AD2240" s="625">
        <v>0</v>
      </c>
      <c r="AE2240" s="625">
        <v>0</v>
      </c>
      <c r="AF2240" s="625">
        <v>0</v>
      </c>
      <c r="AG2240" s="625">
        <v>0</v>
      </c>
      <c r="AH2240" s="625">
        <v>0</v>
      </c>
      <c r="AI2240" s="625">
        <v>0</v>
      </c>
      <c r="AJ2240" s="625">
        <v>0</v>
      </c>
      <c r="AK2240" s="625">
        <v>0</v>
      </c>
      <c r="AL2240" s="625">
        <v>0</v>
      </c>
      <c r="AM2240" s="625">
        <v>0</v>
      </c>
      <c r="AN2240" s="625">
        <v>0</v>
      </c>
      <c r="AO2240" s="625">
        <v>0</v>
      </c>
      <c r="AP2240" s="41" t="str">
        <f t="shared" si="1067"/>
        <v>Def TaxR</v>
      </c>
      <c r="AQ2240" s="41" t="str">
        <f t="shared" si="1068"/>
        <v>Def TaxRR11Pension</v>
      </c>
      <c r="AR2240" s="41" t="str">
        <f t="shared" si="1069"/>
        <v>R11Pension</v>
      </c>
    </row>
    <row r="2241" spans="1:44" s="41" customFormat="1" ht="12.75" customHeight="1">
      <c r="A2241" s="25" t="s">
        <v>1590</v>
      </c>
      <c r="B2241" s="25" t="str">
        <f t="shared" si="1081"/>
        <v>Def Tax283400283-032BT010088</v>
      </c>
      <c r="C2241" s="736">
        <v>283400</v>
      </c>
      <c r="D2241" s="735" t="s">
        <v>1650</v>
      </c>
      <c r="E2241" s="41" t="s">
        <v>1651</v>
      </c>
      <c r="F2241" s="41" t="str">
        <f t="shared" si="1079"/>
        <v>ACCUM DEF INC TAX-OTH-STATE-ELECTRIC</v>
      </c>
      <c r="G2241" s="41" t="s">
        <v>2216</v>
      </c>
      <c r="H2241" s="736" t="s">
        <v>1586</v>
      </c>
      <c r="I2241" s="25"/>
      <c r="J2241" s="25" t="str">
        <f t="shared" si="1080"/>
        <v/>
      </c>
      <c r="K2241" s="442" t="str">
        <f t="shared" si="1083"/>
        <v/>
      </c>
      <c r="L2241" s="736" t="s">
        <v>2443</v>
      </c>
      <c r="M2241" s="25" t="str">
        <f t="shared" si="1066"/>
        <v>R</v>
      </c>
      <c r="N2241" s="25" t="str">
        <f>IF(L2241&lt;&gt;"",VLOOKUP(L2241,Categories!$B$2:$D$41,2,FALSE),IF(F2241&lt;&gt;"","No Cat",""))</f>
        <v>Rate Base</v>
      </c>
      <c r="O2241" s="25" t="str">
        <f>IF($L2241&lt;&gt;"",VLOOKUP($L2241,Categories!$B$2:$D$41,3,FALSE),IF($F2241&lt;&gt;"","No Cat",""))</f>
        <v>Deferred Income Taxes</v>
      </c>
      <c r="P2241" s="736" t="s">
        <v>2482</v>
      </c>
      <c r="Q2241" s="25" t="str">
        <f>VLOOKUP($P2241,Allocators!$B$7:$F$19,5,FALSE)</f>
        <v>Electric</v>
      </c>
      <c r="R2241" s="737">
        <f>VLOOKUP($P2241,Allocators!$B$7:$F$19,2,FALSE)</f>
        <v>1</v>
      </c>
      <c r="S2241" s="737">
        <f>VLOOKUP($P2241,Allocators!$B$7:$F$19,3,FALSE)</f>
        <v>0</v>
      </c>
      <c r="T2241" s="737" t="str">
        <f t="shared" si="1082"/>
        <v>0.0%</v>
      </c>
      <c r="U2241" s="2" t="str">
        <f t="shared" si="1073"/>
        <v/>
      </c>
      <c r="V2241" s="2" t="str">
        <f t="shared" si="1074"/>
        <v/>
      </c>
      <c r="W2241" s="2" t="str">
        <f t="shared" si="1075"/>
        <v/>
      </c>
      <c r="X2241" s="2">
        <f t="shared" si="1071"/>
        <v>0</v>
      </c>
      <c r="Y2241" s="2" t="str">
        <f t="shared" si="1076"/>
        <v/>
      </c>
      <c r="Z2241" s="2" t="str">
        <f t="shared" si="1077"/>
        <v/>
      </c>
      <c r="AA2241" s="2" t="str">
        <f t="shared" si="1078"/>
        <v/>
      </c>
      <c r="AB2241" s="2">
        <f t="shared" si="1072"/>
        <v>0</v>
      </c>
      <c r="AC2241" s="625">
        <v>0</v>
      </c>
      <c r="AD2241" s="625">
        <v>0</v>
      </c>
      <c r="AE2241" s="625">
        <v>0</v>
      </c>
      <c r="AF2241" s="625">
        <v>0</v>
      </c>
      <c r="AG2241" s="625">
        <v>0</v>
      </c>
      <c r="AH2241" s="625">
        <v>0</v>
      </c>
      <c r="AI2241" s="625">
        <v>0</v>
      </c>
      <c r="AJ2241" s="625">
        <v>0</v>
      </c>
      <c r="AK2241" s="625">
        <v>0</v>
      </c>
      <c r="AL2241" s="625">
        <v>0</v>
      </c>
      <c r="AM2241" s="625">
        <v>0</v>
      </c>
      <c r="AN2241" s="625">
        <v>0</v>
      </c>
      <c r="AO2241" s="625">
        <v>0</v>
      </c>
      <c r="AP2241" s="41" t="str">
        <f t="shared" si="1067"/>
        <v>Def TaxR</v>
      </c>
      <c r="AQ2241" s="41" t="str">
        <f t="shared" si="1068"/>
        <v>Def TaxRR11FAS 112</v>
      </c>
      <c r="AR2241" s="41" t="str">
        <f t="shared" si="1069"/>
        <v>R11FAS 112</v>
      </c>
    </row>
    <row r="2242" spans="1:44" s="41" customFormat="1" ht="12.75" customHeight="1">
      <c r="A2242" s="25" t="s">
        <v>1590</v>
      </c>
      <c r="B2242" s="25" t="str">
        <f t="shared" si="1081"/>
        <v>Def Tax283400Mixed Use 263(a)BT010390</v>
      </c>
      <c r="C2242" s="736">
        <v>283400</v>
      </c>
      <c r="D2242" s="735" t="s">
        <v>2125</v>
      </c>
      <c r="E2242" s="41" t="s">
        <v>2126</v>
      </c>
      <c r="F2242" s="41" t="str">
        <f t="shared" si="1079"/>
        <v>ACCUM DEF INC TAX-OTH-STATE-ELECTRIC</v>
      </c>
      <c r="G2242" s="41" t="s">
        <v>2217</v>
      </c>
      <c r="H2242" s="736" t="s">
        <v>2125</v>
      </c>
      <c r="I2242" s="25"/>
      <c r="J2242" s="442" t="s">
        <v>7</v>
      </c>
      <c r="K2242" s="442" t="str">
        <f t="shared" si="1083"/>
        <v/>
      </c>
      <c r="L2242" s="736" t="s">
        <v>2436</v>
      </c>
      <c r="M2242" s="25" t="str">
        <f t="shared" si="1066"/>
        <v>N</v>
      </c>
      <c r="N2242" s="25" t="str">
        <f>IF(L2242&lt;&gt;"",VLOOKUP(L2242,Categories!$B$2:$D$41,2,FALSE),IF(F2242&lt;&gt;"","No Cat",""))</f>
        <v>NRBASE</v>
      </c>
      <c r="O2242" s="25" t="str">
        <f>IF($L2242&lt;&gt;"",VLOOKUP($L2242,Categories!$B$2:$D$41,3,FALSE),IF($F2242&lt;&gt;"","No Cat",""))</f>
        <v>Deferrals Accruing Non-Cash Return   (other than ASGA)</v>
      </c>
      <c r="P2242" s="736" t="s">
        <v>2468</v>
      </c>
      <c r="Q2242" s="25" t="str">
        <f>VLOOKUP($P2242,Allocators!$B$7:$F$19,5,FALSE)</f>
        <v>Not in Rate Base</v>
      </c>
      <c r="R2242" s="737">
        <f>VLOOKUP($P2242,Allocators!$B$7:$F$19,2,FALSE)</f>
        <v>0</v>
      </c>
      <c r="S2242" s="737">
        <f>VLOOKUP($P2242,Allocators!$B$7:$F$19,3,FALSE)</f>
        <v>0</v>
      </c>
      <c r="T2242" s="737">
        <f t="shared" si="1082"/>
        <v>1</v>
      </c>
      <c r="U2242" s="2" t="str">
        <f t="shared" si="1073"/>
        <v/>
      </c>
      <c r="V2242" s="2" t="str">
        <f t="shared" si="1074"/>
        <v/>
      </c>
      <c r="W2242" s="2" t="str">
        <f t="shared" si="1075"/>
        <v/>
      </c>
      <c r="X2242" s="2">
        <f t="shared" si="1071"/>
        <v>0</v>
      </c>
      <c r="Y2242" s="2" t="str">
        <f t="shared" si="1076"/>
        <v/>
      </c>
      <c r="Z2242" s="2" t="str">
        <f t="shared" si="1077"/>
        <v/>
      </c>
      <c r="AA2242" s="2" t="str">
        <f t="shared" si="1078"/>
        <v/>
      </c>
      <c r="AB2242" s="2">
        <f t="shared" si="1072"/>
        <v>0</v>
      </c>
      <c r="AC2242" s="625">
        <v>0</v>
      </c>
      <c r="AD2242" s="625">
        <v>0</v>
      </c>
      <c r="AE2242" s="625">
        <v>0</v>
      </c>
      <c r="AF2242" s="625">
        <v>0</v>
      </c>
      <c r="AG2242" s="625">
        <v>0</v>
      </c>
      <c r="AH2242" s="625">
        <v>0</v>
      </c>
      <c r="AI2242" s="625">
        <v>0</v>
      </c>
      <c r="AJ2242" s="625">
        <v>0</v>
      </c>
      <c r="AK2242" s="625">
        <v>0</v>
      </c>
      <c r="AL2242" s="625">
        <v>0</v>
      </c>
      <c r="AM2242" s="625">
        <v>0</v>
      </c>
      <c r="AN2242" s="625">
        <v>0</v>
      </c>
      <c r="AO2242" s="625">
        <v>0</v>
      </c>
      <c r="AP2242" s="41" t="str">
        <f t="shared" si="1067"/>
        <v>Def TaxN</v>
      </c>
      <c r="AQ2242" s="41" t="str">
        <f t="shared" si="1068"/>
        <v>Def TaxNN10Mixed Use 263(a)</v>
      </c>
      <c r="AR2242" s="41" t="str">
        <f t="shared" si="1069"/>
        <v>N10Mixed Use 263(a)NCR</v>
      </c>
    </row>
    <row r="2243" spans="1:44" s="41" customFormat="1" ht="12.75" customHeight="1">
      <c r="A2243" s="25" t="s">
        <v>1590</v>
      </c>
      <c r="B2243" s="25" t="str">
        <f t="shared" si="1081"/>
        <v>Def Tax283400283-089BT010172</v>
      </c>
      <c r="C2243" s="736">
        <v>283400</v>
      </c>
      <c r="D2243" s="735" t="s">
        <v>2218</v>
      </c>
      <c r="E2243" s="41" t="s">
        <v>2219</v>
      </c>
      <c r="F2243" s="41" t="str">
        <f t="shared" si="1079"/>
        <v>ACCUM DEF INC TAX-OTH-STATE-ELECTRIC</v>
      </c>
      <c r="G2243" s="41" t="s">
        <v>2220</v>
      </c>
      <c r="H2243" s="736" t="s">
        <v>2221</v>
      </c>
      <c r="I2243" s="25"/>
      <c r="J2243" s="25" t="str">
        <f t="shared" si="1080"/>
        <v/>
      </c>
      <c r="K2243" s="442" t="str">
        <f t="shared" si="1083"/>
        <v/>
      </c>
      <c r="L2243" s="736" t="s">
        <v>2443</v>
      </c>
      <c r="M2243" s="25" t="str">
        <f t="shared" si="1066"/>
        <v>R</v>
      </c>
      <c r="N2243" s="25" t="str">
        <f>IF(L2243&lt;&gt;"",VLOOKUP(L2243,Categories!$B$2:$D$41,2,FALSE),IF(F2243&lt;&gt;"","No Cat",""))</f>
        <v>Rate Base</v>
      </c>
      <c r="O2243" s="25" t="str">
        <f>IF($L2243&lt;&gt;"",VLOOKUP($L2243,Categories!$B$2:$D$41,3,FALSE),IF($F2243&lt;&gt;"","No Cat",""))</f>
        <v>Deferred Income Taxes</v>
      </c>
      <c r="P2243" s="736" t="s">
        <v>2482</v>
      </c>
      <c r="Q2243" s="25" t="str">
        <f>VLOOKUP($P2243,Allocators!$B$7:$F$19,5,FALSE)</f>
        <v>Electric</v>
      </c>
      <c r="R2243" s="737">
        <f>VLOOKUP($P2243,Allocators!$B$7:$F$19,2,FALSE)</f>
        <v>1</v>
      </c>
      <c r="S2243" s="737">
        <f>VLOOKUP($P2243,Allocators!$B$7:$F$19,3,FALSE)</f>
        <v>0</v>
      </c>
      <c r="T2243" s="737" t="str">
        <f t="shared" si="1082"/>
        <v>0.0%</v>
      </c>
      <c r="U2243" s="2">
        <f t="shared" si="1073"/>
        <v>-33.247782083333298</v>
      </c>
      <c r="V2243" s="2">
        <f t="shared" si="1074"/>
        <v>0</v>
      </c>
      <c r="W2243" s="2">
        <f t="shared" si="1075"/>
        <v>0</v>
      </c>
      <c r="X2243" s="2">
        <f t="shared" si="1071"/>
        <v>-33.247782083333298</v>
      </c>
      <c r="Y2243" s="2">
        <f t="shared" si="1076"/>
        <v>-48.327570000000001</v>
      </c>
      <c r="Z2243" s="2">
        <f t="shared" si="1077"/>
        <v>0</v>
      </c>
      <c r="AA2243" s="2">
        <f t="shared" si="1078"/>
        <v>0</v>
      </c>
      <c r="AB2243" s="2">
        <f t="shared" si="1072"/>
        <v>-48.327570000000001</v>
      </c>
      <c r="AC2243" s="625">
        <v>-27.908999999999999</v>
      </c>
      <c r="AD2243" s="625">
        <v>-19.020679999999999</v>
      </c>
      <c r="AE2243" s="625">
        <v>-17.208939999999998</v>
      </c>
      <c r="AF2243" s="625">
        <v>-9.2778299999999998</v>
      </c>
      <c r="AG2243" s="625">
        <v>-12.039950000000001</v>
      </c>
      <c r="AH2243" s="625">
        <v>-2.8453300000000001</v>
      </c>
      <c r="AI2243" s="625">
        <v>1.98136</v>
      </c>
      <c r="AJ2243" s="625">
        <v>-39.224460000000001</v>
      </c>
      <c r="AK2243" s="625">
        <v>-78.99063000000001</v>
      </c>
      <c r="AL2243" s="625">
        <v>-70.051609999999997</v>
      </c>
      <c r="AM2243" s="625">
        <v>-59.662289999999999</v>
      </c>
      <c r="AN2243" s="625">
        <v>-54.514739999999996</v>
      </c>
      <c r="AO2243" s="625">
        <v>-48.327570000000001</v>
      </c>
      <c r="AP2243" s="41" t="str">
        <f t="shared" si="1067"/>
        <v>Def TaxR</v>
      </c>
      <c r="AQ2243" s="41" t="str">
        <f t="shared" si="1068"/>
        <v>Def TaxRR11Prepaid Insurance</v>
      </c>
      <c r="AR2243" s="41" t="str">
        <f t="shared" si="1069"/>
        <v>R11Prepaid Insurance</v>
      </c>
    </row>
    <row r="2244" spans="1:44" s="41" customFormat="1" ht="12.75" customHeight="1">
      <c r="A2244" s="25" t="s">
        <v>1590</v>
      </c>
      <c r="B2244" s="25" t="str">
        <f t="shared" si="1081"/>
        <v>Def Tax283400283-056BT010173</v>
      </c>
      <c r="C2244" s="736">
        <v>283400</v>
      </c>
      <c r="D2244" s="735" t="s">
        <v>2222</v>
      </c>
      <c r="E2244" s="41" t="s">
        <v>2223</v>
      </c>
      <c r="F2244" s="41" t="str">
        <f t="shared" si="1079"/>
        <v>ACCUM DEF INC TAX-OTH-STATE-ELECTRIC</v>
      </c>
      <c r="G2244" s="41" t="s">
        <v>2224</v>
      </c>
      <c r="H2244" s="736" t="s">
        <v>2224</v>
      </c>
      <c r="I2244" s="25"/>
      <c r="J2244" s="25" t="str">
        <f t="shared" si="1080"/>
        <v/>
      </c>
      <c r="K2244" s="442" t="str">
        <f t="shared" si="1083"/>
        <v/>
      </c>
      <c r="L2244" s="736" t="s">
        <v>2443</v>
      </c>
      <c r="M2244" s="25" t="str">
        <f t="shared" si="1066"/>
        <v>R</v>
      </c>
      <c r="N2244" s="25" t="str">
        <f>IF(L2244&lt;&gt;"",VLOOKUP(L2244,Categories!$B$2:$D$41,2,FALSE),IF(F2244&lt;&gt;"","No Cat",""))</f>
        <v>Rate Base</v>
      </c>
      <c r="O2244" s="25" t="str">
        <f>IF($L2244&lt;&gt;"",VLOOKUP($L2244,Categories!$B$2:$D$41,3,FALSE),IF($F2244&lt;&gt;"","No Cat",""))</f>
        <v>Deferred Income Taxes</v>
      </c>
      <c r="P2244" s="736" t="s">
        <v>2482</v>
      </c>
      <c r="Q2244" s="25" t="str">
        <f>VLOOKUP($P2244,Allocators!$B$7:$F$19,5,FALSE)</f>
        <v>Electric</v>
      </c>
      <c r="R2244" s="737">
        <f>VLOOKUP($P2244,Allocators!$B$7:$F$19,2,FALSE)</f>
        <v>1</v>
      </c>
      <c r="S2244" s="737">
        <f>VLOOKUP($P2244,Allocators!$B$7:$F$19,3,FALSE)</f>
        <v>0</v>
      </c>
      <c r="T2244" s="737" t="str">
        <f t="shared" si="1082"/>
        <v>0.0%</v>
      </c>
      <c r="U2244" s="2" t="str">
        <f t="shared" si="1073"/>
        <v/>
      </c>
      <c r="V2244" s="2" t="str">
        <f t="shared" si="1074"/>
        <v/>
      </c>
      <c r="W2244" s="2" t="str">
        <f t="shared" si="1075"/>
        <v/>
      </c>
      <c r="X2244" s="2">
        <f t="shared" si="1071"/>
        <v>0</v>
      </c>
      <c r="Y2244" s="2" t="str">
        <f t="shared" si="1076"/>
        <v/>
      </c>
      <c r="Z2244" s="2" t="str">
        <f t="shared" si="1077"/>
        <v/>
      </c>
      <c r="AA2244" s="2" t="str">
        <f t="shared" si="1078"/>
        <v/>
      </c>
      <c r="AB2244" s="2">
        <f t="shared" si="1072"/>
        <v>0</v>
      </c>
      <c r="AC2244" s="625">
        <v>0</v>
      </c>
      <c r="AD2244" s="625">
        <v>0</v>
      </c>
      <c r="AE2244" s="625">
        <v>0</v>
      </c>
      <c r="AF2244" s="625">
        <v>0</v>
      </c>
      <c r="AG2244" s="625">
        <v>0</v>
      </c>
      <c r="AH2244" s="625">
        <v>0</v>
      </c>
      <c r="AI2244" s="625">
        <v>0</v>
      </c>
      <c r="AJ2244" s="625">
        <v>0</v>
      </c>
      <c r="AK2244" s="625">
        <v>0</v>
      </c>
      <c r="AL2244" s="625">
        <v>0</v>
      </c>
      <c r="AM2244" s="625">
        <v>0</v>
      </c>
      <c r="AN2244" s="625">
        <v>0</v>
      </c>
      <c r="AO2244" s="625">
        <v>0</v>
      </c>
      <c r="AP2244" s="41" t="str">
        <f t="shared" si="1067"/>
        <v>Def TaxR</v>
      </c>
      <c r="AQ2244" s="41" t="str">
        <f t="shared" si="1068"/>
        <v>Def TaxRR11PRIDE</v>
      </c>
      <c r="AR2244" s="41" t="str">
        <f t="shared" si="1069"/>
        <v>R11PRIDE</v>
      </c>
    </row>
    <row r="2245" spans="1:44" s="41" customFormat="1" ht="12.75" customHeight="1">
      <c r="A2245" s="25" t="s">
        <v>1590</v>
      </c>
      <c r="B2245" s="25" t="str">
        <f t="shared" si="1081"/>
        <v>Def Tax283400283-067</v>
      </c>
      <c r="C2245" s="736">
        <v>283400</v>
      </c>
      <c r="D2245" s="735" t="s">
        <v>2045</v>
      </c>
      <c r="F2245" s="41" t="str">
        <f t="shared" si="1079"/>
        <v>ACCUM DEF INC TAX-OTH-STATE-ELECTRIC</v>
      </c>
      <c r="G2245" s="41" t="s">
        <v>2046</v>
      </c>
      <c r="H2245" s="736" t="s">
        <v>1973</v>
      </c>
      <c r="I2245" s="25"/>
      <c r="J2245" s="25" t="str">
        <f t="shared" si="1080"/>
        <v/>
      </c>
      <c r="K2245" s="442" t="str">
        <f t="shared" si="1083"/>
        <v/>
      </c>
      <c r="L2245" s="736" t="s">
        <v>2443</v>
      </c>
      <c r="M2245" s="25" t="str">
        <f t="shared" si="1066"/>
        <v>R</v>
      </c>
      <c r="N2245" s="25" t="str">
        <f>IF(L2245&lt;&gt;"",VLOOKUP(L2245,Categories!$B$2:$D$41,2,FALSE),IF(F2245&lt;&gt;"","No Cat",""))</f>
        <v>Rate Base</v>
      </c>
      <c r="O2245" s="25" t="str">
        <f>IF($L2245&lt;&gt;"",VLOOKUP($L2245,Categories!$B$2:$D$41,3,FALSE),IF($F2245&lt;&gt;"","No Cat",""))</f>
        <v>Deferred Income Taxes</v>
      </c>
      <c r="P2245" s="736" t="s">
        <v>2482</v>
      </c>
      <c r="Q2245" s="25" t="str">
        <f>VLOOKUP($P2245,Allocators!$B$7:$F$19,5,FALSE)</f>
        <v>Electric</v>
      </c>
      <c r="R2245" s="737">
        <f>VLOOKUP($P2245,Allocators!$B$7:$F$19,2,FALSE)</f>
        <v>1</v>
      </c>
      <c r="S2245" s="737">
        <f>VLOOKUP($P2245,Allocators!$B$7:$F$19,3,FALSE)</f>
        <v>0</v>
      </c>
      <c r="T2245" s="737" t="str">
        <f t="shared" si="1082"/>
        <v>0.0%</v>
      </c>
      <c r="U2245" s="2" t="str">
        <f t="shared" si="1073"/>
        <v/>
      </c>
      <c r="V2245" s="2" t="str">
        <f t="shared" si="1074"/>
        <v/>
      </c>
      <c r="W2245" s="2" t="str">
        <f t="shared" si="1075"/>
        <v/>
      </c>
      <c r="X2245" s="2">
        <f t="shared" si="1071"/>
        <v>0</v>
      </c>
      <c r="Y2245" s="2" t="str">
        <f t="shared" si="1076"/>
        <v/>
      </c>
      <c r="Z2245" s="2" t="str">
        <f t="shared" si="1077"/>
        <v/>
      </c>
      <c r="AA2245" s="2" t="str">
        <f t="shared" si="1078"/>
        <v/>
      </c>
      <c r="AB2245" s="2">
        <f t="shared" si="1072"/>
        <v>0</v>
      </c>
      <c r="AC2245" s="625">
        <v>0</v>
      </c>
      <c r="AD2245" s="625">
        <v>0</v>
      </c>
      <c r="AE2245" s="625">
        <v>0</v>
      </c>
      <c r="AF2245" s="625">
        <v>0</v>
      </c>
      <c r="AG2245" s="625">
        <v>0</v>
      </c>
      <c r="AH2245" s="625">
        <v>0</v>
      </c>
      <c r="AI2245" s="625">
        <v>0</v>
      </c>
      <c r="AJ2245" s="625">
        <v>0</v>
      </c>
      <c r="AK2245" s="625">
        <v>0</v>
      </c>
      <c r="AL2245" s="625">
        <v>0</v>
      </c>
      <c r="AM2245" s="625">
        <v>0</v>
      </c>
      <c r="AN2245" s="625">
        <v>0</v>
      </c>
      <c r="AO2245" s="625">
        <v>0</v>
      </c>
      <c r="AP2245" s="41" t="str">
        <f t="shared" si="1067"/>
        <v>Def TaxR</v>
      </c>
      <c r="AQ2245" s="41" t="str">
        <f t="shared" si="1068"/>
        <v>Def TaxRR11Property Tax Audit</v>
      </c>
      <c r="AR2245" s="41" t="str">
        <f t="shared" si="1069"/>
        <v>R11Property Tax Audit</v>
      </c>
    </row>
    <row r="2246" spans="1:44" s="41" customFormat="1" ht="12.75" customHeight="1">
      <c r="A2246" s="25" t="s">
        <v>1590</v>
      </c>
      <c r="B2246" s="25" t="str">
        <f t="shared" si="1081"/>
        <v>Def Tax283400R&amp;D DeferralBT010177</v>
      </c>
      <c r="C2246" s="736">
        <v>283400</v>
      </c>
      <c r="D2246" s="735" t="s">
        <v>1683</v>
      </c>
      <c r="E2246" s="41" t="s">
        <v>1684</v>
      </c>
      <c r="F2246" s="41" t="str">
        <f t="shared" si="1079"/>
        <v>ACCUM DEF INC TAX-OTH-STATE-ELECTRIC</v>
      </c>
      <c r="G2246" s="41" t="s">
        <v>1685</v>
      </c>
      <c r="H2246" s="736" t="s">
        <v>1124</v>
      </c>
      <c r="I2246" s="25"/>
      <c r="J2246" s="25" t="str">
        <f t="shared" si="1080"/>
        <v/>
      </c>
      <c r="K2246" s="442" t="str">
        <f t="shared" si="1083"/>
        <v/>
      </c>
      <c r="L2246" s="736" t="s">
        <v>2443</v>
      </c>
      <c r="M2246" s="25" t="str">
        <f t="shared" si="1066"/>
        <v>R</v>
      </c>
      <c r="N2246" s="25" t="str">
        <f>IF(L2246&lt;&gt;"",VLOOKUP(L2246,Categories!$B$2:$D$41,2,FALSE),IF(F2246&lt;&gt;"","No Cat",""))</f>
        <v>Rate Base</v>
      </c>
      <c r="O2246" s="25" t="str">
        <f>IF($L2246&lt;&gt;"",VLOOKUP($L2246,Categories!$B$2:$D$41,3,FALSE),IF($F2246&lt;&gt;"","No Cat",""))</f>
        <v>Deferred Income Taxes</v>
      </c>
      <c r="P2246" s="736" t="s">
        <v>2482</v>
      </c>
      <c r="Q2246" s="25" t="str">
        <f>VLOOKUP($P2246,Allocators!$B$7:$F$19,5,FALSE)</f>
        <v>Electric</v>
      </c>
      <c r="R2246" s="737">
        <f>VLOOKUP($P2246,Allocators!$B$7:$F$19,2,FALSE)</f>
        <v>1</v>
      </c>
      <c r="S2246" s="737">
        <f>VLOOKUP($P2246,Allocators!$B$7:$F$19,3,FALSE)</f>
        <v>0</v>
      </c>
      <c r="T2246" s="737" t="str">
        <f t="shared" si="1082"/>
        <v>0.0%</v>
      </c>
      <c r="U2246" s="2" t="str">
        <f t="shared" si="1073"/>
        <v/>
      </c>
      <c r="V2246" s="2" t="str">
        <f t="shared" si="1074"/>
        <v/>
      </c>
      <c r="W2246" s="2" t="str">
        <f t="shared" si="1075"/>
        <v/>
      </c>
      <c r="X2246" s="2">
        <f t="shared" si="1071"/>
        <v>0</v>
      </c>
      <c r="Y2246" s="2" t="str">
        <f t="shared" si="1076"/>
        <v/>
      </c>
      <c r="Z2246" s="2" t="str">
        <f t="shared" si="1077"/>
        <v/>
      </c>
      <c r="AA2246" s="2" t="str">
        <f t="shared" si="1078"/>
        <v/>
      </c>
      <c r="AB2246" s="2">
        <f t="shared" si="1072"/>
        <v>0</v>
      </c>
      <c r="AC2246" s="625">
        <v>0</v>
      </c>
      <c r="AD2246" s="625">
        <v>0</v>
      </c>
      <c r="AE2246" s="625">
        <v>0</v>
      </c>
      <c r="AF2246" s="625">
        <v>0</v>
      </c>
      <c r="AG2246" s="625">
        <v>0</v>
      </c>
      <c r="AH2246" s="625">
        <v>0</v>
      </c>
      <c r="AI2246" s="625">
        <v>0</v>
      </c>
      <c r="AJ2246" s="625">
        <v>0</v>
      </c>
      <c r="AK2246" s="625">
        <v>0</v>
      </c>
      <c r="AL2246" s="625">
        <v>0</v>
      </c>
      <c r="AM2246" s="625">
        <v>0</v>
      </c>
      <c r="AN2246" s="625">
        <v>0</v>
      </c>
      <c r="AO2246" s="625">
        <v>0</v>
      </c>
      <c r="AP2246" s="41" t="str">
        <f t="shared" si="1067"/>
        <v>Def TaxR</v>
      </c>
      <c r="AQ2246" s="41" t="str">
        <f t="shared" si="1068"/>
        <v>Def TaxRR11R&amp;D Tax Credit Deferral</v>
      </c>
      <c r="AR2246" s="41" t="str">
        <f t="shared" si="1069"/>
        <v>R11R&amp;D Tax Credit Deferral</v>
      </c>
    </row>
    <row r="2247" spans="1:44" s="41" customFormat="1" ht="12.75" customHeight="1">
      <c r="A2247" s="442" t="s">
        <v>1590</v>
      </c>
      <c r="B2247" s="442" t="str">
        <f t="shared" si="1081"/>
        <v>Def Tax283400283-081-JPBT010176</v>
      </c>
      <c r="C2247" s="736">
        <v>283400</v>
      </c>
      <c r="D2247" s="735" t="s">
        <v>2026</v>
      </c>
      <c r="E2247" s="626" t="s">
        <v>1977</v>
      </c>
      <c r="F2247" s="626" t="str">
        <f t="shared" si="1079"/>
        <v>ACCUM DEF INC TAX-OTH-STATE-ELECTRIC</v>
      </c>
      <c r="G2247" s="626" t="s">
        <v>2225</v>
      </c>
      <c r="H2247" s="736" t="s">
        <v>1245</v>
      </c>
      <c r="I2247" s="442"/>
      <c r="J2247" s="442" t="str">
        <f t="shared" si="1080"/>
        <v/>
      </c>
      <c r="K2247" s="442" t="str">
        <f t="shared" si="1083"/>
        <v/>
      </c>
      <c r="L2247" s="736" t="s">
        <v>2421</v>
      </c>
      <c r="M2247" s="442" t="str">
        <f t="shared" si="1066"/>
        <v>N</v>
      </c>
      <c r="N2247" s="442" t="str">
        <f>IF(L2247&lt;&gt;"",VLOOKUP(L2247,Categories!$B$2:$D$41,2,FALSE),IF(F2247&lt;&gt;"","No Cat",""))</f>
        <v>NRBASE</v>
      </c>
      <c r="O2247" s="442" t="str">
        <f>IF($L2247&lt;&gt;"",VLOOKUP($L2247,Categories!$B$2:$D$41,3,FALSE),IF($F2247&lt;&gt;"","No Cat",""))</f>
        <v>Direct Assign Items Not in RB</v>
      </c>
      <c r="P2247" s="736" t="s">
        <v>2468</v>
      </c>
      <c r="Q2247" s="442" t="str">
        <f>VLOOKUP($P2247,Allocators!$B$7:$F$19,5,FALSE)</f>
        <v>Not in Rate Base</v>
      </c>
      <c r="R2247" s="737">
        <f>VLOOKUP($P2247,Allocators!$B$7:$F$19,2,FALSE)</f>
        <v>0</v>
      </c>
      <c r="S2247" s="737">
        <f>VLOOKUP($P2247,Allocators!$B$7:$F$19,3,FALSE)</f>
        <v>0</v>
      </c>
      <c r="T2247" s="737">
        <f t="shared" si="1082"/>
        <v>1</v>
      </c>
      <c r="U2247" s="2" t="str">
        <f t="shared" si="1073"/>
        <v/>
      </c>
      <c r="V2247" s="2" t="str">
        <f t="shared" si="1074"/>
        <v/>
      </c>
      <c r="W2247" s="2" t="str">
        <f t="shared" si="1075"/>
        <v/>
      </c>
      <c r="X2247" s="2">
        <f t="shared" si="1071"/>
        <v>0</v>
      </c>
      <c r="Y2247" s="2" t="str">
        <f t="shared" si="1076"/>
        <v/>
      </c>
      <c r="Z2247" s="2" t="str">
        <f t="shared" si="1077"/>
        <v/>
      </c>
      <c r="AA2247" s="2" t="str">
        <f t="shared" si="1078"/>
        <v/>
      </c>
      <c r="AB2247" s="2">
        <f t="shared" si="1072"/>
        <v>0</v>
      </c>
      <c r="AC2247" s="625">
        <v>0</v>
      </c>
      <c r="AD2247" s="625">
        <v>0</v>
      </c>
      <c r="AE2247" s="625">
        <v>0</v>
      </c>
      <c r="AF2247" s="625">
        <v>0</v>
      </c>
      <c r="AG2247" s="625">
        <v>0</v>
      </c>
      <c r="AH2247" s="625">
        <v>0</v>
      </c>
      <c r="AI2247" s="625">
        <v>0</v>
      </c>
      <c r="AJ2247" s="625">
        <v>0</v>
      </c>
      <c r="AK2247" s="625">
        <v>0</v>
      </c>
      <c r="AL2247" s="625">
        <v>0</v>
      </c>
      <c r="AM2247" s="625">
        <v>0</v>
      </c>
      <c r="AN2247" s="625">
        <v>0</v>
      </c>
      <c r="AO2247" s="625">
        <v>0</v>
      </c>
      <c r="AP2247" s="41" t="str">
        <f t="shared" si="1067"/>
        <v>Def TaxN</v>
      </c>
      <c r="AQ2247" s="41" t="str">
        <f t="shared" si="1068"/>
        <v>Def TaxNN2Purchase of Receivables</v>
      </c>
      <c r="AR2247" s="41" t="str">
        <f t="shared" si="1069"/>
        <v>N2Purchase of Receivables</v>
      </c>
    </row>
    <row r="2248" spans="1:44" s="41" customFormat="1" ht="12.75" customHeight="1">
      <c r="A2248" s="25" t="s">
        <v>1590</v>
      </c>
      <c r="B2248" s="25" t="str">
        <f t="shared" si="1081"/>
        <v>Def Tax283400283-072-JP</v>
      </c>
      <c r="C2248" s="736">
        <v>283400</v>
      </c>
      <c r="D2248" s="735" t="s">
        <v>2226</v>
      </c>
      <c r="F2248" s="41" t="str">
        <f t="shared" si="1079"/>
        <v>ACCUM DEF INC TAX-OTH-STATE-ELECTRIC</v>
      </c>
      <c r="G2248" s="41" t="s">
        <v>2227</v>
      </c>
      <c r="H2248" s="736" t="s">
        <v>2228</v>
      </c>
      <c r="I2248" s="25"/>
      <c r="J2248" s="25" t="str">
        <f t="shared" si="1080"/>
        <v/>
      </c>
      <c r="K2248" s="442" t="str">
        <f t="shared" si="1083"/>
        <v/>
      </c>
      <c r="L2248" s="736" t="s">
        <v>2443</v>
      </c>
      <c r="M2248" s="25" t="str">
        <f t="shared" si="1066"/>
        <v>R</v>
      </c>
      <c r="N2248" s="25" t="str">
        <f>IF(L2248&lt;&gt;"",VLOOKUP(L2248,Categories!$B$2:$D$41,2,FALSE),IF(F2248&lt;&gt;"","No Cat",""))</f>
        <v>Rate Base</v>
      </c>
      <c r="O2248" s="25" t="str">
        <f>IF($L2248&lt;&gt;"",VLOOKUP($L2248,Categories!$B$2:$D$41,3,FALSE),IF($F2248&lt;&gt;"","No Cat",""))</f>
        <v>Deferred Income Taxes</v>
      </c>
      <c r="P2248" s="736" t="s">
        <v>2482</v>
      </c>
      <c r="Q2248" s="25" t="str">
        <f>VLOOKUP($P2248,Allocators!$B$7:$F$19,5,FALSE)</f>
        <v>Electric</v>
      </c>
      <c r="R2248" s="737">
        <f>VLOOKUP($P2248,Allocators!$B$7:$F$19,2,FALSE)</f>
        <v>1</v>
      </c>
      <c r="S2248" s="737">
        <f>VLOOKUP($P2248,Allocators!$B$7:$F$19,3,FALSE)</f>
        <v>0</v>
      </c>
      <c r="T2248" s="737" t="str">
        <f t="shared" si="1082"/>
        <v>0.0%</v>
      </c>
      <c r="U2248" s="2" t="str">
        <f t="shared" si="1073"/>
        <v/>
      </c>
      <c r="V2248" s="2" t="str">
        <f t="shared" si="1074"/>
        <v/>
      </c>
      <c r="W2248" s="2" t="str">
        <f t="shared" si="1075"/>
        <v/>
      </c>
      <c r="X2248" s="2">
        <f t="shared" si="1071"/>
        <v>0</v>
      </c>
      <c r="Y2248" s="2" t="str">
        <f t="shared" si="1076"/>
        <v/>
      </c>
      <c r="Z2248" s="2" t="str">
        <f t="shared" si="1077"/>
        <v/>
      </c>
      <c r="AA2248" s="2" t="str">
        <f t="shared" si="1078"/>
        <v/>
      </c>
      <c r="AB2248" s="2">
        <f t="shared" si="1072"/>
        <v>0</v>
      </c>
      <c r="AC2248" s="625">
        <v>0</v>
      </c>
      <c r="AD2248" s="625">
        <v>0</v>
      </c>
      <c r="AE2248" s="625">
        <v>0</v>
      </c>
      <c r="AF2248" s="625">
        <v>0</v>
      </c>
      <c r="AG2248" s="625">
        <v>0</v>
      </c>
      <c r="AH2248" s="625">
        <v>0</v>
      </c>
      <c r="AI2248" s="625">
        <v>0</v>
      </c>
      <c r="AJ2248" s="625">
        <v>0</v>
      </c>
      <c r="AK2248" s="625">
        <v>0</v>
      </c>
      <c r="AL2248" s="625">
        <v>0</v>
      </c>
      <c r="AM2248" s="625">
        <v>0</v>
      </c>
      <c r="AN2248" s="625">
        <v>0</v>
      </c>
      <c r="AO2248" s="625">
        <v>0</v>
      </c>
      <c r="AP2248" s="41" t="str">
        <f t="shared" ref="AP2248:AP2311" si="1084">CONCATENATE(A2248,M2248)</f>
        <v>Def TaxR</v>
      </c>
      <c r="AQ2248" s="41" t="str">
        <f t="shared" ref="AQ2248:AQ2311" si="1085">CONCATENATE(AP2248,L2248,H2248)</f>
        <v>Def TaxRR11RAS</v>
      </c>
      <c r="AR2248" s="41" t="str">
        <f t="shared" ref="AR2248:AR2311" si="1086">CONCATENATE(L2248,H2248,J2248)</f>
        <v>R11RAS</v>
      </c>
    </row>
    <row r="2249" spans="1:44" s="41" customFormat="1" ht="12.75" customHeight="1">
      <c r="A2249" s="25" t="s">
        <v>1590</v>
      </c>
      <c r="B2249" s="25" t="str">
        <f t="shared" si="1081"/>
        <v>Def Tax283400283-074-JP</v>
      </c>
      <c r="C2249" s="736">
        <v>283400</v>
      </c>
      <c r="D2249" s="735" t="s">
        <v>1980</v>
      </c>
      <c r="F2249" s="41" t="str">
        <f t="shared" si="1079"/>
        <v>ACCUM DEF INC TAX-OTH-STATE-ELECTRIC</v>
      </c>
      <c r="G2249" s="41" t="s">
        <v>2229</v>
      </c>
      <c r="H2249" s="736" t="s">
        <v>1775</v>
      </c>
      <c r="I2249" s="25"/>
      <c r="J2249" s="25" t="str">
        <f t="shared" si="1080"/>
        <v/>
      </c>
      <c r="K2249" s="442" t="str">
        <f t="shared" si="1083"/>
        <v/>
      </c>
      <c r="L2249" s="736" t="s">
        <v>2443</v>
      </c>
      <c r="M2249" s="25" t="str">
        <f t="shared" ref="M2249:M2315" si="1087">LEFT(L2249,1)</f>
        <v>R</v>
      </c>
      <c r="N2249" s="25" t="str">
        <f>IF(L2249&lt;&gt;"",VLOOKUP(L2249,Categories!$B$2:$D$41,2,FALSE),IF(F2249&lt;&gt;"","No Cat",""))</f>
        <v>Rate Base</v>
      </c>
      <c r="O2249" s="25" t="str">
        <f>IF($L2249&lt;&gt;"",VLOOKUP($L2249,Categories!$B$2:$D$41,3,FALSE),IF($F2249&lt;&gt;"","No Cat",""))</f>
        <v>Deferred Income Taxes</v>
      </c>
      <c r="P2249" s="736" t="s">
        <v>2482</v>
      </c>
      <c r="Q2249" s="25" t="str">
        <f>VLOOKUP($P2249,Allocators!$B$7:$F$19,5,FALSE)</f>
        <v>Electric</v>
      </c>
      <c r="R2249" s="737">
        <f>VLOOKUP($P2249,Allocators!$B$7:$F$19,2,FALSE)</f>
        <v>1</v>
      </c>
      <c r="S2249" s="737">
        <f>VLOOKUP($P2249,Allocators!$B$7:$F$19,3,FALSE)</f>
        <v>0</v>
      </c>
      <c r="T2249" s="737" t="str">
        <f t="shared" si="1082"/>
        <v>0.0%</v>
      </c>
      <c r="U2249" s="2" t="str">
        <f t="shared" si="1073"/>
        <v/>
      </c>
      <c r="V2249" s="2" t="str">
        <f t="shared" si="1074"/>
        <v/>
      </c>
      <c r="W2249" s="2" t="str">
        <f t="shared" si="1075"/>
        <v/>
      </c>
      <c r="X2249" s="2">
        <f t="shared" si="1071"/>
        <v>0</v>
      </c>
      <c r="Y2249" s="2" t="str">
        <f t="shared" si="1076"/>
        <v/>
      </c>
      <c r="Z2249" s="2" t="str">
        <f t="shared" si="1077"/>
        <v/>
      </c>
      <c r="AA2249" s="2" t="str">
        <f t="shared" si="1078"/>
        <v/>
      </c>
      <c r="AB2249" s="2">
        <f t="shared" si="1072"/>
        <v>0</v>
      </c>
      <c r="AC2249" s="625">
        <v>0</v>
      </c>
      <c r="AD2249" s="625">
        <v>0</v>
      </c>
      <c r="AE2249" s="625">
        <v>0</v>
      </c>
      <c r="AF2249" s="625">
        <v>0</v>
      </c>
      <c r="AG2249" s="625">
        <v>0</v>
      </c>
      <c r="AH2249" s="625">
        <v>0</v>
      </c>
      <c r="AI2249" s="625">
        <v>0</v>
      </c>
      <c r="AJ2249" s="625">
        <v>0</v>
      </c>
      <c r="AK2249" s="625">
        <v>0</v>
      </c>
      <c r="AL2249" s="625">
        <v>0</v>
      </c>
      <c r="AM2249" s="625">
        <v>0</v>
      </c>
      <c r="AN2249" s="625">
        <v>0</v>
      </c>
      <c r="AO2249" s="625">
        <v>0</v>
      </c>
      <c r="AP2249" s="41" t="str">
        <f t="shared" si="1084"/>
        <v>Def TaxR</v>
      </c>
      <c r="AQ2249" s="41" t="str">
        <f t="shared" si="1085"/>
        <v>Def TaxRR11Gain/Loss on Reacquired Debt</v>
      </c>
      <c r="AR2249" s="41" t="str">
        <f t="shared" si="1086"/>
        <v>R11Gain/Loss on Reacquired Debt</v>
      </c>
    </row>
    <row r="2250" spans="1:44" s="41" customFormat="1" ht="12.75" customHeight="1">
      <c r="A2250" s="25" t="s">
        <v>1590</v>
      </c>
      <c r="B2250" s="25" t="str">
        <f t="shared" si="1081"/>
        <v>Def Tax283400283-088BT010181</v>
      </c>
      <c r="C2250" s="736">
        <v>283400</v>
      </c>
      <c r="D2250" s="735" t="s">
        <v>2230</v>
      </c>
      <c r="E2250" s="41" t="s">
        <v>2231</v>
      </c>
      <c r="F2250" s="41" t="str">
        <f t="shared" si="1079"/>
        <v>ACCUM DEF INC TAX-OTH-STATE-ELECTRIC</v>
      </c>
      <c r="G2250" s="41" t="s">
        <v>2232</v>
      </c>
      <c r="H2250" s="736" t="s">
        <v>2233</v>
      </c>
      <c r="I2250" s="25"/>
      <c r="J2250" s="25" t="str">
        <f t="shared" si="1080"/>
        <v/>
      </c>
      <c r="K2250" s="442" t="str">
        <f t="shared" si="1083"/>
        <v/>
      </c>
      <c r="L2250" s="736" t="s">
        <v>2443</v>
      </c>
      <c r="M2250" s="25" t="str">
        <f t="shared" si="1087"/>
        <v>R</v>
      </c>
      <c r="N2250" s="25" t="str">
        <f>IF(L2250&lt;&gt;"",VLOOKUP(L2250,Categories!$B$2:$D$41,2,FALSE),IF(F2250&lt;&gt;"","No Cat",""))</f>
        <v>Rate Base</v>
      </c>
      <c r="O2250" s="25" t="str">
        <f>IF($L2250&lt;&gt;"",VLOOKUP($L2250,Categories!$B$2:$D$41,3,FALSE),IF($F2250&lt;&gt;"","No Cat",""))</f>
        <v>Deferred Income Taxes</v>
      </c>
      <c r="P2250" s="736" t="s">
        <v>2482</v>
      </c>
      <c r="Q2250" s="25" t="str">
        <f>VLOOKUP($P2250,Allocators!$B$7:$F$19,5,FALSE)</f>
        <v>Electric</v>
      </c>
      <c r="R2250" s="737">
        <f>VLOOKUP($P2250,Allocators!$B$7:$F$19,2,FALSE)</f>
        <v>1</v>
      </c>
      <c r="S2250" s="737">
        <f>VLOOKUP($P2250,Allocators!$B$7:$F$19,3,FALSE)</f>
        <v>0</v>
      </c>
      <c r="T2250" s="737" t="str">
        <f t="shared" si="1082"/>
        <v>0.0%</v>
      </c>
      <c r="U2250" s="2" t="str">
        <f t="shared" si="1073"/>
        <v/>
      </c>
      <c r="V2250" s="2" t="str">
        <f t="shared" si="1074"/>
        <v/>
      </c>
      <c r="W2250" s="2" t="str">
        <f t="shared" si="1075"/>
        <v/>
      </c>
      <c r="X2250" s="2">
        <f t="shared" si="1071"/>
        <v>0</v>
      </c>
      <c r="Y2250" s="2" t="str">
        <f t="shared" si="1076"/>
        <v/>
      </c>
      <c r="Z2250" s="2" t="str">
        <f t="shared" si="1077"/>
        <v/>
      </c>
      <c r="AA2250" s="2" t="str">
        <f t="shared" si="1078"/>
        <v/>
      </c>
      <c r="AB2250" s="2">
        <f t="shared" si="1072"/>
        <v>0</v>
      </c>
      <c r="AC2250" s="625">
        <v>0</v>
      </c>
      <c r="AD2250" s="625">
        <v>0</v>
      </c>
      <c r="AE2250" s="625">
        <v>0</v>
      </c>
      <c r="AF2250" s="625">
        <v>0</v>
      </c>
      <c r="AG2250" s="625">
        <v>0</v>
      </c>
      <c r="AH2250" s="625">
        <v>0</v>
      </c>
      <c r="AI2250" s="625">
        <v>0</v>
      </c>
      <c r="AJ2250" s="625">
        <v>0</v>
      </c>
      <c r="AK2250" s="625">
        <v>0</v>
      </c>
      <c r="AL2250" s="625">
        <v>0</v>
      </c>
      <c r="AM2250" s="625">
        <v>0</v>
      </c>
      <c r="AN2250" s="625">
        <v>0</v>
      </c>
      <c r="AO2250" s="625">
        <v>0</v>
      </c>
      <c r="AP2250" s="41" t="str">
        <f t="shared" si="1084"/>
        <v>Def TaxR</v>
      </c>
      <c r="AQ2250" s="41" t="str">
        <f t="shared" si="1085"/>
        <v>Def TaxRR11Repair Allowance</v>
      </c>
      <c r="AR2250" s="41" t="str">
        <f t="shared" si="1086"/>
        <v>R11Repair Allowance</v>
      </c>
    </row>
    <row r="2251" spans="1:44" s="41" customFormat="1" ht="12.75" customHeight="1">
      <c r="A2251" s="25" t="s">
        <v>1590</v>
      </c>
      <c r="B2251" s="25" t="str">
        <f t="shared" si="1081"/>
        <v>Def Tax283400Russell DecomBE030278</v>
      </c>
      <c r="C2251" s="736">
        <v>283400</v>
      </c>
      <c r="D2251" s="735" t="s">
        <v>2236</v>
      </c>
      <c r="E2251" s="41" t="s">
        <v>1985</v>
      </c>
      <c r="F2251" s="41" t="str">
        <f t="shared" si="1079"/>
        <v>ACCUM DEF INC TAX-OTH-STATE-ELECTRIC</v>
      </c>
      <c r="G2251" s="41" t="s">
        <v>1986</v>
      </c>
      <c r="H2251" s="736" t="s">
        <v>2694</v>
      </c>
      <c r="I2251" s="25"/>
      <c r="J2251" s="25" t="str">
        <f t="shared" si="1080"/>
        <v/>
      </c>
      <c r="K2251" s="442" t="str">
        <f t="shared" si="1083"/>
        <v/>
      </c>
      <c r="L2251" s="736" t="s">
        <v>2443</v>
      </c>
      <c r="M2251" s="25" t="str">
        <f t="shared" si="1087"/>
        <v>R</v>
      </c>
      <c r="N2251" s="25" t="str">
        <f>IF(L2251&lt;&gt;"",VLOOKUP(L2251,Categories!$B$2:$D$41,2,FALSE),IF(F2251&lt;&gt;"","No Cat",""))</f>
        <v>Rate Base</v>
      </c>
      <c r="O2251" s="25" t="str">
        <f>IF($L2251&lt;&gt;"",VLOOKUP($L2251,Categories!$B$2:$D$41,3,FALSE),IF($F2251&lt;&gt;"","No Cat",""))</f>
        <v>Deferred Income Taxes</v>
      </c>
      <c r="P2251" s="736" t="s">
        <v>2482</v>
      </c>
      <c r="Q2251" s="25" t="str">
        <f>VLOOKUP($P2251,Allocators!$B$7:$F$19,5,FALSE)</f>
        <v>Electric</v>
      </c>
      <c r="R2251" s="737">
        <f>VLOOKUP($P2251,Allocators!$B$7:$F$19,2,FALSE)</f>
        <v>1</v>
      </c>
      <c r="S2251" s="737">
        <f>VLOOKUP($P2251,Allocators!$B$7:$F$19,3,FALSE)</f>
        <v>0</v>
      </c>
      <c r="T2251" s="737" t="str">
        <f t="shared" si="1082"/>
        <v>0.0%</v>
      </c>
      <c r="U2251" s="2">
        <f t="shared" si="1073"/>
        <v>724.17032333333304</v>
      </c>
      <c r="V2251" s="2">
        <f t="shared" si="1074"/>
        <v>0</v>
      </c>
      <c r="W2251" s="2">
        <f t="shared" si="1075"/>
        <v>0</v>
      </c>
      <c r="X2251" s="2">
        <f t="shared" si="1071"/>
        <v>724.17032333333304</v>
      </c>
      <c r="Y2251" s="2" t="str">
        <f t="shared" si="1076"/>
        <v/>
      </c>
      <c r="Z2251" s="2" t="str">
        <f t="shared" si="1077"/>
        <v/>
      </c>
      <c r="AA2251" s="2" t="str">
        <f t="shared" si="1078"/>
        <v/>
      </c>
      <c r="AB2251" s="2">
        <f t="shared" si="1072"/>
        <v>0</v>
      </c>
      <c r="AC2251" s="625">
        <v>796.85126000000002</v>
      </c>
      <c r="AD2251" s="625">
        <v>793.62331000000006</v>
      </c>
      <c r="AE2251" s="625">
        <v>791.07907</v>
      </c>
      <c r="AF2251" s="625">
        <v>782.36900000000003</v>
      </c>
      <c r="AG2251" s="625">
        <v>778.98185000000001</v>
      </c>
      <c r="AH2251" s="625">
        <v>766.39622999999995</v>
      </c>
      <c r="AI2251" s="625">
        <v>763.55079000000001</v>
      </c>
      <c r="AJ2251" s="625">
        <v>755.69825000000003</v>
      </c>
      <c r="AK2251" s="625">
        <v>724.65303000000006</v>
      </c>
      <c r="AL2251" s="625">
        <v>716.6395500000001</v>
      </c>
      <c r="AM2251" s="625">
        <v>712.27296999999999</v>
      </c>
      <c r="AN2251" s="625">
        <v>706.35419999999999</v>
      </c>
      <c r="AO2251" s="625">
        <v>0</v>
      </c>
      <c r="AP2251" s="41" t="str">
        <f t="shared" si="1084"/>
        <v>Def TaxR</v>
      </c>
      <c r="AQ2251" s="41" t="str">
        <f t="shared" si="1085"/>
        <v>Def TaxRR11Russell Decommissioning Reserve</v>
      </c>
      <c r="AR2251" s="41" t="str">
        <f t="shared" si="1086"/>
        <v>R11Russell Decommissioning Reserve</v>
      </c>
    </row>
    <row r="2252" spans="1:44" s="41" customFormat="1" ht="12.75" customHeight="1">
      <c r="A2252" s="25" t="s">
        <v>1590</v>
      </c>
      <c r="B2252" s="25" t="str">
        <f t="shared" si="1081"/>
        <v>Def Tax283400283-082-JP</v>
      </c>
      <c r="C2252" s="736">
        <v>283400</v>
      </c>
      <c r="D2252" s="735" t="s">
        <v>2241</v>
      </c>
      <c r="F2252" s="41" t="str">
        <f t="shared" si="1079"/>
        <v>ACCUM DEF INC TAX-OTH-STATE-ELECTRIC</v>
      </c>
      <c r="G2252" s="41" t="s">
        <v>2242</v>
      </c>
      <c r="H2252" s="736" t="s">
        <v>1117</v>
      </c>
      <c r="I2252" s="25"/>
      <c r="J2252" s="25" t="str">
        <f t="shared" si="1080"/>
        <v/>
      </c>
      <c r="K2252" s="442" t="str">
        <f t="shared" si="1083"/>
        <v/>
      </c>
      <c r="L2252" s="736" t="s">
        <v>2443</v>
      </c>
      <c r="M2252" s="25" t="str">
        <f t="shared" si="1087"/>
        <v>R</v>
      </c>
      <c r="N2252" s="25" t="str">
        <f>IF(L2252&lt;&gt;"",VLOOKUP(L2252,Categories!$B$2:$D$41,2,FALSE),IF(F2252&lt;&gt;"","No Cat",""))</f>
        <v>Rate Base</v>
      </c>
      <c r="O2252" s="25" t="str">
        <f>IF($L2252&lt;&gt;"",VLOOKUP($L2252,Categories!$B$2:$D$41,3,FALSE),IF($F2252&lt;&gt;"","No Cat",""))</f>
        <v>Deferred Income Taxes</v>
      </c>
      <c r="P2252" s="736" t="s">
        <v>2482</v>
      </c>
      <c r="Q2252" s="25" t="str">
        <f>VLOOKUP($P2252,Allocators!$B$7:$F$19,5,FALSE)</f>
        <v>Electric</v>
      </c>
      <c r="R2252" s="737">
        <f>VLOOKUP($P2252,Allocators!$B$7:$F$19,2,FALSE)</f>
        <v>1</v>
      </c>
      <c r="S2252" s="737">
        <f>VLOOKUP($P2252,Allocators!$B$7:$F$19,3,FALSE)</f>
        <v>0</v>
      </c>
      <c r="T2252" s="737" t="str">
        <f t="shared" si="1082"/>
        <v>0.0%</v>
      </c>
      <c r="U2252" s="2" t="str">
        <f t="shared" si="1073"/>
        <v/>
      </c>
      <c r="V2252" s="2" t="str">
        <f t="shared" si="1074"/>
        <v/>
      </c>
      <c r="W2252" s="2" t="str">
        <f t="shared" si="1075"/>
        <v/>
      </c>
      <c r="X2252" s="2">
        <f t="shared" si="1071"/>
        <v>0</v>
      </c>
      <c r="Y2252" s="2" t="str">
        <f t="shared" si="1076"/>
        <v/>
      </c>
      <c r="Z2252" s="2" t="str">
        <f t="shared" si="1077"/>
        <v/>
      </c>
      <c r="AA2252" s="2" t="str">
        <f t="shared" si="1078"/>
        <v/>
      </c>
      <c r="AB2252" s="2">
        <f t="shared" si="1072"/>
        <v>0</v>
      </c>
      <c r="AC2252" s="625">
        <v>0</v>
      </c>
      <c r="AD2252" s="625">
        <v>0</v>
      </c>
      <c r="AE2252" s="625">
        <v>0</v>
      </c>
      <c r="AF2252" s="625">
        <v>0</v>
      </c>
      <c r="AG2252" s="625">
        <v>0</v>
      </c>
      <c r="AH2252" s="625">
        <v>0</v>
      </c>
      <c r="AI2252" s="625">
        <v>0</v>
      </c>
      <c r="AJ2252" s="625">
        <v>0</v>
      </c>
      <c r="AK2252" s="625">
        <v>0</v>
      </c>
      <c r="AL2252" s="625">
        <v>0</v>
      </c>
      <c r="AM2252" s="625">
        <v>0</v>
      </c>
      <c r="AN2252" s="625">
        <v>0</v>
      </c>
      <c r="AO2252" s="625">
        <v>0</v>
      </c>
      <c r="AP2252" s="41" t="str">
        <f t="shared" si="1084"/>
        <v>Def TaxR</v>
      </c>
      <c r="AQ2252" s="41" t="str">
        <f t="shared" si="1085"/>
        <v>Def TaxRR11Security Costs</v>
      </c>
      <c r="AR2252" s="41" t="str">
        <f t="shared" si="1086"/>
        <v>R11Security Costs</v>
      </c>
    </row>
    <row r="2253" spans="1:44" s="41" customFormat="1" ht="12.75" customHeight="1">
      <c r="A2253" s="25" t="s">
        <v>1590</v>
      </c>
      <c r="B2253" s="25" t="str">
        <f t="shared" si="1081"/>
        <v>Def Tax283400283-069</v>
      </c>
      <c r="C2253" s="736">
        <v>283400</v>
      </c>
      <c r="D2253" s="735" t="s">
        <v>1992</v>
      </c>
      <c r="F2253" s="41" t="str">
        <f t="shared" si="1079"/>
        <v>ACCUM DEF INC TAX-OTH-STATE-ELECTRIC</v>
      </c>
      <c r="G2253" s="41" t="s">
        <v>1994</v>
      </c>
      <c r="H2253" s="736" t="s">
        <v>1995</v>
      </c>
      <c r="I2253" s="25"/>
      <c r="J2253" s="25" t="str">
        <f t="shared" si="1080"/>
        <v/>
      </c>
      <c r="K2253" s="442" t="str">
        <f t="shared" si="1083"/>
        <v/>
      </c>
      <c r="L2253" s="736" t="s">
        <v>2443</v>
      </c>
      <c r="M2253" s="25" t="str">
        <f t="shared" si="1087"/>
        <v>R</v>
      </c>
      <c r="N2253" s="25" t="str">
        <f>IF(L2253&lt;&gt;"",VLOOKUP(L2253,Categories!$B$2:$D$41,2,FALSE),IF(F2253&lt;&gt;"","No Cat",""))</f>
        <v>Rate Base</v>
      </c>
      <c r="O2253" s="25" t="str">
        <f>IF($L2253&lt;&gt;"",VLOOKUP($L2253,Categories!$B$2:$D$41,3,FALSE),IF($F2253&lt;&gt;"","No Cat",""))</f>
        <v>Deferred Income Taxes</v>
      </c>
      <c r="P2253" s="736" t="s">
        <v>2482</v>
      </c>
      <c r="Q2253" s="25" t="str">
        <f>VLOOKUP($P2253,Allocators!$B$7:$F$19,5,FALSE)</f>
        <v>Electric</v>
      </c>
      <c r="R2253" s="737">
        <f>VLOOKUP($P2253,Allocators!$B$7:$F$19,2,FALSE)</f>
        <v>1</v>
      </c>
      <c r="S2253" s="737">
        <f>VLOOKUP($P2253,Allocators!$B$7:$F$19,3,FALSE)</f>
        <v>0</v>
      </c>
      <c r="T2253" s="737" t="str">
        <f t="shared" si="1082"/>
        <v>0.0%</v>
      </c>
      <c r="U2253" s="2" t="str">
        <f t="shared" si="1073"/>
        <v/>
      </c>
      <c r="V2253" s="2" t="str">
        <f t="shared" si="1074"/>
        <v/>
      </c>
      <c r="W2253" s="2" t="str">
        <f t="shared" si="1075"/>
        <v/>
      </c>
      <c r="X2253" s="2">
        <f t="shared" si="1071"/>
        <v>0</v>
      </c>
      <c r="Y2253" s="2" t="str">
        <f t="shared" si="1076"/>
        <v/>
      </c>
      <c r="Z2253" s="2" t="str">
        <f t="shared" si="1077"/>
        <v/>
      </c>
      <c r="AA2253" s="2" t="str">
        <f t="shared" si="1078"/>
        <v/>
      </c>
      <c r="AB2253" s="2">
        <f t="shared" si="1072"/>
        <v>0</v>
      </c>
      <c r="AC2253" s="625">
        <v>0</v>
      </c>
      <c r="AD2253" s="625">
        <v>0</v>
      </c>
      <c r="AE2253" s="625">
        <v>0</v>
      </c>
      <c r="AF2253" s="625">
        <v>0</v>
      </c>
      <c r="AG2253" s="625">
        <v>0</v>
      </c>
      <c r="AH2253" s="625">
        <v>0</v>
      </c>
      <c r="AI2253" s="625">
        <v>0</v>
      </c>
      <c r="AJ2253" s="625">
        <v>0</v>
      </c>
      <c r="AK2253" s="625">
        <v>0</v>
      </c>
      <c r="AL2253" s="625">
        <v>0</v>
      </c>
      <c r="AM2253" s="625">
        <v>0</v>
      </c>
      <c r="AN2253" s="625">
        <v>0</v>
      </c>
      <c r="AO2253" s="625">
        <v>0</v>
      </c>
      <c r="AP2253" s="41" t="str">
        <f t="shared" si="1084"/>
        <v>Def TaxR</v>
      </c>
      <c r="AQ2253" s="41" t="str">
        <f t="shared" si="1085"/>
        <v>Def TaxRR11NYS Income Tax / GRT Deferral</v>
      </c>
      <c r="AR2253" s="41" t="str">
        <f t="shared" si="1086"/>
        <v>R11NYS Income Tax / GRT Deferral</v>
      </c>
    </row>
    <row r="2254" spans="1:44" s="41" customFormat="1" ht="12.75" customHeight="1">
      <c r="A2254" s="25" t="s">
        <v>1590</v>
      </c>
      <c r="B2254" s="25" t="str">
        <f t="shared" si="1081"/>
        <v>Def Tax283400283-026</v>
      </c>
      <c r="C2254" s="736">
        <v>283400</v>
      </c>
      <c r="D2254" s="735" t="s">
        <v>1706</v>
      </c>
      <c r="F2254" s="41" t="str">
        <f t="shared" si="1079"/>
        <v>ACCUM DEF INC TAX-OTH-STATE-ELECTRIC</v>
      </c>
      <c r="G2254" s="41" t="s">
        <v>2243</v>
      </c>
      <c r="H2254" s="736" t="s">
        <v>1134</v>
      </c>
      <c r="I2254" s="25"/>
      <c r="J2254" s="25" t="str">
        <f t="shared" si="1080"/>
        <v/>
      </c>
      <c r="K2254" s="442" t="str">
        <f t="shared" si="1083"/>
        <v/>
      </c>
      <c r="L2254" s="736" t="s">
        <v>2421</v>
      </c>
      <c r="M2254" s="25" t="str">
        <f t="shared" si="1087"/>
        <v>N</v>
      </c>
      <c r="N2254" s="25" t="str">
        <f>IF(L2254&lt;&gt;"",VLOOKUP(L2254,Categories!$B$2:$D$41,2,FALSE),IF(F2254&lt;&gt;"","No Cat",""))</f>
        <v>NRBASE</v>
      </c>
      <c r="O2254" s="25" t="str">
        <f>IF($L2254&lt;&gt;"",VLOOKUP($L2254,Categories!$B$2:$D$41,3,FALSE),IF($F2254&lt;&gt;"","No Cat",""))</f>
        <v>Direct Assign Items Not in RB</v>
      </c>
      <c r="P2254" s="736" t="s">
        <v>2468</v>
      </c>
      <c r="Q2254" s="25" t="str">
        <f>VLOOKUP($P2254,Allocators!$B$7:$F$19,5,FALSE)</f>
        <v>Not in Rate Base</v>
      </c>
      <c r="R2254" s="737">
        <f>VLOOKUP($P2254,Allocators!$B$7:$F$19,2,FALSE)</f>
        <v>0</v>
      </c>
      <c r="S2254" s="737">
        <f>VLOOKUP($P2254,Allocators!$B$7:$F$19,3,FALSE)</f>
        <v>0</v>
      </c>
      <c r="T2254" s="737">
        <f t="shared" si="1082"/>
        <v>1</v>
      </c>
      <c r="U2254" s="2" t="str">
        <f t="shared" si="1073"/>
        <v/>
      </c>
      <c r="V2254" s="2" t="str">
        <f t="shared" si="1074"/>
        <v/>
      </c>
      <c r="W2254" s="2" t="str">
        <f t="shared" si="1075"/>
        <v/>
      </c>
      <c r="X2254" s="2">
        <f t="shared" si="1071"/>
        <v>0</v>
      </c>
      <c r="Y2254" s="2" t="str">
        <f t="shared" si="1076"/>
        <v/>
      </c>
      <c r="Z2254" s="2" t="str">
        <f t="shared" si="1077"/>
        <v/>
      </c>
      <c r="AA2254" s="2" t="str">
        <f t="shared" si="1078"/>
        <v/>
      </c>
      <c r="AB2254" s="2">
        <f t="shared" si="1072"/>
        <v>0</v>
      </c>
      <c r="AC2254" s="625">
        <v>0</v>
      </c>
      <c r="AD2254" s="625">
        <v>0</v>
      </c>
      <c r="AE2254" s="625">
        <v>0</v>
      </c>
      <c r="AF2254" s="625">
        <v>0</v>
      </c>
      <c r="AG2254" s="625">
        <v>0</v>
      </c>
      <c r="AH2254" s="625">
        <v>0</v>
      </c>
      <c r="AI2254" s="625">
        <v>0</v>
      </c>
      <c r="AJ2254" s="625">
        <v>0</v>
      </c>
      <c r="AK2254" s="625">
        <v>0</v>
      </c>
      <c r="AL2254" s="625">
        <v>0</v>
      </c>
      <c r="AM2254" s="625">
        <v>0</v>
      </c>
      <c r="AN2254" s="625">
        <v>0</v>
      </c>
      <c r="AO2254" s="625">
        <v>0</v>
      </c>
      <c r="AP2254" s="41" t="str">
        <f t="shared" si="1084"/>
        <v>Def TaxN</v>
      </c>
      <c r="AQ2254" s="41" t="str">
        <f t="shared" si="1085"/>
        <v>Def TaxNN2Environmental</v>
      </c>
      <c r="AR2254" s="41" t="str">
        <f t="shared" si="1086"/>
        <v>N2Environmental</v>
      </c>
    </row>
    <row r="2255" spans="1:44" s="41" customFormat="1" ht="12.75" customHeight="1">
      <c r="A2255" s="25" t="s">
        <v>1590</v>
      </c>
      <c r="B2255" s="25" t="str">
        <f t="shared" si="1081"/>
        <v>Def Tax283400283-062BTMISCDT</v>
      </c>
      <c r="C2255" s="736">
        <v>283400</v>
      </c>
      <c r="D2255" s="735" t="s">
        <v>2211</v>
      </c>
      <c r="E2255" s="41" t="s">
        <v>1971</v>
      </c>
      <c r="F2255" s="41" t="str">
        <f t="shared" si="1079"/>
        <v>ACCUM DEF INC TAX-OTH-STATE-ELECTRIC</v>
      </c>
      <c r="G2255" s="41" t="s">
        <v>2245</v>
      </c>
      <c r="H2255" s="736" t="s">
        <v>2246</v>
      </c>
      <c r="I2255" s="25"/>
      <c r="J2255" s="25" t="str">
        <f t="shared" si="1080"/>
        <v/>
      </c>
      <c r="K2255" s="442" t="str">
        <f t="shared" si="1083"/>
        <v/>
      </c>
      <c r="L2255" s="736" t="s">
        <v>2443</v>
      </c>
      <c r="M2255" s="25" t="str">
        <f t="shared" si="1087"/>
        <v>R</v>
      </c>
      <c r="N2255" s="25" t="str">
        <f>IF(L2255&lt;&gt;"",VLOOKUP(L2255,Categories!$B$2:$D$41,2,FALSE),IF(F2255&lt;&gt;"","No Cat",""))</f>
        <v>Rate Base</v>
      </c>
      <c r="O2255" s="25" t="str">
        <f>IF($L2255&lt;&gt;"",VLOOKUP($L2255,Categories!$B$2:$D$41,3,FALSE),IF($F2255&lt;&gt;"","No Cat",""))</f>
        <v>Deferred Income Taxes</v>
      </c>
      <c r="P2255" s="736" t="s">
        <v>2482</v>
      </c>
      <c r="Q2255" s="25" t="str">
        <f>VLOOKUP($P2255,Allocators!$B$7:$F$19,5,FALSE)</f>
        <v>Electric</v>
      </c>
      <c r="R2255" s="737">
        <f>VLOOKUP($P2255,Allocators!$B$7:$F$19,2,FALSE)</f>
        <v>1</v>
      </c>
      <c r="S2255" s="737">
        <f>VLOOKUP($P2255,Allocators!$B$7:$F$19,3,FALSE)</f>
        <v>0</v>
      </c>
      <c r="T2255" s="737" t="str">
        <f t="shared" si="1082"/>
        <v>0.0%</v>
      </c>
      <c r="U2255" s="2" t="str">
        <f t="shared" si="1073"/>
        <v/>
      </c>
      <c r="V2255" s="2" t="str">
        <f t="shared" si="1074"/>
        <v/>
      </c>
      <c r="W2255" s="2" t="str">
        <f t="shared" si="1075"/>
        <v/>
      </c>
      <c r="X2255" s="2">
        <f t="shared" si="1071"/>
        <v>0</v>
      </c>
      <c r="Y2255" s="2" t="str">
        <f t="shared" si="1076"/>
        <v/>
      </c>
      <c r="Z2255" s="2" t="str">
        <f t="shared" si="1077"/>
        <v/>
      </c>
      <c r="AA2255" s="2" t="str">
        <f t="shared" si="1078"/>
        <v/>
      </c>
      <c r="AB2255" s="2">
        <f t="shared" si="1072"/>
        <v>0</v>
      </c>
      <c r="AC2255" s="625">
        <v>0</v>
      </c>
      <c r="AD2255" s="625">
        <v>0</v>
      </c>
      <c r="AE2255" s="625">
        <v>0</v>
      </c>
      <c r="AF2255" s="625">
        <v>0</v>
      </c>
      <c r="AG2255" s="625">
        <v>0</v>
      </c>
      <c r="AH2255" s="625">
        <v>0</v>
      </c>
      <c r="AI2255" s="625">
        <v>0</v>
      </c>
      <c r="AJ2255" s="625">
        <v>0</v>
      </c>
      <c r="AK2255" s="625">
        <v>0</v>
      </c>
      <c r="AL2255" s="625">
        <v>0</v>
      </c>
      <c r="AM2255" s="625">
        <v>0</v>
      </c>
      <c r="AN2255" s="625">
        <v>0</v>
      </c>
      <c r="AO2255" s="625">
        <v>0</v>
      </c>
      <c r="AP2255" s="41" t="str">
        <f t="shared" si="1084"/>
        <v>Def TaxR</v>
      </c>
      <c r="AQ2255" s="41" t="str">
        <f t="shared" si="1085"/>
        <v>Def TaxRR11STAR</v>
      </c>
      <c r="AR2255" s="41" t="str">
        <f t="shared" si="1086"/>
        <v>R11STAR</v>
      </c>
    </row>
    <row r="2256" spans="1:44" s="41" customFormat="1" ht="12.75" customHeight="1">
      <c r="A2256" s="25" t="s">
        <v>1590</v>
      </c>
      <c r="B2256" s="25" t="str">
        <f t="shared" si="1081"/>
        <v>Def Tax283400283-063</v>
      </c>
      <c r="C2256" s="736">
        <v>283400</v>
      </c>
      <c r="D2256" s="735" t="s">
        <v>2244</v>
      </c>
      <c r="F2256" s="41" t="str">
        <f t="shared" si="1079"/>
        <v>ACCUM DEF INC TAX-OTH-STATE-ELECTRIC</v>
      </c>
      <c r="G2256" s="41" t="s">
        <v>2245</v>
      </c>
      <c r="H2256" s="736" t="s">
        <v>2246</v>
      </c>
      <c r="I2256" s="25"/>
      <c r="J2256" s="25" t="str">
        <f t="shared" si="1080"/>
        <v/>
      </c>
      <c r="K2256" s="442" t="str">
        <f t="shared" si="1083"/>
        <v/>
      </c>
      <c r="L2256" s="736" t="s">
        <v>2443</v>
      </c>
      <c r="M2256" s="25" t="str">
        <f t="shared" si="1087"/>
        <v>R</v>
      </c>
      <c r="N2256" s="25" t="str">
        <f>IF(L2256&lt;&gt;"",VLOOKUP(L2256,Categories!$B$2:$D$41,2,FALSE),IF(F2256&lt;&gt;"","No Cat",""))</f>
        <v>Rate Base</v>
      </c>
      <c r="O2256" s="25" t="str">
        <f>IF($L2256&lt;&gt;"",VLOOKUP($L2256,Categories!$B$2:$D$41,3,FALSE),IF($F2256&lt;&gt;"","No Cat",""))</f>
        <v>Deferred Income Taxes</v>
      </c>
      <c r="P2256" s="736" t="s">
        <v>2482</v>
      </c>
      <c r="Q2256" s="25" t="str">
        <f>VLOOKUP($P2256,Allocators!$B$7:$F$19,5,FALSE)</f>
        <v>Electric</v>
      </c>
      <c r="R2256" s="737">
        <f>VLOOKUP($P2256,Allocators!$B$7:$F$19,2,FALSE)</f>
        <v>1</v>
      </c>
      <c r="S2256" s="737">
        <f>VLOOKUP($P2256,Allocators!$B$7:$F$19,3,FALSE)</f>
        <v>0</v>
      </c>
      <c r="T2256" s="737" t="str">
        <f t="shared" si="1082"/>
        <v>0.0%</v>
      </c>
      <c r="U2256" s="2" t="str">
        <f t="shared" si="1073"/>
        <v/>
      </c>
      <c r="V2256" s="2" t="str">
        <f t="shared" si="1074"/>
        <v/>
      </c>
      <c r="W2256" s="2" t="str">
        <f t="shared" si="1075"/>
        <v/>
      </c>
      <c r="X2256" s="2">
        <f t="shared" si="1071"/>
        <v>0</v>
      </c>
      <c r="Y2256" s="2" t="str">
        <f t="shared" si="1076"/>
        <v/>
      </c>
      <c r="Z2256" s="2" t="str">
        <f t="shared" si="1077"/>
        <v/>
      </c>
      <c r="AA2256" s="2" t="str">
        <f t="shared" si="1078"/>
        <v/>
      </c>
      <c r="AB2256" s="2">
        <f t="shared" si="1072"/>
        <v>0</v>
      </c>
      <c r="AC2256" s="625">
        <v>0</v>
      </c>
      <c r="AD2256" s="625">
        <v>0</v>
      </c>
      <c r="AE2256" s="625">
        <v>0</v>
      </c>
      <c r="AF2256" s="625">
        <v>0</v>
      </c>
      <c r="AG2256" s="625">
        <v>0</v>
      </c>
      <c r="AH2256" s="625">
        <v>0</v>
      </c>
      <c r="AI2256" s="625">
        <v>0</v>
      </c>
      <c r="AJ2256" s="625">
        <v>0</v>
      </c>
      <c r="AK2256" s="625">
        <v>0</v>
      </c>
      <c r="AL2256" s="625">
        <v>0</v>
      </c>
      <c r="AM2256" s="625">
        <v>0</v>
      </c>
      <c r="AN2256" s="625">
        <v>0</v>
      </c>
      <c r="AO2256" s="625">
        <v>0</v>
      </c>
      <c r="AP2256" s="41" t="str">
        <f t="shared" si="1084"/>
        <v>Def TaxR</v>
      </c>
      <c r="AQ2256" s="41" t="str">
        <f t="shared" si="1085"/>
        <v>Def TaxRR11STAR</v>
      </c>
      <c r="AR2256" s="41" t="str">
        <f t="shared" si="1086"/>
        <v>R11STAR</v>
      </c>
    </row>
    <row r="2257" spans="1:44" s="41" customFormat="1" ht="12.75" customHeight="1">
      <c r="A2257" s="25" t="s">
        <v>1590</v>
      </c>
      <c r="B2257" s="25" t="str">
        <f t="shared" si="1081"/>
        <v>Def Tax283400Unit of PropBT010354</v>
      </c>
      <c r="C2257" s="736">
        <v>283400</v>
      </c>
      <c r="D2257" s="735" t="s">
        <v>2247</v>
      </c>
      <c r="E2257" s="41" t="s">
        <v>2248</v>
      </c>
      <c r="F2257" s="41" t="str">
        <f t="shared" si="1079"/>
        <v>ACCUM DEF INC TAX-OTH-STATE-ELECTRIC</v>
      </c>
      <c r="G2257" s="41" t="s">
        <v>2249</v>
      </c>
      <c r="H2257" s="736" t="s">
        <v>2249</v>
      </c>
      <c r="I2257" s="25"/>
      <c r="J2257" s="25" t="str">
        <f t="shared" si="1080"/>
        <v/>
      </c>
      <c r="K2257" s="442" t="str">
        <f t="shared" si="1083"/>
        <v/>
      </c>
      <c r="L2257" s="736" t="s">
        <v>2443</v>
      </c>
      <c r="M2257" s="25" t="str">
        <f t="shared" si="1087"/>
        <v>R</v>
      </c>
      <c r="N2257" s="25" t="str">
        <f>IF(L2257&lt;&gt;"",VLOOKUP(L2257,Categories!$B$2:$D$41,2,FALSE),IF(F2257&lt;&gt;"","No Cat",""))</f>
        <v>Rate Base</v>
      </c>
      <c r="O2257" s="25" t="str">
        <f>IF($L2257&lt;&gt;"",VLOOKUP($L2257,Categories!$B$2:$D$41,3,FALSE),IF($F2257&lt;&gt;"","No Cat",""))</f>
        <v>Deferred Income Taxes</v>
      </c>
      <c r="P2257" s="736" t="s">
        <v>2482</v>
      </c>
      <c r="Q2257" s="25" t="str">
        <f>VLOOKUP($P2257,Allocators!$B$7:$F$19,5,FALSE)</f>
        <v>Electric</v>
      </c>
      <c r="R2257" s="737">
        <f>VLOOKUP($P2257,Allocators!$B$7:$F$19,2,FALSE)</f>
        <v>1</v>
      </c>
      <c r="S2257" s="737">
        <f>VLOOKUP($P2257,Allocators!$B$7:$F$19,3,FALSE)</f>
        <v>0</v>
      </c>
      <c r="T2257" s="737" t="str">
        <f t="shared" si="1082"/>
        <v>0.0%</v>
      </c>
      <c r="U2257" s="2" t="str">
        <f t="shared" si="1073"/>
        <v/>
      </c>
      <c r="V2257" s="2" t="str">
        <f t="shared" si="1074"/>
        <v/>
      </c>
      <c r="W2257" s="2" t="str">
        <f t="shared" si="1075"/>
        <v/>
      </c>
      <c r="X2257" s="2">
        <f t="shared" si="1071"/>
        <v>0</v>
      </c>
      <c r="Y2257" s="2" t="str">
        <f t="shared" si="1076"/>
        <v/>
      </c>
      <c r="Z2257" s="2" t="str">
        <f t="shared" si="1077"/>
        <v/>
      </c>
      <c r="AA2257" s="2" t="str">
        <f t="shared" si="1078"/>
        <v/>
      </c>
      <c r="AB2257" s="2">
        <f t="shared" si="1072"/>
        <v>0</v>
      </c>
      <c r="AC2257" s="625">
        <v>0</v>
      </c>
      <c r="AD2257" s="625">
        <v>0</v>
      </c>
      <c r="AE2257" s="625">
        <v>0</v>
      </c>
      <c r="AF2257" s="625">
        <v>0</v>
      </c>
      <c r="AG2257" s="625">
        <v>0</v>
      </c>
      <c r="AH2257" s="625">
        <v>0</v>
      </c>
      <c r="AI2257" s="625">
        <v>0</v>
      </c>
      <c r="AJ2257" s="625">
        <v>0</v>
      </c>
      <c r="AK2257" s="625">
        <v>0</v>
      </c>
      <c r="AL2257" s="625">
        <v>0</v>
      </c>
      <c r="AM2257" s="625">
        <v>0</v>
      </c>
      <c r="AN2257" s="625">
        <v>0</v>
      </c>
      <c r="AO2257" s="625">
        <v>0</v>
      </c>
      <c r="AP2257" s="41" t="str">
        <f t="shared" si="1084"/>
        <v>Def TaxR</v>
      </c>
      <c r="AQ2257" s="41" t="str">
        <f t="shared" si="1085"/>
        <v>Def TaxRR11Unit of Property - 481Adj</v>
      </c>
      <c r="AR2257" s="41" t="str">
        <f t="shared" si="1086"/>
        <v>R11Unit of Property - 481Adj</v>
      </c>
    </row>
    <row r="2258" spans="1:44" s="41" customFormat="1" ht="12.75" customHeight="1">
      <c r="A2258" s="25" t="s">
        <v>1590</v>
      </c>
      <c r="B2258" s="25" t="str">
        <f t="shared" si="1081"/>
        <v>Def Tax283400283-033</v>
      </c>
      <c r="C2258" s="736">
        <v>283400</v>
      </c>
      <c r="D2258" s="735" t="s">
        <v>2001</v>
      </c>
      <c r="F2258" s="41" t="str">
        <f t="shared" si="1079"/>
        <v>ACCUM DEF INC TAX-OTH-STATE-ELECTRIC</v>
      </c>
      <c r="G2258" s="41" t="s">
        <v>2003</v>
      </c>
      <c r="H2258" s="736" t="s">
        <v>2004</v>
      </c>
      <c r="I2258" s="25"/>
      <c r="J2258" s="25" t="str">
        <f t="shared" si="1080"/>
        <v/>
      </c>
      <c r="K2258" s="442" t="str">
        <f t="shared" si="1083"/>
        <v/>
      </c>
      <c r="L2258" s="736" t="s">
        <v>2443</v>
      </c>
      <c r="M2258" s="25" t="str">
        <f t="shared" si="1087"/>
        <v>R</v>
      </c>
      <c r="N2258" s="25" t="str">
        <f>IF(L2258&lt;&gt;"",VLOOKUP(L2258,Categories!$B$2:$D$41,2,FALSE),IF(F2258&lt;&gt;"","No Cat",""))</f>
        <v>Rate Base</v>
      </c>
      <c r="O2258" s="25" t="str">
        <f>IF($L2258&lt;&gt;"",VLOOKUP($L2258,Categories!$B$2:$D$41,3,FALSE),IF($F2258&lt;&gt;"","No Cat",""))</f>
        <v>Deferred Income Taxes</v>
      </c>
      <c r="P2258" s="736" t="s">
        <v>2482</v>
      </c>
      <c r="Q2258" s="25" t="str">
        <f>VLOOKUP($P2258,Allocators!$B$7:$F$19,5,FALSE)</f>
        <v>Electric</v>
      </c>
      <c r="R2258" s="737">
        <f>VLOOKUP($P2258,Allocators!$B$7:$F$19,2,FALSE)</f>
        <v>1</v>
      </c>
      <c r="S2258" s="737">
        <f>VLOOKUP($P2258,Allocators!$B$7:$F$19,3,FALSE)</f>
        <v>0</v>
      </c>
      <c r="T2258" s="737" t="str">
        <f t="shared" si="1082"/>
        <v>0.0%</v>
      </c>
      <c r="U2258" s="2" t="str">
        <f t="shared" si="1073"/>
        <v/>
      </c>
      <c r="V2258" s="2" t="str">
        <f t="shared" si="1074"/>
        <v/>
      </c>
      <c r="W2258" s="2" t="str">
        <f t="shared" si="1075"/>
        <v/>
      </c>
      <c r="X2258" s="2">
        <f t="shared" ref="X2258:X2321" si="1088">IF(ISERROR(ROUND((SUM(AC2258:AO2258)-((AC2258+AO2258))/2)/12,15)),"",ROUND((SUM(AC2258:AO2258)-((AC2258+AO2258))/2)/12,15))</f>
        <v>0</v>
      </c>
      <c r="Y2258" s="2" t="str">
        <f t="shared" si="1076"/>
        <v/>
      </c>
      <c r="Z2258" s="2" t="str">
        <f t="shared" si="1077"/>
        <v/>
      </c>
      <c r="AA2258" s="2" t="str">
        <f t="shared" si="1078"/>
        <v/>
      </c>
      <c r="AB2258" s="2">
        <f t="shared" ref="AB2258:AB2321" si="1089">IF(AO2258="",0,+AO2258)</f>
        <v>0</v>
      </c>
      <c r="AC2258" s="625">
        <v>0</v>
      </c>
      <c r="AD2258" s="625">
        <v>0</v>
      </c>
      <c r="AE2258" s="625">
        <v>0</v>
      </c>
      <c r="AF2258" s="625">
        <v>0</v>
      </c>
      <c r="AG2258" s="625">
        <v>0</v>
      </c>
      <c r="AH2258" s="625">
        <v>0</v>
      </c>
      <c r="AI2258" s="625">
        <v>0</v>
      </c>
      <c r="AJ2258" s="625">
        <v>0</v>
      </c>
      <c r="AK2258" s="625">
        <v>0</v>
      </c>
      <c r="AL2258" s="625">
        <v>0</v>
      </c>
      <c r="AM2258" s="625">
        <v>0</v>
      </c>
      <c r="AN2258" s="625">
        <v>0</v>
      </c>
      <c r="AO2258" s="625">
        <v>0</v>
      </c>
      <c r="AP2258" s="41" t="str">
        <f t="shared" si="1084"/>
        <v>Def TaxR</v>
      </c>
      <c r="AQ2258" s="41" t="str">
        <f t="shared" si="1085"/>
        <v>Def TaxRR11Uranium Enrichment D&amp;D</v>
      </c>
      <c r="AR2258" s="41" t="str">
        <f t="shared" si="1086"/>
        <v>R11Uranium Enrichment D&amp;D</v>
      </c>
    </row>
    <row r="2259" spans="1:44" s="41" customFormat="1" ht="12.75" customHeight="1">
      <c r="A2259" s="25" t="s">
        <v>1590</v>
      </c>
      <c r="B2259" s="25" t="str">
        <f t="shared" si="1081"/>
        <v>Def Tax283400BTMISCDT</v>
      </c>
      <c r="C2259" s="736">
        <v>283400</v>
      </c>
      <c r="D2259" s="735"/>
      <c r="E2259" s="41" t="s">
        <v>1971</v>
      </c>
      <c r="F2259" s="41" t="str">
        <f t="shared" si="1079"/>
        <v>ACCUM DEF INC TAX-OTH-STATE-ELECTRIC</v>
      </c>
      <c r="G2259" s="41" t="s">
        <v>4454</v>
      </c>
      <c r="H2259" s="736" t="s">
        <v>4455</v>
      </c>
      <c r="I2259" s="25"/>
      <c r="J2259" s="25" t="str">
        <f t="shared" si="1080"/>
        <v/>
      </c>
      <c r="K2259" s="442" t="str">
        <f t="shared" si="1083"/>
        <v/>
      </c>
      <c r="L2259" s="736" t="s">
        <v>2443</v>
      </c>
      <c r="M2259" s="25" t="str">
        <f t="shared" si="1087"/>
        <v>R</v>
      </c>
      <c r="N2259" s="25" t="str">
        <f>IF(L2259&lt;&gt;"",VLOOKUP(L2259,Categories!$B$2:$D$41,2,FALSE),IF(F2259&lt;&gt;"","No Cat",""))</f>
        <v>Rate Base</v>
      </c>
      <c r="O2259" s="25" t="str">
        <f>IF($L2259&lt;&gt;"",VLOOKUP($L2259,Categories!$B$2:$D$41,3,FALSE),IF($F2259&lt;&gt;"","No Cat",""))</f>
        <v>Deferred Income Taxes</v>
      </c>
      <c r="P2259" s="736" t="s">
        <v>2482</v>
      </c>
      <c r="Q2259" s="25" t="str">
        <f>VLOOKUP($P2259,Allocators!$B$7:$F$19,5,FALSE)</f>
        <v>Electric</v>
      </c>
      <c r="R2259" s="737">
        <f>VLOOKUP($P2259,Allocators!$B$7:$F$19,2,FALSE)</f>
        <v>1</v>
      </c>
      <c r="S2259" s="737">
        <f>VLOOKUP($P2259,Allocators!$B$7:$F$19,3,FALSE)</f>
        <v>0</v>
      </c>
      <c r="T2259" s="737" t="str">
        <f t="shared" si="1082"/>
        <v>0.0%</v>
      </c>
      <c r="U2259" s="2">
        <f t="shared" si="1073"/>
        <v>898.70833333333303</v>
      </c>
      <c r="V2259" s="2">
        <f t="shared" si="1074"/>
        <v>0</v>
      </c>
      <c r="W2259" s="2">
        <f t="shared" si="1075"/>
        <v>0</v>
      </c>
      <c r="X2259" s="2">
        <f t="shared" si="1088"/>
        <v>898.70833333333303</v>
      </c>
      <c r="Y2259" s="2">
        <f t="shared" si="1076"/>
        <v>1411</v>
      </c>
      <c r="Z2259" s="2">
        <f t="shared" si="1077"/>
        <v>0</v>
      </c>
      <c r="AA2259" s="2">
        <f t="shared" si="1078"/>
        <v>0</v>
      </c>
      <c r="AB2259" s="2">
        <f t="shared" si="1089"/>
        <v>1411</v>
      </c>
      <c r="AC2259" s="625">
        <v>0</v>
      </c>
      <c r="AD2259" s="625">
        <v>0</v>
      </c>
      <c r="AE2259" s="625">
        <v>0</v>
      </c>
      <c r="AF2259" s="625">
        <v>0</v>
      </c>
      <c r="AG2259" s="625">
        <v>0</v>
      </c>
      <c r="AH2259" s="625">
        <v>0</v>
      </c>
      <c r="AI2259" s="625">
        <v>0</v>
      </c>
      <c r="AJ2259" s="625">
        <v>2167</v>
      </c>
      <c r="AK2259" s="625">
        <v>2167</v>
      </c>
      <c r="AL2259" s="625">
        <v>2167</v>
      </c>
      <c r="AM2259" s="625">
        <v>2167</v>
      </c>
      <c r="AN2259" s="625">
        <v>1411</v>
      </c>
      <c r="AO2259" s="625">
        <v>1411</v>
      </c>
      <c r="AP2259" s="41" t="str">
        <f t="shared" si="1084"/>
        <v>Def TaxR</v>
      </c>
      <c r="AQ2259" s="41" t="str">
        <f t="shared" si="1085"/>
        <v>Def TaxRR11Excess DIT - New York State Tax Rate change</v>
      </c>
      <c r="AR2259" s="41" t="str">
        <f t="shared" si="1086"/>
        <v>R11Excess DIT - New York State Tax Rate change</v>
      </c>
    </row>
    <row r="2260" spans="1:44" s="41" customFormat="1" ht="12.75" customHeight="1">
      <c r="A2260" s="25" t="s">
        <v>1590</v>
      </c>
      <c r="B2260" s="25" t="str">
        <f t="shared" ref="B2260" si="1090">CONCATENATE(A2260,C2260,D2260,E2260)</f>
        <v>Def Tax283400</v>
      </c>
      <c r="C2260" s="736">
        <v>283400</v>
      </c>
      <c r="D2260" s="735"/>
      <c r="F2260" s="41" t="str">
        <f t="shared" si="1079"/>
        <v>ACCUM DEF INC TAX-OTH-STATE-ELECTRIC</v>
      </c>
      <c r="G2260" s="41" t="s">
        <v>1313</v>
      </c>
      <c r="H2260" s="736" t="s">
        <v>1313</v>
      </c>
      <c r="I2260" s="25"/>
      <c r="J2260" s="25" t="str">
        <f t="shared" si="1080"/>
        <v/>
      </c>
      <c r="K2260" s="442" t="str">
        <f t="shared" si="1083"/>
        <v/>
      </c>
      <c r="L2260" s="736" t="s">
        <v>2443</v>
      </c>
      <c r="M2260" s="25" t="str">
        <f t="shared" si="1087"/>
        <v>R</v>
      </c>
      <c r="N2260" s="25" t="str">
        <f>IF(L2260&lt;&gt;"",VLOOKUP(L2260,Categories!$B$2:$D$41,2,FALSE),IF(F2260&lt;&gt;"","No Cat",""))</f>
        <v>Rate Base</v>
      </c>
      <c r="O2260" s="25" t="str">
        <f>IF($L2260&lt;&gt;"",VLOOKUP($L2260,Categories!$B$2:$D$41,3,FALSE),IF($F2260&lt;&gt;"","No Cat",""))</f>
        <v>Deferred Income Taxes</v>
      </c>
      <c r="P2260" s="736" t="s">
        <v>2482</v>
      </c>
      <c r="Q2260" s="25" t="str">
        <f>VLOOKUP($P2260,Allocators!$B$7:$F$19,5,FALSE)</f>
        <v>Electric</v>
      </c>
      <c r="R2260" s="737">
        <f>VLOOKUP($P2260,Allocators!$B$7:$F$19,2,FALSE)</f>
        <v>1</v>
      </c>
      <c r="S2260" s="737">
        <f>VLOOKUP($P2260,Allocators!$B$7:$F$19,3,FALSE)</f>
        <v>0</v>
      </c>
      <c r="T2260" s="737" t="str">
        <f t="shared" ref="T2260" si="1091">IF(P2260="N",1,"0.0%")</f>
        <v>0.0%</v>
      </c>
      <c r="U2260" s="2">
        <f t="shared" si="1073"/>
        <v>-95.347999999999999</v>
      </c>
      <c r="V2260" s="2">
        <f t="shared" si="1074"/>
        <v>0</v>
      </c>
      <c r="W2260" s="2">
        <f t="shared" si="1075"/>
        <v>0</v>
      </c>
      <c r="X2260" s="2">
        <f t="shared" si="1088"/>
        <v>-95.347999999999999</v>
      </c>
      <c r="Y2260" s="2">
        <f t="shared" si="1076"/>
        <v>-95.347999999999999</v>
      </c>
      <c r="Z2260" s="2">
        <f t="shared" si="1077"/>
        <v>0</v>
      </c>
      <c r="AA2260" s="2">
        <f t="shared" si="1078"/>
        <v>0</v>
      </c>
      <c r="AB2260" s="2">
        <f t="shared" si="1089"/>
        <v>-95.347999999999999</v>
      </c>
      <c r="AC2260" s="625">
        <v>-95.347999999999999</v>
      </c>
      <c r="AD2260" s="625">
        <v>-95.347999999999999</v>
      </c>
      <c r="AE2260" s="625">
        <v>-95.347999999999999</v>
      </c>
      <c r="AF2260" s="625">
        <v>-95.347999999999999</v>
      </c>
      <c r="AG2260" s="625">
        <v>-95.347999999999999</v>
      </c>
      <c r="AH2260" s="625">
        <v>-95.347999999999999</v>
      </c>
      <c r="AI2260" s="625">
        <v>-95.347999999999999</v>
      </c>
      <c r="AJ2260" s="625">
        <v>-95.347999999999999</v>
      </c>
      <c r="AK2260" s="625">
        <v>-95.347999999999999</v>
      </c>
      <c r="AL2260" s="625">
        <v>-95.347999999999999</v>
      </c>
      <c r="AM2260" s="625">
        <v>-95.347999999999999</v>
      </c>
      <c r="AN2260" s="625">
        <v>-95.347999999999999</v>
      </c>
      <c r="AO2260" s="625">
        <v>-95.347999999999999</v>
      </c>
      <c r="AP2260" s="41" t="str">
        <f t="shared" si="1084"/>
        <v>Def TaxR</v>
      </c>
      <c r="AQ2260" s="41" t="str">
        <f t="shared" si="1085"/>
        <v>Def TaxRR11IMLR</v>
      </c>
      <c r="AR2260" s="41" t="str">
        <f t="shared" si="1086"/>
        <v>R11IMLR</v>
      </c>
    </row>
    <row r="2261" spans="1:44" s="41" customFormat="1" ht="12.75" customHeight="1">
      <c r="A2261" s="25" t="s">
        <v>1590</v>
      </c>
      <c r="B2261" s="25" t="str">
        <f t="shared" ref="B2261" si="1092">CONCATENATE(A2261,C2261,D2261,E2261)</f>
        <v>Def Tax283400BTMISCDT</v>
      </c>
      <c r="C2261" s="736">
        <v>283400</v>
      </c>
      <c r="D2261" s="735"/>
      <c r="E2261" s="41" t="s">
        <v>1971</v>
      </c>
      <c r="F2261" s="41" t="str">
        <f t="shared" si="1079"/>
        <v>ACCUM DEF INC TAX-OTH-STATE-ELECTRIC</v>
      </c>
      <c r="G2261" s="41" t="s">
        <v>4454</v>
      </c>
      <c r="H2261" s="736"/>
      <c r="I2261" s="25"/>
      <c r="J2261" s="25"/>
      <c r="K2261" s="442"/>
      <c r="L2261" s="736"/>
      <c r="M2261" s="25"/>
      <c r="N2261" s="25"/>
      <c r="O2261" s="25"/>
      <c r="P2261" s="736"/>
      <c r="Q2261" s="25"/>
      <c r="R2261" s="737"/>
      <c r="S2261" s="737"/>
      <c r="T2261" s="737"/>
      <c r="U2261" s="2" t="str">
        <f t="shared" si="1073"/>
        <v/>
      </c>
      <c r="V2261" s="2" t="str">
        <f t="shared" si="1074"/>
        <v/>
      </c>
      <c r="W2261" s="2" t="str">
        <f t="shared" si="1075"/>
        <v/>
      </c>
      <c r="X2261" s="2">
        <f t="shared" si="1088"/>
        <v>0</v>
      </c>
      <c r="Y2261" s="2" t="str">
        <f t="shared" si="1076"/>
        <v/>
      </c>
      <c r="Z2261" s="2" t="str">
        <f t="shared" si="1077"/>
        <v/>
      </c>
      <c r="AA2261" s="2" t="str">
        <f t="shared" si="1078"/>
        <v/>
      </c>
      <c r="AB2261" s="2">
        <f t="shared" si="1089"/>
        <v>0</v>
      </c>
      <c r="AC2261" s="625"/>
      <c r="AD2261" s="625"/>
      <c r="AE2261" s="625"/>
      <c r="AF2261" s="625"/>
      <c r="AG2261" s="625"/>
      <c r="AH2261" s="625"/>
      <c r="AI2261" s="625"/>
      <c r="AJ2261" s="625">
        <v>0</v>
      </c>
      <c r="AK2261" s="625">
        <v>0</v>
      </c>
      <c r="AL2261" s="625">
        <v>0</v>
      </c>
      <c r="AM2261" s="625">
        <v>0</v>
      </c>
      <c r="AN2261" s="625">
        <v>0</v>
      </c>
      <c r="AO2261" s="625">
        <v>0</v>
      </c>
      <c r="AP2261" s="41" t="str">
        <f t="shared" si="1084"/>
        <v>Def Tax</v>
      </c>
      <c r="AQ2261" s="41" t="str">
        <f t="shared" si="1085"/>
        <v>Def Tax</v>
      </c>
      <c r="AR2261" s="41" t="str">
        <f t="shared" si="1086"/>
        <v/>
      </c>
    </row>
    <row r="2262" spans="1:44" s="41" customFormat="1" ht="12.75" customHeight="1">
      <c r="A2262" s="442" t="s">
        <v>1590</v>
      </c>
      <c r="B2262" s="442" t="str">
        <f t="shared" si="1081"/>
        <v>Def Tax283400283-084</v>
      </c>
      <c r="C2262" s="736">
        <v>283400</v>
      </c>
      <c r="D2262" s="735" t="s">
        <v>2250</v>
      </c>
      <c r="E2262" s="626"/>
      <c r="F2262" s="626" t="str">
        <f t="shared" si="1079"/>
        <v>ACCUM DEF INC TAX-OTH-STATE-ELECTRIC</v>
      </c>
      <c r="G2262" s="626" t="s">
        <v>2251</v>
      </c>
      <c r="H2262" s="736">
        <v>0</v>
      </c>
      <c r="I2262" s="442"/>
      <c r="J2262" s="442" t="str">
        <f t="shared" si="1080"/>
        <v/>
      </c>
      <c r="K2262" s="442" t="str">
        <f t="shared" si="1083"/>
        <v/>
      </c>
      <c r="L2262" s="736" t="s">
        <v>2421</v>
      </c>
      <c r="M2262" s="442" t="str">
        <f t="shared" si="1087"/>
        <v>N</v>
      </c>
      <c r="N2262" s="442" t="str">
        <f>IF(L2262&lt;&gt;"",VLOOKUP(L2262,Categories!$B$2:$D$41,2,FALSE),IF(F2262&lt;&gt;"","No Cat",""))</f>
        <v>NRBASE</v>
      </c>
      <c r="O2262" s="442" t="str">
        <f>IF($L2262&lt;&gt;"",VLOOKUP($L2262,Categories!$B$2:$D$41,3,FALSE),IF($F2262&lt;&gt;"","No Cat",""))</f>
        <v>Direct Assign Items Not in RB</v>
      </c>
      <c r="P2262" s="736" t="s">
        <v>2468</v>
      </c>
      <c r="Q2262" s="442" t="str">
        <f>VLOOKUP($P2262,Allocators!$B$7:$F$19,5,FALSE)</f>
        <v>Not in Rate Base</v>
      </c>
      <c r="R2262" s="737">
        <f>VLOOKUP($P2262,Allocators!$B$7:$F$19,2,FALSE)</f>
        <v>0</v>
      </c>
      <c r="S2262" s="737">
        <f>VLOOKUP($P2262,Allocators!$B$7:$F$19,3,FALSE)</f>
        <v>0</v>
      </c>
      <c r="T2262" s="737">
        <f t="shared" si="1082"/>
        <v>1</v>
      </c>
      <c r="U2262" s="2" t="str">
        <f t="shared" si="1073"/>
        <v/>
      </c>
      <c r="V2262" s="2" t="str">
        <f t="shared" si="1074"/>
        <v/>
      </c>
      <c r="W2262" s="2" t="str">
        <f t="shared" si="1075"/>
        <v/>
      </c>
      <c r="X2262" s="2">
        <f t="shared" si="1088"/>
        <v>0</v>
      </c>
      <c r="Y2262" s="2" t="str">
        <f t="shared" si="1076"/>
        <v/>
      </c>
      <c r="Z2262" s="2" t="str">
        <f t="shared" si="1077"/>
        <v/>
      </c>
      <c r="AA2262" s="2" t="str">
        <f t="shared" si="1078"/>
        <v/>
      </c>
      <c r="AB2262" s="2">
        <f t="shared" si="1089"/>
        <v>0</v>
      </c>
      <c r="AC2262" s="625">
        <v>0</v>
      </c>
      <c r="AD2262" s="625">
        <v>0</v>
      </c>
      <c r="AE2262" s="625">
        <v>0</v>
      </c>
      <c r="AF2262" s="625">
        <v>0</v>
      </c>
      <c r="AG2262" s="625">
        <v>0</v>
      </c>
      <c r="AH2262" s="625">
        <v>0</v>
      </c>
      <c r="AI2262" s="625">
        <v>0</v>
      </c>
      <c r="AJ2262" s="625">
        <v>0</v>
      </c>
      <c r="AK2262" s="625">
        <v>0</v>
      </c>
      <c r="AL2262" s="625">
        <v>0</v>
      </c>
      <c r="AM2262" s="625">
        <v>0</v>
      </c>
      <c r="AN2262" s="625">
        <v>0</v>
      </c>
      <c r="AO2262" s="625">
        <v>0</v>
      </c>
      <c r="AP2262" s="41" t="str">
        <f t="shared" si="1084"/>
        <v>Def TaxN</v>
      </c>
      <c r="AQ2262" s="41" t="str">
        <f t="shared" si="1085"/>
        <v>Def TaxNN20</v>
      </c>
      <c r="AR2262" s="41" t="str">
        <f t="shared" si="1086"/>
        <v>N20</v>
      </c>
    </row>
    <row r="2263" spans="1:44" s="41" customFormat="1" ht="12.75" customHeight="1">
      <c r="A2263" s="25" t="s">
        <v>1590</v>
      </c>
      <c r="B2263" s="25" t="str">
        <f t="shared" si="1081"/>
        <v>Def Tax283410283-048/
283-043BT010229</v>
      </c>
      <c r="C2263" s="736">
        <v>283410</v>
      </c>
      <c r="D2263" s="735" t="s">
        <v>2286</v>
      </c>
      <c r="E2263" s="41" t="s">
        <v>2063</v>
      </c>
      <c r="F2263" s="41" t="str">
        <f t="shared" si="1079"/>
        <v>ACCUM DEF INC TAX-OTH-STATE-GAS</v>
      </c>
      <c r="G2263" s="41" t="s">
        <v>2287</v>
      </c>
      <c r="H2263" s="736">
        <v>0</v>
      </c>
      <c r="I2263" s="25"/>
      <c r="J2263" s="25" t="str">
        <f t="shared" si="1080"/>
        <v/>
      </c>
      <c r="K2263" s="442" t="str">
        <f t="shared" si="1083"/>
        <v/>
      </c>
      <c r="L2263" s="736" t="s">
        <v>2443</v>
      </c>
      <c r="M2263" s="25" t="str">
        <f t="shared" si="1087"/>
        <v>R</v>
      </c>
      <c r="N2263" s="25" t="str">
        <f>IF(L2263&lt;&gt;"",VLOOKUP(L2263,Categories!$B$2:$D$41,2,FALSE),IF(F2263&lt;&gt;"","No Cat",""))</f>
        <v>Rate Base</v>
      </c>
      <c r="O2263" s="25" t="str">
        <f>IF($L2263&lt;&gt;"",VLOOKUP($L2263,Categories!$B$2:$D$41,3,FALSE),IF($F2263&lt;&gt;"","No Cat",""))</f>
        <v>Deferred Income Taxes</v>
      </c>
      <c r="P2263" s="736" t="s">
        <v>2483</v>
      </c>
      <c r="Q2263" s="25" t="str">
        <f>VLOOKUP($P2263,Allocators!$B$7:$F$19,5,FALSE)</f>
        <v>Gas</v>
      </c>
      <c r="R2263" s="737">
        <f>VLOOKUP($P2263,Allocators!$B$7:$F$19,2,FALSE)</f>
        <v>0</v>
      </c>
      <c r="S2263" s="737">
        <f>VLOOKUP($P2263,Allocators!$B$7:$F$19,3,FALSE)</f>
        <v>1</v>
      </c>
      <c r="T2263" s="737" t="str">
        <f t="shared" si="1082"/>
        <v>0.0%</v>
      </c>
      <c r="U2263" s="2" t="str">
        <f t="shared" si="1073"/>
        <v/>
      </c>
      <c r="V2263" s="2" t="str">
        <f t="shared" si="1074"/>
        <v/>
      </c>
      <c r="W2263" s="2" t="str">
        <f t="shared" si="1075"/>
        <v/>
      </c>
      <c r="X2263" s="2">
        <f t="shared" si="1088"/>
        <v>0</v>
      </c>
      <c r="Y2263" s="2" t="str">
        <f t="shared" si="1076"/>
        <v/>
      </c>
      <c r="Z2263" s="2" t="str">
        <f t="shared" si="1077"/>
        <v/>
      </c>
      <c r="AA2263" s="2" t="str">
        <f t="shared" si="1078"/>
        <v/>
      </c>
      <c r="AB2263" s="2">
        <f t="shared" si="1089"/>
        <v>0</v>
      </c>
      <c r="AC2263" s="625">
        <v>0</v>
      </c>
      <c r="AD2263" s="625">
        <v>0</v>
      </c>
      <c r="AE2263" s="625">
        <v>0</v>
      </c>
      <c r="AF2263" s="625">
        <v>0</v>
      </c>
      <c r="AG2263" s="625">
        <v>0</v>
      </c>
      <c r="AH2263" s="625">
        <v>0</v>
      </c>
      <c r="AI2263" s="625">
        <v>0</v>
      </c>
      <c r="AJ2263" s="625">
        <v>0</v>
      </c>
      <c r="AK2263" s="625">
        <v>0</v>
      </c>
      <c r="AL2263" s="625">
        <v>0</v>
      </c>
      <c r="AM2263" s="625">
        <v>0</v>
      </c>
      <c r="AN2263" s="625">
        <v>0</v>
      </c>
      <c r="AO2263" s="625">
        <v>0</v>
      </c>
      <c r="AP2263" s="41" t="str">
        <f t="shared" si="1084"/>
        <v>Def TaxR</v>
      </c>
      <c r="AQ2263" s="41" t="str">
        <f t="shared" si="1085"/>
        <v>Def TaxRR110</v>
      </c>
      <c r="AR2263" s="41" t="str">
        <f t="shared" si="1086"/>
        <v>R110</v>
      </c>
    </row>
    <row r="2264" spans="1:44" s="41" customFormat="1" ht="12.75" customHeight="1">
      <c r="A2264" s="25" t="s">
        <v>1590</v>
      </c>
      <c r="B2264" s="25" t="str">
        <f t="shared" si="1081"/>
        <v>Def Tax283410AMT CREDIT</v>
      </c>
      <c r="C2264" s="736">
        <v>283410</v>
      </c>
      <c r="D2264" s="735" t="s">
        <v>2288</v>
      </c>
      <c r="F2264" s="41" t="str">
        <f t="shared" si="1079"/>
        <v>ACCUM DEF INC TAX-OTH-STATE-GAS</v>
      </c>
      <c r="G2264" s="41" t="s">
        <v>2288</v>
      </c>
      <c r="H2264" s="736">
        <v>0</v>
      </c>
      <c r="I2264" s="25"/>
      <c r="J2264" s="25" t="str">
        <f t="shared" si="1080"/>
        <v/>
      </c>
      <c r="K2264" s="442" t="str">
        <f t="shared" si="1083"/>
        <v/>
      </c>
      <c r="L2264" s="736" t="s">
        <v>2443</v>
      </c>
      <c r="M2264" s="25" t="str">
        <f t="shared" si="1087"/>
        <v>R</v>
      </c>
      <c r="N2264" s="25" t="str">
        <f>IF(L2264&lt;&gt;"",VLOOKUP(L2264,Categories!$B$2:$D$41,2,FALSE),IF(F2264&lt;&gt;"","No Cat",""))</f>
        <v>Rate Base</v>
      </c>
      <c r="O2264" s="25" t="str">
        <f>IF($L2264&lt;&gt;"",VLOOKUP($L2264,Categories!$B$2:$D$41,3,FALSE),IF($F2264&lt;&gt;"","No Cat",""))</f>
        <v>Deferred Income Taxes</v>
      </c>
      <c r="P2264" s="736" t="s">
        <v>2483</v>
      </c>
      <c r="Q2264" s="25" t="str">
        <f>VLOOKUP($P2264,Allocators!$B$7:$F$19,5,FALSE)</f>
        <v>Gas</v>
      </c>
      <c r="R2264" s="737">
        <f>VLOOKUP($P2264,Allocators!$B$7:$F$19,2,FALSE)</f>
        <v>0</v>
      </c>
      <c r="S2264" s="737">
        <f>VLOOKUP($P2264,Allocators!$B$7:$F$19,3,FALSE)</f>
        <v>1</v>
      </c>
      <c r="T2264" s="737" t="str">
        <f t="shared" si="1082"/>
        <v>0.0%</v>
      </c>
      <c r="U2264" s="2" t="str">
        <f t="shared" si="1073"/>
        <v/>
      </c>
      <c r="V2264" s="2" t="str">
        <f t="shared" si="1074"/>
        <v/>
      </c>
      <c r="W2264" s="2" t="str">
        <f t="shared" si="1075"/>
        <v/>
      </c>
      <c r="X2264" s="2">
        <f t="shared" si="1088"/>
        <v>0</v>
      </c>
      <c r="Y2264" s="2" t="str">
        <f t="shared" si="1076"/>
        <v/>
      </c>
      <c r="Z2264" s="2" t="str">
        <f t="shared" si="1077"/>
        <v/>
      </c>
      <c r="AA2264" s="2" t="str">
        <f t="shared" si="1078"/>
        <v/>
      </c>
      <c r="AB2264" s="2">
        <f t="shared" si="1089"/>
        <v>0</v>
      </c>
      <c r="AC2264" s="625">
        <v>0</v>
      </c>
      <c r="AD2264" s="625">
        <v>0</v>
      </c>
      <c r="AE2264" s="625">
        <v>0</v>
      </c>
      <c r="AF2264" s="625">
        <v>0</v>
      </c>
      <c r="AG2264" s="625">
        <v>0</v>
      </c>
      <c r="AH2264" s="625">
        <v>0</v>
      </c>
      <c r="AI2264" s="625">
        <v>0</v>
      </c>
      <c r="AJ2264" s="625">
        <v>0</v>
      </c>
      <c r="AK2264" s="625">
        <v>0</v>
      </c>
      <c r="AL2264" s="625">
        <v>0</v>
      </c>
      <c r="AM2264" s="625">
        <v>0</v>
      </c>
      <c r="AN2264" s="625">
        <v>0</v>
      </c>
      <c r="AO2264" s="625">
        <v>0</v>
      </c>
      <c r="AP2264" s="41" t="str">
        <f t="shared" si="1084"/>
        <v>Def TaxR</v>
      </c>
      <c r="AQ2264" s="41" t="str">
        <f t="shared" si="1085"/>
        <v>Def TaxRR110</v>
      </c>
      <c r="AR2264" s="41" t="str">
        <f t="shared" si="1086"/>
        <v>R110</v>
      </c>
    </row>
    <row r="2265" spans="1:44" s="41" customFormat="1" ht="12.75" customHeight="1">
      <c r="A2265" s="25" t="s">
        <v>1590</v>
      </c>
      <c r="B2265" s="25" t="str">
        <f t="shared" si="1081"/>
        <v>Def Tax283410283-020</v>
      </c>
      <c r="C2265" s="736">
        <v>283410</v>
      </c>
      <c r="D2265" s="735" t="s">
        <v>1826</v>
      </c>
      <c r="F2265" s="41" t="str">
        <f t="shared" si="1079"/>
        <v>ACCUM DEF INC TAX-OTH-STATE-GAS</v>
      </c>
      <c r="G2265" s="41" t="s">
        <v>1828</v>
      </c>
      <c r="H2265" s="736" t="s">
        <v>1829</v>
      </c>
      <c r="I2265" s="25"/>
      <c r="J2265" s="25" t="str">
        <f t="shared" si="1080"/>
        <v/>
      </c>
      <c r="K2265" s="442" t="str">
        <f t="shared" si="1083"/>
        <v/>
      </c>
      <c r="L2265" s="736" t="s">
        <v>2443</v>
      </c>
      <c r="M2265" s="25" t="str">
        <f t="shared" si="1087"/>
        <v>R</v>
      </c>
      <c r="N2265" s="25" t="str">
        <f>IF(L2265&lt;&gt;"",VLOOKUP(L2265,Categories!$B$2:$D$41,2,FALSE),IF(F2265&lt;&gt;"","No Cat",""))</f>
        <v>Rate Base</v>
      </c>
      <c r="O2265" s="25" t="str">
        <f>IF($L2265&lt;&gt;"",VLOOKUP($L2265,Categories!$B$2:$D$41,3,FALSE),IF($F2265&lt;&gt;"","No Cat",""))</f>
        <v>Deferred Income Taxes</v>
      </c>
      <c r="P2265" s="736" t="s">
        <v>2483</v>
      </c>
      <c r="Q2265" s="25" t="str">
        <f>VLOOKUP($P2265,Allocators!$B$7:$F$19,5,FALSE)</f>
        <v>Gas</v>
      </c>
      <c r="R2265" s="737">
        <f>VLOOKUP($P2265,Allocators!$B$7:$F$19,2,FALSE)</f>
        <v>0</v>
      </c>
      <c r="S2265" s="737">
        <f>VLOOKUP($P2265,Allocators!$B$7:$F$19,3,FALSE)</f>
        <v>1</v>
      </c>
      <c r="T2265" s="737" t="str">
        <f t="shared" si="1082"/>
        <v>0.0%</v>
      </c>
      <c r="U2265" s="2" t="str">
        <f t="shared" si="1073"/>
        <v/>
      </c>
      <c r="V2265" s="2" t="str">
        <f t="shared" si="1074"/>
        <v/>
      </c>
      <c r="W2265" s="2" t="str">
        <f t="shared" si="1075"/>
        <v/>
      </c>
      <c r="X2265" s="2">
        <f t="shared" si="1088"/>
        <v>0</v>
      </c>
      <c r="Y2265" s="2" t="str">
        <f t="shared" si="1076"/>
        <v/>
      </c>
      <c r="Z2265" s="2" t="str">
        <f t="shared" si="1077"/>
        <v/>
      </c>
      <c r="AA2265" s="2" t="str">
        <f t="shared" si="1078"/>
        <v/>
      </c>
      <c r="AB2265" s="2">
        <f t="shared" si="1089"/>
        <v>0</v>
      </c>
      <c r="AC2265" s="625">
        <v>0</v>
      </c>
      <c r="AD2265" s="625">
        <v>0</v>
      </c>
      <c r="AE2265" s="625">
        <v>0</v>
      </c>
      <c r="AF2265" s="625">
        <v>0</v>
      </c>
      <c r="AG2265" s="625">
        <v>0</v>
      </c>
      <c r="AH2265" s="625">
        <v>0</v>
      </c>
      <c r="AI2265" s="625">
        <v>0</v>
      </c>
      <c r="AJ2265" s="625">
        <v>0</v>
      </c>
      <c r="AK2265" s="625">
        <v>0</v>
      </c>
      <c r="AL2265" s="625">
        <v>0</v>
      </c>
      <c r="AM2265" s="625">
        <v>0</v>
      </c>
      <c r="AN2265" s="625">
        <v>0</v>
      </c>
      <c r="AO2265" s="625">
        <v>0</v>
      </c>
      <c r="AP2265" s="41" t="str">
        <f t="shared" si="1084"/>
        <v>Def TaxR</v>
      </c>
      <c r="AQ2265" s="41" t="str">
        <f t="shared" si="1085"/>
        <v>Def TaxRR11Bad Debts</v>
      </c>
      <c r="AR2265" s="41" t="str">
        <f t="shared" si="1086"/>
        <v>R11Bad Debts</v>
      </c>
    </row>
    <row r="2266" spans="1:44" s="41" customFormat="1" ht="12.75" customHeight="1">
      <c r="A2266" s="25" t="s">
        <v>1590</v>
      </c>
      <c r="B2266" s="25" t="str">
        <f t="shared" si="1081"/>
        <v>Def Tax283410283-048</v>
      </c>
      <c r="C2266" s="736">
        <v>283410</v>
      </c>
      <c r="D2266" s="735" t="s">
        <v>2135</v>
      </c>
      <c r="F2266" s="41" t="str">
        <f t="shared" si="1079"/>
        <v>ACCUM DEF INC TAX-OTH-STATE-GAS</v>
      </c>
      <c r="G2266" s="41" t="s">
        <v>2136</v>
      </c>
      <c r="H2266" s="736">
        <v>0</v>
      </c>
      <c r="I2266" s="25"/>
      <c r="J2266" s="25" t="str">
        <f t="shared" si="1080"/>
        <v/>
      </c>
      <c r="K2266" s="442" t="str">
        <f t="shared" si="1083"/>
        <v/>
      </c>
      <c r="L2266" s="736" t="s">
        <v>2443</v>
      </c>
      <c r="M2266" s="25" t="str">
        <f t="shared" si="1087"/>
        <v>R</v>
      </c>
      <c r="N2266" s="25" t="str">
        <f>IF(L2266&lt;&gt;"",VLOOKUP(L2266,Categories!$B$2:$D$41,2,FALSE),IF(F2266&lt;&gt;"","No Cat",""))</f>
        <v>Rate Base</v>
      </c>
      <c r="O2266" s="25" t="str">
        <f>IF($L2266&lt;&gt;"",VLOOKUP($L2266,Categories!$B$2:$D$41,3,FALSE),IF($F2266&lt;&gt;"","No Cat",""))</f>
        <v>Deferred Income Taxes</v>
      </c>
      <c r="P2266" s="736" t="s">
        <v>2483</v>
      </c>
      <c r="Q2266" s="25" t="str">
        <f>VLOOKUP($P2266,Allocators!$B$7:$F$19,5,FALSE)</f>
        <v>Gas</v>
      </c>
      <c r="R2266" s="737">
        <f>VLOOKUP($P2266,Allocators!$B$7:$F$19,2,FALSE)</f>
        <v>0</v>
      </c>
      <c r="S2266" s="737">
        <f>VLOOKUP($P2266,Allocators!$B$7:$F$19,3,FALSE)</f>
        <v>1</v>
      </c>
      <c r="T2266" s="737" t="str">
        <f t="shared" si="1082"/>
        <v>0.0%</v>
      </c>
      <c r="U2266" s="2" t="str">
        <f t="shared" ref="U2266:U2329" si="1093">IF(ABS(X2266)=0,"",IF($R2266="NO ALLOC","NO ALLOC",ROUND($R2266*X2266,15)))</f>
        <v/>
      </c>
      <c r="V2266" s="2" t="str">
        <f t="shared" ref="V2266:V2329" si="1094">IF(ABS(X2266)=0,"",IF($S2266="NO ALLOC","NO ALLOC",ROUND($S2266*X2266,15)))</f>
        <v/>
      </c>
      <c r="W2266" s="2" t="str">
        <f t="shared" ref="W2266:W2329" si="1095">IF(ABS(X2266)=0,"",IF($T2266="NO ALLOC","NO ALLOC",ROUND($T2266*X2266,15)))</f>
        <v/>
      </c>
      <c r="X2266" s="2">
        <f t="shared" si="1088"/>
        <v>0</v>
      </c>
      <c r="Y2266" s="2" t="str">
        <f t="shared" ref="Y2266:Y2329" si="1096">IF(ABS(AB2266)=0,"",IF($R2266="NO ALLOC","NO ALLOC",ROUND($R2266*AB2266,15)))</f>
        <v/>
      </c>
      <c r="Z2266" s="2" t="str">
        <f t="shared" ref="Z2266:Z2329" si="1097">IF(ABS(AB2266)=0,"",IF($S2266="NO ALLOC","NO ALLOC",ROUND($S2266*AB2266,15)))</f>
        <v/>
      </c>
      <c r="AA2266" s="2" t="str">
        <f t="shared" ref="AA2266:AA2329" si="1098">IF(ABS(AB2266)=0,"",IF($T2266="NO ALLOC","NO ALLOC",ROUND($T2266*AB2266,15)))</f>
        <v/>
      </c>
      <c r="AB2266" s="2">
        <f t="shared" si="1089"/>
        <v>0</v>
      </c>
      <c r="AC2266" s="625">
        <v>0</v>
      </c>
      <c r="AD2266" s="625">
        <v>0</v>
      </c>
      <c r="AE2266" s="625">
        <v>0</v>
      </c>
      <c r="AF2266" s="625">
        <v>0</v>
      </c>
      <c r="AG2266" s="625">
        <v>0</v>
      </c>
      <c r="AH2266" s="625">
        <v>0</v>
      </c>
      <c r="AI2266" s="625">
        <v>0</v>
      </c>
      <c r="AJ2266" s="625">
        <v>0</v>
      </c>
      <c r="AK2266" s="625">
        <v>0</v>
      </c>
      <c r="AL2266" s="625">
        <v>0</v>
      </c>
      <c r="AM2266" s="625">
        <v>0</v>
      </c>
      <c r="AN2266" s="625">
        <v>0</v>
      </c>
      <c r="AO2266" s="625">
        <v>0</v>
      </c>
      <c r="AP2266" s="41" t="str">
        <f t="shared" si="1084"/>
        <v>Def TaxR</v>
      </c>
      <c r="AQ2266" s="41" t="str">
        <f t="shared" si="1085"/>
        <v>Def TaxRR110</v>
      </c>
      <c r="AR2266" s="41" t="str">
        <f t="shared" si="1086"/>
        <v>R110</v>
      </c>
    </row>
    <row r="2267" spans="1:44" s="41" customFormat="1" ht="12.75" customHeight="1">
      <c r="A2267" s="25" t="s">
        <v>1590</v>
      </c>
      <c r="B2267" s="25" t="str">
        <f t="shared" si="1081"/>
        <v>Def Tax283410283-070BT010225/
BT010036</v>
      </c>
      <c r="C2267" s="736">
        <v>283410</v>
      </c>
      <c r="D2267" s="735" t="s">
        <v>2144</v>
      </c>
      <c r="E2267" s="41" t="s">
        <v>2145</v>
      </c>
      <c r="F2267" s="41" t="str">
        <f t="shared" si="1079"/>
        <v>ACCUM DEF INC TAX-OTH-STATE-GAS</v>
      </c>
      <c r="G2267" s="41" t="s">
        <v>1628</v>
      </c>
      <c r="H2267" s="736" t="s">
        <v>1629</v>
      </c>
      <c r="I2267" s="25"/>
      <c r="J2267" s="25" t="str">
        <f t="shared" si="1080"/>
        <v/>
      </c>
      <c r="K2267" s="442" t="str">
        <f t="shared" si="1083"/>
        <v/>
      </c>
      <c r="L2267" s="736" t="s">
        <v>2443</v>
      </c>
      <c r="M2267" s="25" t="str">
        <f t="shared" si="1087"/>
        <v>R</v>
      </c>
      <c r="N2267" s="25" t="str">
        <f>IF(L2267&lt;&gt;"",VLOOKUP(L2267,Categories!$B$2:$D$41,2,FALSE),IF(F2267&lt;&gt;"","No Cat",""))</f>
        <v>Rate Base</v>
      </c>
      <c r="O2267" s="25" t="str">
        <f>IF($L2267&lt;&gt;"",VLOOKUP($L2267,Categories!$B$2:$D$41,3,FALSE),IF($F2267&lt;&gt;"","No Cat",""))</f>
        <v>Deferred Income Taxes</v>
      </c>
      <c r="P2267" s="736" t="s">
        <v>2483</v>
      </c>
      <c r="Q2267" s="25" t="str">
        <f>VLOOKUP($P2267,Allocators!$B$7:$F$19,5,FALSE)</f>
        <v>Gas</v>
      </c>
      <c r="R2267" s="737">
        <f>VLOOKUP($P2267,Allocators!$B$7:$F$19,2,FALSE)</f>
        <v>0</v>
      </c>
      <c r="S2267" s="737">
        <f>VLOOKUP($P2267,Allocators!$B$7:$F$19,3,FALSE)</f>
        <v>1</v>
      </c>
      <c r="T2267" s="737" t="str">
        <f t="shared" si="1082"/>
        <v>0.0%</v>
      </c>
      <c r="U2267" s="2" t="str">
        <f t="shared" si="1093"/>
        <v/>
      </c>
      <c r="V2267" s="2" t="str">
        <f t="shared" si="1094"/>
        <v/>
      </c>
      <c r="W2267" s="2" t="str">
        <f t="shared" si="1095"/>
        <v/>
      </c>
      <c r="X2267" s="2">
        <f t="shared" si="1088"/>
        <v>0</v>
      </c>
      <c r="Y2267" s="2" t="str">
        <f t="shared" si="1096"/>
        <v/>
      </c>
      <c r="Z2267" s="2" t="str">
        <f t="shared" si="1097"/>
        <v/>
      </c>
      <c r="AA2267" s="2" t="str">
        <f t="shared" si="1098"/>
        <v/>
      </c>
      <c r="AB2267" s="2">
        <f t="shared" si="1089"/>
        <v>0</v>
      </c>
      <c r="AC2267" s="625">
        <v>0</v>
      </c>
      <c r="AD2267" s="625">
        <v>0</v>
      </c>
      <c r="AE2267" s="625">
        <v>0</v>
      </c>
      <c r="AF2267" s="625">
        <v>0</v>
      </c>
      <c r="AG2267" s="625">
        <v>0</v>
      </c>
      <c r="AH2267" s="625">
        <v>0</v>
      </c>
      <c r="AI2267" s="625">
        <v>0</v>
      </c>
      <c r="AJ2267" s="625">
        <v>0</v>
      </c>
      <c r="AK2267" s="625">
        <v>0</v>
      </c>
      <c r="AL2267" s="625">
        <v>0</v>
      </c>
      <c r="AM2267" s="625">
        <v>0</v>
      </c>
      <c r="AN2267" s="625">
        <v>0</v>
      </c>
      <c r="AO2267" s="625">
        <v>0</v>
      </c>
      <c r="AP2267" s="41" t="str">
        <f t="shared" si="1084"/>
        <v>Def TaxR</v>
      </c>
      <c r="AQ2267" s="41" t="str">
        <f t="shared" si="1085"/>
        <v>Def TaxRR11Merger Related</v>
      </c>
      <c r="AR2267" s="41" t="str">
        <f t="shared" si="1086"/>
        <v>R11Merger Related</v>
      </c>
    </row>
    <row r="2268" spans="1:44" s="41" customFormat="1" ht="12.75" customHeight="1">
      <c r="A2268" s="25" t="s">
        <v>1590</v>
      </c>
      <c r="B2268" s="25" t="str">
        <f t="shared" si="1081"/>
        <v>Def Tax283410283-068</v>
      </c>
      <c r="C2268" s="736">
        <v>283410</v>
      </c>
      <c r="D2268" s="735" t="s">
        <v>2152</v>
      </c>
      <c r="F2268" s="41" t="str">
        <f t="shared" si="1079"/>
        <v>ACCUM DEF INC TAX-OTH-STATE-GAS</v>
      </c>
      <c r="G2268" s="41" t="s">
        <v>1752</v>
      </c>
      <c r="H2268" s="736" t="s">
        <v>1629</v>
      </c>
      <c r="I2268" s="25"/>
      <c r="J2268" s="25" t="str">
        <f t="shared" si="1080"/>
        <v/>
      </c>
      <c r="K2268" s="442" t="str">
        <f t="shared" si="1083"/>
        <v/>
      </c>
      <c r="L2268" s="736" t="s">
        <v>2443</v>
      </c>
      <c r="M2268" s="25" t="str">
        <f t="shared" si="1087"/>
        <v>R</v>
      </c>
      <c r="N2268" s="25" t="str">
        <f>IF(L2268&lt;&gt;"",VLOOKUP(L2268,Categories!$B$2:$D$41,2,FALSE),IF(F2268&lt;&gt;"","No Cat",""))</f>
        <v>Rate Base</v>
      </c>
      <c r="O2268" s="25" t="str">
        <f>IF($L2268&lt;&gt;"",VLOOKUP($L2268,Categories!$B$2:$D$41,3,FALSE),IF($F2268&lt;&gt;"","No Cat",""))</f>
        <v>Deferred Income Taxes</v>
      </c>
      <c r="P2268" s="736" t="s">
        <v>2483</v>
      </c>
      <c r="Q2268" s="25" t="str">
        <f>VLOOKUP($P2268,Allocators!$B$7:$F$19,5,FALSE)</f>
        <v>Gas</v>
      </c>
      <c r="R2268" s="737">
        <f>VLOOKUP($P2268,Allocators!$B$7:$F$19,2,FALSE)</f>
        <v>0</v>
      </c>
      <c r="S2268" s="737">
        <f>VLOOKUP($P2268,Allocators!$B$7:$F$19,3,FALSE)</f>
        <v>1</v>
      </c>
      <c r="T2268" s="737" t="str">
        <f t="shared" si="1082"/>
        <v>0.0%</v>
      </c>
      <c r="U2268" s="2" t="str">
        <f t="shared" si="1093"/>
        <v/>
      </c>
      <c r="V2268" s="2" t="str">
        <f t="shared" si="1094"/>
        <v/>
      </c>
      <c r="W2268" s="2" t="str">
        <f t="shared" si="1095"/>
        <v/>
      </c>
      <c r="X2268" s="2">
        <f t="shared" si="1088"/>
        <v>0</v>
      </c>
      <c r="Y2268" s="2" t="str">
        <f t="shared" si="1096"/>
        <v/>
      </c>
      <c r="Z2268" s="2" t="str">
        <f t="shared" si="1097"/>
        <v/>
      </c>
      <c r="AA2268" s="2" t="str">
        <f t="shared" si="1098"/>
        <v/>
      </c>
      <c r="AB2268" s="2">
        <f t="shared" si="1089"/>
        <v>0</v>
      </c>
      <c r="AC2268" s="625">
        <v>0</v>
      </c>
      <c r="AD2268" s="625">
        <v>0</v>
      </c>
      <c r="AE2268" s="625">
        <v>0</v>
      </c>
      <c r="AF2268" s="625">
        <v>0</v>
      </c>
      <c r="AG2268" s="625">
        <v>0</v>
      </c>
      <c r="AH2268" s="625">
        <v>0</v>
      </c>
      <c r="AI2268" s="625">
        <v>0</v>
      </c>
      <c r="AJ2268" s="625">
        <v>0</v>
      </c>
      <c r="AK2268" s="625">
        <v>0</v>
      </c>
      <c r="AL2268" s="625">
        <v>0</v>
      </c>
      <c r="AM2268" s="625">
        <v>0</v>
      </c>
      <c r="AN2268" s="625">
        <v>0</v>
      </c>
      <c r="AO2268" s="625">
        <v>0</v>
      </c>
      <c r="AP2268" s="41" t="str">
        <f t="shared" si="1084"/>
        <v>Def TaxR</v>
      </c>
      <c r="AQ2268" s="41" t="str">
        <f t="shared" si="1085"/>
        <v>Def TaxRR11Merger Related</v>
      </c>
      <c r="AR2268" s="41" t="str">
        <f t="shared" si="1086"/>
        <v>R11Merger Related</v>
      </c>
    </row>
    <row r="2269" spans="1:44" s="41" customFormat="1" ht="12.75" customHeight="1">
      <c r="A2269" s="442" t="s">
        <v>1590</v>
      </c>
      <c r="B2269" s="442" t="str">
        <f t="shared" si="1081"/>
        <v>Def Tax283410283-080-JP</v>
      </c>
      <c r="C2269" s="736">
        <v>283410</v>
      </c>
      <c r="D2269" s="735" t="s">
        <v>2156</v>
      </c>
      <c r="E2269" s="626"/>
      <c r="F2269" s="626" t="str">
        <f t="shared" si="1079"/>
        <v>ACCUM DEF INC TAX-OTH-STATE-GAS</v>
      </c>
      <c r="G2269" s="626" t="s">
        <v>2157</v>
      </c>
      <c r="H2269" s="736" t="s">
        <v>1113</v>
      </c>
      <c r="I2269" s="442"/>
      <c r="J2269" s="442" t="str">
        <f t="shared" si="1080"/>
        <v/>
      </c>
      <c r="K2269" s="442" t="str">
        <f t="shared" si="1083"/>
        <v/>
      </c>
      <c r="L2269" s="736" t="s">
        <v>2421</v>
      </c>
      <c r="M2269" s="442" t="str">
        <f t="shared" si="1087"/>
        <v>N</v>
      </c>
      <c r="N2269" s="442" t="str">
        <f>IF(L2269&lt;&gt;"",VLOOKUP(L2269,Categories!$B$2:$D$41,2,FALSE),IF(F2269&lt;&gt;"","No Cat",""))</f>
        <v>NRBASE</v>
      </c>
      <c r="O2269" s="442" t="str">
        <f>IF($L2269&lt;&gt;"",VLOOKUP($L2269,Categories!$B$2:$D$41,3,FALSE),IF($F2269&lt;&gt;"","No Cat",""))</f>
        <v>Direct Assign Items Not in RB</v>
      </c>
      <c r="P2269" s="736" t="s">
        <v>2468</v>
      </c>
      <c r="Q2269" s="442" t="str">
        <f>VLOOKUP($P2269,Allocators!$B$7:$F$19,5,FALSE)</f>
        <v>Not in Rate Base</v>
      </c>
      <c r="R2269" s="737">
        <f>VLOOKUP($P2269,Allocators!$B$7:$F$19,2,FALSE)</f>
        <v>0</v>
      </c>
      <c r="S2269" s="737">
        <f>VLOOKUP($P2269,Allocators!$B$7:$F$19,3,FALSE)</f>
        <v>0</v>
      </c>
      <c r="T2269" s="737">
        <f t="shared" si="1082"/>
        <v>1</v>
      </c>
      <c r="U2269" s="2" t="str">
        <f t="shared" si="1093"/>
        <v/>
      </c>
      <c r="V2269" s="2" t="str">
        <f t="shared" si="1094"/>
        <v/>
      </c>
      <c r="W2269" s="2" t="str">
        <f t="shared" si="1095"/>
        <v/>
      </c>
      <c r="X2269" s="2">
        <f t="shared" si="1088"/>
        <v>0</v>
      </c>
      <c r="Y2269" s="2" t="str">
        <f t="shared" si="1096"/>
        <v/>
      </c>
      <c r="Z2269" s="2" t="str">
        <f t="shared" si="1097"/>
        <v/>
      </c>
      <c r="AA2269" s="2" t="str">
        <f t="shared" si="1098"/>
        <v/>
      </c>
      <c r="AB2269" s="2">
        <f t="shared" si="1089"/>
        <v>0</v>
      </c>
      <c r="AC2269" s="625">
        <v>0</v>
      </c>
      <c r="AD2269" s="625">
        <v>0</v>
      </c>
      <c r="AE2269" s="625">
        <v>0</v>
      </c>
      <c r="AF2269" s="625">
        <v>0</v>
      </c>
      <c r="AG2269" s="625">
        <v>0</v>
      </c>
      <c r="AH2269" s="625">
        <v>0</v>
      </c>
      <c r="AI2269" s="625">
        <v>0</v>
      </c>
      <c r="AJ2269" s="625">
        <v>0</v>
      </c>
      <c r="AK2269" s="625">
        <v>0</v>
      </c>
      <c r="AL2269" s="625">
        <v>0</v>
      </c>
      <c r="AM2269" s="625">
        <v>0</v>
      </c>
      <c r="AN2269" s="625">
        <v>0</v>
      </c>
      <c r="AO2269" s="625">
        <v>0</v>
      </c>
      <c r="AP2269" s="41" t="str">
        <f t="shared" si="1084"/>
        <v>Def TaxN</v>
      </c>
      <c r="AQ2269" s="41" t="str">
        <f t="shared" si="1085"/>
        <v>Def TaxNN2Property Tax Deferral</v>
      </c>
      <c r="AR2269" s="41" t="str">
        <f t="shared" si="1086"/>
        <v>N2Property Tax Deferral</v>
      </c>
    </row>
    <row r="2270" spans="1:44" s="41" customFormat="1" ht="12.75" customHeight="1">
      <c r="A2270" s="25" t="s">
        <v>1590</v>
      </c>
      <c r="B2270" s="25" t="str">
        <f t="shared" si="1081"/>
        <v>Def Tax283410283-043</v>
      </c>
      <c r="C2270" s="736">
        <v>283410</v>
      </c>
      <c r="D2270" s="735" t="s">
        <v>2160</v>
      </c>
      <c r="F2270" s="41" t="str">
        <f t="shared" si="1079"/>
        <v>ACCUM DEF INC TAX-OTH-STATE-GAS</v>
      </c>
      <c r="G2270" s="41" t="s">
        <v>2161</v>
      </c>
      <c r="H2270" s="736">
        <v>0</v>
      </c>
      <c r="I2270" s="25"/>
      <c r="J2270" s="25" t="str">
        <f t="shared" si="1080"/>
        <v/>
      </c>
      <c r="K2270" s="442" t="str">
        <f t="shared" si="1083"/>
        <v/>
      </c>
      <c r="L2270" s="736" t="s">
        <v>2443</v>
      </c>
      <c r="M2270" s="25" t="str">
        <f t="shared" si="1087"/>
        <v>R</v>
      </c>
      <c r="N2270" s="25" t="str">
        <f>IF(L2270&lt;&gt;"",VLOOKUP(L2270,Categories!$B$2:$D$41,2,FALSE),IF(F2270&lt;&gt;"","No Cat",""))</f>
        <v>Rate Base</v>
      </c>
      <c r="O2270" s="25" t="str">
        <f>IF($L2270&lt;&gt;"",VLOOKUP($L2270,Categories!$B$2:$D$41,3,FALSE),IF($F2270&lt;&gt;"","No Cat",""))</f>
        <v>Deferred Income Taxes</v>
      </c>
      <c r="P2270" s="736" t="s">
        <v>2483</v>
      </c>
      <c r="Q2270" s="25" t="str">
        <f>VLOOKUP($P2270,Allocators!$B$7:$F$19,5,FALSE)</f>
        <v>Gas</v>
      </c>
      <c r="R2270" s="737">
        <f>VLOOKUP($P2270,Allocators!$B$7:$F$19,2,FALSE)</f>
        <v>0</v>
      </c>
      <c r="S2270" s="737">
        <f>VLOOKUP($P2270,Allocators!$B$7:$F$19,3,FALSE)</f>
        <v>1</v>
      </c>
      <c r="T2270" s="737" t="str">
        <f t="shared" si="1082"/>
        <v>0.0%</v>
      </c>
      <c r="U2270" s="2" t="str">
        <f t="shared" si="1093"/>
        <v/>
      </c>
      <c r="V2270" s="2" t="str">
        <f t="shared" si="1094"/>
        <v/>
      </c>
      <c r="W2270" s="2" t="str">
        <f t="shared" si="1095"/>
        <v/>
      </c>
      <c r="X2270" s="2">
        <f t="shared" si="1088"/>
        <v>0</v>
      </c>
      <c r="Y2270" s="2" t="str">
        <f t="shared" si="1096"/>
        <v/>
      </c>
      <c r="Z2270" s="2" t="str">
        <f t="shared" si="1097"/>
        <v/>
      </c>
      <c r="AA2270" s="2" t="str">
        <f t="shared" si="1098"/>
        <v/>
      </c>
      <c r="AB2270" s="2">
        <f t="shared" si="1089"/>
        <v>0</v>
      </c>
      <c r="AC2270" s="625">
        <v>0</v>
      </c>
      <c r="AD2270" s="625">
        <v>0</v>
      </c>
      <c r="AE2270" s="625">
        <v>0</v>
      </c>
      <c r="AF2270" s="625">
        <v>0</v>
      </c>
      <c r="AG2270" s="625">
        <v>0</v>
      </c>
      <c r="AH2270" s="625">
        <v>0</v>
      </c>
      <c r="AI2270" s="625">
        <v>0</v>
      </c>
      <c r="AJ2270" s="625">
        <v>0</v>
      </c>
      <c r="AK2270" s="625">
        <v>0</v>
      </c>
      <c r="AL2270" s="625">
        <v>0</v>
      </c>
      <c r="AM2270" s="625">
        <v>0</v>
      </c>
      <c r="AN2270" s="625">
        <v>0</v>
      </c>
      <c r="AO2270" s="625">
        <v>0</v>
      </c>
      <c r="AP2270" s="41" t="str">
        <f t="shared" si="1084"/>
        <v>Def TaxR</v>
      </c>
      <c r="AQ2270" s="41" t="str">
        <f t="shared" si="1085"/>
        <v>Def TaxRR110</v>
      </c>
      <c r="AR2270" s="41" t="str">
        <f t="shared" si="1086"/>
        <v>R110</v>
      </c>
    </row>
    <row r="2271" spans="1:44" s="41" customFormat="1" ht="12.75" customHeight="1">
      <c r="A2271" s="442" t="s">
        <v>1590</v>
      </c>
      <c r="B2271" s="442" t="str">
        <f t="shared" si="1081"/>
        <v>Def Tax283410283-078</v>
      </c>
      <c r="C2271" s="736">
        <v>283410</v>
      </c>
      <c r="D2271" s="735" t="s">
        <v>2162</v>
      </c>
      <c r="E2271" s="626"/>
      <c r="F2271" s="626" t="str">
        <f t="shared" si="1079"/>
        <v>ACCUM DEF INC TAX-OTH-STATE-GAS</v>
      </c>
      <c r="G2271" s="626" t="s">
        <v>2163</v>
      </c>
      <c r="H2271" s="736" t="s">
        <v>1309</v>
      </c>
      <c r="I2271" s="442"/>
      <c r="J2271" s="442" t="str">
        <f t="shared" si="1080"/>
        <v/>
      </c>
      <c r="K2271" s="442" t="str">
        <f t="shared" si="1083"/>
        <v/>
      </c>
      <c r="L2271" s="736" t="s">
        <v>2421</v>
      </c>
      <c r="M2271" s="442" t="str">
        <f t="shared" si="1087"/>
        <v>N</v>
      </c>
      <c r="N2271" s="442" t="str">
        <f>IF(L2271&lt;&gt;"",VLOOKUP(L2271,Categories!$B$2:$D$41,2,FALSE),IF(F2271&lt;&gt;"","No Cat",""))</f>
        <v>NRBASE</v>
      </c>
      <c r="O2271" s="442" t="str">
        <f>IF($L2271&lt;&gt;"",VLOOKUP($L2271,Categories!$B$2:$D$41,3,FALSE),IF($F2271&lt;&gt;"","No Cat",""))</f>
        <v>Direct Assign Items Not in RB</v>
      </c>
      <c r="P2271" s="736" t="s">
        <v>2468</v>
      </c>
      <c r="Q2271" s="442" t="str">
        <f>VLOOKUP($P2271,Allocators!$B$7:$F$19,5,FALSE)</f>
        <v>Not in Rate Base</v>
      </c>
      <c r="R2271" s="737">
        <f>VLOOKUP($P2271,Allocators!$B$7:$F$19,2,FALSE)</f>
        <v>0</v>
      </c>
      <c r="S2271" s="737">
        <f>VLOOKUP($P2271,Allocators!$B$7:$F$19,3,FALSE)</f>
        <v>0</v>
      </c>
      <c r="T2271" s="737">
        <f t="shared" si="1082"/>
        <v>1</v>
      </c>
      <c r="U2271" s="2" t="str">
        <f t="shared" si="1093"/>
        <v/>
      </c>
      <c r="V2271" s="2" t="str">
        <f t="shared" si="1094"/>
        <v/>
      </c>
      <c r="W2271" s="2" t="str">
        <f t="shared" si="1095"/>
        <v/>
      </c>
      <c r="X2271" s="2">
        <f t="shared" si="1088"/>
        <v>0</v>
      </c>
      <c r="Y2271" s="2" t="str">
        <f t="shared" si="1096"/>
        <v/>
      </c>
      <c r="Z2271" s="2" t="str">
        <f t="shared" si="1097"/>
        <v/>
      </c>
      <c r="AA2271" s="2" t="str">
        <f t="shared" si="1098"/>
        <v/>
      </c>
      <c r="AB2271" s="2">
        <f t="shared" si="1089"/>
        <v>0</v>
      </c>
      <c r="AC2271" s="625">
        <v>0</v>
      </c>
      <c r="AD2271" s="625">
        <v>0</v>
      </c>
      <c r="AE2271" s="625">
        <v>0</v>
      </c>
      <c r="AF2271" s="625">
        <v>0</v>
      </c>
      <c r="AG2271" s="625">
        <v>0</v>
      </c>
      <c r="AH2271" s="625">
        <v>0</v>
      </c>
      <c r="AI2271" s="625">
        <v>0</v>
      </c>
      <c r="AJ2271" s="625">
        <v>0</v>
      </c>
      <c r="AK2271" s="625">
        <v>0</v>
      </c>
      <c r="AL2271" s="625">
        <v>0</v>
      </c>
      <c r="AM2271" s="625">
        <v>0</v>
      </c>
      <c r="AN2271" s="625">
        <v>0</v>
      </c>
      <c r="AO2271" s="625">
        <v>0</v>
      </c>
      <c r="AP2271" s="41" t="str">
        <f t="shared" si="1084"/>
        <v>Def TaxN</v>
      </c>
      <c r="AQ2271" s="41" t="str">
        <f t="shared" si="1085"/>
        <v>Def TaxNN2Economic Development</v>
      </c>
      <c r="AR2271" s="41" t="str">
        <f t="shared" si="1086"/>
        <v>N2Economic Development</v>
      </c>
    </row>
    <row r="2272" spans="1:44" s="41" customFormat="1" ht="12.75" customHeight="1">
      <c r="A2272" s="442" t="s">
        <v>1590</v>
      </c>
      <c r="B2272" s="442" t="str">
        <f t="shared" si="1081"/>
        <v>Def Tax283410283-003BT010099</v>
      </c>
      <c r="C2272" s="736">
        <v>283410</v>
      </c>
      <c r="D2272" s="735" t="s">
        <v>2257</v>
      </c>
      <c r="E2272" s="626" t="s">
        <v>1734</v>
      </c>
      <c r="F2272" s="626" t="str">
        <f t="shared" si="1079"/>
        <v>ACCUM DEF INC TAX-OTH-STATE-GAS</v>
      </c>
      <c r="G2272" s="626" t="s">
        <v>2296</v>
      </c>
      <c r="H2272" s="736" t="s">
        <v>1142</v>
      </c>
      <c r="I2272" s="442"/>
      <c r="J2272" s="442" t="s">
        <v>7</v>
      </c>
      <c r="K2272" s="442" t="str">
        <f t="shared" si="1083"/>
        <v/>
      </c>
      <c r="L2272" s="736" t="s">
        <v>2436</v>
      </c>
      <c r="M2272" s="442" t="str">
        <f t="shared" si="1087"/>
        <v>N</v>
      </c>
      <c r="N2272" s="442" t="str">
        <f>IF(L2272&lt;&gt;"",VLOOKUP(L2272,Categories!$B$2:$D$41,2,FALSE),IF(F2272&lt;&gt;"","No Cat",""))</f>
        <v>NRBASE</v>
      </c>
      <c r="O2272" s="442" t="str">
        <f>IF($L2272&lt;&gt;"",VLOOKUP($L2272,Categories!$B$2:$D$41,3,FALSE),IF($F2272&lt;&gt;"","No Cat",""))</f>
        <v>Deferrals Accruing Non-Cash Return   (other than ASGA)</v>
      </c>
      <c r="P2272" s="736" t="s">
        <v>2468</v>
      </c>
      <c r="Q2272" s="442" t="str">
        <f>VLOOKUP($P2272,Allocators!$B$7:$F$19,5,FALSE)</f>
        <v>Not in Rate Base</v>
      </c>
      <c r="R2272" s="737">
        <f>VLOOKUP($P2272,Allocators!$B$7:$F$19,2,FALSE)</f>
        <v>0</v>
      </c>
      <c r="S2272" s="737">
        <f>VLOOKUP($P2272,Allocators!$B$7:$F$19,3,FALSE)</f>
        <v>0</v>
      </c>
      <c r="T2272" s="737">
        <f t="shared" si="1082"/>
        <v>1</v>
      </c>
      <c r="U2272" s="2">
        <f t="shared" si="1093"/>
        <v>0</v>
      </c>
      <c r="V2272" s="2">
        <f t="shared" si="1094"/>
        <v>0</v>
      </c>
      <c r="W2272" s="2">
        <f t="shared" si="1095"/>
        <v>890.48371583333301</v>
      </c>
      <c r="X2272" s="2">
        <f t="shared" si="1088"/>
        <v>890.48371583333301</v>
      </c>
      <c r="Y2272" s="2">
        <f t="shared" si="1096"/>
        <v>0</v>
      </c>
      <c r="Z2272" s="2">
        <f t="shared" si="1097"/>
        <v>0</v>
      </c>
      <c r="AA2272" s="2">
        <f t="shared" si="1098"/>
        <v>916.33960999999999</v>
      </c>
      <c r="AB2272" s="2">
        <f t="shared" si="1089"/>
        <v>916.33960999999999</v>
      </c>
      <c r="AC2272" s="625">
        <v>1058.7766100000001</v>
      </c>
      <c r="AD2272" s="625">
        <v>1060.09662</v>
      </c>
      <c r="AE2272" s="625">
        <v>950.60332999999991</v>
      </c>
      <c r="AF2272" s="625">
        <v>1085.3165800000002</v>
      </c>
      <c r="AG2272" s="625">
        <v>1119.7956100000001</v>
      </c>
      <c r="AH2272" s="625">
        <v>1068.7550700000002</v>
      </c>
      <c r="AI2272" s="625">
        <v>966.33024</v>
      </c>
      <c r="AJ2272" s="625">
        <v>891.97693000000004</v>
      </c>
      <c r="AK2272" s="625">
        <v>730.06746999999996</v>
      </c>
      <c r="AL2272" s="625">
        <v>588.82513000000006</v>
      </c>
      <c r="AM2272" s="625">
        <v>630.30060000000003</v>
      </c>
      <c r="AN2272" s="625">
        <v>606.1789</v>
      </c>
      <c r="AO2272" s="625">
        <v>916.33960999999999</v>
      </c>
      <c r="AP2272" s="41" t="str">
        <f t="shared" si="1084"/>
        <v>Def TaxN</v>
      </c>
      <c r="AQ2272" s="41" t="str">
        <f t="shared" si="1085"/>
        <v>Def TaxNN10Gas Costs Deferred</v>
      </c>
      <c r="AR2272" s="41" t="str">
        <f t="shared" si="1086"/>
        <v>N10Gas Costs DeferredNCR</v>
      </c>
    </row>
    <row r="2273" spans="1:44" s="41" customFormat="1" ht="12.75" customHeight="1">
      <c r="A2273" s="25" t="s">
        <v>1590</v>
      </c>
      <c r="B2273" s="25" t="str">
        <f t="shared" si="1081"/>
        <v>Def Tax283410283-055BTHUNGDT</v>
      </c>
      <c r="C2273" s="736">
        <v>283410</v>
      </c>
      <c r="D2273" s="735" t="s">
        <v>2164</v>
      </c>
      <c r="E2273" s="41" t="s">
        <v>1624</v>
      </c>
      <c r="F2273" s="41" t="str">
        <f t="shared" si="1079"/>
        <v>ACCUM DEF INC TAX-OTH-STATE-GAS</v>
      </c>
      <c r="G2273" s="41" t="s">
        <v>2165</v>
      </c>
      <c r="H2273" s="736" t="s">
        <v>2165</v>
      </c>
      <c r="I2273" s="25"/>
      <c r="J2273" s="25" t="str">
        <f t="shared" si="1080"/>
        <v/>
      </c>
      <c r="K2273" s="442" t="str">
        <f t="shared" si="1083"/>
        <v/>
      </c>
      <c r="L2273" s="736" t="s">
        <v>2443</v>
      </c>
      <c r="M2273" s="25" t="str">
        <f t="shared" si="1087"/>
        <v>R</v>
      </c>
      <c r="N2273" s="25" t="str">
        <f>IF(L2273&lt;&gt;"",VLOOKUP(L2273,Categories!$B$2:$D$41,2,FALSE),IF(F2273&lt;&gt;"","No Cat",""))</f>
        <v>Rate Base</v>
      </c>
      <c r="O2273" s="25" t="str">
        <f>IF($L2273&lt;&gt;"",VLOOKUP($L2273,Categories!$B$2:$D$41,3,FALSE),IF($F2273&lt;&gt;"","No Cat",""))</f>
        <v>Deferred Income Taxes</v>
      </c>
      <c r="P2273" s="736" t="s">
        <v>2483</v>
      </c>
      <c r="Q2273" s="25" t="str">
        <f>VLOOKUP($P2273,Allocators!$B$7:$F$19,5,FALSE)</f>
        <v>Gas</v>
      </c>
      <c r="R2273" s="737">
        <f>VLOOKUP($P2273,Allocators!$B$7:$F$19,2,FALSE)</f>
        <v>0</v>
      </c>
      <c r="S2273" s="737">
        <f>VLOOKUP($P2273,Allocators!$B$7:$F$19,3,FALSE)</f>
        <v>1</v>
      </c>
      <c r="T2273" s="737" t="str">
        <f t="shared" si="1082"/>
        <v>0.0%</v>
      </c>
      <c r="U2273" s="2">
        <f t="shared" si="1093"/>
        <v>0</v>
      </c>
      <c r="V2273" s="2">
        <f t="shared" si="1094"/>
        <v>7.9290000000000003</v>
      </c>
      <c r="W2273" s="2">
        <f t="shared" si="1095"/>
        <v>0</v>
      </c>
      <c r="X2273" s="2">
        <f t="shared" si="1088"/>
        <v>7.9290000000000003</v>
      </c>
      <c r="Y2273" s="2">
        <f t="shared" si="1096"/>
        <v>0</v>
      </c>
      <c r="Z2273" s="2">
        <f t="shared" si="1097"/>
        <v>7.9290000000000003</v>
      </c>
      <c r="AA2273" s="2">
        <f t="shared" si="1098"/>
        <v>0</v>
      </c>
      <c r="AB2273" s="2">
        <f t="shared" si="1089"/>
        <v>7.9290000000000003</v>
      </c>
      <c r="AC2273" s="625">
        <v>7.9290000000000003</v>
      </c>
      <c r="AD2273" s="625">
        <v>7.9290000000000003</v>
      </c>
      <c r="AE2273" s="625">
        <v>7.9290000000000003</v>
      </c>
      <c r="AF2273" s="625">
        <v>7.9290000000000003</v>
      </c>
      <c r="AG2273" s="625">
        <v>7.9290000000000003</v>
      </c>
      <c r="AH2273" s="625">
        <v>7.9290000000000003</v>
      </c>
      <c r="AI2273" s="625">
        <v>7.9290000000000003</v>
      </c>
      <c r="AJ2273" s="625">
        <v>7.9290000000000003</v>
      </c>
      <c r="AK2273" s="625">
        <v>7.9290000000000003</v>
      </c>
      <c r="AL2273" s="625">
        <v>7.9290000000000003</v>
      </c>
      <c r="AM2273" s="625">
        <v>7.9290000000000003</v>
      </c>
      <c r="AN2273" s="625">
        <v>7.9290000000000003</v>
      </c>
      <c r="AO2273" s="625">
        <v>7.9290000000000003</v>
      </c>
      <c r="AP2273" s="41" t="str">
        <f t="shared" si="1084"/>
        <v>Def TaxR</v>
      </c>
      <c r="AQ2273" s="41" t="str">
        <f t="shared" si="1085"/>
        <v>Def TaxRR11GECHO</v>
      </c>
      <c r="AR2273" s="41" t="str">
        <f t="shared" si="1086"/>
        <v>R11GECHO</v>
      </c>
    </row>
    <row r="2274" spans="1:44" s="41" customFormat="1" ht="12.75" customHeight="1">
      <c r="A2274" s="442" t="s">
        <v>1590</v>
      </c>
      <c r="B2274" s="442" t="str">
        <f t="shared" si="1081"/>
        <v>Def Tax283410GRT RefundBT010355</v>
      </c>
      <c r="C2274" s="736">
        <v>283410</v>
      </c>
      <c r="D2274" s="735" t="s">
        <v>2166</v>
      </c>
      <c r="E2274" s="626" t="s">
        <v>2167</v>
      </c>
      <c r="F2274" s="626" t="str">
        <f t="shared" si="1079"/>
        <v>ACCUM DEF INC TAX-OTH-STATE-GAS</v>
      </c>
      <c r="G2274" s="626" t="s">
        <v>2168</v>
      </c>
      <c r="H2274" s="736" t="s">
        <v>1542</v>
      </c>
      <c r="I2274" s="442"/>
      <c r="J2274" s="442" t="str">
        <f t="shared" si="1080"/>
        <v/>
      </c>
      <c r="K2274" s="442" t="str">
        <f t="shared" si="1083"/>
        <v/>
      </c>
      <c r="L2274" s="736" t="s">
        <v>2421</v>
      </c>
      <c r="M2274" s="442" t="str">
        <f t="shared" si="1087"/>
        <v>N</v>
      </c>
      <c r="N2274" s="442" t="str">
        <f>IF(L2274&lt;&gt;"",VLOOKUP(L2274,Categories!$B$2:$D$41,2,FALSE),IF(F2274&lt;&gt;"","No Cat",""))</f>
        <v>NRBASE</v>
      </c>
      <c r="O2274" s="442" t="str">
        <f>IF($L2274&lt;&gt;"",VLOOKUP($L2274,Categories!$B$2:$D$41,3,FALSE),IF($F2274&lt;&gt;"","No Cat",""))</f>
        <v>Direct Assign Items Not in RB</v>
      </c>
      <c r="P2274" s="736" t="s">
        <v>2468</v>
      </c>
      <c r="Q2274" s="442" t="str">
        <f>VLOOKUP($P2274,Allocators!$B$7:$F$19,5,FALSE)</f>
        <v>Not in Rate Base</v>
      </c>
      <c r="R2274" s="737">
        <f>VLOOKUP($P2274,Allocators!$B$7:$F$19,2,FALSE)</f>
        <v>0</v>
      </c>
      <c r="S2274" s="737">
        <f>VLOOKUP($P2274,Allocators!$B$7:$F$19,3,FALSE)</f>
        <v>0</v>
      </c>
      <c r="T2274" s="737">
        <f t="shared" si="1082"/>
        <v>1</v>
      </c>
      <c r="U2274" s="2">
        <f t="shared" si="1093"/>
        <v>0</v>
      </c>
      <c r="V2274" s="2">
        <f t="shared" si="1094"/>
        <v>0</v>
      </c>
      <c r="W2274" s="2">
        <f t="shared" si="1095"/>
        <v>-54.438540000000003</v>
      </c>
      <c r="X2274" s="2">
        <f t="shared" si="1088"/>
        <v>-54.438540000000003</v>
      </c>
      <c r="Y2274" s="2">
        <f t="shared" si="1096"/>
        <v>0</v>
      </c>
      <c r="Z2274" s="2">
        <f t="shared" si="1097"/>
        <v>0</v>
      </c>
      <c r="AA2274" s="2">
        <f t="shared" si="1098"/>
        <v>-54.438540000000003</v>
      </c>
      <c r="AB2274" s="2">
        <f t="shared" si="1089"/>
        <v>-54.438540000000003</v>
      </c>
      <c r="AC2274" s="625">
        <v>-54.438540000000003</v>
      </c>
      <c r="AD2274" s="625">
        <v>-54.438540000000003</v>
      </c>
      <c r="AE2274" s="625">
        <v>-54.438540000000003</v>
      </c>
      <c r="AF2274" s="625">
        <v>-54.438540000000003</v>
      </c>
      <c r="AG2274" s="625">
        <v>-54.438540000000003</v>
      </c>
      <c r="AH2274" s="625">
        <v>-54.438540000000003</v>
      </c>
      <c r="AI2274" s="625">
        <v>-54.438540000000003</v>
      </c>
      <c r="AJ2274" s="625">
        <v>-54.438540000000003</v>
      </c>
      <c r="AK2274" s="625">
        <v>-54.438540000000003</v>
      </c>
      <c r="AL2274" s="625">
        <v>-54.438540000000003</v>
      </c>
      <c r="AM2274" s="625">
        <v>-54.438540000000003</v>
      </c>
      <c r="AN2274" s="625">
        <v>-54.438540000000003</v>
      </c>
      <c r="AO2274" s="625">
        <v>-54.438540000000003</v>
      </c>
      <c r="AP2274" s="41" t="str">
        <f t="shared" si="1084"/>
        <v>Def TaxN</v>
      </c>
      <c r="AQ2274" s="41" t="str">
        <f t="shared" si="1085"/>
        <v>Def TaxNN2GRT Refund Requests</v>
      </c>
      <c r="AR2274" s="41" t="str">
        <f t="shared" si="1086"/>
        <v>N2GRT Refund Requests</v>
      </c>
    </row>
    <row r="2275" spans="1:44" s="41" customFormat="1" ht="12.75" customHeight="1">
      <c r="A2275" s="25" t="s">
        <v>1590</v>
      </c>
      <c r="B2275" s="25" t="str">
        <f t="shared" si="1081"/>
        <v>Def Tax283410283-075</v>
      </c>
      <c r="C2275" s="736">
        <v>283410</v>
      </c>
      <c r="D2275" s="735" t="s">
        <v>2016</v>
      </c>
      <c r="F2275" s="41" t="str">
        <f t="shared" si="1079"/>
        <v>ACCUM DEF INC TAX-OTH-STATE-GAS</v>
      </c>
      <c r="G2275" s="41" t="s">
        <v>2018</v>
      </c>
      <c r="H2275" s="736" t="s">
        <v>2019</v>
      </c>
      <c r="I2275" s="25"/>
      <c r="J2275" s="25" t="str">
        <f t="shared" si="1080"/>
        <v/>
      </c>
      <c r="K2275" s="442" t="str">
        <f t="shared" si="1083"/>
        <v/>
      </c>
      <c r="L2275" s="736" t="s">
        <v>2443</v>
      </c>
      <c r="M2275" s="25" t="str">
        <f t="shared" si="1087"/>
        <v>R</v>
      </c>
      <c r="N2275" s="25" t="str">
        <f>IF(L2275&lt;&gt;"",VLOOKUP(L2275,Categories!$B$2:$D$41,2,FALSE),IF(F2275&lt;&gt;"","No Cat",""))</f>
        <v>Rate Base</v>
      </c>
      <c r="O2275" s="25" t="str">
        <f>IF($L2275&lt;&gt;"",VLOOKUP($L2275,Categories!$B$2:$D$41,3,FALSE),IF($F2275&lt;&gt;"","No Cat",""))</f>
        <v>Deferred Income Taxes</v>
      </c>
      <c r="P2275" s="736" t="s">
        <v>2483</v>
      </c>
      <c r="Q2275" s="25" t="str">
        <f>VLOOKUP($P2275,Allocators!$B$7:$F$19,5,FALSE)</f>
        <v>Gas</v>
      </c>
      <c r="R2275" s="737">
        <f>VLOOKUP($P2275,Allocators!$B$7:$F$19,2,FALSE)</f>
        <v>0</v>
      </c>
      <c r="S2275" s="737">
        <f>VLOOKUP($P2275,Allocators!$B$7:$F$19,3,FALSE)</f>
        <v>1</v>
      </c>
      <c r="T2275" s="737" t="str">
        <f t="shared" si="1082"/>
        <v>0.0%</v>
      </c>
      <c r="U2275" s="2" t="str">
        <f t="shared" si="1093"/>
        <v/>
      </c>
      <c r="V2275" s="2" t="str">
        <f t="shared" si="1094"/>
        <v/>
      </c>
      <c r="W2275" s="2" t="str">
        <f t="shared" si="1095"/>
        <v/>
      </c>
      <c r="X2275" s="2">
        <f t="shared" si="1088"/>
        <v>0</v>
      </c>
      <c r="Y2275" s="2" t="str">
        <f t="shared" si="1096"/>
        <v/>
      </c>
      <c r="Z2275" s="2" t="str">
        <f t="shared" si="1097"/>
        <v/>
      </c>
      <c r="AA2275" s="2" t="str">
        <f t="shared" si="1098"/>
        <v/>
      </c>
      <c r="AB2275" s="2">
        <f t="shared" si="1089"/>
        <v>0</v>
      </c>
      <c r="AC2275" s="625">
        <v>0</v>
      </c>
      <c r="AD2275" s="625">
        <v>0</v>
      </c>
      <c r="AE2275" s="625">
        <v>0</v>
      </c>
      <c r="AF2275" s="625">
        <v>0</v>
      </c>
      <c r="AG2275" s="625">
        <v>0</v>
      </c>
      <c r="AH2275" s="625">
        <v>0</v>
      </c>
      <c r="AI2275" s="625">
        <v>0</v>
      </c>
      <c r="AJ2275" s="625">
        <v>0</v>
      </c>
      <c r="AK2275" s="625">
        <v>0</v>
      </c>
      <c r="AL2275" s="625">
        <v>0</v>
      </c>
      <c r="AM2275" s="625">
        <v>0</v>
      </c>
      <c r="AN2275" s="625">
        <v>0</v>
      </c>
      <c r="AO2275" s="625">
        <v>0</v>
      </c>
      <c r="AP2275" s="41" t="str">
        <f t="shared" si="1084"/>
        <v>Def TaxR</v>
      </c>
      <c r="AQ2275" s="41" t="str">
        <f t="shared" si="1085"/>
        <v>Def TaxRR1198 - '01 IRS Audit</v>
      </c>
      <c r="AR2275" s="41" t="str">
        <f t="shared" si="1086"/>
        <v>R1198 - '01 IRS Audit</v>
      </c>
    </row>
    <row r="2276" spans="1:44" s="41" customFormat="1" ht="12.75" customHeight="1">
      <c r="A2276" s="442" t="s">
        <v>1590</v>
      </c>
      <c r="B2276" s="442" t="str">
        <f t="shared" si="1081"/>
        <v>Def Tax283410283-083BT010110</v>
      </c>
      <c r="C2276" s="736">
        <v>283410</v>
      </c>
      <c r="D2276" s="735" t="s">
        <v>2182</v>
      </c>
      <c r="E2276" s="626" t="s">
        <v>2186</v>
      </c>
      <c r="F2276" s="626" t="str">
        <f t="shared" si="1079"/>
        <v>ACCUM DEF INC TAX-OTH-STATE-GAS</v>
      </c>
      <c r="G2276" s="626" t="s">
        <v>2184</v>
      </c>
      <c r="H2276" s="736">
        <v>0</v>
      </c>
      <c r="I2276" s="442"/>
      <c r="J2276" s="442" t="str">
        <f t="shared" si="1080"/>
        <v/>
      </c>
      <c r="K2276" s="442" t="str">
        <f t="shared" si="1083"/>
        <v/>
      </c>
      <c r="L2276" s="736" t="s">
        <v>2421</v>
      </c>
      <c r="M2276" s="442" t="str">
        <f t="shared" si="1087"/>
        <v>N</v>
      </c>
      <c r="N2276" s="442" t="str">
        <f>IF(L2276&lt;&gt;"",VLOOKUP(L2276,Categories!$B$2:$D$41,2,FALSE),IF(F2276&lt;&gt;"","No Cat",""))</f>
        <v>NRBASE</v>
      </c>
      <c r="O2276" s="442" t="str">
        <f>IF($L2276&lt;&gt;"",VLOOKUP($L2276,Categories!$B$2:$D$41,3,FALSE),IF($F2276&lt;&gt;"","No Cat",""))</f>
        <v>Direct Assign Items Not in RB</v>
      </c>
      <c r="P2276" s="736" t="s">
        <v>2468</v>
      </c>
      <c r="Q2276" s="442" t="str">
        <f>VLOOKUP($P2276,Allocators!$B$7:$F$19,5,FALSE)</f>
        <v>Not in Rate Base</v>
      </c>
      <c r="R2276" s="737">
        <f>VLOOKUP($P2276,Allocators!$B$7:$F$19,2,FALSE)</f>
        <v>0</v>
      </c>
      <c r="S2276" s="737">
        <f>VLOOKUP($P2276,Allocators!$B$7:$F$19,3,FALSE)</f>
        <v>0</v>
      </c>
      <c r="T2276" s="737">
        <f t="shared" si="1082"/>
        <v>1</v>
      </c>
      <c r="U2276" s="2" t="str">
        <f t="shared" si="1093"/>
        <v/>
      </c>
      <c r="V2276" s="2" t="str">
        <f t="shared" si="1094"/>
        <v/>
      </c>
      <c r="W2276" s="2" t="str">
        <f t="shared" si="1095"/>
        <v/>
      </c>
      <c r="X2276" s="2">
        <f t="shared" si="1088"/>
        <v>0</v>
      </c>
      <c r="Y2276" s="2" t="str">
        <f t="shared" si="1096"/>
        <v/>
      </c>
      <c r="Z2276" s="2" t="str">
        <f t="shared" si="1097"/>
        <v/>
      </c>
      <c r="AA2276" s="2" t="str">
        <f t="shared" si="1098"/>
        <v/>
      </c>
      <c r="AB2276" s="2">
        <f t="shared" si="1089"/>
        <v>0</v>
      </c>
      <c r="AC2276" s="625">
        <v>0</v>
      </c>
      <c r="AD2276" s="625">
        <v>0</v>
      </c>
      <c r="AE2276" s="625">
        <v>0</v>
      </c>
      <c r="AF2276" s="625">
        <v>0</v>
      </c>
      <c r="AG2276" s="625">
        <v>0</v>
      </c>
      <c r="AH2276" s="625">
        <v>0</v>
      </c>
      <c r="AI2276" s="625">
        <v>0</v>
      </c>
      <c r="AJ2276" s="625">
        <v>0</v>
      </c>
      <c r="AK2276" s="625">
        <v>0</v>
      </c>
      <c r="AL2276" s="625">
        <v>0</v>
      </c>
      <c r="AM2276" s="625">
        <v>0</v>
      </c>
      <c r="AN2276" s="625">
        <v>0</v>
      </c>
      <c r="AO2276" s="625">
        <v>0</v>
      </c>
      <c r="AP2276" s="41" t="str">
        <f t="shared" si="1084"/>
        <v>Def TaxN</v>
      </c>
      <c r="AQ2276" s="41" t="str">
        <f t="shared" si="1085"/>
        <v>Def TaxNN20</v>
      </c>
      <c r="AR2276" s="41" t="str">
        <f t="shared" si="1086"/>
        <v>N20</v>
      </c>
    </row>
    <row r="2277" spans="1:44" s="41" customFormat="1" ht="12.75" customHeight="1">
      <c r="A2277" s="442" t="s">
        <v>1590</v>
      </c>
      <c r="B2277" s="442" t="str">
        <f t="shared" si="1081"/>
        <v>Def Tax283410BT010111</v>
      </c>
      <c r="C2277" s="736">
        <v>283410</v>
      </c>
      <c r="D2277" s="735"/>
      <c r="E2277" s="626" t="s">
        <v>2183</v>
      </c>
      <c r="F2277" s="626" t="str">
        <f t="shared" ref="F2277:F2342" si="1099">VLOOKUP(C2277,$C$7:$F$787,4,FALSE)</f>
        <v>ACCUM DEF INC TAX-OTH-STATE-GAS</v>
      </c>
      <c r="G2277" s="626" t="s">
        <v>2297</v>
      </c>
      <c r="H2277" s="736">
        <v>0</v>
      </c>
      <c r="I2277" s="442"/>
      <c r="J2277" s="442" t="str">
        <f t="shared" si="1080"/>
        <v/>
      </c>
      <c r="K2277" s="442" t="str">
        <f t="shared" si="1083"/>
        <v/>
      </c>
      <c r="L2277" s="736" t="s">
        <v>2421</v>
      </c>
      <c r="M2277" s="442" t="str">
        <f t="shared" si="1087"/>
        <v>N</v>
      </c>
      <c r="N2277" s="442" t="str">
        <f>IF(L2277&lt;&gt;"",VLOOKUP(L2277,Categories!$B$2:$D$41,2,FALSE),IF(F2277&lt;&gt;"","No Cat",""))</f>
        <v>NRBASE</v>
      </c>
      <c r="O2277" s="442" t="str">
        <f>IF($L2277&lt;&gt;"",VLOOKUP($L2277,Categories!$B$2:$D$41,3,FALSE),IF($F2277&lt;&gt;"","No Cat",""))</f>
        <v>Direct Assign Items Not in RB</v>
      </c>
      <c r="P2277" s="736" t="s">
        <v>2468</v>
      </c>
      <c r="Q2277" s="442" t="str">
        <f>VLOOKUP($P2277,Allocators!$B$7:$F$19,5,FALSE)</f>
        <v>Not in Rate Base</v>
      </c>
      <c r="R2277" s="737">
        <f>VLOOKUP($P2277,Allocators!$B$7:$F$19,2,FALSE)</f>
        <v>0</v>
      </c>
      <c r="S2277" s="737">
        <f>VLOOKUP($P2277,Allocators!$B$7:$F$19,3,FALSE)</f>
        <v>0</v>
      </c>
      <c r="T2277" s="737">
        <f t="shared" si="1082"/>
        <v>1</v>
      </c>
      <c r="U2277" s="2" t="str">
        <f t="shared" si="1093"/>
        <v/>
      </c>
      <c r="V2277" s="2" t="str">
        <f t="shared" si="1094"/>
        <v/>
      </c>
      <c r="W2277" s="2" t="str">
        <f t="shared" si="1095"/>
        <v/>
      </c>
      <c r="X2277" s="2">
        <f t="shared" si="1088"/>
        <v>0</v>
      </c>
      <c r="Y2277" s="2" t="str">
        <f t="shared" si="1096"/>
        <v/>
      </c>
      <c r="Z2277" s="2" t="str">
        <f t="shared" si="1097"/>
        <v/>
      </c>
      <c r="AA2277" s="2" t="str">
        <f t="shared" si="1098"/>
        <v/>
      </c>
      <c r="AB2277" s="2">
        <f t="shared" si="1089"/>
        <v>0</v>
      </c>
      <c r="AC2277" s="625">
        <v>0</v>
      </c>
      <c r="AD2277" s="625">
        <v>0</v>
      </c>
      <c r="AE2277" s="625">
        <v>0</v>
      </c>
      <c r="AF2277" s="625">
        <v>0</v>
      </c>
      <c r="AG2277" s="625">
        <v>0</v>
      </c>
      <c r="AH2277" s="625">
        <v>0</v>
      </c>
      <c r="AI2277" s="625">
        <v>0</v>
      </c>
      <c r="AJ2277" s="625">
        <v>0</v>
      </c>
      <c r="AK2277" s="625">
        <v>0</v>
      </c>
      <c r="AL2277" s="625">
        <v>0</v>
      </c>
      <c r="AM2277" s="625">
        <v>0</v>
      </c>
      <c r="AN2277" s="625">
        <v>0</v>
      </c>
      <c r="AO2277" s="625">
        <v>0</v>
      </c>
      <c r="AP2277" s="41" t="str">
        <f t="shared" si="1084"/>
        <v>Def TaxN</v>
      </c>
      <c r="AQ2277" s="41" t="str">
        <f t="shared" si="1085"/>
        <v>Def TaxNN20</v>
      </c>
      <c r="AR2277" s="41" t="str">
        <f t="shared" si="1086"/>
        <v>N20</v>
      </c>
    </row>
    <row r="2278" spans="1:44" s="41" customFormat="1" ht="12.75" customHeight="1">
      <c r="A2278" s="25" t="s">
        <v>1590</v>
      </c>
      <c r="B2278" s="25" t="str">
        <f t="shared" si="1081"/>
        <v>Def Tax283410283-073-JP</v>
      </c>
      <c r="C2278" s="736">
        <v>283410</v>
      </c>
      <c r="D2278" s="735" t="s">
        <v>2050</v>
      </c>
      <c r="F2278" s="41" t="str">
        <f t="shared" si="1099"/>
        <v>ACCUM DEF INC TAX-OTH-STATE-GAS</v>
      </c>
      <c r="G2278" s="41" t="s">
        <v>2260</v>
      </c>
      <c r="H2278" s="736" t="s">
        <v>1234</v>
      </c>
      <c r="I2278" s="25"/>
      <c r="J2278" s="25" t="str">
        <f t="shared" ref="J2278:J2343" si="1100">IF(L2278="N10","Y",IF(L2278="N8","Y",""))</f>
        <v/>
      </c>
      <c r="K2278" s="442" t="str">
        <f t="shared" si="1083"/>
        <v/>
      </c>
      <c r="L2278" s="736" t="s">
        <v>2443</v>
      </c>
      <c r="M2278" s="25" t="str">
        <f t="shared" si="1087"/>
        <v>R</v>
      </c>
      <c r="N2278" s="25" t="str">
        <f>IF(L2278&lt;&gt;"",VLOOKUP(L2278,Categories!$B$2:$D$41,2,FALSE),IF(F2278&lt;&gt;"","No Cat",""))</f>
        <v>Rate Base</v>
      </c>
      <c r="O2278" s="25" t="str">
        <f>IF($L2278&lt;&gt;"",VLOOKUP($L2278,Categories!$B$2:$D$41,3,FALSE),IF($F2278&lt;&gt;"","No Cat",""))</f>
        <v>Deferred Income Taxes</v>
      </c>
      <c r="P2278" s="736" t="s">
        <v>2483</v>
      </c>
      <c r="Q2278" s="25" t="str">
        <f>VLOOKUP($P2278,Allocators!$B$7:$F$19,5,FALSE)</f>
        <v>Gas</v>
      </c>
      <c r="R2278" s="737">
        <f>VLOOKUP($P2278,Allocators!$B$7:$F$19,2,FALSE)</f>
        <v>0</v>
      </c>
      <c r="S2278" s="737">
        <f>VLOOKUP($P2278,Allocators!$B$7:$F$19,3,FALSE)</f>
        <v>1</v>
      </c>
      <c r="T2278" s="737" t="str">
        <f t="shared" si="1082"/>
        <v>0.0%</v>
      </c>
      <c r="U2278" s="2" t="str">
        <f t="shared" si="1093"/>
        <v/>
      </c>
      <c r="V2278" s="2" t="str">
        <f t="shared" si="1094"/>
        <v/>
      </c>
      <c r="W2278" s="2" t="str">
        <f t="shared" si="1095"/>
        <v/>
      </c>
      <c r="X2278" s="2">
        <f t="shared" si="1088"/>
        <v>0</v>
      </c>
      <c r="Y2278" s="2" t="str">
        <f t="shared" si="1096"/>
        <v/>
      </c>
      <c r="Z2278" s="2" t="str">
        <f t="shared" si="1097"/>
        <v/>
      </c>
      <c r="AA2278" s="2" t="str">
        <f t="shared" si="1098"/>
        <v/>
      </c>
      <c r="AB2278" s="2">
        <f t="shared" si="1089"/>
        <v>0</v>
      </c>
      <c r="AC2278" s="625">
        <v>0</v>
      </c>
      <c r="AD2278" s="625">
        <v>0</v>
      </c>
      <c r="AE2278" s="625">
        <v>0</v>
      </c>
      <c r="AF2278" s="625">
        <v>0</v>
      </c>
      <c r="AG2278" s="625">
        <v>0</v>
      </c>
      <c r="AH2278" s="625">
        <v>0</v>
      </c>
      <c r="AI2278" s="625">
        <v>0</v>
      </c>
      <c r="AJ2278" s="625">
        <v>0</v>
      </c>
      <c r="AK2278" s="625">
        <v>0</v>
      </c>
      <c r="AL2278" s="625">
        <v>0</v>
      </c>
      <c r="AM2278" s="625">
        <v>0</v>
      </c>
      <c r="AN2278" s="625">
        <v>0</v>
      </c>
      <c r="AO2278" s="625">
        <v>0</v>
      </c>
      <c r="AP2278" s="41" t="str">
        <f t="shared" si="1084"/>
        <v>Def TaxR</v>
      </c>
      <c r="AQ2278" s="41" t="str">
        <f t="shared" si="1085"/>
        <v>Def TaxRR11Merchant Function Charge-Gas</v>
      </c>
      <c r="AR2278" s="41" t="str">
        <f t="shared" si="1086"/>
        <v>R11Merchant Function Charge-Gas</v>
      </c>
    </row>
    <row r="2279" spans="1:44" s="41" customFormat="1" ht="12.75" customHeight="1">
      <c r="A2279" s="25" t="s">
        <v>1590</v>
      </c>
      <c r="B2279" s="25" t="str">
        <f t="shared" si="1081"/>
        <v>Def Tax283410BT010390</v>
      </c>
      <c r="C2279" s="736">
        <v>283410</v>
      </c>
      <c r="D2279" s="735"/>
      <c r="E2279" s="41" t="s">
        <v>2126</v>
      </c>
      <c r="F2279" s="41" t="str">
        <f t="shared" si="1099"/>
        <v>ACCUM DEF INC TAX-OTH-STATE-GAS</v>
      </c>
      <c r="G2279" s="41" t="s">
        <v>2298</v>
      </c>
      <c r="H2279" s="736" t="s">
        <v>2125</v>
      </c>
      <c r="I2279" s="25"/>
      <c r="J2279" s="442" t="s">
        <v>7</v>
      </c>
      <c r="K2279" s="442" t="str">
        <f t="shared" si="1083"/>
        <v/>
      </c>
      <c r="L2279" s="736" t="s">
        <v>2436</v>
      </c>
      <c r="M2279" s="25" t="str">
        <f t="shared" si="1087"/>
        <v>N</v>
      </c>
      <c r="N2279" s="25" t="str">
        <f>IF(L2279&lt;&gt;"",VLOOKUP(L2279,Categories!$B$2:$D$41,2,FALSE),IF(F2279&lt;&gt;"","No Cat",""))</f>
        <v>NRBASE</v>
      </c>
      <c r="O2279" s="25" t="str">
        <f>IF($L2279&lt;&gt;"",VLOOKUP($L2279,Categories!$B$2:$D$41,3,FALSE),IF($F2279&lt;&gt;"","No Cat",""))</f>
        <v>Deferrals Accruing Non-Cash Return   (other than ASGA)</v>
      </c>
      <c r="P2279" s="736" t="s">
        <v>2468</v>
      </c>
      <c r="Q2279" s="25" t="str">
        <f>VLOOKUP($P2279,Allocators!$B$7:$F$19,5,FALSE)</f>
        <v>Not in Rate Base</v>
      </c>
      <c r="R2279" s="737">
        <f>VLOOKUP($P2279,Allocators!$B$7:$F$19,2,FALSE)</f>
        <v>0</v>
      </c>
      <c r="S2279" s="737">
        <f>VLOOKUP($P2279,Allocators!$B$7:$F$19,3,FALSE)</f>
        <v>0</v>
      </c>
      <c r="T2279" s="737">
        <f t="shared" si="1082"/>
        <v>1</v>
      </c>
      <c r="U2279" s="2" t="str">
        <f t="shared" si="1093"/>
        <v/>
      </c>
      <c r="V2279" s="2" t="str">
        <f t="shared" si="1094"/>
        <v/>
      </c>
      <c r="W2279" s="2" t="str">
        <f t="shared" si="1095"/>
        <v/>
      </c>
      <c r="X2279" s="2">
        <f t="shared" si="1088"/>
        <v>0</v>
      </c>
      <c r="Y2279" s="2" t="str">
        <f t="shared" si="1096"/>
        <v/>
      </c>
      <c r="Z2279" s="2" t="str">
        <f t="shared" si="1097"/>
        <v/>
      </c>
      <c r="AA2279" s="2" t="str">
        <f t="shared" si="1098"/>
        <v/>
      </c>
      <c r="AB2279" s="2">
        <f t="shared" si="1089"/>
        <v>0</v>
      </c>
      <c r="AC2279" s="625">
        <v>0</v>
      </c>
      <c r="AD2279" s="625">
        <v>0</v>
      </c>
      <c r="AE2279" s="625">
        <v>0</v>
      </c>
      <c r="AF2279" s="625">
        <v>0</v>
      </c>
      <c r="AG2279" s="625">
        <v>0</v>
      </c>
      <c r="AH2279" s="625">
        <v>0</v>
      </c>
      <c r="AI2279" s="625">
        <v>0</v>
      </c>
      <c r="AJ2279" s="625">
        <v>0</v>
      </c>
      <c r="AK2279" s="625">
        <v>0</v>
      </c>
      <c r="AL2279" s="625">
        <v>0</v>
      </c>
      <c r="AM2279" s="625">
        <v>0</v>
      </c>
      <c r="AN2279" s="625">
        <v>0</v>
      </c>
      <c r="AO2279" s="625">
        <v>0</v>
      </c>
      <c r="AP2279" s="41" t="str">
        <f t="shared" si="1084"/>
        <v>Def TaxN</v>
      </c>
      <c r="AQ2279" s="41" t="str">
        <f t="shared" si="1085"/>
        <v>Def TaxNN10Mixed Use 263(a)</v>
      </c>
      <c r="AR2279" s="41" t="str">
        <f t="shared" si="1086"/>
        <v>N10Mixed Use 263(a)NCR</v>
      </c>
    </row>
    <row r="2280" spans="1:44" s="41" customFormat="1" ht="12.75" customHeight="1">
      <c r="A2280" s="25" t="s">
        <v>1590</v>
      </c>
      <c r="B2280" s="25" t="str">
        <f t="shared" si="1081"/>
        <v>Def Tax283410283-002BT010127</v>
      </c>
      <c r="C2280" s="736">
        <v>283410</v>
      </c>
      <c r="D2280" s="735" t="s">
        <v>2198</v>
      </c>
      <c r="E2280" s="41" t="s">
        <v>2199</v>
      </c>
      <c r="F2280" s="41" t="str">
        <f t="shared" si="1099"/>
        <v>ACCUM DEF INC TAX-OTH-STATE-GAS</v>
      </c>
      <c r="G2280" s="41" t="s">
        <v>2261</v>
      </c>
      <c r="H2280" s="736" t="s">
        <v>2201</v>
      </c>
      <c r="I2280" s="25"/>
      <c r="J2280" s="25" t="str">
        <f t="shared" si="1100"/>
        <v/>
      </c>
      <c r="K2280" s="442" t="str">
        <f t="shared" si="1083"/>
        <v/>
      </c>
      <c r="L2280" s="736" t="s">
        <v>2443</v>
      </c>
      <c r="M2280" s="25" t="str">
        <f t="shared" si="1087"/>
        <v>R</v>
      </c>
      <c r="N2280" s="25" t="str">
        <f>IF(L2280&lt;&gt;"",VLOOKUP(L2280,Categories!$B$2:$D$41,2,FALSE),IF(F2280&lt;&gt;"","No Cat",""))</f>
        <v>Rate Base</v>
      </c>
      <c r="O2280" s="25" t="str">
        <f>IF($L2280&lt;&gt;"",VLOOKUP($L2280,Categories!$B$2:$D$41,3,FALSE),IF($F2280&lt;&gt;"","No Cat",""))</f>
        <v>Deferred Income Taxes</v>
      </c>
      <c r="P2280" s="736" t="s">
        <v>2483</v>
      </c>
      <c r="Q2280" s="25" t="str">
        <f>VLOOKUP($P2280,Allocators!$B$7:$F$19,5,FALSE)</f>
        <v>Gas</v>
      </c>
      <c r="R2280" s="737">
        <f>VLOOKUP($P2280,Allocators!$B$7:$F$19,2,FALSE)</f>
        <v>0</v>
      </c>
      <c r="S2280" s="737">
        <f>VLOOKUP($P2280,Allocators!$B$7:$F$19,3,FALSE)</f>
        <v>1</v>
      </c>
      <c r="T2280" s="737" t="str">
        <f t="shared" si="1082"/>
        <v>0.0%</v>
      </c>
      <c r="U2280" s="2">
        <f t="shared" si="1093"/>
        <v>0</v>
      </c>
      <c r="V2280" s="2">
        <f t="shared" si="1094"/>
        <v>-37.636801666666699</v>
      </c>
      <c r="W2280" s="2">
        <f t="shared" si="1095"/>
        <v>0</v>
      </c>
      <c r="X2280" s="2">
        <f t="shared" si="1088"/>
        <v>-37.636801666666699</v>
      </c>
      <c r="Y2280" s="2">
        <f t="shared" si="1096"/>
        <v>0</v>
      </c>
      <c r="Z2280" s="2">
        <f t="shared" si="1097"/>
        <v>-39.163460000000001</v>
      </c>
      <c r="AA2280" s="2">
        <f t="shared" si="1098"/>
        <v>0</v>
      </c>
      <c r="AB2280" s="2">
        <f t="shared" si="1089"/>
        <v>-39.163460000000001</v>
      </c>
      <c r="AC2280" s="625">
        <v>-34.544059999999995</v>
      </c>
      <c r="AD2280" s="625">
        <v>-35.242230000000006</v>
      </c>
      <c r="AE2280" s="625">
        <v>-35.940390000000001</v>
      </c>
      <c r="AF2280" s="625">
        <v>-36.638559999999998</v>
      </c>
      <c r="AG2280" s="625">
        <v>-37.336730000000003</v>
      </c>
      <c r="AH2280" s="625">
        <v>-38.034889999999997</v>
      </c>
      <c r="AI2280" s="625">
        <v>-38.733059999999995</v>
      </c>
      <c r="AJ2280" s="625">
        <v>-39.431230000000006</v>
      </c>
      <c r="AK2280" s="625">
        <v>-40.129390000000001</v>
      </c>
      <c r="AL2280" s="625">
        <v>-37.068959999999997</v>
      </c>
      <c r="AM2280" s="625">
        <v>-37.767129999999995</v>
      </c>
      <c r="AN2280" s="625">
        <v>-38.465290000000003</v>
      </c>
      <c r="AO2280" s="625">
        <v>-39.163460000000001</v>
      </c>
      <c r="AP2280" s="41" t="str">
        <f t="shared" si="1084"/>
        <v>Def TaxR</v>
      </c>
      <c r="AQ2280" s="41" t="str">
        <f t="shared" si="1085"/>
        <v>Def TaxRR11Mortgage Recording Tax</v>
      </c>
      <c r="AR2280" s="41" t="str">
        <f t="shared" si="1086"/>
        <v>R11Mortgage Recording Tax</v>
      </c>
    </row>
    <row r="2281" spans="1:44" s="41" customFormat="1" ht="12.75" customHeight="1">
      <c r="A2281" s="25" t="s">
        <v>1590</v>
      </c>
      <c r="B2281" s="25" t="str">
        <f t="shared" si="1081"/>
        <v>Def Tax283410283-002-SBT010127</v>
      </c>
      <c r="C2281" s="736">
        <v>283410</v>
      </c>
      <c r="D2281" s="735" t="s">
        <v>2202</v>
      </c>
      <c r="E2281" s="41" t="s">
        <v>2199</v>
      </c>
      <c r="F2281" s="41" t="str">
        <f t="shared" si="1099"/>
        <v>ACCUM DEF INC TAX-OTH-STATE-GAS</v>
      </c>
      <c r="G2281" s="41" t="s">
        <v>2262</v>
      </c>
      <c r="H2281" s="736" t="s">
        <v>2201</v>
      </c>
      <c r="I2281" s="25"/>
      <c r="J2281" s="25" t="str">
        <f t="shared" si="1100"/>
        <v/>
      </c>
      <c r="K2281" s="442" t="str">
        <f t="shared" si="1083"/>
        <v/>
      </c>
      <c r="L2281" s="736" t="s">
        <v>2443</v>
      </c>
      <c r="M2281" s="25" t="str">
        <f t="shared" si="1087"/>
        <v>R</v>
      </c>
      <c r="N2281" s="25" t="str">
        <f>IF(L2281&lt;&gt;"",VLOOKUP(L2281,Categories!$B$2:$D$41,2,FALSE),IF(F2281&lt;&gt;"","No Cat",""))</f>
        <v>Rate Base</v>
      </c>
      <c r="O2281" s="25" t="str">
        <f>IF($L2281&lt;&gt;"",VLOOKUP($L2281,Categories!$B$2:$D$41,3,FALSE),IF($F2281&lt;&gt;"","No Cat",""))</f>
        <v>Deferred Income Taxes</v>
      </c>
      <c r="P2281" s="736" t="s">
        <v>2483</v>
      </c>
      <c r="Q2281" s="25" t="str">
        <f>VLOOKUP($P2281,Allocators!$B$7:$F$19,5,FALSE)</f>
        <v>Gas</v>
      </c>
      <c r="R2281" s="737">
        <f>VLOOKUP($P2281,Allocators!$B$7:$F$19,2,FALSE)</f>
        <v>0</v>
      </c>
      <c r="S2281" s="737">
        <f>VLOOKUP($P2281,Allocators!$B$7:$F$19,3,FALSE)</f>
        <v>1</v>
      </c>
      <c r="T2281" s="737" t="str">
        <f t="shared" si="1082"/>
        <v>0.0%</v>
      </c>
      <c r="U2281" s="2" t="str">
        <f t="shared" si="1093"/>
        <v/>
      </c>
      <c r="V2281" s="2" t="str">
        <f t="shared" si="1094"/>
        <v/>
      </c>
      <c r="W2281" s="2" t="str">
        <f t="shared" si="1095"/>
        <v/>
      </c>
      <c r="X2281" s="2">
        <f t="shared" si="1088"/>
        <v>0</v>
      </c>
      <c r="Y2281" s="2" t="str">
        <f t="shared" si="1096"/>
        <v/>
      </c>
      <c r="Z2281" s="2" t="str">
        <f t="shared" si="1097"/>
        <v/>
      </c>
      <c r="AA2281" s="2" t="str">
        <f t="shared" si="1098"/>
        <v/>
      </c>
      <c r="AB2281" s="2">
        <f t="shared" si="1089"/>
        <v>0</v>
      </c>
      <c r="AC2281" s="625">
        <v>0</v>
      </c>
      <c r="AD2281" s="625">
        <v>0</v>
      </c>
      <c r="AE2281" s="625">
        <v>0</v>
      </c>
      <c r="AF2281" s="625">
        <v>0</v>
      </c>
      <c r="AG2281" s="625">
        <v>0</v>
      </c>
      <c r="AH2281" s="625">
        <v>0</v>
      </c>
      <c r="AI2281" s="625">
        <v>0</v>
      </c>
      <c r="AJ2281" s="625">
        <v>0</v>
      </c>
      <c r="AK2281" s="625">
        <v>0</v>
      </c>
      <c r="AL2281" s="625">
        <v>0</v>
      </c>
      <c r="AM2281" s="625">
        <v>0</v>
      </c>
      <c r="AN2281" s="625">
        <v>0</v>
      </c>
      <c r="AO2281" s="625">
        <v>0</v>
      </c>
      <c r="AP2281" s="41" t="str">
        <f t="shared" si="1084"/>
        <v>Def TaxR</v>
      </c>
      <c r="AQ2281" s="41" t="str">
        <f t="shared" si="1085"/>
        <v>Def TaxRR11Mortgage Recording Tax</v>
      </c>
      <c r="AR2281" s="41" t="str">
        <f t="shared" si="1086"/>
        <v>R11Mortgage Recording Tax</v>
      </c>
    </row>
    <row r="2282" spans="1:44" s="41" customFormat="1" ht="12.75" customHeight="1">
      <c r="A2282" s="25" t="s">
        <v>1590</v>
      </c>
      <c r="B2282" s="25" t="str">
        <f t="shared" si="1081"/>
        <v>Def Tax283410PensionBT010167</v>
      </c>
      <c r="C2282" s="736">
        <v>283410</v>
      </c>
      <c r="D2282" s="735" t="s">
        <v>1673</v>
      </c>
      <c r="E2282" s="41" t="s">
        <v>1671</v>
      </c>
      <c r="F2282" s="41" t="str">
        <f t="shared" si="1099"/>
        <v>ACCUM DEF INC TAX-OTH-STATE-GAS</v>
      </c>
      <c r="G2282" s="41" t="s">
        <v>1876</v>
      </c>
      <c r="H2282" s="736" t="s">
        <v>1673</v>
      </c>
      <c r="I2282" s="25"/>
      <c r="J2282" s="25" t="str">
        <f t="shared" si="1100"/>
        <v/>
      </c>
      <c r="K2282" s="442" t="str">
        <f t="shared" si="1083"/>
        <v/>
      </c>
      <c r="L2282" s="736" t="s">
        <v>2443</v>
      </c>
      <c r="M2282" s="25" t="str">
        <f t="shared" si="1087"/>
        <v>R</v>
      </c>
      <c r="N2282" s="25" t="str">
        <f>IF(L2282&lt;&gt;"",VLOOKUP(L2282,Categories!$B$2:$D$41,2,FALSE),IF(F2282&lt;&gt;"","No Cat",""))</f>
        <v>Rate Base</v>
      </c>
      <c r="O2282" s="25" t="str">
        <f>IF($L2282&lt;&gt;"",VLOOKUP($L2282,Categories!$B$2:$D$41,3,FALSE),IF($F2282&lt;&gt;"","No Cat",""))</f>
        <v>Deferred Income Taxes</v>
      </c>
      <c r="P2282" s="736" t="s">
        <v>2483</v>
      </c>
      <c r="Q2282" s="25" t="str">
        <f>VLOOKUP($P2282,Allocators!$B$7:$F$19,5,FALSE)</f>
        <v>Gas</v>
      </c>
      <c r="R2282" s="737">
        <f>VLOOKUP($P2282,Allocators!$B$7:$F$19,2,FALSE)</f>
        <v>0</v>
      </c>
      <c r="S2282" s="737">
        <f>VLOOKUP($P2282,Allocators!$B$7:$F$19,3,FALSE)</f>
        <v>1</v>
      </c>
      <c r="T2282" s="737" t="str">
        <f t="shared" si="1082"/>
        <v>0.0%</v>
      </c>
      <c r="U2282" s="2" t="str">
        <f t="shared" si="1093"/>
        <v/>
      </c>
      <c r="V2282" s="2" t="str">
        <f t="shared" si="1094"/>
        <v/>
      </c>
      <c r="W2282" s="2" t="str">
        <f t="shared" si="1095"/>
        <v/>
      </c>
      <c r="X2282" s="2">
        <f t="shared" si="1088"/>
        <v>0</v>
      </c>
      <c r="Y2282" s="2" t="str">
        <f t="shared" si="1096"/>
        <v/>
      </c>
      <c r="Z2282" s="2" t="str">
        <f t="shared" si="1097"/>
        <v/>
      </c>
      <c r="AA2282" s="2" t="str">
        <f t="shared" si="1098"/>
        <v/>
      </c>
      <c r="AB2282" s="2">
        <f t="shared" si="1089"/>
        <v>0</v>
      </c>
      <c r="AC2282" s="625">
        <v>0</v>
      </c>
      <c r="AD2282" s="625">
        <v>0</v>
      </c>
      <c r="AE2282" s="625">
        <v>0</v>
      </c>
      <c r="AF2282" s="625">
        <v>0</v>
      </c>
      <c r="AG2282" s="625">
        <v>0</v>
      </c>
      <c r="AH2282" s="625">
        <v>0</v>
      </c>
      <c r="AI2282" s="625">
        <v>0</v>
      </c>
      <c r="AJ2282" s="625">
        <v>0</v>
      </c>
      <c r="AK2282" s="625">
        <v>0</v>
      </c>
      <c r="AL2282" s="625">
        <v>0</v>
      </c>
      <c r="AM2282" s="625">
        <v>0</v>
      </c>
      <c r="AN2282" s="625">
        <v>0</v>
      </c>
      <c r="AO2282" s="625">
        <v>0</v>
      </c>
      <c r="AP2282" s="41" t="str">
        <f t="shared" si="1084"/>
        <v>Def TaxR</v>
      </c>
      <c r="AQ2282" s="41" t="str">
        <f t="shared" si="1085"/>
        <v>Def TaxRR11Pension</v>
      </c>
      <c r="AR2282" s="41" t="str">
        <f t="shared" si="1086"/>
        <v>R11Pension</v>
      </c>
    </row>
    <row r="2283" spans="1:44" s="41" customFormat="1" ht="12.75" customHeight="1">
      <c r="A2283" s="25" t="s">
        <v>1590</v>
      </c>
      <c r="B2283" s="25" t="str">
        <f t="shared" si="1081"/>
        <v>Def Tax283410283-032BT010088</v>
      </c>
      <c r="C2283" s="736">
        <v>283410</v>
      </c>
      <c r="D2283" s="735" t="s">
        <v>1650</v>
      </c>
      <c r="E2283" s="41" t="s">
        <v>1651</v>
      </c>
      <c r="F2283" s="41" t="str">
        <f t="shared" si="1099"/>
        <v>ACCUM DEF INC TAX-OTH-STATE-GAS</v>
      </c>
      <c r="G2283" s="41" t="s">
        <v>2216</v>
      </c>
      <c r="H2283" s="736" t="s">
        <v>1586</v>
      </c>
      <c r="I2283" s="25"/>
      <c r="J2283" s="25" t="str">
        <f t="shared" si="1100"/>
        <v/>
      </c>
      <c r="K2283" s="442" t="str">
        <f t="shared" si="1083"/>
        <v/>
      </c>
      <c r="L2283" s="736" t="s">
        <v>2443</v>
      </c>
      <c r="M2283" s="25" t="str">
        <f t="shared" si="1087"/>
        <v>R</v>
      </c>
      <c r="N2283" s="25" t="str">
        <f>IF(L2283&lt;&gt;"",VLOOKUP(L2283,Categories!$B$2:$D$41,2,FALSE),IF(F2283&lt;&gt;"","No Cat",""))</f>
        <v>Rate Base</v>
      </c>
      <c r="O2283" s="25" t="str">
        <f>IF($L2283&lt;&gt;"",VLOOKUP($L2283,Categories!$B$2:$D$41,3,FALSE),IF($F2283&lt;&gt;"","No Cat",""))</f>
        <v>Deferred Income Taxes</v>
      </c>
      <c r="P2283" s="736" t="s">
        <v>2483</v>
      </c>
      <c r="Q2283" s="25" t="str">
        <f>VLOOKUP($P2283,Allocators!$B$7:$F$19,5,FALSE)</f>
        <v>Gas</v>
      </c>
      <c r="R2283" s="737">
        <f>VLOOKUP($P2283,Allocators!$B$7:$F$19,2,FALSE)</f>
        <v>0</v>
      </c>
      <c r="S2283" s="737">
        <f>VLOOKUP($P2283,Allocators!$B$7:$F$19,3,FALSE)</f>
        <v>1</v>
      </c>
      <c r="T2283" s="737" t="str">
        <f t="shared" si="1082"/>
        <v>0.0%</v>
      </c>
      <c r="U2283" s="2" t="str">
        <f t="shared" si="1093"/>
        <v/>
      </c>
      <c r="V2283" s="2" t="str">
        <f t="shared" si="1094"/>
        <v/>
      </c>
      <c r="W2283" s="2" t="str">
        <f t="shared" si="1095"/>
        <v/>
      </c>
      <c r="X2283" s="2">
        <f t="shared" si="1088"/>
        <v>0</v>
      </c>
      <c r="Y2283" s="2" t="str">
        <f t="shared" si="1096"/>
        <v/>
      </c>
      <c r="Z2283" s="2" t="str">
        <f t="shared" si="1097"/>
        <v/>
      </c>
      <c r="AA2283" s="2" t="str">
        <f t="shared" si="1098"/>
        <v/>
      </c>
      <c r="AB2283" s="2">
        <f t="shared" si="1089"/>
        <v>0</v>
      </c>
      <c r="AC2283" s="625">
        <v>0</v>
      </c>
      <c r="AD2283" s="625">
        <v>0</v>
      </c>
      <c r="AE2283" s="625">
        <v>0</v>
      </c>
      <c r="AF2283" s="625">
        <v>0</v>
      </c>
      <c r="AG2283" s="625">
        <v>0</v>
      </c>
      <c r="AH2283" s="625">
        <v>0</v>
      </c>
      <c r="AI2283" s="625">
        <v>0</v>
      </c>
      <c r="AJ2283" s="625">
        <v>0</v>
      </c>
      <c r="AK2283" s="625">
        <v>0</v>
      </c>
      <c r="AL2283" s="625">
        <v>0</v>
      </c>
      <c r="AM2283" s="625">
        <v>0</v>
      </c>
      <c r="AN2283" s="625">
        <v>0</v>
      </c>
      <c r="AO2283" s="625">
        <v>0</v>
      </c>
      <c r="AP2283" s="41" t="str">
        <f t="shared" si="1084"/>
        <v>Def TaxR</v>
      </c>
      <c r="AQ2283" s="41" t="str">
        <f t="shared" si="1085"/>
        <v>Def TaxRR11FAS 112</v>
      </c>
      <c r="AR2283" s="41" t="str">
        <f t="shared" si="1086"/>
        <v>R11FAS 112</v>
      </c>
    </row>
    <row r="2284" spans="1:44" s="41" customFormat="1" ht="12.75" customHeight="1">
      <c r="A2284" s="25" t="s">
        <v>1590</v>
      </c>
      <c r="B2284" s="25" t="str">
        <f t="shared" si="1081"/>
        <v>Def Tax283410283-089BT010172</v>
      </c>
      <c r="C2284" s="736">
        <v>283410</v>
      </c>
      <c r="D2284" s="735" t="s">
        <v>2218</v>
      </c>
      <c r="E2284" s="41" t="s">
        <v>2219</v>
      </c>
      <c r="F2284" s="41" t="str">
        <f t="shared" si="1099"/>
        <v>ACCUM DEF INC TAX-OTH-STATE-GAS</v>
      </c>
      <c r="G2284" s="41" t="s">
        <v>2220</v>
      </c>
      <c r="H2284" s="736" t="s">
        <v>2221</v>
      </c>
      <c r="I2284" s="25"/>
      <c r="J2284" s="25" t="str">
        <f t="shared" si="1100"/>
        <v/>
      </c>
      <c r="K2284" s="442" t="str">
        <f t="shared" si="1083"/>
        <v/>
      </c>
      <c r="L2284" s="736" t="s">
        <v>2443</v>
      </c>
      <c r="M2284" s="25" t="str">
        <f t="shared" si="1087"/>
        <v>R</v>
      </c>
      <c r="N2284" s="25" t="str">
        <f>IF(L2284&lt;&gt;"",VLOOKUP(L2284,Categories!$B$2:$D$41,2,FALSE),IF(F2284&lt;&gt;"","No Cat",""))</f>
        <v>Rate Base</v>
      </c>
      <c r="O2284" s="25" t="str">
        <f>IF($L2284&lt;&gt;"",VLOOKUP($L2284,Categories!$B$2:$D$41,3,FALSE),IF($F2284&lt;&gt;"","No Cat",""))</f>
        <v>Deferred Income Taxes</v>
      </c>
      <c r="P2284" s="736" t="s">
        <v>2483</v>
      </c>
      <c r="Q2284" s="25" t="str">
        <f>VLOOKUP($P2284,Allocators!$B$7:$F$19,5,FALSE)</f>
        <v>Gas</v>
      </c>
      <c r="R2284" s="737">
        <f>VLOOKUP($P2284,Allocators!$B$7:$F$19,2,FALSE)</f>
        <v>0</v>
      </c>
      <c r="S2284" s="737">
        <f>VLOOKUP($P2284,Allocators!$B$7:$F$19,3,FALSE)</f>
        <v>1</v>
      </c>
      <c r="T2284" s="737" t="str">
        <f t="shared" si="1082"/>
        <v>0.0%</v>
      </c>
      <c r="U2284" s="2">
        <f t="shared" si="1093"/>
        <v>0</v>
      </c>
      <c r="V2284" s="2">
        <f t="shared" si="1094"/>
        <v>-16.825089583333298</v>
      </c>
      <c r="W2284" s="2">
        <f t="shared" si="1095"/>
        <v>0</v>
      </c>
      <c r="X2284" s="2">
        <f t="shared" si="1088"/>
        <v>-16.825089583333298</v>
      </c>
      <c r="Y2284" s="2">
        <f t="shared" si="1096"/>
        <v>0</v>
      </c>
      <c r="Z2284" s="2">
        <f t="shared" si="1097"/>
        <v>-24.455829999999999</v>
      </c>
      <c r="AA2284" s="2">
        <f t="shared" si="1098"/>
        <v>0</v>
      </c>
      <c r="AB2284" s="2">
        <f t="shared" si="1089"/>
        <v>-24.455830000000002</v>
      </c>
      <c r="AC2284" s="625">
        <v>-14.12354</v>
      </c>
      <c r="AD2284" s="625">
        <v>-9.6258400000000002</v>
      </c>
      <c r="AE2284" s="625">
        <v>-8.7090499999999995</v>
      </c>
      <c r="AF2284" s="625">
        <v>-4.6957200000000006</v>
      </c>
      <c r="AG2284" s="625">
        <v>-6.0934200000000001</v>
      </c>
      <c r="AH2284" s="625">
        <v>-1.44072</v>
      </c>
      <c r="AI2284" s="625">
        <v>1.0017100000000001</v>
      </c>
      <c r="AJ2284" s="625">
        <v>-19.849430000000002</v>
      </c>
      <c r="AK2284" s="625">
        <v>-39.972070000000002</v>
      </c>
      <c r="AL2284" s="625">
        <v>-35.448709999999998</v>
      </c>
      <c r="AM2284" s="625">
        <v>-30.191459999999999</v>
      </c>
      <c r="AN2284" s="625">
        <v>-27.586680000000001</v>
      </c>
      <c r="AO2284" s="625">
        <v>-24.455830000000002</v>
      </c>
      <c r="AP2284" s="41" t="str">
        <f t="shared" si="1084"/>
        <v>Def TaxR</v>
      </c>
      <c r="AQ2284" s="41" t="str">
        <f t="shared" si="1085"/>
        <v>Def TaxRR11Prepaid Insurance</v>
      </c>
      <c r="AR2284" s="41" t="str">
        <f t="shared" si="1086"/>
        <v>R11Prepaid Insurance</v>
      </c>
    </row>
    <row r="2285" spans="1:44" s="41" customFormat="1" ht="12.75" customHeight="1">
      <c r="A2285" s="25" t="s">
        <v>1590</v>
      </c>
      <c r="B2285" s="25" t="str">
        <f t="shared" ref="B2285:B2352" si="1101">CONCATENATE(A2285,C2285,D2285,E2285)</f>
        <v>Def Tax283410283-056BT010173</v>
      </c>
      <c r="C2285" s="736">
        <v>283410</v>
      </c>
      <c r="D2285" s="735" t="s">
        <v>2222</v>
      </c>
      <c r="E2285" s="41" t="s">
        <v>2223</v>
      </c>
      <c r="F2285" s="41" t="str">
        <f t="shared" si="1099"/>
        <v>ACCUM DEF INC TAX-OTH-STATE-GAS</v>
      </c>
      <c r="G2285" s="41" t="s">
        <v>2224</v>
      </c>
      <c r="H2285" s="736" t="s">
        <v>2224</v>
      </c>
      <c r="I2285" s="25"/>
      <c r="J2285" s="25" t="str">
        <f t="shared" si="1100"/>
        <v/>
      </c>
      <c r="K2285" s="442" t="str">
        <f t="shared" si="1083"/>
        <v/>
      </c>
      <c r="L2285" s="736" t="s">
        <v>2443</v>
      </c>
      <c r="M2285" s="25" t="str">
        <f t="shared" si="1087"/>
        <v>R</v>
      </c>
      <c r="N2285" s="25" t="str">
        <f>IF(L2285&lt;&gt;"",VLOOKUP(L2285,Categories!$B$2:$D$41,2,FALSE),IF(F2285&lt;&gt;"","No Cat",""))</f>
        <v>Rate Base</v>
      </c>
      <c r="O2285" s="25" t="str">
        <f>IF($L2285&lt;&gt;"",VLOOKUP($L2285,Categories!$B$2:$D$41,3,FALSE),IF($F2285&lt;&gt;"","No Cat",""))</f>
        <v>Deferred Income Taxes</v>
      </c>
      <c r="P2285" s="736" t="s">
        <v>2483</v>
      </c>
      <c r="Q2285" s="25" t="str">
        <f>VLOOKUP($P2285,Allocators!$B$7:$F$19,5,FALSE)</f>
        <v>Gas</v>
      </c>
      <c r="R2285" s="737">
        <f>VLOOKUP($P2285,Allocators!$B$7:$F$19,2,FALSE)</f>
        <v>0</v>
      </c>
      <c r="S2285" s="737">
        <f>VLOOKUP($P2285,Allocators!$B$7:$F$19,3,FALSE)</f>
        <v>1</v>
      </c>
      <c r="T2285" s="737" t="str">
        <f t="shared" si="1082"/>
        <v>0.0%</v>
      </c>
      <c r="U2285" s="2" t="str">
        <f t="shared" si="1093"/>
        <v/>
      </c>
      <c r="V2285" s="2" t="str">
        <f t="shared" si="1094"/>
        <v/>
      </c>
      <c r="W2285" s="2" t="str">
        <f t="shared" si="1095"/>
        <v/>
      </c>
      <c r="X2285" s="2">
        <f t="shared" si="1088"/>
        <v>0</v>
      </c>
      <c r="Y2285" s="2" t="str">
        <f t="shared" si="1096"/>
        <v/>
      </c>
      <c r="Z2285" s="2" t="str">
        <f t="shared" si="1097"/>
        <v/>
      </c>
      <c r="AA2285" s="2" t="str">
        <f t="shared" si="1098"/>
        <v/>
      </c>
      <c r="AB2285" s="2">
        <f t="shared" si="1089"/>
        <v>0</v>
      </c>
      <c r="AC2285" s="625">
        <v>0</v>
      </c>
      <c r="AD2285" s="625">
        <v>0</v>
      </c>
      <c r="AE2285" s="625">
        <v>0</v>
      </c>
      <c r="AF2285" s="625">
        <v>0</v>
      </c>
      <c r="AG2285" s="625">
        <v>0</v>
      </c>
      <c r="AH2285" s="625">
        <v>0</v>
      </c>
      <c r="AI2285" s="625">
        <v>0</v>
      </c>
      <c r="AJ2285" s="625">
        <v>0</v>
      </c>
      <c r="AK2285" s="625">
        <v>0</v>
      </c>
      <c r="AL2285" s="625">
        <v>0</v>
      </c>
      <c r="AM2285" s="625">
        <v>0</v>
      </c>
      <c r="AN2285" s="625">
        <v>0</v>
      </c>
      <c r="AO2285" s="625">
        <v>0</v>
      </c>
      <c r="AP2285" s="41" t="str">
        <f t="shared" si="1084"/>
        <v>Def TaxR</v>
      </c>
      <c r="AQ2285" s="41" t="str">
        <f t="shared" si="1085"/>
        <v>Def TaxRR11PRIDE</v>
      </c>
      <c r="AR2285" s="41" t="str">
        <f t="shared" si="1086"/>
        <v>R11PRIDE</v>
      </c>
    </row>
    <row r="2286" spans="1:44" s="41" customFormat="1" ht="12.75" customHeight="1">
      <c r="A2286" s="25" t="s">
        <v>1590</v>
      </c>
      <c r="B2286" s="25" t="str">
        <f t="shared" si="1101"/>
        <v>Def Tax283410R&amp;D DeferralBT010177</v>
      </c>
      <c r="C2286" s="736">
        <v>283410</v>
      </c>
      <c r="D2286" s="735" t="s">
        <v>1683</v>
      </c>
      <c r="E2286" s="41" t="s">
        <v>1684</v>
      </c>
      <c r="F2286" s="41" t="str">
        <f t="shared" si="1099"/>
        <v>ACCUM DEF INC TAX-OTH-STATE-GAS</v>
      </c>
      <c r="G2286" s="41" t="s">
        <v>1685</v>
      </c>
      <c r="H2286" s="736" t="s">
        <v>1124</v>
      </c>
      <c r="I2286" s="25"/>
      <c r="J2286" s="25" t="str">
        <f t="shared" si="1100"/>
        <v/>
      </c>
      <c r="K2286" s="442" t="str">
        <f t="shared" si="1083"/>
        <v/>
      </c>
      <c r="L2286" s="736" t="s">
        <v>2421</v>
      </c>
      <c r="M2286" s="25" t="str">
        <f t="shared" si="1087"/>
        <v>N</v>
      </c>
      <c r="N2286" s="25" t="str">
        <f>IF(L2286&lt;&gt;"",VLOOKUP(L2286,Categories!$B$2:$D$41,2,FALSE),IF(F2286&lt;&gt;"","No Cat",""))</f>
        <v>NRBASE</v>
      </c>
      <c r="O2286" s="25" t="str">
        <f>IF($L2286&lt;&gt;"",VLOOKUP($L2286,Categories!$B$2:$D$41,3,FALSE),IF($F2286&lt;&gt;"","No Cat",""))</f>
        <v>Direct Assign Items Not in RB</v>
      </c>
      <c r="P2286" s="736" t="s">
        <v>2468</v>
      </c>
      <c r="Q2286" s="25" t="str">
        <f>VLOOKUP($P2286,Allocators!$B$7:$F$19,5,FALSE)</f>
        <v>Not in Rate Base</v>
      </c>
      <c r="R2286" s="737">
        <f>VLOOKUP($P2286,Allocators!$B$7:$F$19,2,FALSE)</f>
        <v>0</v>
      </c>
      <c r="S2286" s="737">
        <f>VLOOKUP($P2286,Allocators!$B$7:$F$19,3,FALSE)</f>
        <v>0</v>
      </c>
      <c r="T2286" s="737">
        <f t="shared" si="1082"/>
        <v>1</v>
      </c>
      <c r="U2286" s="2" t="str">
        <f t="shared" si="1093"/>
        <v/>
      </c>
      <c r="V2286" s="2" t="str">
        <f t="shared" si="1094"/>
        <v/>
      </c>
      <c r="W2286" s="2" t="str">
        <f t="shared" si="1095"/>
        <v/>
      </c>
      <c r="X2286" s="2">
        <f t="shared" si="1088"/>
        <v>0</v>
      </c>
      <c r="Y2286" s="2" t="str">
        <f t="shared" si="1096"/>
        <v/>
      </c>
      <c r="Z2286" s="2" t="str">
        <f t="shared" si="1097"/>
        <v/>
      </c>
      <c r="AA2286" s="2" t="str">
        <f t="shared" si="1098"/>
        <v/>
      </c>
      <c r="AB2286" s="2">
        <f t="shared" si="1089"/>
        <v>0</v>
      </c>
      <c r="AC2286" s="625">
        <v>0</v>
      </c>
      <c r="AD2286" s="625">
        <v>0</v>
      </c>
      <c r="AE2286" s="625">
        <v>0</v>
      </c>
      <c r="AF2286" s="625">
        <v>0</v>
      </c>
      <c r="AG2286" s="625">
        <v>0</v>
      </c>
      <c r="AH2286" s="625">
        <v>0</v>
      </c>
      <c r="AI2286" s="625">
        <v>0</v>
      </c>
      <c r="AJ2286" s="625">
        <v>0</v>
      </c>
      <c r="AK2286" s="625">
        <v>0</v>
      </c>
      <c r="AL2286" s="625">
        <v>0</v>
      </c>
      <c r="AM2286" s="625">
        <v>0</v>
      </c>
      <c r="AN2286" s="625">
        <v>0</v>
      </c>
      <c r="AO2286" s="625">
        <v>0</v>
      </c>
      <c r="AP2286" s="41" t="str">
        <f t="shared" si="1084"/>
        <v>Def TaxN</v>
      </c>
      <c r="AQ2286" s="41" t="str">
        <f t="shared" si="1085"/>
        <v>Def TaxNN2R&amp;D Tax Credit Deferral</v>
      </c>
      <c r="AR2286" s="41" t="str">
        <f t="shared" si="1086"/>
        <v>N2R&amp;D Tax Credit Deferral</v>
      </c>
    </row>
    <row r="2287" spans="1:44" s="41" customFormat="1" ht="12.75" customHeight="1">
      <c r="A2287" s="25" t="s">
        <v>1590</v>
      </c>
      <c r="B2287" s="25" t="str">
        <f t="shared" si="1101"/>
        <v>Def Tax283410283-081-JPBT010176</v>
      </c>
      <c r="C2287" s="736">
        <v>283410</v>
      </c>
      <c r="D2287" s="735" t="s">
        <v>2026</v>
      </c>
      <c r="E2287" s="41" t="s">
        <v>1977</v>
      </c>
      <c r="F2287" s="41" t="str">
        <f t="shared" si="1099"/>
        <v>ACCUM DEF INC TAX-OTH-STATE-GAS</v>
      </c>
      <c r="G2287" s="41" t="s">
        <v>2225</v>
      </c>
      <c r="H2287" s="736" t="s">
        <v>1245</v>
      </c>
      <c r="I2287" s="25"/>
      <c r="J2287" s="25" t="str">
        <f t="shared" si="1100"/>
        <v/>
      </c>
      <c r="K2287" s="442" t="str">
        <f t="shared" si="1083"/>
        <v/>
      </c>
      <c r="L2287" s="736" t="s">
        <v>2443</v>
      </c>
      <c r="M2287" s="25" t="str">
        <f t="shared" si="1087"/>
        <v>R</v>
      </c>
      <c r="N2287" s="25" t="str">
        <f>IF(L2287&lt;&gt;"",VLOOKUP(L2287,Categories!$B$2:$D$41,2,FALSE),IF(F2287&lt;&gt;"","No Cat",""))</f>
        <v>Rate Base</v>
      </c>
      <c r="O2287" s="25" t="str">
        <f>IF($L2287&lt;&gt;"",VLOOKUP($L2287,Categories!$B$2:$D$41,3,FALSE),IF($F2287&lt;&gt;"","No Cat",""))</f>
        <v>Deferred Income Taxes</v>
      </c>
      <c r="P2287" s="736" t="s">
        <v>2483</v>
      </c>
      <c r="Q2287" s="25" t="str">
        <f>VLOOKUP($P2287,Allocators!$B$7:$F$19,5,FALSE)</f>
        <v>Gas</v>
      </c>
      <c r="R2287" s="737">
        <f>VLOOKUP($P2287,Allocators!$B$7:$F$19,2,FALSE)</f>
        <v>0</v>
      </c>
      <c r="S2287" s="737">
        <f>VLOOKUP($P2287,Allocators!$B$7:$F$19,3,FALSE)</f>
        <v>1</v>
      </c>
      <c r="T2287" s="737" t="str">
        <f t="shared" si="1082"/>
        <v>0.0%</v>
      </c>
      <c r="U2287" s="2" t="str">
        <f t="shared" si="1093"/>
        <v/>
      </c>
      <c r="V2287" s="2" t="str">
        <f t="shared" si="1094"/>
        <v/>
      </c>
      <c r="W2287" s="2" t="str">
        <f t="shared" si="1095"/>
        <v/>
      </c>
      <c r="X2287" s="2">
        <f t="shared" si="1088"/>
        <v>0</v>
      </c>
      <c r="Y2287" s="2" t="str">
        <f t="shared" si="1096"/>
        <v/>
      </c>
      <c r="Z2287" s="2" t="str">
        <f t="shared" si="1097"/>
        <v/>
      </c>
      <c r="AA2287" s="2" t="str">
        <f t="shared" si="1098"/>
        <v/>
      </c>
      <c r="AB2287" s="2">
        <f t="shared" si="1089"/>
        <v>0</v>
      </c>
      <c r="AC2287" s="625">
        <v>0</v>
      </c>
      <c r="AD2287" s="625">
        <v>0</v>
      </c>
      <c r="AE2287" s="625">
        <v>0</v>
      </c>
      <c r="AF2287" s="625">
        <v>0</v>
      </c>
      <c r="AG2287" s="625">
        <v>0</v>
      </c>
      <c r="AH2287" s="625">
        <v>0</v>
      </c>
      <c r="AI2287" s="625">
        <v>0</v>
      </c>
      <c r="AJ2287" s="625">
        <v>0</v>
      </c>
      <c r="AK2287" s="625">
        <v>0</v>
      </c>
      <c r="AL2287" s="625">
        <v>0</v>
      </c>
      <c r="AM2287" s="625">
        <v>0</v>
      </c>
      <c r="AN2287" s="625">
        <v>0</v>
      </c>
      <c r="AO2287" s="625">
        <v>0</v>
      </c>
      <c r="AP2287" s="41" t="str">
        <f t="shared" si="1084"/>
        <v>Def TaxR</v>
      </c>
      <c r="AQ2287" s="41" t="str">
        <f t="shared" si="1085"/>
        <v>Def TaxRR11Purchase of Receivables</v>
      </c>
      <c r="AR2287" s="41" t="str">
        <f t="shared" si="1086"/>
        <v>R11Purchase of Receivables</v>
      </c>
    </row>
    <row r="2288" spans="1:44" s="41" customFormat="1" ht="12.75" customHeight="1">
      <c r="A2288" s="25" t="s">
        <v>1590</v>
      </c>
      <c r="B2288" s="25" t="str">
        <f t="shared" si="1101"/>
        <v>Def Tax283410283-088BT010181</v>
      </c>
      <c r="C2288" s="736">
        <v>283410</v>
      </c>
      <c r="D2288" s="735" t="s">
        <v>2230</v>
      </c>
      <c r="E2288" s="41" t="s">
        <v>2231</v>
      </c>
      <c r="F2288" s="41" t="str">
        <f t="shared" si="1099"/>
        <v>ACCUM DEF INC TAX-OTH-STATE-GAS</v>
      </c>
      <c r="G2288" s="41" t="s">
        <v>2232</v>
      </c>
      <c r="H2288" s="736" t="s">
        <v>2233</v>
      </c>
      <c r="I2288" s="25"/>
      <c r="J2288" s="25" t="str">
        <f t="shared" si="1100"/>
        <v/>
      </c>
      <c r="K2288" s="442" t="str">
        <f t="shared" si="1083"/>
        <v/>
      </c>
      <c r="L2288" s="736" t="s">
        <v>2443</v>
      </c>
      <c r="M2288" s="25" t="str">
        <f t="shared" si="1087"/>
        <v>R</v>
      </c>
      <c r="N2288" s="25" t="str">
        <f>IF(L2288&lt;&gt;"",VLOOKUP(L2288,Categories!$B$2:$D$41,2,FALSE),IF(F2288&lt;&gt;"","No Cat",""))</f>
        <v>Rate Base</v>
      </c>
      <c r="O2288" s="25" t="str">
        <f>IF($L2288&lt;&gt;"",VLOOKUP($L2288,Categories!$B$2:$D$41,3,FALSE),IF($F2288&lt;&gt;"","No Cat",""))</f>
        <v>Deferred Income Taxes</v>
      </c>
      <c r="P2288" s="736" t="s">
        <v>2483</v>
      </c>
      <c r="Q2288" s="25" t="str">
        <f>VLOOKUP($P2288,Allocators!$B$7:$F$19,5,FALSE)</f>
        <v>Gas</v>
      </c>
      <c r="R2288" s="737">
        <f>VLOOKUP($P2288,Allocators!$B$7:$F$19,2,FALSE)</f>
        <v>0</v>
      </c>
      <c r="S2288" s="737">
        <f>VLOOKUP($P2288,Allocators!$B$7:$F$19,3,FALSE)</f>
        <v>1</v>
      </c>
      <c r="T2288" s="737" t="str">
        <f t="shared" si="1082"/>
        <v>0.0%</v>
      </c>
      <c r="U2288" s="2" t="str">
        <f t="shared" si="1093"/>
        <v/>
      </c>
      <c r="V2288" s="2" t="str">
        <f t="shared" si="1094"/>
        <v/>
      </c>
      <c r="W2288" s="2" t="str">
        <f t="shared" si="1095"/>
        <v/>
      </c>
      <c r="X2288" s="2">
        <f t="shared" si="1088"/>
        <v>0</v>
      </c>
      <c r="Y2288" s="2" t="str">
        <f t="shared" si="1096"/>
        <v/>
      </c>
      <c r="Z2288" s="2" t="str">
        <f t="shared" si="1097"/>
        <v/>
      </c>
      <c r="AA2288" s="2" t="str">
        <f t="shared" si="1098"/>
        <v/>
      </c>
      <c r="AB2288" s="2">
        <f t="shared" si="1089"/>
        <v>0</v>
      </c>
      <c r="AC2288" s="625">
        <v>0</v>
      </c>
      <c r="AD2288" s="625">
        <v>0</v>
      </c>
      <c r="AE2288" s="625">
        <v>0</v>
      </c>
      <c r="AF2288" s="625">
        <v>0</v>
      </c>
      <c r="AG2288" s="625">
        <v>0</v>
      </c>
      <c r="AH2288" s="625">
        <v>0</v>
      </c>
      <c r="AI2288" s="625">
        <v>0</v>
      </c>
      <c r="AJ2288" s="625">
        <v>0</v>
      </c>
      <c r="AK2288" s="625">
        <v>0</v>
      </c>
      <c r="AL2288" s="625">
        <v>0</v>
      </c>
      <c r="AM2288" s="625">
        <v>0</v>
      </c>
      <c r="AN2288" s="625">
        <v>0</v>
      </c>
      <c r="AO2288" s="625">
        <v>0</v>
      </c>
      <c r="AP2288" s="41" t="str">
        <f t="shared" si="1084"/>
        <v>Def TaxR</v>
      </c>
      <c r="AQ2288" s="41" t="str">
        <f t="shared" si="1085"/>
        <v>Def TaxRR11Repair Allowance</v>
      </c>
      <c r="AR2288" s="41" t="str">
        <f t="shared" si="1086"/>
        <v>R11Repair Allowance</v>
      </c>
    </row>
    <row r="2289" spans="1:44" s="41" customFormat="1" ht="12.75" customHeight="1">
      <c r="A2289" s="25" t="s">
        <v>1590</v>
      </c>
      <c r="B2289" s="25" t="str">
        <f t="shared" si="1101"/>
        <v>Def Tax283410283-082-JP</v>
      </c>
      <c r="C2289" s="736">
        <v>283410</v>
      </c>
      <c r="D2289" s="735" t="s">
        <v>2241</v>
      </c>
      <c r="F2289" s="41" t="str">
        <f t="shared" si="1099"/>
        <v>ACCUM DEF INC TAX-OTH-STATE-GAS</v>
      </c>
      <c r="G2289" s="41" t="s">
        <v>2242</v>
      </c>
      <c r="H2289" s="736" t="s">
        <v>1117</v>
      </c>
      <c r="I2289" s="25"/>
      <c r="J2289" s="25" t="str">
        <f t="shared" si="1100"/>
        <v/>
      </c>
      <c r="K2289" s="442" t="str">
        <f t="shared" si="1083"/>
        <v/>
      </c>
      <c r="L2289" s="736" t="s">
        <v>2443</v>
      </c>
      <c r="M2289" s="25" t="str">
        <f t="shared" si="1087"/>
        <v>R</v>
      </c>
      <c r="N2289" s="25" t="str">
        <f>IF(L2289&lt;&gt;"",VLOOKUP(L2289,Categories!$B$2:$D$41,2,FALSE),IF(F2289&lt;&gt;"","No Cat",""))</f>
        <v>Rate Base</v>
      </c>
      <c r="O2289" s="25" t="str">
        <f>IF($L2289&lt;&gt;"",VLOOKUP($L2289,Categories!$B$2:$D$41,3,FALSE),IF($F2289&lt;&gt;"","No Cat",""))</f>
        <v>Deferred Income Taxes</v>
      </c>
      <c r="P2289" s="736" t="s">
        <v>2483</v>
      </c>
      <c r="Q2289" s="25" t="str">
        <f>VLOOKUP($P2289,Allocators!$B$7:$F$19,5,FALSE)</f>
        <v>Gas</v>
      </c>
      <c r="R2289" s="737">
        <f>VLOOKUP($P2289,Allocators!$B$7:$F$19,2,FALSE)</f>
        <v>0</v>
      </c>
      <c r="S2289" s="737">
        <f>VLOOKUP($P2289,Allocators!$B$7:$F$19,3,FALSE)</f>
        <v>1</v>
      </c>
      <c r="T2289" s="737" t="str">
        <f t="shared" si="1082"/>
        <v>0.0%</v>
      </c>
      <c r="U2289" s="2" t="str">
        <f t="shared" si="1093"/>
        <v/>
      </c>
      <c r="V2289" s="2" t="str">
        <f t="shared" si="1094"/>
        <v/>
      </c>
      <c r="W2289" s="2" t="str">
        <f t="shared" si="1095"/>
        <v/>
      </c>
      <c r="X2289" s="2">
        <f t="shared" si="1088"/>
        <v>0</v>
      </c>
      <c r="Y2289" s="2" t="str">
        <f t="shared" si="1096"/>
        <v/>
      </c>
      <c r="Z2289" s="2" t="str">
        <f t="shared" si="1097"/>
        <v/>
      </c>
      <c r="AA2289" s="2" t="str">
        <f t="shared" si="1098"/>
        <v/>
      </c>
      <c r="AB2289" s="2">
        <f t="shared" si="1089"/>
        <v>0</v>
      </c>
      <c r="AC2289" s="625">
        <v>0</v>
      </c>
      <c r="AD2289" s="625">
        <v>0</v>
      </c>
      <c r="AE2289" s="625">
        <v>0</v>
      </c>
      <c r="AF2289" s="625">
        <v>0</v>
      </c>
      <c r="AG2289" s="625">
        <v>0</v>
      </c>
      <c r="AH2289" s="625">
        <v>0</v>
      </c>
      <c r="AI2289" s="625">
        <v>0</v>
      </c>
      <c r="AJ2289" s="625">
        <v>0</v>
      </c>
      <c r="AK2289" s="625">
        <v>0</v>
      </c>
      <c r="AL2289" s="625">
        <v>0</v>
      </c>
      <c r="AM2289" s="625">
        <v>0</v>
      </c>
      <c r="AN2289" s="625">
        <v>0</v>
      </c>
      <c r="AO2289" s="625">
        <v>0</v>
      </c>
      <c r="AP2289" s="41" t="str">
        <f t="shared" si="1084"/>
        <v>Def TaxR</v>
      </c>
      <c r="AQ2289" s="41" t="str">
        <f t="shared" si="1085"/>
        <v>Def TaxRR11Security Costs</v>
      </c>
      <c r="AR2289" s="41" t="str">
        <f t="shared" si="1086"/>
        <v>R11Security Costs</v>
      </c>
    </row>
    <row r="2290" spans="1:44" s="41" customFormat="1" ht="12.75" customHeight="1">
      <c r="A2290" s="25" t="s">
        <v>1590</v>
      </c>
      <c r="B2290" s="25" t="str">
        <f t="shared" si="1101"/>
        <v>Def Tax283410283-069</v>
      </c>
      <c r="C2290" s="736">
        <v>283410</v>
      </c>
      <c r="D2290" s="735" t="s">
        <v>1992</v>
      </c>
      <c r="F2290" s="41" t="str">
        <f t="shared" si="1099"/>
        <v>ACCUM DEF INC TAX-OTH-STATE-GAS</v>
      </c>
      <c r="G2290" s="41" t="s">
        <v>1994</v>
      </c>
      <c r="H2290" s="736" t="s">
        <v>1995</v>
      </c>
      <c r="I2290" s="25"/>
      <c r="J2290" s="25" t="str">
        <f t="shared" si="1100"/>
        <v/>
      </c>
      <c r="K2290" s="442" t="str">
        <f t="shared" si="1083"/>
        <v/>
      </c>
      <c r="L2290" s="736" t="s">
        <v>2443</v>
      </c>
      <c r="M2290" s="25" t="str">
        <f t="shared" si="1087"/>
        <v>R</v>
      </c>
      <c r="N2290" s="25" t="str">
        <f>IF(L2290&lt;&gt;"",VLOOKUP(L2290,Categories!$B$2:$D$41,2,FALSE),IF(F2290&lt;&gt;"","No Cat",""))</f>
        <v>Rate Base</v>
      </c>
      <c r="O2290" s="25" t="str">
        <f>IF($L2290&lt;&gt;"",VLOOKUP($L2290,Categories!$B$2:$D$41,3,FALSE),IF($F2290&lt;&gt;"","No Cat",""))</f>
        <v>Deferred Income Taxes</v>
      </c>
      <c r="P2290" s="736" t="s">
        <v>2483</v>
      </c>
      <c r="Q2290" s="25" t="str">
        <f>VLOOKUP($P2290,Allocators!$B$7:$F$19,5,FALSE)</f>
        <v>Gas</v>
      </c>
      <c r="R2290" s="737">
        <f>VLOOKUP($P2290,Allocators!$B$7:$F$19,2,FALSE)</f>
        <v>0</v>
      </c>
      <c r="S2290" s="737">
        <f>VLOOKUP($P2290,Allocators!$B$7:$F$19,3,FALSE)</f>
        <v>1</v>
      </c>
      <c r="T2290" s="737" t="str">
        <f t="shared" si="1082"/>
        <v>0.0%</v>
      </c>
      <c r="U2290" s="2" t="str">
        <f t="shared" si="1093"/>
        <v/>
      </c>
      <c r="V2290" s="2" t="str">
        <f t="shared" si="1094"/>
        <v/>
      </c>
      <c r="W2290" s="2" t="str">
        <f t="shared" si="1095"/>
        <v/>
      </c>
      <c r="X2290" s="2">
        <f t="shared" si="1088"/>
        <v>0</v>
      </c>
      <c r="Y2290" s="2" t="str">
        <f t="shared" si="1096"/>
        <v/>
      </c>
      <c r="Z2290" s="2" t="str">
        <f t="shared" si="1097"/>
        <v/>
      </c>
      <c r="AA2290" s="2" t="str">
        <f t="shared" si="1098"/>
        <v/>
      </c>
      <c r="AB2290" s="2">
        <f t="shared" si="1089"/>
        <v>0</v>
      </c>
      <c r="AC2290" s="625">
        <v>0</v>
      </c>
      <c r="AD2290" s="625">
        <v>0</v>
      </c>
      <c r="AE2290" s="625">
        <v>0</v>
      </c>
      <c r="AF2290" s="625">
        <v>0</v>
      </c>
      <c r="AG2290" s="625">
        <v>0</v>
      </c>
      <c r="AH2290" s="625">
        <v>0</v>
      </c>
      <c r="AI2290" s="625">
        <v>0</v>
      </c>
      <c r="AJ2290" s="625">
        <v>0</v>
      </c>
      <c r="AK2290" s="625">
        <v>0</v>
      </c>
      <c r="AL2290" s="625">
        <v>0</v>
      </c>
      <c r="AM2290" s="625">
        <v>0</v>
      </c>
      <c r="AN2290" s="625">
        <v>0</v>
      </c>
      <c r="AO2290" s="625">
        <v>0</v>
      </c>
      <c r="AP2290" s="41" t="str">
        <f t="shared" si="1084"/>
        <v>Def TaxR</v>
      </c>
      <c r="AQ2290" s="41" t="str">
        <f t="shared" si="1085"/>
        <v>Def TaxRR11NYS Income Tax / GRT Deferral</v>
      </c>
      <c r="AR2290" s="41" t="str">
        <f t="shared" si="1086"/>
        <v>R11NYS Income Tax / GRT Deferral</v>
      </c>
    </row>
    <row r="2291" spans="1:44" s="41" customFormat="1" ht="12.75" customHeight="1">
      <c r="A2291" s="25" t="s">
        <v>1590</v>
      </c>
      <c r="B2291" s="25" t="str">
        <f t="shared" si="1101"/>
        <v>Def Tax283410283-026</v>
      </c>
      <c r="C2291" s="736">
        <v>283410</v>
      </c>
      <c r="D2291" s="735" t="s">
        <v>1706</v>
      </c>
      <c r="F2291" s="41" t="str">
        <f t="shared" si="1099"/>
        <v>ACCUM DEF INC TAX-OTH-STATE-GAS</v>
      </c>
      <c r="G2291" s="41" t="s">
        <v>2243</v>
      </c>
      <c r="H2291" s="736" t="s">
        <v>1134</v>
      </c>
      <c r="I2291" s="25"/>
      <c r="J2291" s="25" t="str">
        <f t="shared" si="1100"/>
        <v/>
      </c>
      <c r="K2291" s="442" t="str">
        <f t="shared" si="1083"/>
        <v/>
      </c>
      <c r="L2291" s="736" t="s">
        <v>2421</v>
      </c>
      <c r="M2291" s="25" t="str">
        <f t="shared" si="1087"/>
        <v>N</v>
      </c>
      <c r="N2291" s="25" t="str">
        <f>IF(L2291&lt;&gt;"",VLOOKUP(L2291,Categories!$B$2:$D$41,2,FALSE),IF(F2291&lt;&gt;"","No Cat",""))</f>
        <v>NRBASE</v>
      </c>
      <c r="O2291" s="25" t="str">
        <f>IF($L2291&lt;&gt;"",VLOOKUP($L2291,Categories!$B$2:$D$41,3,FALSE),IF($F2291&lt;&gt;"","No Cat",""))</f>
        <v>Direct Assign Items Not in RB</v>
      </c>
      <c r="P2291" s="736" t="s">
        <v>2468</v>
      </c>
      <c r="Q2291" s="25" t="str">
        <f>VLOOKUP($P2291,Allocators!$B$7:$F$19,5,FALSE)</f>
        <v>Not in Rate Base</v>
      </c>
      <c r="R2291" s="737">
        <f>VLOOKUP($P2291,Allocators!$B$7:$F$19,2,FALSE)</f>
        <v>0</v>
      </c>
      <c r="S2291" s="737">
        <f>VLOOKUP($P2291,Allocators!$B$7:$F$19,3,FALSE)</f>
        <v>0</v>
      </c>
      <c r="T2291" s="737">
        <f t="shared" si="1082"/>
        <v>1</v>
      </c>
      <c r="U2291" s="2" t="str">
        <f t="shared" si="1093"/>
        <v/>
      </c>
      <c r="V2291" s="2" t="str">
        <f t="shared" si="1094"/>
        <v/>
      </c>
      <c r="W2291" s="2" t="str">
        <f t="shared" si="1095"/>
        <v/>
      </c>
      <c r="X2291" s="2">
        <f t="shared" si="1088"/>
        <v>0</v>
      </c>
      <c r="Y2291" s="2" t="str">
        <f t="shared" si="1096"/>
        <v/>
      </c>
      <c r="Z2291" s="2" t="str">
        <f t="shared" si="1097"/>
        <v/>
      </c>
      <c r="AA2291" s="2" t="str">
        <f t="shared" si="1098"/>
        <v/>
      </c>
      <c r="AB2291" s="2">
        <f t="shared" si="1089"/>
        <v>0</v>
      </c>
      <c r="AC2291" s="625">
        <v>0</v>
      </c>
      <c r="AD2291" s="625">
        <v>0</v>
      </c>
      <c r="AE2291" s="625">
        <v>0</v>
      </c>
      <c r="AF2291" s="625">
        <v>0</v>
      </c>
      <c r="AG2291" s="625">
        <v>0</v>
      </c>
      <c r="AH2291" s="625">
        <v>0</v>
      </c>
      <c r="AI2291" s="625">
        <v>0</v>
      </c>
      <c r="AJ2291" s="625">
        <v>0</v>
      </c>
      <c r="AK2291" s="625">
        <v>0</v>
      </c>
      <c r="AL2291" s="625">
        <v>0</v>
      </c>
      <c r="AM2291" s="625">
        <v>0</v>
      </c>
      <c r="AN2291" s="625">
        <v>0</v>
      </c>
      <c r="AO2291" s="625">
        <v>0</v>
      </c>
      <c r="AP2291" s="41" t="str">
        <f t="shared" si="1084"/>
        <v>Def TaxN</v>
      </c>
      <c r="AQ2291" s="41" t="str">
        <f t="shared" si="1085"/>
        <v>Def TaxNN2Environmental</v>
      </c>
      <c r="AR2291" s="41" t="str">
        <f t="shared" si="1086"/>
        <v>N2Environmental</v>
      </c>
    </row>
    <row r="2292" spans="1:44" s="41" customFormat="1" ht="12.75" customHeight="1">
      <c r="A2292" s="25" t="s">
        <v>1590</v>
      </c>
      <c r="B2292" s="25" t="str">
        <f t="shared" si="1101"/>
        <v>Def Tax283410283-062</v>
      </c>
      <c r="C2292" s="736">
        <v>283410</v>
      </c>
      <c r="D2292" s="735" t="s">
        <v>2211</v>
      </c>
      <c r="F2292" s="41" t="str">
        <f t="shared" si="1099"/>
        <v>ACCUM DEF INC TAX-OTH-STATE-GAS</v>
      </c>
      <c r="G2292" s="41" t="s">
        <v>2245</v>
      </c>
      <c r="H2292" s="736" t="s">
        <v>2246</v>
      </c>
      <c r="I2292" s="25"/>
      <c r="J2292" s="25" t="str">
        <f t="shared" si="1100"/>
        <v/>
      </c>
      <c r="K2292" s="442" t="str">
        <f t="shared" si="1083"/>
        <v/>
      </c>
      <c r="L2292" s="736" t="s">
        <v>2443</v>
      </c>
      <c r="M2292" s="25" t="str">
        <f t="shared" si="1087"/>
        <v>R</v>
      </c>
      <c r="N2292" s="25" t="str">
        <f>IF(L2292&lt;&gt;"",VLOOKUP(L2292,Categories!$B$2:$D$41,2,FALSE),IF(F2292&lt;&gt;"","No Cat",""))</f>
        <v>Rate Base</v>
      </c>
      <c r="O2292" s="25" t="str">
        <f>IF($L2292&lt;&gt;"",VLOOKUP($L2292,Categories!$B$2:$D$41,3,FALSE),IF($F2292&lt;&gt;"","No Cat",""))</f>
        <v>Deferred Income Taxes</v>
      </c>
      <c r="P2292" s="736" t="s">
        <v>2483</v>
      </c>
      <c r="Q2292" s="25" t="str">
        <f>VLOOKUP($P2292,Allocators!$B$7:$F$19,5,FALSE)</f>
        <v>Gas</v>
      </c>
      <c r="R2292" s="737">
        <f>VLOOKUP($P2292,Allocators!$B$7:$F$19,2,FALSE)</f>
        <v>0</v>
      </c>
      <c r="S2292" s="737">
        <f>VLOOKUP($P2292,Allocators!$B$7:$F$19,3,FALSE)</f>
        <v>1</v>
      </c>
      <c r="T2292" s="737" t="str">
        <f t="shared" si="1082"/>
        <v>0.0%</v>
      </c>
      <c r="U2292" s="2" t="str">
        <f t="shared" si="1093"/>
        <v/>
      </c>
      <c r="V2292" s="2" t="str">
        <f t="shared" si="1094"/>
        <v/>
      </c>
      <c r="W2292" s="2" t="str">
        <f t="shared" si="1095"/>
        <v/>
      </c>
      <c r="X2292" s="2">
        <f t="shared" si="1088"/>
        <v>0</v>
      </c>
      <c r="Y2292" s="2" t="str">
        <f t="shared" si="1096"/>
        <v/>
      </c>
      <c r="Z2292" s="2" t="str">
        <f t="shared" si="1097"/>
        <v/>
      </c>
      <c r="AA2292" s="2" t="str">
        <f t="shared" si="1098"/>
        <v/>
      </c>
      <c r="AB2292" s="2">
        <f t="shared" si="1089"/>
        <v>0</v>
      </c>
      <c r="AC2292" s="625">
        <v>0</v>
      </c>
      <c r="AD2292" s="625">
        <v>0</v>
      </c>
      <c r="AE2292" s="625">
        <v>0</v>
      </c>
      <c r="AF2292" s="625">
        <v>0</v>
      </c>
      <c r="AG2292" s="625">
        <v>0</v>
      </c>
      <c r="AH2292" s="625">
        <v>0</v>
      </c>
      <c r="AI2292" s="625">
        <v>0</v>
      </c>
      <c r="AJ2292" s="625">
        <v>0</v>
      </c>
      <c r="AK2292" s="625">
        <v>0</v>
      </c>
      <c r="AL2292" s="625">
        <v>0</v>
      </c>
      <c r="AM2292" s="625">
        <v>0</v>
      </c>
      <c r="AN2292" s="625">
        <v>0</v>
      </c>
      <c r="AO2292" s="625">
        <v>0</v>
      </c>
      <c r="AP2292" s="41" t="str">
        <f t="shared" si="1084"/>
        <v>Def TaxR</v>
      </c>
      <c r="AQ2292" s="41" t="str">
        <f t="shared" si="1085"/>
        <v>Def TaxRR11STAR</v>
      </c>
      <c r="AR2292" s="41" t="str">
        <f t="shared" si="1086"/>
        <v>R11STAR</v>
      </c>
    </row>
    <row r="2293" spans="1:44" s="41" customFormat="1" ht="12.75" customHeight="1">
      <c r="A2293" s="25" t="s">
        <v>1590</v>
      </c>
      <c r="B2293" s="25" t="str">
        <f t="shared" si="1101"/>
        <v>Def Tax283410283-063</v>
      </c>
      <c r="C2293" s="736">
        <v>283410</v>
      </c>
      <c r="D2293" s="735" t="s">
        <v>2244</v>
      </c>
      <c r="F2293" s="41" t="str">
        <f t="shared" si="1099"/>
        <v>ACCUM DEF INC TAX-OTH-STATE-GAS</v>
      </c>
      <c r="G2293" s="41" t="s">
        <v>2245</v>
      </c>
      <c r="H2293" s="736" t="s">
        <v>2246</v>
      </c>
      <c r="I2293" s="25"/>
      <c r="J2293" s="25" t="str">
        <f t="shared" si="1100"/>
        <v/>
      </c>
      <c r="K2293" s="442" t="str">
        <f t="shared" si="1083"/>
        <v/>
      </c>
      <c r="L2293" s="736" t="s">
        <v>2443</v>
      </c>
      <c r="M2293" s="25" t="str">
        <f t="shared" si="1087"/>
        <v>R</v>
      </c>
      <c r="N2293" s="25" t="str">
        <f>IF(L2293&lt;&gt;"",VLOOKUP(L2293,Categories!$B$2:$D$41,2,FALSE),IF(F2293&lt;&gt;"","No Cat",""))</f>
        <v>Rate Base</v>
      </c>
      <c r="O2293" s="25" t="str">
        <f>IF($L2293&lt;&gt;"",VLOOKUP($L2293,Categories!$B$2:$D$41,3,FALSE),IF($F2293&lt;&gt;"","No Cat",""))</f>
        <v>Deferred Income Taxes</v>
      </c>
      <c r="P2293" s="736" t="s">
        <v>2483</v>
      </c>
      <c r="Q2293" s="25" t="str">
        <f>VLOOKUP($P2293,Allocators!$B$7:$F$19,5,FALSE)</f>
        <v>Gas</v>
      </c>
      <c r="R2293" s="737">
        <f>VLOOKUP($P2293,Allocators!$B$7:$F$19,2,FALSE)</f>
        <v>0</v>
      </c>
      <c r="S2293" s="737">
        <f>VLOOKUP($P2293,Allocators!$B$7:$F$19,3,FALSE)</f>
        <v>1</v>
      </c>
      <c r="T2293" s="737" t="str">
        <f t="shared" ref="T2293:T2360" si="1102">IF(P2293="N",1,"0.0%")</f>
        <v>0.0%</v>
      </c>
      <c r="U2293" s="2" t="str">
        <f t="shared" si="1093"/>
        <v/>
      </c>
      <c r="V2293" s="2" t="str">
        <f t="shared" si="1094"/>
        <v/>
      </c>
      <c r="W2293" s="2" t="str">
        <f t="shared" si="1095"/>
        <v/>
      </c>
      <c r="X2293" s="2">
        <f t="shared" si="1088"/>
        <v>0</v>
      </c>
      <c r="Y2293" s="2" t="str">
        <f t="shared" si="1096"/>
        <v/>
      </c>
      <c r="Z2293" s="2" t="str">
        <f t="shared" si="1097"/>
        <v/>
      </c>
      <c r="AA2293" s="2" t="str">
        <f t="shared" si="1098"/>
        <v/>
      </c>
      <c r="AB2293" s="2">
        <f t="shared" si="1089"/>
        <v>0</v>
      </c>
      <c r="AC2293" s="625">
        <v>0</v>
      </c>
      <c r="AD2293" s="625">
        <v>0</v>
      </c>
      <c r="AE2293" s="625">
        <v>0</v>
      </c>
      <c r="AF2293" s="625">
        <v>0</v>
      </c>
      <c r="AG2293" s="625">
        <v>0</v>
      </c>
      <c r="AH2293" s="625">
        <v>0</v>
      </c>
      <c r="AI2293" s="625">
        <v>0</v>
      </c>
      <c r="AJ2293" s="625">
        <v>0</v>
      </c>
      <c r="AK2293" s="625">
        <v>0</v>
      </c>
      <c r="AL2293" s="625">
        <v>0</v>
      </c>
      <c r="AM2293" s="625">
        <v>0</v>
      </c>
      <c r="AN2293" s="625">
        <v>0</v>
      </c>
      <c r="AO2293" s="625">
        <v>0</v>
      </c>
      <c r="AP2293" s="41" t="str">
        <f t="shared" si="1084"/>
        <v>Def TaxR</v>
      </c>
      <c r="AQ2293" s="41" t="str">
        <f t="shared" si="1085"/>
        <v>Def TaxRR11STAR</v>
      </c>
      <c r="AR2293" s="41" t="str">
        <f t="shared" si="1086"/>
        <v>R11STAR</v>
      </c>
    </row>
    <row r="2294" spans="1:44" s="41" customFormat="1" ht="12.75" customHeight="1">
      <c r="A2294" s="25" t="s">
        <v>1590</v>
      </c>
      <c r="B2294" s="25" t="str">
        <f t="shared" si="1101"/>
        <v>Def Tax283410283-062/
283-063BTMISCDT</v>
      </c>
      <c r="C2294" s="736">
        <v>283410</v>
      </c>
      <c r="D2294" s="735" t="s">
        <v>2299</v>
      </c>
      <c r="E2294" s="41" t="s">
        <v>1971</v>
      </c>
      <c r="F2294" s="41" t="str">
        <f t="shared" si="1099"/>
        <v>ACCUM DEF INC TAX-OTH-STATE-GAS</v>
      </c>
      <c r="G2294" s="41" t="s">
        <v>2245</v>
      </c>
      <c r="H2294" s="736" t="s">
        <v>2246</v>
      </c>
      <c r="I2294" s="25"/>
      <c r="J2294" s="25" t="str">
        <f t="shared" si="1100"/>
        <v/>
      </c>
      <c r="K2294" s="442" t="str">
        <f t="shared" si="1083"/>
        <v/>
      </c>
      <c r="L2294" s="736" t="s">
        <v>2443</v>
      </c>
      <c r="M2294" s="25" t="str">
        <f t="shared" si="1087"/>
        <v>R</v>
      </c>
      <c r="N2294" s="25" t="str">
        <f>IF(L2294&lt;&gt;"",VLOOKUP(L2294,Categories!$B$2:$D$41,2,FALSE),IF(F2294&lt;&gt;"","No Cat",""))</f>
        <v>Rate Base</v>
      </c>
      <c r="O2294" s="25" t="str">
        <f>IF($L2294&lt;&gt;"",VLOOKUP($L2294,Categories!$B$2:$D$41,3,FALSE),IF($F2294&lt;&gt;"","No Cat",""))</f>
        <v>Deferred Income Taxes</v>
      </c>
      <c r="P2294" s="736" t="s">
        <v>2483</v>
      </c>
      <c r="Q2294" s="25" t="str">
        <f>VLOOKUP($P2294,Allocators!$B$7:$F$19,5,FALSE)</f>
        <v>Gas</v>
      </c>
      <c r="R2294" s="737">
        <f>VLOOKUP($P2294,Allocators!$B$7:$F$19,2,FALSE)</f>
        <v>0</v>
      </c>
      <c r="S2294" s="737">
        <f>VLOOKUP($P2294,Allocators!$B$7:$F$19,3,FALSE)</f>
        <v>1</v>
      </c>
      <c r="T2294" s="737" t="str">
        <f t="shared" si="1102"/>
        <v>0.0%</v>
      </c>
      <c r="U2294" s="2" t="str">
        <f t="shared" si="1093"/>
        <v/>
      </c>
      <c r="V2294" s="2" t="str">
        <f t="shared" si="1094"/>
        <v/>
      </c>
      <c r="W2294" s="2" t="str">
        <f t="shared" si="1095"/>
        <v/>
      </c>
      <c r="X2294" s="2">
        <f t="shared" si="1088"/>
        <v>0</v>
      </c>
      <c r="Y2294" s="2" t="str">
        <f t="shared" si="1096"/>
        <v/>
      </c>
      <c r="Z2294" s="2" t="str">
        <f t="shared" si="1097"/>
        <v/>
      </c>
      <c r="AA2294" s="2" t="str">
        <f t="shared" si="1098"/>
        <v/>
      </c>
      <c r="AB2294" s="2">
        <f t="shared" si="1089"/>
        <v>0</v>
      </c>
      <c r="AC2294" s="625">
        <v>0</v>
      </c>
      <c r="AD2294" s="625">
        <v>0</v>
      </c>
      <c r="AE2294" s="625">
        <v>0</v>
      </c>
      <c r="AF2294" s="625">
        <v>0</v>
      </c>
      <c r="AG2294" s="625">
        <v>0</v>
      </c>
      <c r="AH2294" s="625">
        <v>0</v>
      </c>
      <c r="AI2294" s="625">
        <v>0</v>
      </c>
      <c r="AJ2294" s="625">
        <v>0</v>
      </c>
      <c r="AK2294" s="625">
        <v>0</v>
      </c>
      <c r="AL2294" s="625">
        <v>0</v>
      </c>
      <c r="AM2294" s="625">
        <v>0</v>
      </c>
      <c r="AN2294" s="625">
        <v>0</v>
      </c>
      <c r="AO2294" s="625">
        <v>0</v>
      </c>
      <c r="AP2294" s="41" t="str">
        <f t="shared" si="1084"/>
        <v>Def TaxR</v>
      </c>
      <c r="AQ2294" s="41" t="str">
        <f t="shared" si="1085"/>
        <v>Def TaxRR11STAR</v>
      </c>
      <c r="AR2294" s="41" t="str">
        <f t="shared" si="1086"/>
        <v>R11STAR</v>
      </c>
    </row>
    <row r="2295" spans="1:44" s="41" customFormat="1" ht="12.75" customHeight="1">
      <c r="A2295" s="442" t="s">
        <v>1590</v>
      </c>
      <c r="B2295" s="442" t="str">
        <f t="shared" si="1101"/>
        <v>Def Tax283410GSC RefundBG030586</v>
      </c>
      <c r="C2295" s="736">
        <v>283410</v>
      </c>
      <c r="D2295" s="735" t="s">
        <v>2033</v>
      </c>
      <c r="E2295" s="626" t="s">
        <v>1150</v>
      </c>
      <c r="F2295" s="626" t="str">
        <f t="shared" si="1099"/>
        <v>ACCUM DEF INC TAX-OTH-STATE-GAS</v>
      </c>
      <c r="G2295" s="626" t="s">
        <v>1509</v>
      </c>
      <c r="H2295" s="736" t="s">
        <v>1142</v>
      </c>
      <c r="I2295" s="442"/>
      <c r="J2295" s="442" t="s">
        <v>7</v>
      </c>
      <c r="K2295" s="442" t="str">
        <f t="shared" ref="K2295:K2359" si="1103">IF(L2295="N3","Y","")</f>
        <v/>
      </c>
      <c r="L2295" s="736" t="s">
        <v>2436</v>
      </c>
      <c r="M2295" s="442" t="str">
        <f t="shared" si="1087"/>
        <v>N</v>
      </c>
      <c r="N2295" s="442" t="str">
        <f>IF(L2295&lt;&gt;"",VLOOKUP(L2295,Categories!$B$2:$D$41,2,FALSE),IF(F2295&lt;&gt;"","No Cat",""))</f>
        <v>NRBASE</v>
      </c>
      <c r="O2295" s="442" t="str">
        <f>IF($L2295&lt;&gt;"",VLOOKUP($L2295,Categories!$B$2:$D$41,3,FALSE),IF($F2295&lt;&gt;"","No Cat",""))</f>
        <v>Deferrals Accruing Non-Cash Return   (other than ASGA)</v>
      </c>
      <c r="P2295" s="736" t="s">
        <v>2468</v>
      </c>
      <c r="Q2295" s="442" t="str">
        <f>VLOOKUP($P2295,Allocators!$B$7:$F$19,5,FALSE)</f>
        <v>Not in Rate Base</v>
      </c>
      <c r="R2295" s="737">
        <f>VLOOKUP($P2295,Allocators!$B$7:$F$19,2,FALSE)</f>
        <v>0</v>
      </c>
      <c r="S2295" s="737">
        <f>VLOOKUP($P2295,Allocators!$B$7:$F$19,3,FALSE)</f>
        <v>0</v>
      </c>
      <c r="T2295" s="737">
        <f t="shared" si="1102"/>
        <v>1</v>
      </c>
      <c r="U2295" s="2" t="str">
        <f t="shared" si="1093"/>
        <v/>
      </c>
      <c r="V2295" s="2" t="str">
        <f t="shared" si="1094"/>
        <v/>
      </c>
      <c r="W2295" s="2" t="str">
        <f t="shared" si="1095"/>
        <v/>
      </c>
      <c r="X2295" s="2">
        <f t="shared" si="1088"/>
        <v>0</v>
      </c>
      <c r="Y2295" s="2" t="str">
        <f t="shared" si="1096"/>
        <v/>
      </c>
      <c r="Z2295" s="2" t="str">
        <f t="shared" si="1097"/>
        <v/>
      </c>
      <c r="AA2295" s="2" t="str">
        <f t="shared" si="1098"/>
        <v/>
      </c>
      <c r="AB2295" s="2">
        <f t="shared" si="1089"/>
        <v>0</v>
      </c>
      <c r="AC2295" s="625">
        <v>0</v>
      </c>
      <c r="AD2295" s="625">
        <v>0</v>
      </c>
      <c r="AE2295" s="625">
        <v>0</v>
      </c>
      <c r="AF2295" s="625">
        <v>0</v>
      </c>
      <c r="AG2295" s="625">
        <v>0</v>
      </c>
      <c r="AH2295" s="625">
        <v>0</v>
      </c>
      <c r="AI2295" s="625">
        <v>0</v>
      </c>
      <c r="AJ2295" s="625">
        <v>0</v>
      </c>
      <c r="AK2295" s="625">
        <v>0</v>
      </c>
      <c r="AL2295" s="625">
        <v>0</v>
      </c>
      <c r="AM2295" s="625">
        <v>0</v>
      </c>
      <c r="AN2295" s="625">
        <v>0</v>
      </c>
      <c r="AO2295" s="625">
        <v>0</v>
      </c>
      <c r="AP2295" s="41" t="str">
        <f t="shared" si="1084"/>
        <v>Def TaxN</v>
      </c>
      <c r="AQ2295" s="41" t="str">
        <f t="shared" si="1085"/>
        <v>Def TaxNN10Gas Costs Deferred</v>
      </c>
      <c r="AR2295" s="41" t="str">
        <f t="shared" si="1086"/>
        <v>N10Gas Costs DeferredNCR</v>
      </c>
    </row>
    <row r="2296" spans="1:44" s="41" customFormat="1" ht="12.75" customHeight="1">
      <c r="A2296" s="25" t="s">
        <v>1590</v>
      </c>
      <c r="B2296" s="25" t="str">
        <f t="shared" si="1101"/>
        <v>Def Tax283410Unit of PropBT010354</v>
      </c>
      <c r="C2296" s="736">
        <v>283410</v>
      </c>
      <c r="D2296" s="735" t="s">
        <v>2247</v>
      </c>
      <c r="E2296" s="41" t="s">
        <v>2248</v>
      </c>
      <c r="F2296" s="41" t="str">
        <f t="shared" si="1099"/>
        <v>ACCUM DEF INC TAX-OTH-STATE-GAS</v>
      </c>
      <c r="G2296" s="41" t="s">
        <v>2249</v>
      </c>
      <c r="H2296" s="736" t="s">
        <v>2249</v>
      </c>
      <c r="I2296" s="25"/>
      <c r="J2296" s="25" t="str">
        <f t="shared" si="1100"/>
        <v/>
      </c>
      <c r="K2296" s="442" t="str">
        <f t="shared" si="1103"/>
        <v/>
      </c>
      <c r="L2296" s="736" t="s">
        <v>2443</v>
      </c>
      <c r="M2296" s="25" t="str">
        <f t="shared" si="1087"/>
        <v>R</v>
      </c>
      <c r="N2296" s="25" t="str">
        <f>IF(L2296&lt;&gt;"",VLOOKUP(L2296,Categories!$B$2:$D$41,2,FALSE),IF(F2296&lt;&gt;"","No Cat",""))</f>
        <v>Rate Base</v>
      </c>
      <c r="O2296" s="25" t="str">
        <f>IF($L2296&lt;&gt;"",VLOOKUP($L2296,Categories!$B$2:$D$41,3,FALSE),IF($F2296&lt;&gt;"","No Cat",""))</f>
        <v>Deferred Income Taxes</v>
      </c>
      <c r="P2296" s="736" t="s">
        <v>2483</v>
      </c>
      <c r="Q2296" s="25" t="str">
        <f>VLOOKUP($P2296,Allocators!$B$7:$F$19,5,FALSE)</f>
        <v>Gas</v>
      </c>
      <c r="R2296" s="737">
        <f>VLOOKUP($P2296,Allocators!$B$7:$F$19,2,FALSE)</f>
        <v>0</v>
      </c>
      <c r="S2296" s="737">
        <f>VLOOKUP($P2296,Allocators!$B$7:$F$19,3,FALSE)</f>
        <v>1</v>
      </c>
      <c r="T2296" s="737" t="str">
        <f t="shared" si="1102"/>
        <v>0.0%</v>
      </c>
      <c r="U2296" s="2" t="str">
        <f t="shared" si="1093"/>
        <v/>
      </c>
      <c r="V2296" s="2" t="str">
        <f t="shared" si="1094"/>
        <v/>
      </c>
      <c r="W2296" s="2" t="str">
        <f t="shared" si="1095"/>
        <v/>
      </c>
      <c r="X2296" s="2">
        <f t="shared" si="1088"/>
        <v>0</v>
      </c>
      <c r="Y2296" s="2" t="str">
        <f t="shared" si="1096"/>
        <v/>
      </c>
      <c r="Z2296" s="2" t="str">
        <f t="shared" si="1097"/>
        <v/>
      </c>
      <c r="AA2296" s="2" t="str">
        <f t="shared" si="1098"/>
        <v/>
      </c>
      <c r="AB2296" s="2">
        <f t="shared" si="1089"/>
        <v>0</v>
      </c>
      <c r="AC2296" s="625">
        <v>0</v>
      </c>
      <c r="AD2296" s="625">
        <v>0</v>
      </c>
      <c r="AE2296" s="625">
        <v>0</v>
      </c>
      <c r="AF2296" s="625">
        <v>0</v>
      </c>
      <c r="AG2296" s="625">
        <v>0</v>
      </c>
      <c r="AH2296" s="625">
        <v>0</v>
      </c>
      <c r="AI2296" s="625">
        <v>0</v>
      </c>
      <c r="AJ2296" s="625">
        <v>0</v>
      </c>
      <c r="AK2296" s="625">
        <v>0</v>
      </c>
      <c r="AL2296" s="625">
        <v>0</v>
      </c>
      <c r="AM2296" s="625">
        <v>0</v>
      </c>
      <c r="AN2296" s="625">
        <v>0</v>
      </c>
      <c r="AO2296" s="625">
        <v>0</v>
      </c>
      <c r="AP2296" s="41" t="str">
        <f t="shared" si="1084"/>
        <v>Def TaxR</v>
      </c>
      <c r="AQ2296" s="41" t="str">
        <f t="shared" si="1085"/>
        <v>Def TaxRR11Unit of Property - 481Adj</v>
      </c>
      <c r="AR2296" s="41" t="str">
        <f t="shared" si="1086"/>
        <v>R11Unit of Property - 481Adj</v>
      </c>
    </row>
    <row r="2297" spans="1:44" s="41" customFormat="1" ht="12.75" customHeight="1">
      <c r="A2297" s="25" t="s">
        <v>1590</v>
      </c>
      <c r="B2297" s="25" t="str">
        <f t="shared" ref="B2297" si="1104">CONCATENATE(A2297,C2297,D2297,E2297)</f>
        <v>Def Tax283410BTMISCDT</v>
      </c>
      <c r="C2297" s="736">
        <v>283410</v>
      </c>
      <c r="D2297" s="735"/>
      <c r="E2297" s="41" t="s">
        <v>1971</v>
      </c>
      <c r="F2297" s="41" t="str">
        <f t="shared" si="1099"/>
        <v>ACCUM DEF INC TAX-OTH-STATE-GAS</v>
      </c>
      <c r="G2297" s="41" t="s">
        <v>4454</v>
      </c>
      <c r="H2297" s="736" t="s">
        <v>4455</v>
      </c>
      <c r="I2297" s="25"/>
      <c r="J2297" s="25"/>
      <c r="K2297" s="442"/>
      <c r="L2297" s="736" t="s">
        <v>2443</v>
      </c>
      <c r="M2297" s="25" t="str">
        <f t="shared" si="1087"/>
        <v>R</v>
      </c>
      <c r="N2297" s="25" t="str">
        <f>IF(L2297&lt;&gt;"",VLOOKUP(L2297,Categories!$B$2:$D$41,2,FALSE),IF(F2297&lt;&gt;"","No Cat",""))</f>
        <v>Rate Base</v>
      </c>
      <c r="O2297" s="25" t="str">
        <f>IF($L2297&lt;&gt;"",VLOOKUP($L2297,Categories!$B$2:$D$41,3,FALSE),IF($F2297&lt;&gt;"","No Cat",""))</f>
        <v>Deferred Income Taxes</v>
      </c>
      <c r="P2297" s="736" t="s">
        <v>2483</v>
      </c>
      <c r="Q2297" s="25" t="str">
        <f>VLOOKUP($P2297,Allocators!$B$7:$F$19,5,FALSE)</f>
        <v>Gas</v>
      </c>
      <c r="R2297" s="737">
        <f>VLOOKUP($P2297,Allocators!$B$7:$F$19,2,FALSE)</f>
        <v>0</v>
      </c>
      <c r="S2297" s="737">
        <f>VLOOKUP($P2297,Allocators!$B$7:$F$19,3,FALSE)</f>
        <v>1</v>
      </c>
      <c r="T2297" s="737" t="str">
        <f t="shared" si="1102"/>
        <v>0.0%</v>
      </c>
      <c r="U2297" s="2">
        <f t="shared" si="1093"/>
        <v>0</v>
      </c>
      <c r="V2297" s="2">
        <f t="shared" si="1094"/>
        <v>396.5</v>
      </c>
      <c r="W2297" s="2">
        <f t="shared" si="1095"/>
        <v>0</v>
      </c>
      <c r="X2297" s="2">
        <f t="shared" si="1088"/>
        <v>396.5</v>
      </c>
      <c r="Y2297" s="2">
        <f t="shared" si="1096"/>
        <v>0</v>
      </c>
      <c r="Z2297" s="2">
        <f t="shared" si="1097"/>
        <v>1108</v>
      </c>
      <c r="AA2297" s="2">
        <f t="shared" si="1098"/>
        <v>0</v>
      </c>
      <c r="AB2297" s="2">
        <f t="shared" si="1089"/>
        <v>1108</v>
      </c>
      <c r="AC2297" s="625"/>
      <c r="AD2297" s="625"/>
      <c r="AE2297" s="625"/>
      <c r="AF2297" s="625"/>
      <c r="AG2297" s="625"/>
      <c r="AH2297" s="625"/>
      <c r="AI2297" s="625"/>
      <c r="AJ2297" s="625">
        <v>774</v>
      </c>
      <c r="AK2297" s="625">
        <v>774</v>
      </c>
      <c r="AL2297" s="625">
        <v>774</v>
      </c>
      <c r="AM2297" s="625">
        <v>774</v>
      </c>
      <c r="AN2297" s="625">
        <v>1108</v>
      </c>
      <c r="AO2297" s="625">
        <v>1108</v>
      </c>
      <c r="AP2297" s="41" t="str">
        <f t="shared" si="1084"/>
        <v>Def TaxR</v>
      </c>
      <c r="AQ2297" s="41" t="str">
        <f t="shared" si="1085"/>
        <v>Def TaxRR11Excess DIT - New York State Tax Rate change</v>
      </c>
      <c r="AR2297" s="41" t="str">
        <f t="shared" si="1086"/>
        <v>R11Excess DIT - New York State Tax Rate change</v>
      </c>
    </row>
    <row r="2298" spans="1:44" s="41" customFormat="1" ht="12.75" customHeight="1">
      <c r="A2298" s="442" t="s">
        <v>1590</v>
      </c>
      <c r="B2298" s="442" t="str">
        <f t="shared" si="1101"/>
        <v>Def Tax283410283-084</v>
      </c>
      <c r="C2298" s="736">
        <v>283410</v>
      </c>
      <c r="D2298" s="735" t="s">
        <v>2250</v>
      </c>
      <c r="E2298" s="626"/>
      <c r="F2298" s="626" t="str">
        <f t="shared" si="1099"/>
        <v>ACCUM DEF INC TAX-OTH-STATE-GAS</v>
      </c>
      <c r="G2298" s="626" t="s">
        <v>2251</v>
      </c>
      <c r="H2298" s="736">
        <v>0</v>
      </c>
      <c r="I2298" s="442"/>
      <c r="J2298" s="442" t="str">
        <f t="shared" si="1100"/>
        <v/>
      </c>
      <c r="K2298" s="442" t="str">
        <f t="shared" si="1103"/>
        <v/>
      </c>
      <c r="L2298" s="736" t="s">
        <v>2421</v>
      </c>
      <c r="M2298" s="442" t="str">
        <f t="shared" si="1087"/>
        <v>N</v>
      </c>
      <c r="N2298" s="442" t="str">
        <f>IF(L2298&lt;&gt;"",VLOOKUP(L2298,Categories!$B$2:$D$41,2,FALSE),IF(F2298&lt;&gt;"","No Cat",""))</f>
        <v>NRBASE</v>
      </c>
      <c r="O2298" s="442" t="str">
        <f>IF($L2298&lt;&gt;"",VLOOKUP($L2298,Categories!$B$2:$D$41,3,FALSE),IF($F2298&lt;&gt;"","No Cat",""))</f>
        <v>Direct Assign Items Not in RB</v>
      </c>
      <c r="P2298" s="736" t="s">
        <v>2468</v>
      </c>
      <c r="Q2298" s="442" t="str">
        <f>VLOOKUP($P2298,Allocators!$B$7:$F$19,5,FALSE)</f>
        <v>Not in Rate Base</v>
      </c>
      <c r="R2298" s="737">
        <f>VLOOKUP($P2298,Allocators!$B$7:$F$19,2,FALSE)</f>
        <v>0</v>
      </c>
      <c r="S2298" s="737">
        <f>VLOOKUP($P2298,Allocators!$B$7:$F$19,3,FALSE)</f>
        <v>0</v>
      </c>
      <c r="T2298" s="737">
        <f t="shared" si="1102"/>
        <v>1</v>
      </c>
      <c r="U2298" s="2" t="str">
        <f t="shared" si="1093"/>
        <v/>
      </c>
      <c r="V2298" s="2" t="str">
        <f t="shared" si="1094"/>
        <v/>
      </c>
      <c r="W2298" s="2" t="str">
        <f t="shared" si="1095"/>
        <v/>
      </c>
      <c r="X2298" s="2">
        <f t="shared" si="1088"/>
        <v>0</v>
      </c>
      <c r="Y2298" s="2" t="str">
        <f t="shared" si="1096"/>
        <v/>
      </c>
      <c r="Z2298" s="2" t="str">
        <f t="shared" si="1097"/>
        <v/>
      </c>
      <c r="AA2298" s="2" t="str">
        <f t="shared" si="1098"/>
        <v/>
      </c>
      <c r="AB2298" s="2">
        <f t="shared" si="1089"/>
        <v>0</v>
      </c>
      <c r="AC2298" s="625">
        <v>0</v>
      </c>
      <c r="AD2298" s="625">
        <v>0</v>
      </c>
      <c r="AE2298" s="625">
        <v>0</v>
      </c>
      <c r="AF2298" s="625">
        <v>0</v>
      </c>
      <c r="AG2298" s="625">
        <v>0</v>
      </c>
      <c r="AH2298" s="625">
        <v>0</v>
      </c>
      <c r="AI2298" s="625">
        <v>0</v>
      </c>
      <c r="AJ2298" s="625">
        <v>0</v>
      </c>
      <c r="AK2298" s="625">
        <v>0</v>
      </c>
      <c r="AL2298" s="625">
        <v>0</v>
      </c>
      <c r="AM2298" s="625">
        <v>0</v>
      </c>
      <c r="AN2298" s="625">
        <v>0</v>
      </c>
      <c r="AO2298" s="625">
        <v>0</v>
      </c>
      <c r="AP2298" s="41" t="str">
        <f t="shared" si="1084"/>
        <v>Def TaxN</v>
      </c>
      <c r="AQ2298" s="41" t="str">
        <f t="shared" si="1085"/>
        <v>Def TaxNN20</v>
      </c>
      <c r="AR2298" s="41" t="str">
        <f t="shared" si="1086"/>
        <v>N20</v>
      </c>
    </row>
    <row r="2299" spans="1:44" s="41" customFormat="1" ht="12.75" customHeight="1">
      <c r="A2299" s="442" t="s">
        <v>1590</v>
      </c>
      <c r="B2299" s="442" t="str">
        <f t="shared" si="1101"/>
        <v>Def Tax283420283-035BTHUNGDT</v>
      </c>
      <c r="C2299" s="736">
        <v>283420</v>
      </c>
      <c r="D2299" s="735" t="s">
        <v>2150</v>
      </c>
      <c r="E2299" s="626" t="s">
        <v>1624</v>
      </c>
      <c r="F2299" s="626" t="str">
        <f t="shared" si="1099"/>
        <v>ACCUM DEF INC TAX-OTH-STATE-ELECTRIC-NONOP</v>
      </c>
      <c r="G2299" s="626" t="s">
        <v>2151</v>
      </c>
      <c r="H2299" s="736" t="s">
        <v>2880</v>
      </c>
      <c r="I2299" s="442"/>
      <c r="J2299" s="442" t="str">
        <f t="shared" si="1100"/>
        <v/>
      </c>
      <c r="K2299" s="442" t="str">
        <f t="shared" si="1103"/>
        <v/>
      </c>
      <c r="L2299" s="736" t="s">
        <v>2421</v>
      </c>
      <c r="M2299" s="442" t="str">
        <f t="shared" si="1087"/>
        <v>N</v>
      </c>
      <c r="N2299" s="442" t="str">
        <f>IF(L2299&lt;&gt;"",VLOOKUP(L2299,Categories!$B$2:$D$41,2,FALSE),IF(F2299&lt;&gt;"","No Cat",""))</f>
        <v>NRBASE</v>
      </c>
      <c r="O2299" s="442" t="str">
        <f>IF($L2299&lt;&gt;"",VLOOKUP($L2299,Categories!$B$2:$D$41,3,FALSE),IF($F2299&lt;&gt;"","No Cat",""))</f>
        <v>Direct Assign Items Not in RB</v>
      </c>
      <c r="P2299" s="736" t="s">
        <v>2468</v>
      </c>
      <c r="Q2299" s="442" t="str">
        <f>VLOOKUP($P2299,Allocators!$B$7:$F$19,5,FALSE)</f>
        <v>Not in Rate Base</v>
      </c>
      <c r="R2299" s="737">
        <f>VLOOKUP($P2299,Allocators!$B$7:$F$19,2,FALSE)</f>
        <v>0</v>
      </c>
      <c r="S2299" s="737">
        <f>VLOOKUP($P2299,Allocators!$B$7:$F$19,3,FALSE)</f>
        <v>0</v>
      </c>
      <c r="T2299" s="737">
        <f t="shared" si="1102"/>
        <v>1</v>
      </c>
      <c r="U2299" s="2" t="str">
        <f t="shared" si="1093"/>
        <v/>
      </c>
      <c r="V2299" s="2" t="str">
        <f t="shared" si="1094"/>
        <v/>
      </c>
      <c r="W2299" s="2" t="str">
        <f t="shared" si="1095"/>
        <v/>
      </c>
      <c r="X2299" s="2">
        <f t="shared" si="1088"/>
        <v>0</v>
      </c>
      <c r="Y2299" s="2" t="str">
        <f t="shared" si="1096"/>
        <v/>
      </c>
      <c r="Z2299" s="2" t="str">
        <f t="shared" si="1097"/>
        <v/>
      </c>
      <c r="AA2299" s="2" t="str">
        <f t="shared" si="1098"/>
        <v/>
      </c>
      <c r="AB2299" s="2">
        <f t="shared" si="1089"/>
        <v>0</v>
      </c>
      <c r="AC2299" s="625">
        <v>0</v>
      </c>
      <c r="AD2299" s="625">
        <v>0</v>
      </c>
      <c r="AE2299" s="625">
        <v>0</v>
      </c>
      <c r="AF2299" s="625">
        <v>0</v>
      </c>
      <c r="AG2299" s="625">
        <v>0</v>
      </c>
      <c r="AH2299" s="625">
        <v>0</v>
      </c>
      <c r="AI2299" s="625">
        <v>0</v>
      </c>
      <c r="AJ2299" s="625">
        <v>0</v>
      </c>
      <c r="AK2299" s="625">
        <v>0</v>
      </c>
      <c r="AL2299" s="625">
        <v>0</v>
      </c>
      <c r="AM2299" s="625">
        <v>0</v>
      </c>
      <c r="AN2299" s="625">
        <v>0</v>
      </c>
      <c r="AO2299" s="625">
        <v>0</v>
      </c>
      <c r="AP2299" s="41" t="str">
        <f t="shared" si="1084"/>
        <v>Def TaxN</v>
      </c>
      <c r="AQ2299" s="41" t="str">
        <f t="shared" si="1085"/>
        <v>Def TaxNN2Hung Deferred Taxes</v>
      </c>
      <c r="AR2299" s="41" t="str">
        <f t="shared" si="1086"/>
        <v>N2Hung Deferred Taxes</v>
      </c>
    </row>
    <row r="2300" spans="1:44" s="41" customFormat="1" ht="12.75" customHeight="1">
      <c r="A2300" s="442" t="s">
        <v>1590</v>
      </c>
      <c r="B2300" s="442" t="str">
        <f t="shared" si="1101"/>
        <v>Def Tax283420283-039BTHUNGDT</v>
      </c>
      <c r="C2300" s="736">
        <v>283420</v>
      </c>
      <c r="D2300" s="735" t="s">
        <v>2194</v>
      </c>
      <c r="E2300" s="626" t="s">
        <v>1624</v>
      </c>
      <c r="F2300" s="626" t="str">
        <f t="shared" si="1099"/>
        <v>ACCUM DEF INC TAX-OTH-STATE-ELECTRIC-NONOP</v>
      </c>
      <c r="G2300" s="626" t="s">
        <v>2195</v>
      </c>
      <c r="H2300" s="736" t="s">
        <v>2880</v>
      </c>
      <c r="I2300" s="442"/>
      <c r="J2300" s="442" t="str">
        <f t="shared" si="1100"/>
        <v/>
      </c>
      <c r="K2300" s="442" t="str">
        <f t="shared" si="1103"/>
        <v/>
      </c>
      <c r="L2300" s="736" t="s">
        <v>2421</v>
      </c>
      <c r="M2300" s="442" t="str">
        <f t="shared" si="1087"/>
        <v>N</v>
      </c>
      <c r="N2300" s="442" t="str">
        <f>IF(L2300&lt;&gt;"",VLOOKUP(L2300,Categories!$B$2:$D$41,2,FALSE),IF(F2300&lt;&gt;"","No Cat",""))</f>
        <v>NRBASE</v>
      </c>
      <c r="O2300" s="442" t="str">
        <f>IF($L2300&lt;&gt;"",VLOOKUP($L2300,Categories!$B$2:$D$41,3,FALSE),IF($F2300&lt;&gt;"","No Cat",""))</f>
        <v>Direct Assign Items Not in RB</v>
      </c>
      <c r="P2300" s="736" t="s">
        <v>2468</v>
      </c>
      <c r="Q2300" s="442" t="str">
        <f>VLOOKUP($P2300,Allocators!$B$7:$F$19,5,FALSE)</f>
        <v>Not in Rate Base</v>
      </c>
      <c r="R2300" s="737">
        <f>VLOOKUP($P2300,Allocators!$B$7:$F$19,2,FALSE)</f>
        <v>0</v>
      </c>
      <c r="S2300" s="737">
        <f>VLOOKUP($P2300,Allocators!$B$7:$F$19,3,FALSE)</f>
        <v>0</v>
      </c>
      <c r="T2300" s="737">
        <f t="shared" si="1102"/>
        <v>1</v>
      </c>
      <c r="U2300" s="2" t="str">
        <f t="shared" si="1093"/>
        <v/>
      </c>
      <c r="V2300" s="2" t="str">
        <f t="shared" si="1094"/>
        <v/>
      </c>
      <c r="W2300" s="2" t="str">
        <f t="shared" si="1095"/>
        <v/>
      </c>
      <c r="X2300" s="2">
        <f t="shared" si="1088"/>
        <v>0</v>
      </c>
      <c r="Y2300" s="2" t="str">
        <f t="shared" si="1096"/>
        <v/>
      </c>
      <c r="Z2300" s="2" t="str">
        <f t="shared" si="1097"/>
        <v/>
      </c>
      <c r="AA2300" s="2" t="str">
        <f t="shared" si="1098"/>
        <v/>
      </c>
      <c r="AB2300" s="2">
        <f t="shared" si="1089"/>
        <v>0</v>
      </c>
      <c r="AC2300" s="625">
        <v>0</v>
      </c>
      <c r="AD2300" s="625">
        <v>0</v>
      </c>
      <c r="AE2300" s="625">
        <v>0</v>
      </c>
      <c r="AF2300" s="625">
        <v>0</v>
      </c>
      <c r="AG2300" s="625">
        <v>0</v>
      </c>
      <c r="AH2300" s="625">
        <v>0</v>
      </c>
      <c r="AI2300" s="625">
        <v>0</v>
      </c>
      <c r="AJ2300" s="625">
        <v>0</v>
      </c>
      <c r="AK2300" s="625">
        <v>0</v>
      </c>
      <c r="AL2300" s="625">
        <v>0</v>
      </c>
      <c r="AM2300" s="625">
        <v>0</v>
      </c>
      <c r="AN2300" s="625">
        <v>0</v>
      </c>
      <c r="AO2300" s="625">
        <v>0</v>
      </c>
      <c r="AP2300" s="41" t="str">
        <f t="shared" si="1084"/>
        <v>Def TaxN</v>
      </c>
      <c r="AQ2300" s="41" t="str">
        <f t="shared" si="1085"/>
        <v>Def TaxNN2Hung Deferred Taxes</v>
      </c>
      <c r="AR2300" s="41" t="str">
        <f t="shared" si="1086"/>
        <v>N2Hung Deferred Taxes</v>
      </c>
    </row>
    <row r="2301" spans="1:44" s="41" customFormat="1" ht="12.75" customHeight="1">
      <c r="A2301" s="442" t="s">
        <v>1590</v>
      </c>
      <c r="B2301" s="442" t="str">
        <f t="shared" si="1101"/>
        <v>Def Tax283420283-045BTHUNGDT</v>
      </c>
      <c r="C2301" s="736">
        <v>283420</v>
      </c>
      <c r="D2301" s="735" t="s">
        <v>2209</v>
      </c>
      <c r="E2301" s="626" t="s">
        <v>1624</v>
      </c>
      <c r="F2301" s="626" t="str">
        <f t="shared" si="1099"/>
        <v>ACCUM DEF INC TAX-OTH-STATE-ELECTRIC-NONOP</v>
      </c>
      <c r="G2301" s="626" t="s">
        <v>2210</v>
      </c>
      <c r="H2301" s="736" t="s">
        <v>2880</v>
      </c>
      <c r="I2301" s="442"/>
      <c r="J2301" s="442" t="str">
        <f t="shared" si="1100"/>
        <v/>
      </c>
      <c r="K2301" s="442" t="str">
        <f t="shared" si="1103"/>
        <v/>
      </c>
      <c r="L2301" s="736" t="s">
        <v>2421</v>
      </c>
      <c r="M2301" s="442" t="str">
        <f t="shared" si="1087"/>
        <v>N</v>
      </c>
      <c r="N2301" s="442" t="str">
        <f>IF(L2301&lt;&gt;"",VLOOKUP(L2301,Categories!$B$2:$D$41,2,FALSE),IF(F2301&lt;&gt;"","No Cat",""))</f>
        <v>NRBASE</v>
      </c>
      <c r="O2301" s="442" t="str">
        <f>IF($L2301&lt;&gt;"",VLOOKUP($L2301,Categories!$B$2:$D$41,3,FALSE),IF($F2301&lt;&gt;"","No Cat",""))</f>
        <v>Direct Assign Items Not in RB</v>
      </c>
      <c r="P2301" s="736" t="s">
        <v>2468</v>
      </c>
      <c r="Q2301" s="442" t="str">
        <f>VLOOKUP($P2301,Allocators!$B$7:$F$19,5,FALSE)</f>
        <v>Not in Rate Base</v>
      </c>
      <c r="R2301" s="737">
        <f>VLOOKUP($P2301,Allocators!$B$7:$F$19,2,FALSE)</f>
        <v>0</v>
      </c>
      <c r="S2301" s="737">
        <f>VLOOKUP($P2301,Allocators!$B$7:$F$19,3,FALSE)</f>
        <v>0</v>
      </c>
      <c r="T2301" s="737">
        <f t="shared" si="1102"/>
        <v>1</v>
      </c>
      <c r="U2301" s="2" t="str">
        <f t="shared" si="1093"/>
        <v/>
      </c>
      <c r="V2301" s="2" t="str">
        <f t="shared" si="1094"/>
        <v/>
      </c>
      <c r="W2301" s="2" t="str">
        <f t="shared" si="1095"/>
        <v/>
      </c>
      <c r="X2301" s="2">
        <f t="shared" si="1088"/>
        <v>0</v>
      </c>
      <c r="Y2301" s="2" t="str">
        <f t="shared" si="1096"/>
        <v/>
      </c>
      <c r="Z2301" s="2" t="str">
        <f t="shared" si="1097"/>
        <v/>
      </c>
      <c r="AA2301" s="2" t="str">
        <f t="shared" si="1098"/>
        <v/>
      </c>
      <c r="AB2301" s="2">
        <f t="shared" si="1089"/>
        <v>0</v>
      </c>
      <c r="AC2301" s="625">
        <v>0</v>
      </c>
      <c r="AD2301" s="625">
        <v>0</v>
      </c>
      <c r="AE2301" s="625">
        <v>0</v>
      </c>
      <c r="AF2301" s="625">
        <v>0</v>
      </c>
      <c r="AG2301" s="625">
        <v>0</v>
      </c>
      <c r="AH2301" s="625">
        <v>0</v>
      </c>
      <c r="AI2301" s="625">
        <v>0</v>
      </c>
      <c r="AJ2301" s="625">
        <v>0</v>
      </c>
      <c r="AK2301" s="625">
        <v>0</v>
      </c>
      <c r="AL2301" s="625">
        <v>0</v>
      </c>
      <c r="AM2301" s="625">
        <v>0</v>
      </c>
      <c r="AN2301" s="625">
        <v>0</v>
      </c>
      <c r="AO2301" s="625">
        <v>0</v>
      </c>
      <c r="AP2301" s="41" t="str">
        <f t="shared" si="1084"/>
        <v>Def TaxN</v>
      </c>
      <c r="AQ2301" s="41" t="str">
        <f t="shared" si="1085"/>
        <v>Def TaxNN2Hung Deferred Taxes</v>
      </c>
      <c r="AR2301" s="41" t="str">
        <f t="shared" si="1086"/>
        <v>N2Hung Deferred Taxes</v>
      </c>
    </row>
    <row r="2302" spans="1:44" s="41" customFormat="1" ht="12.75" customHeight="1">
      <c r="A2302" s="25" t="s">
        <v>1590</v>
      </c>
      <c r="B2302" s="25" t="str">
        <f t="shared" si="1101"/>
        <v>Def Tax283420283-050</v>
      </c>
      <c r="C2302" s="736">
        <v>283420</v>
      </c>
      <c r="D2302" s="735" t="s">
        <v>2277</v>
      </c>
      <c r="F2302" s="41" t="str">
        <f t="shared" si="1099"/>
        <v>ACCUM DEF INC TAX-OTH-STATE-ELECTRIC-NONOP</v>
      </c>
      <c r="G2302" s="41" t="s">
        <v>2300</v>
      </c>
      <c r="H2302" s="736">
        <v>0</v>
      </c>
      <c r="I2302" s="25"/>
      <c r="J2302" s="25" t="str">
        <f t="shared" si="1100"/>
        <v/>
      </c>
      <c r="K2302" s="442" t="str">
        <f t="shared" si="1103"/>
        <v/>
      </c>
      <c r="L2302" s="736" t="s">
        <v>2443</v>
      </c>
      <c r="M2302" s="25" t="str">
        <f t="shared" si="1087"/>
        <v>R</v>
      </c>
      <c r="N2302" s="25" t="str">
        <f>IF(L2302&lt;&gt;"",VLOOKUP(L2302,Categories!$B$2:$D$41,2,FALSE),IF(F2302&lt;&gt;"","No Cat",""))</f>
        <v>Rate Base</v>
      </c>
      <c r="O2302" s="25" t="str">
        <f>IF($L2302&lt;&gt;"",VLOOKUP($L2302,Categories!$B$2:$D$41,3,FALSE),IF($F2302&lt;&gt;"","No Cat",""))</f>
        <v>Deferred Income Taxes</v>
      </c>
      <c r="P2302" s="736" t="s">
        <v>2482</v>
      </c>
      <c r="Q2302" s="25" t="str">
        <f>VLOOKUP($P2302,Allocators!$B$7:$F$19,5,FALSE)</f>
        <v>Electric</v>
      </c>
      <c r="R2302" s="737">
        <f>VLOOKUP($P2302,Allocators!$B$7:$F$19,2,FALSE)</f>
        <v>1</v>
      </c>
      <c r="S2302" s="737">
        <f>VLOOKUP($P2302,Allocators!$B$7:$F$19,3,FALSE)</f>
        <v>0</v>
      </c>
      <c r="T2302" s="737" t="str">
        <f t="shared" si="1102"/>
        <v>0.0%</v>
      </c>
      <c r="U2302" s="2" t="str">
        <f t="shared" si="1093"/>
        <v/>
      </c>
      <c r="V2302" s="2" t="str">
        <f t="shared" si="1094"/>
        <v/>
      </c>
      <c r="W2302" s="2" t="str">
        <f t="shared" si="1095"/>
        <v/>
      </c>
      <c r="X2302" s="2">
        <f t="shared" si="1088"/>
        <v>0</v>
      </c>
      <c r="Y2302" s="2" t="str">
        <f t="shared" si="1096"/>
        <v/>
      </c>
      <c r="Z2302" s="2" t="str">
        <f t="shared" si="1097"/>
        <v/>
      </c>
      <c r="AA2302" s="2" t="str">
        <f t="shared" si="1098"/>
        <v/>
      </c>
      <c r="AB2302" s="2">
        <f t="shared" si="1089"/>
        <v>0</v>
      </c>
      <c r="AC2302" s="625">
        <v>0</v>
      </c>
      <c r="AD2302" s="625">
        <v>0</v>
      </c>
      <c r="AE2302" s="625">
        <v>0</v>
      </c>
      <c r="AF2302" s="625">
        <v>0</v>
      </c>
      <c r="AG2302" s="625">
        <v>0</v>
      </c>
      <c r="AH2302" s="625">
        <v>0</v>
      </c>
      <c r="AI2302" s="625">
        <v>0</v>
      </c>
      <c r="AJ2302" s="625">
        <v>0</v>
      </c>
      <c r="AK2302" s="625">
        <v>0</v>
      </c>
      <c r="AL2302" s="625">
        <v>0</v>
      </c>
      <c r="AM2302" s="625">
        <v>0</v>
      </c>
      <c r="AN2302" s="625">
        <v>0</v>
      </c>
      <c r="AO2302" s="625">
        <v>0</v>
      </c>
      <c r="AP2302" s="41" t="str">
        <f t="shared" si="1084"/>
        <v>Def TaxR</v>
      </c>
      <c r="AQ2302" s="41" t="str">
        <f t="shared" si="1085"/>
        <v>Def TaxRR110</v>
      </c>
      <c r="AR2302" s="41" t="str">
        <f t="shared" si="1086"/>
        <v>R110</v>
      </c>
    </row>
    <row r="2303" spans="1:44" s="41" customFormat="1" ht="12.75" customHeight="1">
      <c r="A2303" s="442" t="s">
        <v>1590</v>
      </c>
      <c r="B2303" s="442" t="str">
        <f t="shared" si="1101"/>
        <v>Def Tax283420283-051BTHUNGDT</v>
      </c>
      <c r="C2303" s="736">
        <v>283420</v>
      </c>
      <c r="D2303" s="735" t="s">
        <v>2196</v>
      </c>
      <c r="E2303" s="626" t="s">
        <v>1624</v>
      </c>
      <c r="F2303" s="626" t="str">
        <f t="shared" si="1099"/>
        <v>ACCUM DEF INC TAX-OTH-STATE-ELECTRIC-NONOP</v>
      </c>
      <c r="G2303" s="626" t="s">
        <v>2197</v>
      </c>
      <c r="H2303" s="736" t="s">
        <v>2880</v>
      </c>
      <c r="I2303" s="442"/>
      <c r="J2303" s="442" t="str">
        <f t="shared" si="1100"/>
        <v/>
      </c>
      <c r="K2303" s="442" t="str">
        <f t="shared" si="1103"/>
        <v/>
      </c>
      <c r="L2303" s="736" t="s">
        <v>2421</v>
      </c>
      <c r="M2303" s="442" t="str">
        <f t="shared" si="1087"/>
        <v>N</v>
      </c>
      <c r="N2303" s="442" t="str">
        <f>IF(L2303&lt;&gt;"",VLOOKUP(L2303,Categories!$B$2:$D$41,2,FALSE),IF(F2303&lt;&gt;"","No Cat",""))</f>
        <v>NRBASE</v>
      </c>
      <c r="O2303" s="442" t="str">
        <f>IF($L2303&lt;&gt;"",VLOOKUP($L2303,Categories!$B$2:$D$41,3,FALSE),IF($F2303&lt;&gt;"","No Cat",""))</f>
        <v>Direct Assign Items Not in RB</v>
      </c>
      <c r="P2303" s="736" t="s">
        <v>2468</v>
      </c>
      <c r="Q2303" s="442" t="str">
        <f>VLOOKUP($P2303,Allocators!$B$7:$F$19,5,FALSE)</f>
        <v>Not in Rate Base</v>
      </c>
      <c r="R2303" s="737">
        <f>VLOOKUP($P2303,Allocators!$B$7:$F$19,2,FALSE)</f>
        <v>0</v>
      </c>
      <c r="S2303" s="737">
        <f>VLOOKUP($P2303,Allocators!$B$7:$F$19,3,FALSE)</f>
        <v>0</v>
      </c>
      <c r="T2303" s="737">
        <f t="shared" si="1102"/>
        <v>1</v>
      </c>
      <c r="U2303" s="2" t="str">
        <f t="shared" si="1093"/>
        <v/>
      </c>
      <c r="V2303" s="2" t="str">
        <f t="shared" si="1094"/>
        <v/>
      </c>
      <c r="W2303" s="2" t="str">
        <f t="shared" si="1095"/>
        <v/>
      </c>
      <c r="X2303" s="2">
        <f t="shared" si="1088"/>
        <v>0</v>
      </c>
      <c r="Y2303" s="2" t="str">
        <f t="shared" si="1096"/>
        <v/>
      </c>
      <c r="Z2303" s="2" t="str">
        <f t="shared" si="1097"/>
        <v/>
      </c>
      <c r="AA2303" s="2" t="str">
        <f t="shared" si="1098"/>
        <v/>
      </c>
      <c r="AB2303" s="2">
        <f t="shared" si="1089"/>
        <v>0</v>
      </c>
      <c r="AC2303" s="625">
        <v>0</v>
      </c>
      <c r="AD2303" s="625">
        <v>0</v>
      </c>
      <c r="AE2303" s="625">
        <v>0</v>
      </c>
      <c r="AF2303" s="625">
        <v>0</v>
      </c>
      <c r="AG2303" s="625">
        <v>0</v>
      </c>
      <c r="AH2303" s="625">
        <v>0</v>
      </c>
      <c r="AI2303" s="625">
        <v>0</v>
      </c>
      <c r="AJ2303" s="625">
        <v>0</v>
      </c>
      <c r="AK2303" s="625">
        <v>0</v>
      </c>
      <c r="AL2303" s="625">
        <v>0</v>
      </c>
      <c r="AM2303" s="625">
        <v>0</v>
      </c>
      <c r="AN2303" s="625">
        <v>0</v>
      </c>
      <c r="AO2303" s="625">
        <v>0</v>
      </c>
      <c r="AP2303" s="41" t="str">
        <f t="shared" si="1084"/>
        <v>Def TaxN</v>
      </c>
      <c r="AQ2303" s="41" t="str">
        <f t="shared" si="1085"/>
        <v>Def TaxNN2Hung Deferred Taxes</v>
      </c>
      <c r="AR2303" s="41" t="str">
        <f t="shared" si="1086"/>
        <v>N2Hung Deferred Taxes</v>
      </c>
    </row>
    <row r="2304" spans="1:44" s="41" customFormat="1" ht="12.75" customHeight="1">
      <c r="A2304" s="25" t="s">
        <v>1590</v>
      </c>
      <c r="B2304" s="25" t="str">
        <f t="shared" si="1101"/>
        <v>Def Tax283420283-064</v>
      </c>
      <c r="C2304" s="736">
        <v>283420</v>
      </c>
      <c r="D2304" s="735" t="s">
        <v>2273</v>
      </c>
      <c r="F2304" s="41" t="str">
        <f t="shared" si="1099"/>
        <v>ACCUM DEF INC TAX-OTH-STATE-ELECTRIC-NONOP</v>
      </c>
      <c r="G2304" s="41" t="s">
        <v>2274</v>
      </c>
      <c r="H2304" s="736" t="s">
        <v>1629</v>
      </c>
      <c r="I2304" s="25"/>
      <c r="J2304" s="25" t="str">
        <f t="shared" si="1100"/>
        <v/>
      </c>
      <c r="K2304" s="442" t="str">
        <f t="shared" si="1103"/>
        <v/>
      </c>
      <c r="L2304" s="736" t="s">
        <v>2443</v>
      </c>
      <c r="M2304" s="25" t="str">
        <f t="shared" si="1087"/>
        <v>R</v>
      </c>
      <c r="N2304" s="25" t="str">
        <f>IF(L2304&lt;&gt;"",VLOOKUP(L2304,Categories!$B$2:$D$41,2,FALSE),IF(F2304&lt;&gt;"","No Cat",""))</f>
        <v>Rate Base</v>
      </c>
      <c r="O2304" s="25" t="str">
        <f>IF($L2304&lt;&gt;"",VLOOKUP($L2304,Categories!$B$2:$D$41,3,FALSE),IF($F2304&lt;&gt;"","No Cat",""))</f>
        <v>Deferred Income Taxes</v>
      </c>
      <c r="P2304" s="736" t="s">
        <v>2482</v>
      </c>
      <c r="Q2304" s="25" t="str">
        <f>VLOOKUP($P2304,Allocators!$B$7:$F$19,5,FALSE)</f>
        <v>Electric</v>
      </c>
      <c r="R2304" s="737">
        <f>VLOOKUP($P2304,Allocators!$B$7:$F$19,2,FALSE)</f>
        <v>1</v>
      </c>
      <c r="S2304" s="737">
        <f>VLOOKUP($P2304,Allocators!$B$7:$F$19,3,FALSE)</f>
        <v>0</v>
      </c>
      <c r="T2304" s="737" t="str">
        <f t="shared" si="1102"/>
        <v>0.0%</v>
      </c>
      <c r="U2304" s="2" t="str">
        <f t="shared" si="1093"/>
        <v/>
      </c>
      <c r="V2304" s="2" t="str">
        <f t="shared" si="1094"/>
        <v/>
      </c>
      <c r="W2304" s="2" t="str">
        <f t="shared" si="1095"/>
        <v/>
      </c>
      <c r="X2304" s="2">
        <f t="shared" si="1088"/>
        <v>0</v>
      </c>
      <c r="Y2304" s="2" t="str">
        <f t="shared" si="1096"/>
        <v/>
      </c>
      <c r="Z2304" s="2" t="str">
        <f t="shared" si="1097"/>
        <v/>
      </c>
      <c r="AA2304" s="2" t="str">
        <f t="shared" si="1098"/>
        <v/>
      </c>
      <c r="AB2304" s="2">
        <f t="shared" si="1089"/>
        <v>0</v>
      </c>
      <c r="AC2304" s="625">
        <v>0</v>
      </c>
      <c r="AD2304" s="625">
        <v>0</v>
      </c>
      <c r="AE2304" s="625">
        <v>0</v>
      </c>
      <c r="AF2304" s="625">
        <v>0</v>
      </c>
      <c r="AG2304" s="625">
        <v>0</v>
      </c>
      <c r="AH2304" s="625">
        <v>0</v>
      </c>
      <c r="AI2304" s="625">
        <v>0</v>
      </c>
      <c r="AJ2304" s="625">
        <v>0</v>
      </c>
      <c r="AK2304" s="625">
        <v>0</v>
      </c>
      <c r="AL2304" s="625">
        <v>0</v>
      </c>
      <c r="AM2304" s="625">
        <v>0</v>
      </c>
      <c r="AN2304" s="625">
        <v>0</v>
      </c>
      <c r="AO2304" s="625">
        <v>0</v>
      </c>
      <c r="AP2304" s="41" t="str">
        <f t="shared" si="1084"/>
        <v>Def TaxR</v>
      </c>
      <c r="AQ2304" s="41" t="str">
        <f t="shared" si="1085"/>
        <v>Def TaxRR11Merger Related</v>
      </c>
      <c r="AR2304" s="41" t="str">
        <f t="shared" si="1086"/>
        <v>R11Merger Related</v>
      </c>
    </row>
    <row r="2305" spans="1:44" s="41" customFormat="1" ht="12.75" customHeight="1">
      <c r="A2305" s="25" t="s">
        <v>1590</v>
      </c>
      <c r="B2305" s="25" t="str">
        <f t="shared" si="1101"/>
        <v>Def Tax283420283-065</v>
      </c>
      <c r="C2305" s="736">
        <v>283420</v>
      </c>
      <c r="D2305" s="735" t="s">
        <v>2282</v>
      </c>
      <c r="F2305" s="41" t="str">
        <f t="shared" si="1099"/>
        <v>ACCUM DEF INC TAX-OTH-STATE-ELECTRIC-NONOP</v>
      </c>
      <c r="G2305" s="41" t="s">
        <v>2283</v>
      </c>
      <c r="H2305" s="736" t="s">
        <v>1629</v>
      </c>
      <c r="I2305" s="25"/>
      <c r="J2305" s="25" t="str">
        <f t="shared" si="1100"/>
        <v/>
      </c>
      <c r="K2305" s="442" t="str">
        <f t="shared" si="1103"/>
        <v/>
      </c>
      <c r="L2305" s="736" t="s">
        <v>2443</v>
      </c>
      <c r="M2305" s="25" t="str">
        <f t="shared" si="1087"/>
        <v>R</v>
      </c>
      <c r="N2305" s="25" t="str">
        <f>IF(L2305&lt;&gt;"",VLOOKUP(L2305,Categories!$B$2:$D$41,2,FALSE),IF(F2305&lt;&gt;"","No Cat",""))</f>
        <v>Rate Base</v>
      </c>
      <c r="O2305" s="25" t="str">
        <f>IF($L2305&lt;&gt;"",VLOOKUP($L2305,Categories!$B$2:$D$41,3,FALSE),IF($F2305&lt;&gt;"","No Cat",""))</f>
        <v>Deferred Income Taxes</v>
      </c>
      <c r="P2305" s="736" t="s">
        <v>2482</v>
      </c>
      <c r="Q2305" s="25" t="str">
        <f>VLOOKUP($P2305,Allocators!$B$7:$F$19,5,FALSE)</f>
        <v>Electric</v>
      </c>
      <c r="R2305" s="737">
        <f>VLOOKUP($P2305,Allocators!$B$7:$F$19,2,FALSE)</f>
        <v>1</v>
      </c>
      <c r="S2305" s="737">
        <f>VLOOKUP($P2305,Allocators!$B$7:$F$19,3,FALSE)</f>
        <v>0</v>
      </c>
      <c r="T2305" s="737" t="str">
        <f t="shared" si="1102"/>
        <v>0.0%</v>
      </c>
      <c r="U2305" s="2" t="str">
        <f t="shared" si="1093"/>
        <v/>
      </c>
      <c r="V2305" s="2" t="str">
        <f t="shared" si="1094"/>
        <v/>
      </c>
      <c r="W2305" s="2" t="str">
        <f t="shared" si="1095"/>
        <v/>
      </c>
      <c r="X2305" s="2">
        <f t="shared" si="1088"/>
        <v>0</v>
      </c>
      <c r="Y2305" s="2" t="str">
        <f t="shared" si="1096"/>
        <v/>
      </c>
      <c r="Z2305" s="2" t="str">
        <f t="shared" si="1097"/>
        <v/>
      </c>
      <c r="AA2305" s="2" t="str">
        <f t="shared" si="1098"/>
        <v/>
      </c>
      <c r="AB2305" s="2">
        <f t="shared" si="1089"/>
        <v>0</v>
      </c>
      <c r="AC2305" s="625">
        <v>0</v>
      </c>
      <c r="AD2305" s="625">
        <v>0</v>
      </c>
      <c r="AE2305" s="625">
        <v>0</v>
      </c>
      <c r="AF2305" s="625">
        <v>0</v>
      </c>
      <c r="AG2305" s="625">
        <v>0</v>
      </c>
      <c r="AH2305" s="625">
        <v>0</v>
      </c>
      <c r="AI2305" s="625">
        <v>0</v>
      </c>
      <c r="AJ2305" s="625">
        <v>0</v>
      </c>
      <c r="AK2305" s="625">
        <v>0</v>
      </c>
      <c r="AL2305" s="625">
        <v>0</v>
      </c>
      <c r="AM2305" s="625">
        <v>0</v>
      </c>
      <c r="AN2305" s="625">
        <v>0</v>
      </c>
      <c r="AO2305" s="625">
        <v>0</v>
      </c>
      <c r="AP2305" s="41" t="str">
        <f t="shared" si="1084"/>
        <v>Def TaxR</v>
      </c>
      <c r="AQ2305" s="41" t="str">
        <f t="shared" si="1085"/>
        <v>Def TaxRR11Merger Related</v>
      </c>
      <c r="AR2305" s="41" t="str">
        <f t="shared" si="1086"/>
        <v>R11Merger Related</v>
      </c>
    </row>
    <row r="2306" spans="1:44" s="41" customFormat="1" ht="12.75" customHeight="1">
      <c r="A2306" s="25" t="s">
        <v>1590</v>
      </c>
      <c r="B2306" s="25" t="str">
        <f t="shared" si="1101"/>
        <v>Def Tax283420283-066</v>
      </c>
      <c r="C2306" s="736">
        <v>283420</v>
      </c>
      <c r="D2306" s="735" t="s">
        <v>2279</v>
      </c>
      <c r="F2306" s="41" t="str">
        <f t="shared" si="1099"/>
        <v>ACCUM DEF INC TAX-OTH-STATE-ELECTRIC-NONOP</v>
      </c>
      <c r="G2306" s="41" t="s">
        <v>1811</v>
      </c>
      <c r="H2306" s="736" t="s">
        <v>1629</v>
      </c>
      <c r="I2306" s="25"/>
      <c r="J2306" s="25" t="str">
        <f t="shared" si="1100"/>
        <v/>
      </c>
      <c r="K2306" s="442" t="str">
        <f t="shared" si="1103"/>
        <v/>
      </c>
      <c r="L2306" s="736" t="s">
        <v>2443</v>
      </c>
      <c r="M2306" s="25" t="str">
        <f t="shared" si="1087"/>
        <v>R</v>
      </c>
      <c r="N2306" s="25" t="str">
        <f>IF(L2306&lt;&gt;"",VLOOKUP(L2306,Categories!$B$2:$D$41,2,FALSE),IF(F2306&lt;&gt;"","No Cat",""))</f>
        <v>Rate Base</v>
      </c>
      <c r="O2306" s="25" t="str">
        <f>IF($L2306&lt;&gt;"",VLOOKUP($L2306,Categories!$B$2:$D$41,3,FALSE),IF($F2306&lt;&gt;"","No Cat",""))</f>
        <v>Deferred Income Taxes</v>
      </c>
      <c r="P2306" s="736" t="s">
        <v>2482</v>
      </c>
      <c r="Q2306" s="25" t="str">
        <f>VLOOKUP($P2306,Allocators!$B$7:$F$19,5,FALSE)</f>
        <v>Electric</v>
      </c>
      <c r="R2306" s="737">
        <f>VLOOKUP($P2306,Allocators!$B$7:$F$19,2,FALSE)</f>
        <v>1</v>
      </c>
      <c r="S2306" s="737">
        <f>VLOOKUP($P2306,Allocators!$B$7:$F$19,3,FALSE)</f>
        <v>0</v>
      </c>
      <c r="T2306" s="737" t="str">
        <f t="shared" si="1102"/>
        <v>0.0%</v>
      </c>
      <c r="U2306" s="2">
        <f t="shared" si="1093"/>
        <v>265.40012000000002</v>
      </c>
      <c r="V2306" s="2">
        <f t="shared" si="1094"/>
        <v>0</v>
      </c>
      <c r="W2306" s="2">
        <f t="shared" si="1095"/>
        <v>0</v>
      </c>
      <c r="X2306" s="2">
        <f t="shared" si="1088"/>
        <v>265.40012000000002</v>
      </c>
      <c r="Y2306" s="2">
        <f t="shared" si="1096"/>
        <v>265.40012000000002</v>
      </c>
      <c r="Z2306" s="2">
        <f t="shared" si="1097"/>
        <v>0</v>
      </c>
      <c r="AA2306" s="2">
        <f t="shared" si="1098"/>
        <v>0</v>
      </c>
      <c r="AB2306" s="2">
        <f t="shared" si="1089"/>
        <v>265.40012000000002</v>
      </c>
      <c r="AC2306" s="625">
        <v>265.40012000000002</v>
      </c>
      <c r="AD2306" s="625">
        <v>265.40012000000002</v>
      </c>
      <c r="AE2306" s="625">
        <v>265.40012000000002</v>
      </c>
      <c r="AF2306" s="625">
        <v>265.40012000000002</v>
      </c>
      <c r="AG2306" s="625">
        <v>265.40012000000002</v>
      </c>
      <c r="AH2306" s="625">
        <v>265.40012000000002</v>
      </c>
      <c r="AI2306" s="625">
        <v>265.40012000000002</v>
      </c>
      <c r="AJ2306" s="625">
        <v>265.40012000000002</v>
      </c>
      <c r="AK2306" s="625">
        <v>265.40012000000002</v>
      </c>
      <c r="AL2306" s="625">
        <v>265.40012000000002</v>
      </c>
      <c r="AM2306" s="625">
        <v>265.40012000000002</v>
      </c>
      <c r="AN2306" s="625">
        <v>265.40012000000002</v>
      </c>
      <c r="AO2306" s="625">
        <v>265.40012000000002</v>
      </c>
      <c r="AP2306" s="41" t="str">
        <f t="shared" si="1084"/>
        <v>Def TaxR</v>
      </c>
      <c r="AQ2306" s="41" t="str">
        <f t="shared" si="1085"/>
        <v>Def TaxRR11Merger Related</v>
      </c>
      <c r="AR2306" s="41" t="str">
        <f t="shared" si="1086"/>
        <v>R11Merger Related</v>
      </c>
    </row>
    <row r="2307" spans="1:44" s="41" customFormat="1" ht="12.75" customHeight="1">
      <c r="A2307" s="25" t="s">
        <v>1590</v>
      </c>
      <c r="B2307" s="25" t="str">
        <f t="shared" si="1101"/>
        <v>Def Tax283420283-065/
283-066BT010196</v>
      </c>
      <c r="C2307" s="736">
        <v>283420</v>
      </c>
      <c r="D2307" s="735" t="s">
        <v>2301</v>
      </c>
      <c r="E2307" s="41" t="s">
        <v>1810</v>
      </c>
      <c r="F2307" s="41" t="str">
        <f t="shared" si="1099"/>
        <v>ACCUM DEF INC TAX-OTH-STATE-ELECTRIC-NONOP</v>
      </c>
      <c r="G2307" s="41" t="s">
        <v>2285</v>
      </c>
      <c r="H2307" s="736" t="s">
        <v>1629</v>
      </c>
      <c r="I2307" s="25"/>
      <c r="J2307" s="25" t="str">
        <f t="shared" si="1100"/>
        <v/>
      </c>
      <c r="K2307" s="442" t="str">
        <f t="shared" si="1103"/>
        <v/>
      </c>
      <c r="L2307" s="736" t="s">
        <v>2443</v>
      </c>
      <c r="M2307" s="25" t="str">
        <f t="shared" si="1087"/>
        <v>R</v>
      </c>
      <c r="N2307" s="25" t="str">
        <f>IF(L2307&lt;&gt;"",VLOOKUP(L2307,Categories!$B$2:$D$41,2,FALSE),IF(F2307&lt;&gt;"","No Cat",""))</f>
        <v>Rate Base</v>
      </c>
      <c r="O2307" s="25" t="str">
        <f>IF($L2307&lt;&gt;"",VLOOKUP($L2307,Categories!$B$2:$D$41,3,FALSE),IF($F2307&lt;&gt;"","No Cat",""))</f>
        <v>Deferred Income Taxes</v>
      </c>
      <c r="P2307" s="736" t="s">
        <v>2482</v>
      </c>
      <c r="Q2307" s="25" t="str">
        <f>VLOOKUP($P2307,Allocators!$B$7:$F$19,5,FALSE)</f>
        <v>Electric</v>
      </c>
      <c r="R2307" s="737">
        <f>VLOOKUP($P2307,Allocators!$B$7:$F$19,2,FALSE)</f>
        <v>1</v>
      </c>
      <c r="S2307" s="737">
        <f>VLOOKUP($P2307,Allocators!$B$7:$F$19,3,FALSE)</f>
        <v>0</v>
      </c>
      <c r="T2307" s="737" t="str">
        <f t="shared" si="1102"/>
        <v>0.0%</v>
      </c>
      <c r="U2307" s="2" t="str">
        <f t="shared" si="1093"/>
        <v/>
      </c>
      <c r="V2307" s="2" t="str">
        <f t="shared" si="1094"/>
        <v/>
      </c>
      <c r="W2307" s="2" t="str">
        <f t="shared" si="1095"/>
        <v/>
      </c>
      <c r="X2307" s="2">
        <f t="shared" si="1088"/>
        <v>0</v>
      </c>
      <c r="Y2307" s="2" t="str">
        <f t="shared" si="1096"/>
        <v/>
      </c>
      <c r="Z2307" s="2" t="str">
        <f t="shared" si="1097"/>
        <v/>
      </c>
      <c r="AA2307" s="2" t="str">
        <f t="shared" si="1098"/>
        <v/>
      </c>
      <c r="AB2307" s="2">
        <f t="shared" si="1089"/>
        <v>0</v>
      </c>
      <c r="AC2307" s="625">
        <v>0</v>
      </c>
      <c r="AD2307" s="625">
        <v>0</v>
      </c>
      <c r="AE2307" s="625">
        <v>0</v>
      </c>
      <c r="AF2307" s="625">
        <v>0</v>
      </c>
      <c r="AG2307" s="625">
        <v>0</v>
      </c>
      <c r="AH2307" s="625">
        <v>0</v>
      </c>
      <c r="AI2307" s="625">
        <v>0</v>
      </c>
      <c r="AJ2307" s="625">
        <v>0</v>
      </c>
      <c r="AK2307" s="625">
        <v>0</v>
      </c>
      <c r="AL2307" s="625">
        <v>0</v>
      </c>
      <c r="AM2307" s="625">
        <v>0</v>
      </c>
      <c r="AN2307" s="625">
        <v>0</v>
      </c>
      <c r="AO2307" s="625">
        <v>0</v>
      </c>
      <c r="AP2307" s="41" t="str">
        <f t="shared" si="1084"/>
        <v>Def TaxR</v>
      </c>
      <c r="AQ2307" s="41" t="str">
        <f t="shared" si="1085"/>
        <v>Def TaxRR11Merger Related</v>
      </c>
      <c r="AR2307" s="41" t="str">
        <f t="shared" si="1086"/>
        <v>R11Merger Related</v>
      </c>
    </row>
    <row r="2308" spans="1:44" s="41" customFormat="1" ht="12.75" customHeight="1">
      <c r="A2308" s="442" t="s">
        <v>1590</v>
      </c>
      <c r="B2308" s="442" t="str">
        <f t="shared" si="1101"/>
        <v>Def Tax283420283-076BTHUNGDT</v>
      </c>
      <c r="C2308" s="736">
        <v>283420</v>
      </c>
      <c r="D2308" s="735" t="s">
        <v>2271</v>
      </c>
      <c r="E2308" s="626" t="s">
        <v>1624</v>
      </c>
      <c r="F2308" s="626" t="str">
        <f t="shared" si="1099"/>
        <v>ACCUM DEF INC TAX-OTH-STATE-ELECTRIC-NONOP</v>
      </c>
      <c r="G2308" s="626" t="s">
        <v>2272</v>
      </c>
      <c r="H2308" s="736" t="s">
        <v>2880</v>
      </c>
      <c r="I2308" s="442"/>
      <c r="J2308" s="442" t="str">
        <f t="shared" si="1100"/>
        <v/>
      </c>
      <c r="K2308" s="442" t="str">
        <f t="shared" si="1103"/>
        <v/>
      </c>
      <c r="L2308" s="736" t="s">
        <v>2421</v>
      </c>
      <c r="M2308" s="442" t="str">
        <f t="shared" si="1087"/>
        <v>N</v>
      </c>
      <c r="N2308" s="442" t="str">
        <f>IF(L2308&lt;&gt;"",VLOOKUP(L2308,Categories!$B$2:$D$41,2,FALSE),IF(F2308&lt;&gt;"","No Cat",""))</f>
        <v>NRBASE</v>
      </c>
      <c r="O2308" s="442" t="str">
        <f>IF($L2308&lt;&gt;"",VLOOKUP($L2308,Categories!$B$2:$D$41,3,FALSE),IF($F2308&lt;&gt;"","No Cat",""))</f>
        <v>Direct Assign Items Not in RB</v>
      </c>
      <c r="P2308" s="736" t="s">
        <v>2468</v>
      </c>
      <c r="Q2308" s="442" t="str">
        <f>VLOOKUP($P2308,Allocators!$B$7:$F$19,5,FALSE)</f>
        <v>Not in Rate Base</v>
      </c>
      <c r="R2308" s="737">
        <f>VLOOKUP($P2308,Allocators!$B$7:$F$19,2,FALSE)</f>
        <v>0</v>
      </c>
      <c r="S2308" s="737">
        <f>VLOOKUP($P2308,Allocators!$B$7:$F$19,3,FALSE)</f>
        <v>0</v>
      </c>
      <c r="T2308" s="737">
        <f t="shared" si="1102"/>
        <v>1</v>
      </c>
      <c r="U2308" s="2" t="str">
        <f t="shared" si="1093"/>
        <v/>
      </c>
      <c r="V2308" s="2" t="str">
        <f t="shared" si="1094"/>
        <v/>
      </c>
      <c r="W2308" s="2" t="str">
        <f t="shared" si="1095"/>
        <v/>
      </c>
      <c r="X2308" s="2">
        <f t="shared" si="1088"/>
        <v>0</v>
      </c>
      <c r="Y2308" s="2" t="str">
        <f t="shared" si="1096"/>
        <v/>
      </c>
      <c r="Z2308" s="2" t="str">
        <f t="shared" si="1097"/>
        <v/>
      </c>
      <c r="AA2308" s="2" t="str">
        <f t="shared" si="1098"/>
        <v/>
      </c>
      <c r="AB2308" s="2">
        <f t="shared" si="1089"/>
        <v>0</v>
      </c>
      <c r="AC2308" s="625">
        <v>0</v>
      </c>
      <c r="AD2308" s="625">
        <v>0</v>
      </c>
      <c r="AE2308" s="625">
        <v>0</v>
      </c>
      <c r="AF2308" s="625">
        <v>0</v>
      </c>
      <c r="AG2308" s="625">
        <v>0</v>
      </c>
      <c r="AH2308" s="625">
        <v>0</v>
      </c>
      <c r="AI2308" s="625">
        <v>0</v>
      </c>
      <c r="AJ2308" s="625">
        <v>0</v>
      </c>
      <c r="AK2308" s="625">
        <v>0</v>
      </c>
      <c r="AL2308" s="625">
        <v>0</v>
      </c>
      <c r="AM2308" s="625">
        <v>0</v>
      </c>
      <c r="AN2308" s="625">
        <v>0</v>
      </c>
      <c r="AO2308" s="625">
        <v>0</v>
      </c>
      <c r="AP2308" s="41" t="str">
        <f t="shared" si="1084"/>
        <v>Def TaxN</v>
      </c>
      <c r="AQ2308" s="41" t="str">
        <f t="shared" si="1085"/>
        <v>Def TaxNN2Hung Deferred Taxes</v>
      </c>
      <c r="AR2308" s="41" t="str">
        <f t="shared" si="1086"/>
        <v>N2Hung Deferred Taxes</v>
      </c>
    </row>
    <row r="2309" spans="1:44" s="41" customFormat="1" ht="12.75" customHeight="1">
      <c r="A2309" s="442" t="s">
        <v>1590</v>
      </c>
      <c r="B2309" s="442" t="str">
        <f t="shared" si="1101"/>
        <v>Def Tax283430283-035BTHUNGDT</v>
      </c>
      <c r="C2309" s="736">
        <v>283430</v>
      </c>
      <c r="D2309" s="735" t="s">
        <v>2150</v>
      </c>
      <c r="E2309" s="626" t="s">
        <v>1624</v>
      </c>
      <c r="F2309" s="626" t="str">
        <f t="shared" si="1099"/>
        <v>ACCUM DEF INC TAX-OTH-STATE-GAS-NONOP</v>
      </c>
      <c r="G2309" s="626" t="s">
        <v>2151</v>
      </c>
      <c r="H2309" s="736" t="s">
        <v>2880</v>
      </c>
      <c r="I2309" s="442"/>
      <c r="J2309" s="442" t="str">
        <f t="shared" si="1100"/>
        <v/>
      </c>
      <c r="K2309" s="442" t="str">
        <f t="shared" si="1103"/>
        <v/>
      </c>
      <c r="L2309" s="736" t="s">
        <v>2421</v>
      </c>
      <c r="M2309" s="442" t="str">
        <f t="shared" si="1087"/>
        <v>N</v>
      </c>
      <c r="N2309" s="442" t="str">
        <f>IF(L2309&lt;&gt;"",VLOOKUP(L2309,Categories!$B$2:$D$41,2,FALSE),IF(F2309&lt;&gt;"","No Cat",""))</f>
        <v>NRBASE</v>
      </c>
      <c r="O2309" s="442" t="str">
        <f>IF($L2309&lt;&gt;"",VLOOKUP($L2309,Categories!$B$2:$D$41,3,FALSE),IF($F2309&lt;&gt;"","No Cat",""))</f>
        <v>Direct Assign Items Not in RB</v>
      </c>
      <c r="P2309" s="736" t="s">
        <v>2468</v>
      </c>
      <c r="Q2309" s="442" t="str">
        <f>VLOOKUP($P2309,Allocators!$B$7:$F$19,5,FALSE)</f>
        <v>Not in Rate Base</v>
      </c>
      <c r="R2309" s="737">
        <f>VLOOKUP($P2309,Allocators!$B$7:$F$19,2,FALSE)</f>
        <v>0</v>
      </c>
      <c r="S2309" s="737">
        <f>VLOOKUP($P2309,Allocators!$B$7:$F$19,3,FALSE)</f>
        <v>0</v>
      </c>
      <c r="T2309" s="737">
        <f t="shared" si="1102"/>
        <v>1</v>
      </c>
      <c r="U2309" s="2" t="str">
        <f t="shared" si="1093"/>
        <v/>
      </c>
      <c r="V2309" s="2" t="str">
        <f t="shared" si="1094"/>
        <v/>
      </c>
      <c r="W2309" s="2" t="str">
        <f t="shared" si="1095"/>
        <v/>
      </c>
      <c r="X2309" s="2">
        <f t="shared" si="1088"/>
        <v>0</v>
      </c>
      <c r="Y2309" s="2" t="str">
        <f t="shared" si="1096"/>
        <v/>
      </c>
      <c r="Z2309" s="2" t="str">
        <f t="shared" si="1097"/>
        <v/>
      </c>
      <c r="AA2309" s="2" t="str">
        <f t="shared" si="1098"/>
        <v/>
      </c>
      <c r="AB2309" s="2">
        <f t="shared" si="1089"/>
        <v>0</v>
      </c>
      <c r="AC2309" s="625">
        <v>0</v>
      </c>
      <c r="AD2309" s="625">
        <v>0</v>
      </c>
      <c r="AE2309" s="625">
        <v>0</v>
      </c>
      <c r="AF2309" s="625">
        <v>0</v>
      </c>
      <c r="AG2309" s="625">
        <v>0</v>
      </c>
      <c r="AH2309" s="625">
        <v>0</v>
      </c>
      <c r="AI2309" s="625">
        <v>0</v>
      </c>
      <c r="AJ2309" s="625">
        <v>0</v>
      </c>
      <c r="AK2309" s="625">
        <v>0</v>
      </c>
      <c r="AL2309" s="625">
        <v>0</v>
      </c>
      <c r="AM2309" s="625">
        <v>0</v>
      </c>
      <c r="AN2309" s="625">
        <v>0</v>
      </c>
      <c r="AO2309" s="625">
        <v>0</v>
      </c>
      <c r="AP2309" s="41" t="str">
        <f t="shared" si="1084"/>
        <v>Def TaxN</v>
      </c>
      <c r="AQ2309" s="41" t="str">
        <f t="shared" si="1085"/>
        <v>Def TaxNN2Hung Deferred Taxes</v>
      </c>
      <c r="AR2309" s="41" t="str">
        <f t="shared" si="1086"/>
        <v>N2Hung Deferred Taxes</v>
      </c>
    </row>
    <row r="2310" spans="1:44" s="41" customFormat="1" ht="12.75" customHeight="1">
      <c r="A2310" s="442" t="s">
        <v>1590</v>
      </c>
      <c r="B2310" s="442" t="str">
        <f t="shared" si="1101"/>
        <v>Def Tax283430283-039BTHUNGDT</v>
      </c>
      <c r="C2310" s="736">
        <v>283430</v>
      </c>
      <c r="D2310" s="735" t="s">
        <v>2194</v>
      </c>
      <c r="E2310" s="626" t="s">
        <v>1624</v>
      </c>
      <c r="F2310" s="626" t="str">
        <f t="shared" si="1099"/>
        <v>ACCUM DEF INC TAX-OTH-STATE-GAS-NONOP</v>
      </c>
      <c r="G2310" s="626" t="s">
        <v>2195</v>
      </c>
      <c r="H2310" s="736" t="s">
        <v>2880</v>
      </c>
      <c r="I2310" s="442"/>
      <c r="J2310" s="442" t="str">
        <f t="shared" si="1100"/>
        <v/>
      </c>
      <c r="K2310" s="442" t="str">
        <f t="shared" si="1103"/>
        <v/>
      </c>
      <c r="L2310" s="736" t="s">
        <v>2421</v>
      </c>
      <c r="M2310" s="442" t="str">
        <f t="shared" si="1087"/>
        <v>N</v>
      </c>
      <c r="N2310" s="442" t="str">
        <f>IF(L2310&lt;&gt;"",VLOOKUP(L2310,Categories!$B$2:$D$41,2,FALSE),IF(F2310&lt;&gt;"","No Cat",""))</f>
        <v>NRBASE</v>
      </c>
      <c r="O2310" s="442" t="str">
        <f>IF($L2310&lt;&gt;"",VLOOKUP($L2310,Categories!$B$2:$D$41,3,FALSE),IF($F2310&lt;&gt;"","No Cat",""))</f>
        <v>Direct Assign Items Not in RB</v>
      </c>
      <c r="P2310" s="736" t="s">
        <v>2468</v>
      </c>
      <c r="Q2310" s="442" t="str">
        <f>VLOOKUP($P2310,Allocators!$B$7:$F$19,5,FALSE)</f>
        <v>Not in Rate Base</v>
      </c>
      <c r="R2310" s="737">
        <f>VLOOKUP($P2310,Allocators!$B$7:$F$19,2,FALSE)</f>
        <v>0</v>
      </c>
      <c r="S2310" s="737">
        <f>VLOOKUP($P2310,Allocators!$B$7:$F$19,3,FALSE)</f>
        <v>0</v>
      </c>
      <c r="T2310" s="737">
        <f t="shared" si="1102"/>
        <v>1</v>
      </c>
      <c r="U2310" s="2" t="str">
        <f t="shared" si="1093"/>
        <v/>
      </c>
      <c r="V2310" s="2" t="str">
        <f t="shared" si="1094"/>
        <v/>
      </c>
      <c r="W2310" s="2" t="str">
        <f t="shared" si="1095"/>
        <v/>
      </c>
      <c r="X2310" s="2">
        <f t="shared" si="1088"/>
        <v>0</v>
      </c>
      <c r="Y2310" s="2" t="str">
        <f t="shared" si="1096"/>
        <v/>
      </c>
      <c r="Z2310" s="2" t="str">
        <f t="shared" si="1097"/>
        <v/>
      </c>
      <c r="AA2310" s="2" t="str">
        <f t="shared" si="1098"/>
        <v/>
      </c>
      <c r="AB2310" s="2">
        <f t="shared" si="1089"/>
        <v>0</v>
      </c>
      <c r="AC2310" s="625">
        <v>0</v>
      </c>
      <c r="AD2310" s="625">
        <v>0</v>
      </c>
      <c r="AE2310" s="625">
        <v>0</v>
      </c>
      <c r="AF2310" s="625">
        <v>0</v>
      </c>
      <c r="AG2310" s="625">
        <v>0</v>
      </c>
      <c r="AH2310" s="625">
        <v>0</v>
      </c>
      <c r="AI2310" s="625">
        <v>0</v>
      </c>
      <c r="AJ2310" s="625">
        <v>0</v>
      </c>
      <c r="AK2310" s="625">
        <v>0</v>
      </c>
      <c r="AL2310" s="625">
        <v>0</v>
      </c>
      <c r="AM2310" s="625">
        <v>0</v>
      </c>
      <c r="AN2310" s="625">
        <v>0</v>
      </c>
      <c r="AO2310" s="625">
        <v>0</v>
      </c>
      <c r="AP2310" s="41" t="str">
        <f t="shared" si="1084"/>
        <v>Def TaxN</v>
      </c>
      <c r="AQ2310" s="41" t="str">
        <f t="shared" si="1085"/>
        <v>Def TaxNN2Hung Deferred Taxes</v>
      </c>
      <c r="AR2310" s="41" t="str">
        <f t="shared" si="1086"/>
        <v>N2Hung Deferred Taxes</v>
      </c>
    </row>
    <row r="2311" spans="1:44" s="41" customFormat="1" ht="12.75" customHeight="1">
      <c r="A2311" s="442" t="s">
        <v>1590</v>
      </c>
      <c r="B2311" s="442" t="str">
        <f t="shared" si="1101"/>
        <v>Def Tax283430283-045BTHUNGDT</v>
      </c>
      <c r="C2311" s="736">
        <v>283430</v>
      </c>
      <c r="D2311" s="735" t="s">
        <v>2209</v>
      </c>
      <c r="E2311" s="626" t="s">
        <v>1624</v>
      </c>
      <c r="F2311" s="626" t="str">
        <f t="shared" si="1099"/>
        <v>ACCUM DEF INC TAX-OTH-STATE-GAS-NONOP</v>
      </c>
      <c r="G2311" s="626" t="s">
        <v>2210</v>
      </c>
      <c r="H2311" s="736" t="s">
        <v>2880</v>
      </c>
      <c r="I2311" s="442"/>
      <c r="J2311" s="442" t="str">
        <f t="shared" si="1100"/>
        <v/>
      </c>
      <c r="K2311" s="442" t="str">
        <f t="shared" si="1103"/>
        <v/>
      </c>
      <c r="L2311" s="736" t="s">
        <v>2421</v>
      </c>
      <c r="M2311" s="442" t="str">
        <f t="shared" si="1087"/>
        <v>N</v>
      </c>
      <c r="N2311" s="442" t="str">
        <f>IF(L2311&lt;&gt;"",VLOOKUP(L2311,Categories!$B$2:$D$41,2,FALSE),IF(F2311&lt;&gt;"","No Cat",""))</f>
        <v>NRBASE</v>
      </c>
      <c r="O2311" s="442" t="str">
        <f>IF($L2311&lt;&gt;"",VLOOKUP($L2311,Categories!$B$2:$D$41,3,FALSE),IF($F2311&lt;&gt;"","No Cat",""))</f>
        <v>Direct Assign Items Not in RB</v>
      </c>
      <c r="P2311" s="736" t="s">
        <v>2468</v>
      </c>
      <c r="Q2311" s="442" t="str">
        <f>VLOOKUP($P2311,Allocators!$B$7:$F$19,5,FALSE)</f>
        <v>Not in Rate Base</v>
      </c>
      <c r="R2311" s="737">
        <f>VLOOKUP($P2311,Allocators!$B$7:$F$19,2,FALSE)</f>
        <v>0</v>
      </c>
      <c r="S2311" s="737">
        <f>VLOOKUP($P2311,Allocators!$B$7:$F$19,3,FALSE)</f>
        <v>0</v>
      </c>
      <c r="T2311" s="737">
        <f t="shared" si="1102"/>
        <v>1</v>
      </c>
      <c r="U2311" s="2" t="str">
        <f t="shared" si="1093"/>
        <v/>
      </c>
      <c r="V2311" s="2" t="str">
        <f t="shared" si="1094"/>
        <v/>
      </c>
      <c r="W2311" s="2" t="str">
        <f t="shared" si="1095"/>
        <v/>
      </c>
      <c r="X2311" s="2">
        <f t="shared" si="1088"/>
        <v>0</v>
      </c>
      <c r="Y2311" s="2" t="str">
        <f t="shared" si="1096"/>
        <v/>
      </c>
      <c r="Z2311" s="2" t="str">
        <f t="shared" si="1097"/>
        <v/>
      </c>
      <c r="AA2311" s="2" t="str">
        <f t="shared" si="1098"/>
        <v/>
      </c>
      <c r="AB2311" s="2">
        <f t="shared" si="1089"/>
        <v>0</v>
      </c>
      <c r="AC2311" s="625">
        <v>0</v>
      </c>
      <c r="AD2311" s="625">
        <v>0</v>
      </c>
      <c r="AE2311" s="625">
        <v>0</v>
      </c>
      <c r="AF2311" s="625">
        <v>0</v>
      </c>
      <c r="AG2311" s="625">
        <v>0</v>
      </c>
      <c r="AH2311" s="625">
        <v>0</v>
      </c>
      <c r="AI2311" s="625">
        <v>0</v>
      </c>
      <c r="AJ2311" s="625">
        <v>0</v>
      </c>
      <c r="AK2311" s="625">
        <v>0</v>
      </c>
      <c r="AL2311" s="625">
        <v>0</v>
      </c>
      <c r="AM2311" s="625">
        <v>0</v>
      </c>
      <c r="AN2311" s="625">
        <v>0</v>
      </c>
      <c r="AO2311" s="625">
        <v>0</v>
      </c>
      <c r="AP2311" s="41" t="str">
        <f t="shared" si="1084"/>
        <v>Def TaxN</v>
      </c>
      <c r="AQ2311" s="41" t="str">
        <f t="shared" si="1085"/>
        <v>Def TaxNN2Hung Deferred Taxes</v>
      </c>
      <c r="AR2311" s="41" t="str">
        <f t="shared" si="1086"/>
        <v>N2Hung Deferred Taxes</v>
      </c>
    </row>
    <row r="2312" spans="1:44" s="41" customFormat="1" ht="12.75" customHeight="1">
      <c r="A2312" s="25" t="s">
        <v>1590</v>
      </c>
      <c r="B2312" s="25" t="str">
        <f t="shared" si="1101"/>
        <v>Def Tax283430283-050</v>
      </c>
      <c r="C2312" s="736">
        <v>283430</v>
      </c>
      <c r="D2312" s="735" t="s">
        <v>2277</v>
      </c>
      <c r="F2312" s="41" t="str">
        <f t="shared" si="1099"/>
        <v>ACCUM DEF INC TAX-OTH-STATE-GAS-NONOP</v>
      </c>
      <c r="G2312" s="41" t="s">
        <v>2278</v>
      </c>
      <c r="H2312" s="736">
        <v>0</v>
      </c>
      <c r="I2312" s="25"/>
      <c r="J2312" s="25" t="str">
        <f t="shared" si="1100"/>
        <v/>
      </c>
      <c r="K2312" s="442" t="str">
        <f t="shared" si="1103"/>
        <v/>
      </c>
      <c r="L2312" s="736" t="s">
        <v>2443</v>
      </c>
      <c r="M2312" s="25" t="str">
        <f t="shared" si="1087"/>
        <v>R</v>
      </c>
      <c r="N2312" s="25" t="str">
        <f>IF(L2312&lt;&gt;"",VLOOKUP(L2312,Categories!$B$2:$D$41,2,FALSE),IF(F2312&lt;&gt;"","No Cat",""))</f>
        <v>Rate Base</v>
      </c>
      <c r="O2312" s="25" t="str">
        <f>IF($L2312&lt;&gt;"",VLOOKUP($L2312,Categories!$B$2:$D$41,3,FALSE),IF($F2312&lt;&gt;"","No Cat",""))</f>
        <v>Deferred Income Taxes</v>
      </c>
      <c r="P2312" s="736" t="s">
        <v>2483</v>
      </c>
      <c r="Q2312" s="25" t="str">
        <f>VLOOKUP($P2312,Allocators!$B$7:$F$19,5,FALSE)</f>
        <v>Gas</v>
      </c>
      <c r="R2312" s="737">
        <f>VLOOKUP($P2312,Allocators!$B$7:$F$19,2,FALSE)</f>
        <v>0</v>
      </c>
      <c r="S2312" s="737">
        <f>VLOOKUP($P2312,Allocators!$B$7:$F$19,3,FALSE)</f>
        <v>1</v>
      </c>
      <c r="T2312" s="737" t="str">
        <f t="shared" si="1102"/>
        <v>0.0%</v>
      </c>
      <c r="U2312" s="2" t="str">
        <f t="shared" si="1093"/>
        <v/>
      </c>
      <c r="V2312" s="2" t="str">
        <f t="shared" si="1094"/>
        <v/>
      </c>
      <c r="W2312" s="2" t="str">
        <f t="shared" si="1095"/>
        <v/>
      </c>
      <c r="X2312" s="2">
        <f t="shared" si="1088"/>
        <v>0</v>
      </c>
      <c r="Y2312" s="2" t="str">
        <f t="shared" si="1096"/>
        <v/>
      </c>
      <c r="Z2312" s="2" t="str">
        <f t="shared" si="1097"/>
        <v/>
      </c>
      <c r="AA2312" s="2" t="str">
        <f t="shared" si="1098"/>
        <v/>
      </c>
      <c r="AB2312" s="2">
        <f t="shared" si="1089"/>
        <v>0</v>
      </c>
      <c r="AC2312" s="625">
        <v>0</v>
      </c>
      <c r="AD2312" s="625">
        <v>0</v>
      </c>
      <c r="AE2312" s="625">
        <v>0</v>
      </c>
      <c r="AF2312" s="625">
        <v>0</v>
      </c>
      <c r="AG2312" s="625">
        <v>0</v>
      </c>
      <c r="AH2312" s="625">
        <v>0</v>
      </c>
      <c r="AI2312" s="625">
        <v>0</v>
      </c>
      <c r="AJ2312" s="625">
        <v>0</v>
      </c>
      <c r="AK2312" s="625">
        <v>0</v>
      </c>
      <c r="AL2312" s="625">
        <v>0</v>
      </c>
      <c r="AM2312" s="625">
        <v>0</v>
      </c>
      <c r="AN2312" s="625">
        <v>0</v>
      </c>
      <c r="AO2312" s="625">
        <v>0</v>
      </c>
      <c r="AP2312" s="41" t="str">
        <f t="shared" ref="AP2312:AP2375" si="1105">CONCATENATE(A2312,M2312)</f>
        <v>Def TaxR</v>
      </c>
      <c r="AQ2312" s="41" t="str">
        <f t="shared" ref="AQ2312:AQ2375" si="1106">CONCATENATE(AP2312,L2312,H2312)</f>
        <v>Def TaxRR110</v>
      </c>
      <c r="AR2312" s="41" t="str">
        <f t="shared" ref="AR2312:AR2375" si="1107">CONCATENATE(L2312,H2312,J2312)</f>
        <v>R110</v>
      </c>
    </row>
    <row r="2313" spans="1:44" s="41" customFormat="1" ht="12.75" customHeight="1">
      <c r="A2313" s="442" t="s">
        <v>1590</v>
      </c>
      <c r="B2313" s="442" t="str">
        <f t="shared" si="1101"/>
        <v>Def Tax283430283-051BTHUNGDT</v>
      </c>
      <c r="C2313" s="736">
        <v>283430</v>
      </c>
      <c r="D2313" s="735" t="s">
        <v>2196</v>
      </c>
      <c r="E2313" s="626" t="s">
        <v>1624</v>
      </c>
      <c r="F2313" s="626" t="str">
        <f t="shared" si="1099"/>
        <v>ACCUM DEF INC TAX-OTH-STATE-GAS-NONOP</v>
      </c>
      <c r="G2313" s="626" t="s">
        <v>2197</v>
      </c>
      <c r="H2313" s="736" t="s">
        <v>2880</v>
      </c>
      <c r="I2313" s="442"/>
      <c r="J2313" s="442" t="str">
        <f t="shared" si="1100"/>
        <v/>
      </c>
      <c r="K2313" s="442" t="str">
        <f t="shared" si="1103"/>
        <v/>
      </c>
      <c r="L2313" s="736" t="s">
        <v>2421</v>
      </c>
      <c r="M2313" s="442" t="str">
        <f t="shared" si="1087"/>
        <v>N</v>
      </c>
      <c r="N2313" s="442" t="str">
        <f>IF(L2313&lt;&gt;"",VLOOKUP(L2313,Categories!$B$2:$D$41,2,FALSE),IF(F2313&lt;&gt;"","No Cat",""))</f>
        <v>NRBASE</v>
      </c>
      <c r="O2313" s="442" t="str">
        <f>IF($L2313&lt;&gt;"",VLOOKUP($L2313,Categories!$B$2:$D$41,3,FALSE),IF($F2313&lt;&gt;"","No Cat",""))</f>
        <v>Direct Assign Items Not in RB</v>
      </c>
      <c r="P2313" s="736" t="s">
        <v>2468</v>
      </c>
      <c r="Q2313" s="442" t="str">
        <f>VLOOKUP($P2313,Allocators!$B$7:$F$19,5,FALSE)</f>
        <v>Not in Rate Base</v>
      </c>
      <c r="R2313" s="737">
        <f>VLOOKUP($P2313,Allocators!$B$7:$F$19,2,FALSE)</f>
        <v>0</v>
      </c>
      <c r="S2313" s="737">
        <f>VLOOKUP($P2313,Allocators!$B$7:$F$19,3,FALSE)</f>
        <v>0</v>
      </c>
      <c r="T2313" s="737">
        <f t="shared" si="1102"/>
        <v>1</v>
      </c>
      <c r="U2313" s="2" t="str">
        <f t="shared" si="1093"/>
        <v/>
      </c>
      <c r="V2313" s="2" t="str">
        <f t="shared" si="1094"/>
        <v/>
      </c>
      <c r="W2313" s="2" t="str">
        <f t="shared" si="1095"/>
        <v/>
      </c>
      <c r="X2313" s="2">
        <f t="shared" si="1088"/>
        <v>0</v>
      </c>
      <c r="Y2313" s="2" t="str">
        <f t="shared" si="1096"/>
        <v/>
      </c>
      <c r="Z2313" s="2" t="str">
        <f t="shared" si="1097"/>
        <v/>
      </c>
      <c r="AA2313" s="2" t="str">
        <f t="shared" si="1098"/>
        <v/>
      </c>
      <c r="AB2313" s="2">
        <f t="shared" si="1089"/>
        <v>0</v>
      </c>
      <c r="AC2313" s="625">
        <v>0</v>
      </c>
      <c r="AD2313" s="625">
        <v>0</v>
      </c>
      <c r="AE2313" s="625">
        <v>0</v>
      </c>
      <c r="AF2313" s="625">
        <v>0</v>
      </c>
      <c r="AG2313" s="625">
        <v>0</v>
      </c>
      <c r="AH2313" s="625">
        <v>0</v>
      </c>
      <c r="AI2313" s="625">
        <v>0</v>
      </c>
      <c r="AJ2313" s="625">
        <v>0</v>
      </c>
      <c r="AK2313" s="625">
        <v>0</v>
      </c>
      <c r="AL2313" s="625">
        <v>0</v>
      </c>
      <c r="AM2313" s="625">
        <v>0</v>
      </c>
      <c r="AN2313" s="625">
        <v>0</v>
      </c>
      <c r="AO2313" s="625">
        <v>0</v>
      </c>
      <c r="AP2313" s="41" t="str">
        <f t="shared" si="1105"/>
        <v>Def TaxN</v>
      </c>
      <c r="AQ2313" s="41" t="str">
        <f t="shared" si="1106"/>
        <v>Def TaxNN2Hung Deferred Taxes</v>
      </c>
      <c r="AR2313" s="41" t="str">
        <f t="shared" si="1107"/>
        <v>N2Hung Deferred Taxes</v>
      </c>
    </row>
    <row r="2314" spans="1:44" s="41" customFormat="1" ht="12.75" customHeight="1">
      <c r="A2314" s="25" t="s">
        <v>1590</v>
      </c>
      <c r="B2314" s="25" t="str">
        <f t="shared" si="1101"/>
        <v>Def Tax283430283-064</v>
      </c>
      <c r="C2314" s="736">
        <v>283430</v>
      </c>
      <c r="D2314" s="735" t="s">
        <v>2273</v>
      </c>
      <c r="F2314" s="41" t="str">
        <f t="shared" si="1099"/>
        <v>ACCUM DEF INC TAX-OTH-STATE-GAS-NONOP</v>
      </c>
      <c r="G2314" s="41" t="s">
        <v>2274</v>
      </c>
      <c r="H2314" s="736" t="s">
        <v>1629</v>
      </c>
      <c r="I2314" s="25"/>
      <c r="J2314" s="25" t="str">
        <f t="shared" si="1100"/>
        <v/>
      </c>
      <c r="K2314" s="442" t="str">
        <f t="shared" si="1103"/>
        <v/>
      </c>
      <c r="L2314" s="736" t="s">
        <v>2443</v>
      </c>
      <c r="M2314" s="25" t="str">
        <f t="shared" si="1087"/>
        <v>R</v>
      </c>
      <c r="N2314" s="25" t="str">
        <f>IF(L2314&lt;&gt;"",VLOOKUP(L2314,Categories!$B$2:$D$41,2,FALSE),IF(F2314&lt;&gt;"","No Cat",""))</f>
        <v>Rate Base</v>
      </c>
      <c r="O2314" s="25" t="str">
        <f>IF($L2314&lt;&gt;"",VLOOKUP($L2314,Categories!$B$2:$D$41,3,FALSE),IF($F2314&lt;&gt;"","No Cat",""))</f>
        <v>Deferred Income Taxes</v>
      </c>
      <c r="P2314" s="736" t="s">
        <v>2483</v>
      </c>
      <c r="Q2314" s="25" t="str">
        <f>VLOOKUP($P2314,Allocators!$B$7:$F$19,5,FALSE)</f>
        <v>Gas</v>
      </c>
      <c r="R2314" s="737">
        <f>VLOOKUP($P2314,Allocators!$B$7:$F$19,2,FALSE)</f>
        <v>0</v>
      </c>
      <c r="S2314" s="737">
        <f>VLOOKUP($P2314,Allocators!$B$7:$F$19,3,FALSE)</f>
        <v>1</v>
      </c>
      <c r="T2314" s="737" t="str">
        <f t="shared" si="1102"/>
        <v>0.0%</v>
      </c>
      <c r="U2314" s="2" t="str">
        <f t="shared" si="1093"/>
        <v/>
      </c>
      <c r="V2314" s="2" t="str">
        <f t="shared" si="1094"/>
        <v/>
      </c>
      <c r="W2314" s="2" t="str">
        <f t="shared" si="1095"/>
        <v/>
      </c>
      <c r="X2314" s="2">
        <f t="shared" si="1088"/>
        <v>0</v>
      </c>
      <c r="Y2314" s="2" t="str">
        <f t="shared" si="1096"/>
        <v/>
      </c>
      <c r="Z2314" s="2" t="str">
        <f t="shared" si="1097"/>
        <v/>
      </c>
      <c r="AA2314" s="2" t="str">
        <f t="shared" si="1098"/>
        <v/>
      </c>
      <c r="AB2314" s="2">
        <f t="shared" si="1089"/>
        <v>0</v>
      </c>
      <c r="AC2314" s="625">
        <v>0</v>
      </c>
      <c r="AD2314" s="625">
        <v>0</v>
      </c>
      <c r="AE2314" s="625">
        <v>0</v>
      </c>
      <c r="AF2314" s="625">
        <v>0</v>
      </c>
      <c r="AG2314" s="625">
        <v>0</v>
      </c>
      <c r="AH2314" s="625">
        <v>0</v>
      </c>
      <c r="AI2314" s="625">
        <v>0</v>
      </c>
      <c r="AJ2314" s="625">
        <v>0</v>
      </c>
      <c r="AK2314" s="625">
        <v>0</v>
      </c>
      <c r="AL2314" s="625">
        <v>0</v>
      </c>
      <c r="AM2314" s="625">
        <v>0</v>
      </c>
      <c r="AN2314" s="625">
        <v>0</v>
      </c>
      <c r="AO2314" s="625">
        <v>0</v>
      </c>
      <c r="AP2314" s="41" t="str">
        <f t="shared" si="1105"/>
        <v>Def TaxR</v>
      </c>
      <c r="AQ2314" s="41" t="str">
        <f t="shared" si="1106"/>
        <v>Def TaxRR11Merger Related</v>
      </c>
      <c r="AR2314" s="41" t="str">
        <f t="shared" si="1107"/>
        <v>R11Merger Related</v>
      </c>
    </row>
    <row r="2315" spans="1:44" s="41" customFormat="1" ht="12.75" customHeight="1">
      <c r="A2315" s="25" t="s">
        <v>1590</v>
      </c>
      <c r="B2315" s="25" t="str">
        <f t="shared" si="1101"/>
        <v>Def Tax283430283-065</v>
      </c>
      <c r="C2315" s="736">
        <v>283430</v>
      </c>
      <c r="D2315" s="735" t="s">
        <v>2282</v>
      </c>
      <c r="F2315" s="41" t="str">
        <f t="shared" si="1099"/>
        <v>ACCUM DEF INC TAX-OTH-STATE-GAS-NONOP</v>
      </c>
      <c r="G2315" s="41" t="s">
        <v>2283</v>
      </c>
      <c r="H2315" s="736" t="s">
        <v>1629</v>
      </c>
      <c r="I2315" s="25"/>
      <c r="J2315" s="25" t="str">
        <f t="shared" si="1100"/>
        <v/>
      </c>
      <c r="K2315" s="442" t="str">
        <f t="shared" si="1103"/>
        <v/>
      </c>
      <c r="L2315" s="736" t="s">
        <v>2443</v>
      </c>
      <c r="M2315" s="25" t="str">
        <f t="shared" si="1087"/>
        <v>R</v>
      </c>
      <c r="N2315" s="25" t="str">
        <f>IF(L2315&lt;&gt;"",VLOOKUP(L2315,Categories!$B$2:$D$41,2,FALSE),IF(F2315&lt;&gt;"","No Cat",""))</f>
        <v>Rate Base</v>
      </c>
      <c r="O2315" s="25" t="str">
        <f>IF($L2315&lt;&gt;"",VLOOKUP($L2315,Categories!$B$2:$D$41,3,FALSE),IF($F2315&lt;&gt;"","No Cat",""))</f>
        <v>Deferred Income Taxes</v>
      </c>
      <c r="P2315" s="736" t="s">
        <v>2483</v>
      </c>
      <c r="Q2315" s="25" t="str">
        <f>VLOOKUP($P2315,Allocators!$B$7:$F$19,5,FALSE)</f>
        <v>Gas</v>
      </c>
      <c r="R2315" s="737">
        <f>VLOOKUP($P2315,Allocators!$B$7:$F$19,2,FALSE)</f>
        <v>0</v>
      </c>
      <c r="S2315" s="737">
        <f>VLOOKUP($P2315,Allocators!$B$7:$F$19,3,FALSE)</f>
        <v>1</v>
      </c>
      <c r="T2315" s="737" t="str">
        <f t="shared" si="1102"/>
        <v>0.0%</v>
      </c>
      <c r="U2315" s="2" t="str">
        <f t="shared" si="1093"/>
        <v/>
      </c>
      <c r="V2315" s="2" t="str">
        <f t="shared" si="1094"/>
        <v/>
      </c>
      <c r="W2315" s="2" t="str">
        <f t="shared" si="1095"/>
        <v/>
      </c>
      <c r="X2315" s="2">
        <f t="shared" si="1088"/>
        <v>0</v>
      </c>
      <c r="Y2315" s="2" t="str">
        <f t="shared" si="1096"/>
        <v/>
      </c>
      <c r="Z2315" s="2" t="str">
        <f t="shared" si="1097"/>
        <v/>
      </c>
      <c r="AA2315" s="2" t="str">
        <f t="shared" si="1098"/>
        <v/>
      </c>
      <c r="AB2315" s="2">
        <f t="shared" si="1089"/>
        <v>0</v>
      </c>
      <c r="AC2315" s="625">
        <v>0</v>
      </c>
      <c r="AD2315" s="625">
        <v>0</v>
      </c>
      <c r="AE2315" s="625">
        <v>0</v>
      </c>
      <c r="AF2315" s="625">
        <v>0</v>
      </c>
      <c r="AG2315" s="625">
        <v>0</v>
      </c>
      <c r="AH2315" s="625">
        <v>0</v>
      </c>
      <c r="AI2315" s="625">
        <v>0</v>
      </c>
      <c r="AJ2315" s="625">
        <v>0</v>
      </c>
      <c r="AK2315" s="625">
        <v>0</v>
      </c>
      <c r="AL2315" s="625">
        <v>0</v>
      </c>
      <c r="AM2315" s="625">
        <v>0</v>
      </c>
      <c r="AN2315" s="625">
        <v>0</v>
      </c>
      <c r="AO2315" s="625">
        <v>0</v>
      </c>
      <c r="AP2315" s="41" t="str">
        <f t="shared" si="1105"/>
        <v>Def TaxR</v>
      </c>
      <c r="AQ2315" s="41" t="str">
        <f t="shared" si="1106"/>
        <v>Def TaxRR11Merger Related</v>
      </c>
      <c r="AR2315" s="41" t="str">
        <f t="shared" si="1107"/>
        <v>R11Merger Related</v>
      </c>
    </row>
    <row r="2316" spans="1:44" s="41" customFormat="1" ht="12.75" customHeight="1">
      <c r="A2316" s="25" t="s">
        <v>1590</v>
      </c>
      <c r="B2316" s="25" t="str">
        <f t="shared" si="1101"/>
        <v>Def Tax283430283-066</v>
      </c>
      <c r="C2316" s="736">
        <v>283430</v>
      </c>
      <c r="D2316" s="735" t="s">
        <v>2279</v>
      </c>
      <c r="F2316" s="41" t="str">
        <f t="shared" si="1099"/>
        <v>ACCUM DEF INC TAX-OTH-STATE-GAS-NONOP</v>
      </c>
      <c r="G2316" s="41" t="s">
        <v>1811</v>
      </c>
      <c r="H2316" s="736" t="s">
        <v>1629</v>
      </c>
      <c r="I2316" s="25"/>
      <c r="J2316" s="25" t="str">
        <f t="shared" si="1100"/>
        <v/>
      </c>
      <c r="K2316" s="442" t="str">
        <f t="shared" si="1103"/>
        <v/>
      </c>
      <c r="L2316" s="736" t="s">
        <v>2443</v>
      </c>
      <c r="M2316" s="25" t="str">
        <f t="shared" ref="M2316:M2382" si="1108">LEFT(L2316,1)</f>
        <v>R</v>
      </c>
      <c r="N2316" s="25" t="str">
        <f>IF(L2316&lt;&gt;"",VLOOKUP(L2316,Categories!$B$2:$D$41,2,FALSE),IF(F2316&lt;&gt;"","No Cat",""))</f>
        <v>Rate Base</v>
      </c>
      <c r="O2316" s="25" t="str">
        <f>IF($L2316&lt;&gt;"",VLOOKUP($L2316,Categories!$B$2:$D$41,3,FALSE),IF($F2316&lt;&gt;"","No Cat",""))</f>
        <v>Deferred Income Taxes</v>
      </c>
      <c r="P2316" s="736" t="s">
        <v>2483</v>
      </c>
      <c r="Q2316" s="25" t="str">
        <f>VLOOKUP($P2316,Allocators!$B$7:$F$19,5,FALSE)</f>
        <v>Gas</v>
      </c>
      <c r="R2316" s="737">
        <f>VLOOKUP($P2316,Allocators!$B$7:$F$19,2,FALSE)</f>
        <v>0</v>
      </c>
      <c r="S2316" s="737">
        <f>VLOOKUP($P2316,Allocators!$B$7:$F$19,3,FALSE)</f>
        <v>1</v>
      </c>
      <c r="T2316" s="737" t="str">
        <f t="shared" si="1102"/>
        <v>0.0%</v>
      </c>
      <c r="U2316" s="2">
        <f t="shared" si="1093"/>
        <v>0</v>
      </c>
      <c r="V2316" s="2">
        <f t="shared" si="1094"/>
        <v>291.98955000000001</v>
      </c>
      <c r="W2316" s="2">
        <f t="shared" si="1095"/>
        <v>0</v>
      </c>
      <c r="X2316" s="2">
        <f t="shared" si="1088"/>
        <v>291.98955000000001</v>
      </c>
      <c r="Y2316" s="2">
        <f t="shared" si="1096"/>
        <v>0</v>
      </c>
      <c r="Z2316" s="2">
        <f t="shared" si="1097"/>
        <v>291.98955000000001</v>
      </c>
      <c r="AA2316" s="2">
        <f t="shared" si="1098"/>
        <v>0</v>
      </c>
      <c r="AB2316" s="2">
        <f t="shared" si="1089"/>
        <v>291.98955000000001</v>
      </c>
      <c r="AC2316" s="625">
        <v>291.98955000000001</v>
      </c>
      <c r="AD2316" s="625">
        <v>291.98955000000001</v>
      </c>
      <c r="AE2316" s="625">
        <v>291.98955000000001</v>
      </c>
      <c r="AF2316" s="625">
        <v>291.98955000000001</v>
      </c>
      <c r="AG2316" s="625">
        <v>291.98955000000001</v>
      </c>
      <c r="AH2316" s="625">
        <v>291.98955000000001</v>
      </c>
      <c r="AI2316" s="625">
        <v>291.98955000000001</v>
      </c>
      <c r="AJ2316" s="625">
        <v>291.98955000000001</v>
      </c>
      <c r="AK2316" s="625">
        <v>291.98955000000001</v>
      </c>
      <c r="AL2316" s="625">
        <v>291.98955000000001</v>
      </c>
      <c r="AM2316" s="625">
        <v>291.98955000000001</v>
      </c>
      <c r="AN2316" s="625">
        <v>291.98955000000001</v>
      </c>
      <c r="AO2316" s="625">
        <v>291.98955000000001</v>
      </c>
      <c r="AP2316" s="41" t="str">
        <f t="shared" si="1105"/>
        <v>Def TaxR</v>
      </c>
      <c r="AQ2316" s="41" t="str">
        <f t="shared" si="1106"/>
        <v>Def TaxRR11Merger Related</v>
      </c>
      <c r="AR2316" s="41" t="str">
        <f t="shared" si="1107"/>
        <v>R11Merger Related</v>
      </c>
    </row>
    <row r="2317" spans="1:44" s="41" customFormat="1" ht="12.75" customHeight="1">
      <c r="A2317" s="25" t="s">
        <v>1590</v>
      </c>
      <c r="B2317" s="25" t="str">
        <f t="shared" si="1101"/>
        <v>Def Tax283430283-065/
283-066BT010196</v>
      </c>
      <c r="C2317" s="736">
        <v>283430</v>
      </c>
      <c r="D2317" s="735" t="s">
        <v>2301</v>
      </c>
      <c r="E2317" s="41" t="s">
        <v>1810</v>
      </c>
      <c r="F2317" s="41" t="str">
        <f t="shared" si="1099"/>
        <v>ACCUM DEF INC TAX-OTH-STATE-GAS-NONOP</v>
      </c>
      <c r="G2317" s="41" t="s">
        <v>2285</v>
      </c>
      <c r="H2317" s="736" t="s">
        <v>1629</v>
      </c>
      <c r="I2317" s="25"/>
      <c r="J2317" s="25" t="str">
        <f t="shared" si="1100"/>
        <v/>
      </c>
      <c r="K2317" s="442" t="str">
        <f t="shared" si="1103"/>
        <v/>
      </c>
      <c r="L2317" s="736" t="s">
        <v>2443</v>
      </c>
      <c r="M2317" s="25" t="str">
        <f t="shared" si="1108"/>
        <v>R</v>
      </c>
      <c r="N2317" s="25" t="str">
        <f>IF(L2317&lt;&gt;"",VLOOKUP(L2317,Categories!$B$2:$D$41,2,FALSE),IF(F2317&lt;&gt;"","No Cat",""))</f>
        <v>Rate Base</v>
      </c>
      <c r="O2317" s="25" t="str">
        <f>IF($L2317&lt;&gt;"",VLOOKUP($L2317,Categories!$B$2:$D$41,3,FALSE),IF($F2317&lt;&gt;"","No Cat",""))</f>
        <v>Deferred Income Taxes</v>
      </c>
      <c r="P2317" s="736" t="s">
        <v>2483</v>
      </c>
      <c r="Q2317" s="25" t="str">
        <f>VLOOKUP($P2317,Allocators!$B$7:$F$19,5,FALSE)</f>
        <v>Gas</v>
      </c>
      <c r="R2317" s="737">
        <f>VLOOKUP($P2317,Allocators!$B$7:$F$19,2,FALSE)</f>
        <v>0</v>
      </c>
      <c r="S2317" s="737">
        <f>VLOOKUP($P2317,Allocators!$B$7:$F$19,3,FALSE)</f>
        <v>1</v>
      </c>
      <c r="T2317" s="737" t="str">
        <f t="shared" si="1102"/>
        <v>0.0%</v>
      </c>
      <c r="U2317" s="2" t="str">
        <f t="shared" si="1093"/>
        <v/>
      </c>
      <c r="V2317" s="2" t="str">
        <f t="shared" si="1094"/>
        <v/>
      </c>
      <c r="W2317" s="2" t="str">
        <f t="shared" si="1095"/>
        <v/>
      </c>
      <c r="X2317" s="2">
        <f t="shared" si="1088"/>
        <v>0</v>
      </c>
      <c r="Y2317" s="2" t="str">
        <f t="shared" si="1096"/>
        <v/>
      </c>
      <c r="Z2317" s="2" t="str">
        <f t="shared" si="1097"/>
        <v/>
      </c>
      <c r="AA2317" s="2" t="str">
        <f t="shared" si="1098"/>
        <v/>
      </c>
      <c r="AB2317" s="2">
        <f t="shared" si="1089"/>
        <v>0</v>
      </c>
      <c r="AC2317" s="625">
        <v>0</v>
      </c>
      <c r="AD2317" s="625">
        <v>0</v>
      </c>
      <c r="AE2317" s="625">
        <v>0</v>
      </c>
      <c r="AF2317" s="625">
        <v>0</v>
      </c>
      <c r="AG2317" s="625">
        <v>0</v>
      </c>
      <c r="AH2317" s="625">
        <v>0</v>
      </c>
      <c r="AI2317" s="625">
        <v>0</v>
      </c>
      <c r="AJ2317" s="625">
        <v>0</v>
      </c>
      <c r="AK2317" s="625">
        <v>0</v>
      </c>
      <c r="AL2317" s="625">
        <v>0</v>
      </c>
      <c r="AM2317" s="625">
        <v>0</v>
      </c>
      <c r="AN2317" s="625">
        <v>0</v>
      </c>
      <c r="AO2317" s="625">
        <v>0</v>
      </c>
      <c r="AP2317" s="41" t="str">
        <f t="shared" si="1105"/>
        <v>Def TaxR</v>
      </c>
      <c r="AQ2317" s="41" t="str">
        <f t="shared" si="1106"/>
        <v>Def TaxRR11Merger Related</v>
      </c>
      <c r="AR2317" s="41" t="str">
        <f t="shared" si="1107"/>
        <v>R11Merger Related</v>
      </c>
    </row>
    <row r="2318" spans="1:44" s="41" customFormat="1" ht="15" customHeight="1">
      <c r="A2318" s="442" t="s">
        <v>1590</v>
      </c>
      <c r="B2318" s="442" t="str">
        <f t="shared" si="1101"/>
        <v>Def Tax283430283-076BTHUNGDT</v>
      </c>
      <c r="C2318" s="736">
        <v>283430</v>
      </c>
      <c r="D2318" s="735" t="s">
        <v>2271</v>
      </c>
      <c r="E2318" s="626" t="s">
        <v>1624</v>
      </c>
      <c r="F2318" s="626" t="str">
        <f t="shared" si="1099"/>
        <v>ACCUM DEF INC TAX-OTH-STATE-GAS-NONOP</v>
      </c>
      <c r="G2318" s="626" t="s">
        <v>2272</v>
      </c>
      <c r="H2318" s="736" t="s">
        <v>2880</v>
      </c>
      <c r="I2318" s="442"/>
      <c r="J2318" s="442" t="str">
        <f t="shared" si="1100"/>
        <v/>
      </c>
      <c r="K2318" s="442" t="str">
        <f t="shared" si="1103"/>
        <v/>
      </c>
      <c r="L2318" s="736" t="s">
        <v>2421</v>
      </c>
      <c r="M2318" s="442" t="str">
        <f t="shared" si="1108"/>
        <v>N</v>
      </c>
      <c r="N2318" s="442" t="str">
        <f>IF(L2318&lt;&gt;"",VLOOKUP(L2318,Categories!$B$2:$D$41,2,FALSE),IF(F2318&lt;&gt;"","No Cat",""))</f>
        <v>NRBASE</v>
      </c>
      <c r="O2318" s="442" t="str">
        <f>IF($L2318&lt;&gt;"",VLOOKUP($L2318,Categories!$B$2:$D$41,3,FALSE),IF($F2318&lt;&gt;"","No Cat",""))</f>
        <v>Direct Assign Items Not in RB</v>
      </c>
      <c r="P2318" s="736" t="s">
        <v>2468</v>
      </c>
      <c r="Q2318" s="442" t="str">
        <f>VLOOKUP($P2318,Allocators!$B$7:$F$19,5,FALSE)</f>
        <v>Not in Rate Base</v>
      </c>
      <c r="R2318" s="737">
        <f>VLOOKUP($P2318,Allocators!$B$7:$F$19,2,FALSE)</f>
        <v>0</v>
      </c>
      <c r="S2318" s="737">
        <f>VLOOKUP($P2318,Allocators!$B$7:$F$19,3,FALSE)</f>
        <v>0</v>
      </c>
      <c r="T2318" s="737">
        <f t="shared" si="1102"/>
        <v>1</v>
      </c>
      <c r="U2318" s="2" t="str">
        <f t="shared" si="1093"/>
        <v/>
      </c>
      <c r="V2318" s="2" t="str">
        <f t="shared" si="1094"/>
        <v/>
      </c>
      <c r="W2318" s="2" t="str">
        <f t="shared" si="1095"/>
        <v/>
      </c>
      <c r="X2318" s="2">
        <f t="shared" si="1088"/>
        <v>0</v>
      </c>
      <c r="Y2318" s="2" t="str">
        <f t="shared" si="1096"/>
        <v/>
      </c>
      <c r="Z2318" s="2" t="str">
        <f t="shared" si="1097"/>
        <v/>
      </c>
      <c r="AA2318" s="2" t="str">
        <f t="shared" si="1098"/>
        <v/>
      </c>
      <c r="AB2318" s="2">
        <f t="shared" si="1089"/>
        <v>0</v>
      </c>
      <c r="AC2318" s="625">
        <v>0</v>
      </c>
      <c r="AD2318" s="625">
        <v>0</v>
      </c>
      <c r="AE2318" s="625">
        <v>0</v>
      </c>
      <c r="AF2318" s="625">
        <v>0</v>
      </c>
      <c r="AG2318" s="625">
        <v>0</v>
      </c>
      <c r="AH2318" s="625">
        <v>0</v>
      </c>
      <c r="AI2318" s="625">
        <v>0</v>
      </c>
      <c r="AJ2318" s="625">
        <v>0</v>
      </c>
      <c r="AK2318" s="625">
        <v>0</v>
      </c>
      <c r="AL2318" s="625">
        <v>0</v>
      </c>
      <c r="AM2318" s="625">
        <v>0</v>
      </c>
      <c r="AN2318" s="625">
        <v>0</v>
      </c>
      <c r="AO2318" s="625">
        <v>0</v>
      </c>
      <c r="AP2318" s="41" t="str">
        <f t="shared" si="1105"/>
        <v>Def TaxN</v>
      </c>
      <c r="AQ2318" s="41" t="str">
        <f t="shared" si="1106"/>
        <v>Def TaxNN2Hung Deferred Taxes</v>
      </c>
      <c r="AR2318" s="41" t="str">
        <f t="shared" si="1107"/>
        <v>N2Hung Deferred Taxes</v>
      </c>
    </row>
    <row r="2319" spans="1:44" s="41" customFormat="1" ht="12.75" customHeight="1">
      <c r="A2319" s="25" t="s">
        <v>1590</v>
      </c>
      <c r="B2319" s="25" t="str">
        <f t="shared" si="1101"/>
        <v>Def Tax283500Cap ExBT010310</v>
      </c>
      <c r="C2319" s="736">
        <v>283500</v>
      </c>
      <c r="D2319" s="735" t="s">
        <v>1619</v>
      </c>
      <c r="E2319" s="41" t="s">
        <v>2302</v>
      </c>
      <c r="F2319" s="41" t="str">
        <f t="shared" si="1099"/>
        <v>ADIT-OTH-REG-FEDERAL-ELECTRIC</v>
      </c>
      <c r="G2319" s="41" t="s">
        <v>2303</v>
      </c>
      <c r="H2319" s="736" t="s">
        <v>819</v>
      </c>
      <c r="I2319" s="25"/>
      <c r="J2319" s="25" t="str">
        <f t="shared" si="1100"/>
        <v/>
      </c>
      <c r="K2319" s="442" t="str">
        <f t="shared" si="1103"/>
        <v/>
      </c>
      <c r="L2319" s="736" t="s">
        <v>2443</v>
      </c>
      <c r="M2319" s="25" t="str">
        <f t="shared" si="1108"/>
        <v>R</v>
      </c>
      <c r="N2319" s="25" t="str">
        <f>IF(L2319&lt;&gt;"",VLOOKUP(L2319,Categories!$B$2:$D$41,2,FALSE),IF(F2319&lt;&gt;"","No Cat",""))</f>
        <v>Rate Base</v>
      </c>
      <c r="O2319" s="25" t="str">
        <f>IF($L2319&lt;&gt;"",VLOOKUP($L2319,Categories!$B$2:$D$41,3,FALSE),IF($F2319&lt;&gt;"","No Cat",""))</f>
        <v>Deferred Income Taxes</v>
      </c>
      <c r="P2319" s="736" t="s">
        <v>2482</v>
      </c>
      <c r="Q2319" s="25" t="str">
        <f>VLOOKUP($P2319,Allocators!$B$7:$F$19,5,FALSE)</f>
        <v>Electric</v>
      </c>
      <c r="R2319" s="737">
        <f>VLOOKUP($P2319,Allocators!$B$7:$F$19,2,FALSE)</f>
        <v>1</v>
      </c>
      <c r="S2319" s="737">
        <f>VLOOKUP($P2319,Allocators!$B$7:$F$19,3,FALSE)</f>
        <v>0</v>
      </c>
      <c r="T2319" s="737" t="str">
        <f t="shared" si="1102"/>
        <v>0.0%</v>
      </c>
      <c r="U2319" s="2">
        <f t="shared" si="1093"/>
        <v>-1105.77997</v>
      </c>
      <c r="V2319" s="2">
        <f t="shared" si="1094"/>
        <v>0</v>
      </c>
      <c r="W2319" s="2">
        <f t="shared" si="1095"/>
        <v>0</v>
      </c>
      <c r="X2319" s="2">
        <f t="shared" si="1088"/>
        <v>-1105.77997</v>
      </c>
      <c r="Y2319" s="2">
        <f t="shared" si="1096"/>
        <v>-1105.77997</v>
      </c>
      <c r="Z2319" s="2">
        <f t="shared" si="1097"/>
        <v>0</v>
      </c>
      <c r="AA2319" s="2">
        <f t="shared" si="1098"/>
        <v>0</v>
      </c>
      <c r="AB2319" s="2">
        <f t="shared" si="1089"/>
        <v>-1105.77997</v>
      </c>
      <c r="AC2319" s="625">
        <v>-1105.77997</v>
      </c>
      <c r="AD2319" s="625">
        <v>-1105.77997</v>
      </c>
      <c r="AE2319" s="625">
        <v>-1105.77997</v>
      </c>
      <c r="AF2319" s="625">
        <v>-1105.77997</v>
      </c>
      <c r="AG2319" s="625">
        <v>-1105.77997</v>
      </c>
      <c r="AH2319" s="625">
        <v>-1105.77997</v>
      </c>
      <c r="AI2319" s="625">
        <v>-1105.77997</v>
      </c>
      <c r="AJ2319" s="625">
        <v>-1105.77997</v>
      </c>
      <c r="AK2319" s="625">
        <v>-1105.77997</v>
      </c>
      <c r="AL2319" s="625">
        <v>-1105.77997</v>
      </c>
      <c r="AM2319" s="625">
        <v>-1105.77997</v>
      </c>
      <c r="AN2319" s="625">
        <v>-1105.77997</v>
      </c>
      <c r="AO2319" s="625">
        <v>-1105.77997</v>
      </c>
      <c r="AP2319" s="41" t="str">
        <f t="shared" si="1105"/>
        <v>Def TaxR</v>
      </c>
      <c r="AQ2319" s="41" t="str">
        <f t="shared" si="1106"/>
        <v>Def TaxRR11Cap Ex Deferral</v>
      </c>
      <c r="AR2319" s="41" t="str">
        <f t="shared" si="1107"/>
        <v>R11Cap Ex Deferral</v>
      </c>
    </row>
    <row r="2320" spans="1:44" s="41" customFormat="1" ht="12.75" customHeight="1">
      <c r="A2320" s="442" t="s">
        <v>1590</v>
      </c>
      <c r="B2320" s="442" t="str">
        <f t="shared" si="1101"/>
        <v>Def Tax283500AROBT010323</v>
      </c>
      <c r="C2320" s="736">
        <v>283500</v>
      </c>
      <c r="D2320" s="735" t="s">
        <v>1613</v>
      </c>
      <c r="E2320" s="626" t="s">
        <v>2304</v>
      </c>
      <c r="F2320" s="626" t="str">
        <f t="shared" si="1099"/>
        <v>ADIT-OTH-REG-FEDERAL-ELECTRIC</v>
      </c>
      <c r="G2320" s="626" t="s">
        <v>2305</v>
      </c>
      <c r="H2320" s="736" t="s">
        <v>1138</v>
      </c>
      <c r="I2320" s="442"/>
      <c r="J2320" s="442" t="str">
        <f t="shared" si="1100"/>
        <v/>
      </c>
      <c r="K2320" s="442" t="str">
        <f t="shared" si="1103"/>
        <v/>
      </c>
      <c r="L2320" s="736" t="s">
        <v>2421</v>
      </c>
      <c r="M2320" s="442" t="str">
        <f t="shared" si="1108"/>
        <v>N</v>
      </c>
      <c r="N2320" s="442" t="str">
        <f>IF(L2320&lt;&gt;"",VLOOKUP(L2320,Categories!$B$2:$D$41,2,FALSE),IF(F2320&lt;&gt;"","No Cat",""))</f>
        <v>NRBASE</v>
      </c>
      <c r="O2320" s="442" t="str">
        <f>IF($L2320&lt;&gt;"",VLOOKUP($L2320,Categories!$B$2:$D$41,3,FALSE),IF($F2320&lt;&gt;"","No Cat",""))</f>
        <v>Direct Assign Items Not in RB</v>
      </c>
      <c r="P2320" s="736" t="s">
        <v>2468</v>
      </c>
      <c r="Q2320" s="442" t="str">
        <f>VLOOKUP($P2320,Allocators!$B$7:$F$19,5,FALSE)</f>
        <v>Not in Rate Base</v>
      </c>
      <c r="R2320" s="737">
        <f>VLOOKUP($P2320,Allocators!$B$7:$F$19,2,FALSE)</f>
        <v>0</v>
      </c>
      <c r="S2320" s="737">
        <f>VLOOKUP($P2320,Allocators!$B$7:$F$19,3,FALSE)</f>
        <v>0</v>
      </c>
      <c r="T2320" s="737">
        <f t="shared" si="1102"/>
        <v>1</v>
      </c>
      <c r="U2320" s="2">
        <f t="shared" si="1093"/>
        <v>0</v>
      </c>
      <c r="V2320" s="2">
        <f t="shared" si="1094"/>
        <v>0</v>
      </c>
      <c r="W2320" s="2">
        <f t="shared" si="1095"/>
        <v>-4728.8432337499999</v>
      </c>
      <c r="X2320" s="2">
        <f t="shared" si="1088"/>
        <v>-4728.8432337499999</v>
      </c>
      <c r="Y2320" s="2">
        <f t="shared" si="1096"/>
        <v>0</v>
      </c>
      <c r="Z2320" s="2">
        <f t="shared" si="1097"/>
        <v>0</v>
      </c>
      <c r="AA2320" s="2">
        <f t="shared" si="1098"/>
        <v>-5425.2218999999996</v>
      </c>
      <c r="AB2320" s="2">
        <f t="shared" si="1089"/>
        <v>-5425.2219000000005</v>
      </c>
      <c r="AC2320" s="625">
        <v>-4137.37129</v>
      </c>
      <c r="AD2320" s="625">
        <v>-4432.9804599999998</v>
      </c>
      <c r="AE2320" s="625">
        <v>-4467.9804800000002</v>
      </c>
      <c r="AF2320" s="625">
        <v>-4503.2292099999995</v>
      </c>
      <c r="AG2320" s="625">
        <v>-4538.7277899999999</v>
      </c>
      <c r="AH2320" s="625">
        <v>-4574.4783299999999</v>
      </c>
      <c r="AI2320" s="625">
        <v>-4610.4829300000001</v>
      </c>
      <c r="AJ2320" s="625">
        <v>-4748.9829900000004</v>
      </c>
      <c r="AK2320" s="625">
        <v>-4887.7028499999997</v>
      </c>
      <c r="AL2320" s="625">
        <v>-4887.7028499999997</v>
      </c>
      <c r="AM2320" s="625">
        <v>-5026.8683600000004</v>
      </c>
      <c r="AN2320" s="625">
        <v>-5285.6859599999998</v>
      </c>
      <c r="AO2320" s="625">
        <v>-5425.2219000000005</v>
      </c>
      <c r="AP2320" s="41" t="str">
        <f t="shared" si="1105"/>
        <v>Def TaxN</v>
      </c>
      <c r="AQ2320" s="41" t="str">
        <f t="shared" si="1106"/>
        <v>Def TaxNN2Asset Retirement Obligation</v>
      </c>
      <c r="AR2320" s="41" t="str">
        <f t="shared" si="1107"/>
        <v>N2Asset Retirement Obligation</v>
      </c>
    </row>
    <row r="2321" spans="1:44" s="41" customFormat="1" ht="12.75" customHeight="1">
      <c r="A2321" s="442" t="s">
        <v>1590</v>
      </c>
      <c r="B2321" s="442" t="str">
        <f t="shared" ref="B2321" si="1109">CONCATENATE(A2321,C2321,D2321,E2321)</f>
        <v>Def Tax283500BT010335</v>
      </c>
      <c r="C2321" s="736">
        <v>283500</v>
      </c>
      <c r="D2321" s="735"/>
      <c r="E2321" s="626" t="s">
        <v>4045</v>
      </c>
      <c r="F2321" s="626" t="str">
        <f>VLOOKUP(C2321,$C$7:$F$787,4,FALSE)</f>
        <v>ADIT-OTH-REG-FEDERAL-ELECTRIC</v>
      </c>
      <c r="G2321" s="626" t="s">
        <v>4046</v>
      </c>
      <c r="H2321" s="736" t="s">
        <v>1168</v>
      </c>
      <c r="I2321" s="442"/>
      <c r="J2321" s="442"/>
      <c r="K2321" s="442" t="str">
        <f t="shared" si="1103"/>
        <v/>
      </c>
      <c r="L2321" s="736" t="s">
        <v>2443</v>
      </c>
      <c r="M2321" s="442" t="str">
        <f t="shared" ref="M2321" si="1110">LEFT(L2321,1)</f>
        <v>R</v>
      </c>
      <c r="N2321" s="442" t="str">
        <f>IF(L2321&lt;&gt;"",VLOOKUP(L2321,Categories!$B$2:$D$41,2,FALSE),IF(F2321&lt;&gt;"","No Cat",""))</f>
        <v>Rate Base</v>
      </c>
      <c r="O2321" s="442" t="str">
        <f>IF($L2321&lt;&gt;"",VLOOKUP($L2321,Categories!$B$2:$D$41,3,FALSE),IF($F2321&lt;&gt;"","No Cat",""))</f>
        <v>Deferred Income Taxes</v>
      </c>
      <c r="P2321" s="736" t="s">
        <v>2482</v>
      </c>
      <c r="Q2321" s="442" t="str">
        <f>VLOOKUP($P2321,Allocators!$B$7:$F$19,5,FALSE)</f>
        <v>Electric</v>
      </c>
      <c r="R2321" s="737">
        <f>VLOOKUP($P2321,Allocators!$B$7:$F$19,2,FALSE)</f>
        <v>1</v>
      </c>
      <c r="S2321" s="737">
        <f>VLOOKUP($P2321,Allocators!$B$7:$F$19,3,FALSE)</f>
        <v>0</v>
      </c>
      <c r="T2321" s="737" t="str">
        <f t="shared" ref="T2321" si="1111">IF(P2321="N",1,"0.0%")</f>
        <v>0.0%</v>
      </c>
      <c r="U2321" s="2">
        <f t="shared" si="1093"/>
        <v>-515.85587999999996</v>
      </c>
      <c r="V2321" s="2">
        <f t="shared" si="1094"/>
        <v>0</v>
      </c>
      <c r="W2321" s="2">
        <f t="shared" si="1095"/>
        <v>0</v>
      </c>
      <c r="X2321" s="2">
        <f t="shared" si="1088"/>
        <v>-515.85587999999996</v>
      </c>
      <c r="Y2321" s="2">
        <f t="shared" si="1096"/>
        <v>-515.85587999999996</v>
      </c>
      <c r="Z2321" s="2">
        <f t="shared" si="1097"/>
        <v>0</v>
      </c>
      <c r="AA2321" s="2">
        <f t="shared" si="1098"/>
        <v>0</v>
      </c>
      <c r="AB2321" s="2">
        <f t="shared" si="1089"/>
        <v>-515.85587999999996</v>
      </c>
      <c r="AC2321" s="625">
        <v>-515.85587999999996</v>
      </c>
      <c r="AD2321" s="625">
        <v>-515.85587999999996</v>
      </c>
      <c r="AE2321" s="625">
        <v>-515.85587999999996</v>
      </c>
      <c r="AF2321" s="625">
        <v>-515.85587999999996</v>
      </c>
      <c r="AG2321" s="625">
        <v>-515.85587999999996</v>
      </c>
      <c r="AH2321" s="625">
        <v>-515.85587999999996</v>
      </c>
      <c r="AI2321" s="625">
        <v>-515.85587999999996</v>
      </c>
      <c r="AJ2321" s="625">
        <v>-515.85587999999996</v>
      </c>
      <c r="AK2321" s="625">
        <v>-515.85587999999996</v>
      </c>
      <c r="AL2321" s="625">
        <v>-515.85587999999996</v>
      </c>
      <c r="AM2321" s="625">
        <v>-515.85587999999996</v>
      </c>
      <c r="AN2321" s="625">
        <v>-515.85587999999996</v>
      </c>
      <c r="AO2321" s="625">
        <v>-515.85587999999996</v>
      </c>
      <c r="AP2321" s="41" t="str">
        <f t="shared" si="1105"/>
        <v>Def TaxR</v>
      </c>
      <c r="AQ2321" s="41" t="str">
        <f t="shared" si="1106"/>
        <v>Def TaxRR11Variable Rate Debt - Pre-2004</v>
      </c>
      <c r="AR2321" s="41" t="str">
        <f t="shared" si="1107"/>
        <v>R11Variable Rate Debt - Pre-2004</v>
      </c>
    </row>
    <row r="2322" spans="1:44" s="41" customFormat="1" ht="12.75" customHeight="1">
      <c r="A2322" s="442" t="s">
        <v>1590</v>
      </c>
      <c r="B2322" s="442" t="str">
        <f t="shared" si="1101"/>
        <v>Def Tax283500BT010009</v>
      </c>
      <c r="C2322" s="736">
        <v>283500</v>
      </c>
      <c r="D2322" s="735"/>
      <c r="E2322" s="626" t="s">
        <v>1477</v>
      </c>
      <c r="F2322" s="626" t="str">
        <f t="shared" si="1099"/>
        <v>ADIT-OTH-REG-FEDERAL-ELECTRIC</v>
      </c>
      <c r="G2322" s="626" t="s">
        <v>2306</v>
      </c>
      <c r="H2322" s="736" t="s">
        <v>1330</v>
      </c>
      <c r="I2322" s="442"/>
      <c r="J2322" s="442" t="str">
        <f t="shared" si="1100"/>
        <v/>
      </c>
      <c r="K2322" s="442" t="str">
        <f t="shared" si="1103"/>
        <v/>
      </c>
      <c r="L2322" s="736" t="s">
        <v>2421</v>
      </c>
      <c r="M2322" s="442" t="str">
        <f t="shared" si="1108"/>
        <v>N</v>
      </c>
      <c r="N2322" s="442" t="str">
        <f>IF(L2322&lt;&gt;"",VLOOKUP(L2322,Categories!$B$2:$D$41,2,FALSE),IF(F2322&lt;&gt;"","No Cat",""))</f>
        <v>NRBASE</v>
      </c>
      <c r="O2322" s="442" t="str">
        <f>IF($L2322&lt;&gt;"",VLOOKUP($L2322,Categories!$B$2:$D$41,3,FALSE),IF($F2322&lt;&gt;"","No Cat",""))</f>
        <v>Direct Assign Items Not in RB</v>
      </c>
      <c r="P2322" s="736" t="s">
        <v>2468</v>
      </c>
      <c r="Q2322" s="442" t="str">
        <f>VLOOKUP($P2322,Allocators!$B$7:$F$19,5,FALSE)</f>
        <v>Not in Rate Base</v>
      </c>
      <c r="R2322" s="737">
        <f>VLOOKUP($P2322,Allocators!$B$7:$F$19,2,FALSE)</f>
        <v>0</v>
      </c>
      <c r="S2322" s="737">
        <f>VLOOKUP($P2322,Allocators!$B$7:$F$19,3,FALSE)</f>
        <v>0</v>
      </c>
      <c r="T2322" s="737">
        <f t="shared" si="1102"/>
        <v>1</v>
      </c>
      <c r="U2322" s="2">
        <f t="shared" si="1093"/>
        <v>0</v>
      </c>
      <c r="V2322" s="2">
        <f t="shared" si="1094"/>
        <v>0</v>
      </c>
      <c r="W2322" s="2">
        <f t="shared" si="1095"/>
        <v>1418.9836700000001</v>
      </c>
      <c r="X2322" s="2">
        <f t="shared" ref="X2322:X2385" si="1112">IF(ISERROR(ROUND((SUM(AC2322:AO2322)-((AC2322+AO2322))/2)/12,15)),"",ROUND((SUM(AC2322:AO2322)-((AC2322+AO2322))/2)/12,15))</f>
        <v>1418.9836700000001</v>
      </c>
      <c r="Y2322" s="2">
        <f t="shared" si="1096"/>
        <v>0</v>
      </c>
      <c r="Z2322" s="2">
        <f t="shared" si="1097"/>
        <v>0</v>
      </c>
      <c r="AA2322" s="2">
        <f t="shared" si="1098"/>
        <v>1418.9836700000001</v>
      </c>
      <c r="AB2322" s="2">
        <f t="shared" ref="AB2322:AB2385" si="1113">IF(AO2322="",0,+AO2322)</f>
        <v>1418.9836699999998</v>
      </c>
      <c r="AC2322" s="625">
        <v>1418.9836699999998</v>
      </c>
      <c r="AD2322" s="625">
        <v>1418.9836699999998</v>
      </c>
      <c r="AE2322" s="625">
        <v>1418.9836699999998</v>
      </c>
      <c r="AF2322" s="625">
        <v>1418.9836699999998</v>
      </c>
      <c r="AG2322" s="625">
        <v>1418.9836699999998</v>
      </c>
      <c r="AH2322" s="625">
        <v>1418.9836699999998</v>
      </c>
      <c r="AI2322" s="625">
        <v>1418.9836699999998</v>
      </c>
      <c r="AJ2322" s="625">
        <v>1418.9836699999998</v>
      </c>
      <c r="AK2322" s="625">
        <v>1418.9836699999998</v>
      </c>
      <c r="AL2322" s="625">
        <v>1418.9836699999998</v>
      </c>
      <c r="AM2322" s="625">
        <v>1418.9836699999998</v>
      </c>
      <c r="AN2322" s="625">
        <v>1418.9836699999998</v>
      </c>
      <c r="AO2322" s="625">
        <v>1418.9836699999998</v>
      </c>
      <c r="AP2322" s="41" t="str">
        <f t="shared" si="1105"/>
        <v>Def TaxN</v>
      </c>
      <c r="AQ2322" s="41" t="str">
        <f t="shared" si="1106"/>
        <v>Def TaxNN2ASGA</v>
      </c>
      <c r="AR2322" s="41" t="str">
        <f t="shared" si="1107"/>
        <v>N2ASGA</v>
      </c>
    </row>
    <row r="2323" spans="1:44" s="41" customFormat="1" ht="12.75" customHeight="1">
      <c r="A2323" s="25" t="s">
        <v>1590</v>
      </c>
      <c r="B2323" s="25" t="str">
        <f t="shared" si="1101"/>
        <v>Def Tax283500283-068BC030225/
BT010225</v>
      </c>
      <c r="C2323" s="736">
        <v>283500</v>
      </c>
      <c r="D2323" s="735" t="s">
        <v>2152</v>
      </c>
      <c r="E2323" s="41" t="s">
        <v>1751</v>
      </c>
      <c r="F2323" s="41" t="str">
        <f t="shared" si="1099"/>
        <v>ADIT-OTH-REG-FEDERAL-ELECTRIC</v>
      </c>
      <c r="G2323" s="41" t="s">
        <v>1752</v>
      </c>
      <c r="H2323" s="736" t="s">
        <v>1629</v>
      </c>
      <c r="I2323" s="25"/>
      <c r="J2323" s="25" t="str">
        <f t="shared" si="1100"/>
        <v/>
      </c>
      <c r="K2323" s="442" t="str">
        <f t="shared" si="1103"/>
        <v/>
      </c>
      <c r="L2323" s="736" t="s">
        <v>2443</v>
      </c>
      <c r="M2323" s="25" t="str">
        <f t="shared" si="1108"/>
        <v>R</v>
      </c>
      <c r="N2323" s="25" t="str">
        <f>IF(L2323&lt;&gt;"",VLOOKUP(L2323,Categories!$B$2:$D$41,2,FALSE),IF(F2323&lt;&gt;"","No Cat",""))</f>
        <v>Rate Base</v>
      </c>
      <c r="O2323" s="25" t="str">
        <f>IF($L2323&lt;&gt;"",VLOOKUP($L2323,Categories!$B$2:$D$41,3,FALSE),IF($F2323&lt;&gt;"","No Cat",""))</f>
        <v>Deferred Income Taxes</v>
      </c>
      <c r="P2323" s="736" t="s">
        <v>2482</v>
      </c>
      <c r="Q2323" s="25" t="str">
        <f>VLOOKUP($P2323,Allocators!$B$7:$F$19,5,FALSE)</f>
        <v>Electric</v>
      </c>
      <c r="R2323" s="737">
        <f>VLOOKUP($P2323,Allocators!$B$7:$F$19,2,FALSE)</f>
        <v>1</v>
      </c>
      <c r="S2323" s="737">
        <f>VLOOKUP($P2323,Allocators!$B$7:$F$19,3,FALSE)</f>
        <v>0</v>
      </c>
      <c r="T2323" s="737" t="str">
        <f t="shared" si="1102"/>
        <v>0.0%</v>
      </c>
      <c r="U2323" s="2">
        <f t="shared" si="1093"/>
        <v>-21.276994999999999</v>
      </c>
      <c r="V2323" s="2">
        <f t="shared" si="1094"/>
        <v>0</v>
      </c>
      <c r="W2323" s="2">
        <f t="shared" si="1095"/>
        <v>0</v>
      </c>
      <c r="X2323" s="2">
        <f t="shared" si="1112"/>
        <v>-21.276994999999999</v>
      </c>
      <c r="Y2323" s="2">
        <f t="shared" si="1096"/>
        <v>-22.703569999999999</v>
      </c>
      <c r="Z2323" s="2">
        <f t="shared" si="1097"/>
        <v>0</v>
      </c>
      <c r="AA2323" s="2">
        <f t="shared" si="1098"/>
        <v>0</v>
      </c>
      <c r="AB2323" s="2">
        <f t="shared" si="1113"/>
        <v>-22.703569999999999</v>
      </c>
      <c r="AC2323" s="625">
        <v>-21.214970000000001</v>
      </c>
      <c r="AD2323" s="625">
        <v>-21.214970000000001</v>
      </c>
      <c r="AE2323" s="625">
        <v>-21.214970000000001</v>
      </c>
      <c r="AF2323" s="625">
        <v>-21.214970000000001</v>
      </c>
      <c r="AG2323" s="625">
        <v>-21.214970000000001</v>
      </c>
      <c r="AH2323" s="625">
        <v>-21.214970000000001</v>
      </c>
      <c r="AI2323" s="625">
        <v>-21.214970000000001</v>
      </c>
      <c r="AJ2323" s="625">
        <v>-21.214970000000001</v>
      </c>
      <c r="AK2323" s="625">
        <v>-21.214970000000001</v>
      </c>
      <c r="AL2323" s="625">
        <v>-21.214970000000001</v>
      </c>
      <c r="AM2323" s="625">
        <v>-21.214970000000001</v>
      </c>
      <c r="AN2323" s="625">
        <v>-21.214970000000001</v>
      </c>
      <c r="AO2323" s="625">
        <v>-22.703569999999999</v>
      </c>
      <c r="AP2323" s="41" t="str">
        <f t="shared" si="1105"/>
        <v>Def TaxR</v>
      </c>
      <c r="AQ2323" s="41" t="str">
        <f t="shared" si="1106"/>
        <v>Def TaxRR11Merger Related</v>
      </c>
      <c r="AR2323" s="41" t="str">
        <f t="shared" si="1107"/>
        <v>R11Merger Related</v>
      </c>
    </row>
    <row r="2324" spans="1:44" s="41" customFormat="1" ht="12.75" customHeight="1">
      <c r="A2324" s="25" t="s">
        <v>1590</v>
      </c>
      <c r="B2324" s="25" t="str">
        <f t="shared" si="1101"/>
        <v>Def Tax283500Debt AdjBDEFAULT</v>
      </c>
      <c r="C2324" s="736">
        <v>283500</v>
      </c>
      <c r="D2324" s="735" t="s">
        <v>1773</v>
      </c>
      <c r="E2324" s="41" t="s">
        <v>1620</v>
      </c>
      <c r="F2324" s="41" t="str">
        <f t="shared" si="1099"/>
        <v>ADIT-OTH-REG-FEDERAL-ELECTRIC</v>
      </c>
      <c r="G2324" s="41" t="s">
        <v>1774</v>
      </c>
      <c r="H2324" s="736" t="s">
        <v>1775</v>
      </c>
      <c r="I2324" s="25"/>
      <c r="J2324" s="25" t="str">
        <f t="shared" si="1100"/>
        <v/>
      </c>
      <c r="K2324" s="442" t="str">
        <f t="shared" si="1103"/>
        <v/>
      </c>
      <c r="L2324" s="736" t="s">
        <v>2443</v>
      </c>
      <c r="M2324" s="25" t="str">
        <f t="shared" si="1108"/>
        <v>R</v>
      </c>
      <c r="N2324" s="25" t="str">
        <f>IF(L2324&lt;&gt;"",VLOOKUP(L2324,Categories!$B$2:$D$41,2,FALSE),IF(F2324&lt;&gt;"","No Cat",""))</f>
        <v>Rate Base</v>
      </c>
      <c r="O2324" s="25" t="str">
        <f>IF($L2324&lt;&gt;"",VLOOKUP($L2324,Categories!$B$2:$D$41,3,FALSE),IF($F2324&lt;&gt;"","No Cat",""))</f>
        <v>Deferred Income Taxes</v>
      </c>
      <c r="P2324" s="736" t="s">
        <v>2482</v>
      </c>
      <c r="Q2324" s="25" t="str">
        <f>VLOOKUP($P2324,Allocators!$B$7:$F$19,5,FALSE)</f>
        <v>Electric</v>
      </c>
      <c r="R2324" s="737">
        <f>VLOOKUP($P2324,Allocators!$B$7:$F$19,2,FALSE)</f>
        <v>1</v>
      </c>
      <c r="S2324" s="737">
        <f>VLOOKUP($P2324,Allocators!$B$7:$F$19,3,FALSE)</f>
        <v>0</v>
      </c>
      <c r="T2324" s="737" t="str">
        <f t="shared" si="1102"/>
        <v>0.0%</v>
      </c>
      <c r="U2324" s="2" t="str">
        <f t="shared" si="1093"/>
        <v/>
      </c>
      <c r="V2324" s="2" t="str">
        <f t="shared" si="1094"/>
        <v/>
      </c>
      <c r="W2324" s="2" t="str">
        <f t="shared" si="1095"/>
        <v/>
      </c>
      <c r="X2324" s="2">
        <f t="shared" si="1112"/>
        <v>0</v>
      </c>
      <c r="Y2324" s="2" t="str">
        <f t="shared" si="1096"/>
        <v/>
      </c>
      <c r="Z2324" s="2" t="str">
        <f t="shared" si="1097"/>
        <v/>
      </c>
      <c r="AA2324" s="2" t="str">
        <f t="shared" si="1098"/>
        <v/>
      </c>
      <c r="AB2324" s="2">
        <f t="shared" si="1113"/>
        <v>0</v>
      </c>
      <c r="AC2324" s="625">
        <v>0</v>
      </c>
      <c r="AD2324" s="625">
        <v>0</v>
      </c>
      <c r="AE2324" s="625">
        <v>0</v>
      </c>
      <c r="AF2324" s="625">
        <v>0</v>
      </c>
      <c r="AG2324" s="625">
        <v>0</v>
      </c>
      <c r="AH2324" s="625">
        <v>0</v>
      </c>
      <c r="AI2324" s="625">
        <v>0</v>
      </c>
      <c r="AJ2324" s="625">
        <v>0</v>
      </c>
      <c r="AK2324" s="625">
        <v>0</v>
      </c>
      <c r="AL2324" s="625">
        <v>0</v>
      </c>
      <c r="AM2324" s="625">
        <v>0</v>
      </c>
      <c r="AN2324" s="625">
        <v>0</v>
      </c>
      <c r="AO2324" s="625">
        <v>0</v>
      </c>
      <c r="AP2324" s="41" t="str">
        <f t="shared" si="1105"/>
        <v>Def TaxR</v>
      </c>
      <c r="AQ2324" s="41" t="str">
        <f t="shared" si="1106"/>
        <v>Def TaxRR11Gain/Loss on Reacquired Debt</v>
      </c>
      <c r="AR2324" s="41" t="str">
        <f t="shared" si="1107"/>
        <v>R11Gain/Loss on Reacquired Debt</v>
      </c>
    </row>
    <row r="2325" spans="1:44" s="41" customFormat="1" ht="12.75" customHeight="1">
      <c r="A2325" s="25" t="s">
        <v>1590</v>
      </c>
      <c r="B2325" s="25" t="str">
        <f t="shared" si="1101"/>
        <v>Def Tax283500283-053</v>
      </c>
      <c r="C2325" s="736">
        <v>283500</v>
      </c>
      <c r="D2325" s="735" t="s">
        <v>2153</v>
      </c>
      <c r="F2325" s="41" t="str">
        <f t="shared" si="1099"/>
        <v>ADIT-OTH-REG-FEDERAL-ELECTRIC</v>
      </c>
      <c r="G2325" s="41" t="s">
        <v>2154</v>
      </c>
      <c r="H2325" s="736" t="s">
        <v>2155</v>
      </c>
      <c r="I2325" s="25"/>
      <c r="J2325" s="25" t="str">
        <f t="shared" si="1100"/>
        <v/>
      </c>
      <c r="K2325" s="442" t="str">
        <f t="shared" si="1103"/>
        <v/>
      </c>
      <c r="L2325" s="736" t="s">
        <v>2443</v>
      </c>
      <c r="M2325" s="25" t="str">
        <f t="shared" si="1108"/>
        <v>R</v>
      </c>
      <c r="N2325" s="25" t="str">
        <f>IF(L2325&lt;&gt;"",VLOOKUP(L2325,Categories!$B$2:$D$41,2,FALSE),IF(F2325&lt;&gt;"","No Cat",""))</f>
        <v>Rate Base</v>
      </c>
      <c r="O2325" s="25" t="str">
        <f>IF($L2325&lt;&gt;"",VLOOKUP($L2325,Categories!$B$2:$D$41,3,FALSE),IF($F2325&lt;&gt;"","No Cat",""))</f>
        <v>Deferred Income Taxes</v>
      </c>
      <c r="P2325" s="736" t="s">
        <v>2482</v>
      </c>
      <c r="Q2325" s="25" t="str">
        <f>VLOOKUP($P2325,Allocators!$B$7:$F$19,5,FALSE)</f>
        <v>Electric</v>
      </c>
      <c r="R2325" s="737">
        <f>VLOOKUP($P2325,Allocators!$B$7:$F$19,2,FALSE)</f>
        <v>1</v>
      </c>
      <c r="S2325" s="737">
        <f>VLOOKUP($P2325,Allocators!$B$7:$F$19,3,FALSE)</f>
        <v>0</v>
      </c>
      <c r="T2325" s="737" t="str">
        <f t="shared" si="1102"/>
        <v>0.0%</v>
      </c>
      <c r="U2325" s="2" t="str">
        <f t="shared" si="1093"/>
        <v/>
      </c>
      <c r="V2325" s="2" t="str">
        <f t="shared" si="1094"/>
        <v/>
      </c>
      <c r="W2325" s="2" t="str">
        <f t="shared" si="1095"/>
        <v/>
      </c>
      <c r="X2325" s="2">
        <f t="shared" si="1112"/>
        <v>0</v>
      </c>
      <c r="Y2325" s="2" t="str">
        <f t="shared" si="1096"/>
        <v/>
      </c>
      <c r="Z2325" s="2" t="str">
        <f t="shared" si="1097"/>
        <v/>
      </c>
      <c r="AA2325" s="2" t="str">
        <f t="shared" si="1098"/>
        <v/>
      </c>
      <c r="AB2325" s="2">
        <f t="shared" si="1113"/>
        <v>0</v>
      </c>
      <c r="AC2325" s="625">
        <v>0</v>
      </c>
      <c r="AD2325" s="625">
        <v>0</v>
      </c>
      <c r="AE2325" s="625">
        <v>0</v>
      </c>
      <c r="AF2325" s="625">
        <v>0</v>
      </c>
      <c r="AG2325" s="625">
        <v>0</v>
      </c>
      <c r="AH2325" s="625">
        <v>0</v>
      </c>
      <c r="AI2325" s="625">
        <v>0</v>
      </c>
      <c r="AJ2325" s="625">
        <v>0</v>
      </c>
      <c r="AK2325" s="625">
        <v>0</v>
      </c>
      <c r="AL2325" s="625">
        <v>0</v>
      </c>
      <c r="AM2325" s="625">
        <v>0</v>
      </c>
      <c r="AN2325" s="625">
        <v>0</v>
      </c>
      <c r="AO2325" s="625">
        <v>0</v>
      </c>
      <c r="AP2325" s="41" t="str">
        <f t="shared" si="1105"/>
        <v>Def TaxR</v>
      </c>
      <c r="AQ2325" s="41" t="str">
        <f t="shared" si="1106"/>
        <v>Def TaxRR11Deferred Competition Implementation</v>
      </c>
      <c r="AR2325" s="41" t="str">
        <f t="shared" si="1107"/>
        <v>R11Deferred Competition Implementation</v>
      </c>
    </row>
    <row r="2326" spans="1:44" s="41" customFormat="1" ht="12.75" customHeight="1">
      <c r="A2326" s="442" t="s">
        <v>1590</v>
      </c>
      <c r="B2326" s="442" t="str">
        <f t="shared" si="1101"/>
        <v>Def Tax283500283-080-JPBT010054</v>
      </c>
      <c r="C2326" s="736">
        <v>283500</v>
      </c>
      <c r="D2326" s="735" t="s">
        <v>2156</v>
      </c>
      <c r="E2326" s="626" t="s">
        <v>2307</v>
      </c>
      <c r="F2326" s="626" t="str">
        <f t="shared" si="1099"/>
        <v>ADIT-OTH-REG-FEDERAL-ELECTRIC</v>
      </c>
      <c r="G2326" s="626" t="s">
        <v>2308</v>
      </c>
      <c r="H2326" s="736" t="s">
        <v>1113</v>
      </c>
      <c r="I2326" s="442"/>
      <c r="J2326" s="442" t="str">
        <f t="shared" si="1100"/>
        <v/>
      </c>
      <c r="K2326" s="442" t="str">
        <f t="shared" si="1103"/>
        <v/>
      </c>
      <c r="L2326" s="736" t="s">
        <v>2421</v>
      </c>
      <c r="M2326" s="442" t="str">
        <f t="shared" si="1108"/>
        <v>N</v>
      </c>
      <c r="N2326" s="442" t="str">
        <f>IF(L2326&lt;&gt;"",VLOOKUP(L2326,Categories!$B$2:$D$41,2,FALSE),IF(F2326&lt;&gt;"","No Cat",""))</f>
        <v>NRBASE</v>
      </c>
      <c r="O2326" s="442" t="str">
        <f>IF($L2326&lt;&gt;"",VLOOKUP($L2326,Categories!$B$2:$D$41,3,FALSE),IF($F2326&lt;&gt;"","No Cat",""))</f>
        <v>Direct Assign Items Not in RB</v>
      </c>
      <c r="P2326" s="736" t="s">
        <v>2468</v>
      </c>
      <c r="Q2326" s="442" t="str">
        <f>VLOOKUP($P2326,Allocators!$B$7:$F$19,5,FALSE)</f>
        <v>Not in Rate Base</v>
      </c>
      <c r="R2326" s="737">
        <f>VLOOKUP($P2326,Allocators!$B$7:$F$19,2,FALSE)</f>
        <v>0</v>
      </c>
      <c r="S2326" s="737">
        <f>VLOOKUP($P2326,Allocators!$B$7:$F$19,3,FALSE)</f>
        <v>0</v>
      </c>
      <c r="T2326" s="737">
        <f t="shared" si="1102"/>
        <v>1</v>
      </c>
      <c r="U2326" s="2">
        <f t="shared" si="1093"/>
        <v>0</v>
      </c>
      <c r="V2326" s="2">
        <f t="shared" si="1094"/>
        <v>0</v>
      </c>
      <c r="W2326" s="2">
        <f t="shared" si="1095"/>
        <v>-1626.6068595833301</v>
      </c>
      <c r="X2326" s="2">
        <f t="shared" si="1112"/>
        <v>-1626.6068595833301</v>
      </c>
      <c r="Y2326" s="2">
        <f t="shared" si="1096"/>
        <v>0</v>
      </c>
      <c r="Z2326" s="2">
        <f t="shared" si="1097"/>
        <v>0</v>
      </c>
      <c r="AA2326" s="2">
        <f t="shared" si="1098"/>
        <v>-2.0000000000000001E-4</v>
      </c>
      <c r="AB2326" s="2">
        <f t="shared" si="1113"/>
        <v>-2.0000000000000001E-4</v>
      </c>
      <c r="AC2326" s="625">
        <v>-5523.0760099999998</v>
      </c>
      <c r="AD2326" s="625">
        <v>-5554.3766799999994</v>
      </c>
      <c r="AE2326" s="625">
        <v>-5585.8547400000007</v>
      </c>
      <c r="AF2326" s="625">
        <v>-5617.5111900000002</v>
      </c>
      <c r="AG2326" s="625">
        <v>-2.0000000000000001E-4</v>
      </c>
      <c r="AH2326" s="625">
        <v>-2.0000000000000001E-4</v>
      </c>
      <c r="AI2326" s="625">
        <v>-2.0000000000000001E-4</v>
      </c>
      <c r="AJ2326" s="625">
        <v>-2.0000000000000001E-4</v>
      </c>
      <c r="AK2326" s="625">
        <v>-2.0000000000000001E-4</v>
      </c>
      <c r="AL2326" s="625">
        <v>-2.0000000000000001E-4</v>
      </c>
      <c r="AM2326" s="625">
        <v>-2.0000000000000001E-4</v>
      </c>
      <c r="AN2326" s="625">
        <v>-2.0000000000000001E-4</v>
      </c>
      <c r="AO2326" s="625">
        <v>-2.0000000000000001E-4</v>
      </c>
      <c r="AP2326" s="41" t="str">
        <f t="shared" si="1105"/>
        <v>Def TaxN</v>
      </c>
      <c r="AQ2326" s="41" t="str">
        <f t="shared" si="1106"/>
        <v>Def TaxNN2Property Tax Deferral</v>
      </c>
      <c r="AR2326" s="41" t="str">
        <f t="shared" si="1107"/>
        <v>N2Property Tax Deferral</v>
      </c>
    </row>
    <row r="2327" spans="1:44" s="41" customFormat="1" ht="12.75" customHeight="1">
      <c r="A2327" s="25" t="s">
        <v>1590</v>
      </c>
      <c r="B2327" s="25" t="str">
        <f t="shared" si="1101"/>
        <v>Def Tax283500283-026-RABT010072</v>
      </c>
      <c r="C2327" s="736">
        <v>283500</v>
      </c>
      <c r="D2327" s="735" t="s">
        <v>2309</v>
      </c>
      <c r="E2327" s="41" t="s">
        <v>2310</v>
      </c>
      <c r="F2327" s="41" t="str">
        <f t="shared" si="1099"/>
        <v>ADIT-OTH-REG-FEDERAL-ELECTRIC</v>
      </c>
      <c r="G2327" s="41" t="s">
        <v>2311</v>
      </c>
      <c r="H2327" s="736" t="s">
        <v>1134</v>
      </c>
      <c r="I2327" s="25"/>
      <c r="J2327" s="25" t="str">
        <f t="shared" si="1100"/>
        <v/>
      </c>
      <c r="K2327" s="442" t="str">
        <f t="shared" si="1103"/>
        <v/>
      </c>
      <c r="L2327" s="736" t="s">
        <v>2421</v>
      </c>
      <c r="M2327" s="25" t="str">
        <f t="shared" si="1108"/>
        <v>N</v>
      </c>
      <c r="N2327" s="25" t="str">
        <f>IF(L2327&lt;&gt;"",VLOOKUP(L2327,Categories!$B$2:$D$41,2,FALSE),IF(F2327&lt;&gt;"","No Cat",""))</f>
        <v>NRBASE</v>
      </c>
      <c r="O2327" s="25" t="str">
        <f>IF($L2327&lt;&gt;"",VLOOKUP($L2327,Categories!$B$2:$D$41,3,FALSE),IF($F2327&lt;&gt;"","No Cat",""))</f>
        <v>Direct Assign Items Not in RB</v>
      </c>
      <c r="P2327" s="736" t="s">
        <v>2468</v>
      </c>
      <c r="Q2327" s="25" t="str">
        <f>VLOOKUP($P2327,Allocators!$B$7:$F$19,5,FALSE)</f>
        <v>Not in Rate Base</v>
      </c>
      <c r="R2327" s="737">
        <f>VLOOKUP($P2327,Allocators!$B$7:$F$19,2,FALSE)</f>
        <v>0</v>
      </c>
      <c r="S2327" s="737">
        <f>VLOOKUP($P2327,Allocators!$B$7:$F$19,3,FALSE)</f>
        <v>0</v>
      </c>
      <c r="T2327" s="737">
        <f t="shared" si="1102"/>
        <v>1</v>
      </c>
      <c r="U2327" s="2">
        <f t="shared" si="1093"/>
        <v>0</v>
      </c>
      <c r="V2327" s="2">
        <f t="shared" si="1094"/>
        <v>0</v>
      </c>
      <c r="W2327" s="2">
        <f t="shared" si="1095"/>
        <v>-19739.370170833299</v>
      </c>
      <c r="X2327" s="2">
        <f t="shared" si="1112"/>
        <v>-19739.370170833299</v>
      </c>
      <c r="Y2327" s="2">
        <f t="shared" si="1096"/>
        <v>0</v>
      </c>
      <c r="Z2327" s="2">
        <f t="shared" si="1097"/>
        <v>0</v>
      </c>
      <c r="AA2327" s="2">
        <f t="shared" si="1098"/>
        <v>-26357.345270000002</v>
      </c>
      <c r="AB2327" s="2">
        <f t="shared" si="1113"/>
        <v>-26357.345269999998</v>
      </c>
      <c r="AC2327" s="625">
        <v>-20218.71933</v>
      </c>
      <c r="AD2327" s="625">
        <v>-19482.360659999998</v>
      </c>
      <c r="AE2327" s="625">
        <v>-19322.681929999999</v>
      </c>
      <c r="AF2327" s="625">
        <v>-19266.837</v>
      </c>
      <c r="AG2327" s="625">
        <v>-19055.026579999998</v>
      </c>
      <c r="AH2327" s="625">
        <v>-18716.003370000002</v>
      </c>
      <c r="AI2327" s="625">
        <v>-18449.79955</v>
      </c>
      <c r="AJ2327" s="625">
        <v>-18323.450430000001</v>
      </c>
      <c r="AK2327" s="625">
        <v>-18139.46171</v>
      </c>
      <c r="AL2327" s="625">
        <v>-17937.981299999999</v>
      </c>
      <c r="AM2327" s="625">
        <v>-18341.741539999999</v>
      </c>
      <c r="AN2327" s="625">
        <v>-26549.06568</v>
      </c>
      <c r="AO2327" s="625">
        <v>-26357.345269999998</v>
      </c>
      <c r="AP2327" s="41" t="str">
        <f t="shared" si="1105"/>
        <v>Def TaxN</v>
      </c>
      <c r="AQ2327" s="41" t="str">
        <f t="shared" si="1106"/>
        <v>Def TaxNN2Environmental</v>
      </c>
      <c r="AR2327" s="41" t="str">
        <f t="shared" si="1107"/>
        <v>N2Environmental</v>
      </c>
    </row>
    <row r="2328" spans="1:44" s="41" customFormat="1" ht="12.75" customHeight="1">
      <c r="A2328" s="442" t="s">
        <v>1590</v>
      </c>
      <c r="B2328" s="442" t="str">
        <f t="shared" si="1101"/>
        <v>Def Tax283500ESRBE030451</v>
      </c>
      <c r="C2328" s="736">
        <v>283500</v>
      </c>
      <c r="D2328" s="735" t="s">
        <v>2312</v>
      </c>
      <c r="E2328" s="626" t="s">
        <v>1387</v>
      </c>
      <c r="F2328" s="626" t="str">
        <f t="shared" si="1099"/>
        <v>ADIT-OTH-REG-FEDERAL-ELECTRIC</v>
      </c>
      <c r="G2328" s="626" t="s">
        <v>2312</v>
      </c>
      <c r="H2328" s="736" t="s">
        <v>2312</v>
      </c>
      <c r="I2328" s="442"/>
      <c r="J2328" s="442" t="str">
        <f t="shared" si="1100"/>
        <v/>
      </c>
      <c r="K2328" s="442" t="str">
        <f t="shared" si="1103"/>
        <v/>
      </c>
      <c r="L2328" s="736" t="s">
        <v>2421</v>
      </c>
      <c r="M2328" s="442" t="str">
        <f t="shared" si="1108"/>
        <v>N</v>
      </c>
      <c r="N2328" s="442" t="str">
        <f>IF(L2328&lt;&gt;"",VLOOKUP(L2328,Categories!$B$2:$D$41,2,FALSE),IF(F2328&lt;&gt;"","No Cat",""))</f>
        <v>NRBASE</v>
      </c>
      <c r="O2328" s="442" t="str">
        <f>IF($L2328&lt;&gt;"",VLOOKUP($L2328,Categories!$B$2:$D$41,3,FALSE),IF($F2328&lt;&gt;"","No Cat",""))</f>
        <v>Direct Assign Items Not in RB</v>
      </c>
      <c r="P2328" s="736" t="s">
        <v>2468</v>
      </c>
      <c r="Q2328" s="442" t="str">
        <f>VLOOKUP($P2328,Allocators!$B$7:$F$19,5,FALSE)</f>
        <v>Not in Rate Base</v>
      </c>
      <c r="R2328" s="737">
        <f>VLOOKUP($P2328,Allocators!$B$7:$F$19,2,FALSE)</f>
        <v>0</v>
      </c>
      <c r="S2328" s="737">
        <f>VLOOKUP($P2328,Allocators!$B$7:$F$19,3,FALSE)</f>
        <v>0</v>
      </c>
      <c r="T2328" s="737">
        <f t="shared" si="1102"/>
        <v>1</v>
      </c>
      <c r="U2328" s="2">
        <f t="shared" si="1093"/>
        <v>0</v>
      </c>
      <c r="V2328" s="2">
        <f t="shared" si="1094"/>
        <v>0</v>
      </c>
      <c r="W2328" s="2">
        <f t="shared" si="1095"/>
        <v>183.57946999999999</v>
      </c>
      <c r="X2328" s="2">
        <f t="shared" si="1112"/>
        <v>183.57946999999999</v>
      </c>
      <c r="Y2328" s="2">
        <f t="shared" si="1096"/>
        <v>0</v>
      </c>
      <c r="Z2328" s="2">
        <f t="shared" si="1097"/>
        <v>0</v>
      </c>
      <c r="AA2328" s="2">
        <f t="shared" si="1098"/>
        <v>183.57946999999999</v>
      </c>
      <c r="AB2328" s="2">
        <f t="shared" si="1113"/>
        <v>183.57947000000001</v>
      </c>
      <c r="AC2328" s="625">
        <v>183.57947000000001</v>
      </c>
      <c r="AD2328" s="625">
        <v>183.57947000000001</v>
      </c>
      <c r="AE2328" s="625">
        <v>183.57947000000001</v>
      </c>
      <c r="AF2328" s="625">
        <v>183.57947000000001</v>
      </c>
      <c r="AG2328" s="625">
        <v>183.57947000000001</v>
      </c>
      <c r="AH2328" s="625">
        <v>183.57947000000001</v>
      </c>
      <c r="AI2328" s="625">
        <v>183.57947000000001</v>
      </c>
      <c r="AJ2328" s="625">
        <v>183.57947000000001</v>
      </c>
      <c r="AK2328" s="625">
        <v>183.57947000000001</v>
      </c>
      <c r="AL2328" s="625">
        <v>183.57947000000001</v>
      </c>
      <c r="AM2328" s="625">
        <v>183.57947000000001</v>
      </c>
      <c r="AN2328" s="625">
        <v>183.57947000000001</v>
      </c>
      <c r="AO2328" s="625">
        <v>183.57947000000001</v>
      </c>
      <c r="AP2328" s="41" t="str">
        <f t="shared" si="1105"/>
        <v>Def TaxN</v>
      </c>
      <c r="AQ2328" s="41" t="str">
        <f t="shared" si="1106"/>
        <v>Def TaxNN2ESR</v>
      </c>
      <c r="AR2328" s="41" t="str">
        <f t="shared" si="1107"/>
        <v>N2ESR</v>
      </c>
    </row>
    <row r="2329" spans="1:44" s="41" customFormat="1" ht="12.75" customHeight="1">
      <c r="A2329" s="25" t="s">
        <v>1590</v>
      </c>
      <c r="B2329" s="25" t="str">
        <f t="shared" si="1101"/>
        <v>Def Tax283500190-099-JP</v>
      </c>
      <c r="C2329" s="736">
        <v>283500</v>
      </c>
      <c r="D2329" s="735" t="s">
        <v>2313</v>
      </c>
      <c r="F2329" s="41" t="str">
        <f t="shared" si="1099"/>
        <v>ADIT-OTH-REG-FEDERAL-ELECTRIC</v>
      </c>
      <c r="G2329" s="41" t="s">
        <v>2314</v>
      </c>
      <c r="H2329" s="736" t="s">
        <v>2312</v>
      </c>
      <c r="I2329" s="25"/>
      <c r="J2329" s="25" t="str">
        <f t="shared" si="1100"/>
        <v/>
      </c>
      <c r="K2329" s="442" t="str">
        <f t="shared" si="1103"/>
        <v/>
      </c>
      <c r="L2329" s="736" t="s">
        <v>2443</v>
      </c>
      <c r="M2329" s="25" t="str">
        <f t="shared" si="1108"/>
        <v>R</v>
      </c>
      <c r="N2329" s="25" t="str">
        <f>IF(L2329&lt;&gt;"",VLOOKUP(L2329,Categories!$B$2:$D$41,2,FALSE),IF(F2329&lt;&gt;"","No Cat",""))</f>
        <v>Rate Base</v>
      </c>
      <c r="O2329" s="25" t="str">
        <f>IF($L2329&lt;&gt;"",VLOOKUP($L2329,Categories!$B$2:$D$41,3,FALSE),IF($F2329&lt;&gt;"","No Cat",""))</f>
        <v>Deferred Income Taxes</v>
      </c>
      <c r="P2329" s="736" t="s">
        <v>2482</v>
      </c>
      <c r="Q2329" s="25" t="str">
        <f>VLOOKUP($P2329,Allocators!$B$7:$F$19,5,FALSE)</f>
        <v>Electric</v>
      </c>
      <c r="R2329" s="737">
        <f>VLOOKUP($P2329,Allocators!$B$7:$F$19,2,FALSE)</f>
        <v>1</v>
      </c>
      <c r="S2329" s="737">
        <f>VLOOKUP($P2329,Allocators!$B$7:$F$19,3,FALSE)</f>
        <v>0</v>
      </c>
      <c r="T2329" s="737" t="str">
        <f t="shared" si="1102"/>
        <v>0.0%</v>
      </c>
      <c r="U2329" s="2" t="str">
        <f t="shared" si="1093"/>
        <v/>
      </c>
      <c r="V2329" s="2" t="str">
        <f t="shared" si="1094"/>
        <v/>
      </c>
      <c r="W2329" s="2" t="str">
        <f t="shared" si="1095"/>
        <v/>
      </c>
      <c r="X2329" s="2">
        <f t="shared" si="1112"/>
        <v>0</v>
      </c>
      <c r="Y2329" s="2" t="str">
        <f t="shared" si="1096"/>
        <v/>
      </c>
      <c r="Z2329" s="2" t="str">
        <f t="shared" si="1097"/>
        <v/>
      </c>
      <c r="AA2329" s="2" t="str">
        <f t="shared" si="1098"/>
        <v/>
      </c>
      <c r="AB2329" s="2">
        <f t="shared" si="1113"/>
        <v>0</v>
      </c>
      <c r="AC2329" s="625">
        <v>0</v>
      </c>
      <c r="AD2329" s="625">
        <v>0</v>
      </c>
      <c r="AE2329" s="625">
        <v>0</v>
      </c>
      <c r="AF2329" s="625">
        <v>0</v>
      </c>
      <c r="AG2329" s="625">
        <v>0</v>
      </c>
      <c r="AH2329" s="625">
        <v>0</v>
      </c>
      <c r="AI2329" s="625">
        <v>0</v>
      </c>
      <c r="AJ2329" s="625">
        <v>0</v>
      </c>
      <c r="AK2329" s="625">
        <v>0</v>
      </c>
      <c r="AL2329" s="625">
        <v>0</v>
      </c>
      <c r="AM2329" s="625">
        <v>0</v>
      </c>
      <c r="AN2329" s="625">
        <v>0</v>
      </c>
      <c r="AO2329" s="625">
        <v>0</v>
      </c>
      <c r="AP2329" s="41" t="str">
        <f t="shared" si="1105"/>
        <v>Def TaxR</v>
      </c>
      <c r="AQ2329" s="41" t="str">
        <f t="shared" si="1106"/>
        <v>Def TaxRR11ESR</v>
      </c>
      <c r="AR2329" s="41" t="str">
        <f t="shared" si="1107"/>
        <v>R11ESR</v>
      </c>
    </row>
    <row r="2330" spans="1:44" s="41" customFormat="1" ht="12.75" customHeight="1">
      <c r="A2330" s="25" t="s">
        <v>1590</v>
      </c>
      <c r="B2330" s="25" t="str">
        <f t="shared" si="1101"/>
        <v>Def Tax283500NERCBT010319</v>
      </c>
      <c r="C2330" s="736">
        <v>283500</v>
      </c>
      <c r="D2330" s="735" t="s">
        <v>2315</v>
      </c>
      <c r="E2330" s="41" t="s">
        <v>2316</v>
      </c>
      <c r="F2330" s="41" t="str">
        <f t="shared" si="1099"/>
        <v>ADIT-OTH-REG-FEDERAL-ELECTRIC</v>
      </c>
      <c r="G2330" s="41" t="s">
        <v>2317</v>
      </c>
      <c r="H2330" s="736" t="s">
        <v>1127</v>
      </c>
      <c r="I2330" s="25"/>
      <c r="J2330" s="25" t="str">
        <f t="shared" si="1100"/>
        <v/>
      </c>
      <c r="K2330" s="442" t="str">
        <f t="shared" si="1103"/>
        <v/>
      </c>
      <c r="L2330" s="736" t="s">
        <v>2443</v>
      </c>
      <c r="M2330" s="25" t="str">
        <f t="shared" si="1108"/>
        <v>R</v>
      </c>
      <c r="N2330" s="25" t="str">
        <f>IF(L2330&lt;&gt;"",VLOOKUP(L2330,Categories!$B$2:$D$41,2,FALSE),IF(F2330&lt;&gt;"","No Cat",""))</f>
        <v>Rate Base</v>
      </c>
      <c r="O2330" s="25" t="str">
        <f>IF($L2330&lt;&gt;"",VLOOKUP($L2330,Categories!$B$2:$D$41,3,FALSE),IF($F2330&lt;&gt;"","No Cat",""))</f>
        <v>Deferred Income Taxes</v>
      </c>
      <c r="P2330" s="736" t="s">
        <v>2482</v>
      </c>
      <c r="Q2330" s="25" t="str">
        <f>VLOOKUP($P2330,Allocators!$B$7:$F$19,5,FALSE)</f>
        <v>Electric</v>
      </c>
      <c r="R2330" s="737">
        <f>VLOOKUP($P2330,Allocators!$B$7:$F$19,2,FALSE)</f>
        <v>1</v>
      </c>
      <c r="S2330" s="737">
        <f>VLOOKUP($P2330,Allocators!$B$7:$F$19,3,FALSE)</f>
        <v>0</v>
      </c>
      <c r="T2330" s="737" t="str">
        <f t="shared" si="1102"/>
        <v>0.0%</v>
      </c>
      <c r="U2330" s="2">
        <f t="shared" ref="U2330:U2393" si="1114">IF(ABS(X2330)=0,"",IF($R2330="NO ALLOC","NO ALLOC",ROUND($R2330*X2330,15)))</f>
        <v>-121.883568333333</v>
      </c>
      <c r="V2330" s="2">
        <f t="shared" ref="V2330:V2393" si="1115">IF(ABS(X2330)=0,"",IF($S2330="NO ALLOC","NO ALLOC",ROUND($S2330*X2330,15)))</f>
        <v>0</v>
      </c>
      <c r="W2330" s="2">
        <f t="shared" ref="W2330:W2393" si="1116">IF(ABS(X2330)=0,"",IF($T2330="NO ALLOC","NO ALLOC",ROUND($T2330*X2330,15)))</f>
        <v>0</v>
      </c>
      <c r="X2330" s="2">
        <f t="shared" si="1112"/>
        <v>-121.883568333333</v>
      </c>
      <c r="Y2330" s="2">
        <f t="shared" ref="Y2330:Y2393" si="1117">IF(ABS(AB2330)=0,"",IF($R2330="NO ALLOC","NO ALLOC",ROUND($R2330*AB2330,15)))</f>
        <v>-98.726619999999997</v>
      </c>
      <c r="Z2330" s="2">
        <f t="shared" ref="Z2330:Z2393" si="1118">IF(ABS(AB2330)=0,"",IF($S2330="NO ALLOC","NO ALLOC",ROUND($S2330*AB2330,15)))</f>
        <v>0</v>
      </c>
      <c r="AA2330" s="2">
        <f t="shared" ref="AA2330:AA2393" si="1119">IF(ABS(AB2330)=0,"",IF($T2330="NO ALLOC","NO ALLOC",ROUND($T2330*AB2330,15)))</f>
        <v>0</v>
      </c>
      <c r="AB2330" s="2">
        <f t="shared" si="1113"/>
        <v>-98.726619999999997</v>
      </c>
      <c r="AC2330" s="625">
        <v>-98.726619999999997</v>
      </c>
      <c r="AD2330" s="625">
        <v>-98.726619999999997</v>
      </c>
      <c r="AE2330" s="625">
        <v>-98.726619999999997</v>
      </c>
      <c r="AF2330" s="625">
        <v>-98.726619999999997</v>
      </c>
      <c r="AG2330" s="625">
        <v>-98.726619999999997</v>
      </c>
      <c r="AH2330" s="625">
        <v>-98.726619999999997</v>
      </c>
      <c r="AI2330" s="625">
        <v>-98.726619999999997</v>
      </c>
      <c r="AJ2330" s="625">
        <v>-98.726619999999997</v>
      </c>
      <c r="AK2330" s="625">
        <v>-98.726619999999997</v>
      </c>
      <c r="AL2330" s="625">
        <v>-237.66830999999999</v>
      </c>
      <c r="AM2330" s="625">
        <v>-237.66830999999999</v>
      </c>
      <c r="AN2330" s="625">
        <v>-98.726619999999997</v>
      </c>
      <c r="AO2330" s="625">
        <v>-98.726619999999997</v>
      </c>
      <c r="AP2330" s="41" t="str">
        <f t="shared" si="1105"/>
        <v>Def TaxR</v>
      </c>
      <c r="AQ2330" s="41" t="str">
        <f t="shared" si="1106"/>
        <v>Def TaxRR11Electric Reliability Organization</v>
      </c>
      <c r="AR2330" s="41" t="str">
        <f t="shared" si="1107"/>
        <v>R11Electric Reliability Organization</v>
      </c>
    </row>
    <row r="2331" spans="1:44" s="41" customFormat="1" ht="12.75" customHeight="1">
      <c r="A2331" s="25" t="s">
        <v>1590</v>
      </c>
      <c r="B2331" s="25" t="str">
        <f t="shared" si="1101"/>
        <v>Def Tax283500NYS AuditBT010313</v>
      </c>
      <c r="C2331" s="736">
        <v>283500</v>
      </c>
      <c r="D2331" s="735" t="s">
        <v>2318</v>
      </c>
      <c r="E2331" s="41" t="s">
        <v>2319</v>
      </c>
      <c r="F2331" s="41" t="str">
        <f t="shared" si="1099"/>
        <v>ADIT-OTH-REG-FEDERAL-ELECTRIC</v>
      </c>
      <c r="G2331" s="41" t="s">
        <v>2320</v>
      </c>
      <c r="H2331" s="736" t="s">
        <v>1126</v>
      </c>
      <c r="I2331" s="25"/>
      <c r="J2331" s="25" t="str">
        <f t="shared" si="1100"/>
        <v/>
      </c>
      <c r="K2331" s="442" t="str">
        <f t="shared" si="1103"/>
        <v/>
      </c>
      <c r="L2331" s="736" t="s">
        <v>2443</v>
      </c>
      <c r="M2331" s="25" t="str">
        <f t="shared" si="1108"/>
        <v>R</v>
      </c>
      <c r="N2331" s="25" t="str">
        <f>IF(L2331&lt;&gt;"",VLOOKUP(L2331,Categories!$B$2:$D$41,2,FALSE),IF(F2331&lt;&gt;"","No Cat",""))</f>
        <v>Rate Base</v>
      </c>
      <c r="O2331" s="25" t="str">
        <f>IF($L2331&lt;&gt;"",VLOOKUP($L2331,Categories!$B$2:$D$41,3,FALSE),IF($F2331&lt;&gt;"","No Cat",""))</f>
        <v>Deferred Income Taxes</v>
      </c>
      <c r="P2331" s="736" t="s">
        <v>2482</v>
      </c>
      <c r="Q2331" s="25" t="str">
        <f>VLOOKUP($P2331,Allocators!$B$7:$F$19,5,FALSE)</f>
        <v>Electric</v>
      </c>
      <c r="R2331" s="737">
        <f>VLOOKUP($P2331,Allocators!$B$7:$F$19,2,FALSE)</f>
        <v>1</v>
      </c>
      <c r="S2331" s="737">
        <f>VLOOKUP($P2331,Allocators!$B$7:$F$19,3,FALSE)</f>
        <v>0</v>
      </c>
      <c r="T2331" s="737" t="str">
        <f t="shared" si="1102"/>
        <v>0.0%</v>
      </c>
      <c r="U2331" s="2">
        <f t="shared" si="1114"/>
        <v>59.141240000000003</v>
      </c>
      <c r="V2331" s="2">
        <f t="shared" si="1115"/>
        <v>0</v>
      </c>
      <c r="W2331" s="2">
        <f t="shared" si="1116"/>
        <v>0</v>
      </c>
      <c r="X2331" s="2">
        <f t="shared" si="1112"/>
        <v>59.141240000000003</v>
      </c>
      <c r="Y2331" s="2">
        <f t="shared" si="1117"/>
        <v>59.141240000000003</v>
      </c>
      <c r="Z2331" s="2">
        <f t="shared" si="1118"/>
        <v>0</v>
      </c>
      <c r="AA2331" s="2">
        <f t="shared" si="1119"/>
        <v>0</v>
      </c>
      <c r="AB2331" s="2">
        <f t="shared" si="1113"/>
        <v>59.141239999999996</v>
      </c>
      <c r="AC2331" s="625">
        <v>59.141239999999996</v>
      </c>
      <c r="AD2331" s="625">
        <v>59.141239999999996</v>
      </c>
      <c r="AE2331" s="625">
        <v>59.141239999999996</v>
      </c>
      <c r="AF2331" s="625">
        <v>59.141239999999996</v>
      </c>
      <c r="AG2331" s="625">
        <v>59.141239999999996</v>
      </c>
      <c r="AH2331" s="625">
        <v>59.141239999999996</v>
      </c>
      <c r="AI2331" s="625">
        <v>59.141239999999996</v>
      </c>
      <c r="AJ2331" s="625">
        <v>59.141239999999996</v>
      </c>
      <c r="AK2331" s="625">
        <v>59.141239999999996</v>
      </c>
      <c r="AL2331" s="625">
        <v>59.141239999999996</v>
      </c>
      <c r="AM2331" s="625">
        <v>59.141239999999996</v>
      </c>
      <c r="AN2331" s="625">
        <v>59.141239999999996</v>
      </c>
      <c r="AO2331" s="625">
        <v>59.141239999999996</v>
      </c>
      <c r="AP2331" s="41" t="str">
        <f t="shared" si="1105"/>
        <v>Def TaxR</v>
      </c>
      <c r="AQ2331" s="41" t="str">
        <f t="shared" si="1106"/>
        <v>Def TaxRR11NYS Tax Audit</v>
      </c>
      <c r="AR2331" s="41" t="str">
        <f t="shared" si="1107"/>
        <v>R11NYS Tax Audit</v>
      </c>
    </row>
    <row r="2332" spans="1:44" s="41" customFormat="1" ht="12.75" customHeight="1">
      <c r="A2332" s="25" t="s">
        <v>1590</v>
      </c>
      <c r="B2332" s="25" t="str">
        <f t="shared" si="1101"/>
        <v>Def Tax283500190-102BT010087</v>
      </c>
      <c r="C2332" s="736">
        <v>283500</v>
      </c>
      <c r="D2332" s="735" t="s">
        <v>1761</v>
      </c>
      <c r="E2332" s="41" t="s">
        <v>2321</v>
      </c>
      <c r="F2332" s="41" t="str">
        <f t="shared" si="1099"/>
        <v>ADIT-OTH-REG-FEDERAL-ELECTRIC</v>
      </c>
      <c r="G2332" s="41" t="s">
        <v>1762</v>
      </c>
      <c r="H2332" s="736" t="s">
        <v>1114</v>
      </c>
      <c r="I2332" s="25"/>
      <c r="J2332" s="25" t="str">
        <f t="shared" si="1100"/>
        <v/>
      </c>
      <c r="K2332" s="442" t="str">
        <f t="shared" si="1103"/>
        <v/>
      </c>
      <c r="L2332" s="736" t="s">
        <v>2443</v>
      </c>
      <c r="M2332" s="25" t="str">
        <f t="shared" si="1108"/>
        <v>R</v>
      </c>
      <c r="N2332" s="25" t="str">
        <f>IF(L2332&lt;&gt;"",VLOOKUP(L2332,Categories!$B$2:$D$41,2,FALSE),IF(F2332&lt;&gt;"","No Cat",""))</f>
        <v>Rate Base</v>
      </c>
      <c r="O2332" s="25" t="str">
        <f>IF($L2332&lt;&gt;"",VLOOKUP($L2332,Categories!$B$2:$D$41,3,FALSE),IF($F2332&lt;&gt;"","No Cat",""))</f>
        <v>Deferred Income Taxes</v>
      </c>
      <c r="P2332" s="736" t="s">
        <v>2482</v>
      </c>
      <c r="Q2332" s="25" t="str">
        <f>VLOOKUP($P2332,Allocators!$B$7:$F$19,5,FALSE)</f>
        <v>Electric</v>
      </c>
      <c r="R2332" s="737">
        <f>VLOOKUP($P2332,Allocators!$B$7:$F$19,2,FALSE)</f>
        <v>1</v>
      </c>
      <c r="S2332" s="737">
        <f>VLOOKUP($P2332,Allocators!$B$7:$F$19,3,FALSE)</f>
        <v>0</v>
      </c>
      <c r="T2332" s="737" t="str">
        <f t="shared" si="1102"/>
        <v>0.0%</v>
      </c>
      <c r="U2332" s="2">
        <f t="shared" si="1114"/>
        <v>-125.64904</v>
      </c>
      <c r="V2332" s="2">
        <f t="shared" si="1115"/>
        <v>0</v>
      </c>
      <c r="W2332" s="2">
        <f t="shared" si="1116"/>
        <v>0</v>
      </c>
      <c r="X2332" s="2">
        <f t="shared" si="1112"/>
        <v>-125.64904</v>
      </c>
      <c r="Y2332" s="2">
        <f t="shared" si="1117"/>
        <v>-125.64904</v>
      </c>
      <c r="Z2332" s="2">
        <f t="shared" si="1118"/>
        <v>0</v>
      </c>
      <c r="AA2332" s="2">
        <f t="shared" si="1119"/>
        <v>0</v>
      </c>
      <c r="AB2332" s="2">
        <f t="shared" si="1113"/>
        <v>-125.64904</v>
      </c>
      <c r="AC2332" s="625">
        <v>-125.64904</v>
      </c>
      <c r="AD2332" s="625">
        <v>-125.64904</v>
      </c>
      <c r="AE2332" s="625">
        <v>-125.64904</v>
      </c>
      <c r="AF2332" s="625">
        <v>-125.64904</v>
      </c>
      <c r="AG2332" s="625">
        <v>-125.64904</v>
      </c>
      <c r="AH2332" s="625">
        <v>-125.64904</v>
      </c>
      <c r="AI2332" s="625">
        <v>-125.64904</v>
      </c>
      <c r="AJ2332" s="625">
        <v>-125.64904</v>
      </c>
      <c r="AK2332" s="625">
        <v>-125.64904</v>
      </c>
      <c r="AL2332" s="625">
        <v>-125.64904</v>
      </c>
      <c r="AM2332" s="625">
        <v>-125.64904</v>
      </c>
      <c r="AN2332" s="625">
        <v>-125.64904</v>
      </c>
      <c r="AO2332" s="625">
        <v>-125.64904</v>
      </c>
      <c r="AP2332" s="41" t="str">
        <f t="shared" si="1105"/>
        <v>Def TaxR</v>
      </c>
      <c r="AQ2332" s="41" t="str">
        <f t="shared" si="1106"/>
        <v>Def TaxRR11Sarbanes-Oxley</v>
      </c>
      <c r="AR2332" s="41" t="str">
        <f t="shared" si="1107"/>
        <v>R11Sarbanes-Oxley</v>
      </c>
    </row>
    <row r="2333" spans="1:44" s="41" customFormat="1" ht="12.75" customHeight="1">
      <c r="A2333" s="25" t="s">
        <v>1590</v>
      </c>
      <c r="B2333" s="25" t="str">
        <f t="shared" si="1101"/>
        <v>Def Tax283500Stray VoltBT010314</v>
      </c>
      <c r="C2333" s="736">
        <v>283500</v>
      </c>
      <c r="D2333" s="735" t="s">
        <v>2322</v>
      </c>
      <c r="E2333" s="41" t="s">
        <v>2323</v>
      </c>
      <c r="F2333" s="41" t="str">
        <f t="shared" si="1099"/>
        <v>ADIT-OTH-REG-FEDERAL-ELECTRIC</v>
      </c>
      <c r="G2333" s="41" t="s">
        <v>2324</v>
      </c>
      <c r="H2333" s="736" t="s">
        <v>1115</v>
      </c>
      <c r="I2333" s="25"/>
      <c r="J2333" s="25" t="str">
        <f t="shared" si="1100"/>
        <v/>
      </c>
      <c r="K2333" s="442" t="str">
        <f t="shared" si="1103"/>
        <v/>
      </c>
      <c r="L2333" s="736" t="s">
        <v>2443</v>
      </c>
      <c r="M2333" s="25" t="str">
        <f t="shared" si="1108"/>
        <v>R</v>
      </c>
      <c r="N2333" s="25" t="str">
        <f>IF(L2333&lt;&gt;"",VLOOKUP(L2333,Categories!$B$2:$D$41,2,FALSE),IF(F2333&lt;&gt;"","No Cat",""))</f>
        <v>Rate Base</v>
      </c>
      <c r="O2333" s="25" t="str">
        <f>IF($L2333&lt;&gt;"",VLOOKUP($L2333,Categories!$B$2:$D$41,3,FALSE),IF($F2333&lt;&gt;"","No Cat",""))</f>
        <v>Deferred Income Taxes</v>
      </c>
      <c r="P2333" s="736" t="s">
        <v>2482</v>
      </c>
      <c r="Q2333" s="25" t="str">
        <f>VLOOKUP($P2333,Allocators!$B$7:$F$19,5,FALSE)</f>
        <v>Electric</v>
      </c>
      <c r="R2333" s="737">
        <f>VLOOKUP($P2333,Allocators!$B$7:$F$19,2,FALSE)</f>
        <v>1</v>
      </c>
      <c r="S2333" s="737">
        <f>VLOOKUP($P2333,Allocators!$B$7:$F$19,3,FALSE)</f>
        <v>0</v>
      </c>
      <c r="T2333" s="737" t="str">
        <f t="shared" si="1102"/>
        <v>0.0%</v>
      </c>
      <c r="U2333" s="2">
        <f t="shared" si="1114"/>
        <v>-674.14314416666696</v>
      </c>
      <c r="V2333" s="2">
        <f t="shared" si="1115"/>
        <v>0</v>
      </c>
      <c r="W2333" s="2">
        <f t="shared" si="1116"/>
        <v>0</v>
      </c>
      <c r="X2333" s="2">
        <f t="shared" si="1112"/>
        <v>-674.14314416666696</v>
      </c>
      <c r="Y2333" s="2">
        <f t="shared" si="1117"/>
        <v>-541.23815000000002</v>
      </c>
      <c r="Z2333" s="2">
        <f t="shared" si="1118"/>
        <v>0</v>
      </c>
      <c r="AA2333" s="2">
        <f t="shared" si="1119"/>
        <v>0</v>
      </c>
      <c r="AB2333" s="2">
        <f t="shared" si="1113"/>
        <v>-541.23815000000002</v>
      </c>
      <c r="AC2333" s="625">
        <v>-802.78456999999992</v>
      </c>
      <c r="AD2333" s="625">
        <v>-777.25409000000002</v>
      </c>
      <c r="AE2333" s="625">
        <v>-752.29106999999999</v>
      </c>
      <c r="AF2333" s="625">
        <v>-732.13031999999998</v>
      </c>
      <c r="AG2333" s="625">
        <v>-718.33739000000003</v>
      </c>
      <c r="AH2333" s="625">
        <v>-694.03419999999994</v>
      </c>
      <c r="AI2333" s="625">
        <v>-677.98682999999994</v>
      </c>
      <c r="AJ2333" s="625">
        <v>-658.41585999999995</v>
      </c>
      <c r="AK2333" s="625">
        <v>-633.05028000000004</v>
      </c>
      <c r="AL2333" s="625">
        <v>-614.48173999999995</v>
      </c>
      <c r="AM2333" s="625">
        <v>-592.63333</v>
      </c>
      <c r="AN2333" s="625">
        <v>-567.09126000000003</v>
      </c>
      <c r="AO2333" s="625">
        <v>-541.23815000000002</v>
      </c>
      <c r="AP2333" s="41" t="str">
        <f t="shared" si="1105"/>
        <v>Def TaxR</v>
      </c>
      <c r="AQ2333" s="41" t="str">
        <f t="shared" si="1106"/>
        <v>Def TaxRR11Stray Voltage</v>
      </c>
      <c r="AR2333" s="41" t="str">
        <f t="shared" si="1107"/>
        <v>R11Stray Voltage</v>
      </c>
    </row>
    <row r="2334" spans="1:44" s="41" customFormat="1" ht="12.75" customHeight="1">
      <c r="A2334" s="442" t="s">
        <v>1590</v>
      </c>
      <c r="B2334" s="442" t="str">
        <f t="shared" si="1101"/>
        <v>Def Tax283500Tree TrimmingBT010317</v>
      </c>
      <c r="C2334" s="736">
        <v>283500</v>
      </c>
      <c r="D2334" s="735" t="s">
        <v>2034</v>
      </c>
      <c r="E2334" s="626" t="s">
        <v>2325</v>
      </c>
      <c r="F2334" s="626" t="str">
        <f t="shared" si="1099"/>
        <v>ADIT-OTH-REG-FEDERAL-ELECTRIC</v>
      </c>
      <c r="G2334" s="626" t="s">
        <v>2326</v>
      </c>
      <c r="H2334" s="736" t="s">
        <v>1119</v>
      </c>
      <c r="I2334" s="442"/>
      <c r="J2334" s="442" t="s">
        <v>7</v>
      </c>
      <c r="K2334" s="442" t="str">
        <f t="shared" si="1103"/>
        <v/>
      </c>
      <c r="L2334" s="736" t="s">
        <v>2436</v>
      </c>
      <c r="M2334" s="442" t="str">
        <f t="shared" si="1108"/>
        <v>N</v>
      </c>
      <c r="N2334" s="442" t="str">
        <f>IF(L2334&lt;&gt;"",VLOOKUP(L2334,Categories!$B$2:$D$41,2,FALSE),IF(F2334&lt;&gt;"","No Cat",""))</f>
        <v>NRBASE</v>
      </c>
      <c r="O2334" s="442" t="str">
        <f>IF($L2334&lt;&gt;"",VLOOKUP($L2334,Categories!$B$2:$D$41,3,FALSE),IF($F2334&lt;&gt;"","No Cat",""))</f>
        <v>Deferrals Accruing Non-Cash Return   (other than ASGA)</v>
      </c>
      <c r="P2334" s="736" t="s">
        <v>2468</v>
      </c>
      <c r="Q2334" s="442" t="str">
        <f>VLOOKUP($P2334,Allocators!$B$7:$F$19,5,FALSE)</f>
        <v>Not in Rate Base</v>
      </c>
      <c r="R2334" s="737">
        <f>VLOOKUP($P2334,Allocators!$B$7:$F$19,2,FALSE)</f>
        <v>0</v>
      </c>
      <c r="S2334" s="737">
        <f>VLOOKUP($P2334,Allocators!$B$7:$F$19,3,FALSE)</f>
        <v>0</v>
      </c>
      <c r="T2334" s="737">
        <f t="shared" si="1102"/>
        <v>1</v>
      </c>
      <c r="U2334" s="2">
        <f t="shared" si="1114"/>
        <v>0</v>
      </c>
      <c r="V2334" s="2">
        <f t="shared" si="1115"/>
        <v>0</v>
      </c>
      <c r="W2334" s="2">
        <f t="shared" si="1116"/>
        <v>-425.13420500000001</v>
      </c>
      <c r="X2334" s="2">
        <f t="shared" si="1112"/>
        <v>-425.13420500000001</v>
      </c>
      <c r="Y2334" s="2">
        <f t="shared" si="1117"/>
        <v>0</v>
      </c>
      <c r="Z2334" s="2">
        <f t="shared" si="1118"/>
        <v>0</v>
      </c>
      <c r="AA2334" s="2">
        <f t="shared" si="1119"/>
        <v>-439.71120000000002</v>
      </c>
      <c r="AB2334" s="2">
        <f t="shared" si="1113"/>
        <v>-439.71120000000002</v>
      </c>
      <c r="AC2334" s="625">
        <v>-410.88078000000002</v>
      </c>
      <c r="AD2334" s="625">
        <v>-413.20934</v>
      </c>
      <c r="AE2334" s="625">
        <v>-415.55110999999999</v>
      </c>
      <c r="AF2334" s="625">
        <v>-417.90613999999999</v>
      </c>
      <c r="AG2334" s="625">
        <v>-420.27452</v>
      </c>
      <c r="AH2334" s="625">
        <v>-422.65631999999999</v>
      </c>
      <c r="AI2334" s="625">
        <v>-425.05162000000001</v>
      </c>
      <c r="AJ2334" s="625">
        <v>-427.46048999999999</v>
      </c>
      <c r="AK2334" s="625">
        <v>-429.88302000000004</v>
      </c>
      <c r="AL2334" s="625">
        <v>-432.31928000000005</v>
      </c>
      <c r="AM2334" s="625">
        <v>-434.76934</v>
      </c>
      <c r="AN2334" s="625">
        <v>-437.23328999999995</v>
      </c>
      <c r="AO2334" s="625">
        <v>-439.71120000000002</v>
      </c>
      <c r="AP2334" s="41" t="str">
        <f t="shared" si="1105"/>
        <v>Def TaxN</v>
      </c>
      <c r="AQ2334" s="41" t="str">
        <f t="shared" si="1106"/>
        <v>Def TaxNN10Vegetation Management</v>
      </c>
      <c r="AR2334" s="41" t="str">
        <f t="shared" si="1107"/>
        <v>N10Vegetation ManagementNCR</v>
      </c>
    </row>
    <row r="2335" spans="1:44" s="41" customFormat="1" ht="12.75" customHeight="1">
      <c r="A2335" s="25" t="s">
        <v>1590</v>
      </c>
      <c r="B2335" s="25" t="str">
        <f t="shared" si="1101"/>
        <v>Def Tax283500283-013BT010221</v>
      </c>
      <c r="C2335" s="736">
        <v>283500</v>
      </c>
      <c r="D2335" s="735" t="s">
        <v>2171</v>
      </c>
      <c r="E2335" s="41" t="s">
        <v>2327</v>
      </c>
      <c r="F2335" s="41" t="str">
        <f t="shared" si="1099"/>
        <v>ADIT-OTH-REG-FEDERAL-ELECTRIC</v>
      </c>
      <c r="G2335" s="41" t="s">
        <v>2172</v>
      </c>
      <c r="H2335" s="736" t="s">
        <v>2173</v>
      </c>
      <c r="I2335" s="25"/>
      <c r="J2335" s="25" t="str">
        <f t="shared" si="1100"/>
        <v/>
      </c>
      <c r="K2335" s="442" t="str">
        <f t="shared" si="1103"/>
        <v/>
      </c>
      <c r="L2335" s="736" t="s">
        <v>2443</v>
      </c>
      <c r="M2335" s="25" t="str">
        <f t="shared" si="1108"/>
        <v>R</v>
      </c>
      <c r="N2335" s="25" t="str">
        <f>IF(L2335&lt;&gt;"",VLOOKUP(L2335,Categories!$B$2:$D$41,2,FALSE),IF(F2335&lt;&gt;"","No Cat",""))</f>
        <v>Rate Base</v>
      </c>
      <c r="O2335" s="25" t="str">
        <f>IF($L2335&lt;&gt;"",VLOOKUP($L2335,Categories!$B$2:$D$41,3,FALSE),IF($F2335&lt;&gt;"","No Cat",""))</f>
        <v>Deferred Income Taxes</v>
      </c>
      <c r="P2335" s="736" t="s">
        <v>2482</v>
      </c>
      <c r="Q2335" s="25" t="str">
        <f>VLOOKUP($P2335,Allocators!$B$7:$F$19,5,FALSE)</f>
        <v>Electric</v>
      </c>
      <c r="R2335" s="737">
        <f>VLOOKUP($P2335,Allocators!$B$7:$F$19,2,FALSE)</f>
        <v>1</v>
      </c>
      <c r="S2335" s="737">
        <f>VLOOKUP($P2335,Allocators!$B$7:$F$19,3,FALSE)</f>
        <v>0</v>
      </c>
      <c r="T2335" s="737" t="str">
        <f t="shared" si="1102"/>
        <v>0.0%</v>
      </c>
      <c r="U2335" s="2">
        <f t="shared" si="1114"/>
        <v>799.27270999999996</v>
      </c>
      <c r="V2335" s="2">
        <f t="shared" si="1115"/>
        <v>0</v>
      </c>
      <c r="W2335" s="2">
        <f t="shared" si="1116"/>
        <v>0</v>
      </c>
      <c r="X2335" s="2">
        <f t="shared" si="1112"/>
        <v>799.27270999999996</v>
      </c>
      <c r="Y2335" s="2">
        <f t="shared" si="1117"/>
        <v>799.27270999999996</v>
      </c>
      <c r="Z2335" s="2">
        <f t="shared" si="1118"/>
        <v>0</v>
      </c>
      <c r="AA2335" s="2">
        <f t="shared" si="1119"/>
        <v>0</v>
      </c>
      <c r="AB2335" s="2">
        <f t="shared" si="1113"/>
        <v>799.27270999999996</v>
      </c>
      <c r="AC2335" s="625">
        <v>799.27270999999996</v>
      </c>
      <c r="AD2335" s="625">
        <v>799.27270999999996</v>
      </c>
      <c r="AE2335" s="625">
        <v>799.27270999999996</v>
      </c>
      <c r="AF2335" s="625">
        <v>799.27270999999996</v>
      </c>
      <c r="AG2335" s="625">
        <v>799.27270999999996</v>
      </c>
      <c r="AH2335" s="625">
        <v>799.27270999999996</v>
      </c>
      <c r="AI2335" s="625">
        <v>799.27270999999996</v>
      </c>
      <c r="AJ2335" s="625">
        <v>799.27270999999996</v>
      </c>
      <c r="AK2335" s="625">
        <v>799.27270999999996</v>
      </c>
      <c r="AL2335" s="625">
        <v>799.27270999999996</v>
      </c>
      <c r="AM2335" s="625">
        <v>799.27270999999996</v>
      </c>
      <c r="AN2335" s="625">
        <v>799.27270999999996</v>
      </c>
      <c r="AO2335" s="625">
        <v>799.27270999999996</v>
      </c>
      <c r="AP2335" s="41" t="str">
        <f t="shared" si="1105"/>
        <v>Def TaxR</v>
      </c>
      <c r="AQ2335" s="41" t="str">
        <f t="shared" si="1106"/>
        <v>Def TaxRR11Ice Storm</v>
      </c>
      <c r="AR2335" s="41" t="str">
        <f t="shared" si="1107"/>
        <v>R11Ice Storm</v>
      </c>
    </row>
    <row r="2336" spans="1:44" s="41" customFormat="1" ht="12.75" customHeight="1">
      <c r="A2336" s="25" t="s">
        <v>1590</v>
      </c>
      <c r="B2336" s="25" t="str">
        <f t="shared" si="1101"/>
        <v>Def Tax283500283-086BT010102</v>
      </c>
      <c r="C2336" s="736">
        <v>283500</v>
      </c>
      <c r="D2336" s="735" t="s">
        <v>2174</v>
      </c>
      <c r="E2336" s="41" t="s">
        <v>2175</v>
      </c>
      <c r="F2336" s="41" t="str">
        <f t="shared" si="1099"/>
        <v>ADIT-OTH-REG-FEDERAL-ELECTRIC</v>
      </c>
      <c r="G2336" s="41" t="s">
        <v>2293</v>
      </c>
      <c r="H2336" s="736" t="s">
        <v>1313</v>
      </c>
      <c r="I2336" s="25"/>
      <c r="J2336" s="25" t="str">
        <f t="shared" si="1100"/>
        <v/>
      </c>
      <c r="K2336" s="442" t="str">
        <f t="shared" si="1103"/>
        <v/>
      </c>
      <c r="L2336" s="736" t="s">
        <v>2443</v>
      </c>
      <c r="M2336" s="25" t="str">
        <f t="shared" si="1108"/>
        <v>R</v>
      </c>
      <c r="N2336" s="25" t="str">
        <f>IF(L2336&lt;&gt;"",VLOOKUP(L2336,Categories!$B$2:$D$41,2,FALSE),IF(F2336&lt;&gt;"","No Cat",""))</f>
        <v>Rate Base</v>
      </c>
      <c r="O2336" s="25" t="str">
        <f>IF($L2336&lt;&gt;"",VLOOKUP($L2336,Categories!$B$2:$D$41,3,FALSE),IF($F2336&lt;&gt;"","No Cat",""))</f>
        <v>Deferred Income Taxes</v>
      </c>
      <c r="P2336" s="736" t="s">
        <v>2482</v>
      </c>
      <c r="Q2336" s="25" t="str">
        <f>VLOOKUP($P2336,Allocators!$B$7:$F$19,5,FALSE)</f>
        <v>Electric</v>
      </c>
      <c r="R2336" s="737">
        <f>VLOOKUP($P2336,Allocators!$B$7:$F$19,2,FALSE)</f>
        <v>1</v>
      </c>
      <c r="S2336" s="737">
        <f>VLOOKUP($P2336,Allocators!$B$7:$F$19,3,FALSE)</f>
        <v>0</v>
      </c>
      <c r="T2336" s="737" t="str">
        <f t="shared" si="1102"/>
        <v>0.0%</v>
      </c>
      <c r="U2336" s="2" t="str">
        <f t="shared" si="1114"/>
        <v/>
      </c>
      <c r="V2336" s="2" t="str">
        <f t="shared" si="1115"/>
        <v/>
      </c>
      <c r="W2336" s="2" t="str">
        <f t="shared" si="1116"/>
        <v/>
      </c>
      <c r="X2336" s="2">
        <f t="shared" si="1112"/>
        <v>0</v>
      </c>
      <c r="Y2336" s="2" t="str">
        <f t="shared" si="1117"/>
        <v/>
      </c>
      <c r="Z2336" s="2" t="str">
        <f t="shared" si="1118"/>
        <v/>
      </c>
      <c r="AA2336" s="2" t="str">
        <f t="shared" si="1119"/>
        <v/>
      </c>
      <c r="AB2336" s="2">
        <f t="shared" si="1113"/>
        <v>0</v>
      </c>
      <c r="AC2336" s="625">
        <v>0</v>
      </c>
      <c r="AD2336" s="625">
        <v>0</v>
      </c>
      <c r="AE2336" s="625">
        <v>0</v>
      </c>
      <c r="AF2336" s="625">
        <v>0</v>
      </c>
      <c r="AG2336" s="625">
        <v>0</v>
      </c>
      <c r="AH2336" s="625">
        <v>0</v>
      </c>
      <c r="AI2336" s="625">
        <v>0</v>
      </c>
      <c r="AJ2336" s="625">
        <v>0</v>
      </c>
      <c r="AK2336" s="625">
        <v>0</v>
      </c>
      <c r="AL2336" s="625">
        <v>0</v>
      </c>
      <c r="AM2336" s="625">
        <v>0</v>
      </c>
      <c r="AN2336" s="625">
        <v>0</v>
      </c>
      <c r="AO2336" s="625">
        <v>0</v>
      </c>
      <c r="AP2336" s="41" t="str">
        <f t="shared" si="1105"/>
        <v>Def TaxR</v>
      </c>
      <c r="AQ2336" s="41" t="str">
        <f t="shared" si="1106"/>
        <v>Def TaxRR11IMLR</v>
      </c>
      <c r="AR2336" s="41" t="str">
        <f t="shared" si="1107"/>
        <v>R11IMLR</v>
      </c>
    </row>
    <row r="2337" spans="1:44" s="41" customFormat="1" ht="12.75" customHeight="1">
      <c r="A2337" s="25" t="s">
        <v>1590</v>
      </c>
      <c r="B2337" s="25" t="str">
        <f t="shared" si="1101"/>
        <v>Def Tax283500283-075BT010086</v>
      </c>
      <c r="C2337" s="736">
        <v>283500</v>
      </c>
      <c r="D2337" s="735" t="s">
        <v>2016</v>
      </c>
      <c r="E2337" s="41" t="s">
        <v>2017</v>
      </c>
      <c r="F2337" s="41" t="str">
        <f t="shared" si="1099"/>
        <v>ADIT-OTH-REG-FEDERAL-ELECTRIC</v>
      </c>
      <c r="G2337" s="41" t="s">
        <v>2018</v>
      </c>
      <c r="H2337" s="736" t="s">
        <v>814</v>
      </c>
      <c r="I2337" s="25"/>
      <c r="J2337" s="25" t="str">
        <f t="shared" si="1100"/>
        <v/>
      </c>
      <c r="K2337" s="442" t="str">
        <f t="shared" si="1103"/>
        <v/>
      </c>
      <c r="L2337" s="736" t="s">
        <v>2443</v>
      </c>
      <c r="M2337" s="25" t="str">
        <f t="shared" si="1108"/>
        <v>R</v>
      </c>
      <c r="N2337" s="25" t="str">
        <f>IF(L2337&lt;&gt;"",VLOOKUP(L2337,Categories!$B$2:$D$41,2,FALSE),IF(F2337&lt;&gt;"","No Cat",""))</f>
        <v>Rate Base</v>
      </c>
      <c r="O2337" s="25" t="str">
        <f>IF($L2337&lt;&gt;"",VLOOKUP($L2337,Categories!$B$2:$D$41,3,FALSE),IF($F2337&lt;&gt;"","No Cat",""))</f>
        <v>Deferred Income Taxes</v>
      </c>
      <c r="P2337" s="736" t="s">
        <v>2482</v>
      </c>
      <c r="Q2337" s="25" t="str">
        <f>VLOOKUP($P2337,Allocators!$B$7:$F$19,5,FALSE)</f>
        <v>Electric</v>
      </c>
      <c r="R2337" s="737">
        <f>VLOOKUP($P2337,Allocators!$B$7:$F$19,2,FALSE)</f>
        <v>1</v>
      </c>
      <c r="S2337" s="737">
        <f>VLOOKUP($P2337,Allocators!$B$7:$F$19,3,FALSE)</f>
        <v>0</v>
      </c>
      <c r="T2337" s="737" t="str">
        <f t="shared" si="1102"/>
        <v>0.0%</v>
      </c>
      <c r="U2337" s="2">
        <f t="shared" si="1114"/>
        <v>-19.682269999999999</v>
      </c>
      <c r="V2337" s="2">
        <f t="shared" si="1115"/>
        <v>0</v>
      </c>
      <c r="W2337" s="2">
        <f t="shared" si="1116"/>
        <v>0</v>
      </c>
      <c r="X2337" s="2">
        <f t="shared" si="1112"/>
        <v>-19.682269999999999</v>
      </c>
      <c r="Y2337" s="2">
        <f t="shared" si="1117"/>
        <v>-19.682269999999999</v>
      </c>
      <c r="Z2337" s="2">
        <f t="shared" si="1118"/>
        <v>0</v>
      </c>
      <c r="AA2337" s="2">
        <f t="shared" si="1119"/>
        <v>0</v>
      </c>
      <c r="AB2337" s="2">
        <f t="shared" si="1113"/>
        <v>-19.682269999999999</v>
      </c>
      <c r="AC2337" s="625">
        <v>-19.682269999999999</v>
      </c>
      <c r="AD2337" s="625">
        <v>-19.682269999999999</v>
      </c>
      <c r="AE2337" s="625">
        <v>-19.682269999999999</v>
      </c>
      <c r="AF2337" s="625">
        <v>-19.682269999999999</v>
      </c>
      <c r="AG2337" s="625">
        <v>-19.682269999999999</v>
      </c>
      <c r="AH2337" s="625">
        <v>-19.682269999999999</v>
      </c>
      <c r="AI2337" s="625">
        <v>-19.682269999999999</v>
      </c>
      <c r="AJ2337" s="625">
        <v>-19.682269999999999</v>
      </c>
      <c r="AK2337" s="625">
        <v>-19.682269999999999</v>
      </c>
      <c r="AL2337" s="625">
        <v>-19.682269999999999</v>
      </c>
      <c r="AM2337" s="625">
        <v>-19.682269999999999</v>
      </c>
      <c r="AN2337" s="625">
        <v>-19.682269999999999</v>
      </c>
      <c r="AO2337" s="625">
        <v>-19.682269999999999</v>
      </c>
      <c r="AP2337" s="41" t="str">
        <f t="shared" si="1105"/>
        <v>Def TaxR</v>
      </c>
      <c r="AQ2337" s="41" t="str">
        <f t="shared" si="1106"/>
        <v>Def TaxRR11IRS Audit - 1998-2001</v>
      </c>
      <c r="AR2337" s="41" t="str">
        <f t="shared" si="1107"/>
        <v>R11IRS Audit - 1998-2001</v>
      </c>
    </row>
    <row r="2338" spans="1:44" s="41" customFormat="1" ht="12.75" customHeight="1">
      <c r="A2338" s="25" t="s">
        <v>1590</v>
      </c>
      <c r="B2338" s="25" t="str">
        <f t="shared" si="1101"/>
        <v>Def Tax283500283-054</v>
      </c>
      <c r="C2338" s="736">
        <v>283500</v>
      </c>
      <c r="D2338" s="735" t="s">
        <v>2180</v>
      </c>
      <c r="F2338" s="41" t="str">
        <f t="shared" si="1099"/>
        <v>ADIT-OTH-REG-FEDERAL-ELECTRIC</v>
      </c>
      <c r="G2338" s="41" t="s">
        <v>2181</v>
      </c>
      <c r="H2338" s="736" t="s">
        <v>1140</v>
      </c>
      <c r="I2338" s="25"/>
      <c r="J2338" s="25" t="str">
        <f t="shared" si="1100"/>
        <v/>
      </c>
      <c r="K2338" s="442" t="str">
        <f t="shared" si="1103"/>
        <v/>
      </c>
      <c r="L2338" s="736" t="s">
        <v>2443</v>
      </c>
      <c r="M2338" s="25" t="str">
        <f t="shared" si="1108"/>
        <v>R</v>
      </c>
      <c r="N2338" s="25" t="str">
        <f>IF(L2338&lt;&gt;"",VLOOKUP(L2338,Categories!$B$2:$D$41,2,FALSE),IF(F2338&lt;&gt;"","No Cat",""))</f>
        <v>Rate Base</v>
      </c>
      <c r="O2338" s="25" t="str">
        <f>IF($L2338&lt;&gt;"",VLOOKUP($L2338,Categories!$B$2:$D$41,3,FALSE),IF($F2338&lt;&gt;"","No Cat",""))</f>
        <v>Deferred Income Taxes</v>
      </c>
      <c r="P2338" s="736" t="s">
        <v>2482</v>
      </c>
      <c r="Q2338" s="25" t="str">
        <f>VLOOKUP($P2338,Allocators!$B$7:$F$19,5,FALSE)</f>
        <v>Electric</v>
      </c>
      <c r="R2338" s="737">
        <f>VLOOKUP($P2338,Allocators!$B$7:$F$19,2,FALSE)</f>
        <v>1</v>
      </c>
      <c r="S2338" s="737">
        <f>VLOOKUP($P2338,Allocators!$B$7:$F$19,3,FALSE)</f>
        <v>0</v>
      </c>
      <c r="T2338" s="737" t="str">
        <f t="shared" si="1102"/>
        <v>0.0%</v>
      </c>
      <c r="U2338" s="2" t="str">
        <f t="shared" si="1114"/>
        <v/>
      </c>
      <c r="V2338" s="2" t="str">
        <f t="shared" si="1115"/>
        <v/>
      </c>
      <c r="W2338" s="2" t="str">
        <f t="shared" si="1116"/>
        <v/>
      </c>
      <c r="X2338" s="2">
        <f t="shared" si="1112"/>
        <v>0</v>
      </c>
      <c r="Y2338" s="2" t="str">
        <f t="shared" si="1117"/>
        <v/>
      </c>
      <c r="Z2338" s="2" t="str">
        <f t="shared" si="1118"/>
        <v/>
      </c>
      <c r="AA2338" s="2" t="str">
        <f t="shared" si="1119"/>
        <v/>
      </c>
      <c r="AB2338" s="2">
        <f t="shared" si="1113"/>
        <v>0</v>
      </c>
      <c r="AC2338" s="625">
        <v>0</v>
      </c>
      <c r="AD2338" s="625">
        <v>0</v>
      </c>
      <c r="AE2338" s="625">
        <v>0</v>
      </c>
      <c r="AF2338" s="625">
        <v>0</v>
      </c>
      <c r="AG2338" s="625">
        <v>0</v>
      </c>
      <c r="AH2338" s="625">
        <v>0</v>
      </c>
      <c r="AI2338" s="625">
        <v>0</v>
      </c>
      <c r="AJ2338" s="625">
        <v>0</v>
      </c>
      <c r="AK2338" s="625">
        <v>0</v>
      </c>
      <c r="AL2338" s="625">
        <v>0</v>
      </c>
      <c r="AM2338" s="625">
        <v>0</v>
      </c>
      <c r="AN2338" s="625">
        <v>0</v>
      </c>
      <c r="AO2338" s="625">
        <v>0</v>
      </c>
      <c r="AP2338" s="41" t="str">
        <f t="shared" si="1105"/>
        <v>Def TaxR</v>
      </c>
      <c r="AQ2338" s="41" t="str">
        <f t="shared" si="1106"/>
        <v>Def TaxRR11Allegany</v>
      </c>
      <c r="AR2338" s="41" t="str">
        <f t="shared" si="1107"/>
        <v>R11Allegany</v>
      </c>
    </row>
    <row r="2339" spans="1:44" s="41" customFormat="1" ht="12.75" customHeight="1">
      <c r="A2339" s="25" t="s">
        <v>1590</v>
      </c>
      <c r="B2339" s="25" t="str">
        <f t="shared" si="1101"/>
        <v>Def Tax283500283-054/
190-073BC030223</v>
      </c>
      <c r="C2339" s="736">
        <v>283500</v>
      </c>
      <c r="D2339" s="735" t="s">
        <v>2328</v>
      </c>
      <c r="E2339" s="41" t="s">
        <v>2329</v>
      </c>
      <c r="F2339" s="41" t="str">
        <f t="shared" si="1099"/>
        <v>ADIT-OTH-REG-FEDERAL-ELECTRIC</v>
      </c>
      <c r="G2339" s="41" t="s">
        <v>2181</v>
      </c>
      <c r="H2339" s="736" t="s">
        <v>1140</v>
      </c>
      <c r="I2339" s="25"/>
      <c r="J2339" s="25" t="str">
        <f t="shared" si="1100"/>
        <v/>
      </c>
      <c r="K2339" s="442" t="str">
        <f t="shared" si="1103"/>
        <v/>
      </c>
      <c r="L2339" s="736" t="s">
        <v>2443</v>
      </c>
      <c r="M2339" s="25" t="str">
        <f t="shared" si="1108"/>
        <v>R</v>
      </c>
      <c r="N2339" s="25" t="str">
        <f>IF(L2339&lt;&gt;"",VLOOKUP(L2339,Categories!$B$2:$D$41,2,FALSE),IF(F2339&lt;&gt;"","No Cat",""))</f>
        <v>Rate Base</v>
      </c>
      <c r="O2339" s="25" t="str">
        <f>IF($L2339&lt;&gt;"",VLOOKUP($L2339,Categories!$B$2:$D$41,3,FALSE),IF($F2339&lt;&gt;"","No Cat",""))</f>
        <v>Deferred Income Taxes</v>
      </c>
      <c r="P2339" s="736" t="s">
        <v>2482</v>
      </c>
      <c r="Q2339" s="25" t="str">
        <f>VLOOKUP($P2339,Allocators!$B$7:$F$19,5,FALSE)</f>
        <v>Electric</v>
      </c>
      <c r="R2339" s="737">
        <f>VLOOKUP($P2339,Allocators!$B$7:$F$19,2,FALSE)</f>
        <v>1</v>
      </c>
      <c r="S2339" s="737">
        <f>VLOOKUP($P2339,Allocators!$B$7:$F$19,3,FALSE)</f>
        <v>0</v>
      </c>
      <c r="T2339" s="737" t="str">
        <f t="shared" si="1102"/>
        <v>0.0%</v>
      </c>
      <c r="U2339" s="2">
        <f t="shared" si="1114"/>
        <v>664.37923999999998</v>
      </c>
      <c r="V2339" s="2">
        <f t="shared" si="1115"/>
        <v>0</v>
      </c>
      <c r="W2339" s="2">
        <f t="shared" si="1116"/>
        <v>0</v>
      </c>
      <c r="X2339" s="2">
        <f t="shared" si="1112"/>
        <v>664.37923999999998</v>
      </c>
      <c r="Y2339" s="2">
        <f t="shared" si="1117"/>
        <v>664.37923999999998</v>
      </c>
      <c r="Z2339" s="2">
        <f t="shared" si="1118"/>
        <v>0</v>
      </c>
      <c r="AA2339" s="2">
        <f t="shared" si="1119"/>
        <v>0</v>
      </c>
      <c r="AB2339" s="2">
        <f t="shared" si="1113"/>
        <v>664.37923999999998</v>
      </c>
      <c r="AC2339" s="625">
        <v>664.37923999999998</v>
      </c>
      <c r="AD2339" s="625">
        <v>664.37923999999998</v>
      </c>
      <c r="AE2339" s="625">
        <v>664.37923999999998</v>
      </c>
      <c r="AF2339" s="625">
        <v>664.37923999999998</v>
      </c>
      <c r="AG2339" s="625">
        <v>664.37923999999998</v>
      </c>
      <c r="AH2339" s="625">
        <v>664.37923999999998</v>
      </c>
      <c r="AI2339" s="625">
        <v>664.37923999999998</v>
      </c>
      <c r="AJ2339" s="625">
        <v>664.37923999999998</v>
      </c>
      <c r="AK2339" s="625">
        <v>664.37923999999998</v>
      </c>
      <c r="AL2339" s="625">
        <v>664.37923999999998</v>
      </c>
      <c r="AM2339" s="625">
        <v>664.37923999999998</v>
      </c>
      <c r="AN2339" s="625">
        <v>664.37923999999998</v>
      </c>
      <c r="AO2339" s="625">
        <v>664.37923999999998</v>
      </c>
      <c r="AP2339" s="41" t="str">
        <f t="shared" si="1105"/>
        <v>Def TaxR</v>
      </c>
      <c r="AQ2339" s="41" t="str">
        <f t="shared" si="1106"/>
        <v>Def TaxRR11Allegany</v>
      </c>
      <c r="AR2339" s="41" t="str">
        <f t="shared" si="1107"/>
        <v>R11Allegany</v>
      </c>
    </row>
    <row r="2340" spans="1:44" s="41" customFormat="1" ht="12.75" customHeight="1">
      <c r="A2340" s="25" t="s">
        <v>1590</v>
      </c>
      <c r="B2340" s="25" t="str">
        <f t="shared" si="1101"/>
        <v>Def Tax283500283-054-S/
190-073-SBC030223</v>
      </c>
      <c r="C2340" s="736">
        <v>283500</v>
      </c>
      <c r="D2340" s="735" t="s">
        <v>2330</v>
      </c>
      <c r="E2340" s="41" t="s">
        <v>2329</v>
      </c>
      <c r="F2340" s="41" t="str">
        <f t="shared" si="1099"/>
        <v>ADIT-OTH-REG-FEDERAL-ELECTRIC</v>
      </c>
      <c r="G2340" s="41" t="s">
        <v>2181</v>
      </c>
      <c r="H2340" s="736" t="s">
        <v>1140</v>
      </c>
      <c r="I2340" s="25"/>
      <c r="J2340" s="25" t="str">
        <f t="shared" si="1100"/>
        <v/>
      </c>
      <c r="K2340" s="442" t="str">
        <f t="shared" si="1103"/>
        <v/>
      </c>
      <c r="L2340" s="736" t="s">
        <v>2443</v>
      </c>
      <c r="M2340" s="25" t="str">
        <f t="shared" si="1108"/>
        <v>R</v>
      </c>
      <c r="N2340" s="25" t="str">
        <f>IF(L2340&lt;&gt;"",VLOOKUP(L2340,Categories!$B$2:$D$41,2,FALSE),IF(F2340&lt;&gt;"","No Cat",""))</f>
        <v>Rate Base</v>
      </c>
      <c r="O2340" s="25" t="str">
        <f>IF($L2340&lt;&gt;"",VLOOKUP($L2340,Categories!$B$2:$D$41,3,FALSE),IF($F2340&lt;&gt;"","No Cat",""))</f>
        <v>Deferred Income Taxes</v>
      </c>
      <c r="P2340" s="736" t="s">
        <v>2482</v>
      </c>
      <c r="Q2340" s="25" t="str">
        <f>VLOOKUP($P2340,Allocators!$B$7:$F$19,5,FALSE)</f>
        <v>Electric</v>
      </c>
      <c r="R2340" s="737">
        <f>VLOOKUP($P2340,Allocators!$B$7:$F$19,2,FALSE)</f>
        <v>1</v>
      </c>
      <c r="S2340" s="737">
        <f>VLOOKUP($P2340,Allocators!$B$7:$F$19,3,FALSE)</f>
        <v>0</v>
      </c>
      <c r="T2340" s="737" t="str">
        <f t="shared" si="1102"/>
        <v>0.0%</v>
      </c>
      <c r="U2340" s="2" t="str">
        <f t="shared" si="1114"/>
        <v/>
      </c>
      <c r="V2340" s="2" t="str">
        <f t="shared" si="1115"/>
        <v/>
      </c>
      <c r="W2340" s="2" t="str">
        <f t="shared" si="1116"/>
        <v/>
      </c>
      <c r="X2340" s="2">
        <f t="shared" si="1112"/>
        <v>0</v>
      </c>
      <c r="Y2340" s="2" t="str">
        <f t="shared" si="1117"/>
        <v/>
      </c>
      <c r="Z2340" s="2" t="str">
        <f t="shared" si="1118"/>
        <v/>
      </c>
      <c r="AA2340" s="2" t="str">
        <f t="shared" si="1119"/>
        <v/>
      </c>
      <c r="AB2340" s="2">
        <f t="shared" si="1113"/>
        <v>0</v>
      </c>
      <c r="AC2340" s="625">
        <v>0</v>
      </c>
      <c r="AD2340" s="625">
        <v>0</v>
      </c>
      <c r="AE2340" s="625">
        <v>0</v>
      </c>
      <c r="AF2340" s="625">
        <v>0</v>
      </c>
      <c r="AG2340" s="625">
        <v>0</v>
      </c>
      <c r="AH2340" s="625">
        <v>0</v>
      </c>
      <c r="AI2340" s="625">
        <v>0</v>
      </c>
      <c r="AJ2340" s="625">
        <v>0</v>
      </c>
      <c r="AK2340" s="625">
        <v>0</v>
      </c>
      <c r="AL2340" s="625">
        <v>0</v>
      </c>
      <c r="AM2340" s="625">
        <v>0</v>
      </c>
      <c r="AN2340" s="625">
        <v>0</v>
      </c>
      <c r="AO2340" s="625">
        <v>0</v>
      </c>
      <c r="AP2340" s="41" t="str">
        <f t="shared" si="1105"/>
        <v>Def TaxR</v>
      </c>
      <c r="AQ2340" s="41" t="str">
        <f t="shared" si="1106"/>
        <v>Def TaxRR11Allegany</v>
      </c>
      <c r="AR2340" s="41" t="str">
        <f t="shared" si="1107"/>
        <v>R11Allegany</v>
      </c>
    </row>
    <row r="2341" spans="1:44" s="41" customFormat="1" ht="12.75" customHeight="1">
      <c r="A2341" s="25" t="s">
        <v>1590</v>
      </c>
      <c r="B2341" s="25" t="str">
        <f t="shared" si="1101"/>
        <v>Def Tax283500190-073</v>
      </c>
      <c r="C2341" s="736">
        <v>283500</v>
      </c>
      <c r="D2341" s="735" t="s">
        <v>2331</v>
      </c>
      <c r="F2341" s="41" t="str">
        <f t="shared" si="1099"/>
        <v>ADIT-OTH-REG-FEDERAL-ELECTRIC</v>
      </c>
      <c r="G2341" s="41" t="s">
        <v>2332</v>
      </c>
      <c r="H2341" s="736" t="s">
        <v>1140</v>
      </c>
      <c r="I2341" s="25"/>
      <c r="J2341" s="25" t="str">
        <f t="shared" si="1100"/>
        <v/>
      </c>
      <c r="K2341" s="442" t="str">
        <f t="shared" si="1103"/>
        <v/>
      </c>
      <c r="L2341" s="736" t="s">
        <v>2443</v>
      </c>
      <c r="M2341" s="25" t="str">
        <f t="shared" si="1108"/>
        <v>R</v>
      </c>
      <c r="N2341" s="25" t="str">
        <f>IF(L2341&lt;&gt;"",VLOOKUP(L2341,Categories!$B$2:$D$41,2,FALSE),IF(F2341&lt;&gt;"","No Cat",""))</f>
        <v>Rate Base</v>
      </c>
      <c r="O2341" s="25" t="str">
        <f>IF($L2341&lt;&gt;"",VLOOKUP($L2341,Categories!$B$2:$D$41,3,FALSE),IF($F2341&lt;&gt;"","No Cat",""))</f>
        <v>Deferred Income Taxes</v>
      </c>
      <c r="P2341" s="736" t="s">
        <v>2482</v>
      </c>
      <c r="Q2341" s="25" t="str">
        <f>VLOOKUP($P2341,Allocators!$B$7:$F$19,5,FALSE)</f>
        <v>Electric</v>
      </c>
      <c r="R2341" s="737">
        <f>VLOOKUP($P2341,Allocators!$B$7:$F$19,2,FALSE)</f>
        <v>1</v>
      </c>
      <c r="S2341" s="737">
        <f>VLOOKUP($P2341,Allocators!$B$7:$F$19,3,FALSE)</f>
        <v>0</v>
      </c>
      <c r="T2341" s="737" t="str">
        <f t="shared" si="1102"/>
        <v>0.0%</v>
      </c>
      <c r="U2341" s="2" t="str">
        <f t="shared" si="1114"/>
        <v/>
      </c>
      <c r="V2341" s="2" t="str">
        <f t="shared" si="1115"/>
        <v/>
      </c>
      <c r="W2341" s="2" t="str">
        <f t="shared" si="1116"/>
        <v/>
      </c>
      <c r="X2341" s="2">
        <f t="shared" si="1112"/>
        <v>0</v>
      </c>
      <c r="Y2341" s="2" t="str">
        <f t="shared" si="1117"/>
        <v/>
      </c>
      <c r="Z2341" s="2" t="str">
        <f t="shared" si="1118"/>
        <v/>
      </c>
      <c r="AA2341" s="2" t="str">
        <f t="shared" si="1119"/>
        <v/>
      </c>
      <c r="AB2341" s="2">
        <f t="shared" si="1113"/>
        <v>0</v>
      </c>
      <c r="AC2341" s="625">
        <v>0</v>
      </c>
      <c r="AD2341" s="625">
        <v>0</v>
      </c>
      <c r="AE2341" s="625">
        <v>0</v>
      </c>
      <c r="AF2341" s="625">
        <v>0</v>
      </c>
      <c r="AG2341" s="625">
        <v>0</v>
      </c>
      <c r="AH2341" s="625">
        <v>0</v>
      </c>
      <c r="AI2341" s="625">
        <v>0</v>
      </c>
      <c r="AJ2341" s="625">
        <v>0</v>
      </c>
      <c r="AK2341" s="625">
        <v>0</v>
      </c>
      <c r="AL2341" s="625">
        <v>0</v>
      </c>
      <c r="AM2341" s="625">
        <v>0</v>
      </c>
      <c r="AN2341" s="625">
        <v>0</v>
      </c>
      <c r="AO2341" s="625">
        <v>0</v>
      </c>
      <c r="AP2341" s="41" t="str">
        <f t="shared" si="1105"/>
        <v>Def TaxR</v>
      </c>
      <c r="AQ2341" s="41" t="str">
        <f t="shared" si="1106"/>
        <v>Def TaxRR11Allegany</v>
      </c>
      <c r="AR2341" s="41" t="str">
        <f t="shared" si="1107"/>
        <v>R11Allegany</v>
      </c>
    </row>
    <row r="2342" spans="1:44" s="41" customFormat="1" ht="12.75" customHeight="1">
      <c r="A2342" s="25" t="s">
        <v>1590</v>
      </c>
      <c r="B2342" s="25" t="str">
        <f t="shared" si="1101"/>
        <v>Def Tax283500MedicareBT010125</v>
      </c>
      <c r="C2342" s="736">
        <v>283500</v>
      </c>
      <c r="D2342" s="735" t="s">
        <v>1667</v>
      </c>
      <c r="E2342" s="41" t="s">
        <v>1668</v>
      </c>
      <c r="F2342" s="41" t="str">
        <f t="shared" si="1099"/>
        <v>ADIT-OTH-REG-FEDERAL-ELECTRIC</v>
      </c>
      <c r="G2342" s="41" t="s">
        <v>2333</v>
      </c>
      <c r="H2342" s="736" t="s">
        <v>1118</v>
      </c>
      <c r="I2342" s="25"/>
      <c r="J2342" s="25" t="str">
        <f t="shared" si="1100"/>
        <v/>
      </c>
      <c r="K2342" s="442" t="str">
        <f t="shared" si="1103"/>
        <v/>
      </c>
      <c r="L2342" s="736" t="s">
        <v>2443</v>
      </c>
      <c r="M2342" s="25" t="str">
        <f t="shared" si="1108"/>
        <v>R</v>
      </c>
      <c r="N2342" s="25" t="str">
        <f>IF(L2342&lt;&gt;"",VLOOKUP(L2342,Categories!$B$2:$D$41,2,FALSE),IF(F2342&lt;&gt;"","No Cat",""))</f>
        <v>Rate Base</v>
      </c>
      <c r="O2342" s="25" t="str">
        <f>IF($L2342&lt;&gt;"",VLOOKUP($L2342,Categories!$B$2:$D$41,3,FALSE),IF($F2342&lt;&gt;"","No Cat",""))</f>
        <v>Deferred Income Taxes</v>
      </c>
      <c r="P2342" s="736" t="s">
        <v>2482</v>
      </c>
      <c r="Q2342" s="25" t="str">
        <f>VLOOKUP($P2342,Allocators!$B$7:$F$19,5,FALSE)</f>
        <v>Electric</v>
      </c>
      <c r="R2342" s="737">
        <f>VLOOKUP($P2342,Allocators!$B$7:$F$19,2,FALSE)</f>
        <v>1</v>
      </c>
      <c r="S2342" s="737">
        <f>VLOOKUP($P2342,Allocators!$B$7:$F$19,3,FALSE)</f>
        <v>0</v>
      </c>
      <c r="T2342" s="737" t="str">
        <f t="shared" si="1102"/>
        <v>0.0%</v>
      </c>
      <c r="U2342" s="2" t="str">
        <f t="shared" si="1114"/>
        <v/>
      </c>
      <c r="V2342" s="2" t="str">
        <f t="shared" si="1115"/>
        <v/>
      </c>
      <c r="W2342" s="2" t="str">
        <f t="shared" si="1116"/>
        <v/>
      </c>
      <c r="X2342" s="2">
        <f t="shared" si="1112"/>
        <v>0</v>
      </c>
      <c r="Y2342" s="2" t="str">
        <f t="shared" si="1117"/>
        <v/>
      </c>
      <c r="Z2342" s="2" t="str">
        <f t="shared" si="1118"/>
        <v/>
      </c>
      <c r="AA2342" s="2" t="str">
        <f t="shared" si="1119"/>
        <v/>
      </c>
      <c r="AB2342" s="2">
        <f t="shared" si="1113"/>
        <v>0</v>
      </c>
      <c r="AC2342" s="625">
        <v>0</v>
      </c>
      <c r="AD2342" s="625">
        <v>0</v>
      </c>
      <c r="AE2342" s="625">
        <v>0</v>
      </c>
      <c r="AF2342" s="625">
        <v>0</v>
      </c>
      <c r="AG2342" s="625">
        <v>0</v>
      </c>
      <c r="AH2342" s="625">
        <v>0</v>
      </c>
      <c r="AI2342" s="625">
        <v>0</v>
      </c>
      <c r="AJ2342" s="625">
        <v>0</v>
      </c>
      <c r="AK2342" s="625">
        <v>0</v>
      </c>
      <c r="AL2342" s="625">
        <v>0</v>
      </c>
      <c r="AM2342" s="625">
        <v>0</v>
      </c>
      <c r="AN2342" s="625">
        <v>0</v>
      </c>
      <c r="AO2342" s="625">
        <v>0</v>
      </c>
      <c r="AP2342" s="41" t="str">
        <f t="shared" si="1105"/>
        <v>Def TaxR</v>
      </c>
      <c r="AQ2342" s="41" t="str">
        <f t="shared" si="1106"/>
        <v>Def TaxRR11Medicare Part D</v>
      </c>
      <c r="AR2342" s="41" t="str">
        <f t="shared" si="1107"/>
        <v>R11Medicare Part D</v>
      </c>
    </row>
    <row r="2343" spans="1:44" s="41" customFormat="1" ht="12.75" customHeight="1">
      <c r="A2343" s="442" t="s">
        <v>1590</v>
      </c>
      <c r="B2343" s="442" t="str">
        <f t="shared" si="1101"/>
        <v>Def Tax283500MFCBE030155</v>
      </c>
      <c r="C2343" s="736">
        <v>283500</v>
      </c>
      <c r="D2343" s="735" t="s">
        <v>2334</v>
      </c>
      <c r="E2343" s="626" t="s">
        <v>1200</v>
      </c>
      <c r="F2343" s="626" t="str">
        <f t="shared" ref="F2343:F2412" si="1120">VLOOKUP(C2343,$C$7:$F$787,4,FALSE)</f>
        <v>ADIT-OTH-REG-FEDERAL-ELECTRIC</v>
      </c>
      <c r="G2343" s="626" t="s">
        <v>2335</v>
      </c>
      <c r="H2343" s="736" t="s">
        <v>1203</v>
      </c>
      <c r="I2343" s="442"/>
      <c r="J2343" s="442" t="str">
        <f t="shared" si="1100"/>
        <v/>
      </c>
      <c r="K2343" s="442" t="str">
        <f t="shared" si="1103"/>
        <v/>
      </c>
      <c r="L2343" s="736" t="s">
        <v>2421</v>
      </c>
      <c r="M2343" s="442" t="str">
        <f t="shared" si="1108"/>
        <v>N</v>
      </c>
      <c r="N2343" s="442" t="str">
        <f>IF(L2343&lt;&gt;"",VLOOKUP(L2343,Categories!$B$2:$D$41,2,FALSE),IF(F2343&lt;&gt;"","No Cat",""))</f>
        <v>NRBASE</v>
      </c>
      <c r="O2343" s="442" t="str">
        <f>IF($L2343&lt;&gt;"",VLOOKUP($L2343,Categories!$B$2:$D$41,3,FALSE),IF($F2343&lt;&gt;"","No Cat",""))</f>
        <v>Direct Assign Items Not in RB</v>
      </c>
      <c r="P2343" s="736" t="s">
        <v>2468</v>
      </c>
      <c r="Q2343" s="442" t="str">
        <f>VLOOKUP($P2343,Allocators!$B$7:$F$19,5,FALSE)</f>
        <v>Not in Rate Base</v>
      </c>
      <c r="R2343" s="737">
        <f>VLOOKUP($P2343,Allocators!$B$7:$F$19,2,FALSE)</f>
        <v>0</v>
      </c>
      <c r="S2343" s="737">
        <f>VLOOKUP($P2343,Allocators!$B$7:$F$19,3,FALSE)</f>
        <v>0</v>
      </c>
      <c r="T2343" s="737">
        <f t="shared" si="1102"/>
        <v>1</v>
      </c>
      <c r="U2343" s="2">
        <f t="shared" si="1114"/>
        <v>0</v>
      </c>
      <c r="V2343" s="2">
        <f t="shared" si="1115"/>
        <v>0</v>
      </c>
      <c r="W2343" s="2">
        <f t="shared" si="1116"/>
        <v>-57.683581666666697</v>
      </c>
      <c r="X2343" s="2">
        <f t="shared" si="1112"/>
        <v>-57.683581666666697</v>
      </c>
      <c r="Y2343" s="2">
        <f t="shared" si="1117"/>
        <v>0</v>
      </c>
      <c r="Z2343" s="2">
        <f t="shared" si="1118"/>
        <v>0</v>
      </c>
      <c r="AA2343" s="2">
        <f t="shared" si="1119"/>
        <v>-138.66800000000001</v>
      </c>
      <c r="AB2343" s="2">
        <f t="shared" si="1113"/>
        <v>-138.66800000000001</v>
      </c>
      <c r="AC2343" s="625">
        <v>-161.38999999999999</v>
      </c>
      <c r="AD2343" s="625">
        <v>-89.406770000000009</v>
      </c>
      <c r="AE2343" s="625">
        <v>-77.892250000000004</v>
      </c>
      <c r="AF2343" s="625">
        <v>-41.313389999999998</v>
      </c>
      <c r="AG2343" s="625">
        <v>-48.228550000000006</v>
      </c>
      <c r="AH2343" s="625">
        <v>-54.826010000000004</v>
      </c>
      <c r="AI2343" s="625">
        <v>-62.874379999999995</v>
      </c>
      <c r="AJ2343" s="625">
        <v>43.715800000000002</v>
      </c>
      <c r="AK2343" s="625">
        <v>44.559160000000006</v>
      </c>
      <c r="AL2343" s="625">
        <v>-13.80602</v>
      </c>
      <c r="AM2343" s="625">
        <v>-80.711570000000009</v>
      </c>
      <c r="AN2343" s="625">
        <v>-161.38999999999999</v>
      </c>
      <c r="AO2343" s="625">
        <v>-138.66800000000001</v>
      </c>
      <c r="AP2343" s="41" t="str">
        <f t="shared" si="1105"/>
        <v>Def TaxN</v>
      </c>
      <c r="AQ2343" s="41" t="str">
        <f t="shared" si="1106"/>
        <v>Def TaxNN2Merchant Function Charge - Elec</v>
      </c>
      <c r="AR2343" s="41" t="str">
        <f t="shared" si="1107"/>
        <v>N2Merchant Function Charge - Elec</v>
      </c>
    </row>
    <row r="2344" spans="1:44" s="41" customFormat="1" ht="12" customHeight="1">
      <c r="A2344" s="442" t="s">
        <v>1590</v>
      </c>
      <c r="B2344" s="442" t="str">
        <f t="shared" si="1101"/>
        <v>Def Tax283500MHP DeferralBDEFAULT</v>
      </c>
      <c r="C2344" s="736">
        <v>283500</v>
      </c>
      <c r="D2344" s="735" t="s">
        <v>2336</v>
      </c>
      <c r="E2344" s="626" t="s">
        <v>1620</v>
      </c>
      <c r="F2344" s="626" t="str">
        <f t="shared" si="1120"/>
        <v>ADIT-OTH-REG-FEDERAL-ELECTRIC</v>
      </c>
      <c r="G2344" s="626" t="s">
        <v>2337</v>
      </c>
      <c r="H2344" s="736" t="s">
        <v>818</v>
      </c>
      <c r="I2344" s="442"/>
      <c r="J2344" s="442" t="str">
        <f t="shared" ref="J2344:J2413" si="1121">IF(L2344="N10","Y",IF(L2344="N8","Y",""))</f>
        <v/>
      </c>
      <c r="K2344" s="442" t="str">
        <f t="shared" si="1103"/>
        <v/>
      </c>
      <c r="L2344" s="736" t="s">
        <v>2421</v>
      </c>
      <c r="M2344" s="442" t="str">
        <f t="shared" si="1108"/>
        <v>N</v>
      </c>
      <c r="N2344" s="442" t="str">
        <f>IF(L2344&lt;&gt;"",VLOOKUP(L2344,Categories!$B$2:$D$41,2,FALSE),IF(F2344&lt;&gt;"","No Cat",""))</f>
        <v>NRBASE</v>
      </c>
      <c r="O2344" s="442" t="str">
        <f>IF($L2344&lt;&gt;"",VLOOKUP($L2344,Categories!$B$2:$D$41,3,FALSE),IF($F2344&lt;&gt;"","No Cat",""))</f>
        <v>Direct Assign Items Not in RB</v>
      </c>
      <c r="P2344" s="736" t="s">
        <v>2468</v>
      </c>
      <c r="Q2344" s="442" t="str">
        <f>VLOOKUP($P2344,Allocators!$B$7:$F$19,5,FALSE)</f>
        <v>Not in Rate Base</v>
      </c>
      <c r="R2344" s="737">
        <f>VLOOKUP($P2344,Allocators!$B$7:$F$19,2,FALSE)</f>
        <v>0</v>
      </c>
      <c r="S2344" s="737">
        <f>VLOOKUP($P2344,Allocators!$B$7:$F$19,3,FALSE)</f>
        <v>0</v>
      </c>
      <c r="T2344" s="737">
        <f t="shared" si="1102"/>
        <v>1</v>
      </c>
      <c r="U2344" s="2" t="str">
        <f t="shared" si="1114"/>
        <v/>
      </c>
      <c r="V2344" s="2" t="str">
        <f t="shared" si="1115"/>
        <v/>
      </c>
      <c r="W2344" s="2" t="str">
        <f t="shared" si="1116"/>
        <v/>
      </c>
      <c r="X2344" s="2">
        <f t="shared" si="1112"/>
        <v>0</v>
      </c>
      <c r="Y2344" s="2" t="str">
        <f t="shared" si="1117"/>
        <v/>
      </c>
      <c r="Z2344" s="2" t="str">
        <f t="shared" si="1118"/>
        <v/>
      </c>
      <c r="AA2344" s="2" t="str">
        <f t="shared" si="1119"/>
        <v/>
      </c>
      <c r="AB2344" s="2">
        <f t="shared" si="1113"/>
        <v>0</v>
      </c>
      <c r="AC2344" s="625">
        <v>0</v>
      </c>
      <c r="AD2344" s="625">
        <v>0</v>
      </c>
      <c r="AE2344" s="625">
        <v>0</v>
      </c>
      <c r="AF2344" s="625">
        <v>0</v>
      </c>
      <c r="AG2344" s="625">
        <v>0</v>
      </c>
      <c r="AH2344" s="625">
        <v>0</v>
      </c>
      <c r="AI2344" s="625">
        <v>0</v>
      </c>
      <c r="AJ2344" s="625">
        <v>0</v>
      </c>
      <c r="AK2344" s="625">
        <v>0</v>
      </c>
      <c r="AL2344" s="625">
        <v>0</v>
      </c>
      <c r="AM2344" s="625">
        <v>0</v>
      </c>
      <c r="AN2344" s="625">
        <v>0</v>
      </c>
      <c r="AO2344" s="625">
        <v>0</v>
      </c>
      <c r="AP2344" s="41" t="str">
        <f t="shared" si="1105"/>
        <v>Def TaxN</v>
      </c>
      <c r="AQ2344" s="41" t="str">
        <f t="shared" si="1106"/>
        <v>Def TaxNN2MHP Meter Deferral</v>
      </c>
      <c r="AR2344" s="41" t="str">
        <f t="shared" si="1107"/>
        <v>N2MHP Meter Deferral</v>
      </c>
    </row>
    <row r="2345" spans="1:44" s="41" customFormat="1" ht="12.75" customHeight="1">
      <c r="A2345" s="442" t="s">
        <v>1590</v>
      </c>
      <c r="B2345" s="442" t="str">
        <f t="shared" ref="B2345" si="1122">CONCATENATE(A2345,C2345,D2345,E2345)</f>
        <v>Def Tax283500BE030597</v>
      </c>
      <c r="C2345" s="736">
        <v>283500</v>
      </c>
      <c r="D2345" s="735"/>
      <c r="E2345" s="626" t="s">
        <v>770</v>
      </c>
      <c r="F2345" s="626" t="str">
        <f t="shared" si="1120"/>
        <v>ADIT-OTH-REG-FEDERAL-ELECTRIC</v>
      </c>
      <c r="G2345" s="626" t="s">
        <v>4047</v>
      </c>
      <c r="H2345" s="736" t="s">
        <v>824</v>
      </c>
      <c r="I2345" s="442"/>
      <c r="J2345" s="442" t="s">
        <v>7</v>
      </c>
      <c r="K2345" s="442" t="str">
        <f t="shared" si="1103"/>
        <v/>
      </c>
      <c r="L2345" s="736" t="s">
        <v>2421</v>
      </c>
      <c r="M2345" s="442" t="str">
        <f t="shared" ref="M2345" si="1123">LEFT(L2345,1)</f>
        <v>N</v>
      </c>
      <c r="N2345" s="442" t="str">
        <f>IF(L2345&lt;&gt;"",VLOOKUP(L2345,Categories!$B$2:$D$41,2,FALSE),IF(F2345&lt;&gt;"","No Cat",""))</f>
        <v>NRBASE</v>
      </c>
      <c r="O2345" s="442" t="str">
        <f>IF($L2345&lt;&gt;"",VLOOKUP($L2345,Categories!$B$2:$D$41,3,FALSE),IF($F2345&lt;&gt;"","No Cat",""))</f>
        <v>Direct Assign Items Not in RB</v>
      </c>
      <c r="P2345" s="736" t="s">
        <v>2468</v>
      </c>
      <c r="Q2345" s="442" t="str">
        <f>VLOOKUP($P2345,Allocators!$B$7:$F$19,5,FALSE)</f>
        <v>Not in Rate Base</v>
      </c>
      <c r="R2345" s="737">
        <f>VLOOKUP($P2345,Allocators!$B$7:$F$19,2,FALSE)</f>
        <v>0</v>
      </c>
      <c r="S2345" s="737">
        <f>VLOOKUP($P2345,Allocators!$B$7:$F$19,3,FALSE)</f>
        <v>0</v>
      </c>
      <c r="T2345" s="737">
        <f t="shared" ref="T2345" si="1124">IF(P2345="N",1,"0.0%")</f>
        <v>1</v>
      </c>
      <c r="U2345" s="2">
        <f t="shared" si="1114"/>
        <v>0</v>
      </c>
      <c r="V2345" s="2">
        <f t="shared" si="1115"/>
        <v>0</v>
      </c>
      <c r="W2345" s="2">
        <f t="shared" si="1116"/>
        <v>-27.284545833333301</v>
      </c>
      <c r="X2345" s="2">
        <f t="shared" si="1112"/>
        <v>-27.284545833333301</v>
      </c>
      <c r="Y2345" s="2">
        <f t="shared" si="1117"/>
        <v>0</v>
      </c>
      <c r="Z2345" s="2">
        <f t="shared" si="1118"/>
        <v>0</v>
      </c>
      <c r="AA2345" s="2">
        <f t="shared" si="1119"/>
        <v>-28.220079999999999</v>
      </c>
      <c r="AB2345" s="2">
        <f t="shared" si="1113"/>
        <v>-28.220080000000003</v>
      </c>
      <c r="AC2345" s="625">
        <v>-26.369779999999999</v>
      </c>
      <c r="AD2345" s="625">
        <v>-26.51923</v>
      </c>
      <c r="AE2345" s="625">
        <v>-26.669520000000002</v>
      </c>
      <c r="AF2345" s="625">
        <v>-26.82066</v>
      </c>
      <c r="AG2345" s="625">
        <v>-26.972660000000001</v>
      </c>
      <c r="AH2345" s="625">
        <v>-27.125520000000002</v>
      </c>
      <c r="AI2345" s="625">
        <v>-27.279240000000001</v>
      </c>
      <c r="AJ2345" s="625">
        <v>-27.43384</v>
      </c>
      <c r="AK2345" s="625">
        <v>-27.589320000000001</v>
      </c>
      <c r="AL2345" s="625">
        <v>-27.745669999999997</v>
      </c>
      <c r="AM2345" s="625">
        <v>-27.902909999999999</v>
      </c>
      <c r="AN2345" s="625">
        <v>-28.061049999999998</v>
      </c>
      <c r="AO2345" s="625">
        <v>-28.220080000000003</v>
      </c>
      <c r="AP2345" s="41" t="str">
        <f t="shared" si="1105"/>
        <v>Def TaxN</v>
      </c>
      <c r="AQ2345" s="41" t="str">
        <f t="shared" si="1106"/>
        <v>Def TaxNN2CAIDI/SAIFI Study</v>
      </c>
      <c r="AR2345" s="41" t="str">
        <f t="shared" si="1107"/>
        <v>N2CAIDI/SAIFI StudyNCR</v>
      </c>
    </row>
    <row r="2346" spans="1:44" s="41" customFormat="1" ht="12.75" customHeight="1">
      <c r="A2346" s="442" t="s">
        <v>1590</v>
      </c>
      <c r="B2346" s="442" t="str">
        <f t="shared" ref="B2346" si="1125">CONCATENATE(A2346,C2346,D2346,E2346)</f>
        <v>Def Tax283500BEHUNGDT</v>
      </c>
      <c r="C2346" s="736">
        <v>283500</v>
      </c>
      <c r="D2346" s="735"/>
      <c r="E2346" s="626" t="s">
        <v>4059</v>
      </c>
      <c r="F2346" s="626" t="str">
        <f t="shared" ref="F2346" si="1126">VLOOKUP(C2346,$C$7:$F$787,4,FALSE)</f>
        <v>ADIT-OTH-REG-FEDERAL-ELECTRIC</v>
      </c>
      <c r="G2346" s="626" t="s">
        <v>4061</v>
      </c>
      <c r="H2346" s="736" t="s">
        <v>2880</v>
      </c>
      <c r="I2346" s="442"/>
      <c r="J2346" s="442"/>
      <c r="K2346" s="442" t="str">
        <f t="shared" si="1103"/>
        <v/>
      </c>
      <c r="L2346" s="736" t="s">
        <v>2443</v>
      </c>
      <c r="M2346" s="442" t="str">
        <f t="shared" ref="M2346" si="1127">LEFT(L2346,1)</f>
        <v>R</v>
      </c>
      <c r="N2346" s="442" t="str">
        <f>IF(L2346&lt;&gt;"",VLOOKUP(L2346,Categories!$B$2:$D$41,2,FALSE),IF(F2346&lt;&gt;"","No Cat",""))</f>
        <v>Rate Base</v>
      </c>
      <c r="O2346" s="442" t="str">
        <f>IF($L2346&lt;&gt;"",VLOOKUP($L2346,Categories!$B$2:$D$41,3,FALSE),IF($F2346&lt;&gt;"","No Cat",""))</f>
        <v>Deferred Income Taxes</v>
      </c>
      <c r="P2346" s="736" t="s">
        <v>2482</v>
      </c>
      <c r="Q2346" s="442" t="str">
        <f>VLOOKUP($P2346,Allocators!$B$7:$F$19,5,FALSE)</f>
        <v>Electric</v>
      </c>
      <c r="R2346" s="737">
        <f>VLOOKUP($P2346,Allocators!$B$7:$F$19,2,FALSE)</f>
        <v>1</v>
      </c>
      <c r="S2346" s="737">
        <f>VLOOKUP($P2346,Allocators!$B$7:$F$19,3,FALSE)</f>
        <v>0</v>
      </c>
      <c r="T2346" s="737" t="str">
        <f t="shared" ref="T2346" si="1128">IF(P2346="N",1,"0.0%")</f>
        <v>0.0%</v>
      </c>
      <c r="U2346" s="2" t="str">
        <f t="shared" si="1114"/>
        <v/>
      </c>
      <c r="V2346" s="2" t="str">
        <f t="shared" si="1115"/>
        <v/>
      </c>
      <c r="W2346" s="2" t="str">
        <f t="shared" si="1116"/>
        <v/>
      </c>
      <c r="X2346" s="2">
        <f t="shared" si="1112"/>
        <v>0</v>
      </c>
      <c r="Y2346" s="2" t="str">
        <f t="shared" si="1117"/>
        <v/>
      </c>
      <c r="Z2346" s="2" t="str">
        <f t="shared" si="1118"/>
        <v/>
      </c>
      <c r="AA2346" s="2" t="str">
        <f t="shared" si="1119"/>
        <v/>
      </c>
      <c r="AB2346" s="2">
        <f t="shared" si="1113"/>
        <v>0</v>
      </c>
      <c r="AC2346" s="625">
        <v>0</v>
      </c>
      <c r="AD2346" s="625">
        <v>0</v>
      </c>
      <c r="AE2346" s="625">
        <v>0</v>
      </c>
      <c r="AF2346" s="625">
        <v>0</v>
      </c>
      <c r="AG2346" s="625">
        <v>0</v>
      </c>
      <c r="AH2346" s="625">
        <v>0</v>
      </c>
      <c r="AI2346" s="625">
        <v>0</v>
      </c>
      <c r="AJ2346" s="625">
        <v>0</v>
      </c>
      <c r="AK2346" s="625">
        <v>0</v>
      </c>
      <c r="AL2346" s="625">
        <v>0</v>
      </c>
      <c r="AM2346" s="625">
        <v>0</v>
      </c>
      <c r="AN2346" s="625">
        <v>0</v>
      </c>
      <c r="AO2346" s="625">
        <v>0</v>
      </c>
      <c r="AP2346" s="41" t="str">
        <f t="shared" si="1105"/>
        <v>Def TaxR</v>
      </c>
      <c r="AQ2346" s="41" t="str">
        <f t="shared" si="1106"/>
        <v>Def TaxRR11Hung Deferred Taxes</v>
      </c>
      <c r="AR2346" s="41" t="str">
        <f t="shared" si="1107"/>
        <v>R11Hung Deferred Taxes</v>
      </c>
    </row>
    <row r="2347" spans="1:44" s="41" customFormat="1" ht="12.75" customHeight="1">
      <c r="A2347" s="25" t="s">
        <v>1590</v>
      </c>
      <c r="B2347" s="25" t="str">
        <f t="shared" si="1101"/>
        <v>Def Tax283500NBC True-upBDEFAULT</v>
      </c>
      <c r="C2347" s="736">
        <v>283500</v>
      </c>
      <c r="D2347" s="735" t="s">
        <v>1141</v>
      </c>
      <c r="E2347" s="41" t="s">
        <v>1620</v>
      </c>
      <c r="F2347" s="41" t="str">
        <f t="shared" si="1120"/>
        <v>ADIT-OTH-REG-FEDERAL-ELECTRIC</v>
      </c>
      <c r="G2347" s="41" t="s">
        <v>2338</v>
      </c>
      <c r="H2347" s="736" t="s">
        <v>1141</v>
      </c>
      <c r="I2347" s="25"/>
      <c r="J2347" s="25" t="str">
        <f t="shared" si="1121"/>
        <v/>
      </c>
      <c r="K2347" s="442" t="str">
        <f t="shared" si="1103"/>
        <v/>
      </c>
      <c r="L2347" s="736" t="s">
        <v>2443</v>
      </c>
      <c r="M2347" s="25" t="str">
        <f t="shared" si="1108"/>
        <v>R</v>
      </c>
      <c r="N2347" s="25" t="str">
        <f>IF(L2347&lt;&gt;"",VLOOKUP(L2347,Categories!$B$2:$D$41,2,FALSE),IF(F2347&lt;&gt;"","No Cat",""))</f>
        <v>Rate Base</v>
      </c>
      <c r="O2347" s="25" t="str">
        <f>IF($L2347&lt;&gt;"",VLOOKUP($L2347,Categories!$B$2:$D$41,3,FALSE),IF($F2347&lt;&gt;"","No Cat",""))</f>
        <v>Deferred Income Taxes</v>
      </c>
      <c r="P2347" s="736" t="s">
        <v>2482</v>
      </c>
      <c r="Q2347" s="25" t="str">
        <f>VLOOKUP($P2347,Allocators!$B$7:$F$19,5,FALSE)</f>
        <v>Electric</v>
      </c>
      <c r="R2347" s="737">
        <f>VLOOKUP($P2347,Allocators!$B$7:$F$19,2,FALSE)</f>
        <v>1</v>
      </c>
      <c r="S2347" s="737">
        <f>VLOOKUP($P2347,Allocators!$B$7:$F$19,3,FALSE)</f>
        <v>0</v>
      </c>
      <c r="T2347" s="737" t="str">
        <f t="shared" si="1102"/>
        <v>0.0%</v>
      </c>
      <c r="U2347" s="2">
        <f t="shared" si="1114"/>
        <v>1438.01353541667</v>
      </c>
      <c r="V2347" s="2">
        <f t="shared" si="1115"/>
        <v>0</v>
      </c>
      <c r="W2347" s="2">
        <f t="shared" si="1116"/>
        <v>0</v>
      </c>
      <c r="X2347" s="2">
        <f t="shared" si="1112"/>
        <v>1438.01353541667</v>
      </c>
      <c r="Y2347" s="2">
        <f t="shared" si="1117"/>
        <v>967.85547999999994</v>
      </c>
      <c r="Z2347" s="2">
        <f t="shared" si="1118"/>
        <v>0</v>
      </c>
      <c r="AA2347" s="2">
        <f t="shared" si="1119"/>
        <v>0</v>
      </c>
      <c r="AB2347" s="2">
        <f t="shared" si="1113"/>
        <v>967.85547999999994</v>
      </c>
      <c r="AC2347" s="625">
        <v>384.76071000000002</v>
      </c>
      <c r="AD2347" s="625">
        <v>4204.7914299999993</v>
      </c>
      <c r="AE2347" s="625">
        <v>5259.6260499999999</v>
      </c>
      <c r="AF2347" s="625">
        <v>7086.3774199999998</v>
      </c>
      <c r="AG2347" s="625">
        <v>2185.5562099999997</v>
      </c>
      <c r="AH2347" s="625">
        <v>2922.3115400000002</v>
      </c>
      <c r="AI2347" s="625">
        <v>22.048759999999998</v>
      </c>
      <c r="AJ2347" s="625">
        <v>2.1615600000000001</v>
      </c>
      <c r="AK2347" s="625">
        <v>-1765.4988700000001</v>
      </c>
      <c r="AL2347" s="625">
        <v>-1217.4076</v>
      </c>
      <c r="AM2347" s="625">
        <v>-2566.34863</v>
      </c>
      <c r="AN2347" s="625">
        <v>446.23646000000002</v>
      </c>
      <c r="AO2347" s="625">
        <v>967.85547999999994</v>
      </c>
      <c r="AP2347" s="41" t="str">
        <f t="shared" si="1105"/>
        <v>Def TaxR</v>
      </c>
      <c r="AQ2347" s="41" t="str">
        <f t="shared" si="1106"/>
        <v>Def TaxRR11NBC True-up</v>
      </c>
      <c r="AR2347" s="41" t="str">
        <f t="shared" si="1107"/>
        <v>R11NBC True-up</v>
      </c>
    </row>
    <row r="2348" spans="1:44" s="41" customFormat="1" ht="12.75" customHeight="1">
      <c r="A2348" s="25" t="s">
        <v>1590</v>
      </c>
      <c r="B2348" s="25" t="str">
        <f t="shared" si="1101"/>
        <v>Def Tax283500283-057BE030272/
BE030276</v>
      </c>
      <c r="C2348" s="736">
        <v>283500</v>
      </c>
      <c r="D2348" s="735" t="s">
        <v>2039</v>
      </c>
      <c r="E2348" s="41" t="s">
        <v>2339</v>
      </c>
      <c r="F2348" s="41" t="str">
        <f t="shared" si="1120"/>
        <v>ADIT-OTH-REG-FEDERAL-ELECTRIC</v>
      </c>
      <c r="G2348" s="41" t="s">
        <v>2204</v>
      </c>
      <c r="H2348" s="736" t="s">
        <v>1145</v>
      </c>
      <c r="I2348" s="25"/>
      <c r="J2348" s="25" t="str">
        <f t="shared" si="1121"/>
        <v/>
      </c>
      <c r="K2348" s="442" t="str">
        <f t="shared" si="1103"/>
        <v/>
      </c>
      <c r="L2348" s="736" t="s">
        <v>2443</v>
      </c>
      <c r="M2348" s="25" t="str">
        <f t="shared" si="1108"/>
        <v>R</v>
      </c>
      <c r="N2348" s="25" t="str">
        <f>IF(L2348&lt;&gt;"",VLOOKUP(L2348,Categories!$B$2:$D$41,2,FALSE),IF(F2348&lt;&gt;"","No Cat",""))</f>
        <v>Rate Base</v>
      </c>
      <c r="O2348" s="25" t="str">
        <f>IF($L2348&lt;&gt;"",VLOOKUP($L2348,Categories!$B$2:$D$41,3,FALSE),IF($F2348&lt;&gt;"","No Cat",""))</f>
        <v>Deferred Income Taxes</v>
      </c>
      <c r="P2348" s="736" t="s">
        <v>2482</v>
      </c>
      <c r="Q2348" s="25" t="str">
        <f>VLOOKUP($P2348,Allocators!$B$7:$F$19,5,FALSE)</f>
        <v>Electric</v>
      </c>
      <c r="R2348" s="737">
        <f>VLOOKUP($P2348,Allocators!$B$7:$F$19,2,FALSE)</f>
        <v>1</v>
      </c>
      <c r="S2348" s="737">
        <f>VLOOKUP($P2348,Allocators!$B$7:$F$19,3,FALSE)</f>
        <v>0</v>
      </c>
      <c r="T2348" s="737" t="str">
        <f t="shared" si="1102"/>
        <v>0.0%</v>
      </c>
      <c r="U2348" s="2">
        <f t="shared" si="1114"/>
        <v>7421.85599</v>
      </c>
      <c r="V2348" s="2">
        <f t="shared" si="1115"/>
        <v>0</v>
      </c>
      <c r="W2348" s="2">
        <f t="shared" si="1116"/>
        <v>0</v>
      </c>
      <c r="X2348" s="2">
        <f t="shared" si="1112"/>
        <v>7421.85599</v>
      </c>
      <c r="Y2348" s="2">
        <f t="shared" si="1117"/>
        <v>7421.85599</v>
      </c>
      <c r="Z2348" s="2">
        <f t="shared" si="1118"/>
        <v>0</v>
      </c>
      <c r="AA2348" s="2">
        <f t="shared" si="1119"/>
        <v>0</v>
      </c>
      <c r="AB2348" s="2">
        <f t="shared" si="1113"/>
        <v>7421.85599</v>
      </c>
      <c r="AC2348" s="625">
        <v>7421.85599</v>
      </c>
      <c r="AD2348" s="625">
        <v>7421.85599</v>
      </c>
      <c r="AE2348" s="625">
        <v>7421.85599</v>
      </c>
      <c r="AF2348" s="625">
        <v>7421.85599</v>
      </c>
      <c r="AG2348" s="625">
        <v>7421.85599</v>
      </c>
      <c r="AH2348" s="625">
        <v>7421.85599</v>
      </c>
      <c r="AI2348" s="625">
        <v>7421.85599</v>
      </c>
      <c r="AJ2348" s="625">
        <v>7421.85599</v>
      </c>
      <c r="AK2348" s="625">
        <v>7421.85599</v>
      </c>
      <c r="AL2348" s="625">
        <v>7421.85599</v>
      </c>
      <c r="AM2348" s="625">
        <v>7421.85599</v>
      </c>
      <c r="AN2348" s="625">
        <v>7421.85599</v>
      </c>
      <c r="AO2348" s="625">
        <v>7421.85599</v>
      </c>
      <c r="AP2348" s="41" t="str">
        <f t="shared" si="1105"/>
        <v>Def TaxR</v>
      </c>
      <c r="AQ2348" s="41" t="str">
        <f t="shared" si="1106"/>
        <v>Def TaxRR11NM2 Sale</v>
      </c>
      <c r="AR2348" s="41" t="str">
        <f t="shared" si="1107"/>
        <v>R11NM2 Sale</v>
      </c>
    </row>
    <row r="2349" spans="1:44" s="41" customFormat="1" ht="12.75" customHeight="1">
      <c r="A2349" s="25" t="s">
        <v>1590</v>
      </c>
      <c r="B2349" s="25" t="str">
        <f t="shared" si="1101"/>
        <v>Def Tax283500283-057-NYS ADJBE030277</v>
      </c>
      <c r="C2349" s="736">
        <v>283500</v>
      </c>
      <c r="D2349" s="735" t="s">
        <v>2340</v>
      </c>
      <c r="E2349" s="41" t="s">
        <v>2341</v>
      </c>
      <c r="F2349" s="41" t="str">
        <f t="shared" si="1120"/>
        <v>ADIT-OTH-REG-FEDERAL-ELECTRIC</v>
      </c>
      <c r="G2349" s="41" t="s">
        <v>2204</v>
      </c>
      <c r="H2349" s="736" t="s">
        <v>1145</v>
      </c>
      <c r="I2349" s="25"/>
      <c r="J2349" s="25" t="str">
        <f t="shared" si="1121"/>
        <v/>
      </c>
      <c r="K2349" s="442" t="str">
        <f t="shared" si="1103"/>
        <v/>
      </c>
      <c r="L2349" s="736" t="s">
        <v>2443</v>
      </c>
      <c r="M2349" s="25" t="str">
        <f t="shared" si="1108"/>
        <v>R</v>
      </c>
      <c r="N2349" s="25" t="str">
        <f>IF(L2349&lt;&gt;"",VLOOKUP(L2349,Categories!$B$2:$D$41,2,FALSE),IF(F2349&lt;&gt;"","No Cat",""))</f>
        <v>Rate Base</v>
      </c>
      <c r="O2349" s="25" t="str">
        <f>IF($L2349&lt;&gt;"",VLOOKUP($L2349,Categories!$B$2:$D$41,3,FALSE),IF($F2349&lt;&gt;"","No Cat",""))</f>
        <v>Deferred Income Taxes</v>
      </c>
      <c r="P2349" s="736" t="s">
        <v>2482</v>
      </c>
      <c r="Q2349" s="25" t="str">
        <f>VLOOKUP($P2349,Allocators!$B$7:$F$19,5,FALSE)</f>
        <v>Electric</v>
      </c>
      <c r="R2349" s="737">
        <f>VLOOKUP($P2349,Allocators!$B$7:$F$19,2,FALSE)</f>
        <v>1</v>
      </c>
      <c r="S2349" s="737">
        <f>VLOOKUP($P2349,Allocators!$B$7:$F$19,3,FALSE)</f>
        <v>0</v>
      </c>
      <c r="T2349" s="737" t="str">
        <f t="shared" si="1102"/>
        <v>0.0%</v>
      </c>
      <c r="U2349" s="2">
        <f t="shared" si="1114"/>
        <v>-3611.8791920833301</v>
      </c>
      <c r="V2349" s="2">
        <f t="shared" si="1115"/>
        <v>0</v>
      </c>
      <c r="W2349" s="2">
        <f t="shared" si="1116"/>
        <v>0</v>
      </c>
      <c r="X2349" s="2">
        <f t="shared" si="1112"/>
        <v>-3611.8791920833301</v>
      </c>
      <c r="Y2349" s="2">
        <f t="shared" si="1117"/>
        <v>-3415.72748</v>
      </c>
      <c r="Z2349" s="2">
        <f t="shared" si="1118"/>
        <v>0</v>
      </c>
      <c r="AA2349" s="2">
        <f t="shared" si="1119"/>
        <v>0</v>
      </c>
      <c r="AB2349" s="2">
        <f t="shared" si="1113"/>
        <v>-3415.72748</v>
      </c>
      <c r="AC2349" s="625">
        <v>-4635.7901900000006</v>
      </c>
      <c r="AD2349" s="625">
        <v>-4155.3207200000006</v>
      </c>
      <c r="AE2349" s="625">
        <v>-3714.06459</v>
      </c>
      <c r="AF2349" s="625">
        <v>-3571.6619000000001</v>
      </c>
      <c r="AG2349" s="625">
        <v>-3521.32744</v>
      </c>
      <c r="AH2349" s="625">
        <v>-3521.32744</v>
      </c>
      <c r="AI2349" s="625">
        <v>-3500.3034199999997</v>
      </c>
      <c r="AJ2349" s="625">
        <v>-3493.4799500000004</v>
      </c>
      <c r="AK2349" s="625">
        <v>-3492.2452899999998</v>
      </c>
      <c r="AL2349" s="625">
        <v>-3465.66662</v>
      </c>
      <c r="AM2349" s="625">
        <v>-3465.66662</v>
      </c>
      <c r="AN2349" s="625">
        <v>-3415.72748</v>
      </c>
      <c r="AO2349" s="625">
        <v>-3415.72748</v>
      </c>
      <c r="AP2349" s="41" t="str">
        <f t="shared" si="1105"/>
        <v>Def TaxR</v>
      </c>
      <c r="AQ2349" s="41" t="str">
        <f t="shared" si="1106"/>
        <v>Def TaxRR11NM2 Sale</v>
      </c>
      <c r="AR2349" s="41" t="str">
        <f t="shared" si="1107"/>
        <v>R11NM2 Sale</v>
      </c>
    </row>
    <row r="2350" spans="1:44" s="41" customFormat="1" ht="12.75" customHeight="1">
      <c r="A2350" s="25" t="s">
        <v>1590</v>
      </c>
      <c r="B2350" s="25" t="str">
        <f t="shared" si="1101"/>
        <v>Def Tax283500283-057-SBE030272</v>
      </c>
      <c r="C2350" s="736">
        <v>283500</v>
      </c>
      <c r="D2350" s="735" t="s">
        <v>2342</v>
      </c>
      <c r="E2350" s="41" t="s">
        <v>992</v>
      </c>
      <c r="F2350" s="41" t="str">
        <f t="shared" si="1120"/>
        <v>ADIT-OTH-REG-FEDERAL-ELECTRIC</v>
      </c>
      <c r="G2350" s="41" t="s">
        <v>2204</v>
      </c>
      <c r="H2350" s="736" t="s">
        <v>1145</v>
      </c>
      <c r="I2350" s="25"/>
      <c r="J2350" s="25" t="str">
        <f t="shared" si="1121"/>
        <v/>
      </c>
      <c r="K2350" s="442" t="str">
        <f t="shared" si="1103"/>
        <v/>
      </c>
      <c r="L2350" s="736" t="s">
        <v>2443</v>
      </c>
      <c r="M2350" s="25" t="str">
        <f t="shared" si="1108"/>
        <v>R</v>
      </c>
      <c r="N2350" s="25" t="str">
        <f>IF(L2350&lt;&gt;"",VLOOKUP(L2350,Categories!$B$2:$D$41,2,FALSE),IF(F2350&lt;&gt;"","No Cat",""))</f>
        <v>Rate Base</v>
      </c>
      <c r="O2350" s="25" t="str">
        <f>IF($L2350&lt;&gt;"",VLOOKUP($L2350,Categories!$B$2:$D$41,3,FALSE),IF($F2350&lt;&gt;"","No Cat",""))</f>
        <v>Deferred Income Taxes</v>
      </c>
      <c r="P2350" s="736" t="s">
        <v>2482</v>
      </c>
      <c r="Q2350" s="25" t="str">
        <f>VLOOKUP($P2350,Allocators!$B$7:$F$19,5,FALSE)</f>
        <v>Electric</v>
      </c>
      <c r="R2350" s="737">
        <f>VLOOKUP($P2350,Allocators!$B$7:$F$19,2,FALSE)</f>
        <v>1</v>
      </c>
      <c r="S2350" s="737">
        <f>VLOOKUP($P2350,Allocators!$B$7:$F$19,3,FALSE)</f>
        <v>0</v>
      </c>
      <c r="T2350" s="737" t="str">
        <f t="shared" si="1102"/>
        <v>0.0%</v>
      </c>
      <c r="U2350" s="2" t="str">
        <f t="shared" si="1114"/>
        <v/>
      </c>
      <c r="V2350" s="2" t="str">
        <f t="shared" si="1115"/>
        <v/>
      </c>
      <c r="W2350" s="2" t="str">
        <f t="shared" si="1116"/>
        <v/>
      </c>
      <c r="X2350" s="2">
        <f t="shared" si="1112"/>
        <v>0</v>
      </c>
      <c r="Y2350" s="2" t="str">
        <f t="shared" si="1117"/>
        <v/>
      </c>
      <c r="Z2350" s="2" t="str">
        <f t="shared" si="1118"/>
        <v/>
      </c>
      <c r="AA2350" s="2" t="str">
        <f t="shared" si="1119"/>
        <v/>
      </c>
      <c r="AB2350" s="2">
        <f t="shared" si="1113"/>
        <v>0</v>
      </c>
      <c r="AC2350" s="625">
        <v>0</v>
      </c>
      <c r="AD2350" s="625">
        <v>0</v>
      </c>
      <c r="AE2350" s="625">
        <v>0</v>
      </c>
      <c r="AF2350" s="625">
        <v>0</v>
      </c>
      <c r="AG2350" s="625">
        <v>0</v>
      </c>
      <c r="AH2350" s="625">
        <v>0</v>
      </c>
      <c r="AI2350" s="625">
        <v>0</v>
      </c>
      <c r="AJ2350" s="625">
        <v>0</v>
      </c>
      <c r="AK2350" s="625">
        <v>0</v>
      </c>
      <c r="AL2350" s="625">
        <v>0</v>
      </c>
      <c r="AM2350" s="625">
        <v>0</v>
      </c>
      <c r="AN2350" s="625">
        <v>0</v>
      </c>
      <c r="AO2350" s="625">
        <v>0</v>
      </c>
      <c r="AP2350" s="41" t="str">
        <f t="shared" si="1105"/>
        <v>Def TaxR</v>
      </c>
      <c r="AQ2350" s="41" t="str">
        <f t="shared" si="1106"/>
        <v>Def TaxRR11NM2 Sale</v>
      </c>
      <c r="AR2350" s="41" t="str">
        <f t="shared" si="1107"/>
        <v>R11NM2 Sale</v>
      </c>
    </row>
    <row r="2351" spans="1:44" s="41" customFormat="1" ht="12.75" customHeight="1">
      <c r="A2351" s="25" t="s">
        <v>1590</v>
      </c>
      <c r="B2351" s="25" t="str">
        <f t="shared" si="1101"/>
        <v>Def Tax283500TCCBE030276</v>
      </c>
      <c r="C2351" s="736">
        <v>283500</v>
      </c>
      <c r="D2351" s="735" t="s">
        <v>1947</v>
      </c>
      <c r="E2351" s="41" t="s">
        <v>993</v>
      </c>
      <c r="F2351" s="41" t="str">
        <f t="shared" si="1120"/>
        <v>ADIT-OTH-REG-FEDERAL-ELECTRIC</v>
      </c>
      <c r="G2351" s="41" t="s">
        <v>2343</v>
      </c>
      <c r="H2351" s="736" t="s">
        <v>1145</v>
      </c>
      <c r="I2351" s="25"/>
      <c r="J2351" s="25" t="str">
        <f t="shared" si="1121"/>
        <v/>
      </c>
      <c r="K2351" s="442" t="str">
        <f t="shared" si="1103"/>
        <v/>
      </c>
      <c r="L2351" s="736" t="s">
        <v>2443</v>
      </c>
      <c r="M2351" s="25" t="str">
        <f t="shared" si="1108"/>
        <v>R</v>
      </c>
      <c r="N2351" s="25" t="str">
        <f>IF(L2351&lt;&gt;"",VLOOKUP(L2351,Categories!$B$2:$D$41,2,FALSE),IF(F2351&lt;&gt;"","No Cat",""))</f>
        <v>Rate Base</v>
      </c>
      <c r="O2351" s="25" t="str">
        <f>IF($L2351&lt;&gt;"",VLOOKUP($L2351,Categories!$B$2:$D$41,3,FALSE),IF($F2351&lt;&gt;"","No Cat",""))</f>
        <v>Deferred Income Taxes</v>
      </c>
      <c r="P2351" s="736" t="s">
        <v>2482</v>
      </c>
      <c r="Q2351" s="25" t="str">
        <f>VLOOKUP($P2351,Allocators!$B$7:$F$19,5,FALSE)</f>
        <v>Electric</v>
      </c>
      <c r="R2351" s="737">
        <f>VLOOKUP($P2351,Allocators!$B$7:$F$19,2,FALSE)</f>
        <v>1</v>
      </c>
      <c r="S2351" s="737">
        <f>VLOOKUP($P2351,Allocators!$B$7:$F$19,3,FALSE)</f>
        <v>0</v>
      </c>
      <c r="T2351" s="737" t="str">
        <f t="shared" si="1102"/>
        <v>0.0%</v>
      </c>
      <c r="U2351" s="2">
        <f t="shared" si="1114"/>
        <v>-8.6330899999999993</v>
      </c>
      <c r="V2351" s="2">
        <f t="shared" si="1115"/>
        <v>0</v>
      </c>
      <c r="W2351" s="2">
        <f t="shared" si="1116"/>
        <v>0</v>
      </c>
      <c r="X2351" s="2">
        <f t="shared" si="1112"/>
        <v>-8.6330899999999993</v>
      </c>
      <c r="Y2351" s="2">
        <f t="shared" si="1117"/>
        <v>-8.6330899999999993</v>
      </c>
      <c r="Z2351" s="2">
        <f t="shared" si="1118"/>
        <v>0</v>
      </c>
      <c r="AA2351" s="2">
        <f t="shared" si="1119"/>
        <v>0</v>
      </c>
      <c r="AB2351" s="2">
        <f t="shared" si="1113"/>
        <v>-8.6330899999999993</v>
      </c>
      <c r="AC2351" s="625">
        <v>-8.6330899999999993</v>
      </c>
      <c r="AD2351" s="625">
        <v>-8.6330899999999993</v>
      </c>
      <c r="AE2351" s="625">
        <v>-8.6330899999999993</v>
      </c>
      <c r="AF2351" s="625">
        <v>-8.6330899999999993</v>
      </c>
      <c r="AG2351" s="625">
        <v>-8.6330899999999993</v>
      </c>
      <c r="AH2351" s="625">
        <v>-8.6330899999999993</v>
      </c>
      <c r="AI2351" s="625">
        <v>-8.6330899999999993</v>
      </c>
      <c r="AJ2351" s="625">
        <v>-8.6330899999999993</v>
      </c>
      <c r="AK2351" s="625">
        <v>-8.6330899999999993</v>
      </c>
      <c r="AL2351" s="625">
        <v>-8.6330899999999993</v>
      </c>
      <c r="AM2351" s="625">
        <v>-8.6330899999999993</v>
      </c>
      <c r="AN2351" s="625">
        <v>-8.6330899999999993</v>
      </c>
      <c r="AO2351" s="625">
        <v>-8.6330899999999993</v>
      </c>
      <c r="AP2351" s="41" t="str">
        <f t="shared" si="1105"/>
        <v>Def TaxR</v>
      </c>
      <c r="AQ2351" s="41" t="str">
        <f t="shared" si="1106"/>
        <v>Def TaxRR11NM2 Sale</v>
      </c>
      <c r="AR2351" s="41" t="str">
        <f t="shared" si="1107"/>
        <v>R11NM2 Sale</v>
      </c>
    </row>
    <row r="2352" spans="1:44" s="41" customFormat="1" ht="12.75" customHeight="1">
      <c r="A2352" s="25" t="s">
        <v>1590</v>
      </c>
      <c r="B2352" s="25" t="str">
        <f t="shared" si="1101"/>
        <v>Def Tax283500190-018BTHUNGDT</v>
      </c>
      <c r="C2352" s="736">
        <v>283500</v>
      </c>
      <c r="D2352" s="735" t="s">
        <v>2344</v>
      </c>
      <c r="E2352" s="41" t="s">
        <v>1624</v>
      </c>
      <c r="F2352" s="41" t="str">
        <f t="shared" si="1120"/>
        <v>ADIT-OTH-REG-FEDERAL-ELECTRIC</v>
      </c>
      <c r="G2352" s="41" t="s">
        <v>2041</v>
      </c>
      <c r="H2352" s="736" t="s">
        <v>1946</v>
      </c>
      <c r="I2352" s="25"/>
      <c r="J2352" s="25" t="str">
        <f t="shared" si="1121"/>
        <v/>
      </c>
      <c r="K2352" s="442" t="str">
        <f t="shared" si="1103"/>
        <v/>
      </c>
      <c r="L2352" s="736" t="s">
        <v>2443</v>
      </c>
      <c r="M2352" s="25" t="str">
        <f t="shared" si="1108"/>
        <v>R</v>
      </c>
      <c r="N2352" s="25" t="str">
        <f>IF(L2352&lt;&gt;"",VLOOKUP(L2352,Categories!$B$2:$D$41,2,FALSE),IF(F2352&lt;&gt;"","No Cat",""))</f>
        <v>Rate Base</v>
      </c>
      <c r="O2352" s="25" t="str">
        <f>IF($L2352&lt;&gt;"",VLOOKUP($L2352,Categories!$B$2:$D$41,3,FALSE),IF($F2352&lt;&gt;"","No Cat",""))</f>
        <v>Deferred Income Taxes</v>
      </c>
      <c r="P2352" s="736" t="s">
        <v>2482</v>
      </c>
      <c r="Q2352" s="25" t="str">
        <f>VLOOKUP($P2352,Allocators!$B$7:$F$19,5,FALSE)</f>
        <v>Electric</v>
      </c>
      <c r="R2352" s="737">
        <f>VLOOKUP($P2352,Allocators!$B$7:$F$19,2,FALSE)</f>
        <v>1</v>
      </c>
      <c r="S2352" s="737">
        <f>VLOOKUP($P2352,Allocators!$B$7:$F$19,3,FALSE)</f>
        <v>0</v>
      </c>
      <c r="T2352" s="737" t="str">
        <f t="shared" si="1102"/>
        <v>0.0%</v>
      </c>
      <c r="U2352" s="2" t="str">
        <f t="shared" si="1114"/>
        <v/>
      </c>
      <c r="V2352" s="2" t="str">
        <f t="shared" si="1115"/>
        <v/>
      </c>
      <c r="W2352" s="2" t="str">
        <f t="shared" si="1116"/>
        <v/>
      </c>
      <c r="X2352" s="2">
        <f t="shared" si="1112"/>
        <v>0</v>
      </c>
      <c r="Y2352" s="2" t="str">
        <f t="shared" si="1117"/>
        <v/>
      </c>
      <c r="Z2352" s="2" t="str">
        <f t="shared" si="1118"/>
        <v/>
      </c>
      <c r="AA2352" s="2" t="str">
        <f t="shared" si="1119"/>
        <v/>
      </c>
      <c r="AB2352" s="2">
        <f t="shared" si="1113"/>
        <v>0</v>
      </c>
      <c r="AC2352" s="625">
        <v>0</v>
      </c>
      <c r="AD2352" s="625">
        <v>0</v>
      </c>
      <c r="AE2352" s="625">
        <v>0</v>
      </c>
      <c r="AF2352" s="625">
        <v>0</v>
      </c>
      <c r="AG2352" s="625">
        <v>0</v>
      </c>
      <c r="AH2352" s="625">
        <v>0</v>
      </c>
      <c r="AI2352" s="625">
        <v>0</v>
      </c>
      <c r="AJ2352" s="625">
        <v>0</v>
      </c>
      <c r="AK2352" s="625">
        <v>0</v>
      </c>
      <c r="AL2352" s="625">
        <v>0</v>
      </c>
      <c r="AM2352" s="625">
        <v>0</v>
      </c>
      <c r="AN2352" s="625">
        <v>0</v>
      </c>
      <c r="AO2352" s="625">
        <v>0</v>
      </c>
      <c r="AP2352" s="41" t="str">
        <f t="shared" si="1105"/>
        <v>Def TaxR</v>
      </c>
      <c r="AQ2352" s="41" t="str">
        <f t="shared" si="1106"/>
        <v>Def TaxRR11NM2 Related</v>
      </c>
      <c r="AR2352" s="41" t="str">
        <f t="shared" si="1107"/>
        <v>R11NM2 Related</v>
      </c>
    </row>
    <row r="2353" spans="1:44" s="41" customFormat="1" ht="12.75" customHeight="1">
      <c r="A2353" s="25" t="s">
        <v>1590</v>
      </c>
      <c r="B2353" s="25" t="str">
        <f t="shared" ref="B2353:B2420" si="1129">CONCATENATE(A2353,C2353,D2353,E2353)</f>
        <v>Def Tax283500283-090BT010273</v>
      </c>
      <c r="C2353" s="736">
        <v>283500</v>
      </c>
      <c r="D2353" s="735" t="s">
        <v>2345</v>
      </c>
      <c r="E2353" s="41" t="s">
        <v>2346</v>
      </c>
      <c r="F2353" s="41" t="str">
        <f t="shared" si="1120"/>
        <v>ADIT-OTH-REG-FEDERAL-ELECTRIC</v>
      </c>
      <c r="G2353" s="41" t="s">
        <v>2347</v>
      </c>
      <c r="H2353" s="736" t="s">
        <v>1126</v>
      </c>
      <c r="I2353" s="25"/>
      <c r="J2353" s="25" t="str">
        <f t="shared" si="1121"/>
        <v/>
      </c>
      <c r="K2353" s="442" t="str">
        <f t="shared" si="1103"/>
        <v/>
      </c>
      <c r="L2353" s="736" t="s">
        <v>2443</v>
      </c>
      <c r="M2353" s="25" t="str">
        <f t="shared" si="1108"/>
        <v>R</v>
      </c>
      <c r="N2353" s="25" t="str">
        <f>IF(L2353&lt;&gt;"",VLOOKUP(L2353,Categories!$B$2:$D$41,2,FALSE),IF(F2353&lt;&gt;"","No Cat",""))</f>
        <v>Rate Base</v>
      </c>
      <c r="O2353" s="25" t="str">
        <f>IF($L2353&lt;&gt;"",VLOOKUP($L2353,Categories!$B$2:$D$41,3,FALSE),IF($F2353&lt;&gt;"","No Cat",""))</f>
        <v>Deferred Income Taxes</v>
      </c>
      <c r="P2353" s="736" t="s">
        <v>2482</v>
      </c>
      <c r="Q2353" s="25" t="str">
        <f>VLOOKUP($P2353,Allocators!$B$7:$F$19,5,FALSE)</f>
        <v>Electric</v>
      </c>
      <c r="R2353" s="737">
        <f>VLOOKUP($P2353,Allocators!$B$7:$F$19,2,FALSE)</f>
        <v>1</v>
      </c>
      <c r="S2353" s="737">
        <f>VLOOKUP($P2353,Allocators!$B$7:$F$19,3,FALSE)</f>
        <v>0</v>
      </c>
      <c r="T2353" s="737" t="str">
        <f t="shared" si="1102"/>
        <v>0.0%</v>
      </c>
      <c r="U2353" s="2">
        <f t="shared" si="1114"/>
        <v>3.6999999999999999E-4</v>
      </c>
      <c r="V2353" s="2">
        <f t="shared" si="1115"/>
        <v>0</v>
      </c>
      <c r="W2353" s="2">
        <f t="shared" si="1116"/>
        <v>0</v>
      </c>
      <c r="X2353" s="2">
        <f t="shared" si="1112"/>
        <v>3.6999999999999999E-4</v>
      </c>
      <c r="Y2353" s="2">
        <f t="shared" si="1117"/>
        <v>3.6999999999999999E-4</v>
      </c>
      <c r="Z2353" s="2">
        <f t="shared" si="1118"/>
        <v>0</v>
      </c>
      <c r="AA2353" s="2">
        <f t="shared" si="1119"/>
        <v>0</v>
      </c>
      <c r="AB2353" s="2">
        <f t="shared" si="1113"/>
        <v>3.6999999999999999E-4</v>
      </c>
      <c r="AC2353" s="625">
        <v>3.6999999999999999E-4</v>
      </c>
      <c r="AD2353" s="625">
        <v>3.6999999999999999E-4</v>
      </c>
      <c r="AE2353" s="625">
        <v>3.6999999999999999E-4</v>
      </c>
      <c r="AF2353" s="625">
        <v>3.6999999999999999E-4</v>
      </c>
      <c r="AG2353" s="625">
        <v>3.6999999999999999E-4</v>
      </c>
      <c r="AH2353" s="625">
        <v>3.6999999999999999E-4</v>
      </c>
      <c r="AI2353" s="625">
        <v>3.6999999999999999E-4</v>
      </c>
      <c r="AJ2353" s="625">
        <v>3.6999999999999999E-4</v>
      </c>
      <c r="AK2353" s="625">
        <v>3.6999999999999999E-4</v>
      </c>
      <c r="AL2353" s="625">
        <v>3.6999999999999999E-4</v>
      </c>
      <c r="AM2353" s="625">
        <v>3.6999999999999999E-4</v>
      </c>
      <c r="AN2353" s="625">
        <v>3.6999999999999999E-4</v>
      </c>
      <c r="AO2353" s="625">
        <v>3.6999999999999999E-4</v>
      </c>
      <c r="AP2353" s="41" t="str">
        <f t="shared" si="1105"/>
        <v>Def TaxR</v>
      </c>
      <c r="AQ2353" s="41" t="str">
        <f t="shared" si="1106"/>
        <v>Def TaxRR11NYS Tax Audit</v>
      </c>
      <c r="AR2353" s="41" t="str">
        <f t="shared" si="1107"/>
        <v>R11NYS Tax Audit</v>
      </c>
    </row>
    <row r="2354" spans="1:44" s="41" customFormat="1" ht="12.75" customHeight="1">
      <c r="A2354" s="25" t="s">
        <v>1590</v>
      </c>
      <c r="B2354" s="25" t="str">
        <f t="shared" si="1129"/>
        <v>Def Tax283500283-058BE030270</v>
      </c>
      <c r="C2354" s="736">
        <v>283500</v>
      </c>
      <c r="D2354" s="735" t="s">
        <v>2124</v>
      </c>
      <c r="E2354" s="41" t="s">
        <v>985</v>
      </c>
      <c r="F2354" s="41" t="str">
        <f t="shared" si="1120"/>
        <v>ADIT-OTH-REG-FEDERAL-ELECTRIC</v>
      </c>
      <c r="G2354" s="41" t="s">
        <v>2061</v>
      </c>
      <c r="H2354" s="736" t="s">
        <v>1139</v>
      </c>
      <c r="I2354" s="25"/>
      <c r="J2354" s="25" t="str">
        <f t="shared" si="1121"/>
        <v/>
      </c>
      <c r="K2354" s="442" t="str">
        <f t="shared" si="1103"/>
        <v/>
      </c>
      <c r="L2354" s="736" t="s">
        <v>2443</v>
      </c>
      <c r="M2354" s="25" t="str">
        <f t="shared" si="1108"/>
        <v>R</v>
      </c>
      <c r="N2354" s="25" t="str">
        <f>IF(L2354&lt;&gt;"",VLOOKUP(L2354,Categories!$B$2:$D$41,2,FALSE),IF(F2354&lt;&gt;"","No Cat",""))</f>
        <v>Rate Base</v>
      </c>
      <c r="O2354" s="25" t="str">
        <f>IF($L2354&lt;&gt;"",VLOOKUP($L2354,Categories!$B$2:$D$41,3,FALSE),IF($F2354&lt;&gt;"","No Cat",""))</f>
        <v>Deferred Income Taxes</v>
      </c>
      <c r="P2354" s="736" t="s">
        <v>2482</v>
      </c>
      <c r="Q2354" s="25" t="str">
        <f>VLOOKUP($P2354,Allocators!$B$7:$F$19,5,FALSE)</f>
        <v>Electric</v>
      </c>
      <c r="R2354" s="737">
        <f>VLOOKUP($P2354,Allocators!$B$7:$F$19,2,FALSE)</f>
        <v>1</v>
      </c>
      <c r="S2354" s="737">
        <f>VLOOKUP($P2354,Allocators!$B$7:$F$19,3,FALSE)</f>
        <v>0</v>
      </c>
      <c r="T2354" s="737" t="str">
        <f t="shared" si="1102"/>
        <v>0.0%</v>
      </c>
      <c r="U2354" s="2">
        <f t="shared" si="1114"/>
        <v>134.82772</v>
      </c>
      <c r="V2354" s="2">
        <f t="shared" si="1115"/>
        <v>0</v>
      </c>
      <c r="W2354" s="2">
        <f t="shared" si="1116"/>
        <v>0</v>
      </c>
      <c r="X2354" s="2">
        <f t="shared" si="1112"/>
        <v>134.82772</v>
      </c>
      <c r="Y2354" s="2">
        <f t="shared" si="1117"/>
        <v>134.82772</v>
      </c>
      <c r="Z2354" s="2">
        <f t="shared" si="1118"/>
        <v>0</v>
      </c>
      <c r="AA2354" s="2">
        <f t="shared" si="1119"/>
        <v>0</v>
      </c>
      <c r="AB2354" s="2">
        <f t="shared" si="1113"/>
        <v>134.82772</v>
      </c>
      <c r="AC2354" s="625">
        <v>134.82772</v>
      </c>
      <c r="AD2354" s="625">
        <v>134.82772</v>
      </c>
      <c r="AE2354" s="625">
        <v>134.82772</v>
      </c>
      <c r="AF2354" s="625">
        <v>134.82772</v>
      </c>
      <c r="AG2354" s="625">
        <v>134.82772</v>
      </c>
      <c r="AH2354" s="625">
        <v>134.82772</v>
      </c>
      <c r="AI2354" s="625">
        <v>134.82772</v>
      </c>
      <c r="AJ2354" s="625">
        <v>134.82772</v>
      </c>
      <c r="AK2354" s="625">
        <v>134.82772</v>
      </c>
      <c r="AL2354" s="625">
        <v>134.82772</v>
      </c>
      <c r="AM2354" s="625">
        <v>134.82772</v>
      </c>
      <c r="AN2354" s="625">
        <v>134.82772</v>
      </c>
      <c r="AO2354" s="625">
        <v>134.82772</v>
      </c>
      <c r="AP2354" s="41" t="str">
        <f t="shared" si="1105"/>
        <v>Def TaxR</v>
      </c>
      <c r="AQ2354" s="41" t="str">
        <f t="shared" si="1106"/>
        <v>Def TaxRR11Oswego</v>
      </c>
      <c r="AR2354" s="41" t="str">
        <f t="shared" si="1107"/>
        <v>R11Oswego</v>
      </c>
    </row>
    <row r="2355" spans="1:44" s="41" customFormat="1" ht="12.75" customHeight="1">
      <c r="A2355" s="25" t="s">
        <v>1590</v>
      </c>
      <c r="B2355" s="25" t="str">
        <f t="shared" si="1129"/>
        <v>Def Tax283500283-058-SBE030270</v>
      </c>
      <c r="C2355" s="736">
        <v>283500</v>
      </c>
      <c r="D2355" s="735" t="s">
        <v>2348</v>
      </c>
      <c r="E2355" s="41" t="s">
        <v>985</v>
      </c>
      <c r="F2355" s="41" t="str">
        <f t="shared" si="1120"/>
        <v>ADIT-OTH-REG-FEDERAL-ELECTRIC</v>
      </c>
      <c r="G2355" s="41" t="s">
        <v>2061</v>
      </c>
      <c r="H2355" s="736" t="s">
        <v>1139</v>
      </c>
      <c r="I2355" s="25"/>
      <c r="J2355" s="25" t="str">
        <f t="shared" si="1121"/>
        <v/>
      </c>
      <c r="K2355" s="442" t="str">
        <f t="shared" si="1103"/>
        <v/>
      </c>
      <c r="L2355" s="736" t="s">
        <v>2443</v>
      </c>
      <c r="M2355" s="25" t="str">
        <f t="shared" si="1108"/>
        <v>R</v>
      </c>
      <c r="N2355" s="25" t="str">
        <f>IF(L2355&lt;&gt;"",VLOOKUP(L2355,Categories!$B$2:$D$41,2,FALSE),IF(F2355&lt;&gt;"","No Cat",""))</f>
        <v>Rate Base</v>
      </c>
      <c r="O2355" s="25" t="str">
        <f>IF($L2355&lt;&gt;"",VLOOKUP($L2355,Categories!$B$2:$D$41,3,FALSE),IF($F2355&lt;&gt;"","No Cat",""))</f>
        <v>Deferred Income Taxes</v>
      </c>
      <c r="P2355" s="736" t="s">
        <v>2482</v>
      </c>
      <c r="Q2355" s="25" t="str">
        <f>VLOOKUP($P2355,Allocators!$B$7:$F$19,5,FALSE)</f>
        <v>Electric</v>
      </c>
      <c r="R2355" s="737">
        <f>VLOOKUP($P2355,Allocators!$B$7:$F$19,2,FALSE)</f>
        <v>1</v>
      </c>
      <c r="S2355" s="737">
        <f>VLOOKUP($P2355,Allocators!$B$7:$F$19,3,FALSE)</f>
        <v>0</v>
      </c>
      <c r="T2355" s="737" t="str">
        <f t="shared" si="1102"/>
        <v>0.0%</v>
      </c>
      <c r="U2355" s="2" t="str">
        <f t="shared" si="1114"/>
        <v/>
      </c>
      <c r="V2355" s="2" t="str">
        <f t="shared" si="1115"/>
        <v/>
      </c>
      <c r="W2355" s="2" t="str">
        <f t="shared" si="1116"/>
        <v/>
      </c>
      <c r="X2355" s="2">
        <f t="shared" si="1112"/>
        <v>0</v>
      </c>
      <c r="Y2355" s="2" t="str">
        <f t="shared" si="1117"/>
        <v/>
      </c>
      <c r="Z2355" s="2" t="str">
        <f t="shared" si="1118"/>
        <v/>
      </c>
      <c r="AA2355" s="2" t="str">
        <f t="shared" si="1119"/>
        <v/>
      </c>
      <c r="AB2355" s="2">
        <f t="shared" si="1113"/>
        <v>0</v>
      </c>
      <c r="AC2355" s="625">
        <v>0</v>
      </c>
      <c r="AD2355" s="625">
        <v>0</v>
      </c>
      <c r="AE2355" s="625">
        <v>0</v>
      </c>
      <c r="AF2355" s="625">
        <v>0</v>
      </c>
      <c r="AG2355" s="625">
        <v>0</v>
      </c>
      <c r="AH2355" s="625">
        <v>0</v>
      </c>
      <c r="AI2355" s="625">
        <v>0</v>
      </c>
      <c r="AJ2355" s="625">
        <v>0</v>
      </c>
      <c r="AK2355" s="625">
        <v>0</v>
      </c>
      <c r="AL2355" s="625">
        <v>0</v>
      </c>
      <c r="AM2355" s="625">
        <v>0</v>
      </c>
      <c r="AN2355" s="625">
        <v>0</v>
      </c>
      <c r="AO2355" s="625">
        <v>0</v>
      </c>
      <c r="AP2355" s="41" t="str">
        <f t="shared" si="1105"/>
        <v>Def TaxR</v>
      </c>
      <c r="AQ2355" s="41" t="str">
        <f t="shared" si="1106"/>
        <v>Def TaxRR11Oswego</v>
      </c>
      <c r="AR2355" s="41" t="str">
        <f t="shared" si="1107"/>
        <v>R11Oswego</v>
      </c>
    </row>
    <row r="2356" spans="1:44" s="41" customFormat="1" ht="12.75" customHeight="1">
      <c r="A2356" s="25" t="s">
        <v>1590</v>
      </c>
      <c r="B2356" s="25" t="str">
        <f t="shared" si="1129"/>
        <v>Def Tax283500190-095-JPBT010156</v>
      </c>
      <c r="C2356" s="736">
        <v>283500</v>
      </c>
      <c r="D2356" s="735" t="s">
        <v>1756</v>
      </c>
      <c r="E2356" s="41" t="s">
        <v>2349</v>
      </c>
      <c r="F2356" s="41" t="str">
        <f t="shared" si="1120"/>
        <v>ADIT-OTH-REG-FEDERAL-ELECTRIC</v>
      </c>
      <c r="G2356" s="41" t="s">
        <v>1757</v>
      </c>
      <c r="H2356" s="736" t="s">
        <v>815</v>
      </c>
      <c r="I2356" s="25"/>
      <c r="J2356" s="25" t="str">
        <f t="shared" si="1121"/>
        <v/>
      </c>
      <c r="K2356" s="442" t="str">
        <f t="shared" si="1103"/>
        <v/>
      </c>
      <c r="L2356" s="736" t="s">
        <v>2443</v>
      </c>
      <c r="M2356" s="25" t="str">
        <f t="shared" si="1108"/>
        <v>R</v>
      </c>
      <c r="N2356" s="25" t="str">
        <f>IF(L2356&lt;&gt;"",VLOOKUP(L2356,Categories!$B$2:$D$41,2,FALSE),IF(F2356&lt;&gt;"","No Cat",""))</f>
        <v>Rate Base</v>
      </c>
      <c r="O2356" s="25" t="str">
        <f>IF($L2356&lt;&gt;"",VLOOKUP($L2356,Categories!$B$2:$D$41,3,FALSE),IF($F2356&lt;&gt;"","No Cat",""))</f>
        <v>Deferred Income Taxes</v>
      </c>
      <c r="P2356" s="736" t="s">
        <v>2482</v>
      </c>
      <c r="Q2356" s="25" t="str">
        <f>VLOOKUP($P2356,Allocators!$B$7:$F$19,5,FALSE)</f>
        <v>Electric</v>
      </c>
      <c r="R2356" s="737">
        <f>VLOOKUP($P2356,Allocators!$B$7:$F$19,2,FALSE)</f>
        <v>1</v>
      </c>
      <c r="S2356" s="737">
        <f>VLOOKUP($P2356,Allocators!$B$7:$F$19,3,FALSE)</f>
        <v>0</v>
      </c>
      <c r="T2356" s="737" t="str">
        <f t="shared" si="1102"/>
        <v>0.0%</v>
      </c>
      <c r="U2356" s="2">
        <f t="shared" si="1114"/>
        <v>1.2999999999999999E-4</v>
      </c>
      <c r="V2356" s="2">
        <f t="shared" si="1115"/>
        <v>0</v>
      </c>
      <c r="W2356" s="2">
        <f t="shared" si="1116"/>
        <v>0</v>
      </c>
      <c r="X2356" s="2">
        <f t="shared" si="1112"/>
        <v>1.2999999999999999E-4</v>
      </c>
      <c r="Y2356" s="2">
        <f t="shared" si="1117"/>
        <v>1.2999999999999999E-4</v>
      </c>
      <c r="Z2356" s="2">
        <f t="shared" si="1118"/>
        <v>0</v>
      </c>
      <c r="AA2356" s="2">
        <f t="shared" si="1119"/>
        <v>0</v>
      </c>
      <c r="AB2356" s="2">
        <f t="shared" si="1113"/>
        <v>1.3000000000000002E-4</v>
      </c>
      <c r="AC2356" s="625">
        <v>1.3000000000000002E-4</v>
      </c>
      <c r="AD2356" s="625">
        <v>1.3000000000000002E-4</v>
      </c>
      <c r="AE2356" s="625">
        <v>1.3000000000000002E-4</v>
      </c>
      <c r="AF2356" s="625">
        <v>1.3000000000000002E-4</v>
      </c>
      <c r="AG2356" s="625">
        <v>1.3000000000000002E-4</v>
      </c>
      <c r="AH2356" s="625">
        <v>1.3000000000000002E-4</v>
      </c>
      <c r="AI2356" s="625">
        <v>1.3000000000000002E-4</v>
      </c>
      <c r="AJ2356" s="625">
        <v>1.3000000000000002E-4</v>
      </c>
      <c r="AK2356" s="625">
        <v>1.3000000000000002E-4</v>
      </c>
      <c r="AL2356" s="625">
        <v>1.3000000000000002E-4</v>
      </c>
      <c r="AM2356" s="625">
        <v>1.3000000000000002E-4</v>
      </c>
      <c r="AN2356" s="625">
        <v>1.3000000000000002E-4</v>
      </c>
      <c r="AO2356" s="625">
        <v>1.3000000000000002E-4</v>
      </c>
      <c r="AP2356" s="41" t="str">
        <f t="shared" si="1105"/>
        <v>Def TaxR</v>
      </c>
      <c r="AQ2356" s="41" t="str">
        <f t="shared" si="1106"/>
        <v>Def TaxRR11Outreach &amp; Education</v>
      </c>
      <c r="AR2356" s="41" t="str">
        <f t="shared" si="1107"/>
        <v>R11Outreach &amp; Education</v>
      </c>
    </row>
    <row r="2357" spans="1:44" s="41" customFormat="1" ht="12.75" customHeight="1">
      <c r="A2357" s="442" t="s">
        <v>1590</v>
      </c>
      <c r="B2357" s="442" t="str">
        <f t="shared" si="1129"/>
        <v>Def Tax283500PASGA2BT010157</v>
      </c>
      <c r="C2357" s="736">
        <v>283500</v>
      </c>
      <c r="D2357" s="735" t="s">
        <v>2214</v>
      </c>
      <c r="E2357" s="626" t="s">
        <v>1463</v>
      </c>
      <c r="F2357" s="626" t="str">
        <f t="shared" si="1120"/>
        <v>ADIT-OTH-REG-FEDERAL-ELECTRIC</v>
      </c>
      <c r="G2357" s="626" t="s">
        <v>2215</v>
      </c>
      <c r="H2357" s="736" t="s">
        <v>1330</v>
      </c>
      <c r="I2357" s="442"/>
      <c r="J2357" s="442" t="str">
        <f t="shared" si="1121"/>
        <v/>
      </c>
      <c r="K2357" s="442" t="str">
        <f t="shared" si="1103"/>
        <v/>
      </c>
      <c r="L2357" s="736" t="s">
        <v>2421</v>
      </c>
      <c r="M2357" s="442" t="str">
        <f t="shared" si="1108"/>
        <v>N</v>
      </c>
      <c r="N2357" s="442" t="str">
        <f>IF(L2357&lt;&gt;"",VLOOKUP(L2357,Categories!$B$2:$D$41,2,FALSE),IF(F2357&lt;&gt;"","No Cat",""))</f>
        <v>NRBASE</v>
      </c>
      <c r="O2357" s="442" t="str">
        <f>IF($L2357&lt;&gt;"",VLOOKUP($L2357,Categories!$B$2:$D$41,3,FALSE),IF($F2357&lt;&gt;"","No Cat",""))</f>
        <v>Direct Assign Items Not in RB</v>
      </c>
      <c r="P2357" s="736" t="s">
        <v>2468</v>
      </c>
      <c r="Q2357" s="442" t="str">
        <f>VLOOKUP($P2357,Allocators!$B$7:$F$19,5,FALSE)</f>
        <v>Not in Rate Base</v>
      </c>
      <c r="R2357" s="737">
        <f>VLOOKUP($P2357,Allocators!$B$7:$F$19,2,FALSE)</f>
        <v>0</v>
      </c>
      <c r="S2357" s="737">
        <f>VLOOKUP($P2357,Allocators!$B$7:$F$19,3,FALSE)</f>
        <v>0</v>
      </c>
      <c r="T2357" s="737">
        <f t="shared" si="1102"/>
        <v>1</v>
      </c>
      <c r="U2357" s="2">
        <f t="shared" si="1114"/>
        <v>0</v>
      </c>
      <c r="V2357" s="2">
        <f t="shared" si="1115"/>
        <v>0</v>
      </c>
      <c r="W2357" s="2">
        <f t="shared" si="1116"/>
        <v>-1670.42382</v>
      </c>
      <c r="X2357" s="2">
        <f t="shared" si="1112"/>
        <v>-1670.42382</v>
      </c>
      <c r="Y2357" s="2">
        <f t="shared" si="1117"/>
        <v>0</v>
      </c>
      <c r="Z2357" s="2">
        <f t="shared" si="1118"/>
        <v>0</v>
      </c>
      <c r="AA2357" s="2">
        <f t="shared" si="1119"/>
        <v>-1673.03153</v>
      </c>
      <c r="AB2357" s="2">
        <f t="shared" si="1113"/>
        <v>-1673.03153</v>
      </c>
      <c r="AC2357" s="625">
        <v>-1670.0512900000001</v>
      </c>
      <c r="AD2357" s="625">
        <v>-1670.0512900000001</v>
      </c>
      <c r="AE2357" s="625">
        <v>-1670.0512900000001</v>
      </c>
      <c r="AF2357" s="625">
        <v>-1670.0512900000001</v>
      </c>
      <c r="AG2357" s="625">
        <v>-1670.0512900000001</v>
      </c>
      <c r="AH2357" s="625">
        <v>-1670.0512900000001</v>
      </c>
      <c r="AI2357" s="625">
        <v>-1670.0512900000001</v>
      </c>
      <c r="AJ2357" s="625">
        <v>-1670.0512900000001</v>
      </c>
      <c r="AK2357" s="625">
        <v>-1670.0512900000001</v>
      </c>
      <c r="AL2357" s="625">
        <v>-1670.0512900000001</v>
      </c>
      <c r="AM2357" s="625">
        <v>-1670.0512900000001</v>
      </c>
      <c r="AN2357" s="625">
        <v>-1673.03153</v>
      </c>
      <c r="AO2357" s="625">
        <v>-1673.03153</v>
      </c>
      <c r="AP2357" s="41" t="str">
        <f t="shared" si="1105"/>
        <v>Def TaxN</v>
      </c>
      <c r="AQ2357" s="41" t="str">
        <f t="shared" si="1106"/>
        <v>Def TaxNN2ASGA</v>
      </c>
      <c r="AR2357" s="41" t="str">
        <f t="shared" si="1107"/>
        <v>N2ASGA</v>
      </c>
    </row>
    <row r="2358" spans="1:44" s="41" customFormat="1" ht="12.75" customHeight="1">
      <c r="A2358" s="25" t="s">
        <v>1590</v>
      </c>
      <c r="B2358" s="25" t="str">
        <f t="shared" si="1129"/>
        <v>Def Tax283500FAS 158 SFASBC030561</v>
      </c>
      <c r="C2358" s="736">
        <v>283500</v>
      </c>
      <c r="D2358" s="735" t="s">
        <v>1961</v>
      </c>
      <c r="E2358" s="41" t="s">
        <v>980</v>
      </c>
      <c r="F2358" s="41" t="str">
        <f t="shared" si="1120"/>
        <v>ADIT-OTH-REG-FEDERAL-ELECTRIC</v>
      </c>
      <c r="G2358" s="41" t="s">
        <v>1962</v>
      </c>
      <c r="H2358" s="736" t="s">
        <v>1673</v>
      </c>
      <c r="I2358" s="25"/>
      <c r="J2358" s="25" t="str">
        <f t="shared" si="1121"/>
        <v/>
      </c>
      <c r="K2358" s="442" t="str">
        <f t="shared" si="1103"/>
        <v/>
      </c>
      <c r="L2358" s="736" t="s">
        <v>2443</v>
      </c>
      <c r="M2358" s="25" t="str">
        <f t="shared" si="1108"/>
        <v>R</v>
      </c>
      <c r="N2358" s="25" t="str">
        <f>IF(L2358&lt;&gt;"",VLOOKUP(L2358,Categories!$B$2:$D$41,2,FALSE),IF(F2358&lt;&gt;"","No Cat",""))</f>
        <v>Rate Base</v>
      </c>
      <c r="O2358" s="25" t="str">
        <f>IF($L2358&lt;&gt;"",VLOOKUP($L2358,Categories!$B$2:$D$41,3,FALSE),IF($F2358&lt;&gt;"","No Cat",""))</f>
        <v>Deferred Income Taxes</v>
      </c>
      <c r="P2358" s="736" t="s">
        <v>2482</v>
      </c>
      <c r="Q2358" s="25" t="str">
        <f>VLOOKUP($P2358,Allocators!$B$7:$F$19,5,FALSE)</f>
        <v>Electric</v>
      </c>
      <c r="R2358" s="737">
        <f>VLOOKUP($P2358,Allocators!$B$7:$F$19,2,FALSE)</f>
        <v>1</v>
      </c>
      <c r="S2358" s="737">
        <f>VLOOKUP($P2358,Allocators!$B$7:$F$19,3,FALSE)</f>
        <v>0</v>
      </c>
      <c r="T2358" s="737" t="str">
        <f t="shared" si="1102"/>
        <v>0.0%</v>
      </c>
      <c r="U2358" s="2" t="str">
        <f t="shared" si="1114"/>
        <v/>
      </c>
      <c r="V2358" s="2" t="str">
        <f t="shared" si="1115"/>
        <v/>
      </c>
      <c r="W2358" s="2" t="str">
        <f t="shared" si="1116"/>
        <v/>
      </c>
      <c r="X2358" s="2">
        <f t="shared" si="1112"/>
        <v>0</v>
      </c>
      <c r="Y2358" s="2" t="str">
        <f t="shared" si="1117"/>
        <v/>
      </c>
      <c r="Z2358" s="2" t="str">
        <f t="shared" si="1118"/>
        <v/>
      </c>
      <c r="AA2358" s="2" t="str">
        <f t="shared" si="1119"/>
        <v/>
      </c>
      <c r="AB2358" s="2">
        <f t="shared" si="1113"/>
        <v>0</v>
      </c>
      <c r="AC2358" s="625">
        <v>0</v>
      </c>
      <c r="AD2358" s="625">
        <v>0</v>
      </c>
      <c r="AE2358" s="625">
        <v>0</v>
      </c>
      <c r="AF2358" s="625">
        <v>0</v>
      </c>
      <c r="AG2358" s="625">
        <v>0</v>
      </c>
      <c r="AH2358" s="625">
        <v>0</v>
      </c>
      <c r="AI2358" s="625">
        <v>0</v>
      </c>
      <c r="AJ2358" s="625">
        <v>0</v>
      </c>
      <c r="AK2358" s="625">
        <v>0</v>
      </c>
      <c r="AL2358" s="625">
        <v>0</v>
      </c>
      <c r="AM2358" s="625">
        <v>0</v>
      </c>
      <c r="AN2358" s="625">
        <v>0</v>
      </c>
      <c r="AO2358" s="625">
        <v>0</v>
      </c>
      <c r="AP2358" s="41" t="str">
        <f t="shared" si="1105"/>
        <v>Def TaxR</v>
      </c>
      <c r="AQ2358" s="41" t="str">
        <f t="shared" si="1106"/>
        <v>Def TaxRR11Pension</v>
      </c>
      <c r="AR2358" s="41" t="str">
        <f t="shared" si="1107"/>
        <v>R11Pension</v>
      </c>
    </row>
    <row r="2359" spans="1:44" s="41" customFormat="1" ht="12.75" customHeight="1">
      <c r="A2359" s="25" t="s">
        <v>1590</v>
      </c>
      <c r="B2359" s="25" t="str">
        <f t="shared" si="1129"/>
        <v>Def Tax283500190-015-FAS 158 FBT030562</v>
      </c>
      <c r="C2359" s="736">
        <v>283500</v>
      </c>
      <c r="D2359" s="735" t="s">
        <v>2350</v>
      </c>
      <c r="E2359" s="41" t="s">
        <v>1839</v>
      </c>
      <c r="F2359" s="41" t="str">
        <f t="shared" si="1120"/>
        <v>ADIT-OTH-REG-FEDERAL-ELECTRIC</v>
      </c>
      <c r="G2359" s="41" t="s">
        <v>2351</v>
      </c>
      <c r="H2359" s="736" t="s">
        <v>812</v>
      </c>
      <c r="I2359" s="25"/>
      <c r="J2359" s="25" t="str">
        <f t="shared" si="1121"/>
        <v/>
      </c>
      <c r="K2359" s="442" t="str">
        <f t="shared" si="1103"/>
        <v/>
      </c>
      <c r="L2359" s="736" t="s">
        <v>2443</v>
      </c>
      <c r="M2359" s="25" t="str">
        <f t="shared" si="1108"/>
        <v>R</v>
      </c>
      <c r="N2359" s="25" t="str">
        <f>IF(L2359&lt;&gt;"",VLOOKUP(L2359,Categories!$B$2:$D$41,2,FALSE),IF(F2359&lt;&gt;"","No Cat",""))</f>
        <v>Rate Base</v>
      </c>
      <c r="O2359" s="25" t="str">
        <f>IF($L2359&lt;&gt;"",VLOOKUP($L2359,Categories!$B$2:$D$41,3,FALSE),IF($F2359&lt;&gt;"","No Cat",""))</f>
        <v>Deferred Income Taxes</v>
      </c>
      <c r="P2359" s="736" t="s">
        <v>2482</v>
      </c>
      <c r="Q2359" s="25" t="str">
        <f>VLOOKUP($P2359,Allocators!$B$7:$F$19,5,FALSE)</f>
        <v>Electric</v>
      </c>
      <c r="R2359" s="737">
        <f>VLOOKUP($P2359,Allocators!$B$7:$F$19,2,FALSE)</f>
        <v>1</v>
      </c>
      <c r="S2359" s="737">
        <f>VLOOKUP($P2359,Allocators!$B$7:$F$19,3,FALSE)</f>
        <v>0</v>
      </c>
      <c r="T2359" s="737" t="str">
        <f t="shared" si="1102"/>
        <v>0.0%</v>
      </c>
      <c r="U2359" s="2" t="str">
        <f t="shared" si="1114"/>
        <v/>
      </c>
      <c r="V2359" s="2" t="str">
        <f t="shared" si="1115"/>
        <v/>
      </c>
      <c r="W2359" s="2" t="str">
        <f t="shared" si="1116"/>
        <v/>
      </c>
      <c r="X2359" s="2">
        <f t="shared" si="1112"/>
        <v>0</v>
      </c>
      <c r="Y2359" s="2" t="str">
        <f t="shared" si="1117"/>
        <v/>
      </c>
      <c r="Z2359" s="2" t="str">
        <f t="shared" si="1118"/>
        <v/>
      </c>
      <c r="AA2359" s="2" t="str">
        <f t="shared" si="1119"/>
        <v/>
      </c>
      <c r="AB2359" s="2">
        <f t="shared" si="1113"/>
        <v>0</v>
      </c>
      <c r="AC2359" s="625">
        <v>0</v>
      </c>
      <c r="AD2359" s="625">
        <v>0</v>
      </c>
      <c r="AE2359" s="625">
        <v>0</v>
      </c>
      <c r="AF2359" s="625">
        <v>0</v>
      </c>
      <c r="AG2359" s="625">
        <v>0</v>
      </c>
      <c r="AH2359" s="625">
        <v>0</v>
      </c>
      <c r="AI2359" s="625">
        <v>0</v>
      </c>
      <c r="AJ2359" s="625">
        <v>0</v>
      </c>
      <c r="AK2359" s="625">
        <v>0</v>
      </c>
      <c r="AL2359" s="625">
        <v>0</v>
      </c>
      <c r="AM2359" s="625">
        <v>0</v>
      </c>
      <c r="AN2359" s="625">
        <v>0</v>
      </c>
      <c r="AO2359" s="625">
        <v>0</v>
      </c>
      <c r="AP2359" s="41" t="str">
        <f t="shared" si="1105"/>
        <v>Def TaxR</v>
      </c>
      <c r="AQ2359" s="41" t="str">
        <f t="shared" si="1106"/>
        <v>Def TaxRR11OPEB True-up</v>
      </c>
      <c r="AR2359" s="41" t="str">
        <f t="shared" si="1107"/>
        <v>R11OPEB True-up</v>
      </c>
    </row>
    <row r="2360" spans="1:44" s="41" customFormat="1" ht="12.75" customHeight="1">
      <c r="A2360" s="25" t="s">
        <v>1590</v>
      </c>
      <c r="B2360" s="25" t="str">
        <f t="shared" si="1129"/>
        <v>Def Tax283500190-100BC030242</v>
      </c>
      <c r="C2360" s="736">
        <v>283500</v>
      </c>
      <c r="D2360" s="735" t="s">
        <v>2352</v>
      </c>
      <c r="E2360" s="41" t="s">
        <v>749</v>
      </c>
      <c r="F2360" s="41" t="str">
        <f t="shared" si="1120"/>
        <v>ADIT-OTH-REG-FEDERAL-ELECTRIC</v>
      </c>
      <c r="G2360" s="41" t="s">
        <v>2353</v>
      </c>
      <c r="H2360" s="736" t="s">
        <v>2354</v>
      </c>
      <c r="I2360" s="25"/>
      <c r="J2360" s="25" t="str">
        <f t="shared" si="1121"/>
        <v/>
      </c>
      <c r="K2360" s="442" t="str">
        <f t="shared" ref="K2360:K2424" si="1130">IF(L2360="N3","Y","")</f>
        <v/>
      </c>
      <c r="L2360" s="736" t="s">
        <v>2443</v>
      </c>
      <c r="M2360" s="25" t="str">
        <f t="shared" si="1108"/>
        <v>R</v>
      </c>
      <c r="N2360" s="25" t="str">
        <f>IF(L2360&lt;&gt;"",VLOOKUP(L2360,Categories!$B$2:$D$41,2,FALSE),IF(F2360&lt;&gt;"","No Cat",""))</f>
        <v>Rate Base</v>
      </c>
      <c r="O2360" s="25" t="str">
        <f>IF($L2360&lt;&gt;"",VLOOKUP($L2360,Categories!$B$2:$D$41,3,FALSE),IF($F2360&lt;&gt;"","No Cat",""))</f>
        <v>Deferred Income Taxes</v>
      </c>
      <c r="P2360" s="736" t="s">
        <v>2482</v>
      </c>
      <c r="Q2360" s="25" t="str">
        <f>VLOOKUP($P2360,Allocators!$B$7:$F$19,5,FALSE)</f>
        <v>Electric</v>
      </c>
      <c r="R2360" s="737">
        <f>VLOOKUP($P2360,Allocators!$B$7:$F$19,2,FALSE)</f>
        <v>1</v>
      </c>
      <c r="S2360" s="737">
        <f>VLOOKUP($P2360,Allocators!$B$7:$F$19,3,FALSE)</f>
        <v>0</v>
      </c>
      <c r="T2360" s="737" t="str">
        <f t="shared" si="1102"/>
        <v>0.0%</v>
      </c>
      <c r="U2360" s="2">
        <f t="shared" si="1114"/>
        <v>-1.6199999999999999E-3</v>
      </c>
      <c r="V2360" s="2">
        <f t="shared" si="1115"/>
        <v>0</v>
      </c>
      <c r="W2360" s="2">
        <f t="shared" si="1116"/>
        <v>0</v>
      </c>
      <c r="X2360" s="2">
        <f t="shared" si="1112"/>
        <v>-1.6199999999999999E-3</v>
      </c>
      <c r="Y2360" s="2">
        <f t="shared" si="1117"/>
        <v>-1.6199999999999999E-3</v>
      </c>
      <c r="Z2360" s="2">
        <f t="shared" si="1118"/>
        <v>0</v>
      </c>
      <c r="AA2360" s="2">
        <f t="shared" si="1119"/>
        <v>0</v>
      </c>
      <c r="AB2360" s="2">
        <f t="shared" si="1113"/>
        <v>-1.6200000000000001E-3</v>
      </c>
      <c r="AC2360" s="625">
        <v>-1.6200000000000001E-3</v>
      </c>
      <c r="AD2360" s="625">
        <v>-1.6200000000000001E-3</v>
      </c>
      <c r="AE2360" s="625">
        <v>-1.6200000000000001E-3</v>
      </c>
      <c r="AF2360" s="625">
        <v>-1.6200000000000001E-3</v>
      </c>
      <c r="AG2360" s="625">
        <v>-1.6200000000000001E-3</v>
      </c>
      <c r="AH2360" s="625">
        <v>-1.6200000000000001E-3</v>
      </c>
      <c r="AI2360" s="625">
        <v>-1.6200000000000001E-3</v>
      </c>
      <c r="AJ2360" s="625">
        <v>-1.6200000000000001E-3</v>
      </c>
      <c r="AK2360" s="625">
        <v>-1.6200000000000001E-3</v>
      </c>
      <c r="AL2360" s="625">
        <v>-1.6200000000000001E-3</v>
      </c>
      <c r="AM2360" s="625">
        <v>-1.6200000000000001E-3</v>
      </c>
      <c r="AN2360" s="625">
        <v>-1.6200000000000001E-3</v>
      </c>
      <c r="AO2360" s="625">
        <v>-1.6200000000000001E-3</v>
      </c>
      <c r="AP2360" s="41" t="str">
        <f t="shared" si="1105"/>
        <v>Def TaxR</v>
      </c>
      <c r="AQ2360" s="41" t="str">
        <f t="shared" si="1106"/>
        <v>Def TaxRR11Preferred Stock</v>
      </c>
      <c r="AR2360" s="41" t="str">
        <f t="shared" si="1107"/>
        <v>R11Preferred Stock</v>
      </c>
    </row>
    <row r="2361" spans="1:44" s="41" customFormat="1" ht="12.75" customHeight="1">
      <c r="A2361" s="442" t="s">
        <v>1590</v>
      </c>
      <c r="B2361" s="442" t="str">
        <f t="shared" si="1129"/>
        <v>Def Tax283500PSC AssessBT010353</v>
      </c>
      <c r="C2361" s="736">
        <v>283500</v>
      </c>
      <c r="D2361" s="735" t="s">
        <v>2355</v>
      </c>
      <c r="E2361" s="626" t="s">
        <v>2356</v>
      </c>
      <c r="F2361" s="626" t="str">
        <f t="shared" si="1120"/>
        <v>ADIT-OTH-REG-FEDERAL-ELECTRIC</v>
      </c>
      <c r="G2361" s="626" t="s">
        <v>2357</v>
      </c>
      <c r="H2361" s="736" t="s">
        <v>817</v>
      </c>
      <c r="I2361" s="442"/>
      <c r="J2361" s="442" t="str">
        <f t="shared" si="1121"/>
        <v/>
      </c>
      <c r="K2361" s="442" t="str">
        <f t="shared" si="1130"/>
        <v/>
      </c>
      <c r="L2361" s="736" t="s">
        <v>2421</v>
      </c>
      <c r="M2361" s="442" t="str">
        <f t="shared" si="1108"/>
        <v>N</v>
      </c>
      <c r="N2361" s="442" t="str">
        <f>IF(L2361&lt;&gt;"",VLOOKUP(L2361,Categories!$B$2:$D$41,2,FALSE),IF(F2361&lt;&gt;"","No Cat",""))</f>
        <v>NRBASE</v>
      </c>
      <c r="O2361" s="442" t="str">
        <f>IF($L2361&lt;&gt;"",VLOOKUP($L2361,Categories!$B$2:$D$41,3,FALSE),IF($F2361&lt;&gt;"","No Cat",""))</f>
        <v>Direct Assign Items Not in RB</v>
      </c>
      <c r="P2361" s="736" t="s">
        <v>2468</v>
      </c>
      <c r="Q2361" s="442" t="str">
        <f>VLOOKUP($P2361,Allocators!$B$7:$F$19,5,FALSE)</f>
        <v>Not in Rate Base</v>
      </c>
      <c r="R2361" s="737">
        <f>VLOOKUP($P2361,Allocators!$B$7:$F$19,2,FALSE)</f>
        <v>0</v>
      </c>
      <c r="S2361" s="737">
        <f>VLOOKUP($P2361,Allocators!$B$7:$F$19,3,FALSE)</f>
        <v>0</v>
      </c>
      <c r="T2361" s="737">
        <f t="shared" ref="T2361:T2428" si="1131">IF(P2361="N",1,"0.0%")</f>
        <v>1</v>
      </c>
      <c r="U2361" s="2">
        <f t="shared" si="1114"/>
        <v>0</v>
      </c>
      <c r="V2361" s="2">
        <f t="shared" si="1115"/>
        <v>0</v>
      </c>
      <c r="W2361" s="2">
        <f t="shared" si="1116"/>
        <v>-444.36405541666699</v>
      </c>
      <c r="X2361" s="2">
        <f t="shared" si="1112"/>
        <v>-444.36405541666699</v>
      </c>
      <c r="Y2361" s="2">
        <f t="shared" si="1117"/>
        <v>0</v>
      </c>
      <c r="Z2361" s="2">
        <f t="shared" si="1118"/>
        <v>0</v>
      </c>
      <c r="AA2361" s="2">
        <f t="shared" si="1119"/>
        <v>-931.32012999999995</v>
      </c>
      <c r="AB2361" s="2">
        <f t="shared" si="1113"/>
        <v>-931.32012999999995</v>
      </c>
      <c r="AC2361" s="625">
        <v>0</v>
      </c>
      <c r="AD2361" s="625">
        <v>0</v>
      </c>
      <c r="AE2361" s="625">
        <v>0</v>
      </c>
      <c r="AF2361" s="625">
        <v>0</v>
      </c>
      <c r="AG2361" s="625">
        <v>0</v>
      </c>
      <c r="AH2361" s="625">
        <v>0</v>
      </c>
      <c r="AI2361" s="625">
        <v>0</v>
      </c>
      <c r="AJ2361" s="625">
        <v>-1031.53899</v>
      </c>
      <c r="AK2361" s="625">
        <v>-1022.6961899999999</v>
      </c>
      <c r="AL2361" s="625">
        <v>-971.15499</v>
      </c>
      <c r="AM2361" s="625">
        <v>-910.72843999999998</v>
      </c>
      <c r="AN2361" s="625">
        <v>-930.58998999999994</v>
      </c>
      <c r="AO2361" s="625">
        <v>-931.32012999999995</v>
      </c>
      <c r="AP2361" s="41" t="str">
        <f t="shared" si="1105"/>
        <v>Def TaxN</v>
      </c>
      <c r="AQ2361" s="41" t="str">
        <f t="shared" si="1106"/>
        <v>Def TaxNN2PSC Assessment</v>
      </c>
      <c r="AR2361" s="41" t="str">
        <f t="shared" si="1107"/>
        <v>N2PSC Assessment</v>
      </c>
    </row>
    <row r="2362" spans="1:44" s="41" customFormat="1" ht="12.75" customHeight="1">
      <c r="A2362" s="442" t="s">
        <v>1590</v>
      </c>
      <c r="B2362" s="442" t="str">
        <f t="shared" si="1129"/>
        <v>Def Tax283500283-081-JPBT010176</v>
      </c>
      <c r="C2362" s="736">
        <v>283500</v>
      </c>
      <c r="D2362" s="735" t="s">
        <v>2026</v>
      </c>
      <c r="E2362" s="626" t="s">
        <v>1977</v>
      </c>
      <c r="F2362" s="626" t="str">
        <f t="shared" si="1120"/>
        <v>ADIT-OTH-REG-FEDERAL-ELECTRIC</v>
      </c>
      <c r="G2362" s="626" t="s">
        <v>2027</v>
      </c>
      <c r="H2362" s="736" t="s">
        <v>1245</v>
      </c>
      <c r="I2362" s="442"/>
      <c r="J2362" s="442" t="str">
        <f t="shared" si="1121"/>
        <v/>
      </c>
      <c r="K2362" s="442" t="str">
        <f t="shared" si="1130"/>
        <v/>
      </c>
      <c r="L2362" s="736" t="s">
        <v>2421</v>
      </c>
      <c r="M2362" s="442" t="str">
        <f t="shared" si="1108"/>
        <v>N</v>
      </c>
      <c r="N2362" s="442" t="str">
        <f>IF(L2362&lt;&gt;"",VLOOKUP(L2362,Categories!$B$2:$D$41,2,FALSE),IF(F2362&lt;&gt;"","No Cat",""))</f>
        <v>NRBASE</v>
      </c>
      <c r="O2362" s="442" t="str">
        <f>IF($L2362&lt;&gt;"",VLOOKUP($L2362,Categories!$B$2:$D$41,3,FALSE),IF($F2362&lt;&gt;"","No Cat",""))</f>
        <v>Direct Assign Items Not in RB</v>
      </c>
      <c r="P2362" s="736" t="s">
        <v>2468</v>
      </c>
      <c r="Q2362" s="442" t="str">
        <f>VLOOKUP($P2362,Allocators!$B$7:$F$19,5,FALSE)</f>
        <v>Not in Rate Base</v>
      </c>
      <c r="R2362" s="737">
        <f>VLOOKUP($P2362,Allocators!$B$7:$F$19,2,FALSE)</f>
        <v>0</v>
      </c>
      <c r="S2362" s="737">
        <f>VLOOKUP($P2362,Allocators!$B$7:$F$19,3,FALSE)</f>
        <v>0</v>
      </c>
      <c r="T2362" s="737">
        <f t="shared" si="1131"/>
        <v>1</v>
      </c>
      <c r="U2362" s="2" t="str">
        <f t="shared" si="1114"/>
        <v/>
      </c>
      <c r="V2362" s="2" t="str">
        <f t="shared" si="1115"/>
        <v/>
      </c>
      <c r="W2362" s="2" t="str">
        <f t="shared" si="1116"/>
        <v/>
      </c>
      <c r="X2362" s="2">
        <f t="shared" si="1112"/>
        <v>0</v>
      </c>
      <c r="Y2362" s="2" t="str">
        <f t="shared" si="1117"/>
        <v/>
      </c>
      <c r="Z2362" s="2" t="str">
        <f t="shared" si="1118"/>
        <v/>
      </c>
      <c r="AA2362" s="2" t="str">
        <f t="shared" si="1119"/>
        <v/>
      </c>
      <c r="AB2362" s="2">
        <f t="shared" si="1113"/>
        <v>0</v>
      </c>
      <c r="AC2362" s="625">
        <v>0</v>
      </c>
      <c r="AD2362" s="625">
        <v>0</v>
      </c>
      <c r="AE2362" s="625">
        <v>0</v>
      </c>
      <c r="AF2362" s="625">
        <v>0</v>
      </c>
      <c r="AG2362" s="625">
        <v>0</v>
      </c>
      <c r="AH2362" s="625">
        <v>0</v>
      </c>
      <c r="AI2362" s="625">
        <v>0</v>
      </c>
      <c r="AJ2362" s="625">
        <v>0</v>
      </c>
      <c r="AK2362" s="625">
        <v>0</v>
      </c>
      <c r="AL2362" s="625">
        <v>0</v>
      </c>
      <c r="AM2362" s="625">
        <v>0</v>
      </c>
      <c r="AN2362" s="625">
        <v>0</v>
      </c>
      <c r="AO2362" s="625">
        <v>0</v>
      </c>
      <c r="AP2362" s="41" t="str">
        <f t="shared" si="1105"/>
        <v>Def TaxN</v>
      </c>
      <c r="AQ2362" s="41" t="str">
        <f t="shared" si="1106"/>
        <v>Def TaxNN2Purchase of Receivables</v>
      </c>
      <c r="AR2362" s="41" t="str">
        <f t="shared" si="1107"/>
        <v>N2Purchase of Receivables</v>
      </c>
    </row>
    <row r="2363" spans="1:44" s="41" customFormat="1" ht="12.75" customHeight="1">
      <c r="A2363" s="25" t="s">
        <v>1590</v>
      </c>
      <c r="B2363" s="25" t="str">
        <f t="shared" si="1129"/>
        <v>Def Tax283500283-072-JPBT010189</v>
      </c>
      <c r="C2363" s="736">
        <v>283500</v>
      </c>
      <c r="D2363" s="735" t="s">
        <v>2226</v>
      </c>
      <c r="E2363" s="41" t="s">
        <v>2358</v>
      </c>
      <c r="F2363" s="41" t="str">
        <f t="shared" si="1120"/>
        <v>ADIT-OTH-REG-FEDERAL-ELECTRIC</v>
      </c>
      <c r="G2363" s="41" t="s">
        <v>2359</v>
      </c>
      <c r="H2363" s="736" t="s">
        <v>2228</v>
      </c>
      <c r="I2363" s="25"/>
      <c r="J2363" s="25" t="str">
        <f t="shared" si="1121"/>
        <v/>
      </c>
      <c r="K2363" s="442" t="str">
        <f t="shared" si="1130"/>
        <v/>
      </c>
      <c r="L2363" s="736" t="s">
        <v>2443</v>
      </c>
      <c r="M2363" s="25" t="str">
        <f t="shared" si="1108"/>
        <v>R</v>
      </c>
      <c r="N2363" s="25" t="str">
        <f>IF(L2363&lt;&gt;"",VLOOKUP(L2363,Categories!$B$2:$D$41,2,FALSE),IF(F2363&lt;&gt;"","No Cat",""))</f>
        <v>Rate Base</v>
      </c>
      <c r="O2363" s="25" t="str">
        <f>IF($L2363&lt;&gt;"",VLOOKUP($L2363,Categories!$B$2:$D$41,3,FALSE),IF($F2363&lt;&gt;"","No Cat",""))</f>
        <v>Deferred Income Taxes</v>
      </c>
      <c r="P2363" s="736" t="s">
        <v>2482</v>
      </c>
      <c r="Q2363" s="25" t="str">
        <f>VLOOKUP($P2363,Allocators!$B$7:$F$19,5,FALSE)</f>
        <v>Electric</v>
      </c>
      <c r="R2363" s="737">
        <f>VLOOKUP($P2363,Allocators!$B$7:$F$19,2,FALSE)</f>
        <v>1</v>
      </c>
      <c r="S2363" s="737">
        <f>VLOOKUP($P2363,Allocators!$B$7:$F$19,3,FALSE)</f>
        <v>0</v>
      </c>
      <c r="T2363" s="737" t="str">
        <f t="shared" si="1131"/>
        <v>0.0%</v>
      </c>
      <c r="U2363" s="2" t="str">
        <f t="shared" si="1114"/>
        <v/>
      </c>
      <c r="V2363" s="2" t="str">
        <f t="shared" si="1115"/>
        <v/>
      </c>
      <c r="W2363" s="2" t="str">
        <f t="shared" si="1116"/>
        <v/>
      </c>
      <c r="X2363" s="2">
        <f t="shared" si="1112"/>
        <v>0</v>
      </c>
      <c r="Y2363" s="2" t="str">
        <f t="shared" si="1117"/>
        <v/>
      </c>
      <c r="Z2363" s="2" t="str">
        <f t="shared" si="1118"/>
        <v/>
      </c>
      <c r="AA2363" s="2" t="str">
        <f t="shared" si="1119"/>
        <v/>
      </c>
      <c r="AB2363" s="2">
        <f t="shared" si="1113"/>
        <v>0</v>
      </c>
      <c r="AC2363" s="625">
        <v>0</v>
      </c>
      <c r="AD2363" s="625">
        <v>0</v>
      </c>
      <c r="AE2363" s="625">
        <v>0</v>
      </c>
      <c r="AF2363" s="625">
        <v>0</v>
      </c>
      <c r="AG2363" s="625">
        <v>0</v>
      </c>
      <c r="AH2363" s="625">
        <v>0</v>
      </c>
      <c r="AI2363" s="625">
        <v>0</v>
      </c>
      <c r="AJ2363" s="625">
        <v>0</v>
      </c>
      <c r="AK2363" s="625">
        <v>0</v>
      </c>
      <c r="AL2363" s="625">
        <v>0</v>
      </c>
      <c r="AM2363" s="625">
        <v>0</v>
      </c>
      <c r="AN2363" s="625">
        <v>0</v>
      </c>
      <c r="AO2363" s="625">
        <v>0</v>
      </c>
      <c r="AP2363" s="41" t="str">
        <f t="shared" si="1105"/>
        <v>Def TaxR</v>
      </c>
      <c r="AQ2363" s="41" t="str">
        <f t="shared" si="1106"/>
        <v>Def TaxRR11RAS</v>
      </c>
      <c r="AR2363" s="41" t="str">
        <f t="shared" si="1107"/>
        <v>R11RAS</v>
      </c>
    </row>
    <row r="2364" spans="1:44" s="41" customFormat="1" ht="12.75" customHeight="1">
      <c r="A2364" s="442" t="s">
        <v>1590</v>
      </c>
      <c r="B2364" s="442" t="str">
        <f t="shared" si="1129"/>
        <v>Def Tax283500BE030904</v>
      </c>
      <c r="C2364" s="736">
        <v>283500</v>
      </c>
      <c r="D2364" s="735"/>
      <c r="E2364" s="626" t="s">
        <v>769</v>
      </c>
      <c r="F2364" s="626" t="str">
        <f t="shared" si="1120"/>
        <v>ADIT-OTH-REG-FEDERAL-ELECTRIC</v>
      </c>
      <c r="G2364" s="626" t="s">
        <v>1979</v>
      </c>
      <c r="H2364" s="736" t="s">
        <v>823</v>
      </c>
      <c r="I2364" s="442"/>
      <c r="J2364" s="442" t="str">
        <f t="shared" si="1121"/>
        <v/>
      </c>
      <c r="K2364" s="442" t="str">
        <f t="shared" si="1130"/>
        <v/>
      </c>
      <c r="L2364" s="736" t="s">
        <v>2421</v>
      </c>
      <c r="M2364" s="442" t="str">
        <f t="shared" si="1108"/>
        <v>N</v>
      </c>
      <c r="N2364" s="442" t="str">
        <f>IF(L2364&lt;&gt;"",VLOOKUP(L2364,Categories!$B$2:$D$41,2,FALSE),IF(F2364&lt;&gt;"","No Cat",""))</f>
        <v>NRBASE</v>
      </c>
      <c r="O2364" s="442" t="str">
        <f>IF($L2364&lt;&gt;"",VLOOKUP($L2364,Categories!$B$2:$D$41,3,FALSE),IF($F2364&lt;&gt;"","No Cat",""))</f>
        <v>Direct Assign Items Not in RB</v>
      </c>
      <c r="P2364" s="736" t="s">
        <v>2468</v>
      </c>
      <c r="Q2364" s="442" t="str">
        <f>VLOOKUP($P2364,Allocators!$B$7:$F$19,5,FALSE)</f>
        <v>Not in Rate Base</v>
      </c>
      <c r="R2364" s="737">
        <f>VLOOKUP($P2364,Allocators!$B$7:$F$19,2,FALSE)</f>
        <v>0</v>
      </c>
      <c r="S2364" s="737">
        <f>VLOOKUP($P2364,Allocators!$B$7:$F$19,3,FALSE)</f>
        <v>0</v>
      </c>
      <c r="T2364" s="737">
        <f t="shared" si="1131"/>
        <v>1</v>
      </c>
      <c r="U2364" s="2" t="str">
        <f t="shared" si="1114"/>
        <v/>
      </c>
      <c r="V2364" s="2" t="str">
        <f t="shared" si="1115"/>
        <v/>
      </c>
      <c r="W2364" s="2" t="str">
        <f t="shared" si="1116"/>
        <v/>
      </c>
      <c r="X2364" s="2">
        <f t="shared" si="1112"/>
        <v>0</v>
      </c>
      <c r="Y2364" s="2" t="str">
        <f t="shared" si="1117"/>
        <v/>
      </c>
      <c r="Z2364" s="2" t="str">
        <f t="shared" si="1118"/>
        <v/>
      </c>
      <c r="AA2364" s="2" t="str">
        <f t="shared" si="1119"/>
        <v/>
      </c>
      <c r="AB2364" s="2">
        <f t="shared" si="1113"/>
        <v>0</v>
      </c>
      <c r="AC2364" s="625">
        <v>0</v>
      </c>
      <c r="AD2364" s="625">
        <v>0</v>
      </c>
      <c r="AE2364" s="625">
        <v>0</v>
      </c>
      <c r="AF2364" s="625">
        <v>0</v>
      </c>
      <c r="AG2364" s="625">
        <v>0</v>
      </c>
      <c r="AH2364" s="625">
        <v>0</v>
      </c>
      <c r="AI2364" s="625">
        <v>0</v>
      </c>
      <c r="AJ2364" s="625">
        <v>0</v>
      </c>
      <c r="AK2364" s="625">
        <v>0</v>
      </c>
      <c r="AL2364" s="625">
        <v>0</v>
      </c>
      <c r="AM2364" s="625">
        <v>0</v>
      </c>
      <c r="AN2364" s="625">
        <v>0</v>
      </c>
      <c r="AO2364" s="625">
        <v>0</v>
      </c>
      <c r="AP2364" s="41" t="str">
        <f t="shared" si="1105"/>
        <v>Def TaxN</v>
      </c>
      <c r="AQ2364" s="41" t="str">
        <f t="shared" si="1106"/>
        <v>Def TaxNN2RDM</v>
      </c>
      <c r="AR2364" s="41" t="str">
        <f t="shared" si="1107"/>
        <v>N2RDM</v>
      </c>
    </row>
    <row r="2365" spans="1:44" s="41" customFormat="1" ht="12.75" customHeight="1">
      <c r="A2365" s="25" t="s">
        <v>1590</v>
      </c>
      <c r="B2365" s="25" t="str">
        <f t="shared" si="1129"/>
        <v>Def Tax283500RussDecommBE030278</v>
      </c>
      <c r="C2365" s="736">
        <v>283500</v>
      </c>
      <c r="D2365" s="735" t="s">
        <v>1984</v>
      </c>
      <c r="E2365" s="41" t="s">
        <v>1985</v>
      </c>
      <c r="F2365" s="41" t="str">
        <f t="shared" si="1120"/>
        <v>ADIT-OTH-REG-FEDERAL-ELECTRIC</v>
      </c>
      <c r="G2365" s="41" t="s">
        <v>1986</v>
      </c>
      <c r="H2365" s="736" t="s">
        <v>2694</v>
      </c>
      <c r="I2365" s="25"/>
      <c r="J2365" s="25" t="str">
        <f t="shared" si="1121"/>
        <v/>
      </c>
      <c r="K2365" s="442" t="str">
        <f t="shared" si="1130"/>
        <v/>
      </c>
      <c r="L2365" s="736" t="s">
        <v>2443</v>
      </c>
      <c r="M2365" s="25" t="str">
        <f t="shared" si="1108"/>
        <v>R</v>
      </c>
      <c r="N2365" s="25" t="str">
        <f>IF(L2365&lt;&gt;"",VLOOKUP(L2365,Categories!$B$2:$D$41,2,FALSE),IF(F2365&lt;&gt;"","No Cat",""))</f>
        <v>Rate Base</v>
      </c>
      <c r="O2365" s="25" t="str">
        <f>IF($L2365&lt;&gt;"",VLOOKUP($L2365,Categories!$B$2:$D$41,3,FALSE),IF($F2365&lt;&gt;"","No Cat",""))</f>
        <v>Deferred Income Taxes</v>
      </c>
      <c r="P2365" s="736" t="s">
        <v>2482</v>
      </c>
      <c r="Q2365" s="25" t="str">
        <f>VLOOKUP($P2365,Allocators!$B$7:$F$19,5,FALSE)</f>
        <v>Electric</v>
      </c>
      <c r="R2365" s="737">
        <f>VLOOKUP($P2365,Allocators!$B$7:$F$19,2,FALSE)</f>
        <v>1</v>
      </c>
      <c r="S2365" s="737">
        <f>VLOOKUP($P2365,Allocators!$B$7:$F$19,3,FALSE)</f>
        <v>0</v>
      </c>
      <c r="T2365" s="737" t="str">
        <f t="shared" si="1131"/>
        <v>0.0%</v>
      </c>
      <c r="U2365" s="2" t="str">
        <f t="shared" si="1114"/>
        <v/>
      </c>
      <c r="V2365" s="2" t="str">
        <f t="shared" si="1115"/>
        <v/>
      </c>
      <c r="W2365" s="2" t="str">
        <f t="shared" si="1116"/>
        <v/>
      </c>
      <c r="X2365" s="2">
        <f t="shared" si="1112"/>
        <v>0</v>
      </c>
      <c r="Y2365" s="2" t="str">
        <f t="shared" si="1117"/>
        <v/>
      </c>
      <c r="Z2365" s="2" t="str">
        <f t="shared" si="1118"/>
        <v/>
      </c>
      <c r="AA2365" s="2" t="str">
        <f t="shared" si="1119"/>
        <v/>
      </c>
      <c r="AB2365" s="2">
        <f t="shared" si="1113"/>
        <v>0</v>
      </c>
      <c r="AC2365" s="625">
        <v>0</v>
      </c>
      <c r="AD2365" s="625">
        <v>0</v>
      </c>
      <c r="AE2365" s="625">
        <v>0</v>
      </c>
      <c r="AF2365" s="625">
        <v>0</v>
      </c>
      <c r="AG2365" s="625">
        <v>0</v>
      </c>
      <c r="AH2365" s="625">
        <v>0</v>
      </c>
      <c r="AI2365" s="625">
        <v>0</v>
      </c>
      <c r="AJ2365" s="625">
        <v>0</v>
      </c>
      <c r="AK2365" s="625">
        <v>0</v>
      </c>
      <c r="AL2365" s="625">
        <v>0</v>
      </c>
      <c r="AM2365" s="625">
        <v>0</v>
      </c>
      <c r="AN2365" s="625">
        <v>0</v>
      </c>
      <c r="AO2365" s="625">
        <v>0</v>
      </c>
      <c r="AP2365" s="41" t="str">
        <f t="shared" si="1105"/>
        <v>Def TaxR</v>
      </c>
      <c r="AQ2365" s="41" t="str">
        <f t="shared" si="1106"/>
        <v>Def TaxRR11Russell Decommissioning Reserve</v>
      </c>
      <c r="AR2365" s="41" t="str">
        <f t="shared" si="1107"/>
        <v>R11Russell Decommissioning Reserve</v>
      </c>
    </row>
    <row r="2366" spans="1:44" s="41" customFormat="1" ht="12.75" customHeight="1">
      <c r="A2366" s="25" t="s">
        <v>1590</v>
      </c>
      <c r="B2366" s="25" t="str">
        <f t="shared" si="1129"/>
        <v>Def Tax283500283-082-JPBT010168</v>
      </c>
      <c r="C2366" s="736">
        <v>283500</v>
      </c>
      <c r="D2366" s="735" t="s">
        <v>2241</v>
      </c>
      <c r="E2366" s="41" t="s">
        <v>2360</v>
      </c>
      <c r="F2366" s="41" t="str">
        <f t="shared" si="1120"/>
        <v>ADIT-OTH-REG-FEDERAL-ELECTRIC</v>
      </c>
      <c r="G2366" s="41" t="s">
        <v>2361</v>
      </c>
      <c r="H2366" s="736" t="s">
        <v>1117</v>
      </c>
      <c r="I2366" s="25"/>
      <c r="J2366" s="25" t="str">
        <f t="shared" si="1121"/>
        <v/>
      </c>
      <c r="K2366" s="442" t="str">
        <f t="shared" si="1130"/>
        <v/>
      </c>
      <c r="L2366" s="736" t="s">
        <v>2443</v>
      </c>
      <c r="M2366" s="25" t="str">
        <f t="shared" si="1108"/>
        <v>R</v>
      </c>
      <c r="N2366" s="25" t="str">
        <f>IF(L2366&lt;&gt;"",VLOOKUP(L2366,Categories!$B$2:$D$41,2,FALSE),IF(F2366&lt;&gt;"","No Cat",""))</f>
        <v>Rate Base</v>
      </c>
      <c r="O2366" s="25" t="str">
        <f>IF($L2366&lt;&gt;"",VLOOKUP($L2366,Categories!$B$2:$D$41,3,FALSE),IF($F2366&lt;&gt;"","No Cat",""))</f>
        <v>Deferred Income Taxes</v>
      </c>
      <c r="P2366" s="736" t="s">
        <v>2482</v>
      </c>
      <c r="Q2366" s="25" t="str">
        <f>VLOOKUP($P2366,Allocators!$B$7:$F$19,5,FALSE)</f>
        <v>Electric</v>
      </c>
      <c r="R2366" s="737">
        <f>VLOOKUP($P2366,Allocators!$B$7:$F$19,2,FALSE)</f>
        <v>1</v>
      </c>
      <c r="S2366" s="737">
        <f>VLOOKUP($P2366,Allocators!$B$7:$F$19,3,FALSE)</f>
        <v>0</v>
      </c>
      <c r="T2366" s="737" t="str">
        <f t="shared" si="1131"/>
        <v>0.0%</v>
      </c>
      <c r="U2366" s="2">
        <f t="shared" si="1114"/>
        <v>-238.70445708333301</v>
      </c>
      <c r="V2366" s="2">
        <f t="shared" si="1115"/>
        <v>0</v>
      </c>
      <c r="W2366" s="2">
        <f t="shared" si="1116"/>
        <v>0</v>
      </c>
      <c r="X2366" s="2">
        <f t="shared" si="1112"/>
        <v>-238.70445708333301</v>
      </c>
      <c r="Y2366" s="2">
        <f t="shared" si="1117"/>
        <v>-333.31338</v>
      </c>
      <c r="Z2366" s="2">
        <f t="shared" si="1118"/>
        <v>0</v>
      </c>
      <c r="AA2366" s="2">
        <f t="shared" si="1119"/>
        <v>0</v>
      </c>
      <c r="AB2366" s="2">
        <f t="shared" si="1113"/>
        <v>-333.31338</v>
      </c>
      <c r="AC2366" s="625">
        <v>-2.9794499999999999</v>
      </c>
      <c r="AD2366" s="625">
        <v>-2.9794499999999999</v>
      </c>
      <c r="AE2366" s="625">
        <v>-2.9794499999999999</v>
      </c>
      <c r="AF2366" s="625">
        <v>-2.9794499999999999</v>
      </c>
      <c r="AG2366" s="625">
        <v>-336.29361999999998</v>
      </c>
      <c r="AH2366" s="625">
        <v>-336.29361999999998</v>
      </c>
      <c r="AI2366" s="625">
        <v>-336.29361999999998</v>
      </c>
      <c r="AJ2366" s="625">
        <v>-336.29361999999998</v>
      </c>
      <c r="AK2366" s="625">
        <v>-336.29361999999998</v>
      </c>
      <c r="AL2366" s="625">
        <v>-336.29361999999998</v>
      </c>
      <c r="AM2366" s="625">
        <v>-336.29361999999998</v>
      </c>
      <c r="AN2366" s="625">
        <v>-333.31338</v>
      </c>
      <c r="AO2366" s="625">
        <v>-333.31338</v>
      </c>
      <c r="AP2366" s="41" t="str">
        <f t="shared" si="1105"/>
        <v>Def TaxR</v>
      </c>
      <c r="AQ2366" s="41" t="str">
        <f t="shared" si="1106"/>
        <v>Def TaxRR11Security Costs</v>
      </c>
      <c r="AR2366" s="41" t="str">
        <f t="shared" si="1107"/>
        <v>R11Security Costs</v>
      </c>
    </row>
    <row r="2367" spans="1:44" s="41" customFormat="1" ht="12.75" customHeight="1">
      <c r="A2367" s="25" t="s">
        <v>1590</v>
      </c>
      <c r="B2367" s="25" t="str">
        <f t="shared" si="1129"/>
        <v>Def Tax283500283-026BT010071</v>
      </c>
      <c r="C2367" s="736">
        <v>283500</v>
      </c>
      <c r="D2367" s="735" t="s">
        <v>1706</v>
      </c>
      <c r="E2367" s="41" t="s">
        <v>1707</v>
      </c>
      <c r="F2367" s="41" t="str">
        <f t="shared" si="1120"/>
        <v>ADIT-OTH-REG-FEDERAL-ELECTRIC</v>
      </c>
      <c r="G2367" s="41" t="s">
        <v>2243</v>
      </c>
      <c r="H2367" s="736" t="s">
        <v>1134</v>
      </c>
      <c r="I2367" s="25"/>
      <c r="J2367" s="25" t="str">
        <f t="shared" si="1121"/>
        <v/>
      </c>
      <c r="K2367" s="442" t="str">
        <f t="shared" si="1130"/>
        <v/>
      </c>
      <c r="L2367" s="736" t="s">
        <v>2421</v>
      </c>
      <c r="M2367" s="25" t="str">
        <f t="shared" si="1108"/>
        <v>N</v>
      </c>
      <c r="N2367" s="25" t="str">
        <f>IF(L2367&lt;&gt;"",VLOOKUP(L2367,Categories!$B$2:$D$41,2,FALSE),IF(F2367&lt;&gt;"","No Cat",""))</f>
        <v>NRBASE</v>
      </c>
      <c r="O2367" s="25" t="str">
        <f>IF($L2367&lt;&gt;"",VLOOKUP($L2367,Categories!$B$2:$D$41,3,FALSE),IF($F2367&lt;&gt;"","No Cat",""))</f>
        <v>Direct Assign Items Not in RB</v>
      </c>
      <c r="P2367" s="736" t="s">
        <v>2468</v>
      </c>
      <c r="Q2367" s="25" t="str">
        <f>VLOOKUP($P2367,Allocators!$B$7:$F$19,5,FALSE)</f>
        <v>Not in Rate Base</v>
      </c>
      <c r="R2367" s="737">
        <f>VLOOKUP($P2367,Allocators!$B$7:$F$19,2,FALSE)</f>
        <v>0</v>
      </c>
      <c r="S2367" s="737">
        <f>VLOOKUP($P2367,Allocators!$B$7:$F$19,3,FALSE)</f>
        <v>0</v>
      </c>
      <c r="T2367" s="737">
        <f t="shared" si="1131"/>
        <v>1</v>
      </c>
      <c r="U2367" s="2" t="str">
        <f t="shared" si="1114"/>
        <v/>
      </c>
      <c r="V2367" s="2" t="str">
        <f t="shared" si="1115"/>
        <v/>
      </c>
      <c r="W2367" s="2" t="str">
        <f t="shared" si="1116"/>
        <v/>
      </c>
      <c r="X2367" s="2">
        <f t="shared" si="1112"/>
        <v>0</v>
      </c>
      <c r="Y2367" s="2" t="str">
        <f t="shared" si="1117"/>
        <v/>
      </c>
      <c r="Z2367" s="2" t="str">
        <f t="shared" si="1118"/>
        <v/>
      </c>
      <c r="AA2367" s="2" t="str">
        <f t="shared" si="1119"/>
        <v/>
      </c>
      <c r="AB2367" s="2">
        <f t="shared" si="1113"/>
        <v>0</v>
      </c>
      <c r="AC2367" s="625">
        <v>0</v>
      </c>
      <c r="AD2367" s="625">
        <v>0</v>
      </c>
      <c r="AE2367" s="625">
        <v>0</v>
      </c>
      <c r="AF2367" s="625">
        <v>0</v>
      </c>
      <c r="AG2367" s="625">
        <v>0</v>
      </c>
      <c r="AH2367" s="625">
        <v>0</v>
      </c>
      <c r="AI2367" s="625">
        <v>0</v>
      </c>
      <c r="AJ2367" s="625">
        <v>0</v>
      </c>
      <c r="AK2367" s="625">
        <v>0</v>
      </c>
      <c r="AL2367" s="625">
        <v>0</v>
      </c>
      <c r="AM2367" s="625">
        <v>0</v>
      </c>
      <c r="AN2367" s="625">
        <v>0</v>
      </c>
      <c r="AO2367" s="625">
        <v>0</v>
      </c>
      <c r="AP2367" s="41" t="str">
        <f t="shared" si="1105"/>
        <v>Def TaxN</v>
      </c>
      <c r="AQ2367" s="41" t="str">
        <f t="shared" si="1106"/>
        <v>Def TaxNN2Environmental</v>
      </c>
      <c r="AR2367" s="41" t="str">
        <f t="shared" si="1107"/>
        <v>N2Environmental</v>
      </c>
    </row>
    <row r="2368" spans="1:44" s="41" customFormat="1" ht="12.75" customHeight="1">
      <c r="A2368" s="442" t="s">
        <v>1590</v>
      </c>
      <c r="B2368" s="442" t="str">
        <f t="shared" si="1129"/>
        <v>Def Tax283500283-013-SBT010221</v>
      </c>
      <c r="C2368" s="736">
        <v>283500</v>
      </c>
      <c r="D2368" s="735" t="s">
        <v>2362</v>
      </c>
      <c r="E2368" s="626" t="s">
        <v>2327</v>
      </c>
      <c r="F2368" s="626" t="str">
        <f t="shared" si="1120"/>
        <v>ADIT-OTH-REG-FEDERAL-ELECTRIC</v>
      </c>
      <c r="G2368" s="626" t="s">
        <v>2363</v>
      </c>
      <c r="H2368" s="736" t="s">
        <v>1325</v>
      </c>
      <c r="I2368" s="442"/>
      <c r="J2368" s="442" t="str">
        <f t="shared" si="1121"/>
        <v/>
      </c>
      <c r="K2368" s="442" t="str">
        <f t="shared" si="1130"/>
        <v/>
      </c>
      <c r="L2368" s="736" t="s">
        <v>2421</v>
      </c>
      <c r="M2368" s="442" t="str">
        <f t="shared" si="1108"/>
        <v>N</v>
      </c>
      <c r="N2368" s="442" t="str">
        <f>IF(L2368&lt;&gt;"",VLOOKUP(L2368,Categories!$B$2:$D$41,2,FALSE),IF(F2368&lt;&gt;"","No Cat",""))</f>
        <v>NRBASE</v>
      </c>
      <c r="O2368" s="442" t="str">
        <f>IF($L2368&lt;&gt;"",VLOOKUP($L2368,Categories!$B$2:$D$41,3,FALSE),IF($F2368&lt;&gt;"","No Cat",""))</f>
        <v>Direct Assign Items Not in RB</v>
      </c>
      <c r="P2368" s="736" t="s">
        <v>2468</v>
      </c>
      <c r="Q2368" s="442" t="str">
        <f>VLOOKUP($P2368,Allocators!$B$7:$F$19,5,FALSE)</f>
        <v>Not in Rate Base</v>
      </c>
      <c r="R2368" s="737">
        <f>VLOOKUP($P2368,Allocators!$B$7:$F$19,2,FALSE)</f>
        <v>0</v>
      </c>
      <c r="S2368" s="737">
        <f>VLOOKUP($P2368,Allocators!$B$7:$F$19,3,FALSE)</f>
        <v>0</v>
      </c>
      <c r="T2368" s="737">
        <f t="shared" si="1131"/>
        <v>1</v>
      </c>
      <c r="U2368" s="2" t="str">
        <f t="shared" si="1114"/>
        <v/>
      </c>
      <c r="V2368" s="2" t="str">
        <f t="shared" si="1115"/>
        <v/>
      </c>
      <c r="W2368" s="2" t="str">
        <f t="shared" si="1116"/>
        <v/>
      </c>
      <c r="X2368" s="2">
        <f t="shared" si="1112"/>
        <v>0</v>
      </c>
      <c r="Y2368" s="2" t="str">
        <f t="shared" si="1117"/>
        <v/>
      </c>
      <c r="Z2368" s="2" t="str">
        <f t="shared" si="1118"/>
        <v/>
      </c>
      <c r="AA2368" s="2" t="str">
        <f t="shared" si="1119"/>
        <v/>
      </c>
      <c r="AB2368" s="2">
        <f t="shared" si="1113"/>
        <v>0</v>
      </c>
      <c r="AC2368" s="625">
        <v>0</v>
      </c>
      <c r="AD2368" s="625">
        <v>0</v>
      </c>
      <c r="AE2368" s="625">
        <v>0</v>
      </c>
      <c r="AF2368" s="625">
        <v>0</v>
      </c>
      <c r="AG2368" s="625">
        <v>0</v>
      </c>
      <c r="AH2368" s="625">
        <v>0</v>
      </c>
      <c r="AI2368" s="625">
        <v>0</v>
      </c>
      <c r="AJ2368" s="625">
        <v>0</v>
      </c>
      <c r="AK2368" s="625">
        <v>0</v>
      </c>
      <c r="AL2368" s="625">
        <v>0</v>
      </c>
      <c r="AM2368" s="625">
        <v>0</v>
      </c>
      <c r="AN2368" s="625">
        <v>0</v>
      </c>
      <c r="AO2368" s="625">
        <v>0</v>
      </c>
      <c r="AP2368" s="41" t="str">
        <f t="shared" si="1105"/>
        <v>Def TaxN</v>
      </c>
      <c r="AQ2368" s="41" t="str">
        <f t="shared" si="1106"/>
        <v>Def TaxNN2Major Storm Reserve</v>
      </c>
      <c r="AR2368" s="41" t="str">
        <f t="shared" si="1107"/>
        <v>N2Major Storm Reserve</v>
      </c>
    </row>
    <row r="2369" spans="1:44" s="41" customFormat="1" ht="12.75" customHeight="1">
      <c r="A2369" s="25" t="s">
        <v>1590</v>
      </c>
      <c r="B2369" s="25" t="str">
        <f t="shared" si="1129"/>
        <v>Def Tax283500BE030598</v>
      </c>
      <c r="C2369" s="736">
        <v>283500</v>
      </c>
      <c r="D2369" s="735"/>
      <c r="E2369" s="41" t="s">
        <v>768</v>
      </c>
      <c r="F2369" s="41" t="str">
        <f t="shared" si="1120"/>
        <v>ADIT-OTH-REG-FEDERAL-ELECTRIC</v>
      </c>
      <c r="G2369" s="41" t="s">
        <v>822</v>
      </c>
      <c r="H2369" s="736" t="s">
        <v>822</v>
      </c>
      <c r="I2369" s="25"/>
      <c r="J2369" s="25" t="str">
        <f t="shared" si="1121"/>
        <v/>
      </c>
      <c r="K2369" s="442" t="str">
        <f t="shared" si="1130"/>
        <v/>
      </c>
      <c r="L2369" s="736" t="s">
        <v>2443</v>
      </c>
      <c r="M2369" s="25" t="str">
        <f t="shared" si="1108"/>
        <v>R</v>
      </c>
      <c r="N2369" s="25" t="str">
        <f>IF(L2369&lt;&gt;"",VLOOKUP(L2369,Categories!$B$2:$D$41,2,FALSE),IF(F2369&lt;&gt;"","No Cat",""))</f>
        <v>Rate Base</v>
      </c>
      <c r="O2369" s="25" t="str">
        <f>IF($L2369&lt;&gt;"",VLOOKUP($L2369,Categories!$B$2:$D$41,3,FALSE),IF($F2369&lt;&gt;"","No Cat",""))</f>
        <v>Deferred Income Taxes</v>
      </c>
      <c r="P2369" s="736" t="s">
        <v>2482</v>
      </c>
      <c r="Q2369" s="25" t="str">
        <f>VLOOKUP($P2369,Allocators!$B$7:$F$19,5,FALSE)</f>
        <v>Electric</v>
      </c>
      <c r="R2369" s="737">
        <f>VLOOKUP($P2369,Allocators!$B$7:$F$19,2,FALSE)</f>
        <v>1</v>
      </c>
      <c r="S2369" s="737">
        <f>VLOOKUP($P2369,Allocators!$B$7:$F$19,3,FALSE)</f>
        <v>0</v>
      </c>
      <c r="T2369" s="737" t="str">
        <f t="shared" si="1131"/>
        <v>0.0%</v>
      </c>
      <c r="U2369" s="2">
        <f t="shared" si="1114"/>
        <v>629.19727583333304</v>
      </c>
      <c r="V2369" s="2">
        <f t="shared" si="1115"/>
        <v>0</v>
      </c>
      <c r="W2369" s="2">
        <f t="shared" si="1116"/>
        <v>0</v>
      </c>
      <c r="X2369" s="2">
        <f t="shared" si="1112"/>
        <v>629.19727583333304</v>
      </c>
      <c r="Y2369" s="2">
        <f t="shared" si="1117"/>
        <v>755.34842000000003</v>
      </c>
      <c r="Z2369" s="2">
        <f t="shared" si="1118"/>
        <v>0</v>
      </c>
      <c r="AA2369" s="2">
        <f t="shared" si="1119"/>
        <v>0</v>
      </c>
      <c r="AB2369" s="2">
        <f t="shared" si="1113"/>
        <v>755.34842000000003</v>
      </c>
      <c r="AC2369" s="625">
        <v>357.79203999999999</v>
      </c>
      <c r="AD2369" s="625">
        <v>362.83984000000004</v>
      </c>
      <c r="AE2369" s="625">
        <v>368.46080000000001</v>
      </c>
      <c r="AF2369" s="625">
        <v>373.96386000000001</v>
      </c>
      <c r="AG2369" s="625">
        <v>753.16128000000003</v>
      </c>
      <c r="AH2369" s="625">
        <v>718.32889</v>
      </c>
      <c r="AI2369" s="625">
        <v>723.17052000000001</v>
      </c>
      <c r="AJ2369" s="625">
        <v>728.15718000000004</v>
      </c>
      <c r="AK2369" s="625">
        <v>733.38949000000002</v>
      </c>
      <c r="AL2369" s="625">
        <v>738.69686000000002</v>
      </c>
      <c r="AM2369" s="625">
        <v>743.98221000000001</v>
      </c>
      <c r="AN2369" s="625">
        <v>749.64615000000003</v>
      </c>
      <c r="AO2369" s="625">
        <v>755.34842000000003</v>
      </c>
      <c r="AP2369" s="41" t="str">
        <f t="shared" si="1105"/>
        <v>Def TaxR</v>
      </c>
      <c r="AQ2369" s="41" t="str">
        <f t="shared" si="1106"/>
        <v>Def TaxRR11Variable Rate Debt</v>
      </c>
      <c r="AR2369" s="41" t="str">
        <f t="shared" si="1107"/>
        <v>R11Variable Rate Debt</v>
      </c>
    </row>
    <row r="2370" spans="1:44" s="41" customFormat="1" ht="12.75" customHeight="1">
      <c r="A2370" s="25" t="s">
        <v>1590</v>
      </c>
      <c r="B2370" s="25" t="str">
        <f t="shared" si="1129"/>
        <v>Def Tax283500VERP CTABE030903</v>
      </c>
      <c r="C2370" s="736">
        <v>283500</v>
      </c>
      <c r="D2370" s="735" t="s">
        <v>2364</v>
      </c>
      <c r="E2370" s="41" t="s">
        <v>766</v>
      </c>
      <c r="F2370" s="41" t="str">
        <f t="shared" si="1120"/>
        <v>ADIT-OTH-REG-FEDERAL-ELECTRIC</v>
      </c>
      <c r="G2370" s="41" t="s">
        <v>2365</v>
      </c>
      <c r="H2370" s="736" t="s">
        <v>820</v>
      </c>
      <c r="I2370" s="25"/>
      <c r="J2370" s="25" t="str">
        <f t="shared" si="1121"/>
        <v/>
      </c>
      <c r="K2370" s="442" t="str">
        <f t="shared" si="1130"/>
        <v/>
      </c>
      <c r="L2370" s="736" t="s">
        <v>2443</v>
      </c>
      <c r="M2370" s="25" t="str">
        <f t="shared" si="1108"/>
        <v>R</v>
      </c>
      <c r="N2370" s="25" t="str">
        <f>IF(L2370&lt;&gt;"",VLOOKUP(L2370,Categories!$B$2:$D$41,2,FALSE),IF(F2370&lt;&gt;"","No Cat",""))</f>
        <v>Rate Base</v>
      </c>
      <c r="O2370" s="25" t="str">
        <f>IF($L2370&lt;&gt;"",VLOOKUP($L2370,Categories!$B$2:$D$41,3,FALSE),IF($F2370&lt;&gt;"","No Cat",""))</f>
        <v>Deferred Income Taxes</v>
      </c>
      <c r="P2370" s="736" t="s">
        <v>2482</v>
      </c>
      <c r="Q2370" s="25" t="str">
        <f>VLOOKUP($P2370,Allocators!$B$7:$F$19,5,FALSE)</f>
        <v>Electric</v>
      </c>
      <c r="R2370" s="737">
        <f>VLOOKUP($P2370,Allocators!$B$7:$F$19,2,FALSE)</f>
        <v>1</v>
      </c>
      <c r="S2370" s="737">
        <f>VLOOKUP($P2370,Allocators!$B$7:$F$19,3,FALSE)</f>
        <v>0</v>
      </c>
      <c r="T2370" s="737" t="str">
        <f t="shared" si="1131"/>
        <v>0.0%</v>
      </c>
      <c r="U2370" s="2">
        <f t="shared" si="1114"/>
        <v>-34.008400000000002</v>
      </c>
      <c r="V2370" s="2">
        <f t="shared" si="1115"/>
        <v>0</v>
      </c>
      <c r="W2370" s="2">
        <f t="shared" si="1116"/>
        <v>0</v>
      </c>
      <c r="X2370" s="2">
        <f t="shared" si="1112"/>
        <v>-34.008400000000002</v>
      </c>
      <c r="Y2370" s="2">
        <f t="shared" si="1117"/>
        <v>-34.008400000000002</v>
      </c>
      <c r="Z2370" s="2">
        <f t="shared" si="1118"/>
        <v>0</v>
      </c>
      <c r="AA2370" s="2">
        <f t="shared" si="1119"/>
        <v>0</v>
      </c>
      <c r="AB2370" s="2">
        <f t="shared" si="1113"/>
        <v>-34.008400000000002</v>
      </c>
      <c r="AC2370" s="625">
        <v>-34.008400000000002</v>
      </c>
      <c r="AD2370" s="625">
        <v>-34.008400000000002</v>
      </c>
      <c r="AE2370" s="625">
        <v>-34.008400000000002</v>
      </c>
      <c r="AF2370" s="625">
        <v>-34.008400000000002</v>
      </c>
      <c r="AG2370" s="625">
        <v>-34.008400000000002</v>
      </c>
      <c r="AH2370" s="625">
        <v>-34.008400000000002</v>
      </c>
      <c r="AI2370" s="625">
        <v>-34.008400000000002</v>
      </c>
      <c r="AJ2370" s="625">
        <v>-34.008400000000002</v>
      </c>
      <c r="AK2370" s="625">
        <v>-34.008400000000002</v>
      </c>
      <c r="AL2370" s="625">
        <v>-34.008400000000002</v>
      </c>
      <c r="AM2370" s="625">
        <v>-34.008400000000002</v>
      </c>
      <c r="AN2370" s="625">
        <v>-34.008400000000002</v>
      </c>
      <c r="AO2370" s="625">
        <v>-34.008400000000002</v>
      </c>
      <c r="AP2370" s="41" t="str">
        <f t="shared" si="1105"/>
        <v>Def TaxR</v>
      </c>
      <c r="AQ2370" s="41" t="str">
        <f t="shared" si="1106"/>
        <v>Def TaxRR11CTA Efficiency</v>
      </c>
      <c r="AR2370" s="41" t="str">
        <f t="shared" si="1107"/>
        <v>R11CTA Efficiency</v>
      </c>
    </row>
    <row r="2371" spans="1:44" s="41" customFormat="1" ht="12.75" customHeight="1">
      <c r="A2371" s="442" t="s">
        <v>1590</v>
      </c>
      <c r="B2371" s="442" t="str">
        <f t="shared" si="1129"/>
        <v>Def Tax2835050</v>
      </c>
      <c r="C2371" s="736">
        <v>283505</v>
      </c>
      <c r="D2371" s="735">
        <v>0</v>
      </c>
      <c r="E2371" s="626"/>
      <c r="F2371" s="626" t="str">
        <f t="shared" si="1120"/>
        <v>ADIT-FAS 109 GROSSUP-FEDERAL ELECTRIC</v>
      </c>
      <c r="G2371" s="626" t="s">
        <v>2059</v>
      </c>
      <c r="H2371" s="736" t="s">
        <v>8</v>
      </c>
      <c r="I2371" s="442"/>
      <c r="J2371" s="442" t="str">
        <f t="shared" si="1121"/>
        <v/>
      </c>
      <c r="K2371" s="442" t="str">
        <f t="shared" si="1130"/>
        <v>Y</v>
      </c>
      <c r="L2371" s="736" t="s">
        <v>2423</v>
      </c>
      <c r="M2371" s="442" t="str">
        <f t="shared" si="1108"/>
        <v>N</v>
      </c>
      <c r="N2371" s="442" t="str">
        <f>IF(L2371&lt;&gt;"",VLOOKUP(L2371,Categories!$B$2:$D$41,2,FALSE),IF(F2371&lt;&gt;"","No Cat",""))</f>
        <v>NRBASE</v>
      </c>
      <c r="O2371" s="442" t="str">
        <f>IF($L2371&lt;&gt;"",VLOOKUP($L2371,Categories!$B$2:$D$41,3,FALSE),IF($F2371&lt;&gt;"","No Cat",""))</f>
        <v>SFAS-109   (offsetting)</v>
      </c>
      <c r="P2371" s="736" t="s">
        <v>2468</v>
      </c>
      <c r="Q2371" s="442" t="str">
        <f>VLOOKUP($P2371,Allocators!$B$7:$F$19,5,FALSE)</f>
        <v>Not in Rate Base</v>
      </c>
      <c r="R2371" s="737">
        <f>VLOOKUP($P2371,Allocators!$B$7:$F$19,2,FALSE)</f>
        <v>0</v>
      </c>
      <c r="S2371" s="737">
        <f>VLOOKUP($P2371,Allocators!$B$7:$F$19,3,FALSE)</f>
        <v>0</v>
      </c>
      <c r="T2371" s="737">
        <f t="shared" si="1131"/>
        <v>1</v>
      </c>
      <c r="U2371" s="2">
        <f t="shared" si="1114"/>
        <v>0</v>
      </c>
      <c r="V2371" s="2">
        <f t="shared" si="1115"/>
        <v>0</v>
      </c>
      <c r="W2371" s="2">
        <f t="shared" si="1116"/>
        <v>-40218.245893749998</v>
      </c>
      <c r="X2371" s="2">
        <f t="shared" si="1112"/>
        <v>-40218.245893749998</v>
      </c>
      <c r="Y2371" s="2">
        <f t="shared" si="1117"/>
        <v>0</v>
      </c>
      <c r="Z2371" s="2">
        <f t="shared" si="1118"/>
        <v>0</v>
      </c>
      <c r="AA2371" s="2">
        <f t="shared" si="1119"/>
        <v>-38743.366249999999</v>
      </c>
      <c r="AB2371" s="2">
        <f t="shared" si="1113"/>
        <v>-38743.366249999999</v>
      </c>
      <c r="AC2371" s="625">
        <v>-39069.679979999994</v>
      </c>
      <c r="AD2371" s="625">
        <v>-39669.873420000004</v>
      </c>
      <c r="AE2371" s="625">
        <v>-40179.273590000004</v>
      </c>
      <c r="AF2371" s="625">
        <v>-40727.14761</v>
      </c>
      <c r="AG2371" s="625">
        <v>-40566.301399999997</v>
      </c>
      <c r="AH2371" s="625">
        <v>-40068.964999999997</v>
      </c>
      <c r="AI2371" s="625">
        <v>-40192.706090000007</v>
      </c>
      <c r="AJ2371" s="625">
        <v>-41099.346539999999</v>
      </c>
      <c r="AK2371" s="625">
        <v>-40913.90885</v>
      </c>
      <c r="AL2371" s="625">
        <v>-41136.98171</v>
      </c>
      <c r="AM2371" s="625">
        <v>-40919.631229999999</v>
      </c>
      <c r="AN2371" s="625">
        <v>-38238.292170000001</v>
      </c>
      <c r="AO2371" s="625">
        <v>-38743.366249999999</v>
      </c>
      <c r="AP2371" s="41" t="str">
        <f t="shared" si="1105"/>
        <v>Def TaxN</v>
      </c>
      <c r="AQ2371" s="41" t="str">
        <f t="shared" si="1106"/>
        <v>Def TaxNN3SFAS 109</v>
      </c>
      <c r="AR2371" s="41" t="str">
        <f t="shared" si="1107"/>
        <v>N3SFAS 109</v>
      </c>
    </row>
    <row r="2372" spans="1:44" s="41" customFormat="1" ht="12.75" customHeight="1">
      <c r="A2372" s="442" t="s">
        <v>1590</v>
      </c>
      <c r="B2372" s="442" t="str">
        <f t="shared" si="1129"/>
        <v>Def Tax2835060</v>
      </c>
      <c r="C2372" s="736">
        <v>283506</v>
      </c>
      <c r="D2372" s="735">
        <v>0</v>
      </c>
      <c r="E2372" s="626"/>
      <c r="F2372" s="626" t="str">
        <f t="shared" si="1120"/>
        <v>ADIT-FAS 109 GROSSUP-FEDERAL GAS</v>
      </c>
      <c r="G2372" s="626" t="s">
        <v>2059</v>
      </c>
      <c r="H2372" s="736" t="s">
        <v>8</v>
      </c>
      <c r="I2372" s="442"/>
      <c r="J2372" s="442" t="str">
        <f t="shared" si="1121"/>
        <v/>
      </c>
      <c r="K2372" s="442" t="str">
        <f t="shared" si="1130"/>
        <v>Y</v>
      </c>
      <c r="L2372" s="736" t="s">
        <v>2423</v>
      </c>
      <c r="M2372" s="442" t="str">
        <f t="shared" si="1108"/>
        <v>N</v>
      </c>
      <c r="N2372" s="442" t="str">
        <f>IF(L2372&lt;&gt;"",VLOOKUP(L2372,Categories!$B$2:$D$41,2,FALSE),IF(F2372&lt;&gt;"","No Cat",""))</f>
        <v>NRBASE</v>
      </c>
      <c r="O2372" s="442" t="str">
        <f>IF($L2372&lt;&gt;"",VLOOKUP($L2372,Categories!$B$2:$D$41,3,FALSE),IF($F2372&lt;&gt;"","No Cat",""))</f>
        <v>SFAS-109   (offsetting)</v>
      </c>
      <c r="P2372" s="736" t="s">
        <v>2468</v>
      </c>
      <c r="Q2372" s="442" t="str">
        <f>VLOOKUP($P2372,Allocators!$B$7:$F$19,5,FALSE)</f>
        <v>Not in Rate Base</v>
      </c>
      <c r="R2372" s="737">
        <f>VLOOKUP($P2372,Allocators!$B$7:$F$19,2,FALSE)</f>
        <v>0</v>
      </c>
      <c r="S2372" s="737">
        <f>VLOOKUP($P2372,Allocators!$B$7:$F$19,3,FALSE)</f>
        <v>0</v>
      </c>
      <c r="T2372" s="737">
        <f t="shared" si="1131"/>
        <v>1</v>
      </c>
      <c r="U2372" s="2">
        <f t="shared" si="1114"/>
        <v>0</v>
      </c>
      <c r="V2372" s="2">
        <f t="shared" si="1115"/>
        <v>0</v>
      </c>
      <c r="W2372" s="2">
        <f t="shared" si="1116"/>
        <v>-8746.08122083333</v>
      </c>
      <c r="X2372" s="2">
        <f t="shared" si="1112"/>
        <v>-8746.08122083333</v>
      </c>
      <c r="Y2372" s="2">
        <f t="shared" si="1117"/>
        <v>0</v>
      </c>
      <c r="Z2372" s="2">
        <f t="shared" si="1118"/>
        <v>0</v>
      </c>
      <c r="AA2372" s="2">
        <f t="shared" si="1119"/>
        <v>-7862.6646099999998</v>
      </c>
      <c r="AB2372" s="2">
        <f t="shared" si="1113"/>
        <v>-7862.6646100000007</v>
      </c>
      <c r="AC2372" s="625">
        <v>-9458.8197299999993</v>
      </c>
      <c r="AD2372" s="625">
        <v>-9416.7471800000003</v>
      </c>
      <c r="AE2372" s="625">
        <v>-9368.0259900000001</v>
      </c>
      <c r="AF2372" s="625">
        <v>-9333.7541400000009</v>
      </c>
      <c r="AG2372" s="625">
        <v>-9097.2442599999995</v>
      </c>
      <c r="AH2372" s="625">
        <v>-8873.3565799999997</v>
      </c>
      <c r="AI2372" s="625">
        <v>-8753.4448000000011</v>
      </c>
      <c r="AJ2372" s="625">
        <v>-8636.1559099999995</v>
      </c>
      <c r="AK2372" s="625">
        <v>-8525.7088599999988</v>
      </c>
      <c r="AL2372" s="625">
        <v>-8420.2283200000002</v>
      </c>
      <c r="AM2372" s="625">
        <v>-8016.4573099999998</v>
      </c>
      <c r="AN2372" s="625">
        <v>-7851.1091299999998</v>
      </c>
      <c r="AO2372" s="625">
        <v>-7862.6646100000007</v>
      </c>
      <c r="AP2372" s="41" t="str">
        <f t="shared" si="1105"/>
        <v>Def TaxN</v>
      </c>
      <c r="AQ2372" s="41" t="str">
        <f t="shared" si="1106"/>
        <v>Def TaxNN3SFAS 109</v>
      </c>
      <c r="AR2372" s="41" t="str">
        <f t="shared" si="1107"/>
        <v>N3SFAS 109</v>
      </c>
    </row>
    <row r="2373" spans="1:44" s="41" customFormat="1" ht="12.75" customHeight="1">
      <c r="A2373" s="25" t="s">
        <v>1590</v>
      </c>
      <c r="B2373" s="25" t="str">
        <f t="shared" si="1129"/>
        <v>Def Tax283510Cap ExBT010310</v>
      </c>
      <c r="C2373" s="736">
        <v>283510</v>
      </c>
      <c r="D2373" s="735" t="s">
        <v>1619</v>
      </c>
      <c r="E2373" s="41" t="s">
        <v>2302</v>
      </c>
      <c r="F2373" s="41" t="str">
        <f t="shared" si="1120"/>
        <v>ADIT-OTH-REG-FEDERAL-GAS</v>
      </c>
      <c r="G2373" s="41" t="s">
        <v>2303</v>
      </c>
      <c r="H2373" s="736" t="s">
        <v>819</v>
      </c>
      <c r="I2373" s="25"/>
      <c r="J2373" s="25" t="str">
        <f t="shared" si="1121"/>
        <v/>
      </c>
      <c r="K2373" s="442" t="str">
        <f t="shared" si="1130"/>
        <v/>
      </c>
      <c r="L2373" s="736" t="s">
        <v>2443</v>
      </c>
      <c r="M2373" s="25" t="str">
        <f t="shared" si="1108"/>
        <v>R</v>
      </c>
      <c r="N2373" s="25" t="str">
        <f>IF(L2373&lt;&gt;"",VLOOKUP(L2373,Categories!$B$2:$D$41,2,FALSE),IF(F2373&lt;&gt;"","No Cat",""))</f>
        <v>Rate Base</v>
      </c>
      <c r="O2373" s="25" t="str">
        <f>IF($L2373&lt;&gt;"",VLOOKUP($L2373,Categories!$B$2:$D$41,3,FALSE),IF($F2373&lt;&gt;"","No Cat",""))</f>
        <v>Deferred Income Taxes</v>
      </c>
      <c r="P2373" s="736" t="s">
        <v>2483</v>
      </c>
      <c r="Q2373" s="25" t="str">
        <f>VLOOKUP($P2373,Allocators!$B$7:$F$19,5,FALSE)</f>
        <v>Gas</v>
      </c>
      <c r="R2373" s="737">
        <f>VLOOKUP($P2373,Allocators!$B$7:$F$19,2,FALSE)</f>
        <v>0</v>
      </c>
      <c r="S2373" s="737">
        <f>VLOOKUP($P2373,Allocators!$B$7:$F$19,3,FALSE)</f>
        <v>1</v>
      </c>
      <c r="T2373" s="737" t="str">
        <f t="shared" si="1131"/>
        <v>0.0%</v>
      </c>
      <c r="U2373" s="2">
        <f t="shared" si="1114"/>
        <v>0</v>
      </c>
      <c r="V2373" s="2">
        <f t="shared" si="1115"/>
        <v>-250.66757999999999</v>
      </c>
      <c r="W2373" s="2">
        <f t="shared" si="1116"/>
        <v>0</v>
      </c>
      <c r="X2373" s="2">
        <f t="shared" si="1112"/>
        <v>-250.66757999999999</v>
      </c>
      <c r="Y2373" s="2">
        <f t="shared" si="1117"/>
        <v>0</v>
      </c>
      <c r="Z2373" s="2">
        <f t="shared" si="1118"/>
        <v>-250.66757999999999</v>
      </c>
      <c r="AA2373" s="2">
        <f t="shared" si="1119"/>
        <v>0</v>
      </c>
      <c r="AB2373" s="2">
        <f t="shared" si="1113"/>
        <v>-250.66757999999999</v>
      </c>
      <c r="AC2373" s="625">
        <v>-250.66757999999999</v>
      </c>
      <c r="AD2373" s="625">
        <v>-250.66757999999999</v>
      </c>
      <c r="AE2373" s="625">
        <v>-250.66757999999999</v>
      </c>
      <c r="AF2373" s="625">
        <v>-250.66757999999999</v>
      </c>
      <c r="AG2373" s="625">
        <v>-250.66757999999999</v>
      </c>
      <c r="AH2373" s="625">
        <v>-250.66757999999999</v>
      </c>
      <c r="AI2373" s="625">
        <v>-250.66757999999999</v>
      </c>
      <c r="AJ2373" s="625">
        <v>-250.66757999999999</v>
      </c>
      <c r="AK2373" s="625">
        <v>-250.66757999999999</v>
      </c>
      <c r="AL2373" s="625">
        <v>-250.66757999999999</v>
      </c>
      <c r="AM2373" s="625">
        <v>-250.66757999999999</v>
      </c>
      <c r="AN2373" s="625">
        <v>-250.66757999999999</v>
      </c>
      <c r="AO2373" s="625">
        <v>-250.66757999999999</v>
      </c>
      <c r="AP2373" s="41" t="str">
        <f t="shared" si="1105"/>
        <v>Def TaxR</v>
      </c>
      <c r="AQ2373" s="41" t="str">
        <f t="shared" si="1106"/>
        <v>Def TaxRR11Cap Ex Deferral</v>
      </c>
      <c r="AR2373" s="41" t="str">
        <f t="shared" si="1107"/>
        <v>R11Cap Ex Deferral</v>
      </c>
    </row>
    <row r="2374" spans="1:44" s="41" customFormat="1" ht="12.75" customHeight="1">
      <c r="A2374" s="442" t="s">
        <v>1590</v>
      </c>
      <c r="B2374" s="442" t="str">
        <f t="shared" si="1129"/>
        <v>Def Tax283510AROBT010323</v>
      </c>
      <c r="C2374" s="736">
        <v>283510</v>
      </c>
      <c r="D2374" s="735" t="s">
        <v>1613</v>
      </c>
      <c r="E2374" s="626" t="s">
        <v>2304</v>
      </c>
      <c r="F2374" s="626" t="str">
        <f t="shared" si="1120"/>
        <v>ADIT-OTH-REG-FEDERAL-GAS</v>
      </c>
      <c r="G2374" s="626" t="s">
        <v>2305</v>
      </c>
      <c r="H2374" s="736" t="s">
        <v>1138</v>
      </c>
      <c r="I2374" s="442"/>
      <c r="J2374" s="442" t="str">
        <f t="shared" si="1121"/>
        <v/>
      </c>
      <c r="K2374" s="442" t="str">
        <f t="shared" si="1130"/>
        <v/>
      </c>
      <c r="L2374" s="736" t="s">
        <v>2421</v>
      </c>
      <c r="M2374" s="442" t="str">
        <f t="shared" si="1108"/>
        <v>N</v>
      </c>
      <c r="N2374" s="442" t="str">
        <f>IF(L2374&lt;&gt;"",VLOOKUP(L2374,Categories!$B$2:$D$41,2,FALSE),IF(F2374&lt;&gt;"","No Cat",""))</f>
        <v>NRBASE</v>
      </c>
      <c r="O2374" s="442" t="str">
        <f>IF($L2374&lt;&gt;"",VLOOKUP($L2374,Categories!$B$2:$D$41,3,FALSE),IF($F2374&lt;&gt;"","No Cat",""))</f>
        <v>Direct Assign Items Not in RB</v>
      </c>
      <c r="P2374" s="736" t="s">
        <v>2468</v>
      </c>
      <c r="Q2374" s="442" t="str">
        <f>VLOOKUP($P2374,Allocators!$B$7:$F$19,5,FALSE)</f>
        <v>Not in Rate Base</v>
      </c>
      <c r="R2374" s="737">
        <f>VLOOKUP($P2374,Allocators!$B$7:$F$19,2,FALSE)</f>
        <v>0</v>
      </c>
      <c r="S2374" s="737">
        <f>VLOOKUP($P2374,Allocators!$B$7:$F$19,3,FALSE)</f>
        <v>0</v>
      </c>
      <c r="T2374" s="737">
        <f t="shared" si="1131"/>
        <v>1</v>
      </c>
      <c r="U2374" s="2">
        <f t="shared" si="1114"/>
        <v>0</v>
      </c>
      <c r="V2374" s="2">
        <f t="shared" si="1115"/>
        <v>0</v>
      </c>
      <c r="W2374" s="2">
        <f t="shared" si="1116"/>
        <v>145.258749166667</v>
      </c>
      <c r="X2374" s="2">
        <f t="shared" si="1112"/>
        <v>145.258749166667</v>
      </c>
      <c r="Y2374" s="2">
        <f t="shared" si="1117"/>
        <v>0</v>
      </c>
      <c r="Z2374" s="2">
        <f t="shared" si="1118"/>
        <v>0</v>
      </c>
      <c r="AA2374" s="2">
        <f t="shared" si="1119"/>
        <v>180.90965</v>
      </c>
      <c r="AB2374" s="2">
        <f t="shared" si="1113"/>
        <v>180.90965</v>
      </c>
      <c r="AC2374" s="625">
        <v>149.85876999999999</v>
      </c>
      <c r="AD2374" s="625">
        <v>147.99563000000001</v>
      </c>
      <c r="AE2374" s="625">
        <v>146.12446</v>
      </c>
      <c r="AF2374" s="625">
        <v>144.24523000000002</v>
      </c>
      <c r="AG2374" s="625">
        <v>142.35789000000003</v>
      </c>
      <c r="AH2374" s="625">
        <v>140.46242000000001</v>
      </c>
      <c r="AI2374" s="625">
        <v>138.55876999999998</v>
      </c>
      <c r="AJ2374" s="625">
        <v>136.64690999999999</v>
      </c>
      <c r="AK2374" s="625">
        <v>134.7268</v>
      </c>
      <c r="AL2374" s="625">
        <v>132.79842000000002</v>
      </c>
      <c r="AM2374" s="625">
        <v>130.86171999999999</v>
      </c>
      <c r="AN2374" s="625">
        <v>182.94253</v>
      </c>
      <c r="AO2374" s="625">
        <v>180.90965</v>
      </c>
      <c r="AP2374" s="41" t="str">
        <f t="shared" si="1105"/>
        <v>Def TaxN</v>
      </c>
      <c r="AQ2374" s="41" t="str">
        <f t="shared" si="1106"/>
        <v>Def TaxNN2Asset Retirement Obligation</v>
      </c>
      <c r="AR2374" s="41" t="str">
        <f t="shared" si="1107"/>
        <v>N2Asset Retirement Obligation</v>
      </c>
    </row>
    <row r="2375" spans="1:44" s="41" customFormat="1" ht="12.75" customHeight="1">
      <c r="A2375" s="25" t="s">
        <v>1590</v>
      </c>
      <c r="B2375" s="25" t="str">
        <f t="shared" si="1129"/>
        <v>Def Tax283510283-068BC030225/
BT010225</v>
      </c>
      <c r="C2375" s="736">
        <v>283510</v>
      </c>
      <c r="D2375" s="735" t="s">
        <v>2152</v>
      </c>
      <c r="E2375" s="41" t="s">
        <v>1751</v>
      </c>
      <c r="F2375" s="41" t="str">
        <f t="shared" si="1120"/>
        <v>ADIT-OTH-REG-FEDERAL-GAS</v>
      </c>
      <c r="G2375" s="41" t="s">
        <v>1752</v>
      </c>
      <c r="H2375" s="736" t="s">
        <v>1629</v>
      </c>
      <c r="I2375" s="25"/>
      <c r="J2375" s="25" t="str">
        <f t="shared" si="1121"/>
        <v/>
      </c>
      <c r="K2375" s="442" t="str">
        <f t="shared" si="1130"/>
        <v/>
      </c>
      <c r="L2375" s="736" t="s">
        <v>2443</v>
      </c>
      <c r="M2375" s="25" t="str">
        <f t="shared" si="1108"/>
        <v>R</v>
      </c>
      <c r="N2375" s="25" t="str">
        <f>IF(L2375&lt;&gt;"",VLOOKUP(L2375,Categories!$B$2:$D$41,2,FALSE),IF(F2375&lt;&gt;"","No Cat",""))</f>
        <v>Rate Base</v>
      </c>
      <c r="O2375" s="25" t="str">
        <f>IF($L2375&lt;&gt;"",VLOOKUP($L2375,Categories!$B$2:$D$41,3,FALSE),IF($F2375&lt;&gt;"","No Cat",""))</f>
        <v>Deferred Income Taxes</v>
      </c>
      <c r="P2375" s="736" t="s">
        <v>2483</v>
      </c>
      <c r="Q2375" s="25" t="str">
        <f>VLOOKUP($P2375,Allocators!$B$7:$F$19,5,FALSE)</f>
        <v>Gas</v>
      </c>
      <c r="R2375" s="737">
        <f>VLOOKUP($P2375,Allocators!$B$7:$F$19,2,FALSE)</f>
        <v>0</v>
      </c>
      <c r="S2375" s="737">
        <f>VLOOKUP($P2375,Allocators!$B$7:$F$19,3,FALSE)</f>
        <v>1</v>
      </c>
      <c r="T2375" s="737" t="str">
        <f t="shared" si="1131"/>
        <v>0.0%</v>
      </c>
      <c r="U2375" s="2">
        <f t="shared" si="1114"/>
        <v>0</v>
      </c>
      <c r="V2375" s="2">
        <f t="shared" si="1115"/>
        <v>-67.667916250000005</v>
      </c>
      <c r="W2375" s="2">
        <f t="shared" si="1116"/>
        <v>0</v>
      </c>
      <c r="X2375" s="2">
        <f t="shared" si="1112"/>
        <v>-67.667916250000005</v>
      </c>
      <c r="Y2375" s="2">
        <f t="shared" si="1117"/>
        <v>0</v>
      </c>
      <c r="Z2375" s="2">
        <f t="shared" si="1118"/>
        <v>-74.242500000000007</v>
      </c>
      <c r="AA2375" s="2">
        <f t="shared" si="1119"/>
        <v>0</v>
      </c>
      <c r="AB2375" s="2">
        <f t="shared" si="1113"/>
        <v>-74.242500000000007</v>
      </c>
      <c r="AC2375" s="625">
        <v>-61.783830000000002</v>
      </c>
      <c r="AD2375" s="625">
        <v>-62.759279999999997</v>
      </c>
      <c r="AE2375" s="625">
        <v>-63.734730000000006</v>
      </c>
      <c r="AF2375" s="625">
        <v>-64.710179999999994</v>
      </c>
      <c r="AG2375" s="625">
        <v>-65.685630000000003</v>
      </c>
      <c r="AH2375" s="625">
        <v>-66.661079999999998</v>
      </c>
      <c r="AI2375" s="625">
        <v>-67.636529999999993</v>
      </c>
      <c r="AJ2375" s="625">
        <v>-68.611980000000003</v>
      </c>
      <c r="AK2375" s="625">
        <v>-69.587429999999998</v>
      </c>
      <c r="AL2375" s="625">
        <v>-70.562880000000007</v>
      </c>
      <c r="AM2375" s="625">
        <v>-71.538330000000002</v>
      </c>
      <c r="AN2375" s="625">
        <v>-72.513779999999997</v>
      </c>
      <c r="AO2375" s="625">
        <v>-74.242500000000007</v>
      </c>
      <c r="AP2375" s="41" t="str">
        <f t="shared" si="1105"/>
        <v>Def TaxR</v>
      </c>
      <c r="AQ2375" s="41" t="str">
        <f t="shared" si="1106"/>
        <v>Def TaxRR11Merger Related</v>
      </c>
      <c r="AR2375" s="41" t="str">
        <f t="shared" si="1107"/>
        <v>R11Merger Related</v>
      </c>
    </row>
    <row r="2376" spans="1:44" s="41" customFormat="1" ht="12.75" customHeight="1">
      <c r="A2376" s="25" t="s">
        <v>1590</v>
      </c>
      <c r="B2376" s="25" t="str">
        <f t="shared" si="1129"/>
        <v>Def Tax283510Debt AdjBDEFAULT</v>
      </c>
      <c r="C2376" s="736">
        <v>283510</v>
      </c>
      <c r="D2376" s="735" t="s">
        <v>1773</v>
      </c>
      <c r="E2376" s="41" t="s">
        <v>1620</v>
      </c>
      <c r="F2376" s="41" t="str">
        <f t="shared" si="1120"/>
        <v>ADIT-OTH-REG-FEDERAL-GAS</v>
      </c>
      <c r="G2376" s="41" t="s">
        <v>1774</v>
      </c>
      <c r="H2376" s="736" t="s">
        <v>1775</v>
      </c>
      <c r="I2376" s="25"/>
      <c r="J2376" s="25" t="str">
        <f t="shared" si="1121"/>
        <v/>
      </c>
      <c r="K2376" s="442" t="str">
        <f t="shared" si="1130"/>
        <v/>
      </c>
      <c r="L2376" s="736" t="s">
        <v>2443</v>
      </c>
      <c r="M2376" s="25" t="str">
        <f t="shared" si="1108"/>
        <v>R</v>
      </c>
      <c r="N2376" s="25" t="str">
        <f>IF(L2376&lt;&gt;"",VLOOKUP(L2376,Categories!$B$2:$D$41,2,FALSE),IF(F2376&lt;&gt;"","No Cat",""))</f>
        <v>Rate Base</v>
      </c>
      <c r="O2376" s="25" t="str">
        <f>IF($L2376&lt;&gt;"",VLOOKUP($L2376,Categories!$B$2:$D$41,3,FALSE),IF($F2376&lt;&gt;"","No Cat",""))</f>
        <v>Deferred Income Taxes</v>
      </c>
      <c r="P2376" s="736" t="s">
        <v>2483</v>
      </c>
      <c r="Q2376" s="25" t="str">
        <f>VLOOKUP($P2376,Allocators!$B$7:$F$19,5,FALSE)</f>
        <v>Gas</v>
      </c>
      <c r="R2376" s="737">
        <f>VLOOKUP($P2376,Allocators!$B$7:$F$19,2,FALSE)</f>
        <v>0</v>
      </c>
      <c r="S2376" s="737">
        <f>VLOOKUP($P2376,Allocators!$B$7:$F$19,3,FALSE)</f>
        <v>1</v>
      </c>
      <c r="T2376" s="737" t="str">
        <f t="shared" si="1131"/>
        <v>0.0%</v>
      </c>
      <c r="U2376" s="2" t="str">
        <f t="shared" si="1114"/>
        <v/>
      </c>
      <c r="V2376" s="2" t="str">
        <f t="shared" si="1115"/>
        <v/>
      </c>
      <c r="W2376" s="2" t="str">
        <f t="shared" si="1116"/>
        <v/>
      </c>
      <c r="X2376" s="2">
        <f t="shared" si="1112"/>
        <v>0</v>
      </c>
      <c r="Y2376" s="2" t="str">
        <f t="shared" si="1117"/>
        <v/>
      </c>
      <c r="Z2376" s="2" t="str">
        <f t="shared" si="1118"/>
        <v/>
      </c>
      <c r="AA2376" s="2" t="str">
        <f t="shared" si="1119"/>
        <v/>
      </c>
      <c r="AB2376" s="2">
        <f t="shared" si="1113"/>
        <v>0</v>
      </c>
      <c r="AC2376" s="625">
        <v>0</v>
      </c>
      <c r="AD2376" s="625">
        <v>0</v>
      </c>
      <c r="AE2376" s="625">
        <v>0</v>
      </c>
      <c r="AF2376" s="625">
        <v>0</v>
      </c>
      <c r="AG2376" s="625">
        <v>0</v>
      </c>
      <c r="AH2376" s="625">
        <v>0</v>
      </c>
      <c r="AI2376" s="625">
        <v>0</v>
      </c>
      <c r="AJ2376" s="625">
        <v>0</v>
      </c>
      <c r="AK2376" s="625">
        <v>0</v>
      </c>
      <c r="AL2376" s="625">
        <v>0</v>
      </c>
      <c r="AM2376" s="625">
        <v>0</v>
      </c>
      <c r="AN2376" s="625">
        <v>0</v>
      </c>
      <c r="AO2376" s="625">
        <v>0</v>
      </c>
      <c r="AP2376" s="41" t="str">
        <f t="shared" ref="AP2376:AP2439" si="1132">CONCATENATE(A2376,M2376)</f>
        <v>Def TaxR</v>
      </c>
      <c r="AQ2376" s="41" t="str">
        <f t="shared" ref="AQ2376:AQ2439" si="1133">CONCATENATE(AP2376,L2376,H2376)</f>
        <v>Def TaxRR11Gain/Loss on Reacquired Debt</v>
      </c>
      <c r="AR2376" s="41" t="str">
        <f t="shared" ref="AR2376:AR2439" si="1134">CONCATENATE(L2376,H2376,J2376)</f>
        <v>R11Gain/Loss on Reacquired Debt</v>
      </c>
    </row>
    <row r="2377" spans="1:44" s="41" customFormat="1" ht="12.75" customHeight="1">
      <c r="A2377" s="442" t="s">
        <v>1590</v>
      </c>
      <c r="B2377" s="442" t="str">
        <f t="shared" si="1129"/>
        <v>Def Tax283510283-080-JPBT010054</v>
      </c>
      <c r="C2377" s="736">
        <v>283510</v>
      </c>
      <c r="D2377" s="735" t="s">
        <v>2156</v>
      </c>
      <c r="E2377" s="626" t="s">
        <v>2307</v>
      </c>
      <c r="F2377" s="626" t="str">
        <f t="shared" si="1120"/>
        <v>ADIT-OTH-REG-FEDERAL-GAS</v>
      </c>
      <c r="G2377" s="626" t="s">
        <v>2308</v>
      </c>
      <c r="H2377" s="736" t="s">
        <v>1113</v>
      </c>
      <c r="I2377" s="442"/>
      <c r="J2377" s="442" t="str">
        <f t="shared" si="1121"/>
        <v/>
      </c>
      <c r="K2377" s="442" t="str">
        <f t="shared" si="1130"/>
        <v/>
      </c>
      <c r="L2377" s="736" t="s">
        <v>2421</v>
      </c>
      <c r="M2377" s="442" t="str">
        <f t="shared" si="1108"/>
        <v>N</v>
      </c>
      <c r="N2377" s="442" t="str">
        <f>IF(L2377&lt;&gt;"",VLOOKUP(L2377,Categories!$B$2:$D$41,2,FALSE),IF(F2377&lt;&gt;"","No Cat",""))</f>
        <v>NRBASE</v>
      </c>
      <c r="O2377" s="442" t="str">
        <f>IF($L2377&lt;&gt;"",VLOOKUP($L2377,Categories!$B$2:$D$41,3,FALSE),IF($F2377&lt;&gt;"","No Cat",""))</f>
        <v>Direct Assign Items Not in RB</v>
      </c>
      <c r="P2377" s="736" t="s">
        <v>2468</v>
      </c>
      <c r="Q2377" s="442" t="str">
        <f>VLOOKUP($P2377,Allocators!$B$7:$F$19,5,FALSE)</f>
        <v>Not in Rate Base</v>
      </c>
      <c r="R2377" s="737">
        <f>VLOOKUP($P2377,Allocators!$B$7:$F$19,2,FALSE)</f>
        <v>0</v>
      </c>
      <c r="S2377" s="737">
        <f>VLOOKUP($P2377,Allocators!$B$7:$F$19,3,FALSE)</f>
        <v>0</v>
      </c>
      <c r="T2377" s="737">
        <f t="shared" si="1131"/>
        <v>1</v>
      </c>
      <c r="U2377" s="2">
        <f t="shared" si="1114"/>
        <v>0</v>
      </c>
      <c r="V2377" s="2">
        <f t="shared" si="1115"/>
        <v>0</v>
      </c>
      <c r="W2377" s="2">
        <f t="shared" si="1116"/>
        <v>-1296.8371766666701</v>
      </c>
      <c r="X2377" s="2">
        <f t="shared" si="1112"/>
        <v>-1296.8371766666701</v>
      </c>
      <c r="Y2377" s="2">
        <f t="shared" si="1117"/>
        <v>0</v>
      </c>
      <c r="Z2377" s="2">
        <f t="shared" si="1118"/>
        <v>0</v>
      </c>
      <c r="AA2377" s="2">
        <f t="shared" si="1119"/>
        <v>1.0499999999999999E-3</v>
      </c>
      <c r="AB2377" s="2">
        <f t="shared" si="1113"/>
        <v>1.0500000000000002E-3</v>
      </c>
      <c r="AC2377" s="625">
        <v>-4403.3596500000003</v>
      </c>
      <c r="AD2377" s="625">
        <v>-4428.3146100000004</v>
      </c>
      <c r="AE2377" s="625">
        <v>-4453.4110000000001</v>
      </c>
      <c r="AF2377" s="625">
        <v>-4478.6496100000004</v>
      </c>
      <c r="AG2377" s="625">
        <v>1.0500000000000002E-3</v>
      </c>
      <c r="AH2377" s="625">
        <v>1.0500000000000002E-3</v>
      </c>
      <c r="AI2377" s="625">
        <v>1.0500000000000002E-3</v>
      </c>
      <c r="AJ2377" s="625">
        <v>1.0500000000000002E-3</v>
      </c>
      <c r="AK2377" s="625">
        <v>1.0500000000000002E-3</v>
      </c>
      <c r="AL2377" s="625">
        <v>1.0500000000000002E-3</v>
      </c>
      <c r="AM2377" s="625">
        <v>1.0500000000000002E-3</v>
      </c>
      <c r="AN2377" s="625">
        <v>1.0500000000000002E-3</v>
      </c>
      <c r="AO2377" s="625">
        <v>1.0500000000000002E-3</v>
      </c>
      <c r="AP2377" s="41" t="str">
        <f t="shared" si="1132"/>
        <v>Def TaxN</v>
      </c>
      <c r="AQ2377" s="41" t="str">
        <f t="shared" si="1133"/>
        <v>Def TaxNN2Property Tax Deferral</v>
      </c>
      <c r="AR2377" s="41" t="str">
        <f t="shared" si="1134"/>
        <v>N2Property Tax Deferral</v>
      </c>
    </row>
    <row r="2378" spans="1:44" s="41" customFormat="1" ht="12.75" customHeight="1">
      <c r="A2378" s="442" t="s">
        <v>1590</v>
      </c>
      <c r="B2378" s="442" t="str">
        <f t="shared" si="1129"/>
        <v>Def Tax283510EEPSBG030590</v>
      </c>
      <c r="C2378" s="736">
        <v>283510</v>
      </c>
      <c r="D2378" s="735" t="s">
        <v>2366</v>
      </c>
      <c r="E2378" s="626" t="s">
        <v>968</v>
      </c>
      <c r="F2378" s="626" t="str">
        <f t="shared" si="1120"/>
        <v>ADIT-OTH-REG-FEDERAL-GAS</v>
      </c>
      <c r="G2378" s="626" t="s">
        <v>2367</v>
      </c>
      <c r="H2378" s="736" t="s">
        <v>1131</v>
      </c>
      <c r="I2378" s="442"/>
      <c r="J2378" s="442" t="str">
        <f t="shared" si="1121"/>
        <v/>
      </c>
      <c r="K2378" s="442" t="str">
        <f t="shared" si="1130"/>
        <v/>
      </c>
      <c r="L2378" s="736" t="s">
        <v>2421</v>
      </c>
      <c r="M2378" s="442" t="str">
        <f t="shared" si="1108"/>
        <v>N</v>
      </c>
      <c r="N2378" s="442" t="str">
        <f>IF(L2378&lt;&gt;"",VLOOKUP(L2378,Categories!$B$2:$D$41,2,FALSE),IF(F2378&lt;&gt;"","No Cat",""))</f>
        <v>NRBASE</v>
      </c>
      <c r="O2378" s="442" t="str">
        <f>IF($L2378&lt;&gt;"",VLOOKUP($L2378,Categories!$B$2:$D$41,3,FALSE),IF($F2378&lt;&gt;"","No Cat",""))</f>
        <v>Direct Assign Items Not in RB</v>
      </c>
      <c r="P2378" s="736" t="s">
        <v>2468</v>
      </c>
      <c r="Q2378" s="442" t="str">
        <f>VLOOKUP($P2378,Allocators!$B$7:$F$19,5,FALSE)</f>
        <v>Not in Rate Base</v>
      </c>
      <c r="R2378" s="737">
        <f>VLOOKUP($P2378,Allocators!$B$7:$F$19,2,FALSE)</f>
        <v>0</v>
      </c>
      <c r="S2378" s="737">
        <f>VLOOKUP($P2378,Allocators!$B$7:$F$19,3,FALSE)</f>
        <v>0</v>
      </c>
      <c r="T2378" s="737">
        <f t="shared" si="1131"/>
        <v>1</v>
      </c>
      <c r="U2378" s="2">
        <f t="shared" si="1114"/>
        <v>0</v>
      </c>
      <c r="V2378" s="2">
        <f t="shared" si="1115"/>
        <v>0</v>
      </c>
      <c r="W2378" s="2">
        <f t="shared" si="1116"/>
        <v>-11.49991</v>
      </c>
      <c r="X2378" s="2">
        <f t="shared" si="1112"/>
        <v>-11.49991</v>
      </c>
      <c r="Y2378" s="2">
        <f t="shared" si="1117"/>
        <v>0</v>
      </c>
      <c r="Z2378" s="2">
        <f t="shared" si="1118"/>
        <v>0</v>
      </c>
      <c r="AA2378" s="2">
        <f t="shared" si="1119"/>
        <v>-11.49991</v>
      </c>
      <c r="AB2378" s="2">
        <f t="shared" si="1113"/>
        <v>-11.49991</v>
      </c>
      <c r="AC2378" s="625">
        <v>-11.49991</v>
      </c>
      <c r="AD2378" s="625">
        <v>-11.49991</v>
      </c>
      <c r="AE2378" s="625">
        <v>-11.49991</v>
      </c>
      <c r="AF2378" s="625">
        <v>-11.49991</v>
      </c>
      <c r="AG2378" s="625">
        <v>-11.49991</v>
      </c>
      <c r="AH2378" s="625">
        <v>-11.49991</v>
      </c>
      <c r="AI2378" s="625">
        <v>-11.49991</v>
      </c>
      <c r="AJ2378" s="625">
        <v>-11.49991</v>
      </c>
      <c r="AK2378" s="625">
        <v>-11.49991</v>
      </c>
      <c r="AL2378" s="625">
        <v>-11.49991</v>
      </c>
      <c r="AM2378" s="625">
        <v>-11.49991</v>
      </c>
      <c r="AN2378" s="625">
        <v>-11.49991</v>
      </c>
      <c r="AO2378" s="625">
        <v>-11.49991</v>
      </c>
      <c r="AP2378" s="41" t="str">
        <f t="shared" si="1132"/>
        <v>Def TaxN</v>
      </c>
      <c r="AQ2378" s="41" t="str">
        <f t="shared" si="1133"/>
        <v>Def TaxNN2Energy Efficiency Portfolio Standard</v>
      </c>
      <c r="AR2378" s="41" t="str">
        <f t="shared" si="1134"/>
        <v>N2Energy Efficiency Portfolio Standard</v>
      </c>
    </row>
    <row r="2379" spans="1:44" s="41" customFormat="1" ht="12.75" customHeight="1">
      <c r="A2379" s="25" t="s">
        <v>1590</v>
      </c>
      <c r="B2379" s="25" t="str">
        <f t="shared" si="1129"/>
        <v>Def Tax283510Pipeline IntegrityBT010320</v>
      </c>
      <c r="C2379" s="736">
        <v>283510</v>
      </c>
      <c r="D2379" s="735" t="s">
        <v>2368</v>
      </c>
      <c r="E2379" s="41" t="s">
        <v>2369</v>
      </c>
      <c r="F2379" s="41" t="str">
        <f t="shared" si="1120"/>
        <v>ADIT-OTH-REG-FEDERAL-GAS</v>
      </c>
      <c r="G2379" s="41" t="s">
        <v>2370</v>
      </c>
      <c r="H2379" s="736" t="s">
        <v>1132</v>
      </c>
      <c r="I2379" s="25"/>
      <c r="J2379" s="25" t="str">
        <f t="shared" si="1121"/>
        <v/>
      </c>
      <c r="K2379" s="442" t="str">
        <f t="shared" si="1130"/>
        <v/>
      </c>
      <c r="L2379" s="736" t="s">
        <v>2443</v>
      </c>
      <c r="M2379" s="25" t="str">
        <f t="shared" si="1108"/>
        <v>R</v>
      </c>
      <c r="N2379" s="25" t="str">
        <f>IF(L2379&lt;&gt;"",VLOOKUP(L2379,Categories!$B$2:$D$41,2,FALSE),IF(F2379&lt;&gt;"","No Cat",""))</f>
        <v>Rate Base</v>
      </c>
      <c r="O2379" s="25" t="str">
        <f>IF($L2379&lt;&gt;"",VLOOKUP($L2379,Categories!$B$2:$D$41,3,FALSE),IF($F2379&lt;&gt;"","No Cat",""))</f>
        <v>Deferred Income Taxes</v>
      </c>
      <c r="P2379" s="736" t="s">
        <v>2483</v>
      </c>
      <c r="Q2379" s="25" t="str">
        <f>VLOOKUP($P2379,Allocators!$B$7:$F$19,5,FALSE)</f>
        <v>Gas</v>
      </c>
      <c r="R2379" s="737">
        <f>VLOOKUP($P2379,Allocators!$B$7:$F$19,2,FALSE)</f>
        <v>0</v>
      </c>
      <c r="S2379" s="737">
        <f>VLOOKUP($P2379,Allocators!$B$7:$F$19,3,FALSE)</f>
        <v>1</v>
      </c>
      <c r="T2379" s="737" t="str">
        <f t="shared" si="1131"/>
        <v>0.0%</v>
      </c>
      <c r="U2379" s="2">
        <f t="shared" si="1114"/>
        <v>0</v>
      </c>
      <c r="V2379" s="2">
        <f t="shared" si="1115"/>
        <v>98.34494875</v>
      </c>
      <c r="W2379" s="2">
        <f t="shared" si="1116"/>
        <v>0</v>
      </c>
      <c r="X2379" s="2">
        <f t="shared" si="1112"/>
        <v>98.34494875</v>
      </c>
      <c r="Y2379" s="2">
        <f t="shared" si="1117"/>
        <v>0</v>
      </c>
      <c r="Z2379" s="2">
        <f t="shared" si="1118"/>
        <v>76.444460000000007</v>
      </c>
      <c r="AA2379" s="2">
        <f t="shared" si="1119"/>
        <v>0</v>
      </c>
      <c r="AB2379" s="2">
        <f t="shared" si="1113"/>
        <v>76.444460000000007</v>
      </c>
      <c r="AC2379" s="625">
        <v>23.722110000000001</v>
      </c>
      <c r="AD2379" s="625">
        <v>69.660880000000006</v>
      </c>
      <c r="AE2379" s="625">
        <v>103.24741</v>
      </c>
      <c r="AF2379" s="625">
        <v>119.93847</v>
      </c>
      <c r="AG2379" s="625">
        <v>130.88516000000001</v>
      </c>
      <c r="AH2379" s="625">
        <v>124.54524000000001</v>
      </c>
      <c r="AI2379" s="625">
        <v>114.17444</v>
      </c>
      <c r="AJ2379" s="625">
        <v>103.84564999999999</v>
      </c>
      <c r="AK2379" s="625">
        <v>112.67748</v>
      </c>
      <c r="AL2379" s="625">
        <v>106.25000999999999</v>
      </c>
      <c r="AM2379" s="625">
        <v>67.912570000000002</v>
      </c>
      <c r="AN2379" s="625">
        <v>76.918789999999987</v>
      </c>
      <c r="AO2379" s="625">
        <v>76.444460000000007</v>
      </c>
      <c r="AP2379" s="41" t="str">
        <f t="shared" si="1132"/>
        <v>Def TaxR</v>
      </c>
      <c r="AQ2379" s="41" t="str">
        <f t="shared" si="1133"/>
        <v>Def TaxRR11Gas Pipeline Integrity</v>
      </c>
      <c r="AR2379" s="41" t="str">
        <f t="shared" si="1134"/>
        <v>R11Gas Pipeline Integrity</v>
      </c>
    </row>
    <row r="2380" spans="1:44" s="41" customFormat="1" ht="12.75" customHeight="1">
      <c r="A2380" s="25" t="s">
        <v>1590</v>
      </c>
      <c r="B2380" s="25" t="str">
        <f t="shared" si="1129"/>
        <v>Def Tax283510190-102BT010087</v>
      </c>
      <c r="C2380" s="736">
        <v>283510</v>
      </c>
      <c r="D2380" s="735" t="s">
        <v>1761</v>
      </c>
      <c r="E2380" s="41" t="s">
        <v>2321</v>
      </c>
      <c r="F2380" s="41" t="str">
        <f t="shared" si="1120"/>
        <v>ADIT-OTH-REG-FEDERAL-GAS</v>
      </c>
      <c r="G2380" s="41" t="s">
        <v>1762</v>
      </c>
      <c r="H2380" s="736" t="s">
        <v>1114</v>
      </c>
      <c r="I2380" s="25"/>
      <c r="J2380" s="25" t="str">
        <f t="shared" si="1121"/>
        <v/>
      </c>
      <c r="K2380" s="442" t="str">
        <f t="shared" si="1130"/>
        <v/>
      </c>
      <c r="L2380" s="736" t="s">
        <v>2443</v>
      </c>
      <c r="M2380" s="25" t="str">
        <f t="shared" si="1108"/>
        <v>R</v>
      </c>
      <c r="N2380" s="25" t="str">
        <f>IF(L2380&lt;&gt;"",VLOOKUP(L2380,Categories!$B$2:$D$41,2,FALSE),IF(F2380&lt;&gt;"","No Cat",""))</f>
        <v>Rate Base</v>
      </c>
      <c r="O2380" s="25" t="str">
        <f>IF($L2380&lt;&gt;"",VLOOKUP($L2380,Categories!$B$2:$D$41,3,FALSE),IF($F2380&lt;&gt;"","No Cat",""))</f>
        <v>Deferred Income Taxes</v>
      </c>
      <c r="P2380" s="736" t="s">
        <v>2483</v>
      </c>
      <c r="Q2380" s="25" t="str">
        <f>VLOOKUP($P2380,Allocators!$B$7:$F$19,5,FALSE)</f>
        <v>Gas</v>
      </c>
      <c r="R2380" s="737">
        <f>VLOOKUP($P2380,Allocators!$B$7:$F$19,2,FALSE)</f>
        <v>0</v>
      </c>
      <c r="S2380" s="737">
        <f>VLOOKUP($P2380,Allocators!$B$7:$F$19,3,FALSE)</f>
        <v>1</v>
      </c>
      <c r="T2380" s="737" t="str">
        <f t="shared" si="1131"/>
        <v>0.0%</v>
      </c>
      <c r="U2380" s="2">
        <f t="shared" si="1114"/>
        <v>0</v>
      </c>
      <c r="V2380" s="2">
        <f t="shared" si="1115"/>
        <v>-64.453490000000002</v>
      </c>
      <c r="W2380" s="2">
        <f t="shared" si="1116"/>
        <v>0</v>
      </c>
      <c r="X2380" s="2">
        <f t="shared" si="1112"/>
        <v>-64.453490000000002</v>
      </c>
      <c r="Y2380" s="2">
        <f t="shared" si="1117"/>
        <v>0</v>
      </c>
      <c r="Z2380" s="2">
        <f t="shared" si="1118"/>
        <v>-64.453490000000002</v>
      </c>
      <c r="AA2380" s="2">
        <f t="shared" si="1119"/>
        <v>0</v>
      </c>
      <c r="AB2380" s="2">
        <f t="shared" si="1113"/>
        <v>-64.453490000000002</v>
      </c>
      <c r="AC2380" s="625">
        <v>-64.453490000000002</v>
      </c>
      <c r="AD2380" s="625">
        <v>-64.453490000000002</v>
      </c>
      <c r="AE2380" s="625">
        <v>-64.453490000000002</v>
      </c>
      <c r="AF2380" s="625">
        <v>-64.453490000000002</v>
      </c>
      <c r="AG2380" s="625">
        <v>-64.453490000000002</v>
      </c>
      <c r="AH2380" s="625">
        <v>-64.453490000000002</v>
      </c>
      <c r="AI2380" s="625">
        <v>-64.453490000000002</v>
      </c>
      <c r="AJ2380" s="625">
        <v>-64.453490000000002</v>
      </c>
      <c r="AK2380" s="625">
        <v>-64.453490000000002</v>
      </c>
      <c r="AL2380" s="625">
        <v>-64.453490000000002</v>
      </c>
      <c r="AM2380" s="625">
        <v>-64.453490000000002</v>
      </c>
      <c r="AN2380" s="625">
        <v>-64.453490000000002</v>
      </c>
      <c r="AO2380" s="625">
        <v>-64.453490000000002</v>
      </c>
      <c r="AP2380" s="41" t="str">
        <f t="shared" si="1132"/>
        <v>Def TaxR</v>
      </c>
      <c r="AQ2380" s="41" t="str">
        <f t="shared" si="1133"/>
        <v>Def TaxRR11Sarbanes-Oxley</v>
      </c>
      <c r="AR2380" s="41" t="str">
        <f t="shared" si="1134"/>
        <v>R11Sarbanes-Oxley</v>
      </c>
    </row>
    <row r="2381" spans="1:44" s="41" customFormat="1" ht="12.75" customHeight="1">
      <c r="A2381" s="25" t="s">
        <v>1590</v>
      </c>
      <c r="B2381" s="25" t="str">
        <f t="shared" si="1129"/>
        <v>Def Tax283510NYS AuditBT010313</v>
      </c>
      <c r="C2381" s="736">
        <v>283510</v>
      </c>
      <c r="D2381" s="735" t="s">
        <v>2318</v>
      </c>
      <c r="E2381" s="41" t="s">
        <v>2319</v>
      </c>
      <c r="F2381" s="41" t="str">
        <f t="shared" si="1120"/>
        <v>ADIT-OTH-REG-FEDERAL-GAS</v>
      </c>
      <c r="G2381" s="41" t="s">
        <v>2371</v>
      </c>
      <c r="H2381" s="736" t="s">
        <v>1126</v>
      </c>
      <c r="I2381" s="25"/>
      <c r="J2381" s="25" t="str">
        <f t="shared" si="1121"/>
        <v/>
      </c>
      <c r="K2381" s="442" t="str">
        <f t="shared" si="1130"/>
        <v/>
      </c>
      <c r="L2381" s="736" t="s">
        <v>2443</v>
      </c>
      <c r="M2381" s="25" t="str">
        <f t="shared" si="1108"/>
        <v>R</v>
      </c>
      <c r="N2381" s="25" t="str">
        <f>IF(L2381&lt;&gt;"",VLOOKUP(L2381,Categories!$B$2:$D$41,2,FALSE),IF(F2381&lt;&gt;"","No Cat",""))</f>
        <v>Rate Base</v>
      </c>
      <c r="O2381" s="25" t="str">
        <f>IF($L2381&lt;&gt;"",VLOOKUP($L2381,Categories!$B$2:$D$41,3,FALSE),IF($F2381&lt;&gt;"","No Cat",""))</f>
        <v>Deferred Income Taxes</v>
      </c>
      <c r="P2381" s="736" t="s">
        <v>2483</v>
      </c>
      <c r="Q2381" s="25" t="str">
        <f>VLOOKUP($P2381,Allocators!$B$7:$F$19,5,FALSE)</f>
        <v>Gas</v>
      </c>
      <c r="R2381" s="737">
        <f>VLOOKUP($P2381,Allocators!$B$7:$F$19,2,FALSE)</f>
        <v>0</v>
      </c>
      <c r="S2381" s="737">
        <f>VLOOKUP($P2381,Allocators!$B$7:$F$19,3,FALSE)</f>
        <v>1</v>
      </c>
      <c r="T2381" s="737" t="str">
        <f t="shared" si="1131"/>
        <v>0.0%</v>
      </c>
      <c r="U2381" s="2">
        <f t="shared" si="1114"/>
        <v>0</v>
      </c>
      <c r="V2381" s="2">
        <f t="shared" si="1115"/>
        <v>40.483020000000003</v>
      </c>
      <c r="W2381" s="2">
        <f t="shared" si="1116"/>
        <v>0</v>
      </c>
      <c r="X2381" s="2">
        <f t="shared" si="1112"/>
        <v>40.483020000000003</v>
      </c>
      <c r="Y2381" s="2">
        <f t="shared" si="1117"/>
        <v>0</v>
      </c>
      <c r="Z2381" s="2">
        <f t="shared" si="1118"/>
        <v>40.483020000000003</v>
      </c>
      <c r="AA2381" s="2">
        <f t="shared" si="1119"/>
        <v>0</v>
      </c>
      <c r="AB2381" s="2">
        <f t="shared" si="1113"/>
        <v>40.483019999999996</v>
      </c>
      <c r="AC2381" s="625">
        <v>40.483019999999996</v>
      </c>
      <c r="AD2381" s="625">
        <v>40.483019999999996</v>
      </c>
      <c r="AE2381" s="625">
        <v>40.483019999999996</v>
      </c>
      <c r="AF2381" s="625">
        <v>40.483019999999996</v>
      </c>
      <c r="AG2381" s="625">
        <v>40.483019999999996</v>
      </c>
      <c r="AH2381" s="625">
        <v>40.483019999999996</v>
      </c>
      <c r="AI2381" s="625">
        <v>40.483019999999996</v>
      </c>
      <c r="AJ2381" s="625">
        <v>40.483019999999996</v>
      </c>
      <c r="AK2381" s="625">
        <v>40.483019999999996</v>
      </c>
      <c r="AL2381" s="625">
        <v>40.483019999999996</v>
      </c>
      <c r="AM2381" s="625">
        <v>40.483019999999996</v>
      </c>
      <c r="AN2381" s="625">
        <v>40.483019999999996</v>
      </c>
      <c r="AO2381" s="625">
        <v>40.483019999999996</v>
      </c>
      <c r="AP2381" s="41" t="str">
        <f t="shared" si="1132"/>
        <v>Def TaxR</v>
      </c>
      <c r="AQ2381" s="41" t="str">
        <f t="shared" si="1133"/>
        <v>Def TaxRR11NYS Tax Audit</v>
      </c>
      <c r="AR2381" s="41" t="str">
        <f t="shared" si="1134"/>
        <v>R11NYS Tax Audit</v>
      </c>
    </row>
    <row r="2382" spans="1:44" s="41" customFormat="1" ht="12.75" customHeight="1">
      <c r="A2382" s="442" t="s">
        <v>1590</v>
      </c>
      <c r="B2382" s="442" t="str">
        <f t="shared" si="1129"/>
        <v>Def Tax283510FAS 133 RelatedBT010328</v>
      </c>
      <c r="C2382" s="736">
        <v>283510</v>
      </c>
      <c r="D2382" s="735" t="s">
        <v>1594</v>
      </c>
      <c r="E2382" s="626" t="s">
        <v>1776</v>
      </c>
      <c r="F2382" s="626" t="str">
        <f t="shared" si="1120"/>
        <v>ADIT-OTH-REG-FEDERAL-GAS</v>
      </c>
      <c r="G2382" s="626" t="s">
        <v>1777</v>
      </c>
      <c r="H2382" s="736" t="s">
        <v>1594</v>
      </c>
      <c r="I2382" s="442"/>
      <c r="J2382" s="442" t="str">
        <f t="shared" si="1121"/>
        <v/>
      </c>
      <c r="K2382" s="442" t="str">
        <f t="shared" si="1130"/>
        <v/>
      </c>
      <c r="L2382" s="736" t="s">
        <v>2427</v>
      </c>
      <c r="M2382" s="442" t="str">
        <f t="shared" si="1108"/>
        <v>N</v>
      </c>
      <c r="N2382" s="442" t="str">
        <f>IF(L2382&lt;&gt;"",VLOOKUP(L2382,Categories!$B$2:$D$41,2,FALSE),IF(F2382&lt;&gt;"","No Cat",""))</f>
        <v>NRBASE</v>
      </c>
      <c r="O2382" s="442" t="str">
        <f>IF($L2382&lt;&gt;"",VLOOKUP($L2382,Categories!$B$2:$D$41,3,FALSE),IF($F2382&lt;&gt;"","No Cat",""))</f>
        <v>Hedges &amp; OCI</v>
      </c>
      <c r="P2382" s="736" t="s">
        <v>2468</v>
      </c>
      <c r="Q2382" s="442" t="str">
        <f>VLOOKUP($P2382,Allocators!$B$7:$F$19,5,FALSE)</f>
        <v>Not in Rate Base</v>
      </c>
      <c r="R2382" s="737">
        <f>VLOOKUP($P2382,Allocators!$B$7:$F$19,2,FALSE)</f>
        <v>0</v>
      </c>
      <c r="S2382" s="737">
        <f>VLOOKUP($P2382,Allocators!$B$7:$F$19,3,FALSE)</f>
        <v>0</v>
      </c>
      <c r="T2382" s="737">
        <f t="shared" si="1131"/>
        <v>1</v>
      </c>
      <c r="U2382" s="2">
        <f t="shared" si="1114"/>
        <v>0</v>
      </c>
      <c r="V2382" s="2">
        <f t="shared" si="1115"/>
        <v>0</v>
      </c>
      <c r="W2382" s="2">
        <f t="shared" si="1116"/>
        <v>-2255.2010420833299</v>
      </c>
      <c r="X2382" s="2">
        <f t="shared" si="1112"/>
        <v>-2255.2010420833299</v>
      </c>
      <c r="Y2382" s="2">
        <f t="shared" si="1117"/>
        <v>0</v>
      </c>
      <c r="Z2382" s="2">
        <f t="shared" si="1118"/>
        <v>0</v>
      </c>
      <c r="AA2382" s="2">
        <f t="shared" si="1119"/>
        <v>-2942.47426</v>
      </c>
      <c r="AB2382" s="2">
        <f t="shared" si="1113"/>
        <v>-2942.47426</v>
      </c>
      <c r="AC2382" s="625">
        <v>-2157.5719100000001</v>
      </c>
      <c r="AD2382" s="625">
        <v>-2157.5719100000001</v>
      </c>
      <c r="AE2382" s="625">
        <v>-2157.5719100000001</v>
      </c>
      <c r="AF2382" s="625">
        <v>-2157.5719100000001</v>
      </c>
      <c r="AG2382" s="625">
        <v>-2157.5719100000001</v>
      </c>
      <c r="AH2382" s="625">
        <v>-2157.5719100000001</v>
      </c>
      <c r="AI2382" s="625">
        <v>-2157.5719100000001</v>
      </c>
      <c r="AJ2382" s="625">
        <v>-2352.1481699999999</v>
      </c>
      <c r="AK2382" s="625">
        <v>-2205.9087100000002</v>
      </c>
      <c r="AL2382" s="625">
        <v>-2216.1086600000003</v>
      </c>
      <c r="AM2382" s="625">
        <v>-2465.8076099999998</v>
      </c>
      <c r="AN2382" s="625">
        <v>-2326.9848099999999</v>
      </c>
      <c r="AO2382" s="625">
        <v>-2942.47426</v>
      </c>
      <c r="AP2382" s="41" t="str">
        <f t="shared" si="1132"/>
        <v>Def TaxN</v>
      </c>
      <c r="AQ2382" s="41" t="str">
        <f t="shared" si="1133"/>
        <v>Def TaxNN5FAS 133 Related</v>
      </c>
      <c r="AR2382" s="41" t="str">
        <f t="shared" si="1134"/>
        <v>N5FAS 133 Related</v>
      </c>
    </row>
    <row r="2383" spans="1:44" s="41" customFormat="1" ht="12.75" customHeight="1">
      <c r="A2383" s="442" t="s">
        <v>1590</v>
      </c>
      <c r="B2383" s="442" t="str">
        <f t="shared" ref="B2383" si="1135">CONCATENATE(A2383,C2383,D2383,E2383)</f>
        <v>Def Tax283510BT010335</v>
      </c>
      <c r="C2383" s="736">
        <v>283510</v>
      </c>
      <c r="D2383" s="735"/>
      <c r="E2383" s="626" t="s">
        <v>4045</v>
      </c>
      <c r="F2383" s="626" t="str">
        <f t="shared" si="1120"/>
        <v>ADIT-OTH-REG-FEDERAL-GAS</v>
      </c>
      <c r="G2383" s="626" t="s">
        <v>4046</v>
      </c>
      <c r="H2383" s="736" t="s">
        <v>1168</v>
      </c>
      <c r="I2383" s="442"/>
      <c r="J2383" s="442"/>
      <c r="K2383" s="442" t="str">
        <f t="shared" si="1130"/>
        <v/>
      </c>
      <c r="L2383" s="736" t="s">
        <v>2443</v>
      </c>
      <c r="M2383" s="442" t="str">
        <f t="shared" ref="M2383" si="1136">LEFT(L2383,1)</f>
        <v>R</v>
      </c>
      <c r="N2383" s="442" t="str">
        <f>IF(L2383&lt;&gt;"",VLOOKUP(L2383,Categories!$B$2:$D$41,2,FALSE),IF(F2383&lt;&gt;"","No Cat",""))</f>
        <v>Rate Base</v>
      </c>
      <c r="O2383" s="442" t="str">
        <f>IF($L2383&lt;&gt;"",VLOOKUP($L2383,Categories!$B$2:$D$41,3,FALSE),IF($F2383&lt;&gt;"","No Cat",""))</f>
        <v>Deferred Income Taxes</v>
      </c>
      <c r="P2383" s="736" t="s">
        <v>2483</v>
      </c>
      <c r="Q2383" s="442" t="str">
        <f>VLOOKUP($P2383,Allocators!$B$7:$F$19,5,FALSE)</f>
        <v>Gas</v>
      </c>
      <c r="R2383" s="737">
        <f>VLOOKUP($P2383,Allocators!$B$7:$F$19,2,FALSE)</f>
        <v>0</v>
      </c>
      <c r="S2383" s="737">
        <f>VLOOKUP($P2383,Allocators!$B$7:$F$19,3,FALSE)</f>
        <v>1</v>
      </c>
      <c r="T2383" s="737" t="str">
        <f t="shared" ref="T2383" si="1137">IF(P2383="N",1,"0.0%")</f>
        <v>0.0%</v>
      </c>
      <c r="U2383" s="2">
        <f t="shared" si="1114"/>
        <v>0</v>
      </c>
      <c r="V2383" s="2">
        <f t="shared" si="1115"/>
        <v>-160.80563000000001</v>
      </c>
      <c r="W2383" s="2">
        <f t="shared" si="1116"/>
        <v>0</v>
      </c>
      <c r="X2383" s="2">
        <f t="shared" si="1112"/>
        <v>-160.80563000000001</v>
      </c>
      <c r="Y2383" s="2">
        <f t="shared" si="1117"/>
        <v>0</v>
      </c>
      <c r="Z2383" s="2">
        <f t="shared" si="1118"/>
        <v>-160.80563000000001</v>
      </c>
      <c r="AA2383" s="2">
        <f t="shared" si="1119"/>
        <v>0</v>
      </c>
      <c r="AB2383" s="2">
        <f t="shared" si="1113"/>
        <v>-160.80563000000001</v>
      </c>
      <c r="AC2383" s="625">
        <v>-160.80563000000001</v>
      </c>
      <c r="AD2383" s="625">
        <v>-160.80563000000001</v>
      </c>
      <c r="AE2383" s="625">
        <v>-160.80563000000001</v>
      </c>
      <c r="AF2383" s="625">
        <v>-160.80563000000001</v>
      </c>
      <c r="AG2383" s="625">
        <v>-160.80563000000001</v>
      </c>
      <c r="AH2383" s="625">
        <v>-160.80563000000001</v>
      </c>
      <c r="AI2383" s="625">
        <v>-160.80563000000001</v>
      </c>
      <c r="AJ2383" s="625">
        <v>-160.80563000000001</v>
      </c>
      <c r="AK2383" s="625">
        <v>-160.80563000000001</v>
      </c>
      <c r="AL2383" s="625">
        <v>-160.80563000000001</v>
      </c>
      <c r="AM2383" s="625">
        <v>-160.80563000000001</v>
      </c>
      <c r="AN2383" s="625">
        <v>-160.80563000000001</v>
      </c>
      <c r="AO2383" s="625">
        <v>-160.80563000000001</v>
      </c>
      <c r="AP2383" s="41" t="str">
        <f t="shared" si="1132"/>
        <v>Def TaxR</v>
      </c>
      <c r="AQ2383" s="41" t="str">
        <f t="shared" si="1133"/>
        <v>Def TaxRR11Variable Rate Debt - Pre-2004</v>
      </c>
      <c r="AR2383" s="41" t="str">
        <f t="shared" si="1134"/>
        <v>R11Variable Rate Debt - Pre-2004</v>
      </c>
    </row>
    <row r="2384" spans="1:44" s="41" customFormat="1" ht="12.75" customHeight="1">
      <c r="A2384" s="442" t="s">
        <v>1590</v>
      </c>
      <c r="B2384" s="442" t="str">
        <f t="shared" ref="B2384" si="1138">CONCATENATE(A2384,C2384,D2384,E2384)</f>
        <v>Def Tax283510BG030932</v>
      </c>
      <c r="C2384" s="736">
        <v>283510</v>
      </c>
      <c r="D2384" s="735"/>
      <c r="E2384" s="626" t="s">
        <v>4056</v>
      </c>
      <c r="F2384" s="626" t="str">
        <f t="shared" ref="F2384" si="1139">VLOOKUP(C2384,$C$7:$F$787,4,FALSE)</f>
        <v>ADIT-OTH-REG-FEDERAL-GAS</v>
      </c>
      <c r="G2384" s="626" t="s">
        <v>4054</v>
      </c>
      <c r="H2384" s="736" t="s">
        <v>4377</v>
      </c>
      <c r="I2384" s="442"/>
      <c r="J2384" s="442"/>
      <c r="K2384" s="442" t="str">
        <f t="shared" si="1130"/>
        <v/>
      </c>
      <c r="L2384" s="736" t="s">
        <v>2443</v>
      </c>
      <c r="M2384" s="442" t="str">
        <f t="shared" ref="M2384" si="1140">LEFT(L2384,1)</f>
        <v>R</v>
      </c>
      <c r="N2384" s="442" t="str">
        <f>IF(L2384&lt;&gt;"",VLOOKUP(L2384,Categories!$B$2:$D$41,2,FALSE),IF(F2384&lt;&gt;"","No Cat",""))</f>
        <v>Rate Base</v>
      </c>
      <c r="O2384" s="442" t="str">
        <f>IF($L2384&lt;&gt;"",VLOOKUP($L2384,Categories!$B$2:$D$41,3,FALSE),IF($F2384&lt;&gt;"","No Cat",""))</f>
        <v>Deferred Income Taxes</v>
      </c>
      <c r="P2384" s="736" t="s">
        <v>2483</v>
      </c>
      <c r="Q2384" s="442" t="str">
        <f>VLOOKUP($P2384,Allocators!$B$7:$F$19,5,FALSE)</f>
        <v>Gas</v>
      </c>
      <c r="R2384" s="737">
        <f>VLOOKUP($P2384,Allocators!$B$7:$F$19,2,FALSE)</f>
        <v>0</v>
      </c>
      <c r="S2384" s="737">
        <f>VLOOKUP($P2384,Allocators!$B$7:$F$19,3,FALSE)</f>
        <v>1</v>
      </c>
      <c r="T2384" s="737" t="str">
        <f t="shared" ref="T2384" si="1141">IF(P2384="N",1,"0.0%")</f>
        <v>0.0%</v>
      </c>
      <c r="U2384" s="2">
        <f t="shared" si="1114"/>
        <v>0</v>
      </c>
      <c r="V2384" s="2">
        <f t="shared" si="1115"/>
        <v>-7614.2583391666703</v>
      </c>
      <c r="W2384" s="2">
        <f t="shared" si="1116"/>
        <v>0</v>
      </c>
      <c r="X2384" s="2">
        <f t="shared" si="1112"/>
        <v>-7614.2583391666703</v>
      </c>
      <c r="Y2384" s="2">
        <f t="shared" si="1117"/>
        <v>0</v>
      </c>
      <c r="Z2384" s="2">
        <f t="shared" si="1118"/>
        <v>-8567.6833800000004</v>
      </c>
      <c r="AA2384" s="2">
        <f t="shared" si="1119"/>
        <v>0</v>
      </c>
      <c r="AB2384" s="2">
        <f t="shared" si="1113"/>
        <v>-8567.6833800000004</v>
      </c>
      <c r="AC2384" s="625">
        <v>-6531.5443800000003</v>
      </c>
      <c r="AD2384" s="625">
        <v>-6712.9761699999999</v>
      </c>
      <c r="AE2384" s="625">
        <v>-6894.4079599999995</v>
      </c>
      <c r="AF2384" s="625">
        <v>-7075.8397400000003</v>
      </c>
      <c r="AG2384" s="625">
        <v>-7257.27153</v>
      </c>
      <c r="AH2384" s="625">
        <v>-7438.7033200000005</v>
      </c>
      <c r="AI2384" s="625">
        <v>-7620.1351100000002</v>
      </c>
      <c r="AJ2384" s="625">
        <v>-7801.5669000000007</v>
      </c>
      <c r="AK2384" s="625">
        <v>-7982.9986799999997</v>
      </c>
      <c r="AL2384" s="625">
        <v>-8164.4304699999993</v>
      </c>
      <c r="AM2384" s="625">
        <v>-8345.8622599999999</v>
      </c>
      <c r="AN2384" s="625">
        <v>-8527.2940500000004</v>
      </c>
      <c r="AO2384" s="625">
        <v>-8567.6833800000004</v>
      </c>
      <c r="AP2384" s="41" t="str">
        <f t="shared" si="1132"/>
        <v>Def TaxR</v>
      </c>
      <c r="AQ2384" s="41" t="str">
        <f t="shared" si="1133"/>
        <v>Def TaxRR11Funded DIT Tax True-up Deferral</v>
      </c>
      <c r="AR2384" s="41" t="str">
        <f t="shared" si="1134"/>
        <v>R11Funded DIT Tax True-up Deferral</v>
      </c>
    </row>
    <row r="2385" spans="1:44" s="41" customFormat="1" ht="12.75" customHeight="1">
      <c r="A2385" s="442" t="s">
        <v>1590</v>
      </c>
      <c r="B2385" s="442" t="str">
        <f t="shared" ref="B2385" si="1142">CONCATENATE(A2385,C2385,D2385,E2385)</f>
        <v>Def Tax283510BGHUNGDT</v>
      </c>
      <c r="C2385" s="736">
        <v>283510</v>
      </c>
      <c r="D2385" s="735"/>
      <c r="E2385" s="626" t="s">
        <v>4057</v>
      </c>
      <c r="F2385" s="626" t="str">
        <f t="shared" ref="F2385" si="1143">VLOOKUP(C2385,$C$7:$F$787,4,FALSE)</f>
        <v>ADIT-OTH-REG-FEDERAL-GAS</v>
      </c>
      <c r="G2385" s="626" t="s">
        <v>4060</v>
      </c>
      <c r="H2385" s="736" t="s">
        <v>2880</v>
      </c>
      <c r="I2385" s="442"/>
      <c r="J2385" s="442"/>
      <c r="K2385" s="442" t="str">
        <f t="shared" si="1130"/>
        <v/>
      </c>
      <c r="L2385" s="736" t="s">
        <v>2443</v>
      </c>
      <c r="M2385" s="442" t="str">
        <f t="shared" ref="M2385" si="1144">LEFT(L2385,1)</f>
        <v>R</v>
      </c>
      <c r="N2385" s="442" t="str">
        <f>IF(L2385&lt;&gt;"",VLOOKUP(L2385,Categories!$B$2:$D$41,2,FALSE),IF(F2385&lt;&gt;"","No Cat",""))</f>
        <v>Rate Base</v>
      </c>
      <c r="O2385" s="442" t="str">
        <f>IF($L2385&lt;&gt;"",VLOOKUP($L2385,Categories!$B$2:$D$41,3,FALSE),IF($F2385&lt;&gt;"","No Cat",""))</f>
        <v>Deferred Income Taxes</v>
      </c>
      <c r="P2385" s="736" t="s">
        <v>2483</v>
      </c>
      <c r="Q2385" s="442" t="str">
        <f>VLOOKUP($P2385,Allocators!$B$7:$F$19,5,FALSE)</f>
        <v>Gas</v>
      </c>
      <c r="R2385" s="737">
        <f>VLOOKUP($P2385,Allocators!$B$7:$F$19,2,FALSE)</f>
        <v>0</v>
      </c>
      <c r="S2385" s="737">
        <f>VLOOKUP($P2385,Allocators!$B$7:$F$19,3,FALSE)</f>
        <v>1</v>
      </c>
      <c r="T2385" s="737" t="str">
        <f t="shared" ref="T2385" si="1145">IF(P2385="N",1,"0.0%")</f>
        <v>0.0%</v>
      </c>
      <c r="U2385" s="2" t="str">
        <f t="shared" si="1114"/>
        <v/>
      </c>
      <c r="V2385" s="2" t="str">
        <f t="shared" si="1115"/>
        <v/>
      </c>
      <c r="W2385" s="2" t="str">
        <f t="shared" si="1116"/>
        <v/>
      </c>
      <c r="X2385" s="2">
        <f t="shared" si="1112"/>
        <v>0</v>
      </c>
      <c r="Y2385" s="2" t="str">
        <f t="shared" si="1117"/>
        <v/>
      </c>
      <c r="Z2385" s="2" t="str">
        <f t="shared" si="1118"/>
        <v/>
      </c>
      <c r="AA2385" s="2" t="str">
        <f t="shared" si="1119"/>
        <v/>
      </c>
      <c r="AB2385" s="2">
        <f t="shared" si="1113"/>
        <v>0</v>
      </c>
      <c r="AC2385" s="625">
        <v>0</v>
      </c>
      <c r="AD2385" s="625">
        <v>0</v>
      </c>
      <c r="AE2385" s="625">
        <v>0</v>
      </c>
      <c r="AF2385" s="625">
        <v>0</v>
      </c>
      <c r="AG2385" s="625">
        <v>0</v>
      </c>
      <c r="AH2385" s="625">
        <v>0</v>
      </c>
      <c r="AI2385" s="625">
        <v>0</v>
      </c>
      <c r="AJ2385" s="625">
        <v>0</v>
      </c>
      <c r="AK2385" s="625">
        <v>0</v>
      </c>
      <c r="AL2385" s="625">
        <v>0</v>
      </c>
      <c r="AM2385" s="625">
        <v>0</v>
      </c>
      <c r="AN2385" s="625">
        <v>0</v>
      </c>
      <c r="AO2385" s="625">
        <v>0</v>
      </c>
      <c r="AP2385" s="41" t="str">
        <f t="shared" si="1132"/>
        <v>Def TaxR</v>
      </c>
      <c r="AQ2385" s="41" t="str">
        <f t="shared" si="1133"/>
        <v>Def TaxRR11Hung Deferred Taxes</v>
      </c>
      <c r="AR2385" s="41" t="str">
        <f t="shared" si="1134"/>
        <v>R11Hung Deferred Taxes</v>
      </c>
    </row>
    <row r="2386" spans="1:44" s="41" customFormat="1" ht="12.75" customHeight="1">
      <c r="A2386" s="25" t="s">
        <v>1590</v>
      </c>
      <c r="B2386" s="25" t="str">
        <f t="shared" si="1129"/>
        <v>Def Tax283510MedicareBT010125</v>
      </c>
      <c r="C2386" s="736">
        <v>283510</v>
      </c>
      <c r="D2386" s="735" t="s">
        <v>1667</v>
      </c>
      <c r="E2386" s="41" t="s">
        <v>1668</v>
      </c>
      <c r="F2386" s="41" t="str">
        <f t="shared" si="1120"/>
        <v>ADIT-OTH-REG-FEDERAL-GAS</v>
      </c>
      <c r="G2386" s="41" t="s">
        <v>2333</v>
      </c>
      <c r="H2386" s="736" t="s">
        <v>1118</v>
      </c>
      <c r="I2386" s="25"/>
      <c r="J2386" s="25" t="str">
        <f t="shared" si="1121"/>
        <v/>
      </c>
      <c r="K2386" s="442" t="str">
        <f t="shared" si="1130"/>
        <v/>
      </c>
      <c r="L2386" s="736" t="s">
        <v>2443</v>
      </c>
      <c r="M2386" s="25" t="str">
        <f t="shared" ref="M2386:M2454" si="1146">LEFT(L2386,1)</f>
        <v>R</v>
      </c>
      <c r="N2386" s="25" t="str">
        <f>IF(L2386&lt;&gt;"",VLOOKUP(L2386,Categories!$B$2:$D$41,2,FALSE),IF(F2386&lt;&gt;"","No Cat",""))</f>
        <v>Rate Base</v>
      </c>
      <c r="O2386" s="25" t="str">
        <f>IF($L2386&lt;&gt;"",VLOOKUP($L2386,Categories!$B$2:$D$41,3,FALSE),IF($F2386&lt;&gt;"","No Cat",""))</f>
        <v>Deferred Income Taxes</v>
      </c>
      <c r="P2386" s="736" t="s">
        <v>2483</v>
      </c>
      <c r="Q2386" s="25" t="str">
        <f>VLOOKUP($P2386,Allocators!$B$7:$F$19,5,FALSE)</f>
        <v>Gas</v>
      </c>
      <c r="R2386" s="737">
        <f>VLOOKUP($P2386,Allocators!$B$7:$F$19,2,FALSE)</f>
        <v>0</v>
      </c>
      <c r="S2386" s="737">
        <f>VLOOKUP($P2386,Allocators!$B$7:$F$19,3,FALSE)</f>
        <v>1</v>
      </c>
      <c r="T2386" s="737" t="str">
        <f t="shared" si="1131"/>
        <v>0.0%</v>
      </c>
      <c r="U2386" s="2" t="str">
        <f t="shared" si="1114"/>
        <v/>
      </c>
      <c r="V2386" s="2" t="str">
        <f t="shared" si="1115"/>
        <v/>
      </c>
      <c r="W2386" s="2" t="str">
        <f t="shared" si="1116"/>
        <v/>
      </c>
      <c r="X2386" s="2">
        <f t="shared" ref="X2386:X2449" si="1147">IF(ISERROR(ROUND((SUM(AC2386:AO2386)-((AC2386+AO2386))/2)/12,15)),"",ROUND((SUM(AC2386:AO2386)-((AC2386+AO2386))/2)/12,15))</f>
        <v>0</v>
      </c>
      <c r="Y2386" s="2" t="str">
        <f t="shared" si="1117"/>
        <v/>
      </c>
      <c r="Z2386" s="2" t="str">
        <f t="shared" si="1118"/>
        <v/>
      </c>
      <c r="AA2386" s="2" t="str">
        <f t="shared" si="1119"/>
        <v/>
      </c>
      <c r="AB2386" s="2">
        <f t="shared" ref="AB2386:AB2449" si="1148">IF(AO2386="",0,+AO2386)</f>
        <v>0</v>
      </c>
      <c r="AC2386" s="625">
        <v>0</v>
      </c>
      <c r="AD2386" s="625">
        <v>0</v>
      </c>
      <c r="AE2386" s="625">
        <v>0</v>
      </c>
      <c r="AF2386" s="625">
        <v>0</v>
      </c>
      <c r="AG2386" s="625">
        <v>0</v>
      </c>
      <c r="AH2386" s="625">
        <v>0</v>
      </c>
      <c r="AI2386" s="625">
        <v>0</v>
      </c>
      <c r="AJ2386" s="625">
        <v>0</v>
      </c>
      <c r="AK2386" s="625">
        <v>0</v>
      </c>
      <c r="AL2386" s="625">
        <v>0</v>
      </c>
      <c r="AM2386" s="625">
        <v>0</v>
      </c>
      <c r="AN2386" s="625">
        <v>0</v>
      </c>
      <c r="AO2386" s="625">
        <v>0</v>
      </c>
      <c r="AP2386" s="41" t="str">
        <f t="shared" si="1132"/>
        <v>Def TaxR</v>
      </c>
      <c r="AQ2386" s="41" t="str">
        <f t="shared" si="1133"/>
        <v>Def TaxRR11Medicare Part D</v>
      </c>
      <c r="AR2386" s="41" t="str">
        <f t="shared" si="1134"/>
        <v>R11Medicare Part D</v>
      </c>
    </row>
    <row r="2387" spans="1:44" s="41" customFormat="1" ht="12.75" customHeight="1">
      <c r="A2387" s="25" t="s">
        <v>1590</v>
      </c>
      <c r="B2387" s="25" t="str">
        <f t="shared" si="1129"/>
        <v>Def Tax283510Mendon HeaterBG030906</v>
      </c>
      <c r="C2387" s="736">
        <v>283510</v>
      </c>
      <c r="D2387" s="735" t="s">
        <v>999</v>
      </c>
      <c r="E2387" s="41" t="s">
        <v>939</v>
      </c>
      <c r="F2387" s="41" t="str">
        <f t="shared" si="1120"/>
        <v>ADIT-OTH-REG-FEDERAL-GAS</v>
      </c>
      <c r="G2387" s="41" t="s">
        <v>2372</v>
      </c>
      <c r="H2387" s="736" t="s">
        <v>999</v>
      </c>
      <c r="I2387" s="25"/>
      <c r="J2387" s="25" t="str">
        <f t="shared" si="1121"/>
        <v/>
      </c>
      <c r="K2387" s="442" t="str">
        <f t="shared" si="1130"/>
        <v/>
      </c>
      <c r="L2387" s="736" t="s">
        <v>2443</v>
      </c>
      <c r="M2387" s="25" t="str">
        <f t="shared" si="1146"/>
        <v>R</v>
      </c>
      <c r="N2387" s="25" t="str">
        <f>IF(L2387&lt;&gt;"",VLOOKUP(L2387,Categories!$B$2:$D$41,2,FALSE),IF(F2387&lt;&gt;"","No Cat",""))</f>
        <v>Rate Base</v>
      </c>
      <c r="O2387" s="25" t="str">
        <f>IF($L2387&lt;&gt;"",VLOOKUP($L2387,Categories!$B$2:$D$41,3,FALSE),IF($F2387&lt;&gt;"","No Cat",""))</f>
        <v>Deferred Income Taxes</v>
      </c>
      <c r="P2387" s="736" t="s">
        <v>2483</v>
      </c>
      <c r="Q2387" s="25" t="str">
        <f>VLOOKUP($P2387,Allocators!$B$7:$F$19,5,FALSE)</f>
        <v>Gas</v>
      </c>
      <c r="R2387" s="737">
        <f>VLOOKUP($P2387,Allocators!$B$7:$F$19,2,FALSE)</f>
        <v>0</v>
      </c>
      <c r="S2387" s="737">
        <f>VLOOKUP($P2387,Allocators!$B$7:$F$19,3,FALSE)</f>
        <v>1</v>
      </c>
      <c r="T2387" s="737" t="str">
        <f t="shared" si="1131"/>
        <v>0.0%</v>
      </c>
      <c r="U2387" s="2" t="str">
        <f t="shared" si="1114"/>
        <v/>
      </c>
      <c r="V2387" s="2" t="str">
        <f t="shared" si="1115"/>
        <v/>
      </c>
      <c r="W2387" s="2" t="str">
        <f t="shared" si="1116"/>
        <v/>
      </c>
      <c r="X2387" s="2">
        <f t="shared" si="1147"/>
        <v>0</v>
      </c>
      <c r="Y2387" s="2" t="str">
        <f t="shared" si="1117"/>
        <v/>
      </c>
      <c r="Z2387" s="2" t="str">
        <f t="shared" si="1118"/>
        <v/>
      </c>
      <c r="AA2387" s="2" t="str">
        <f t="shared" si="1119"/>
        <v/>
      </c>
      <c r="AB2387" s="2">
        <f t="shared" si="1148"/>
        <v>0</v>
      </c>
      <c r="AC2387" s="625">
        <v>0</v>
      </c>
      <c r="AD2387" s="625">
        <v>0</v>
      </c>
      <c r="AE2387" s="625">
        <v>0</v>
      </c>
      <c r="AF2387" s="625">
        <v>0</v>
      </c>
      <c r="AG2387" s="625">
        <v>0</v>
      </c>
      <c r="AH2387" s="625">
        <v>0</v>
      </c>
      <c r="AI2387" s="625">
        <v>0</v>
      </c>
      <c r="AJ2387" s="625">
        <v>0</v>
      </c>
      <c r="AK2387" s="625">
        <v>0</v>
      </c>
      <c r="AL2387" s="625">
        <v>0</v>
      </c>
      <c r="AM2387" s="625">
        <v>0</v>
      </c>
      <c r="AN2387" s="625">
        <v>0</v>
      </c>
      <c r="AO2387" s="625">
        <v>0</v>
      </c>
      <c r="AP2387" s="41" t="str">
        <f t="shared" si="1132"/>
        <v>Def TaxR</v>
      </c>
      <c r="AQ2387" s="41" t="str">
        <f t="shared" si="1133"/>
        <v>Def TaxRR11Mendon Heater</v>
      </c>
      <c r="AR2387" s="41" t="str">
        <f t="shared" si="1134"/>
        <v>R11Mendon Heater</v>
      </c>
    </row>
    <row r="2388" spans="1:44" s="41" customFormat="1" ht="12.75" customHeight="1">
      <c r="A2388" s="25" t="s">
        <v>1590</v>
      </c>
      <c r="B2388" s="25" t="str">
        <f t="shared" si="1129"/>
        <v>Def Tax283510283-090BT010273</v>
      </c>
      <c r="C2388" s="736">
        <v>283510</v>
      </c>
      <c r="D2388" s="735" t="s">
        <v>2345</v>
      </c>
      <c r="E2388" s="41" t="s">
        <v>2346</v>
      </c>
      <c r="F2388" s="41" t="str">
        <f t="shared" si="1120"/>
        <v>ADIT-OTH-REG-FEDERAL-GAS</v>
      </c>
      <c r="G2388" s="41" t="s">
        <v>2347</v>
      </c>
      <c r="H2388" s="736" t="s">
        <v>1126</v>
      </c>
      <c r="I2388" s="25"/>
      <c r="J2388" s="25" t="str">
        <f t="shared" si="1121"/>
        <v/>
      </c>
      <c r="K2388" s="442" t="str">
        <f t="shared" si="1130"/>
        <v/>
      </c>
      <c r="L2388" s="736" t="s">
        <v>2443</v>
      </c>
      <c r="M2388" s="25" t="str">
        <f t="shared" si="1146"/>
        <v>R</v>
      </c>
      <c r="N2388" s="25" t="str">
        <f>IF(L2388&lt;&gt;"",VLOOKUP(L2388,Categories!$B$2:$D$41,2,FALSE),IF(F2388&lt;&gt;"","No Cat",""))</f>
        <v>Rate Base</v>
      </c>
      <c r="O2388" s="25" t="str">
        <f>IF($L2388&lt;&gt;"",VLOOKUP($L2388,Categories!$B$2:$D$41,3,FALSE),IF($F2388&lt;&gt;"","No Cat",""))</f>
        <v>Deferred Income Taxes</v>
      </c>
      <c r="P2388" s="736" t="s">
        <v>2483</v>
      </c>
      <c r="Q2388" s="25" t="str">
        <f>VLOOKUP($P2388,Allocators!$B$7:$F$19,5,FALSE)</f>
        <v>Gas</v>
      </c>
      <c r="R2388" s="737">
        <f>VLOOKUP($P2388,Allocators!$B$7:$F$19,2,FALSE)</f>
        <v>0</v>
      </c>
      <c r="S2388" s="737">
        <f>VLOOKUP($P2388,Allocators!$B$7:$F$19,3,FALSE)</f>
        <v>1</v>
      </c>
      <c r="T2388" s="737" t="str">
        <f t="shared" si="1131"/>
        <v>0.0%</v>
      </c>
      <c r="U2388" s="2">
        <f t="shared" si="1114"/>
        <v>0</v>
      </c>
      <c r="V2388" s="2">
        <f t="shared" si="1115"/>
        <v>-4.3378699999999997</v>
      </c>
      <c r="W2388" s="2">
        <f t="shared" si="1116"/>
        <v>0</v>
      </c>
      <c r="X2388" s="2">
        <f t="shared" si="1147"/>
        <v>-4.3378699999999997</v>
      </c>
      <c r="Y2388" s="2">
        <f t="shared" si="1117"/>
        <v>0</v>
      </c>
      <c r="Z2388" s="2">
        <f t="shared" si="1118"/>
        <v>-4.3378699999999997</v>
      </c>
      <c r="AA2388" s="2">
        <f t="shared" si="1119"/>
        <v>0</v>
      </c>
      <c r="AB2388" s="2">
        <f t="shared" si="1148"/>
        <v>-4.3378699999999997</v>
      </c>
      <c r="AC2388" s="625">
        <v>-4.3378699999999997</v>
      </c>
      <c r="AD2388" s="625">
        <v>-4.3378699999999997</v>
      </c>
      <c r="AE2388" s="625">
        <v>-4.3378699999999997</v>
      </c>
      <c r="AF2388" s="625">
        <v>-4.3378699999999997</v>
      </c>
      <c r="AG2388" s="625">
        <v>-4.3378699999999997</v>
      </c>
      <c r="AH2388" s="625">
        <v>-4.3378699999999997</v>
      </c>
      <c r="AI2388" s="625">
        <v>-4.3378699999999997</v>
      </c>
      <c r="AJ2388" s="625">
        <v>-4.3378699999999997</v>
      </c>
      <c r="AK2388" s="625">
        <v>-4.3378699999999997</v>
      </c>
      <c r="AL2388" s="625">
        <v>-4.3378699999999997</v>
      </c>
      <c r="AM2388" s="625">
        <v>-4.3378699999999997</v>
      </c>
      <c r="AN2388" s="625">
        <v>-4.3378699999999997</v>
      </c>
      <c r="AO2388" s="625">
        <v>-4.3378699999999997</v>
      </c>
      <c r="AP2388" s="41" t="str">
        <f t="shared" si="1132"/>
        <v>Def TaxR</v>
      </c>
      <c r="AQ2388" s="41" t="str">
        <f t="shared" si="1133"/>
        <v>Def TaxRR11NYS Tax Audit</v>
      </c>
      <c r="AR2388" s="41" t="str">
        <f t="shared" si="1134"/>
        <v>R11NYS Tax Audit</v>
      </c>
    </row>
    <row r="2389" spans="1:44" s="41" customFormat="1" ht="12.75" customHeight="1">
      <c r="A2389" s="25" t="s">
        <v>1590</v>
      </c>
      <c r="B2389" s="25" t="str">
        <f t="shared" si="1129"/>
        <v>Def Tax283510FAS 158 SFASBC030561</v>
      </c>
      <c r="C2389" s="736">
        <v>283510</v>
      </c>
      <c r="D2389" s="735" t="s">
        <v>1961</v>
      </c>
      <c r="E2389" s="41" t="s">
        <v>980</v>
      </c>
      <c r="F2389" s="41" t="str">
        <f t="shared" si="1120"/>
        <v>ADIT-OTH-REG-FEDERAL-GAS</v>
      </c>
      <c r="G2389" s="41" t="s">
        <v>1962</v>
      </c>
      <c r="H2389" s="736" t="s">
        <v>1673</v>
      </c>
      <c r="I2389" s="25"/>
      <c r="J2389" s="25" t="str">
        <f t="shared" si="1121"/>
        <v/>
      </c>
      <c r="K2389" s="442" t="str">
        <f t="shared" si="1130"/>
        <v/>
      </c>
      <c r="L2389" s="736" t="s">
        <v>2443</v>
      </c>
      <c r="M2389" s="25" t="str">
        <f t="shared" si="1146"/>
        <v>R</v>
      </c>
      <c r="N2389" s="25" t="str">
        <f>IF(L2389&lt;&gt;"",VLOOKUP(L2389,Categories!$B$2:$D$41,2,FALSE),IF(F2389&lt;&gt;"","No Cat",""))</f>
        <v>Rate Base</v>
      </c>
      <c r="O2389" s="25" t="str">
        <f>IF($L2389&lt;&gt;"",VLOOKUP($L2389,Categories!$B$2:$D$41,3,FALSE),IF($F2389&lt;&gt;"","No Cat",""))</f>
        <v>Deferred Income Taxes</v>
      </c>
      <c r="P2389" s="736" t="s">
        <v>2483</v>
      </c>
      <c r="Q2389" s="25" t="str">
        <f>VLOOKUP($P2389,Allocators!$B$7:$F$19,5,FALSE)</f>
        <v>Gas</v>
      </c>
      <c r="R2389" s="737">
        <f>VLOOKUP($P2389,Allocators!$B$7:$F$19,2,FALSE)</f>
        <v>0</v>
      </c>
      <c r="S2389" s="737">
        <f>VLOOKUP($P2389,Allocators!$B$7:$F$19,3,FALSE)</f>
        <v>1</v>
      </c>
      <c r="T2389" s="737" t="str">
        <f t="shared" si="1131"/>
        <v>0.0%</v>
      </c>
      <c r="U2389" s="2" t="str">
        <f t="shared" si="1114"/>
        <v/>
      </c>
      <c r="V2389" s="2" t="str">
        <f t="shared" si="1115"/>
        <v/>
      </c>
      <c r="W2389" s="2" t="str">
        <f t="shared" si="1116"/>
        <v/>
      </c>
      <c r="X2389" s="2">
        <f t="shared" si="1147"/>
        <v>0</v>
      </c>
      <c r="Y2389" s="2" t="str">
        <f t="shared" si="1117"/>
        <v/>
      </c>
      <c r="Z2389" s="2" t="str">
        <f t="shared" si="1118"/>
        <v/>
      </c>
      <c r="AA2389" s="2" t="str">
        <f t="shared" si="1119"/>
        <v/>
      </c>
      <c r="AB2389" s="2">
        <f t="shared" si="1148"/>
        <v>0</v>
      </c>
      <c r="AC2389" s="625">
        <v>0</v>
      </c>
      <c r="AD2389" s="625">
        <v>0</v>
      </c>
      <c r="AE2389" s="625">
        <v>0</v>
      </c>
      <c r="AF2389" s="625">
        <v>0</v>
      </c>
      <c r="AG2389" s="625">
        <v>0</v>
      </c>
      <c r="AH2389" s="625">
        <v>0</v>
      </c>
      <c r="AI2389" s="625">
        <v>0</v>
      </c>
      <c r="AJ2389" s="625">
        <v>0</v>
      </c>
      <c r="AK2389" s="625">
        <v>0</v>
      </c>
      <c r="AL2389" s="625">
        <v>0</v>
      </c>
      <c r="AM2389" s="625">
        <v>0</v>
      </c>
      <c r="AN2389" s="625">
        <v>0</v>
      </c>
      <c r="AO2389" s="625">
        <v>0</v>
      </c>
      <c r="AP2389" s="41" t="str">
        <f t="shared" si="1132"/>
        <v>Def TaxR</v>
      </c>
      <c r="AQ2389" s="41" t="str">
        <f t="shared" si="1133"/>
        <v>Def TaxRR11Pension</v>
      </c>
      <c r="AR2389" s="41" t="str">
        <f t="shared" si="1134"/>
        <v>R11Pension</v>
      </c>
    </row>
    <row r="2390" spans="1:44" s="41" customFormat="1" ht="12.75" customHeight="1">
      <c r="A2390" s="25" t="s">
        <v>1590</v>
      </c>
      <c r="B2390" s="25" t="str">
        <f t="shared" si="1129"/>
        <v>Def Tax283510190-015-FAS 158 FBT030562</v>
      </c>
      <c r="C2390" s="736">
        <v>283510</v>
      </c>
      <c r="D2390" s="735" t="s">
        <v>2350</v>
      </c>
      <c r="E2390" s="41" t="s">
        <v>1839</v>
      </c>
      <c r="F2390" s="41" t="str">
        <f t="shared" si="1120"/>
        <v>ADIT-OTH-REG-FEDERAL-GAS</v>
      </c>
      <c r="G2390" s="41" t="s">
        <v>2351</v>
      </c>
      <c r="H2390" s="736" t="s">
        <v>812</v>
      </c>
      <c r="I2390" s="25"/>
      <c r="J2390" s="25" t="str">
        <f t="shared" si="1121"/>
        <v/>
      </c>
      <c r="K2390" s="442" t="str">
        <f t="shared" si="1130"/>
        <v/>
      </c>
      <c r="L2390" s="736" t="s">
        <v>2443</v>
      </c>
      <c r="M2390" s="25" t="str">
        <f t="shared" si="1146"/>
        <v>R</v>
      </c>
      <c r="N2390" s="25" t="str">
        <f>IF(L2390&lt;&gt;"",VLOOKUP(L2390,Categories!$B$2:$D$41,2,FALSE),IF(F2390&lt;&gt;"","No Cat",""))</f>
        <v>Rate Base</v>
      </c>
      <c r="O2390" s="25" t="str">
        <f>IF($L2390&lt;&gt;"",VLOOKUP($L2390,Categories!$B$2:$D$41,3,FALSE),IF($F2390&lt;&gt;"","No Cat",""))</f>
        <v>Deferred Income Taxes</v>
      </c>
      <c r="P2390" s="736" t="s">
        <v>2483</v>
      </c>
      <c r="Q2390" s="25" t="str">
        <f>VLOOKUP($P2390,Allocators!$B$7:$F$19,5,FALSE)</f>
        <v>Gas</v>
      </c>
      <c r="R2390" s="737">
        <f>VLOOKUP($P2390,Allocators!$B$7:$F$19,2,FALSE)</f>
        <v>0</v>
      </c>
      <c r="S2390" s="737">
        <f>VLOOKUP($P2390,Allocators!$B$7:$F$19,3,FALSE)</f>
        <v>1</v>
      </c>
      <c r="T2390" s="737" t="str">
        <f t="shared" si="1131"/>
        <v>0.0%</v>
      </c>
      <c r="U2390" s="2" t="str">
        <f t="shared" si="1114"/>
        <v/>
      </c>
      <c r="V2390" s="2" t="str">
        <f t="shared" si="1115"/>
        <v/>
      </c>
      <c r="W2390" s="2" t="str">
        <f t="shared" si="1116"/>
        <v/>
      </c>
      <c r="X2390" s="2">
        <f t="shared" si="1147"/>
        <v>0</v>
      </c>
      <c r="Y2390" s="2" t="str">
        <f t="shared" si="1117"/>
        <v/>
      </c>
      <c r="Z2390" s="2" t="str">
        <f t="shared" si="1118"/>
        <v/>
      </c>
      <c r="AA2390" s="2" t="str">
        <f t="shared" si="1119"/>
        <v/>
      </c>
      <c r="AB2390" s="2">
        <f t="shared" si="1148"/>
        <v>0</v>
      </c>
      <c r="AC2390" s="625">
        <v>0</v>
      </c>
      <c r="AD2390" s="625">
        <v>0</v>
      </c>
      <c r="AE2390" s="625">
        <v>0</v>
      </c>
      <c r="AF2390" s="625">
        <v>0</v>
      </c>
      <c r="AG2390" s="625">
        <v>0</v>
      </c>
      <c r="AH2390" s="625">
        <v>0</v>
      </c>
      <c r="AI2390" s="625">
        <v>0</v>
      </c>
      <c r="AJ2390" s="625">
        <v>0</v>
      </c>
      <c r="AK2390" s="625">
        <v>0</v>
      </c>
      <c r="AL2390" s="625">
        <v>0</v>
      </c>
      <c r="AM2390" s="625">
        <v>0</v>
      </c>
      <c r="AN2390" s="625">
        <v>0</v>
      </c>
      <c r="AO2390" s="625">
        <v>0</v>
      </c>
      <c r="AP2390" s="41" t="str">
        <f t="shared" si="1132"/>
        <v>Def TaxR</v>
      </c>
      <c r="AQ2390" s="41" t="str">
        <f t="shared" si="1133"/>
        <v>Def TaxRR11OPEB True-up</v>
      </c>
      <c r="AR2390" s="41" t="str">
        <f t="shared" si="1134"/>
        <v>R11OPEB True-up</v>
      </c>
    </row>
    <row r="2391" spans="1:44" s="41" customFormat="1" ht="12.75" customHeight="1">
      <c r="A2391" s="442" t="s">
        <v>1590</v>
      </c>
      <c r="B2391" s="442" t="str">
        <f t="shared" si="1129"/>
        <v>Def Tax283510PSC AssessBT010353</v>
      </c>
      <c r="C2391" s="736">
        <v>283510</v>
      </c>
      <c r="D2391" s="735" t="s">
        <v>2355</v>
      </c>
      <c r="E2391" s="626" t="s">
        <v>2356</v>
      </c>
      <c r="F2391" s="626" t="str">
        <f t="shared" si="1120"/>
        <v>ADIT-OTH-REG-FEDERAL-GAS</v>
      </c>
      <c r="G2391" s="626" t="s">
        <v>2357</v>
      </c>
      <c r="H2391" s="736" t="s">
        <v>817</v>
      </c>
      <c r="I2391" s="442"/>
      <c r="J2391" s="442" t="str">
        <f t="shared" si="1121"/>
        <v/>
      </c>
      <c r="K2391" s="442" t="str">
        <f t="shared" si="1130"/>
        <v/>
      </c>
      <c r="L2391" s="736" t="s">
        <v>2421</v>
      </c>
      <c r="M2391" s="442" t="str">
        <f t="shared" si="1146"/>
        <v>N</v>
      </c>
      <c r="N2391" s="442" t="str">
        <f>IF(L2391&lt;&gt;"",VLOOKUP(L2391,Categories!$B$2:$D$41,2,FALSE),IF(F2391&lt;&gt;"","No Cat",""))</f>
        <v>NRBASE</v>
      </c>
      <c r="O2391" s="442" t="str">
        <f>IF($L2391&lt;&gt;"",VLOOKUP($L2391,Categories!$B$2:$D$41,3,FALSE),IF($F2391&lt;&gt;"","No Cat",""))</f>
        <v>Direct Assign Items Not in RB</v>
      </c>
      <c r="P2391" s="736" t="s">
        <v>2468</v>
      </c>
      <c r="Q2391" s="442" t="str">
        <f>VLOOKUP($P2391,Allocators!$B$7:$F$19,5,FALSE)</f>
        <v>Not in Rate Base</v>
      </c>
      <c r="R2391" s="737">
        <f>VLOOKUP($P2391,Allocators!$B$7:$F$19,2,FALSE)</f>
        <v>0</v>
      </c>
      <c r="S2391" s="737">
        <f>VLOOKUP($P2391,Allocators!$B$7:$F$19,3,FALSE)</f>
        <v>0</v>
      </c>
      <c r="T2391" s="737">
        <f t="shared" si="1131"/>
        <v>1</v>
      </c>
      <c r="U2391" s="2">
        <f t="shared" si="1114"/>
        <v>0</v>
      </c>
      <c r="V2391" s="2">
        <f t="shared" si="1115"/>
        <v>0</v>
      </c>
      <c r="W2391" s="2">
        <f t="shared" si="1116"/>
        <v>-285.92999416666697</v>
      </c>
      <c r="X2391" s="2">
        <f t="shared" si="1147"/>
        <v>-285.92999416666697</v>
      </c>
      <c r="Y2391" s="2">
        <f t="shared" si="1117"/>
        <v>0</v>
      </c>
      <c r="Z2391" s="2">
        <f t="shared" si="1118"/>
        <v>0</v>
      </c>
      <c r="AA2391" s="2">
        <f t="shared" si="1119"/>
        <v>-498.82611000000003</v>
      </c>
      <c r="AB2391" s="2">
        <f t="shared" si="1148"/>
        <v>-498.82610999999997</v>
      </c>
      <c r="AC2391" s="625">
        <v>-2.5000000000000001E-4</v>
      </c>
      <c r="AD2391" s="625">
        <v>-2.5000000000000001E-4</v>
      </c>
      <c r="AE2391" s="625">
        <v>-2.5000000000000001E-4</v>
      </c>
      <c r="AF2391" s="625">
        <v>0</v>
      </c>
      <c r="AG2391" s="625">
        <v>0</v>
      </c>
      <c r="AH2391" s="625">
        <v>0</v>
      </c>
      <c r="AI2391" s="625">
        <v>0</v>
      </c>
      <c r="AJ2391" s="625">
        <v>-496.28334999999998</v>
      </c>
      <c r="AK2391" s="625">
        <v>-665.43056999999999</v>
      </c>
      <c r="AL2391" s="625">
        <v>-818.89435000000003</v>
      </c>
      <c r="AM2391" s="625">
        <v>-618.04095999999993</v>
      </c>
      <c r="AN2391" s="625">
        <v>-583.09702000000004</v>
      </c>
      <c r="AO2391" s="625">
        <v>-498.82610999999997</v>
      </c>
      <c r="AP2391" s="41" t="str">
        <f t="shared" si="1132"/>
        <v>Def TaxN</v>
      </c>
      <c r="AQ2391" s="41" t="str">
        <f t="shared" si="1133"/>
        <v>Def TaxNN2PSC Assessment</v>
      </c>
      <c r="AR2391" s="41" t="str">
        <f t="shared" si="1134"/>
        <v>N2PSC Assessment</v>
      </c>
    </row>
    <row r="2392" spans="1:44" s="41" customFormat="1" ht="12.75" customHeight="1">
      <c r="A2392" s="442" t="s">
        <v>1590</v>
      </c>
      <c r="B2392" s="442" t="str">
        <f t="shared" si="1129"/>
        <v>Def Tax283510BG030904</v>
      </c>
      <c r="C2392" s="736">
        <v>283510</v>
      </c>
      <c r="D2392" s="735"/>
      <c r="E2392" s="626" t="s">
        <v>944</v>
      </c>
      <c r="F2392" s="626" t="str">
        <f t="shared" si="1120"/>
        <v>ADIT-OTH-REG-FEDERAL-GAS</v>
      </c>
      <c r="G2392" s="626" t="s">
        <v>2028</v>
      </c>
      <c r="H2392" s="736" t="s">
        <v>823</v>
      </c>
      <c r="I2392" s="442"/>
      <c r="J2392" s="442" t="s">
        <v>7</v>
      </c>
      <c r="K2392" s="442" t="str">
        <f t="shared" si="1130"/>
        <v/>
      </c>
      <c r="L2392" s="736" t="s">
        <v>2436</v>
      </c>
      <c r="M2392" s="442" t="str">
        <f t="shared" si="1146"/>
        <v>N</v>
      </c>
      <c r="N2392" s="442" t="str">
        <f>IF(L2392&lt;&gt;"",VLOOKUP(L2392,Categories!$B$2:$D$41,2,FALSE),IF(F2392&lt;&gt;"","No Cat",""))</f>
        <v>NRBASE</v>
      </c>
      <c r="O2392" s="442" t="str">
        <f>IF($L2392&lt;&gt;"",VLOOKUP($L2392,Categories!$B$2:$D$41,3,FALSE),IF($F2392&lt;&gt;"","No Cat",""))</f>
        <v>Deferrals Accruing Non-Cash Return   (other than ASGA)</v>
      </c>
      <c r="P2392" s="736" t="s">
        <v>2468</v>
      </c>
      <c r="Q2392" s="442" t="str">
        <f>VLOOKUP($P2392,Allocators!$B$7:$F$19,5,FALSE)</f>
        <v>Not in Rate Base</v>
      </c>
      <c r="R2392" s="737">
        <f>VLOOKUP($P2392,Allocators!$B$7:$F$19,2,FALSE)</f>
        <v>0</v>
      </c>
      <c r="S2392" s="737">
        <f>VLOOKUP($P2392,Allocators!$B$7:$F$19,3,FALSE)</f>
        <v>0</v>
      </c>
      <c r="T2392" s="737">
        <f t="shared" si="1131"/>
        <v>1</v>
      </c>
      <c r="U2392" s="2">
        <f t="shared" si="1114"/>
        <v>0</v>
      </c>
      <c r="V2392" s="2">
        <f t="shared" si="1115"/>
        <v>0</v>
      </c>
      <c r="W2392" s="2">
        <f t="shared" si="1116"/>
        <v>831.26303041666699</v>
      </c>
      <c r="X2392" s="2">
        <f t="shared" si="1147"/>
        <v>831.26303041666699</v>
      </c>
      <c r="Y2392" s="2">
        <f t="shared" si="1117"/>
        <v>0</v>
      </c>
      <c r="Z2392" s="2">
        <f t="shared" si="1118"/>
        <v>0</v>
      </c>
      <c r="AA2392" s="2">
        <f t="shared" si="1119"/>
        <v>431.31765000000001</v>
      </c>
      <c r="AB2392" s="2">
        <f t="shared" si="1148"/>
        <v>431.31765000000001</v>
      </c>
      <c r="AC2392" s="625">
        <v>1533.9018799999999</v>
      </c>
      <c r="AD2392" s="625">
        <v>1746.8603000000001</v>
      </c>
      <c r="AE2392" s="625">
        <v>1576.07466</v>
      </c>
      <c r="AF2392" s="625">
        <v>1351.7884799999999</v>
      </c>
      <c r="AG2392" s="625">
        <v>1094.33818</v>
      </c>
      <c r="AH2392" s="625">
        <v>870.41373999999996</v>
      </c>
      <c r="AI2392" s="625">
        <v>655.21429000000001</v>
      </c>
      <c r="AJ2392" s="625">
        <v>589.76154000000008</v>
      </c>
      <c r="AK2392" s="625">
        <v>325.85827</v>
      </c>
      <c r="AL2392" s="625">
        <v>237.49173999999999</v>
      </c>
      <c r="AM2392" s="625">
        <v>200.02992999999998</v>
      </c>
      <c r="AN2392" s="625">
        <v>344.71546999999998</v>
      </c>
      <c r="AO2392" s="625">
        <v>431.31765000000001</v>
      </c>
      <c r="AP2392" s="41" t="str">
        <f t="shared" si="1132"/>
        <v>Def TaxN</v>
      </c>
      <c r="AQ2392" s="41" t="str">
        <f t="shared" si="1133"/>
        <v>Def TaxNN10RDM</v>
      </c>
      <c r="AR2392" s="41" t="str">
        <f t="shared" si="1134"/>
        <v>N10RDMNCR</v>
      </c>
    </row>
    <row r="2393" spans="1:44" s="41" customFormat="1" ht="12.75" customHeight="1">
      <c r="A2393" s="25" t="s">
        <v>1590</v>
      </c>
      <c r="B2393" s="25" t="str">
        <f t="shared" si="1129"/>
        <v>Def Tax283510283-082-JPBT010168</v>
      </c>
      <c r="C2393" s="736">
        <v>283510</v>
      </c>
      <c r="D2393" s="735" t="s">
        <v>2241</v>
      </c>
      <c r="E2393" s="41" t="s">
        <v>2360</v>
      </c>
      <c r="F2393" s="41" t="str">
        <f t="shared" si="1120"/>
        <v>ADIT-OTH-REG-FEDERAL-GAS</v>
      </c>
      <c r="G2393" s="41" t="s">
        <v>2361</v>
      </c>
      <c r="H2393" s="736" t="s">
        <v>1117</v>
      </c>
      <c r="I2393" s="25"/>
      <c r="J2393" s="25" t="str">
        <f t="shared" si="1121"/>
        <v/>
      </c>
      <c r="K2393" s="442" t="str">
        <f t="shared" si="1130"/>
        <v/>
      </c>
      <c r="L2393" s="736" t="s">
        <v>2443</v>
      </c>
      <c r="M2393" s="25" t="str">
        <f t="shared" si="1146"/>
        <v>R</v>
      </c>
      <c r="N2393" s="25" t="str">
        <f>IF(L2393&lt;&gt;"",VLOOKUP(L2393,Categories!$B$2:$D$41,2,FALSE),IF(F2393&lt;&gt;"","No Cat",""))</f>
        <v>Rate Base</v>
      </c>
      <c r="O2393" s="25" t="str">
        <f>IF($L2393&lt;&gt;"",VLOOKUP($L2393,Categories!$B$2:$D$41,3,FALSE),IF($F2393&lt;&gt;"","No Cat",""))</f>
        <v>Deferred Income Taxes</v>
      </c>
      <c r="P2393" s="736" t="s">
        <v>2483</v>
      </c>
      <c r="Q2393" s="25" t="str">
        <f>VLOOKUP($P2393,Allocators!$B$7:$F$19,5,FALSE)</f>
        <v>Gas</v>
      </c>
      <c r="R2393" s="737">
        <f>VLOOKUP($P2393,Allocators!$B$7:$F$19,2,FALSE)</f>
        <v>0</v>
      </c>
      <c r="S2393" s="737">
        <f>VLOOKUP($P2393,Allocators!$B$7:$F$19,3,FALSE)</f>
        <v>1</v>
      </c>
      <c r="T2393" s="737" t="str">
        <f t="shared" si="1131"/>
        <v>0.0%</v>
      </c>
      <c r="U2393" s="2">
        <f t="shared" si="1114"/>
        <v>0</v>
      </c>
      <c r="V2393" s="2">
        <f t="shared" si="1115"/>
        <v>-6.037E-2</v>
      </c>
      <c r="W2393" s="2">
        <f t="shared" si="1116"/>
        <v>0</v>
      </c>
      <c r="X2393" s="2">
        <f t="shared" si="1147"/>
        <v>-6.037E-2</v>
      </c>
      <c r="Y2393" s="2">
        <f t="shared" si="1117"/>
        <v>0</v>
      </c>
      <c r="Z2393" s="2">
        <f t="shared" si="1118"/>
        <v>-6.037E-2</v>
      </c>
      <c r="AA2393" s="2">
        <f t="shared" si="1119"/>
        <v>0</v>
      </c>
      <c r="AB2393" s="2">
        <f t="shared" si="1148"/>
        <v>-6.037E-2</v>
      </c>
      <c r="AC2393" s="625">
        <v>-6.037E-2</v>
      </c>
      <c r="AD2393" s="625">
        <v>-6.037E-2</v>
      </c>
      <c r="AE2393" s="625">
        <v>-6.037E-2</v>
      </c>
      <c r="AF2393" s="625">
        <v>-6.037E-2</v>
      </c>
      <c r="AG2393" s="625">
        <v>-6.037E-2</v>
      </c>
      <c r="AH2393" s="625">
        <v>-6.037E-2</v>
      </c>
      <c r="AI2393" s="625">
        <v>-6.037E-2</v>
      </c>
      <c r="AJ2393" s="625">
        <v>-6.037E-2</v>
      </c>
      <c r="AK2393" s="625">
        <v>-6.037E-2</v>
      </c>
      <c r="AL2393" s="625">
        <v>-6.037E-2</v>
      </c>
      <c r="AM2393" s="625">
        <v>-6.037E-2</v>
      </c>
      <c r="AN2393" s="625">
        <v>-6.037E-2</v>
      </c>
      <c r="AO2393" s="625">
        <v>-6.037E-2</v>
      </c>
      <c r="AP2393" s="41" t="str">
        <f t="shared" si="1132"/>
        <v>Def TaxR</v>
      </c>
      <c r="AQ2393" s="41" t="str">
        <f t="shared" si="1133"/>
        <v>Def TaxRR11Security Costs</v>
      </c>
      <c r="AR2393" s="41" t="str">
        <f t="shared" si="1134"/>
        <v>R11Security Costs</v>
      </c>
    </row>
    <row r="2394" spans="1:44" s="41" customFormat="1" ht="12.75" customHeight="1">
      <c r="A2394" s="25" t="s">
        <v>1590</v>
      </c>
      <c r="B2394" s="25" t="str">
        <f t="shared" si="1129"/>
        <v>Def Tax283510283-026BT010071/
BT010072</v>
      </c>
      <c r="C2394" s="736">
        <v>283510</v>
      </c>
      <c r="D2394" s="735" t="s">
        <v>1706</v>
      </c>
      <c r="E2394" s="41" t="s">
        <v>2373</v>
      </c>
      <c r="F2394" s="41" t="str">
        <f t="shared" si="1120"/>
        <v>ADIT-OTH-REG-FEDERAL-GAS</v>
      </c>
      <c r="G2394" s="41" t="s">
        <v>2243</v>
      </c>
      <c r="H2394" s="736" t="s">
        <v>1134</v>
      </c>
      <c r="I2394" s="25"/>
      <c r="J2394" s="25" t="str">
        <f t="shared" si="1121"/>
        <v/>
      </c>
      <c r="K2394" s="442" t="str">
        <f t="shared" si="1130"/>
        <v/>
      </c>
      <c r="L2394" s="736" t="s">
        <v>2421</v>
      </c>
      <c r="M2394" s="25" t="str">
        <f t="shared" si="1146"/>
        <v>N</v>
      </c>
      <c r="N2394" s="25" t="str">
        <f>IF(L2394&lt;&gt;"",VLOOKUP(L2394,Categories!$B$2:$D$41,2,FALSE),IF(F2394&lt;&gt;"","No Cat",""))</f>
        <v>NRBASE</v>
      </c>
      <c r="O2394" s="25" t="str">
        <f>IF($L2394&lt;&gt;"",VLOOKUP($L2394,Categories!$B$2:$D$41,3,FALSE),IF($F2394&lt;&gt;"","No Cat",""))</f>
        <v>Direct Assign Items Not in RB</v>
      </c>
      <c r="P2394" s="736" t="s">
        <v>2468</v>
      </c>
      <c r="Q2394" s="25" t="str">
        <f>VLOOKUP($P2394,Allocators!$B$7:$F$19,5,FALSE)</f>
        <v>Not in Rate Base</v>
      </c>
      <c r="R2394" s="737">
        <f>VLOOKUP($P2394,Allocators!$B$7:$F$19,2,FALSE)</f>
        <v>0</v>
      </c>
      <c r="S2394" s="737">
        <f>VLOOKUP($P2394,Allocators!$B$7:$F$19,3,FALSE)</f>
        <v>0</v>
      </c>
      <c r="T2394" s="737">
        <f t="shared" si="1131"/>
        <v>1</v>
      </c>
      <c r="U2394" s="2">
        <f t="shared" ref="U2394:U2457" si="1149">IF(ABS(X2394)=0,"",IF($R2394="NO ALLOC","NO ALLOC",ROUND($R2394*X2394,15)))</f>
        <v>0</v>
      </c>
      <c r="V2394" s="2">
        <f t="shared" ref="V2394:V2457" si="1150">IF(ABS(X2394)=0,"",IF($S2394="NO ALLOC","NO ALLOC",ROUND($S2394*X2394,15)))</f>
        <v>0</v>
      </c>
      <c r="W2394" s="2">
        <f t="shared" ref="W2394:W2457" si="1151">IF(ABS(X2394)=0,"",IF($T2394="NO ALLOC","NO ALLOC",ROUND($T2394*X2394,15)))</f>
        <v>-11148.088451666699</v>
      </c>
      <c r="X2394" s="2">
        <f t="shared" si="1147"/>
        <v>-11148.088451666699</v>
      </c>
      <c r="Y2394" s="2">
        <f t="shared" ref="Y2394:Y2457" si="1152">IF(ABS(AB2394)=0,"",IF($R2394="NO ALLOC","NO ALLOC",ROUND($R2394*AB2394,15)))</f>
        <v>0</v>
      </c>
      <c r="Z2394" s="2">
        <f t="shared" ref="Z2394:Z2457" si="1153">IF(ABS(AB2394)=0,"",IF($S2394="NO ALLOC","NO ALLOC",ROUND($S2394*AB2394,15)))</f>
        <v>0</v>
      </c>
      <c r="AA2394" s="2">
        <f t="shared" ref="AA2394:AA2457" si="1154">IF(ABS(AB2394)=0,"",IF($T2394="NO ALLOC","NO ALLOC",ROUND($T2394*AB2394,15)))</f>
        <v>-14516.419529999999</v>
      </c>
      <c r="AB2394" s="2">
        <f t="shared" si="1148"/>
        <v>-14516.419529999999</v>
      </c>
      <c r="AC2394" s="625">
        <v>-10768.82517</v>
      </c>
      <c r="AD2394" s="625">
        <v>-11053.01108</v>
      </c>
      <c r="AE2394" s="625">
        <v>-10971.333990000001</v>
      </c>
      <c r="AF2394" s="625">
        <v>-10940.33401</v>
      </c>
      <c r="AG2394" s="625">
        <v>-10831.630929999999</v>
      </c>
      <c r="AH2394" s="625">
        <v>-10657.871160000001</v>
      </c>
      <c r="AI2394" s="625">
        <v>-10521.823289999998</v>
      </c>
      <c r="AJ2394" s="625">
        <v>-10456.49826</v>
      </c>
      <c r="AK2394" s="625">
        <v>-10363.21623</v>
      </c>
      <c r="AL2394" s="625">
        <v>-10259.5646</v>
      </c>
      <c r="AM2394" s="625">
        <v>-10463.59656</v>
      </c>
      <c r="AN2394" s="625">
        <v>-14615.55896</v>
      </c>
      <c r="AO2394" s="625">
        <v>-14516.419529999999</v>
      </c>
      <c r="AP2394" s="41" t="str">
        <f t="shared" si="1132"/>
        <v>Def TaxN</v>
      </c>
      <c r="AQ2394" s="41" t="str">
        <f t="shared" si="1133"/>
        <v>Def TaxNN2Environmental</v>
      </c>
      <c r="AR2394" s="41" t="str">
        <f t="shared" si="1134"/>
        <v>N2Environmental</v>
      </c>
    </row>
    <row r="2395" spans="1:44" s="41" customFormat="1" ht="12.75" customHeight="1">
      <c r="A2395" s="442" t="s">
        <v>1590</v>
      </c>
      <c r="B2395" s="442" t="str">
        <f t="shared" si="1129"/>
        <v>Def Tax283510VRDBG030598</v>
      </c>
      <c r="C2395" s="736">
        <v>283510</v>
      </c>
      <c r="D2395" s="735" t="s">
        <v>2374</v>
      </c>
      <c r="E2395" s="626" t="s">
        <v>943</v>
      </c>
      <c r="F2395" s="626" t="str">
        <f t="shared" si="1120"/>
        <v>ADIT-OTH-REG-FEDERAL-GAS</v>
      </c>
      <c r="G2395" s="626" t="s">
        <v>822</v>
      </c>
      <c r="H2395" s="736" t="s">
        <v>822</v>
      </c>
      <c r="I2395" s="442"/>
      <c r="J2395" s="442" t="str">
        <f t="shared" si="1121"/>
        <v/>
      </c>
      <c r="K2395" s="442" t="str">
        <f t="shared" si="1130"/>
        <v/>
      </c>
      <c r="L2395" s="736" t="s">
        <v>2421</v>
      </c>
      <c r="M2395" s="442" t="str">
        <f t="shared" si="1146"/>
        <v>N</v>
      </c>
      <c r="N2395" s="442" t="str">
        <f>IF(L2395&lt;&gt;"",VLOOKUP(L2395,Categories!$B$2:$D$41,2,FALSE),IF(F2395&lt;&gt;"","No Cat",""))</f>
        <v>NRBASE</v>
      </c>
      <c r="O2395" s="442" t="str">
        <f>IF($L2395&lt;&gt;"",VLOOKUP($L2395,Categories!$B$2:$D$41,3,FALSE),IF($F2395&lt;&gt;"","No Cat",""))</f>
        <v>Direct Assign Items Not in RB</v>
      </c>
      <c r="P2395" s="736" t="s">
        <v>2468</v>
      </c>
      <c r="Q2395" s="442" t="str">
        <f>VLOOKUP($P2395,Allocators!$B$7:$F$19,5,FALSE)</f>
        <v>Not in Rate Base</v>
      </c>
      <c r="R2395" s="737">
        <f>VLOOKUP($P2395,Allocators!$B$7:$F$19,2,FALSE)</f>
        <v>0</v>
      </c>
      <c r="S2395" s="737">
        <f>VLOOKUP($P2395,Allocators!$B$7:$F$19,3,FALSE)</f>
        <v>0</v>
      </c>
      <c r="T2395" s="737">
        <f t="shared" si="1131"/>
        <v>1</v>
      </c>
      <c r="U2395" s="2">
        <f t="shared" si="1149"/>
        <v>0</v>
      </c>
      <c r="V2395" s="2">
        <f t="shared" si="1150"/>
        <v>0</v>
      </c>
      <c r="W2395" s="2">
        <f t="shared" si="1151"/>
        <v>528.09060833333297</v>
      </c>
      <c r="X2395" s="2">
        <f t="shared" si="1147"/>
        <v>528.09060833333297</v>
      </c>
      <c r="Y2395" s="2">
        <f t="shared" si="1152"/>
        <v>0</v>
      </c>
      <c r="Z2395" s="2">
        <f t="shared" si="1153"/>
        <v>0</v>
      </c>
      <c r="AA2395" s="2">
        <f t="shared" si="1154"/>
        <v>534.87978999999996</v>
      </c>
      <c r="AB2395" s="2">
        <f t="shared" si="1148"/>
        <v>534.87979000000007</v>
      </c>
      <c r="AC2395" s="625">
        <v>511.45307000000003</v>
      </c>
      <c r="AD2395" s="625">
        <v>513.63309000000004</v>
      </c>
      <c r="AE2395" s="625">
        <v>516.08361000000002</v>
      </c>
      <c r="AF2395" s="625">
        <v>518.47703000000001</v>
      </c>
      <c r="AG2395" s="625">
        <v>576.99023999999997</v>
      </c>
      <c r="AH2395" s="625">
        <v>521.41895</v>
      </c>
      <c r="AI2395" s="625">
        <v>523.16496000000006</v>
      </c>
      <c r="AJ2395" s="625">
        <v>524.96838000000002</v>
      </c>
      <c r="AK2395" s="625">
        <v>526.86986999999999</v>
      </c>
      <c r="AL2395" s="625">
        <v>528.80048999999997</v>
      </c>
      <c r="AM2395" s="625">
        <v>530.72099000000003</v>
      </c>
      <c r="AN2395" s="625">
        <v>532.79326000000003</v>
      </c>
      <c r="AO2395" s="625">
        <v>534.87979000000007</v>
      </c>
      <c r="AP2395" s="41" t="str">
        <f t="shared" si="1132"/>
        <v>Def TaxN</v>
      </c>
      <c r="AQ2395" s="41" t="str">
        <f t="shared" si="1133"/>
        <v>Def TaxNN2Variable Rate Debt</v>
      </c>
      <c r="AR2395" s="41" t="str">
        <f t="shared" si="1134"/>
        <v>N2Variable Rate Debt</v>
      </c>
    </row>
    <row r="2396" spans="1:44" s="41" customFormat="1" ht="12.75" customHeight="1">
      <c r="A2396" s="442" t="s">
        <v>1590</v>
      </c>
      <c r="B2396" s="442" t="str">
        <f t="shared" ref="B2396" si="1155">CONCATENATE(A2396,C2396,D2396,E2396)</f>
        <v>Def Tax283510BT010391</v>
      </c>
      <c r="C2396" s="736">
        <v>283510</v>
      </c>
      <c r="D2396" s="735"/>
      <c r="E2396" s="626" t="s">
        <v>4416</v>
      </c>
      <c r="F2396" s="626" t="str">
        <f t="shared" si="1120"/>
        <v>ADIT-OTH-REG-FEDERAL-GAS</v>
      </c>
      <c r="G2396" s="626" t="s">
        <v>4415</v>
      </c>
      <c r="H2396" s="736" t="s">
        <v>4342</v>
      </c>
      <c r="I2396" s="442"/>
      <c r="J2396" s="442"/>
      <c r="K2396" s="442"/>
      <c r="L2396" s="736" t="s">
        <v>2443</v>
      </c>
      <c r="M2396" s="25" t="str">
        <f t="shared" si="1146"/>
        <v>R</v>
      </c>
      <c r="N2396" s="25" t="str">
        <f>IF(L2396&lt;&gt;"",VLOOKUP(L2396,Categories!$B$2:$D$41,2,FALSE),IF(F2396&lt;&gt;"","No Cat",""))</f>
        <v>Rate Base</v>
      </c>
      <c r="O2396" s="25" t="str">
        <f>IF($L2396&lt;&gt;"",VLOOKUP($L2396,Categories!$B$2:$D$41,3,FALSE),IF($F2396&lt;&gt;"","No Cat",""))</f>
        <v>Deferred Income Taxes</v>
      </c>
      <c r="P2396" s="736" t="s">
        <v>2483</v>
      </c>
      <c r="Q2396" s="25" t="str">
        <f>VLOOKUP($P2396,Allocators!$B$7:$F$19,5,FALSE)</f>
        <v>Gas</v>
      </c>
      <c r="R2396" s="737">
        <f>VLOOKUP($P2396,Allocators!$B$7:$F$19,2,FALSE)</f>
        <v>0</v>
      </c>
      <c r="S2396" s="737">
        <f>VLOOKUP($P2396,Allocators!$B$7:$F$19,3,FALSE)</f>
        <v>1</v>
      </c>
      <c r="T2396" s="737" t="str">
        <f t="shared" si="1131"/>
        <v>0.0%</v>
      </c>
      <c r="U2396" s="2">
        <f t="shared" si="1149"/>
        <v>0</v>
      </c>
      <c r="V2396" s="2">
        <f t="shared" si="1150"/>
        <v>-310.534060833333</v>
      </c>
      <c r="W2396" s="2">
        <f t="shared" si="1151"/>
        <v>0</v>
      </c>
      <c r="X2396" s="2">
        <f t="shared" si="1147"/>
        <v>-310.534060833333</v>
      </c>
      <c r="Y2396" s="2">
        <f t="shared" si="1152"/>
        <v>0</v>
      </c>
      <c r="Z2396" s="2">
        <f t="shared" si="1153"/>
        <v>-629.81556</v>
      </c>
      <c r="AA2396" s="2">
        <f t="shared" si="1154"/>
        <v>0</v>
      </c>
      <c r="AB2396" s="2">
        <f t="shared" si="1148"/>
        <v>-629.81556</v>
      </c>
      <c r="AC2396" s="625"/>
      <c r="AD2396" s="625"/>
      <c r="AE2396" s="625">
        <v>-104.96925999999999</v>
      </c>
      <c r="AF2396" s="625">
        <v>-157.45389</v>
      </c>
      <c r="AG2396" s="625">
        <v>-209.93851999999998</v>
      </c>
      <c r="AH2396" s="625">
        <v>-262.42315000000002</v>
      </c>
      <c r="AI2396" s="625">
        <v>-314.90778</v>
      </c>
      <c r="AJ2396" s="625">
        <v>-367.39240999999998</v>
      </c>
      <c r="AK2396" s="625">
        <v>-419.87703999999997</v>
      </c>
      <c r="AL2396" s="625">
        <v>-472.36167</v>
      </c>
      <c r="AM2396" s="625">
        <v>-524.84630000000004</v>
      </c>
      <c r="AN2396" s="625">
        <v>-577.33093000000008</v>
      </c>
      <c r="AO2396" s="625">
        <v>-629.81556</v>
      </c>
      <c r="AP2396" s="41" t="str">
        <f t="shared" si="1132"/>
        <v>Def TaxR</v>
      </c>
      <c r="AQ2396" s="41" t="str">
        <f t="shared" si="1133"/>
        <v>Def TaxRR11Continuation of Current Amorts (Until New Rates are Set)</v>
      </c>
      <c r="AR2396" s="41" t="str">
        <f t="shared" si="1134"/>
        <v>R11Continuation of Current Amorts (Until New Rates are Set)</v>
      </c>
    </row>
    <row r="2397" spans="1:44" s="41" customFormat="1" ht="12.75" customHeight="1">
      <c r="A2397" s="25" t="s">
        <v>1590</v>
      </c>
      <c r="B2397" s="25" t="str">
        <f t="shared" si="1129"/>
        <v>Def Tax283510VERP CTABG030903</v>
      </c>
      <c r="C2397" s="736">
        <v>283510</v>
      </c>
      <c r="D2397" s="735" t="s">
        <v>2364</v>
      </c>
      <c r="E2397" s="41" t="s">
        <v>940</v>
      </c>
      <c r="F2397" s="41" t="str">
        <f t="shared" si="1120"/>
        <v>ADIT-OTH-REG-FEDERAL-GAS</v>
      </c>
      <c r="G2397" s="41" t="s">
        <v>2365</v>
      </c>
      <c r="H2397" s="736" t="s">
        <v>820</v>
      </c>
      <c r="I2397" s="25"/>
      <c r="J2397" s="25" t="str">
        <f t="shared" si="1121"/>
        <v/>
      </c>
      <c r="K2397" s="442" t="str">
        <f t="shared" si="1130"/>
        <v/>
      </c>
      <c r="L2397" s="736" t="s">
        <v>2443</v>
      </c>
      <c r="M2397" s="25" t="str">
        <f t="shared" si="1146"/>
        <v>R</v>
      </c>
      <c r="N2397" s="25" t="str">
        <f>IF(L2397&lt;&gt;"",VLOOKUP(L2397,Categories!$B$2:$D$41,2,FALSE),IF(F2397&lt;&gt;"","No Cat",""))</f>
        <v>Rate Base</v>
      </c>
      <c r="O2397" s="25" t="str">
        <f>IF($L2397&lt;&gt;"",VLOOKUP($L2397,Categories!$B$2:$D$41,3,FALSE),IF($F2397&lt;&gt;"","No Cat",""))</f>
        <v>Deferred Income Taxes</v>
      </c>
      <c r="P2397" s="736" t="s">
        <v>2483</v>
      </c>
      <c r="Q2397" s="25" t="str">
        <f>VLOOKUP($P2397,Allocators!$B$7:$F$19,5,FALSE)</f>
        <v>Gas</v>
      </c>
      <c r="R2397" s="737">
        <f>VLOOKUP($P2397,Allocators!$B$7:$F$19,2,FALSE)</f>
        <v>0</v>
      </c>
      <c r="S2397" s="737">
        <f>VLOOKUP($P2397,Allocators!$B$7:$F$19,3,FALSE)</f>
        <v>1</v>
      </c>
      <c r="T2397" s="737" t="str">
        <f t="shared" si="1131"/>
        <v>0.0%</v>
      </c>
      <c r="U2397" s="2">
        <f t="shared" si="1149"/>
        <v>0</v>
      </c>
      <c r="V2397" s="2">
        <f t="shared" si="1150"/>
        <v>-36.913209999999999</v>
      </c>
      <c r="W2397" s="2">
        <f t="shared" si="1151"/>
        <v>0</v>
      </c>
      <c r="X2397" s="2">
        <f t="shared" si="1147"/>
        <v>-36.913209999999999</v>
      </c>
      <c r="Y2397" s="2">
        <f t="shared" si="1152"/>
        <v>0</v>
      </c>
      <c r="Z2397" s="2">
        <f t="shared" si="1153"/>
        <v>-36.913209999999999</v>
      </c>
      <c r="AA2397" s="2">
        <f t="shared" si="1154"/>
        <v>0</v>
      </c>
      <c r="AB2397" s="2">
        <f t="shared" si="1148"/>
        <v>-36.913209999999999</v>
      </c>
      <c r="AC2397" s="625">
        <v>-36.913209999999999</v>
      </c>
      <c r="AD2397" s="625">
        <v>-36.913209999999999</v>
      </c>
      <c r="AE2397" s="625">
        <v>-36.913209999999999</v>
      </c>
      <c r="AF2397" s="625">
        <v>-36.913209999999999</v>
      </c>
      <c r="AG2397" s="625">
        <v>-36.913209999999999</v>
      </c>
      <c r="AH2397" s="625">
        <v>-36.913209999999999</v>
      </c>
      <c r="AI2397" s="625">
        <v>-36.913209999999999</v>
      </c>
      <c r="AJ2397" s="625">
        <v>-36.913209999999999</v>
      </c>
      <c r="AK2397" s="625">
        <v>-36.913209999999999</v>
      </c>
      <c r="AL2397" s="625">
        <v>-36.913209999999999</v>
      </c>
      <c r="AM2397" s="625">
        <v>-36.913209999999999</v>
      </c>
      <c r="AN2397" s="625">
        <v>-36.913209999999999</v>
      </c>
      <c r="AO2397" s="625">
        <v>-36.913209999999999</v>
      </c>
      <c r="AP2397" s="41" t="str">
        <f t="shared" si="1132"/>
        <v>Def TaxR</v>
      </c>
      <c r="AQ2397" s="41" t="str">
        <f t="shared" si="1133"/>
        <v>Def TaxRR11CTA Efficiency</v>
      </c>
      <c r="AR2397" s="41" t="str">
        <f t="shared" si="1134"/>
        <v>R11CTA Efficiency</v>
      </c>
    </row>
    <row r="2398" spans="1:44" s="41" customFormat="1" ht="12.75" customHeight="1">
      <c r="A2398" s="442" t="s">
        <v>1590</v>
      </c>
      <c r="B2398" s="442" t="str">
        <f t="shared" si="1129"/>
        <v>Def Tax2835150</v>
      </c>
      <c r="C2398" s="736">
        <v>283515</v>
      </c>
      <c r="D2398" s="735">
        <v>0</v>
      </c>
      <c r="E2398" s="626"/>
      <c r="F2398" s="626" t="str">
        <f t="shared" si="1120"/>
        <v>ADIT-FAS 109 GROSSUP-STATE ELECTRIC</v>
      </c>
      <c r="G2398" s="626" t="s">
        <v>2059</v>
      </c>
      <c r="H2398" s="736" t="s">
        <v>8</v>
      </c>
      <c r="I2398" s="442"/>
      <c r="J2398" s="442" t="str">
        <f t="shared" si="1121"/>
        <v/>
      </c>
      <c r="K2398" s="442" t="str">
        <f t="shared" si="1130"/>
        <v>Y</v>
      </c>
      <c r="L2398" s="736" t="s">
        <v>2423</v>
      </c>
      <c r="M2398" s="442" t="str">
        <f t="shared" si="1146"/>
        <v>N</v>
      </c>
      <c r="N2398" s="442" t="str">
        <f>IF(L2398&lt;&gt;"",VLOOKUP(L2398,Categories!$B$2:$D$41,2,FALSE),IF(F2398&lt;&gt;"","No Cat",""))</f>
        <v>NRBASE</v>
      </c>
      <c r="O2398" s="442" t="str">
        <f>IF($L2398&lt;&gt;"",VLOOKUP($L2398,Categories!$B$2:$D$41,3,FALSE),IF($F2398&lt;&gt;"","No Cat",""))</f>
        <v>SFAS-109   (offsetting)</v>
      </c>
      <c r="P2398" s="736" t="s">
        <v>2468</v>
      </c>
      <c r="Q2398" s="442" t="str">
        <f>VLOOKUP($P2398,Allocators!$B$7:$F$19,5,FALSE)</f>
        <v>Not in Rate Base</v>
      </c>
      <c r="R2398" s="737">
        <f>VLOOKUP($P2398,Allocators!$B$7:$F$19,2,FALSE)</f>
        <v>0</v>
      </c>
      <c r="S2398" s="737">
        <f>VLOOKUP($P2398,Allocators!$B$7:$F$19,3,FALSE)</f>
        <v>0</v>
      </c>
      <c r="T2398" s="737">
        <f t="shared" si="1131"/>
        <v>1</v>
      </c>
      <c r="U2398" s="2">
        <f t="shared" si="1149"/>
        <v>0</v>
      </c>
      <c r="V2398" s="2">
        <f t="shared" si="1150"/>
        <v>0</v>
      </c>
      <c r="W2398" s="2">
        <f t="shared" si="1151"/>
        <v>-3056.4090612499999</v>
      </c>
      <c r="X2398" s="2">
        <f t="shared" si="1147"/>
        <v>-3056.4090612499999</v>
      </c>
      <c r="Y2398" s="2">
        <f t="shared" si="1152"/>
        <v>0</v>
      </c>
      <c r="Z2398" s="2">
        <f t="shared" si="1153"/>
        <v>0</v>
      </c>
      <c r="AA2398" s="2">
        <f t="shared" si="1154"/>
        <v>-3203.5766400000002</v>
      </c>
      <c r="AB2398" s="2">
        <f t="shared" si="1148"/>
        <v>-3203.5766400000002</v>
      </c>
      <c r="AC2398" s="625">
        <v>-2804.83491</v>
      </c>
      <c r="AD2398" s="625">
        <v>-2883.0635499999999</v>
      </c>
      <c r="AE2398" s="625">
        <v>-2941.4665399999999</v>
      </c>
      <c r="AF2398" s="625">
        <v>-3008.2706800000001</v>
      </c>
      <c r="AG2398" s="625">
        <v>-3095.5631100000001</v>
      </c>
      <c r="AH2398" s="625">
        <v>-2977.9456</v>
      </c>
      <c r="AI2398" s="625">
        <v>-2995.9470099999999</v>
      </c>
      <c r="AJ2398" s="625">
        <v>-3184.9029</v>
      </c>
      <c r="AK2398" s="625">
        <v>-3135.3917999999999</v>
      </c>
      <c r="AL2398" s="625">
        <v>-3175.0833700000003</v>
      </c>
      <c r="AM2398" s="625">
        <v>-3121.5976299999998</v>
      </c>
      <c r="AN2398" s="625">
        <v>-3153.4707699999999</v>
      </c>
      <c r="AO2398" s="625">
        <v>-3203.5766400000002</v>
      </c>
      <c r="AP2398" s="41" t="str">
        <f t="shared" si="1132"/>
        <v>Def TaxN</v>
      </c>
      <c r="AQ2398" s="41" t="str">
        <f t="shared" si="1133"/>
        <v>Def TaxNN3SFAS 109</v>
      </c>
      <c r="AR2398" s="41" t="str">
        <f t="shared" si="1134"/>
        <v>N3SFAS 109</v>
      </c>
    </row>
    <row r="2399" spans="1:44" s="41" customFormat="1" ht="12.75" customHeight="1">
      <c r="A2399" s="442" t="s">
        <v>1590</v>
      </c>
      <c r="B2399" s="442" t="str">
        <f t="shared" si="1129"/>
        <v>Def Tax2835160</v>
      </c>
      <c r="C2399" s="736">
        <v>283516</v>
      </c>
      <c r="D2399" s="735">
        <v>0</v>
      </c>
      <c r="E2399" s="626"/>
      <c r="F2399" s="626" t="str">
        <f t="shared" si="1120"/>
        <v>ADIT-FAS 109 GROSSUP-STATE GAS</v>
      </c>
      <c r="G2399" s="626" t="s">
        <v>2059</v>
      </c>
      <c r="H2399" s="736" t="s">
        <v>8</v>
      </c>
      <c r="I2399" s="442"/>
      <c r="J2399" s="442" t="str">
        <f t="shared" si="1121"/>
        <v/>
      </c>
      <c r="K2399" s="442" t="str">
        <f t="shared" si="1130"/>
        <v>Y</v>
      </c>
      <c r="L2399" s="736" t="s">
        <v>2423</v>
      </c>
      <c r="M2399" s="442" t="str">
        <f t="shared" si="1146"/>
        <v>N</v>
      </c>
      <c r="N2399" s="442" t="str">
        <f>IF(L2399&lt;&gt;"",VLOOKUP(L2399,Categories!$B$2:$D$41,2,FALSE),IF(F2399&lt;&gt;"","No Cat",""))</f>
        <v>NRBASE</v>
      </c>
      <c r="O2399" s="442" t="str">
        <f>IF($L2399&lt;&gt;"",VLOOKUP($L2399,Categories!$B$2:$D$41,3,FALSE),IF($F2399&lt;&gt;"","No Cat",""))</f>
        <v>SFAS-109   (offsetting)</v>
      </c>
      <c r="P2399" s="736" t="s">
        <v>2468</v>
      </c>
      <c r="Q2399" s="442" t="str">
        <f>VLOOKUP($P2399,Allocators!$B$7:$F$19,5,FALSE)</f>
        <v>Not in Rate Base</v>
      </c>
      <c r="R2399" s="737">
        <f>VLOOKUP($P2399,Allocators!$B$7:$F$19,2,FALSE)</f>
        <v>0</v>
      </c>
      <c r="S2399" s="737">
        <f>VLOOKUP($P2399,Allocators!$B$7:$F$19,3,FALSE)</f>
        <v>0</v>
      </c>
      <c r="T2399" s="737">
        <f t="shared" si="1131"/>
        <v>1</v>
      </c>
      <c r="U2399" s="2">
        <f t="shared" si="1149"/>
        <v>0</v>
      </c>
      <c r="V2399" s="2">
        <f t="shared" si="1150"/>
        <v>0</v>
      </c>
      <c r="W2399" s="2">
        <f t="shared" si="1151"/>
        <v>-224.10396333333301</v>
      </c>
      <c r="X2399" s="2">
        <f t="shared" si="1147"/>
        <v>-224.10396333333301</v>
      </c>
      <c r="Y2399" s="2">
        <f t="shared" si="1152"/>
        <v>0</v>
      </c>
      <c r="Z2399" s="2">
        <f t="shared" si="1153"/>
        <v>0</v>
      </c>
      <c r="AA2399" s="2">
        <f t="shared" si="1154"/>
        <v>-25.672730000000001</v>
      </c>
      <c r="AB2399" s="2">
        <f t="shared" si="1148"/>
        <v>-25.672729999999998</v>
      </c>
      <c r="AC2399" s="625">
        <v>-388.16161</v>
      </c>
      <c r="AD2399" s="625">
        <v>-377.50342000000001</v>
      </c>
      <c r="AE2399" s="625">
        <v>-365.39340999999996</v>
      </c>
      <c r="AF2399" s="625">
        <v>-356.43857000000003</v>
      </c>
      <c r="AG2399" s="625">
        <v>-303.32288</v>
      </c>
      <c r="AH2399" s="625">
        <v>-252.96341000000001</v>
      </c>
      <c r="AI2399" s="625">
        <v>-225.30817999999999</v>
      </c>
      <c r="AJ2399" s="625">
        <v>-198.22566</v>
      </c>
      <c r="AK2399" s="625">
        <v>-172.63715999999999</v>
      </c>
      <c r="AL2399" s="625">
        <v>-148.13315</v>
      </c>
      <c r="AM2399" s="625">
        <v>-59.255050000000004</v>
      </c>
      <c r="AN2399" s="625">
        <v>-23.1495</v>
      </c>
      <c r="AO2399" s="625">
        <v>-25.672729999999998</v>
      </c>
      <c r="AP2399" s="41" t="str">
        <f t="shared" si="1132"/>
        <v>Def TaxN</v>
      </c>
      <c r="AQ2399" s="41" t="str">
        <f t="shared" si="1133"/>
        <v>Def TaxNN3SFAS 109</v>
      </c>
      <c r="AR2399" s="41" t="str">
        <f t="shared" si="1134"/>
        <v>N3SFAS 109</v>
      </c>
    </row>
    <row r="2400" spans="1:44" s="41" customFormat="1" ht="12.75" customHeight="1">
      <c r="A2400" s="25" t="s">
        <v>1590</v>
      </c>
      <c r="B2400" s="25" t="str">
        <f t="shared" si="1129"/>
        <v>Def Tax283550190-015-FAS 158 SBT030562</v>
      </c>
      <c r="C2400" s="736">
        <v>283550</v>
      </c>
      <c r="D2400" s="735" t="s">
        <v>2375</v>
      </c>
      <c r="E2400" s="41" t="s">
        <v>1839</v>
      </c>
      <c r="F2400" s="41" t="str">
        <f t="shared" si="1120"/>
        <v>ADIT-OTH-REG-STATE-ELECTRIC</v>
      </c>
      <c r="G2400" s="41" t="s">
        <v>2351</v>
      </c>
      <c r="H2400" s="736" t="s">
        <v>812</v>
      </c>
      <c r="I2400" s="25"/>
      <c r="J2400" s="25" t="str">
        <f t="shared" si="1121"/>
        <v/>
      </c>
      <c r="K2400" s="442" t="str">
        <f t="shared" si="1130"/>
        <v/>
      </c>
      <c r="L2400" s="736" t="s">
        <v>2443</v>
      </c>
      <c r="M2400" s="25" t="str">
        <f t="shared" si="1146"/>
        <v>R</v>
      </c>
      <c r="N2400" s="25" t="str">
        <f>IF(L2400&lt;&gt;"",VLOOKUP(L2400,Categories!$B$2:$D$41,2,FALSE),IF(F2400&lt;&gt;"","No Cat",""))</f>
        <v>Rate Base</v>
      </c>
      <c r="O2400" s="25" t="str">
        <f>IF($L2400&lt;&gt;"",VLOOKUP($L2400,Categories!$B$2:$D$41,3,FALSE),IF($F2400&lt;&gt;"","No Cat",""))</f>
        <v>Deferred Income Taxes</v>
      </c>
      <c r="P2400" s="736" t="s">
        <v>2482</v>
      </c>
      <c r="Q2400" s="25" t="str">
        <f>VLOOKUP($P2400,Allocators!$B$7:$F$19,5,FALSE)</f>
        <v>Electric</v>
      </c>
      <c r="R2400" s="737">
        <f>VLOOKUP($P2400,Allocators!$B$7:$F$19,2,FALSE)</f>
        <v>1</v>
      </c>
      <c r="S2400" s="737">
        <f>VLOOKUP($P2400,Allocators!$B$7:$F$19,3,FALSE)</f>
        <v>0</v>
      </c>
      <c r="T2400" s="737" t="str">
        <f t="shared" si="1131"/>
        <v>0.0%</v>
      </c>
      <c r="U2400" s="2" t="str">
        <f t="shared" si="1149"/>
        <v/>
      </c>
      <c r="V2400" s="2" t="str">
        <f t="shared" si="1150"/>
        <v/>
      </c>
      <c r="W2400" s="2" t="str">
        <f t="shared" si="1151"/>
        <v/>
      </c>
      <c r="X2400" s="2">
        <f t="shared" si="1147"/>
        <v>0</v>
      </c>
      <c r="Y2400" s="2" t="str">
        <f t="shared" si="1152"/>
        <v/>
      </c>
      <c r="Z2400" s="2" t="str">
        <f t="shared" si="1153"/>
        <v/>
      </c>
      <c r="AA2400" s="2" t="str">
        <f t="shared" si="1154"/>
        <v/>
      </c>
      <c r="AB2400" s="2">
        <f t="shared" si="1148"/>
        <v>0</v>
      </c>
      <c r="AC2400" s="625">
        <v>0</v>
      </c>
      <c r="AD2400" s="625">
        <v>0</v>
      </c>
      <c r="AE2400" s="625">
        <v>0</v>
      </c>
      <c r="AF2400" s="625">
        <v>0</v>
      </c>
      <c r="AG2400" s="625">
        <v>0</v>
      </c>
      <c r="AH2400" s="625">
        <v>0</v>
      </c>
      <c r="AI2400" s="625">
        <v>0</v>
      </c>
      <c r="AJ2400" s="625">
        <v>0</v>
      </c>
      <c r="AK2400" s="625">
        <v>0</v>
      </c>
      <c r="AL2400" s="625">
        <v>0</v>
      </c>
      <c r="AM2400" s="625">
        <v>0</v>
      </c>
      <c r="AN2400" s="625">
        <v>0</v>
      </c>
      <c r="AO2400" s="625">
        <v>0</v>
      </c>
      <c r="AP2400" s="41" t="str">
        <f t="shared" si="1132"/>
        <v>Def TaxR</v>
      </c>
      <c r="AQ2400" s="41" t="str">
        <f t="shared" si="1133"/>
        <v>Def TaxRR11OPEB True-up</v>
      </c>
      <c r="AR2400" s="41" t="str">
        <f t="shared" si="1134"/>
        <v>R11OPEB True-up</v>
      </c>
    </row>
    <row r="2401" spans="1:44" s="41" customFormat="1" ht="12.75" customHeight="1">
      <c r="A2401" s="25" t="s">
        <v>1590</v>
      </c>
      <c r="B2401" s="25" t="str">
        <f t="shared" si="1129"/>
        <v>Def Tax283550190-018BTHUNGDT</v>
      </c>
      <c r="C2401" s="736">
        <v>283550</v>
      </c>
      <c r="D2401" s="735" t="s">
        <v>2344</v>
      </c>
      <c r="E2401" s="41" t="s">
        <v>1624</v>
      </c>
      <c r="F2401" s="41" t="str">
        <f t="shared" si="1120"/>
        <v>ADIT-OTH-REG-STATE-ELECTRIC</v>
      </c>
      <c r="G2401" s="41" t="s">
        <v>2041</v>
      </c>
      <c r="H2401" s="736" t="s">
        <v>1946</v>
      </c>
      <c r="I2401" s="25"/>
      <c r="J2401" s="25" t="str">
        <f t="shared" si="1121"/>
        <v/>
      </c>
      <c r="K2401" s="442" t="str">
        <f t="shared" si="1130"/>
        <v/>
      </c>
      <c r="L2401" s="736" t="s">
        <v>2443</v>
      </c>
      <c r="M2401" s="25" t="str">
        <f t="shared" si="1146"/>
        <v>R</v>
      </c>
      <c r="N2401" s="25" t="str">
        <f>IF(L2401&lt;&gt;"",VLOOKUP(L2401,Categories!$B$2:$D$41,2,FALSE),IF(F2401&lt;&gt;"","No Cat",""))</f>
        <v>Rate Base</v>
      </c>
      <c r="O2401" s="25" t="str">
        <f>IF($L2401&lt;&gt;"",VLOOKUP($L2401,Categories!$B$2:$D$41,3,FALSE),IF($F2401&lt;&gt;"","No Cat",""))</f>
        <v>Deferred Income Taxes</v>
      </c>
      <c r="P2401" s="736" t="s">
        <v>2482</v>
      </c>
      <c r="Q2401" s="25" t="str">
        <f>VLOOKUP($P2401,Allocators!$B$7:$F$19,5,FALSE)</f>
        <v>Electric</v>
      </c>
      <c r="R2401" s="737">
        <f>VLOOKUP($P2401,Allocators!$B$7:$F$19,2,FALSE)</f>
        <v>1</v>
      </c>
      <c r="S2401" s="737">
        <f>VLOOKUP($P2401,Allocators!$B$7:$F$19,3,FALSE)</f>
        <v>0</v>
      </c>
      <c r="T2401" s="737" t="str">
        <f t="shared" si="1131"/>
        <v>0.0%</v>
      </c>
      <c r="U2401" s="2" t="str">
        <f t="shared" si="1149"/>
        <v/>
      </c>
      <c r="V2401" s="2" t="str">
        <f t="shared" si="1150"/>
        <v/>
      </c>
      <c r="W2401" s="2" t="str">
        <f t="shared" si="1151"/>
        <v/>
      </c>
      <c r="X2401" s="2">
        <f t="shared" si="1147"/>
        <v>0</v>
      </c>
      <c r="Y2401" s="2" t="str">
        <f t="shared" si="1152"/>
        <v/>
      </c>
      <c r="Z2401" s="2" t="str">
        <f t="shared" si="1153"/>
        <v/>
      </c>
      <c r="AA2401" s="2" t="str">
        <f t="shared" si="1154"/>
        <v/>
      </c>
      <c r="AB2401" s="2">
        <f t="shared" si="1148"/>
        <v>0</v>
      </c>
      <c r="AC2401" s="625">
        <v>0</v>
      </c>
      <c r="AD2401" s="625">
        <v>0</v>
      </c>
      <c r="AE2401" s="625">
        <v>0</v>
      </c>
      <c r="AF2401" s="625">
        <v>0</v>
      </c>
      <c r="AG2401" s="625">
        <v>0</v>
      </c>
      <c r="AH2401" s="625">
        <v>0</v>
      </c>
      <c r="AI2401" s="625">
        <v>0</v>
      </c>
      <c r="AJ2401" s="625">
        <v>0</v>
      </c>
      <c r="AK2401" s="625">
        <v>0</v>
      </c>
      <c r="AL2401" s="625">
        <v>0</v>
      </c>
      <c r="AM2401" s="625">
        <v>0</v>
      </c>
      <c r="AN2401" s="625">
        <v>0</v>
      </c>
      <c r="AO2401" s="625">
        <v>0</v>
      </c>
      <c r="AP2401" s="41" t="str">
        <f t="shared" si="1132"/>
        <v>Def TaxR</v>
      </c>
      <c r="AQ2401" s="41" t="str">
        <f t="shared" si="1133"/>
        <v>Def TaxRR11NM2 Related</v>
      </c>
      <c r="AR2401" s="41" t="str">
        <f t="shared" si="1134"/>
        <v>R11NM2 Related</v>
      </c>
    </row>
    <row r="2402" spans="1:44" s="41" customFormat="1" ht="12.75" customHeight="1">
      <c r="A2402" s="25" t="s">
        <v>1590</v>
      </c>
      <c r="B2402" s="25" t="str">
        <f t="shared" si="1129"/>
        <v>Def Tax283550190-073</v>
      </c>
      <c r="C2402" s="736">
        <v>283550</v>
      </c>
      <c r="D2402" s="735" t="s">
        <v>2331</v>
      </c>
      <c r="F2402" s="41" t="str">
        <f t="shared" si="1120"/>
        <v>ADIT-OTH-REG-STATE-ELECTRIC</v>
      </c>
      <c r="G2402" s="41" t="s">
        <v>2332</v>
      </c>
      <c r="H2402" s="736" t="s">
        <v>1140</v>
      </c>
      <c r="I2402" s="25"/>
      <c r="J2402" s="25" t="str">
        <f t="shared" si="1121"/>
        <v/>
      </c>
      <c r="K2402" s="442" t="str">
        <f t="shared" si="1130"/>
        <v/>
      </c>
      <c r="L2402" s="736" t="s">
        <v>2443</v>
      </c>
      <c r="M2402" s="25" t="str">
        <f t="shared" si="1146"/>
        <v>R</v>
      </c>
      <c r="N2402" s="25" t="str">
        <f>IF(L2402&lt;&gt;"",VLOOKUP(L2402,Categories!$B$2:$D$41,2,FALSE),IF(F2402&lt;&gt;"","No Cat",""))</f>
        <v>Rate Base</v>
      </c>
      <c r="O2402" s="25" t="str">
        <f>IF($L2402&lt;&gt;"",VLOOKUP($L2402,Categories!$B$2:$D$41,3,FALSE),IF($F2402&lt;&gt;"","No Cat",""))</f>
        <v>Deferred Income Taxes</v>
      </c>
      <c r="P2402" s="736" t="s">
        <v>2482</v>
      </c>
      <c r="Q2402" s="25" t="str">
        <f>VLOOKUP($P2402,Allocators!$B$7:$F$19,5,FALSE)</f>
        <v>Electric</v>
      </c>
      <c r="R2402" s="737">
        <f>VLOOKUP($P2402,Allocators!$B$7:$F$19,2,FALSE)</f>
        <v>1</v>
      </c>
      <c r="S2402" s="737">
        <f>VLOOKUP($P2402,Allocators!$B$7:$F$19,3,FALSE)</f>
        <v>0</v>
      </c>
      <c r="T2402" s="737" t="str">
        <f t="shared" si="1131"/>
        <v>0.0%</v>
      </c>
      <c r="U2402" s="2" t="str">
        <f t="shared" si="1149"/>
        <v/>
      </c>
      <c r="V2402" s="2" t="str">
        <f t="shared" si="1150"/>
        <v/>
      </c>
      <c r="W2402" s="2" t="str">
        <f t="shared" si="1151"/>
        <v/>
      </c>
      <c r="X2402" s="2">
        <f t="shared" si="1147"/>
        <v>0</v>
      </c>
      <c r="Y2402" s="2" t="str">
        <f t="shared" si="1152"/>
        <v/>
      </c>
      <c r="Z2402" s="2" t="str">
        <f t="shared" si="1153"/>
        <v/>
      </c>
      <c r="AA2402" s="2" t="str">
        <f t="shared" si="1154"/>
        <v/>
      </c>
      <c r="AB2402" s="2">
        <f t="shared" si="1148"/>
        <v>0</v>
      </c>
      <c r="AC2402" s="625">
        <v>0</v>
      </c>
      <c r="AD2402" s="625">
        <v>0</v>
      </c>
      <c r="AE2402" s="625">
        <v>0</v>
      </c>
      <c r="AF2402" s="625">
        <v>0</v>
      </c>
      <c r="AG2402" s="625">
        <v>0</v>
      </c>
      <c r="AH2402" s="625">
        <v>0</v>
      </c>
      <c r="AI2402" s="625">
        <v>0</v>
      </c>
      <c r="AJ2402" s="625">
        <v>0</v>
      </c>
      <c r="AK2402" s="625">
        <v>0</v>
      </c>
      <c r="AL2402" s="625">
        <v>0</v>
      </c>
      <c r="AM2402" s="625">
        <v>0</v>
      </c>
      <c r="AN2402" s="625">
        <v>0</v>
      </c>
      <c r="AO2402" s="625">
        <v>0</v>
      </c>
      <c r="AP2402" s="41" t="str">
        <f t="shared" si="1132"/>
        <v>Def TaxR</v>
      </c>
      <c r="AQ2402" s="41" t="str">
        <f t="shared" si="1133"/>
        <v>Def TaxRR11Allegany</v>
      </c>
      <c r="AR2402" s="41" t="str">
        <f t="shared" si="1134"/>
        <v>R11Allegany</v>
      </c>
    </row>
    <row r="2403" spans="1:44" s="41" customFormat="1" ht="12.75" customHeight="1">
      <c r="A2403" s="25" t="s">
        <v>1590</v>
      </c>
      <c r="B2403" s="25" t="str">
        <f t="shared" si="1129"/>
        <v>Def Tax283550190-095-JPBT010156</v>
      </c>
      <c r="C2403" s="736">
        <v>283550</v>
      </c>
      <c r="D2403" s="735" t="s">
        <v>1756</v>
      </c>
      <c r="E2403" s="41" t="s">
        <v>2349</v>
      </c>
      <c r="F2403" s="41" t="str">
        <f t="shared" si="1120"/>
        <v>ADIT-OTH-REG-STATE-ELECTRIC</v>
      </c>
      <c r="G2403" s="41" t="s">
        <v>1757</v>
      </c>
      <c r="H2403" s="736" t="s">
        <v>815</v>
      </c>
      <c r="I2403" s="25"/>
      <c r="J2403" s="25" t="str">
        <f t="shared" si="1121"/>
        <v/>
      </c>
      <c r="K2403" s="442" t="str">
        <f t="shared" si="1130"/>
        <v/>
      </c>
      <c r="L2403" s="736" t="s">
        <v>2443</v>
      </c>
      <c r="M2403" s="25" t="str">
        <f t="shared" si="1146"/>
        <v>R</v>
      </c>
      <c r="N2403" s="25" t="str">
        <f>IF(L2403&lt;&gt;"",VLOOKUP(L2403,Categories!$B$2:$D$41,2,FALSE),IF(F2403&lt;&gt;"","No Cat",""))</f>
        <v>Rate Base</v>
      </c>
      <c r="O2403" s="25" t="str">
        <f>IF($L2403&lt;&gt;"",VLOOKUP($L2403,Categories!$B$2:$D$41,3,FALSE),IF($F2403&lt;&gt;"","No Cat",""))</f>
        <v>Deferred Income Taxes</v>
      </c>
      <c r="P2403" s="736" t="s">
        <v>2482</v>
      </c>
      <c r="Q2403" s="25" t="str">
        <f>VLOOKUP($P2403,Allocators!$B$7:$F$19,5,FALSE)</f>
        <v>Electric</v>
      </c>
      <c r="R2403" s="737">
        <f>VLOOKUP($P2403,Allocators!$B$7:$F$19,2,FALSE)</f>
        <v>1</v>
      </c>
      <c r="S2403" s="737">
        <f>VLOOKUP($P2403,Allocators!$B$7:$F$19,3,FALSE)</f>
        <v>0</v>
      </c>
      <c r="T2403" s="737" t="str">
        <f t="shared" si="1131"/>
        <v>0.0%</v>
      </c>
      <c r="U2403" s="2">
        <f t="shared" si="1149"/>
        <v>2.2000000000000001E-4</v>
      </c>
      <c r="V2403" s="2">
        <f t="shared" si="1150"/>
        <v>0</v>
      </c>
      <c r="W2403" s="2">
        <f t="shared" si="1151"/>
        <v>0</v>
      </c>
      <c r="X2403" s="2">
        <f t="shared" si="1147"/>
        <v>2.2000000000000001E-4</v>
      </c>
      <c r="Y2403" s="2">
        <f t="shared" si="1152"/>
        <v>2.2000000000000001E-4</v>
      </c>
      <c r="Z2403" s="2">
        <f t="shared" si="1153"/>
        <v>0</v>
      </c>
      <c r="AA2403" s="2">
        <f t="shared" si="1154"/>
        <v>0</v>
      </c>
      <c r="AB2403" s="2">
        <f t="shared" si="1148"/>
        <v>2.2000000000000001E-4</v>
      </c>
      <c r="AC2403" s="625">
        <v>2.2000000000000001E-4</v>
      </c>
      <c r="AD2403" s="625">
        <v>2.2000000000000001E-4</v>
      </c>
      <c r="AE2403" s="625">
        <v>2.2000000000000001E-4</v>
      </c>
      <c r="AF2403" s="625">
        <v>2.2000000000000001E-4</v>
      </c>
      <c r="AG2403" s="625">
        <v>2.2000000000000001E-4</v>
      </c>
      <c r="AH2403" s="625">
        <v>2.2000000000000001E-4</v>
      </c>
      <c r="AI2403" s="625">
        <v>2.2000000000000001E-4</v>
      </c>
      <c r="AJ2403" s="625">
        <v>2.2000000000000001E-4</v>
      </c>
      <c r="AK2403" s="625">
        <v>2.2000000000000001E-4</v>
      </c>
      <c r="AL2403" s="625">
        <v>2.2000000000000001E-4</v>
      </c>
      <c r="AM2403" s="625">
        <v>2.2000000000000001E-4</v>
      </c>
      <c r="AN2403" s="625">
        <v>2.2000000000000001E-4</v>
      </c>
      <c r="AO2403" s="625">
        <v>2.2000000000000001E-4</v>
      </c>
      <c r="AP2403" s="41" t="str">
        <f t="shared" si="1132"/>
        <v>Def TaxR</v>
      </c>
      <c r="AQ2403" s="41" t="str">
        <f t="shared" si="1133"/>
        <v>Def TaxRR11Outreach &amp; Education</v>
      </c>
      <c r="AR2403" s="41" t="str">
        <f t="shared" si="1134"/>
        <v>R11Outreach &amp; Education</v>
      </c>
    </row>
    <row r="2404" spans="1:44" s="41" customFormat="1" ht="12.75" customHeight="1">
      <c r="A2404" s="25" t="s">
        <v>1590</v>
      </c>
      <c r="B2404" s="25" t="str">
        <f t="shared" si="1129"/>
        <v>Def Tax283550190-099-JPBE030451</v>
      </c>
      <c r="C2404" s="736">
        <v>283550</v>
      </c>
      <c r="D2404" s="735" t="s">
        <v>2313</v>
      </c>
      <c r="E2404" s="41" t="s">
        <v>1387</v>
      </c>
      <c r="F2404" s="41" t="str">
        <f t="shared" si="1120"/>
        <v>ADIT-OTH-REG-STATE-ELECTRIC</v>
      </c>
      <c r="G2404" s="41" t="s">
        <v>2314</v>
      </c>
      <c r="H2404" s="736" t="s">
        <v>2312</v>
      </c>
      <c r="I2404" s="25"/>
      <c r="J2404" s="25" t="str">
        <f t="shared" si="1121"/>
        <v/>
      </c>
      <c r="K2404" s="442" t="str">
        <f t="shared" si="1130"/>
        <v/>
      </c>
      <c r="L2404" s="736" t="s">
        <v>2443</v>
      </c>
      <c r="M2404" s="25" t="str">
        <f t="shared" si="1146"/>
        <v>R</v>
      </c>
      <c r="N2404" s="25" t="str">
        <f>IF(L2404&lt;&gt;"",VLOOKUP(L2404,Categories!$B$2:$D$41,2,FALSE),IF(F2404&lt;&gt;"","No Cat",""))</f>
        <v>Rate Base</v>
      </c>
      <c r="O2404" s="25" t="str">
        <f>IF($L2404&lt;&gt;"",VLOOKUP($L2404,Categories!$B$2:$D$41,3,FALSE),IF($F2404&lt;&gt;"","No Cat",""))</f>
        <v>Deferred Income Taxes</v>
      </c>
      <c r="P2404" s="736" t="s">
        <v>2482</v>
      </c>
      <c r="Q2404" s="25" t="str">
        <f>VLOOKUP($P2404,Allocators!$B$7:$F$19,5,FALSE)</f>
        <v>Electric</v>
      </c>
      <c r="R2404" s="737">
        <f>VLOOKUP($P2404,Allocators!$B$7:$F$19,2,FALSE)</f>
        <v>1</v>
      </c>
      <c r="S2404" s="737">
        <f>VLOOKUP($P2404,Allocators!$B$7:$F$19,3,FALSE)</f>
        <v>0</v>
      </c>
      <c r="T2404" s="737" t="str">
        <f t="shared" si="1131"/>
        <v>0.0%</v>
      </c>
      <c r="U2404" s="2">
        <f t="shared" si="1149"/>
        <v>-183.57946999999999</v>
      </c>
      <c r="V2404" s="2">
        <f t="shared" si="1150"/>
        <v>0</v>
      </c>
      <c r="W2404" s="2">
        <f t="shared" si="1151"/>
        <v>0</v>
      </c>
      <c r="X2404" s="2">
        <f t="shared" si="1147"/>
        <v>-183.57946999999999</v>
      </c>
      <c r="Y2404" s="2">
        <f t="shared" si="1152"/>
        <v>-183.57946999999999</v>
      </c>
      <c r="Z2404" s="2">
        <f t="shared" si="1153"/>
        <v>0</v>
      </c>
      <c r="AA2404" s="2">
        <f t="shared" si="1154"/>
        <v>0</v>
      </c>
      <c r="AB2404" s="2">
        <f t="shared" si="1148"/>
        <v>-183.57947000000001</v>
      </c>
      <c r="AC2404" s="625">
        <v>-183.57947000000001</v>
      </c>
      <c r="AD2404" s="625">
        <v>-183.57947000000001</v>
      </c>
      <c r="AE2404" s="625">
        <v>-183.57947000000001</v>
      </c>
      <c r="AF2404" s="625">
        <v>-183.57947000000001</v>
      </c>
      <c r="AG2404" s="625">
        <v>-183.57947000000001</v>
      </c>
      <c r="AH2404" s="625">
        <v>-183.57947000000001</v>
      </c>
      <c r="AI2404" s="625">
        <v>-183.57947000000001</v>
      </c>
      <c r="AJ2404" s="625">
        <v>-183.57947000000001</v>
      </c>
      <c r="AK2404" s="625">
        <v>-183.57947000000001</v>
      </c>
      <c r="AL2404" s="625">
        <v>-183.57947000000001</v>
      </c>
      <c r="AM2404" s="625">
        <v>-183.57947000000001</v>
      </c>
      <c r="AN2404" s="625">
        <v>-183.57947000000001</v>
      </c>
      <c r="AO2404" s="625">
        <v>-183.57947000000001</v>
      </c>
      <c r="AP2404" s="41" t="str">
        <f t="shared" si="1132"/>
        <v>Def TaxR</v>
      </c>
      <c r="AQ2404" s="41" t="str">
        <f t="shared" si="1133"/>
        <v>Def TaxRR11ESR</v>
      </c>
      <c r="AR2404" s="41" t="str">
        <f t="shared" si="1134"/>
        <v>R11ESR</v>
      </c>
    </row>
    <row r="2405" spans="1:44" s="41" customFormat="1" ht="12.75" customHeight="1">
      <c r="A2405" s="25" t="s">
        <v>1590</v>
      </c>
      <c r="B2405" s="25" t="str">
        <f t="shared" si="1129"/>
        <v>Def Tax283550283-086BT010102</v>
      </c>
      <c r="C2405" s="736">
        <v>283550</v>
      </c>
      <c r="D2405" s="735" t="s">
        <v>2174</v>
      </c>
      <c r="E2405" s="41" t="s">
        <v>2175</v>
      </c>
      <c r="F2405" s="41" t="str">
        <f t="shared" si="1120"/>
        <v>ADIT-OTH-REG-STATE-ELECTRIC</v>
      </c>
      <c r="G2405" s="41" t="s">
        <v>2293</v>
      </c>
      <c r="H2405" s="736" t="s">
        <v>1313</v>
      </c>
      <c r="I2405" s="25"/>
      <c r="J2405" s="25" t="str">
        <f t="shared" si="1121"/>
        <v/>
      </c>
      <c r="K2405" s="442" t="str">
        <f t="shared" si="1130"/>
        <v/>
      </c>
      <c r="L2405" s="736" t="s">
        <v>2443</v>
      </c>
      <c r="M2405" s="25" t="str">
        <f t="shared" si="1146"/>
        <v>R</v>
      </c>
      <c r="N2405" s="25" t="str">
        <f>IF(L2405&lt;&gt;"",VLOOKUP(L2405,Categories!$B$2:$D$41,2,FALSE),IF(F2405&lt;&gt;"","No Cat",""))</f>
        <v>Rate Base</v>
      </c>
      <c r="O2405" s="25" t="str">
        <f>IF($L2405&lt;&gt;"",VLOOKUP($L2405,Categories!$B$2:$D$41,3,FALSE),IF($F2405&lt;&gt;"","No Cat",""))</f>
        <v>Deferred Income Taxes</v>
      </c>
      <c r="P2405" s="736" t="s">
        <v>2482</v>
      </c>
      <c r="Q2405" s="25" t="str">
        <f>VLOOKUP($P2405,Allocators!$B$7:$F$19,5,FALSE)</f>
        <v>Electric</v>
      </c>
      <c r="R2405" s="737">
        <f>VLOOKUP($P2405,Allocators!$B$7:$F$19,2,FALSE)</f>
        <v>1</v>
      </c>
      <c r="S2405" s="737">
        <f>VLOOKUP($P2405,Allocators!$B$7:$F$19,3,FALSE)</f>
        <v>0</v>
      </c>
      <c r="T2405" s="737" t="str">
        <f t="shared" si="1131"/>
        <v>0.0%</v>
      </c>
      <c r="U2405" s="2" t="str">
        <f t="shared" si="1149"/>
        <v/>
      </c>
      <c r="V2405" s="2" t="str">
        <f t="shared" si="1150"/>
        <v/>
      </c>
      <c r="W2405" s="2" t="str">
        <f t="shared" si="1151"/>
        <v/>
      </c>
      <c r="X2405" s="2">
        <f t="shared" si="1147"/>
        <v>0</v>
      </c>
      <c r="Y2405" s="2" t="str">
        <f t="shared" si="1152"/>
        <v/>
      </c>
      <c r="Z2405" s="2" t="str">
        <f t="shared" si="1153"/>
        <v/>
      </c>
      <c r="AA2405" s="2" t="str">
        <f t="shared" si="1154"/>
        <v/>
      </c>
      <c r="AB2405" s="2">
        <f t="shared" si="1148"/>
        <v>0</v>
      </c>
      <c r="AC2405" s="625">
        <v>0</v>
      </c>
      <c r="AD2405" s="625">
        <v>0</v>
      </c>
      <c r="AE2405" s="625">
        <v>0</v>
      </c>
      <c r="AF2405" s="625">
        <v>0</v>
      </c>
      <c r="AG2405" s="625">
        <v>0</v>
      </c>
      <c r="AH2405" s="625">
        <v>0</v>
      </c>
      <c r="AI2405" s="625">
        <v>0</v>
      </c>
      <c r="AJ2405" s="625">
        <v>0</v>
      </c>
      <c r="AK2405" s="625">
        <v>0</v>
      </c>
      <c r="AL2405" s="625">
        <v>0</v>
      </c>
      <c r="AM2405" s="625">
        <v>0</v>
      </c>
      <c r="AN2405" s="625">
        <v>0</v>
      </c>
      <c r="AO2405" s="625">
        <v>0</v>
      </c>
      <c r="AP2405" s="41" t="str">
        <f t="shared" si="1132"/>
        <v>Def TaxR</v>
      </c>
      <c r="AQ2405" s="41" t="str">
        <f t="shared" si="1133"/>
        <v>Def TaxRR11IMLR</v>
      </c>
      <c r="AR2405" s="41" t="str">
        <f t="shared" si="1134"/>
        <v>R11IMLR</v>
      </c>
    </row>
    <row r="2406" spans="1:44" s="41" customFormat="1" ht="12.75" customHeight="1">
      <c r="A2406" s="25" t="s">
        <v>1590</v>
      </c>
      <c r="B2406" s="25" t="str">
        <f t="shared" si="1129"/>
        <v>Def Tax283550283-090BT010273</v>
      </c>
      <c r="C2406" s="736">
        <v>283550</v>
      </c>
      <c r="D2406" s="735" t="s">
        <v>2345</v>
      </c>
      <c r="E2406" s="41" t="s">
        <v>2346</v>
      </c>
      <c r="F2406" s="41" t="str">
        <f t="shared" si="1120"/>
        <v>ADIT-OTH-REG-STATE-ELECTRIC</v>
      </c>
      <c r="G2406" s="41" t="s">
        <v>2347</v>
      </c>
      <c r="H2406" s="736" t="s">
        <v>1126</v>
      </c>
      <c r="I2406" s="25"/>
      <c r="J2406" s="25" t="str">
        <f t="shared" si="1121"/>
        <v/>
      </c>
      <c r="K2406" s="442" t="str">
        <f t="shared" si="1130"/>
        <v/>
      </c>
      <c r="L2406" s="736" t="s">
        <v>2443</v>
      </c>
      <c r="M2406" s="25" t="str">
        <f t="shared" si="1146"/>
        <v>R</v>
      </c>
      <c r="N2406" s="25" t="str">
        <f>IF(L2406&lt;&gt;"",VLOOKUP(L2406,Categories!$B$2:$D$41,2,FALSE),IF(F2406&lt;&gt;"","No Cat",""))</f>
        <v>Rate Base</v>
      </c>
      <c r="O2406" s="25" t="str">
        <f>IF($L2406&lt;&gt;"",VLOOKUP($L2406,Categories!$B$2:$D$41,3,FALSE),IF($F2406&lt;&gt;"","No Cat",""))</f>
        <v>Deferred Income Taxes</v>
      </c>
      <c r="P2406" s="736" t="s">
        <v>2482</v>
      </c>
      <c r="Q2406" s="25" t="str">
        <f>VLOOKUP($P2406,Allocators!$B$7:$F$19,5,FALSE)</f>
        <v>Electric</v>
      </c>
      <c r="R2406" s="737">
        <f>VLOOKUP($P2406,Allocators!$B$7:$F$19,2,FALSE)</f>
        <v>1</v>
      </c>
      <c r="S2406" s="737">
        <f>VLOOKUP($P2406,Allocators!$B$7:$F$19,3,FALSE)</f>
        <v>0</v>
      </c>
      <c r="T2406" s="737" t="str">
        <f t="shared" si="1131"/>
        <v>0.0%</v>
      </c>
      <c r="U2406" s="2" t="str">
        <f t="shared" si="1149"/>
        <v/>
      </c>
      <c r="V2406" s="2" t="str">
        <f t="shared" si="1150"/>
        <v/>
      </c>
      <c r="W2406" s="2" t="str">
        <f t="shared" si="1151"/>
        <v/>
      </c>
      <c r="X2406" s="2">
        <f t="shared" si="1147"/>
        <v>0</v>
      </c>
      <c r="Y2406" s="2" t="str">
        <f t="shared" si="1152"/>
        <v/>
      </c>
      <c r="Z2406" s="2" t="str">
        <f t="shared" si="1153"/>
        <v/>
      </c>
      <c r="AA2406" s="2" t="str">
        <f t="shared" si="1154"/>
        <v/>
      </c>
      <c r="AB2406" s="2">
        <f t="shared" si="1148"/>
        <v>0</v>
      </c>
      <c r="AC2406" s="625">
        <v>0</v>
      </c>
      <c r="AD2406" s="625">
        <v>0</v>
      </c>
      <c r="AE2406" s="625">
        <v>0</v>
      </c>
      <c r="AF2406" s="625">
        <v>0</v>
      </c>
      <c r="AG2406" s="625">
        <v>0</v>
      </c>
      <c r="AH2406" s="625">
        <v>0</v>
      </c>
      <c r="AI2406" s="625">
        <v>0</v>
      </c>
      <c r="AJ2406" s="625">
        <v>0</v>
      </c>
      <c r="AK2406" s="625">
        <v>0</v>
      </c>
      <c r="AL2406" s="625">
        <v>0</v>
      </c>
      <c r="AM2406" s="625">
        <v>0</v>
      </c>
      <c r="AN2406" s="625">
        <v>0</v>
      </c>
      <c r="AO2406" s="625">
        <v>0</v>
      </c>
      <c r="AP2406" s="41" t="str">
        <f t="shared" si="1132"/>
        <v>Def TaxR</v>
      </c>
      <c r="AQ2406" s="41" t="str">
        <f t="shared" si="1133"/>
        <v>Def TaxRR11NYS Tax Audit</v>
      </c>
      <c r="AR2406" s="41" t="str">
        <f t="shared" si="1134"/>
        <v>R11NYS Tax Audit</v>
      </c>
    </row>
    <row r="2407" spans="1:44" s="41" customFormat="1" ht="12.75" customHeight="1">
      <c r="A2407" s="25" t="s">
        <v>1590</v>
      </c>
      <c r="B2407" s="25" t="str">
        <f t="shared" si="1129"/>
        <v>Def Tax283550190-100BC030242</v>
      </c>
      <c r="C2407" s="736">
        <v>283550</v>
      </c>
      <c r="D2407" s="735" t="s">
        <v>2352</v>
      </c>
      <c r="E2407" s="41" t="s">
        <v>749</v>
      </c>
      <c r="F2407" s="41" t="str">
        <f t="shared" si="1120"/>
        <v>ADIT-OTH-REG-STATE-ELECTRIC</v>
      </c>
      <c r="G2407" s="41" t="s">
        <v>2353</v>
      </c>
      <c r="H2407" s="736" t="s">
        <v>2354</v>
      </c>
      <c r="I2407" s="25"/>
      <c r="J2407" s="25" t="str">
        <f t="shared" si="1121"/>
        <v/>
      </c>
      <c r="K2407" s="442" t="str">
        <f t="shared" si="1130"/>
        <v/>
      </c>
      <c r="L2407" s="736" t="s">
        <v>2443</v>
      </c>
      <c r="M2407" s="25" t="str">
        <f t="shared" si="1146"/>
        <v>R</v>
      </c>
      <c r="N2407" s="25" t="str">
        <f>IF(L2407&lt;&gt;"",VLOOKUP(L2407,Categories!$B$2:$D$41,2,FALSE),IF(F2407&lt;&gt;"","No Cat",""))</f>
        <v>Rate Base</v>
      </c>
      <c r="O2407" s="25" t="str">
        <f>IF($L2407&lt;&gt;"",VLOOKUP($L2407,Categories!$B$2:$D$41,3,FALSE),IF($F2407&lt;&gt;"","No Cat",""))</f>
        <v>Deferred Income Taxes</v>
      </c>
      <c r="P2407" s="736" t="s">
        <v>2482</v>
      </c>
      <c r="Q2407" s="25" t="str">
        <f>VLOOKUP($P2407,Allocators!$B$7:$F$19,5,FALSE)</f>
        <v>Electric</v>
      </c>
      <c r="R2407" s="737">
        <f>VLOOKUP($P2407,Allocators!$B$7:$F$19,2,FALSE)</f>
        <v>1</v>
      </c>
      <c r="S2407" s="737">
        <f>VLOOKUP($P2407,Allocators!$B$7:$F$19,3,FALSE)</f>
        <v>0</v>
      </c>
      <c r="T2407" s="737" t="str">
        <f t="shared" si="1131"/>
        <v>0.0%</v>
      </c>
      <c r="U2407" s="2">
        <f t="shared" si="1149"/>
        <v>2.4000000000000001E-4</v>
      </c>
      <c r="V2407" s="2">
        <f t="shared" si="1150"/>
        <v>0</v>
      </c>
      <c r="W2407" s="2">
        <f t="shared" si="1151"/>
        <v>0</v>
      </c>
      <c r="X2407" s="2">
        <f t="shared" si="1147"/>
        <v>2.4000000000000001E-4</v>
      </c>
      <c r="Y2407" s="2">
        <f t="shared" si="1152"/>
        <v>2.4000000000000001E-4</v>
      </c>
      <c r="Z2407" s="2">
        <f t="shared" si="1153"/>
        <v>0</v>
      </c>
      <c r="AA2407" s="2">
        <f t="shared" si="1154"/>
        <v>0</v>
      </c>
      <c r="AB2407" s="2">
        <f t="shared" si="1148"/>
        <v>2.3999999999999998E-4</v>
      </c>
      <c r="AC2407" s="625">
        <v>2.3999999999999998E-4</v>
      </c>
      <c r="AD2407" s="625">
        <v>2.3999999999999998E-4</v>
      </c>
      <c r="AE2407" s="625">
        <v>2.3999999999999998E-4</v>
      </c>
      <c r="AF2407" s="625">
        <v>2.3999999999999998E-4</v>
      </c>
      <c r="AG2407" s="625">
        <v>2.3999999999999998E-4</v>
      </c>
      <c r="AH2407" s="625">
        <v>2.3999999999999998E-4</v>
      </c>
      <c r="AI2407" s="625">
        <v>2.3999999999999998E-4</v>
      </c>
      <c r="AJ2407" s="625">
        <v>2.3999999999999998E-4</v>
      </c>
      <c r="AK2407" s="625">
        <v>2.3999999999999998E-4</v>
      </c>
      <c r="AL2407" s="625">
        <v>2.3999999999999998E-4</v>
      </c>
      <c r="AM2407" s="625">
        <v>2.3999999999999998E-4</v>
      </c>
      <c r="AN2407" s="625">
        <v>2.3999999999999998E-4</v>
      </c>
      <c r="AO2407" s="625">
        <v>2.3999999999999998E-4</v>
      </c>
      <c r="AP2407" s="41" t="str">
        <f t="shared" si="1132"/>
        <v>Def TaxR</v>
      </c>
      <c r="AQ2407" s="41" t="str">
        <f t="shared" si="1133"/>
        <v>Def TaxRR11Preferred Stock</v>
      </c>
      <c r="AR2407" s="41" t="str">
        <f t="shared" si="1134"/>
        <v>R11Preferred Stock</v>
      </c>
    </row>
    <row r="2408" spans="1:44" s="41" customFormat="1" ht="12.75" customHeight="1">
      <c r="A2408" s="25" t="s">
        <v>1590</v>
      </c>
      <c r="B2408" s="25" t="str">
        <f t="shared" si="1129"/>
        <v>Def Tax283550190-102BT010087</v>
      </c>
      <c r="C2408" s="736">
        <v>283550</v>
      </c>
      <c r="D2408" s="735" t="s">
        <v>1761</v>
      </c>
      <c r="E2408" s="41" t="s">
        <v>2321</v>
      </c>
      <c r="F2408" s="41" t="str">
        <f t="shared" si="1120"/>
        <v>ADIT-OTH-REG-STATE-ELECTRIC</v>
      </c>
      <c r="G2408" s="41" t="s">
        <v>1762</v>
      </c>
      <c r="H2408" s="736" t="s">
        <v>1114</v>
      </c>
      <c r="I2408" s="25"/>
      <c r="J2408" s="25" t="str">
        <f t="shared" si="1121"/>
        <v/>
      </c>
      <c r="K2408" s="442" t="str">
        <f t="shared" si="1130"/>
        <v/>
      </c>
      <c r="L2408" s="736" t="s">
        <v>2443</v>
      </c>
      <c r="M2408" s="25" t="str">
        <f t="shared" si="1146"/>
        <v>R</v>
      </c>
      <c r="N2408" s="25" t="str">
        <f>IF(L2408&lt;&gt;"",VLOOKUP(L2408,Categories!$B$2:$D$41,2,FALSE),IF(F2408&lt;&gt;"","No Cat",""))</f>
        <v>Rate Base</v>
      </c>
      <c r="O2408" s="25" t="str">
        <f>IF($L2408&lt;&gt;"",VLOOKUP($L2408,Categories!$B$2:$D$41,3,FALSE),IF($F2408&lt;&gt;"","No Cat",""))</f>
        <v>Deferred Income Taxes</v>
      </c>
      <c r="P2408" s="736" t="s">
        <v>2482</v>
      </c>
      <c r="Q2408" s="25" t="str">
        <f>VLOOKUP($P2408,Allocators!$B$7:$F$19,5,FALSE)</f>
        <v>Electric</v>
      </c>
      <c r="R2408" s="737">
        <f>VLOOKUP($P2408,Allocators!$B$7:$F$19,2,FALSE)</f>
        <v>1</v>
      </c>
      <c r="S2408" s="737">
        <f>VLOOKUP($P2408,Allocators!$B$7:$F$19,3,FALSE)</f>
        <v>0</v>
      </c>
      <c r="T2408" s="737" t="str">
        <f t="shared" si="1131"/>
        <v>0.0%</v>
      </c>
      <c r="U2408" s="2">
        <f t="shared" si="1149"/>
        <v>-27.437010000000001</v>
      </c>
      <c r="V2408" s="2">
        <f t="shared" si="1150"/>
        <v>0</v>
      </c>
      <c r="W2408" s="2">
        <f t="shared" si="1151"/>
        <v>0</v>
      </c>
      <c r="X2408" s="2">
        <f t="shared" si="1147"/>
        <v>-27.437010000000001</v>
      </c>
      <c r="Y2408" s="2">
        <f t="shared" si="1152"/>
        <v>-27.437010000000001</v>
      </c>
      <c r="Z2408" s="2">
        <f t="shared" si="1153"/>
        <v>0</v>
      </c>
      <c r="AA2408" s="2">
        <f t="shared" si="1154"/>
        <v>0</v>
      </c>
      <c r="AB2408" s="2">
        <f t="shared" si="1148"/>
        <v>-27.437009999999997</v>
      </c>
      <c r="AC2408" s="625">
        <v>-27.437009999999997</v>
      </c>
      <c r="AD2408" s="625">
        <v>-27.437009999999997</v>
      </c>
      <c r="AE2408" s="625">
        <v>-27.437009999999997</v>
      </c>
      <c r="AF2408" s="625">
        <v>-27.437009999999997</v>
      </c>
      <c r="AG2408" s="625">
        <v>-27.437009999999997</v>
      </c>
      <c r="AH2408" s="625">
        <v>-27.437009999999997</v>
      </c>
      <c r="AI2408" s="625">
        <v>-27.437009999999997</v>
      </c>
      <c r="AJ2408" s="625">
        <v>-27.437009999999997</v>
      </c>
      <c r="AK2408" s="625">
        <v>-27.437009999999997</v>
      </c>
      <c r="AL2408" s="625">
        <v>-27.437009999999997</v>
      </c>
      <c r="AM2408" s="625">
        <v>-27.437009999999997</v>
      </c>
      <c r="AN2408" s="625">
        <v>-27.437009999999997</v>
      </c>
      <c r="AO2408" s="625">
        <v>-27.437009999999997</v>
      </c>
      <c r="AP2408" s="41" t="str">
        <f t="shared" si="1132"/>
        <v>Def TaxR</v>
      </c>
      <c r="AQ2408" s="41" t="str">
        <f t="shared" si="1133"/>
        <v>Def TaxRR11Sarbanes-Oxley</v>
      </c>
      <c r="AR2408" s="41" t="str">
        <f t="shared" si="1134"/>
        <v>R11Sarbanes-Oxley</v>
      </c>
    </row>
    <row r="2409" spans="1:44" s="41" customFormat="1" ht="12.75" customHeight="1">
      <c r="A2409" s="25" t="s">
        <v>1590</v>
      </c>
      <c r="B2409" s="25" t="str">
        <f t="shared" si="1129"/>
        <v>Def Tax283550283-013BT010221</v>
      </c>
      <c r="C2409" s="736">
        <v>283550</v>
      </c>
      <c r="D2409" s="735" t="s">
        <v>2171</v>
      </c>
      <c r="E2409" s="41" t="s">
        <v>2327</v>
      </c>
      <c r="F2409" s="41" t="str">
        <f t="shared" si="1120"/>
        <v>ADIT-OTH-REG-STATE-ELECTRIC</v>
      </c>
      <c r="G2409" s="41" t="s">
        <v>2292</v>
      </c>
      <c r="H2409" s="736" t="s">
        <v>2173</v>
      </c>
      <c r="I2409" s="25"/>
      <c r="J2409" s="25" t="str">
        <f t="shared" si="1121"/>
        <v/>
      </c>
      <c r="K2409" s="442" t="str">
        <f t="shared" si="1130"/>
        <v/>
      </c>
      <c r="L2409" s="736" t="s">
        <v>2443</v>
      </c>
      <c r="M2409" s="25" t="str">
        <f t="shared" si="1146"/>
        <v>R</v>
      </c>
      <c r="N2409" s="25" t="str">
        <f>IF(L2409&lt;&gt;"",VLOOKUP(L2409,Categories!$B$2:$D$41,2,FALSE),IF(F2409&lt;&gt;"","No Cat",""))</f>
        <v>Rate Base</v>
      </c>
      <c r="O2409" s="25" t="str">
        <f>IF($L2409&lt;&gt;"",VLOOKUP($L2409,Categories!$B$2:$D$41,3,FALSE),IF($F2409&lt;&gt;"","No Cat",""))</f>
        <v>Deferred Income Taxes</v>
      </c>
      <c r="P2409" s="736" t="s">
        <v>2482</v>
      </c>
      <c r="Q2409" s="25" t="str">
        <f>VLOOKUP($P2409,Allocators!$B$7:$F$19,5,FALSE)</f>
        <v>Electric</v>
      </c>
      <c r="R2409" s="737">
        <f>VLOOKUP($P2409,Allocators!$B$7:$F$19,2,FALSE)</f>
        <v>1</v>
      </c>
      <c r="S2409" s="737">
        <f>VLOOKUP($P2409,Allocators!$B$7:$F$19,3,FALSE)</f>
        <v>0</v>
      </c>
      <c r="T2409" s="737" t="str">
        <f t="shared" si="1131"/>
        <v>0.0%</v>
      </c>
      <c r="U2409" s="2">
        <f t="shared" si="1149"/>
        <v>92.701229999999995</v>
      </c>
      <c r="V2409" s="2">
        <f t="shared" si="1150"/>
        <v>0</v>
      </c>
      <c r="W2409" s="2">
        <f t="shared" si="1151"/>
        <v>0</v>
      </c>
      <c r="X2409" s="2">
        <f t="shared" si="1147"/>
        <v>92.701229999999995</v>
      </c>
      <c r="Y2409" s="2">
        <f t="shared" si="1152"/>
        <v>92.701229999999995</v>
      </c>
      <c r="Z2409" s="2">
        <f t="shared" si="1153"/>
        <v>0</v>
      </c>
      <c r="AA2409" s="2">
        <f t="shared" si="1154"/>
        <v>0</v>
      </c>
      <c r="AB2409" s="2">
        <f t="shared" si="1148"/>
        <v>92.701229999999995</v>
      </c>
      <c r="AC2409" s="625">
        <v>92.701229999999995</v>
      </c>
      <c r="AD2409" s="625">
        <v>92.701229999999995</v>
      </c>
      <c r="AE2409" s="625">
        <v>92.701229999999995</v>
      </c>
      <c r="AF2409" s="625">
        <v>92.701229999999995</v>
      </c>
      <c r="AG2409" s="625">
        <v>92.701229999999995</v>
      </c>
      <c r="AH2409" s="625">
        <v>92.701229999999995</v>
      </c>
      <c r="AI2409" s="625">
        <v>92.701229999999995</v>
      </c>
      <c r="AJ2409" s="625">
        <v>92.701229999999995</v>
      </c>
      <c r="AK2409" s="625">
        <v>92.701229999999995</v>
      </c>
      <c r="AL2409" s="625">
        <v>92.701229999999995</v>
      </c>
      <c r="AM2409" s="625">
        <v>92.701229999999995</v>
      </c>
      <c r="AN2409" s="625">
        <v>92.701229999999995</v>
      </c>
      <c r="AO2409" s="625">
        <v>92.701229999999995</v>
      </c>
      <c r="AP2409" s="41" t="str">
        <f t="shared" si="1132"/>
        <v>Def TaxR</v>
      </c>
      <c r="AQ2409" s="41" t="str">
        <f t="shared" si="1133"/>
        <v>Def TaxRR11Ice Storm</v>
      </c>
      <c r="AR2409" s="41" t="str">
        <f t="shared" si="1134"/>
        <v>R11Ice Storm</v>
      </c>
    </row>
    <row r="2410" spans="1:44" s="41" customFormat="1" ht="12.75" customHeight="1">
      <c r="A2410" s="25" t="s">
        <v>1590</v>
      </c>
      <c r="B2410" s="25" t="str">
        <f t="shared" si="1129"/>
        <v>Def Tax283550283-026BT010071/
BT010072</v>
      </c>
      <c r="C2410" s="736">
        <v>283550</v>
      </c>
      <c r="D2410" s="735" t="s">
        <v>1706</v>
      </c>
      <c r="E2410" s="41" t="s">
        <v>2373</v>
      </c>
      <c r="F2410" s="41" t="str">
        <f t="shared" si="1120"/>
        <v>ADIT-OTH-REG-STATE-ELECTRIC</v>
      </c>
      <c r="G2410" s="41" t="s">
        <v>2243</v>
      </c>
      <c r="H2410" s="736" t="s">
        <v>1134</v>
      </c>
      <c r="I2410" s="25"/>
      <c r="J2410" s="25" t="str">
        <f t="shared" si="1121"/>
        <v/>
      </c>
      <c r="K2410" s="442" t="str">
        <f t="shared" si="1130"/>
        <v/>
      </c>
      <c r="L2410" s="736" t="s">
        <v>2421</v>
      </c>
      <c r="M2410" s="25" t="str">
        <f t="shared" si="1146"/>
        <v>N</v>
      </c>
      <c r="N2410" s="25" t="str">
        <f>IF(L2410&lt;&gt;"",VLOOKUP(L2410,Categories!$B$2:$D$41,2,FALSE),IF(F2410&lt;&gt;"","No Cat",""))</f>
        <v>NRBASE</v>
      </c>
      <c r="O2410" s="25" t="str">
        <f>IF($L2410&lt;&gt;"",VLOOKUP($L2410,Categories!$B$2:$D$41,3,FALSE),IF($F2410&lt;&gt;"","No Cat",""))</f>
        <v>Direct Assign Items Not in RB</v>
      </c>
      <c r="P2410" s="736" t="s">
        <v>2468</v>
      </c>
      <c r="Q2410" s="25" t="str">
        <f>VLOOKUP($P2410,Allocators!$B$7:$F$19,5,FALSE)</f>
        <v>Not in Rate Base</v>
      </c>
      <c r="R2410" s="737">
        <f>VLOOKUP($P2410,Allocators!$B$7:$F$19,2,FALSE)</f>
        <v>0</v>
      </c>
      <c r="S2410" s="737">
        <f>VLOOKUP($P2410,Allocators!$B$7:$F$19,3,FALSE)</f>
        <v>0</v>
      </c>
      <c r="T2410" s="737">
        <f t="shared" si="1131"/>
        <v>1</v>
      </c>
      <c r="U2410" s="2">
        <f t="shared" si="1149"/>
        <v>0</v>
      </c>
      <c r="V2410" s="2">
        <f t="shared" si="1150"/>
        <v>0</v>
      </c>
      <c r="W2410" s="2">
        <f t="shared" si="1151"/>
        <v>-4394.4642541666699</v>
      </c>
      <c r="X2410" s="2">
        <f t="shared" si="1147"/>
        <v>-4394.4642541666699</v>
      </c>
      <c r="Y2410" s="2">
        <f t="shared" si="1152"/>
        <v>0</v>
      </c>
      <c r="Z2410" s="2">
        <f t="shared" si="1153"/>
        <v>0</v>
      </c>
      <c r="AA2410" s="2">
        <f t="shared" si="1154"/>
        <v>-5839.5703000000003</v>
      </c>
      <c r="AB2410" s="2">
        <f t="shared" si="1148"/>
        <v>-5839.5702999999994</v>
      </c>
      <c r="AC2410" s="625">
        <v>-4499.1352999999999</v>
      </c>
      <c r="AD2410" s="625">
        <v>-4338.3434600000001</v>
      </c>
      <c r="AE2410" s="625">
        <v>-4303.4758899999997</v>
      </c>
      <c r="AF2410" s="625">
        <v>-4291.2815499999997</v>
      </c>
      <c r="AG2410" s="625">
        <v>-4245.0304699999997</v>
      </c>
      <c r="AH2410" s="625">
        <v>-4171.0011100000002</v>
      </c>
      <c r="AI2410" s="625">
        <v>-4112.8726400000005</v>
      </c>
      <c r="AJ2410" s="625">
        <v>-4085.2829500000003</v>
      </c>
      <c r="AK2410" s="625">
        <v>-4045.1070299999997</v>
      </c>
      <c r="AL2410" s="625">
        <v>-4001.1116200000001</v>
      </c>
      <c r="AM2410" s="625">
        <v>-4089.2770099999998</v>
      </c>
      <c r="AN2410" s="625">
        <v>-5881.4345199999998</v>
      </c>
      <c r="AO2410" s="625">
        <v>-5839.5702999999994</v>
      </c>
      <c r="AP2410" s="41" t="str">
        <f t="shared" si="1132"/>
        <v>Def TaxN</v>
      </c>
      <c r="AQ2410" s="41" t="str">
        <f t="shared" si="1133"/>
        <v>Def TaxNN2Environmental</v>
      </c>
      <c r="AR2410" s="41" t="str">
        <f t="shared" si="1134"/>
        <v>N2Environmental</v>
      </c>
    </row>
    <row r="2411" spans="1:44" s="41" customFormat="1" ht="12.75" customHeight="1">
      <c r="A2411" s="25" t="s">
        <v>1590</v>
      </c>
      <c r="B2411" s="25" t="str">
        <f t="shared" si="1129"/>
        <v>Def Tax283550283-053</v>
      </c>
      <c r="C2411" s="736">
        <v>283550</v>
      </c>
      <c r="D2411" s="735" t="s">
        <v>2153</v>
      </c>
      <c r="F2411" s="41" t="str">
        <f t="shared" si="1120"/>
        <v>ADIT-OTH-REG-STATE-ELECTRIC</v>
      </c>
      <c r="G2411" s="41" t="s">
        <v>2154</v>
      </c>
      <c r="H2411" s="736" t="s">
        <v>2155</v>
      </c>
      <c r="I2411" s="25"/>
      <c r="J2411" s="25" t="str">
        <f t="shared" si="1121"/>
        <v/>
      </c>
      <c r="K2411" s="442" t="str">
        <f t="shared" si="1130"/>
        <v/>
      </c>
      <c r="L2411" s="736" t="s">
        <v>2443</v>
      </c>
      <c r="M2411" s="25" t="str">
        <f t="shared" si="1146"/>
        <v>R</v>
      </c>
      <c r="N2411" s="25" t="str">
        <f>IF(L2411&lt;&gt;"",VLOOKUP(L2411,Categories!$B$2:$D$41,2,FALSE),IF(F2411&lt;&gt;"","No Cat",""))</f>
        <v>Rate Base</v>
      </c>
      <c r="O2411" s="25" t="str">
        <f>IF($L2411&lt;&gt;"",VLOOKUP($L2411,Categories!$B$2:$D$41,3,FALSE),IF($F2411&lt;&gt;"","No Cat",""))</f>
        <v>Deferred Income Taxes</v>
      </c>
      <c r="P2411" s="736" t="s">
        <v>2482</v>
      </c>
      <c r="Q2411" s="25" t="str">
        <f>VLOOKUP($P2411,Allocators!$B$7:$F$19,5,FALSE)</f>
        <v>Electric</v>
      </c>
      <c r="R2411" s="737">
        <f>VLOOKUP($P2411,Allocators!$B$7:$F$19,2,FALSE)</f>
        <v>1</v>
      </c>
      <c r="S2411" s="737">
        <f>VLOOKUP($P2411,Allocators!$B$7:$F$19,3,FALSE)</f>
        <v>0</v>
      </c>
      <c r="T2411" s="737" t="str">
        <f t="shared" si="1131"/>
        <v>0.0%</v>
      </c>
      <c r="U2411" s="2" t="str">
        <f t="shared" si="1149"/>
        <v/>
      </c>
      <c r="V2411" s="2" t="str">
        <f t="shared" si="1150"/>
        <v/>
      </c>
      <c r="W2411" s="2" t="str">
        <f t="shared" si="1151"/>
        <v/>
      </c>
      <c r="X2411" s="2">
        <f t="shared" si="1147"/>
        <v>0</v>
      </c>
      <c r="Y2411" s="2" t="str">
        <f t="shared" si="1152"/>
        <v/>
      </c>
      <c r="Z2411" s="2" t="str">
        <f t="shared" si="1153"/>
        <v/>
      </c>
      <c r="AA2411" s="2" t="str">
        <f t="shared" si="1154"/>
        <v/>
      </c>
      <c r="AB2411" s="2">
        <f t="shared" si="1148"/>
        <v>0</v>
      </c>
      <c r="AC2411" s="625">
        <v>0</v>
      </c>
      <c r="AD2411" s="625">
        <v>0</v>
      </c>
      <c r="AE2411" s="625">
        <v>0</v>
      </c>
      <c r="AF2411" s="625">
        <v>0</v>
      </c>
      <c r="AG2411" s="625">
        <v>0</v>
      </c>
      <c r="AH2411" s="625">
        <v>0</v>
      </c>
      <c r="AI2411" s="625">
        <v>0</v>
      </c>
      <c r="AJ2411" s="625">
        <v>0</v>
      </c>
      <c r="AK2411" s="625">
        <v>0</v>
      </c>
      <c r="AL2411" s="625">
        <v>0</v>
      </c>
      <c r="AM2411" s="625">
        <v>0</v>
      </c>
      <c r="AN2411" s="625">
        <v>0</v>
      </c>
      <c r="AO2411" s="625">
        <v>0</v>
      </c>
      <c r="AP2411" s="41" t="str">
        <f t="shared" si="1132"/>
        <v>Def TaxR</v>
      </c>
      <c r="AQ2411" s="41" t="str">
        <f t="shared" si="1133"/>
        <v>Def TaxRR11Deferred Competition Implementation</v>
      </c>
      <c r="AR2411" s="41" t="str">
        <f t="shared" si="1134"/>
        <v>R11Deferred Competition Implementation</v>
      </c>
    </row>
    <row r="2412" spans="1:44" s="41" customFormat="1" ht="12.75" customHeight="1">
      <c r="A2412" s="25" t="s">
        <v>1590</v>
      </c>
      <c r="B2412" s="25" t="str">
        <f t="shared" si="1129"/>
        <v>Def Tax283550283-054</v>
      </c>
      <c r="C2412" s="736">
        <v>283550</v>
      </c>
      <c r="D2412" s="735" t="s">
        <v>2180</v>
      </c>
      <c r="F2412" s="41" t="str">
        <f t="shared" si="1120"/>
        <v>ADIT-OTH-REG-STATE-ELECTRIC</v>
      </c>
      <c r="G2412" s="41" t="s">
        <v>2181</v>
      </c>
      <c r="H2412" s="736" t="s">
        <v>1140</v>
      </c>
      <c r="I2412" s="25"/>
      <c r="J2412" s="25" t="str">
        <f t="shared" si="1121"/>
        <v/>
      </c>
      <c r="K2412" s="442" t="str">
        <f t="shared" si="1130"/>
        <v/>
      </c>
      <c r="L2412" s="736" t="s">
        <v>2443</v>
      </c>
      <c r="M2412" s="25" t="str">
        <f t="shared" si="1146"/>
        <v>R</v>
      </c>
      <c r="N2412" s="25" t="str">
        <f>IF(L2412&lt;&gt;"",VLOOKUP(L2412,Categories!$B$2:$D$41,2,FALSE),IF(F2412&lt;&gt;"","No Cat",""))</f>
        <v>Rate Base</v>
      </c>
      <c r="O2412" s="25" t="str">
        <f>IF($L2412&lt;&gt;"",VLOOKUP($L2412,Categories!$B$2:$D$41,3,FALSE),IF($F2412&lt;&gt;"","No Cat",""))</f>
        <v>Deferred Income Taxes</v>
      </c>
      <c r="P2412" s="736" t="s">
        <v>2482</v>
      </c>
      <c r="Q2412" s="25" t="str">
        <f>VLOOKUP($P2412,Allocators!$B$7:$F$19,5,FALSE)</f>
        <v>Electric</v>
      </c>
      <c r="R2412" s="737">
        <f>VLOOKUP($P2412,Allocators!$B$7:$F$19,2,FALSE)</f>
        <v>1</v>
      </c>
      <c r="S2412" s="737">
        <f>VLOOKUP($P2412,Allocators!$B$7:$F$19,3,FALSE)</f>
        <v>0</v>
      </c>
      <c r="T2412" s="737" t="str">
        <f t="shared" si="1131"/>
        <v>0.0%</v>
      </c>
      <c r="U2412" s="2" t="str">
        <f t="shared" si="1149"/>
        <v/>
      </c>
      <c r="V2412" s="2" t="str">
        <f t="shared" si="1150"/>
        <v/>
      </c>
      <c r="W2412" s="2" t="str">
        <f t="shared" si="1151"/>
        <v/>
      </c>
      <c r="X2412" s="2">
        <f t="shared" si="1147"/>
        <v>0</v>
      </c>
      <c r="Y2412" s="2" t="str">
        <f t="shared" si="1152"/>
        <v/>
      </c>
      <c r="Z2412" s="2" t="str">
        <f t="shared" si="1153"/>
        <v/>
      </c>
      <c r="AA2412" s="2" t="str">
        <f t="shared" si="1154"/>
        <v/>
      </c>
      <c r="AB2412" s="2">
        <f t="shared" si="1148"/>
        <v>0</v>
      </c>
      <c r="AC2412" s="625">
        <v>0</v>
      </c>
      <c r="AD2412" s="625">
        <v>0</v>
      </c>
      <c r="AE2412" s="625">
        <v>0</v>
      </c>
      <c r="AF2412" s="625">
        <v>0</v>
      </c>
      <c r="AG2412" s="625">
        <v>0</v>
      </c>
      <c r="AH2412" s="625">
        <v>0</v>
      </c>
      <c r="AI2412" s="625">
        <v>0</v>
      </c>
      <c r="AJ2412" s="625">
        <v>0</v>
      </c>
      <c r="AK2412" s="625">
        <v>0</v>
      </c>
      <c r="AL2412" s="625">
        <v>0</v>
      </c>
      <c r="AM2412" s="625">
        <v>0</v>
      </c>
      <c r="AN2412" s="625">
        <v>0</v>
      </c>
      <c r="AO2412" s="625">
        <v>0</v>
      </c>
      <c r="AP2412" s="41" t="str">
        <f t="shared" si="1132"/>
        <v>Def TaxR</v>
      </c>
      <c r="AQ2412" s="41" t="str">
        <f t="shared" si="1133"/>
        <v>Def TaxRR11Allegany</v>
      </c>
      <c r="AR2412" s="41" t="str">
        <f t="shared" si="1134"/>
        <v>R11Allegany</v>
      </c>
    </row>
    <row r="2413" spans="1:44" s="41" customFormat="1" ht="12.75" customHeight="1">
      <c r="A2413" s="25" t="s">
        <v>1590</v>
      </c>
      <c r="B2413" s="25" t="str">
        <f t="shared" si="1129"/>
        <v>Def Tax283550283-054/
190-073BE030223</v>
      </c>
      <c r="C2413" s="736">
        <v>283550</v>
      </c>
      <c r="D2413" s="735" t="s">
        <v>2328</v>
      </c>
      <c r="E2413" s="41" t="s">
        <v>986</v>
      </c>
      <c r="F2413" s="41" t="str">
        <f t="shared" ref="F2413:F2484" si="1156">VLOOKUP(C2413,$C$7:$F$787,4,FALSE)</f>
        <v>ADIT-OTH-REG-STATE-ELECTRIC</v>
      </c>
      <c r="G2413" s="41" t="s">
        <v>2181</v>
      </c>
      <c r="H2413" s="736" t="s">
        <v>1140</v>
      </c>
      <c r="I2413" s="25"/>
      <c r="J2413" s="25" t="str">
        <f t="shared" si="1121"/>
        <v/>
      </c>
      <c r="K2413" s="442" t="str">
        <f t="shared" si="1130"/>
        <v/>
      </c>
      <c r="L2413" s="736" t="s">
        <v>2443</v>
      </c>
      <c r="M2413" s="25" t="str">
        <f t="shared" si="1146"/>
        <v>R</v>
      </c>
      <c r="N2413" s="25" t="str">
        <f>IF(L2413&lt;&gt;"",VLOOKUP(L2413,Categories!$B$2:$D$41,2,FALSE),IF(F2413&lt;&gt;"","No Cat",""))</f>
        <v>Rate Base</v>
      </c>
      <c r="O2413" s="25" t="str">
        <f>IF($L2413&lt;&gt;"",VLOOKUP($L2413,Categories!$B$2:$D$41,3,FALSE),IF($F2413&lt;&gt;"","No Cat",""))</f>
        <v>Deferred Income Taxes</v>
      </c>
      <c r="P2413" s="736" t="s">
        <v>2482</v>
      </c>
      <c r="Q2413" s="25" t="str">
        <f>VLOOKUP($P2413,Allocators!$B$7:$F$19,5,FALSE)</f>
        <v>Electric</v>
      </c>
      <c r="R2413" s="737">
        <f>VLOOKUP($P2413,Allocators!$B$7:$F$19,2,FALSE)</f>
        <v>1</v>
      </c>
      <c r="S2413" s="737">
        <f>VLOOKUP($P2413,Allocators!$B$7:$F$19,3,FALSE)</f>
        <v>0</v>
      </c>
      <c r="T2413" s="737" t="str">
        <f t="shared" si="1131"/>
        <v>0.0%</v>
      </c>
      <c r="U2413" s="2">
        <f t="shared" si="1149"/>
        <v>1661.2998</v>
      </c>
      <c r="V2413" s="2">
        <f t="shared" si="1150"/>
        <v>0</v>
      </c>
      <c r="W2413" s="2">
        <f t="shared" si="1151"/>
        <v>0</v>
      </c>
      <c r="X2413" s="2">
        <f t="shared" si="1147"/>
        <v>1661.2998</v>
      </c>
      <c r="Y2413" s="2">
        <f t="shared" si="1152"/>
        <v>1661.2998</v>
      </c>
      <c r="Z2413" s="2">
        <f t="shared" si="1153"/>
        <v>0</v>
      </c>
      <c r="AA2413" s="2">
        <f t="shared" si="1154"/>
        <v>0</v>
      </c>
      <c r="AB2413" s="2">
        <f t="shared" si="1148"/>
        <v>1661.2998</v>
      </c>
      <c r="AC2413" s="625">
        <v>1661.2998</v>
      </c>
      <c r="AD2413" s="625">
        <v>1661.2998</v>
      </c>
      <c r="AE2413" s="625">
        <v>1661.2998</v>
      </c>
      <c r="AF2413" s="625">
        <v>1661.2998</v>
      </c>
      <c r="AG2413" s="625">
        <v>1661.2998</v>
      </c>
      <c r="AH2413" s="625">
        <v>1661.2998</v>
      </c>
      <c r="AI2413" s="625">
        <v>1661.2998</v>
      </c>
      <c r="AJ2413" s="625">
        <v>1661.2998</v>
      </c>
      <c r="AK2413" s="625">
        <v>1661.2998</v>
      </c>
      <c r="AL2413" s="625">
        <v>1661.2998</v>
      </c>
      <c r="AM2413" s="625">
        <v>1661.2998</v>
      </c>
      <c r="AN2413" s="625">
        <v>1661.2998</v>
      </c>
      <c r="AO2413" s="625">
        <v>1661.2998</v>
      </c>
      <c r="AP2413" s="41" t="str">
        <f t="shared" si="1132"/>
        <v>Def TaxR</v>
      </c>
      <c r="AQ2413" s="41" t="str">
        <f t="shared" si="1133"/>
        <v>Def TaxRR11Allegany</v>
      </c>
      <c r="AR2413" s="41" t="str">
        <f t="shared" si="1134"/>
        <v>R11Allegany</v>
      </c>
    </row>
    <row r="2414" spans="1:44" s="41" customFormat="1" ht="12.75" customHeight="1">
      <c r="A2414" s="25" t="s">
        <v>1590</v>
      </c>
      <c r="B2414" s="25" t="str">
        <f t="shared" si="1129"/>
        <v>Def Tax283550283-057BE030272/
BE030277</v>
      </c>
      <c r="C2414" s="736">
        <v>283550</v>
      </c>
      <c r="D2414" s="735" t="s">
        <v>2039</v>
      </c>
      <c r="E2414" s="41" t="s">
        <v>2206</v>
      </c>
      <c r="F2414" s="41" t="str">
        <f t="shared" si="1156"/>
        <v>ADIT-OTH-REG-STATE-ELECTRIC</v>
      </c>
      <c r="G2414" s="41" t="s">
        <v>2294</v>
      </c>
      <c r="H2414" s="736" t="s">
        <v>1145</v>
      </c>
      <c r="I2414" s="25"/>
      <c r="J2414" s="25" t="str">
        <f t="shared" ref="J2414:J2485" si="1157">IF(L2414="N10","Y",IF(L2414="N8","Y",""))</f>
        <v/>
      </c>
      <c r="K2414" s="442" t="str">
        <f t="shared" si="1130"/>
        <v/>
      </c>
      <c r="L2414" s="736" t="s">
        <v>2443</v>
      </c>
      <c r="M2414" s="25" t="str">
        <f t="shared" si="1146"/>
        <v>R</v>
      </c>
      <c r="N2414" s="25" t="str">
        <f>IF(L2414&lt;&gt;"",VLOOKUP(L2414,Categories!$B$2:$D$41,2,FALSE),IF(F2414&lt;&gt;"","No Cat",""))</f>
        <v>Rate Base</v>
      </c>
      <c r="O2414" s="25" t="str">
        <f>IF($L2414&lt;&gt;"",VLOOKUP($L2414,Categories!$B$2:$D$41,3,FALSE),IF($F2414&lt;&gt;"","No Cat",""))</f>
        <v>Deferred Income Taxes</v>
      </c>
      <c r="P2414" s="736" t="s">
        <v>2482</v>
      </c>
      <c r="Q2414" s="25" t="str">
        <f>VLOOKUP($P2414,Allocators!$B$7:$F$19,5,FALSE)</f>
        <v>Electric</v>
      </c>
      <c r="R2414" s="737">
        <f>VLOOKUP($P2414,Allocators!$B$7:$F$19,2,FALSE)</f>
        <v>1</v>
      </c>
      <c r="S2414" s="737">
        <f>VLOOKUP($P2414,Allocators!$B$7:$F$19,3,FALSE)</f>
        <v>0</v>
      </c>
      <c r="T2414" s="737" t="str">
        <f t="shared" si="1131"/>
        <v>0.0%</v>
      </c>
      <c r="U2414" s="2">
        <f t="shared" si="1149"/>
        <v>-158.17599999999999</v>
      </c>
      <c r="V2414" s="2">
        <f t="shared" si="1150"/>
        <v>0</v>
      </c>
      <c r="W2414" s="2">
        <f t="shared" si="1151"/>
        <v>0</v>
      </c>
      <c r="X2414" s="2">
        <f t="shared" si="1147"/>
        <v>-158.17599999999999</v>
      </c>
      <c r="Y2414" s="2">
        <f t="shared" si="1152"/>
        <v>-158.17599999999999</v>
      </c>
      <c r="Z2414" s="2">
        <f t="shared" si="1153"/>
        <v>0</v>
      </c>
      <c r="AA2414" s="2">
        <f t="shared" si="1154"/>
        <v>0</v>
      </c>
      <c r="AB2414" s="2">
        <f t="shared" si="1148"/>
        <v>-158.17599999999999</v>
      </c>
      <c r="AC2414" s="625">
        <v>-158.17599999999999</v>
      </c>
      <c r="AD2414" s="625">
        <v>-158.17599999999999</v>
      </c>
      <c r="AE2414" s="625">
        <v>-158.17599999999999</v>
      </c>
      <c r="AF2414" s="625">
        <v>-158.17599999999999</v>
      </c>
      <c r="AG2414" s="625">
        <v>-158.17599999999999</v>
      </c>
      <c r="AH2414" s="625">
        <v>-158.17599999999999</v>
      </c>
      <c r="AI2414" s="625">
        <v>-158.17599999999999</v>
      </c>
      <c r="AJ2414" s="625">
        <v>-158.17599999999999</v>
      </c>
      <c r="AK2414" s="625">
        <v>-158.17599999999999</v>
      </c>
      <c r="AL2414" s="625">
        <v>-158.17599999999999</v>
      </c>
      <c r="AM2414" s="625">
        <v>-158.17599999999999</v>
      </c>
      <c r="AN2414" s="625">
        <v>-158.17599999999999</v>
      </c>
      <c r="AO2414" s="625">
        <v>-158.17599999999999</v>
      </c>
      <c r="AP2414" s="41" t="str">
        <f t="shared" si="1132"/>
        <v>Def TaxR</v>
      </c>
      <c r="AQ2414" s="41" t="str">
        <f t="shared" si="1133"/>
        <v>Def TaxRR11NM2 Sale</v>
      </c>
      <c r="AR2414" s="41" t="str">
        <f t="shared" si="1134"/>
        <v>R11NM2 Sale</v>
      </c>
    </row>
    <row r="2415" spans="1:44" s="41" customFormat="1" ht="12.75" customHeight="1">
      <c r="A2415" s="25" t="s">
        <v>1590</v>
      </c>
      <c r="B2415" s="25" t="str">
        <f t="shared" si="1129"/>
        <v>Def Tax283550283-057-SBE030276</v>
      </c>
      <c r="C2415" s="736">
        <v>283550</v>
      </c>
      <c r="D2415" s="735" t="s">
        <v>2342</v>
      </c>
      <c r="E2415" s="41" t="s">
        <v>993</v>
      </c>
      <c r="F2415" s="41" t="str">
        <f t="shared" si="1156"/>
        <v>ADIT-OTH-REG-STATE-ELECTRIC</v>
      </c>
      <c r="G2415" s="41" t="s">
        <v>2204</v>
      </c>
      <c r="H2415" s="736" t="s">
        <v>1145</v>
      </c>
      <c r="I2415" s="25"/>
      <c r="J2415" s="25" t="str">
        <f t="shared" si="1157"/>
        <v/>
      </c>
      <c r="K2415" s="442" t="str">
        <f t="shared" si="1130"/>
        <v/>
      </c>
      <c r="L2415" s="736" t="s">
        <v>2443</v>
      </c>
      <c r="M2415" s="25" t="str">
        <f t="shared" si="1146"/>
        <v>R</v>
      </c>
      <c r="N2415" s="25" t="str">
        <f>IF(L2415&lt;&gt;"",VLOOKUP(L2415,Categories!$B$2:$D$41,2,FALSE),IF(F2415&lt;&gt;"","No Cat",""))</f>
        <v>Rate Base</v>
      </c>
      <c r="O2415" s="25" t="str">
        <f>IF($L2415&lt;&gt;"",VLOOKUP($L2415,Categories!$B$2:$D$41,3,FALSE),IF($F2415&lt;&gt;"","No Cat",""))</f>
        <v>Deferred Income Taxes</v>
      </c>
      <c r="P2415" s="736" t="s">
        <v>2482</v>
      </c>
      <c r="Q2415" s="25" t="str">
        <f>VLOOKUP($P2415,Allocators!$B$7:$F$19,5,FALSE)</f>
        <v>Electric</v>
      </c>
      <c r="R2415" s="737">
        <f>VLOOKUP($P2415,Allocators!$B$7:$F$19,2,FALSE)</f>
        <v>1</v>
      </c>
      <c r="S2415" s="737">
        <f>VLOOKUP($P2415,Allocators!$B$7:$F$19,3,FALSE)</f>
        <v>0</v>
      </c>
      <c r="T2415" s="737" t="str">
        <f t="shared" si="1131"/>
        <v>0.0%</v>
      </c>
      <c r="U2415" s="2" t="str">
        <f t="shared" si="1149"/>
        <v/>
      </c>
      <c r="V2415" s="2" t="str">
        <f t="shared" si="1150"/>
        <v/>
      </c>
      <c r="W2415" s="2" t="str">
        <f t="shared" si="1151"/>
        <v/>
      </c>
      <c r="X2415" s="2">
        <f t="shared" si="1147"/>
        <v>0</v>
      </c>
      <c r="Y2415" s="2" t="str">
        <f t="shared" si="1152"/>
        <v/>
      </c>
      <c r="Z2415" s="2" t="str">
        <f t="shared" si="1153"/>
        <v/>
      </c>
      <c r="AA2415" s="2" t="str">
        <f t="shared" si="1154"/>
        <v/>
      </c>
      <c r="AB2415" s="2">
        <f t="shared" si="1148"/>
        <v>0</v>
      </c>
      <c r="AC2415" s="625">
        <v>0</v>
      </c>
      <c r="AD2415" s="625">
        <v>0</v>
      </c>
      <c r="AE2415" s="625">
        <v>0</v>
      </c>
      <c r="AF2415" s="625">
        <v>0</v>
      </c>
      <c r="AG2415" s="625">
        <v>0</v>
      </c>
      <c r="AH2415" s="625">
        <v>0</v>
      </c>
      <c r="AI2415" s="625">
        <v>0</v>
      </c>
      <c r="AJ2415" s="625">
        <v>0</v>
      </c>
      <c r="AK2415" s="625">
        <v>0</v>
      </c>
      <c r="AL2415" s="625">
        <v>0</v>
      </c>
      <c r="AM2415" s="625">
        <v>0</v>
      </c>
      <c r="AN2415" s="625">
        <v>0</v>
      </c>
      <c r="AO2415" s="625">
        <v>0</v>
      </c>
      <c r="AP2415" s="41" t="str">
        <f t="shared" si="1132"/>
        <v>Def TaxR</v>
      </c>
      <c r="AQ2415" s="41" t="str">
        <f t="shared" si="1133"/>
        <v>Def TaxRR11NM2 Sale</v>
      </c>
      <c r="AR2415" s="41" t="str">
        <f t="shared" si="1134"/>
        <v>R11NM2 Sale</v>
      </c>
    </row>
    <row r="2416" spans="1:44" s="41" customFormat="1" ht="12.75" customHeight="1">
      <c r="A2416" s="25" t="s">
        <v>1590</v>
      </c>
      <c r="B2416" s="25" t="str">
        <f t="shared" si="1129"/>
        <v>Def Tax283550TCCBE030276</v>
      </c>
      <c r="C2416" s="736">
        <v>283550</v>
      </c>
      <c r="D2416" s="735" t="s">
        <v>1947</v>
      </c>
      <c r="E2416" s="41" t="s">
        <v>993</v>
      </c>
      <c r="F2416" s="41" t="str">
        <f t="shared" si="1156"/>
        <v>ADIT-OTH-REG-STATE-ELECTRIC</v>
      </c>
      <c r="G2416" s="41" t="s">
        <v>2343</v>
      </c>
      <c r="H2416" s="736" t="s">
        <v>1145</v>
      </c>
      <c r="I2416" s="25"/>
      <c r="J2416" s="25" t="str">
        <f t="shared" si="1157"/>
        <v/>
      </c>
      <c r="K2416" s="442" t="str">
        <f t="shared" si="1130"/>
        <v/>
      </c>
      <c r="L2416" s="736" t="s">
        <v>2443</v>
      </c>
      <c r="M2416" s="25" t="str">
        <f t="shared" si="1146"/>
        <v>R</v>
      </c>
      <c r="N2416" s="25" t="str">
        <f>IF(L2416&lt;&gt;"",VLOOKUP(L2416,Categories!$B$2:$D$41,2,FALSE),IF(F2416&lt;&gt;"","No Cat",""))</f>
        <v>Rate Base</v>
      </c>
      <c r="O2416" s="25" t="str">
        <f>IF($L2416&lt;&gt;"",VLOOKUP($L2416,Categories!$B$2:$D$41,3,FALSE),IF($F2416&lt;&gt;"","No Cat",""))</f>
        <v>Deferred Income Taxes</v>
      </c>
      <c r="P2416" s="736" t="s">
        <v>2482</v>
      </c>
      <c r="Q2416" s="25" t="str">
        <f>VLOOKUP($P2416,Allocators!$B$7:$F$19,5,FALSE)</f>
        <v>Electric</v>
      </c>
      <c r="R2416" s="737">
        <f>VLOOKUP($P2416,Allocators!$B$7:$F$19,2,FALSE)</f>
        <v>1</v>
      </c>
      <c r="S2416" s="737">
        <f>VLOOKUP($P2416,Allocators!$B$7:$F$19,3,FALSE)</f>
        <v>0</v>
      </c>
      <c r="T2416" s="737" t="str">
        <f t="shared" si="1131"/>
        <v>0.0%</v>
      </c>
      <c r="U2416" s="2">
        <f t="shared" si="1149"/>
        <v>-788.52001541666698</v>
      </c>
      <c r="V2416" s="2">
        <f t="shared" si="1150"/>
        <v>0</v>
      </c>
      <c r="W2416" s="2">
        <f t="shared" si="1151"/>
        <v>0</v>
      </c>
      <c r="X2416" s="2">
        <f t="shared" si="1147"/>
        <v>-788.52001541666698</v>
      </c>
      <c r="Y2416" s="2">
        <f t="shared" si="1152"/>
        <v>-740.93331999999998</v>
      </c>
      <c r="Z2416" s="2">
        <f t="shared" si="1153"/>
        <v>0</v>
      </c>
      <c r="AA2416" s="2">
        <f t="shared" si="1154"/>
        <v>0</v>
      </c>
      <c r="AB2416" s="2">
        <f t="shared" si="1148"/>
        <v>-740.93331999999998</v>
      </c>
      <c r="AC2416" s="625">
        <v>-1012.30873</v>
      </c>
      <c r="AD2416" s="625">
        <v>-907.39305000000002</v>
      </c>
      <c r="AE2416" s="625">
        <v>-811.04003</v>
      </c>
      <c r="AF2416" s="625">
        <v>-779.94487000000004</v>
      </c>
      <c r="AG2416" s="625">
        <v>-768.9538</v>
      </c>
      <c r="AH2416" s="625">
        <v>-768.9538</v>
      </c>
      <c r="AI2416" s="625">
        <v>-764.36297999999999</v>
      </c>
      <c r="AJ2416" s="625">
        <v>-762.87300000000005</v>
      </c>
      <c r="AK2416" s="625">
        <v>-762.60340000000008</v>
      </c>
      <c r="AL2416" s="625">
        <v>-756.79966000000002</v>
      </c>
      <c r="AM2416" s="625">
        <v>-756.79966000000002</v>
      </c>
      <c r="AN2416" s="625">
        <v>-745.89490999999998</v>
      </c>
      <c r="AO2416" s="625">
        <v>-740.93331999999998</v>
      </c>
      <c r="AP2416" s="41" t="str">
        <f t="shared" si="1132"/>
        <v>Def TaxR</v>
      </c>
      <c r="AQ2416" s="41" t="str">
        <f t="shared" si="1133"/>
        <v>Def TaxRR11NM2 Sale</v>
      </c>
      <c r="AR2416" s="41" t="str">
        <f t="shared" si="1134"/>
        <v>R11NM2 Sale</v>
      </c>
    </row>
    <row r="2417" spans="1:44" s="41" customFormat="1" ht="12.75" customHeight="1">
      <c r="A2417" s="25" t="s">
        <v>1590</v>
      </c>
      <c r="B2417" s="25" t="str">
        <f t="shared" si="1129"/>
        <v>Def Tax283550283-058BE030270</v>
      </c>
      <c r="C2417" s="736">
        <v>283550</v>
      </c>
      <c r="D2417" s="735" t="s">
        <v>2124</v>
      </c>
      <c r="E2417" s="41" t="s">
        <v>985</v>
      </c>
      <c r="F2417" s="41" t="str">
        <f t="shared" si="1156"/>
        <v>ADIT-OTH-REG-STATE-ELECTRIC</v>
      </c>
      <c r="G2417" s="41" t="s">
        <v>2295</v>
      </c>
      <c r="H2417" s="736" t="s">
        <v>1139</v>
      </c>
      <c r="I2417" s="25"/>
      <c r="J2417" s="25" t="str">
        <f t="shared" si="1157"/>
        <v/>
      </c>
      <c r="K2417" s="442" t="str">
        <f t="shared" si="1130"/>
        <v/>
      </c>
      <c r="L2417" s="736" t="s">
        <v>2443</v>
      </c>
      <c r="M2417" s="25" t="str">
        <f t="shared" si="1146"/>
        <v>R</v>
      </c>
      <c r="N2417" s="25" t="str">
        <f>IF(L2417&lt;&gt;"",VLOOKUP(L2417,Categories!$B$2:$D$41,2,FALSE),IF(F2417&lt;&gt;"","No Cat",""))</f>
        <v>Rate Base</v>
      </c>
      <c r="O2417" s="25" t="str">
        <f>IF($L2417&lt;&gt;"",VLOOKUP($L2417,Categories!$B$2:$D$41,3,FALSE),IF($F2417&lt;&gt;"","No Cat",""))</f>
        <v>Deferred Income Taxes</v>
      </c>
      <c r="P2417" s="736" t="s">
        <v>2482</v>
      </c>
      <c r="Q2417" s="25" t="str">
        <f>VLOOKUP($P2417,Allocators!$B$7:$F$19,5,FALSE)</f>
        <v>Electric</v>
      </c>
      <c r="R2417" s="737">
        <f>VLOOKUP($P2417,Allocators!$B$7:$F$19,2,FALSE)</f>
        <v>1</v>
      </c>
      <c r="S2417" s="737">
        <f>VLOOKUP($P2417,Allocators!$B$7:$F$19,3,FALSE)</f>
        <v>0</v>
      </c>
      <c r="T2417" s="737" t="str">
        <f t="shared" si="1131"/>
        <v>0.0%</v>
      </c>
      <c r="U2417" s="2">
        <f t="shared" si="1149"/>
        <v>-413.7937</v>
      </c>
      <c r="V2417" s="2">
        <f t="shared" si="1150"/>
        <v>0</v>
      </c>
      <c r="W2417" s="2">
        <f t="shared" si="1151"/>
        <v>0</v>
      </c>
      <c r="X2417" s="2">
        <f t="shared" si="1147"/>
        <v>-413.7937</v>
      </c>
      <c r="Y2417" s="2">
        <f t="shared" si="1152"/>
        <v>-413.7937</v>
      </c>
      <c r="Z2417" s="2">
        <f t="shared" si="1153"/>
        <v>0</v>
      </c>
      <c r="AA2417" s="2">
        <f t="shared" si="1154"/>
        <v>0</v>
      </c>
      <c r="AB2417" s="2">
        <f t="shared" si="1148"/>
        <v>-413.7937</v>
      </c>
      <c r="AC2417" s="625">
        <v>-413.7937</v>
      </c>
      <c r="AD2417" s="625">
        <v>-413.7937</v>
      </c>
      <c r="AE2417" s="625">
        <v>-413.7937</v>
      </c>
      <c r="AF2417" s="625">
        <v>-413.7937</v>
      </c>
      <c r="AG2417" s="625">
        <v>-413.7937</v>
      </c>
      <c r="AH2417" s="625">
        <v>-413.7937</v>
      </c>
      <c r="AI2417" s="625">
        <v>-413.7937</v>
      </c>
      <c r="AJ2417" s="625">
        <v>-413.7937</v>
      </c>
      <c r="AK2417" s="625">
        <v>-413.7937</v>
      </c>
      <c r="AL2417" s="625">
        <v>-413.7937</v>
      </c>
      <c r="AM2417" s="625">
        <v>-413.7937</v>
      </c>
      <c r="AN2417" s="625">
        <v>-413.7937</v>
      </c>
      <c r="AO2417" s="625">
        <v>-413.7937</v>
      </c>
      <c r="AP2417" s="41" t="str">
        <f t="shared" si="1132"/>
        <v>Def TaxR</v>
      </c>
      <c r="AQ2417" s="41" t="str">
        <f t="shared" si="1133"/>
        <v>Def TaxRR11Oswego</v>
      </c>
      <c r="AR2417" s="41" t="str">
        <f t="shared" si="1134"/>
        <v>R11Oswego</v>
      </c>
    </row>
    <row r="2418" spans="1:44" s="41" customFormat="1" ht="12.75" customHeight="1">
      <c r="A2418" s="25" t="s">
        <v>1590</v>
      </c>
      <c r="B2418" s="25" t="str">
        <f t="shared" si="1129"/>
        <v>Def Tax283550283-068BC030225/
BT010225</v>
      </c>
      <c r="C2418" s="736">
        <v>283550</v>
      </c>
      <c r="D2418" s="735" t="s">
        <v>2152</v>
      </c>
      <c r="E2418" s="41" t="s">
        <v>1751</v>
      </c>
      <c r="F2418" s="41" t="str">
        <f t="shared" si="1156"/>
        <v>ADIT-OTH-REG-STATE-ELECTRIC</v>
      </c>
      <c r="G2418" s="41" t="s">
        <v>1752</v>
      </c>
      <c r="H2418" s="736" t="s">
        <v>1629</v>
      </c>
      <c r="I2418" s="25"/>
      <c r="J2418" s="25" t="str">
        <f t="shared" si="1157"/>
        <v/>
      </c>
      <c r="K2418" s="442" t="str">
        <f t="shared" si="1130"/>
        <v/>
      </c>
      <c r="L2418" s="736" t="s">
        <v>2443</v>
      </c>
      <c r="M2418" s="25" t="str">
        <f t="shared" si="1146"/>
        <v>R</v>
      </c>
      <c r="N2418" s="25" t="str">
        <f>IF(L2418&lt;&gt;"",VLOOKUP(L2418,Categories!$B$2:$D$41,2,FALSE),IF(F2418&lt;&gt;"","No Cat",""))</f>
        <v>Rate Base</v>
      </c>
      <c r="O2418" s="25" t="str">
        <f>IF($L2418&lt;&gt;"",VLOOKUP($L2418,Categories!$B$2:$D$41,3,FALSE),IF($F2418&lt;&gt;"","No Cat",""))</f>
        <v>Deferred Income Taxes</v>
      </c>
      <c r="P2418" s="736" t="s">
        <v>2482</v>
      </c>
      <c r="Q2418" s="25" t="str">
        <f>VLOOKUP($P2418,Allocators!$B$7:$F$19,5,FALSE)</f>
        <v>Electric</v>
      </c>
      <c r="R2418" s="737">
        <f>VLOOKUP($P2418,Allocators!$B$7:$F$19,2,FALSE)</f>
        <v>1</v>
      </c>
      <c r="S2418" s="737">
        <f>VLOOKUP($P2418,Allocators!$B$7:$F$19,3,FALSE)</f>
        <v>0</v>
      </c>
      <c r="T2418" s="737" t="str">
        <f t="shared" si="1131"/>
        <v>0.0%</v>
      </c>
      <c r="U2418" s="2">
        <f t="shared" si="1149"/>
        <v>-4.6460637499999997</v>
      </c>
      <c r="V2418" s="2">
        <f t="shared" si="1150"/>
        <v>0</v>
      </c>
      <c r="W2418" s="2">
        <f t="shared" si="1151"/>
        <v>0</v>
      </c>
      <c r="X2418" s="2">
        <f t="shared" si="1147"/>
        <v>-4.6460637499999997</v>
      </c>
      <c r="Y2418" s="2">
        <f t="shared" si="1152"/>
        <v>-4.9575699999999996</v>
      </c>
      <c r="Z2418" s="2">
        <f t="shared" si="1153"/>
        <v>0</v>
      </c>
      <c r="AA2418" s="2">
        <f t="shared" si="1154"/>
        <v>0</v>
      </c>
      <c r="AB2418" s="2">
        <f t="shared" si="1148"/>
        <v>-4.9575699999999996</v>
      </c>
      <c r="AC2418" s="625">
        <v>-4.6325200000000004</v>
      </c>
      <c r="AD2418" s="625">
        <v>-4.6325200000000004</v>
      </c>
      <c r="AE2418" s="625">
        <v>-4.6325200000000004</v>
      </c>
      <c r="AF2418" s="625">
        <v>-4.6325200000000004</v>
      </c>
      <c r="AG2418" s="625">
        <v>-4.6325200000000004</v>
      </c>
      <c r="AH2418" s="625">
        <v>-4.6325200000000004</v>
      </c>
      <c r="AI2418" s="625">
        <v>-4.6325200000000004</v>
      </c>
      <c r="AJ2418" s="625">
        <v>-4.6325200000000004</v>
      </c>
      <c r="AK2418" s="625">
        <v>-4.6325200000000004</v>
      </c>
      <c r="AL2418" s="625">
        <v>-4.6325200000000004</v>
      </c>
      <c r="AM2418" s="625">
        <v>-4.6325200000000004</v>
      </c>
      <c r="AN2418" s="625">
        <v>-4.6325200000000004</v>
      </c>
      <c r="AO2418" s="625">
        <v>-4.9575699999999996</v>
      </c>
      <c r="AP2418" s="41" t="str">
        <f t="shared" si="1132"/>
        <v>Def TaxR</v>
      </c>
      <c r="AQ2418" s="41" t="str">
        <f t="shared" si="1133"/>
        <v>Def TaxRR11Merger Related</v>
      </c>
      <c r="AR2418" s="41" t="str">
        <f t="shared" si="1134"/>
        <v>R11Merger Related</v>
      </c>
    </row>
    <row r="2419" spans="1:44" s="41" customFormat="1" ht="12.75" customHeight="1">
      <c r="A2419" s="25" t="s">
        <v>1590</v>
      </c>
      <c r="B2419" s="25" t="str">
        <f t="shared" si="1129"/>
        <v>Def Tax283550283-072-JPBT010189</v>
      </c>
      <c r="C2419" s="736">
        <v>283550</v>
      </c>
      <c r="D2419" s="735" t="s">
        <v>2226</v>
      </c>
      <c r="E2419" s="41" t="s">
        <v>2358</v>
      </c>
      <c r="F2419" s="41" t="str">
        <f t="shared" si="1156"/>
        <v>ADIT-OTH-REG-STATE-ELECTRIC</v>
      </c>
      <c r="G2419" s="41" t="s">
        <v>2359</v>
      </c>
      <c r="H2419" s="736" t="s">
        <v>2228</v>
      </c>
      <c r="I2419" s="25"/>
      <c r="J2419" s="25" t="str">
        <f t="shared" si="1157"/>
        <v/>
      </c>
      <c r="K2419" s="442" t="str">
        <f t="shared" si="1130"/>
        <v/>
      </c>
      <c r="L2419" s="736" t="s">
        <v>2443</v>
      </c>
      <c r="M2419" s="25" t="str">
        <f t="shared" si="1146"/>
        <v>R</v>
      </c>
      <c r="N2419" s="25" t="str">
        <f>IF(L2419&lt;&gt;"",VLOOKUP(L2419,Categories!$B$2:$D$41,2,FALSE),IF(F2419&lt;&gt;"","No Cat",""))</f>
        <v>Rate Base</v>
      </c>
      <c r="O2419" s="25" t="str">
        <f>IF($L2419&lt;&gt;"",VLOOKUP($L2419,Categories!$B$2:$D$41,3,FALSE),IF($F2419&lt;&gt;"","No Cat",""))</f>
        <v>Deferred Income Taxes</v>
      </c>
      <c r="P2419" s="736" t="s">
        <v>2482</v>
      </c>
      <c r="Q2419" s="25" t="str">
        <f>VLOOKUP($P2419,Allocators!$B$7:$F$19,5,FALSE)</f>
        <v>Electric</v>
      </c>
      <c r="R2419" s="737">
        <f>VLOOKUP($P2419,Allocators!$B$7:$F$19,2,FALSE)</f>
        <v>1</v>
      </c>
      <c r="S2419" s="737">
        <f>VLOOKUP($P2419,Allocators!$B$7:$F$19,3,FALSE)</f>
        <v>0</v>
      </c>
      <c r="T2419" s="737" t="str">
        <f t="shared" si="1131"/>
        <v>0.0%</v>
      </c>
      <c r="U2419" s="2">
        <f t="shared" si="1149"/>
        <v>-492.25918999999999</v>
      </c>
      <c r="V2419" s="2">
        <f t="shared" si="1150"/>
        <v>0</v>
      </c>
      <c r="W2419" s="2">
        <f t="shared" si="1151"/>
        <v>0</v>
      </c>
      <c r="X2419" s="2">
        <f t="shared" si="1147"/>
        <v>-492.25918999999999</v>
      </c>
      <c r="Y2419" s="2">
        <f t="shared" si="1152"/>
        <v>-492.25918999999999</v>
      </c>
      <c r="Z2419" s="2">
        <f t="shared" si="1153"/>
        <v>0</v>
      </c>
      <c r="AA2419" s="2">
        <f t="shared" si="1154"/>
        <v>0</v>
      </c>
      <c r="AB2419" s="2">
        <f t="shared" si="1148"/>
        <v>-492.25918999999999</v>
      </c>
      <c r="AC2419" s="625">
        <v>-492.25918999999999</v>
      </c>
      <c r="AD2419" s="625">
        <v>-492.25918999999999</v>
      </c>
      <c r="AE2419" s="625">
        <v>-492.25918999999999</v>
      </c>
      <c r="AF2419" s="625">
        <v>-492.25918999999999</v>
      </c>
      <c r="AG2419" s="625">
        <v>-492.25918999999999</v>
      </c>
      <c r="AH2419" s="625">
        <v>-492.25918999999999</v>
      </c>
      <c r="AI2419" s="625">
        <v>-492.25918999999999</v>
      </c>
      <c r="AJ2419" s="625">
        <v>-492.25918999999999</v>
      </c>
      <c r="AK2419" s="625">
        <v>-492.25918999999999</v>
      </c>
      <c r="AL2419" s="625">
        <v>-492.25918999999999</v>
      </c>
      <c r="AM2419" s="625">
        <v>-492.25918999999999</v>
      </c>
      <c r="AN2419" s="625">
        <v>-492.25918999999999</v>
      </c>
      <c r="AO2419" s="625">
        <v>-492.25918999999999</v>
      </c>
      <c r="AP2419" s="41" t="str">
        <f t="shared" si="1132"/>
        <v>Def TaxR</v>
      </c>
      <c r="AQ2419" s="41" t="str">
        <f t="shared" si="1133"/>
        <v>Def TaxRR11RAS</v>
      </c>
      <c r="AR2419" s="41" t="str">
        <f t="shared" si="1134"/>
        <v>R11RAS</v>
      </c>
    </row>
    <row r="2420" spans="1:44" s="41" customFormat="1" ht="12.75" customHeight="1">
      <c r="A2420" s="25" t="s">
        <v>1590</v>
      </c>
      <c r="B2420" s="25" t="str">
        <f t="shared" si="1129"/>
        <v>Def Tax283550283-075BT010086</v>
      </c>
      <c r="C2420" s="736">
        <v>283550</v>
      </c>
      <c r="D2420" s="735" t="s">
        <v>2016</v>
      </c>
      <c r="E2420" s="41" t="s">
        <v>2017</v>
      </c>
      <c r="F2420" s="41" t="str">
        <f t="shared" si="1156"/>
        <v>ADIT-OTH-REG-STATE-ELECTRIC</v>
      </c>
      <c r="G2420" s="41" t="s">
        <v>2018</v>
      </c>
      <c r="H2420" s="736" t="s">
        <v>814</v>
      </c>
      <c r="I2420" s="25"/>
      <c r="J2420" s="25" t="str">
        <f t="shared" si="1157"/>
        <v/>
      </c>
      <c r="K2420" s="442" t="str">
        <f t="shared" si="1130"/>
        <v/>
      </c>
      <c r="L2420" s="736" t="s">
        <v>2443</v>
      </c>
      <c r="M2420" s="25" t="str">
        <f t="shared" si="1146"/>
        <v>R</v>
      </c>
      <c r="N2420" s="25" t="str">
        <f>IF(L2420&lt;&gt;"",VLOOKUP(L2420,Categories!$B$2:$D$41,2,FALSE),IF(F2420&lt;&gt;"","No Cat",""))</f>
        <v>Rate Base</v>
      </c>
      <c r="O2420" s="25" t="str">
        <f>IF($L2420&lt;&gt;"",VLOOKUP($L2420,Categories!$B$2:$D$41,3,FALSE),IF($F2420&lt;&gt;"","No Cat",""))</f>
        <v>Deferred Income Taxes</v>
      </c>
      <c r="P2420" s="736" t="s">
        <v>2482</v>
      </c>
      <c r="Q2420" s="25" t="str">
        <f>VLOOKUP($P2420,Allocators!$B$7:$F$19,5,FALSE)</f>
        <v>Electric</v>
      </c>
      <c r="R2420" s="737">
        <f>VLOOKUP($P2420,Allocators!$B$7:$F$19,2,FALSE)</f>
        <v>1</v>
      </c>
      <c r="S2420" s="737">
        <f>VLOOKUP($P2420,Allocators!$B$7:$F$19,3,FALSE)</f>
        <v>0</v>
      </c>
      <c r="T2420" s="737" t="str">
        <f t="shared" si="1131"/>
        <v>0.0%</v>
      </c>
      <c r="U2420" s="2">
        <f t="shared" si="1149"/>
        <v>52.222790000000003</v>
      </c>
      <c r="V2420" s="2">
        <f t="shared" si="1150"/>
        <v>0</v>
      </c>
      <c r="W2420" s="2">
        <f t="shared" si="1151"/>
        <v>0</v>
      </c>
      <c r="X2420" s="2">
        <f t="shared" si="1147"/>
        <v>52.222790000000003</v>
      </c>
      <c r="Y2420" s="2">
        <f t="shared" si="1152"/>
        <v>52.222790000000003</v>
      </c>
      <c r="Z2420" s="2">
        <f t="shared" si="1153"/>
        <v>0</v>
      </c>
      <c r="AA2420" s="2">
        <f t="shared" si="1154"/>
        <v>0</v>
      </c>
      <c r="AB2420" s="2">
        <f t="shared" si="1148"/>
        <v>52.222790000000003</v>
      </c>
      <c r="AC2420" s="625">
        <v>52.222790000000003</v>
      </c>
      <c r="AD2420" s="625">
        <v>52.222790000000003</v>
      </c>
      <c r="AE2420" s="625">
        <v>52.222790000000003</v>
      </c>
      <c r="AF2420" s="625">
        <v>52.222790000000003</v>
      </c>
      <c r="AG2420" s="625">
        <v>52.222790000000003</v>
      </c>
      <c r="AH2420" s="625">
        <v>52.222790000000003</v>
      </c>
      <c r="AI2420" s="625">
        <v>52.222790000000003</v>
      </c>
      <c r="AJ2420" s="625">
        <v>52.222790000000003</v>
      </c>
      <c r="AK2420" s="625">
        <v>52.222790000000003</v>
      </c>
      <c r="AL2420" s="625">
        <v>52.222790000000003</v>
      </c>
      <c r="AM2420" s="625">
        <v>52.222790000000003</v>
      </c>
      <c r="AN2420" s="625">
        <v>52.222790000000003</v>
      </c>
      <c r="AO2420" s="625">
        <v>52.222790000000003</v>
      </c>
      <c r="AP2420" s="41" t="str">
        <f t="shared" si="1132"/>
        <v>Def TaxR</v>
      </c>
      <c r="AQ2420" s="41" t="str">
        <f t="shared" si="1133"/>
        <v>Def TaxRR11IRS Audit - 1998-2001</v>
      </c>
      <c r="AR2420" s="41" t="str">
        <f t="shared" si="1134"/>
        <v>R11IRS Audit - 1998-2001</v>
      </c>
    </row>
    <row r="2421" spans="1:44" s="41" customFormat="1" ht="12.75" customHeight="1">
      <c r="A2421" s="442" t="s">
        <v>1590</v>
      </c>
      <c r="B2421" s="442" t="str">
        <f t="shared" ref="B2421:B2492" si="1158">CONCATENATE(A2421,C2421,D2421,E2421)</f>
        <v>Def Tax283550283-080-JPBT010054</v>
      </c>
      <c r="C2421" s="736">
        <v>283550</v>
      </c>
      <c r="D2421" s="735" t="s">
        <v>2156</v>
      </c>
      <c r="E2421" s="626" t="s">
        <v>2307</v>
      </c>
      <c r="F2421" s="626" t="str">
        <f t="shared" si="1156"/>
        <v>ADIT-OTH-REG-STATE-ELECTRIC</v>
      </c>
      <c r="G2421" s="626" t="s">
        <v>2308</v>
      </c>
      <c r="H2421" s="736" t="s">
        <v>1113</v>
      </c>
      <c r="I2421" s="442"/>
      <c r="J2421" s="442" t="str">
        <f t="shared" si="1157"/>
        <v/>
      </c>
      <c r="K2421" s="442" t="str">
        <f t="shared" si="1130"/>
        <v/>
      </c>
      <c r="L2421" s="736" t="s">
        <v>2421</v>
      </c>
      <c r="M2421" s="442" t="str">
        <f t="shared" si="1146"/>
        <v>N</v>
      </c>
      <c r="N2421" s="442" t="str">
        <f>IF(L2421&lt;&gt;"",VLOOKUP(L2421,Categories!$B$2:$D$41,2,FALSE),IF(F2421&lt;&gt;"","No Cat",""))</f>
        <v>NRBASE</v>
      </c>
      <c r="O2421" s="442" t="str">
        <f>IF($L2421&lt;&gt;"",VLOOKUP($L2421,Categories!$B$2:$D$41,3,FALSE),IF($F2421&lt;&gt;"","No Cat",""))</f>
        <v>Direct Assign Items Not in RB</v>
      </c>
      <c r="P2421" s="736" t="s">
        <v>2468</v>
      </c>
      <c r="Q2421" s="442" t="str">
        <f>VLOOKUP($P2421,Allocators!$B$7:$F$19,5,FALSE)</f>
        <v>Not in Rate Base</v>
      </c>
      <c r="R2421" s="737">
        <f>VLOOKUP($P2421,Allocators!$B$7:$F$19,2,FALSE)</f>
        <v>0</v>
      </c>
      <c r="S2421" s="737">
        <f>VLOOKUP($P2421,Allocators!$B$7:$F$19,3,FALSE)</f>
        <v>0</v>
      </c>
      <c r="T2421" s="737">
        <f t="shared" si="1131"/>
        <v>1</v>
      </c>
      <c r="U2421" s="2">
        <f t="shared" si="1149"/>
        <v>0</v>
      </c>
      <c r="V2421" s="2">
        <f t="shared" si="1150"/>
        <v>0</v>
      </c>
      <c r="W2421" s="2">
        <f t="shared" si="1151"/>
        <v>-355.18722041666598</v>
      </c>
      <c r="X2421" s="2">
        <f t="shared" si="1147"/>
        <v>-355.18722041666598</v>
      </c>
      <c r="Y2421" s="2">
        <f t="shared" si="1152"/>
        <v>0</v>
      </c>
      <c r="Z2421" s="2">
        <f t="shared" si="1153"/>
        <v>0</v>
      </c>
      <c r="AA2421" s="2">
        <f t="shared" si="1154"/>
        <v>-1.6000000000000001E-4</v>
      </c>
      <c r="AB2421" s="2">
        <f t="shared" si="1148"/>
        <v>-1.6000000000000001E-4</v>
      </c>
      <c r="AC2421" s="625">
        <v>-1206.0231699999999</v>
      </c>
      <c r="AD2421" s="625">
        <v>-1212.8580099999999</v>
      </c>
      <c r="AE2421" s="625">
        <v>-1219.7315800000001</v>
      </c>
      <c r="AF2421" s="625">
        <v>-1226.6441100000002</v>
      </c>
      <c r="AG2421" s="625">
        <v>-1.6000000000000001E-4</v>
      </c>
      <c r="AH2421" s="625">
        <v>-1.6000000000000001E-4</v>
      </c>
      <c r="AI2421" s="625">
        <v>-1.6000000000000001E-4</v>
      </c>
      <c r="AJ2421" s="625">
        <v>-1.6000000000000001E-4</v>
      </c>
      <c r="AK2421" s="625">
        <v>-1.6000000000000001E-4</v>
      </c>
      <c r="AL2421" s="625">
        <v>-1.6000000000000001E-4</v>
      </c>
      <c r="AM2421" s="625">
        <v>-1.6000000000000001E-4</v>
      </c>
      <c r="AN2421" s="625">
        <v>-1.6000000000000001E-4</v>
      </c>
      <c r="AO2421" s="625">
        <v>-1.6000000000000001E-4</v>
      </c>
      <c r="AP2421" s="41" t="str">
        <f t="shared" si="1132"/>
        <v>Def TaxN</v>
      </c>
      <c r="AQ2421" s="41" t="str">
        <f t="shared" si="1133"/>
        <v>Def TaxNN2Property Tax Deferral</v>
      </c>
      <c r="AR2421" s="41" t="str">
        <f t="shared" si="1134"/>
        <v>N2Property Tax Deferral</v>
      </c>
    </row>
    <row r="2422" spans="1:44" s="41" customFormat="1" ht="12.75" customHeight="1">
      <c r="A2422" s="25" t="s">
        <v>1590</v>
      </c>
      <c r="B2422" s="25" t="str">
        <f t="shared" si="1158"/>
        <v>Def Tax283550283-082-JPBT010168</v>
      </c>
      <c r="C2422" s="736">
        <v>283550</v>
      </c>
      <c r="D2422" s="735" t="s">
        <v>2241</v>
      </c>
      <c r="E2422" s="41" t="s">
        <v>2360</v>
      </c>
      <c r="F2422" s="41" t="str">
        <f t="shared" si="1156"/>
        <v>ADIT-OTH-REG-STATE-ELECTRIC</v>
      </c>
      <c r="G2422" s="41" t="s">
        <v>2361</v>
      </c>
      <c r="H2422" s="736" t="s">
        <v>1117</v>
      </c>
      <c r="I2422" s="25"/>
      <c r="J2422" s="25" t="str">
        <f t="shared" si="1157"/>
        <v/>
      </c>
      <c r="K2422" s="442" t="str">
        <f t="shared" si="1130"/>
        <v/>
      </c>
      <c r="L2422" s="736" t="s">
        <v>2443</v>
      </c>
      <c r="M2422" s="25" t="str">
        <f t="shared" si="1146"/>
        <v>R</v>
      </c>
      <c r="N2422" s="25" t="str">
        <f>IF(L2422&lt;&gt;"",VLOOKUP(L2422,Categories!$B$2:$D$41,2,FALSE),IF(F2422&lt;&gt;"","No Cat",""))</f>
        <v>Rate Base</v>
      </c>
      <c r="O2422" s="25" t="str">
        <f>IF($L2422&lt;&gt;"",VLOOKUP($L2422,Categories!$B$2:$D$41,3,FALSE),IF($F2422&lt;&gt;"","No Cat",""))</f>
        <v>Deferred Income Taxes</v>
      </c>
      <c r="P2422" s="736" t="s">
        <v>2482</v>
      </c>
      <c r="Q2422" s="25" t="str">
        <f>VLOOKUP($P2422,Allocators!$B$7:$F$19,5,FALSE)</f>
        <v>Electric</v>
      </c>
      <c r="R2422" s="737">
        <f>VLOOKUP($P2422,Allocators!$B$7:$F$19,2,FALSE)</f>
        <v>1</v>
      </c>
      <c r="S2422" s="737">
        <f>VLOOKUP($P2422,Allocators!$B$7:$F$19,3,FALSE)</f>
        <v>0</v>
      </c>
      <c r="T2422" s="737" t="str">
        <f t="shared" si="1131"/>
        <v>0.0%</v>
      </c>
      <c r="U2422" s="2">
        <f t="shared" si="1149"/>
        <v>-51.5547729166667</v>
      </c>
      <c r="V2422" s="2">
        <f t="shared" si="1150"/>
        <v>0</v>
      </c>
      <c r="W2422" s="2">
        <f t="shared" si="1151"/>
        <v>0</v>
      </c>
      <c r="X2422" s="2">
        <f t="shared" si="1147"/>
        <v>-51.5547729166667</v>
      </c>
      <c r="Y2422" s="2">
        <f t="shared" si="1152"/>
        <v>-72.783100000000005</v>
      </c>
      <c r="Z2422" s="2">
        <f t="shared" si="1153"/>
        <v>0</v>
      </c>
      <c r="AA2422" s="2">
        <f t="shared" si="1154"/>
        <v>0</v>
      </c>
      <c r="AB2422" s="2">
        <f t="shared" si="1148"/>
        <v>-72.783100000000005</v>
      </c>
      <c r="AC2422" s="625">
        <v>-3.6999999999999999E-4</v>
      </c>
      <c r="AD2422" s="625">
        <v>-7.3999999999999999E-4</v>
      </c>
      <c r="AE2422" s="625">
        <v>0</v>
      </c>
      <c r="AF2422" s="625">
        <v>0</v>
      </c>
      <c r="AG2422" s="625">
        <v>-72.783100000000005</v>
      </c>
      <c r="AH2422" s="625">
        <v>-72.783100000000005</v>
      </c>
      <c r="AI2422" s="625">
        <v>-72.783100000000005</v>
      </c>
      <c r="AJ2422" s="625">
        <v>-72.783100000000005</v>
      </c>
      <c r="AK2422" s="625">
        <v>-72.783100000000005</v>
      </c>
      <c r="AL2422" s="625">
        <v>-72.783100000000005</v>
      </c>
      <c r="AM2422" s="625">
        <v>-72.783100000000005</v>
      </c>
      <c r="AN2422" s="625">
        <v>-72.783100000000005</v>
      </c>
      <c r="AO2422" s="625">
        <v>-72.783100000000005</v>
      </c>
      <c r="AP2422" s="41" t="str">
        <f t="shared" si="1132"/>
        <v>Def TaxR</v>
      </c>
      <c r="AQ2422" s="41" t="str">
        <f t="shared" si="1133"/>
        <v>Def TaxRR11Security Costs</v>
      </c>
      <c r="AR2422" s="41" t="str">
        <f t="shared" si="1134"/>
        <v>R11Security Costs</v>
      </c>
    </row>
    <row r="2423" spans="1:44" s="41" customFormat="1" ht="12.75" customHeight="1">
      <c r="A2423" s="442" t="s">
        <v>1590</v>
      </c>
      <c r="B2423" s="442" t="str">
        <f t="shared" si="1158"/>
        <v>Def Tax283550Ginna Sale</v>
      </c>
      <c r="C2423" s="736">
        <v>283550</v>
      </c>
      <c r="D2423" s="735" t="s">
        <v>1830</v>
      </c>
      <c r="E2423" s="626"/>
      <c r="F2423" s="626" t="str">
        <f t="shared" si="1156"/>
        <v>ADIT-OTH-REG-STATE-ELECTRIC</v>
      </c>
      <c r="G2423" s="626" t="s">
        <v>2376</v>
      </c>
      <c r="H2423" s="736" t="s">
        <v>1330</v>
      </c>
      <c r="I2423" s="442"/>
      <c r="J2423" s="442" t="str">
        <f t="shared" si="1157"/>
        <v/>
      </c>
      <c r="K2423" s="442" t="str">
        <f t="shared" si="1130"/>
        <v/>
      </c>
      <c r="L2423" s="736" t="s">
        <v>2421</v>
      </c>
      <c r="M2423" s="442" t="str">
        <f t="shared" si="1146"/>
        <v>N</v>
      </c>
      <c r="N2423" s="442" t="str">
        <f>IF(L2423&lt;&gt;"",VLOOKUP(L2423,Categories!$B$2:$D$41,2,FALSE),IF(F2423&lt;&gt;"","No Cat",""))</f>
        <v>NRBASE</v>
      </c>
      <c r="O2423" s="442" t="str">
        <f>IF($L2423&lt;&gt;"",VLOOKUP($L2423,Categories!$B$2:$D$41,3,FALSE),IF($F2423&lt;&gt;"","No Cat",""))</f>
        <v>Direct Assign Items Not in RB</v>
      </c>
      <c r="P2423" s="736" t="s">
        <v>2468</v>
      </c>
      <c r="Q2423" s="442" t="str">
        <f>VLOOKUP($P2423,Allocators!$B$7:$F$19,5,FALSE)</f>
        <v>Not in Rate Base</v>
      </c>
      <c r="R2423" s="737">
        <f>VLOOKUP($P2423,Allocators!$B$7:$F$19,2,FALSE)</f>
        <v>0</v>
      </c>
      <c r="S2423" s="737">
        <f>VLOOKUP($P2423,Allocators!$B$7:$F$19,3,FALSE)</f>
        <v>0</v>
      </c>
      <c r="T2423" s="737">
        <f t="shared" si="1131"/>
        <v>1</v>
      </c>
      <c r="U2423" s="2" t="str">
        <f t="shared" si="1149"/>
        <v/>
      </c>
      <c r="V2423" s="2" t="str">
        <f t="shared" si="1150"/>
        <v/>
      </c>
      <c r="W2423" s="2" t="str">
        <f t="shared" si="1151"/>
        <v/>
      </c>
      <c r="X2423" s="2">
        <f t="shared" si="1147"/>
        <v>0</v>
      </c>
      <c r="Y2423" s="2" t="str">
        <f t="shared" si="1152"/>
        <v/>
      </c>
      <c r="Z2423" s="2" t="str">
        <f t="shared" si="1153"/>
        <v/>
      </c>
      <c r="AA2423" s="2" t="str">
        <f t="shared" si="1154"/>
        <v/>
      </c>
      <c r="AB2423" s="2">
        <f t="shared" si="1148"/>
        <v>0</v>
      </c>
      <c r="AC2423" s="625">
        <v>0</v>
      </c>
      <c r="AD2423" s="625">
        <v>0</v>
      </c>
      <c r="AE2423" s="625">
        <v>0</v>
      </c>
      <c r="AF2423" s="625">
        <v>0</v>
      </c>
      <c r="AG2423" s="625">
        <v>0</v>
      </c>
      <c r="AH2423" s="625">
        <v>0</v>
      </c>
      <c r="AI2423" s="625">
        <v>0</v>
      </c>
      <c r="AJ2423" s="625">
        <v>0</v>
      </c>
      <c r="AK2423" s="625">
        <v>0</v>
      </c>
      <c r="AL2423" s="625">
        <v>0</v>
      </c>
      <c r="AM2423" s="625">
        <v>0</v>
      </c>
      <c r="AN2423" s="625">
        <v>0</v>
      </c>
      <c r="AO2423" s="625">
        <v>0</v>
      </c>
      <c r="AP2423" s="41" t="str">
        <f t="shared" si="1132"/>
        <v>Def TaxN</v>
      </c>
      <c r="AQ2423" s="41" t="str">
        <f t="shared" si="1133"/>
        <v>Def TaxNN2ASGA</v>
      </c>
      <c r="AR2423" s="41" t="str">
        <f t="shared" si="1134"/>
        <v>N2ASGA</v>
      </c>
    </row>
    <row r="2424" spans="1:44" s="41" customFormat="1" ht="12.75" customHeight="1">
      <c r="A2424" s="442" t="s">
        <v>1590</v>
      </c>
      <c r="B2424" s="442" t="str">
        <f t="shared" si="1158"/>
        <v>Def Tax283550ESR</v>
      </c>
      <c r="C2424" s="736">
        <v>283550</v>
      </c>
      <c r="D2424" s="735" t="s">
        <v>2312</v>
      </c>
      <c r="E2424" s="626"/>
      <c r="F2424" s="626" t="str">
        <f t="shared" si="1156"/>
        <v>ADIT-OTH-REG-STATE-ELECTRIC</v>
      </c>
      <c r="G2424" s="626" t="s">
        <v>2312</v>
      </c>
      <c r="H2424" s="736" t="s">
        <v>2312</v>
      </c>
      <c r="I2424" s="442"/>
      <c r="J2424" s="442" t="str">
        <f t="shared" si="1157"/>
        <v/>
      </c>
      <c r="K2424" s="442" t="str">
        <f t="shared" si="1130"/>
        <v/>
      </c>
      <c r="L2424" s="736" t="s">
        <v>2421</v>
      </c>
      <c r="M2424" s="442" t="str">
        <f t="shared" si="1146"/>
        <v>N</v>
      </c>
      <c r="N2424" s="442" t="str">
        <f>IF(L2424&lt;&gt;"",VLOOKUP(L2424,Categories!$B$2:$D$41,2,FALSE),IF(F2424&lt;&gt;"","No Cat",""))</f>
        <v>NRBASE</v>
      </c>
      <c r="O2424" s="442" t="str">
        <f>IF($L2424&lt;&gt;"",VLOOKUP($L2424,Categories!$B$2:$D$41,3,FALSE),IF($F2424&lt;&gt;"","No Cat",""))</f>
        <v>Direct Assign Items Not in RB</v>
      </c>
      <c r="P2424" s="736" t="s">
        <v>2468</v>
      </c>
      <c r="Q2424" s="442" t="str">
        <f>VLOOKUP($P2424,Allocators!$B$7:$F$19,5,FALSE)</f>
        <v>Not in Rate Base</v>
      </c>
      <c r="R2424" s="737">
        <f>VLOOKUP($P2424,Allocators!$B$7:$F$19,2,FALSE)</f>
        <v>0</v>
      </c>
      <c r="S2424" s="737">
        <f>VLOOKUP($P2424,Allocators!$B$7:$F$19,3,FALSE)</f>
        <v>0</v>
      </c>
      <c r="T2424" s="737">
        <f t="shared" si="1131"/>
        <v>1</v>
      </c>
      <c r="U2424" s="2" t="str">
        <f t="shared" si="1149"/>
        <v/>
      </c>
      <c r="V2424" s="2" t="str">
        <f t="shared" si="1150"/>
        <v/>
      </c>
      <c r="W2424" s="2" t="str">
        <f t="shared" si="1151"/>
        <v/>
      </c>
      <c r="X2424" s="2">
        <f t="shared" si="1147"/>
        <v>0</v>
      </c>
      <c r="Y2424" s="2" t="str">
        <f t="shared" si="1152"/>
        <v/>
      </c>
      <c r="Z2424" s="2" t="str">
        <f t="shared" si="1153"/>
        <v/>
      </c>
      <c r="AA2424" s="2" t="str">
        <f t="shared" si="1154"/>
        <v/>
      </c>
      <c r="AB2424" s="2">
        <f t="shared" si="1148"/>
        <v>0</v>
      </c>
      <c r="AC2424" s="625">
        <v>0</v>
      </c>
      <c r="AD2424" s="625">
        <v>0</v>
      </c>
      <c r="AE2424" s="625">
        <v>0</v>
      </c>
      <c r="AF2424" s="625">
        <v>0</v>
      </c>
      <c r="AG2424" s="625">
        <v>0</v>
      </c>
      <c r="AH2424" s="625">
        <v>0</v>
      </c>
      <c r="AI2424" s="625">
        <v>0</v>
      </c>
      <c r="AJ2424" s="625">
        <v>0</v>
      </c>
      <c r="AK2424" s="625">
        <v>0</v>
      </c>
      <c r="AL2424" s="625">
        <v>0</v>
      </c>
      <c r="AM2424" s="625">
        <v>0</v>
      </c>
      <c r="AN2424" s="625">
        <v>0</v>
      </c>
      <c r="AO2424" s="625">
        <v>0</v>
      </c>
      <c r="AP2424" s="41" t="str">
        <f t="shared" si="1132"/>
        <v>Def TaxN</v>
      </c>
      <c r="AQ2424" s="41" t="str">
        <f t="shared" si="1133"/>
        <v>Def TaxNN2ESR</v>
      </c>
      <c r="AR2424" s="41" t="str">
        <f t="shared" si="1134"/>
        <v>N2ESR</v>
      </c>
    </row>
    <row r="2425" spans="1:44" s="41" customFormat="1" ht="12.75" customHeight="1">
      <c r="A2425" s="442" t="s">
        <v>1590</v>
      </c>
      <c r="B2425" s="442" t="str">
        <f t="shared" si="1158"/>
        <v>Def Tax283550PASGA2BT010157</v>
      </c>
      <c r="C2425" s="736">
        <v>283550</v>
      </c>
      <c r="D2425" s="735" t="s">
        <v>2214</v>
      </c>
      <c r="E2425" s="626" t="s">
        <v>1463</v>
      </c>
      <c r="F2425" s="626" t="str">
        <f t="shared" si="1156"/>
        <v>ADIT-OTH-REG-STATE-ELECTRIC</v>
      </c>
      <c r="G2425" s="626" t="s">
        <v>2215</v>
      </c>
      <c r="H2425" s="736" t="s">
        <v>1330</v>
      </c>
      <c r="I2425" s="442"/>
      <c r="J2425" s="442" t="str">
        <f t="shared" si="1157"/>
        <v/>
      </c>
      <c r="K2425" s="442" t="str">
        <f t="shared" ref="K2425:K2490" si="1159">IF(L2425="N3","Y","")</f>
        <v/>
      </c>
      <c r="L2425" s="736" t="s">
        <v>2421</v>
      </c>
      <c r="M2425" s="442" t="str">
        <f t="shared" si="1146"/>
        <v>N</v>
      </c>
      <c r="N2425" s="442" t="str">
        <f>IF(L2425&lt;&gt;"",VLOOKUP(L2425,Categories!$B$2:$D$41,2,FALSE),IF(F2425&lt;&gt;"","No Cat",""))</f>
        <v>NRBASE</v>
      </c>
      <c r="O2425" s="442" t="str">
        <f>IF($L2425&lt;&gt;"",VLOOKUP($L2425,Categories!$B$2:$D$41,3,FALSE),IF($F2425&lt;&gt;"","No Cat",""))</f>
        <v>Direct Assign Items Not in RB</v>
      </c>
      <c r="P2425" s="736" t="s">
        <v>2468</v>
      </c>
      <c r="Q2425" s="442" t="str">
        <f>VLOOKUP($P2425,Allocators!$B$7:$F$19,5,FALSE)</f>
        <v>Not in Rate Base</v>
      </c>
      <c r="R2425" s="737">
        <f>VLOOKUP($P2425,Allocators!$B$7:$F$19,2,FALSE)</f>
        <v>0</v>
      </c>
      <c r="S2425" s="737">
        <f>VLOOKUP($P2425,Allocators!$B$7:$F$19,3,FALSE)</f>
        <v>0</v>
      </c>
      <c r="T2425" s="737">
        <f t="shared" si="1131"/>
        <v>1</v>
      </c>
      <c r="U2425" s="2">
        <f t="shared" si="1149"/>
        <v>0</v>
      </c>
      <c r="V2425" s="2">
        <f t="shared" si="1150"/>
        <v>0</v>
      </c>
      <c r="W2425" s="2">
        <f t="shared" si="1151"/>
        <v>-365.32499000000001</v>
      </c>
      <c r="X2425" s="2">
        <f t="shared" si="1147"/>
        <v>-365.32499000000001</v>
      </c>
      <c r="Y2425" s="2">
        <f t="shared" si="1152"/>
        <v>0</v>
      </c>
      <c r="Z2425" s="2">
        <f t="shared" si="1153"/>
        <v>0</v>
      </c>
      <c r="AA2425" s="2">
        <f t="shared" si="1154"/>
        <v>-365.32499000000001</v>
      </c>
      <c r="AB2425" s="2">
        <f t="shared" si="1148"/>
        <v>-365.32499000000001</v>
      </c>
      <c r="AC2425" s="625">
        <v>-365.32499000000001</v>
      </c>
      <c r="AD2425" s="625">
        <v>-365.32499000000001</v>
      </c>
      <c r="AE2425" s="625">
        <v>-365.32499000000001</v>
      </c>
      <c r="AF2425" s="625">
        <v>-365.32499000000001</v>
      </c>
      <c r="AG2425" s="625">
        <v>-365.32499000000001</v>
      </c>
      <c r="AH2425" s="625">
        <v>-365.32499000000001</v>
      </c>
      <c r="AI2425" s="625">
        <v>-365.32499000000001</v>
      </c>
      <c r="AJ2425" s="625">
        <v>-365.32499000000001</v>
      </c>
      <c r="AK2425" s="625">
        <v>-365.32499000000001</v>
      </c>
      <c r="AL2425" s="625">
        <v>-365.32499000000001</v>
      </c>
      <c r="AM2425" s="625">
        <v>-365.32499000000001</v>
      </c>
      <c r="AN2425" s="625">
        <v>-365.32499000000001</v>
      </c>
      <c r="AO2425" s="625">
        <v>-365.32499000000001</v>
      </c>
      <c r="AP2425" s="41" t="str">
        <f t="shared" si="1132"/>
        <v>Def TaxN</v>
      </c>
      <c r="AQ2425" s="41" t="str">
        <f t="shared" si="1133"/>
        <v>Def TaxNN2ASGA</v>
      </c>
      <c r="AR2425" s="41" t="str">
        <f t="shared" si="1134"/>
        <v>N2ASGA</v>
      </c>
    </row>
    <row r="2426" spans="1:44" s="41" customFormat="1" ht="12.75" customHeight="1">
      <c r="A2426" s="25" t="s">
        <v>1590</v>
      </c>
      <c r="B2426" s="25" t="str">
        <f t="shared" si="1158"/>
        <v>Def Tax283550Debt AdjBDEFAULT</v>
      </c>
      <c r="C2426" s="736">
        <v>283550</v>
      </c>
      <c r="D2426" s="735" t="s">
        <v>1773</v>
      </c>
      <c r="E2426" s="41" t="s">
        <v>1620</v>
      </c>
      <c r="F2426" s="41" t="str">
        <f t="shared" si="1156"/>
        <v>ADIT-OTH-REG-STATE-ELECTRIC</v>
      </c>
      <c r="G2426" s="41" t="s">
        <v>1774</v>
      </c>
      <c r="H2426" s="736" t="s">
        <v>1775</v>
      </c>
      <c r="I2426" s="25"/>
      <c r="J2426" s="25" t="str">
        <f t="shared" si="1157"/>
        <v/>
      </c>
      <c r="K2426" s="442" t="str">
        <f t="shared" si="1159"/>
        <v/>
      </c>
      <c r="L2426" s="736" t="s">
        <v>2443</v>
      </c>
      <c r="M2426" s="25" t="str">
        <f t="shared" si="1146"/>
        <v>R</v>
      </c>
      <c r="N2426" s="25" t="str">
        <f>IF(L2426&lt;&gt;"",VLOOKUP(L2426,Categories!$B$2:$D$41,2,FALSE),IF(F2426&lt;&gt;"","No Cat",""))</f>
        <v>Rate Base</v>
      </c>
      <c r="O2426" s="25" t="str">
        <f>IF($L2426&lt;&gt;"",VLOOKUP($L2426,Categories!$B$2:$D$41,3,FALSE),IF($F2426&lt;&gt;"","No Cat",""))</f>
        <v>Deferred Income Taxes</v>
      </c>
      <c r="P2426" s="736" t="s">
        <v>2482</v>
      </c>
      <c r="Q2426" s="25" t="str">
        <f>VLOOKUP($P2426,Allocators!$B$7:$F$19,5,FALSE)</f>
        <v>Electric</v>
      </c>
      <c r="R2426" s="737">
        <f>VLOOKUP($P2426,Allocators!$B$7:$F$19,2,FALSE)</f>
        <v>1</v>
      </c>
      <c r="S2426" s="737">
        <f>VLOOKUP($P2426,Allocators!$B$7:$F$19,3,FALSE)</f>
        <v>0</v>
      </c>
      <c r="T2426" s="737" t="str">
        <f t="shared" si="1131"/>
        <v>0.0%</v>
      </c>
      <c r="U2426" s="2" t="str">
        <f t="shared" si="1149"/>
        <v/>
      </c>
      <c r="V2426" s="2" t="str">
        <f t="shared" si="1150"/>
        <v/>
      </c>
      <c r="W2426" s="2" t="str">
        <f t="shared" si="1151"/>
        <v/>
      </c>
      <c r="X2426" s="2">
        <f t="shared" si="1147"/>
        <v>0</v>
      </c>
      <c r="Y2426" s="2" t="str">
        <f t="shared" si="1152"/>
        <v/>
      </c>
      <c r="Z2426" s="2" t="str">
        <f t="shared" si="1153"/>
        <v/>
      </c>
      <c r="AA2426" s="2" t="str">
        <f t="shared" si="1154"/>
        <v/>
      </c>
      <c r="AB2426" s="2">
        <f t="shared" si="1148"/>
        <v>0</v>
      </c>
      <c r="AC2426" s="625">
        <v>0</v>
      </c>
      <c r="AD2426" s="625">
        <v>0</v>
      </c>
      <c r="AE2426" s="625">
        <v>0</v>
      </c>
      <c r="AF2426" s="625">
        <v>0</v>
      </c>
      <c r="AG2426" s="625">
        <v>0</v>
      </c>
      <c r="AH2426" s="625">
        <v>0</v>
      </c>
      <c r="AI2426" s="625">
        <v>0</v>
      </c>
      <c r="AJ2426" s="625">
        <v>0</v>
      </c>
      <c r="AK2426" s="625">
        <v>0</v>
      </c>
      <c r="AL2426" s="625">
        <v>0</v>
      </c>
      <c r="AM2426" s="625">
        <v>0</v>
      </c>
      <c r="AN2426" s="625">
        <v>0</v>
      </c>
      <c r="AO2426" s="625">
        <v>0</v>
      </c>
      <c r="AP2426" s="41" t="str">
        <f t="shared" si="1132"/>
        <v>Def TaxR</v>
      </c>
      <c r="AQ2426" s="41" t="str">
        <f t="shared" si="1133"/>
        <v>Def TaxRR11Gain/Loss on Reacquired Debt</v>
      </c>
      <c r="AR2426" s="41" t="str">
        <f t="shared" si="1134"/>
        <v>R11Gain/Loss on Reacquired Debt</v>
      </c>
    </row>
    <row r="2427" spans="1:44" s="41" customFormat="1" ht="12.75" customHeight="1">
      <c r="A2427" s="25" t="s">
        <v>1590</v>
      </c>
      <c r="B2427" s="25" t="str">
        <f t="shared" si="1158"/>
        <v>Def Tax283550NBC True-upBDEFAULT</v>
      </c>
      <c r="C2427" s="736">
        <v>283550</v>
      </c>
      <c r="D2427" s="735" t="s">
        <v>1141</v>
      </c>
      <c r="E2427" s="41" t="s">
        <v>1620</v>
      </c>
      <c r="F2427" s="41" t="str">
        <f t="shared" si="1156"/>
        <v>ADIT-OTH-REG-STATE-ELECTRIC</v>
      </c>
      <c r="G2427" s="41" t="s">
        <v>2338</v>
      </c>
      <c r="H2427" s="736" t="s">
        <v>1141</v>
      </c>
      <c r="I2427" s="25"/>
      <c r="J2427" s="25" t="str">
        <f t="shared" si="1157"/>
        <v/>
      </c>
      <c r="K2427" s="442" t="str">
        <f t="shared" si="1159"/>
        <v/>
      </c>
      <c r="L2427" s="736" t="s">
        <v>2443</v>
      </c>
      <c r="M2427" s="25" t="str">
        <f t="shared" si="1146"/>
        <v>R</v>
      </c>
      <c r="N2427" s="25" t="str">
        <f>IF(L2427&lt;&gt;"",VLOOKUP(L2427,Categories!$B$2:$D$41,2,FALSE),IF(F2427&lt;&gt;"","No Cat",""))</f>
        <v>Rate Base</v>
      </c>
      <c r="O2427" s="25" t="str">
        <f>IF($L2427&lt;&gt;"",VLOOKUP($L2427,Categories!$B$2:$D$41,3,FALSE),IF($F2427&lt;&gt;"","No Cat",""))</f>
        <v>Deferred Income Taxes</v>
      </c>
      <c r="P2427" s="736" t="s">
        <v>2482</v>
      </c>
      <c r="Q2427" s="25" t="str">
        <f>VLOOKUP($P2427,Allocators!$B$7:$F$19,5,FALSE)</f>
        <v>Electric</v>
      </c>
      <c r="R2427" s="737">
        <f>VLOOKUP($P2427,Allocators!$B$7:$F$19,2,FALSE)</f>
        <v>1</v>
      </c>
      <c r="S2427" s="737">
        <f>VLOOKUP($P2427,Allocators!$B$7:$F$19,3,FALSE)</f>
        <v>0</v>
      </c>
      <c r="T2427" s="737" t="str">
        <f t="shared" si="1131"/>
        <v>0.0%</v>
      </c>
      <c r="U2427" s="2">
        <f t="shared" si="1149"/>
        <v>314.00572583333297</v>
      </c>
      <c r="V2427" s="2">
        <f t="shared" si="1150"/>
        <v>0</v>
      </c>
      <c r="W2427" s="2">
        <f t="shared" si="1151"/>
        <v>0</v>
      </c>
      <c r="X2427" s="2">
        <f t="shared" si="1147"/>
        <v>314.00572583333297</v>
      </c>
      <c r="Y2427" s="2">
        <f t="shared" si="1152"/>
        <v>211.34165999999999</v>
      </c>
      <c r="Z2427" s="2">
        <f t="shared" si="1153"/>
        <v>0</v>
      </c>
      <c r="AA2427" s="2">
        <f t="shared" si="1154"/>
        <v>0</v>
      </c>
      <c r="AB2427" s="2">
        <f t="shared" si="1148"/>
        <v>211.34165999999999</v>
      </c>
      <c r="AC2427" s="625">
        <v>84.016639999999995</v>
      </c>
      <c r="AD2427" s="625">
        <v>918.16143999999997</v>
      </c>
      <c r="AE2427" s="625">
        <v>1148.4959199999998</v>
      </c>
      <c r="AF2427" s="625">
        <v>1547.3867399999999</v>
      </c>
      <c r="AG2427" s="625">
        <v>477.23971</v>
      </c>
      <c r="AH2427" s="625">
        <v>638.11815999999999</v>
      </c>
      <c r="AI2427" s="625">
        <v>4.8145800000000003</v>
      </c>
      <c r="AJ2427" s="625">
        <v>0.47199999999999998</v>
      </c>
      <c r="AK2427" s="625">
        <v>-385.51567</v>
      </c>
      <c r="AL2427" s="625">
        <v>-265.83403999999996</v>
      </c>
      <c r="AM2427" s="625">
        <v>-560.38981999999999</v>
      </c>
      <c r="AN2427" s="625">
        <v>97.440539999999999</v>
      </c>
      <c r="AO2427" s="625">
        <v>211.34165999999999</v>
      </c>
      <c r="AP2427" s="41" t="str">
        <f t="shared" si="1132"/>
        <v>Def TaxR</v>
      </c>
      <c r="AQ2427" s="41" t="str">
        <f t="shared" si="1133"/>
        <v>Def TaxRR11NBC True-up</v>
      </c>
      <c r="AR2427" s="41" t="str">
        <f t="shared" si="1134"/>
        <v>R11NBC True-up</v>
      </c>
    </row>
    <row r="2428" spans="1:44" s="41" customFormat="1" ht="12.75" customHeight="1">
      <c r="A2428" s="25" t="s">
        <v>1590</v>
      </c>
      <c r="B2428" s="25" t="str">
        <f t="shared" si="1158"/>
        <v>Def Tax283550FAS 158 SFASBC030561</v>
      </c>
      <c r="C2428" s="736">
        <v>283550</v>
      </c>
      <c r="D2428" s="735" t="s">
        <v>1961</v>
      </c>
      <c r="E2428" s="41" t="s">
        <v>980</v>
      </c>
      <c r="F2428" s="41" t="str">
        <f t="shared" si="1156"/>
        <v>ADIT-OTH-REG-STATE-ELECTRIC</v>
      </c>
      <c r="G2428" s="41" t="s">
        <v>1962</v>
      </c>
      <c r="H2428" s="736" t="s">
        <v>1673</v>
      </c>
      <c r="I2428" s="25"/>
      <c r="J2428" s="25" t="str">
        <f t="shared" si="1157"/>
        <v/>
      </c>
      <c r="K2428" s="442" t="str">
        <f t="shared" si="1159"/>
        <v/>
      </c>
      <c r="L2428" s="736" t="s">
        <v>2443</v>
      </c>
      <c r="M2428" s="25" t="str">
        <f t="shared" si="1146"/>
        <v>R</v>
      </c>
      <c r="N2428" s="25" t="str">
        <f>IF(L2428&lt;&gt;"",VLOOKUP(L2428,Categories!$B$2:$D$41,2,FALSE),IF(F2428&lt;&gt;"","No Cat",""))</f>
        <v>Rate Base</v>
      </c>
      <c r="O2428" s="25" t="str">
        <f>IF($L2428&lt;&gt;"",VLOOKUP($L2428,Categories!$B$2:$D$41,3,FALSE),IF($F2428&lt;&gt;"","No Cat",""))</f>
        <v>Deferred Income Taxes</v>
      </c>
      <c r="P2428" s="736" t="s">
        <v>2482</v>
      </c>
      <c r="Q2428" s="25" t="str">
        <f>VLOOKUP($P2428,Allocators!$B$7:$F$19,5,FALSE)</f>
        <v>Electric</v>
      </c>
      <c r="R2428" s="737">
        <f>VLOOKUP($P2428,Allocators!$B$7:$F$19,2,FALSE)</f>
        <v>1</v>
      </c>
      <c r="S2428" s="737">
        <f>VLOOKUP($P2428,Allocators!$B$7:$F$19,3,FALSE)</f>
        <v>0</v>
      </c>
      <c r="T2428" s="737" t="str">
        <f t="shared" si="1131"/>
        <v>0.0%</v>
      </c>
      <c r="U2428" s="2" t="str">
        <f t="shared" si="1149"/>
        <v/>
      </c>
      <c r="V2428" s="2" t="str">
        <f t="shared" si="1150"/>
        <v/>
      </c>
      <c r="W2428" s="2" t="str">
        <f t="shared" si="1151"/>
        <v/>
      </c>
      <c r="X2428" s="2">
        <f t="shared" si="1147"/>
        <v>0</v>
      </c>
      <c r="Y2428" s="2" t="str">
        <f t="shared" si="1152"/>
        <v/>
      </c>
      <c r="Z2428" s="2" t="str">
        <f t="shared" si="1153"/>
        <v/>
      </c>
      <c r="AA2428" s="2" t="str">
        <f t="shared" si="1154"/>
        <v/>
      </c>
      <c r="AB2428" s="2">
        <f t="shared" si="1148"/>
        <v>0</v>
      </c>
      <c r="AC2428" s="625">
        <v>0</v>
      </c>
      <c r="AD2428" s="625">
        <v>0</v>
      </c>
      <c r="AE2428" s="625">
        <v>0</v>
      </c>
      <c r="AF2428" s="625">
        <v>0</v>
      </c>
      <c r="AG2428" s="625">
        <v>0</v>
      </c>
      <c r="AH2428" s="625">
        <v>0</v>
      </c>
      <c r="AI2428" s="625">
        <v>0</v>
      </c>
      <c r="AJ2428" s="625">
        <v>0</v>
      </c>
      <c r="AK2428" s="625">
        <v>0</v>
      </c>
      <c r="AL2428" s="625">
        <v>0</v>
      </c>
      <c r="AM2428" s="625">
        <v>0</v>
      </c>
      <c r="AN2428" s="625">
        <v>0</v>
      </c>
      <c r="AO2428" s="625">
        <v>0</v>
      </c>
      <c r="AP2428" s="41" t="str">
        <f t="shared" si="1132"/>
        <v>Def TaxR</v>
      </c>
      <c r="AQ2428" s="41" t="str">
        <f t="shared" si="1133"/>
        <v>Def TaxRR11Pension</v>
      </c>
      <c r="AR2428" s="41" t="str">
        <f t="shared" si="1134"/>
        <v>R11Pension</v>
      </c>
    </row>
    <row r="2429" spans="1:44" s="41" customFormat="1" ht="12.75" customHeight="1">
      <c r="A2429" s="25" t="s">
        <v>1590</v>
      </c>
      <c r="B2429" s="25" t="str">
        <f t="shared" si="1158"/>
        <v>Def Tax283550RussDecommBE030278</v>
      </c>
      <c r="C2429" s="736">
        <v>283550</v>
      </c>
      <c r="D2429" s="735" t="s">
        <v>1984</v>
      </c>
      <c r="E2429" s="41" t="s">
        <v>1985</v>
      </c>
      <c r="F2429" s="41" t="str">
        <f t="shared" si="1156"/>
        <v>ADIT-OTH-REG-STATE-ELECTRIC</v>
      </c>
      <c r="G2429" s="41" t="s">
        <v>1986</v>
      </c>
      <c r="H2429" s="736" t="s">
        <v>2694</v>
      </c>
      <c r="I2429" s="25"/>
      <c r="J2429" s="25" t="str">
        <f t="shared" si="1157"/>
        <v/>
      </c>
      <c r="K2429" s="442" t="str">
        <f t="shared" si="1159"/>
        <v/>
      </c>
      <c r="L2429" s="736" t="s">
        <v>2443</v>
      </c>
      <c r="M2429" s="25" t="str">
        <f t="shared" si="1146"/>
        <v>R</v>
      </c>
      <c r="N2429" s="25" t="str">
        <f>IF(L2429&lt;&gt;"",VLOOKUP(L2429,Categories!$B$2:$D$41,2,FALSE),IF(F2429&lt;&gt;"","No Cat",""))</f>
        <v>Rate Base</v>
      </c>
      <c r="O2429" s="25" t="str">
        <f>IF($L2429&lt;&gt;"",VLOOKUP($L2429,Categories!$B$2:$D$41,3,FALSE),IF($F2429&lt;&gt;"","No Cat",""))</f>
        <v>Deferred Income Taxes</v>
      </c>
      <c r="P2429" s="736" t="s">
        <v>2482</v>
      </c>
      <c r="Q2429" s="25" t="str">
        <f>VLOOKUP($P2429,Allocators!$B$7:$F$19,5,FALSE)</f>
        <v>Electric</v>
      </c>
      <c r="R2429" s="737">
        <f>VLOOKUP($P2429,Allocators!$B$7:$F$19,2,FALSE)</f>
        <v>1</v>
      </c>
      <c r="S2429" s="737">
        <f>VLOOKUP($P2429,Allocators!$B$7:$F$19,3,FALSE)</f>
        <v>0</v>
      </c>
      <c r="T2429" s="737" t="str">
        <f t="shared" ref="T2429:T2493" si="1160">IF(P2429="N",1,"0.0%")</f>
        <v>0.0%</v>
      </c>
      <c r="U2429" s="2" t="str">
        <f t="shared" si="1149"/>
        <v/>
      </c>
      <c r="V2429" s="2" t="str">
        <f t="shared" si="1150"/>
        <v/>
      </c>
      <c r="W2429" s="2" t="str">
        <f t="shared" si="1151"/>
        <v/>
      </c>
      <c r="X2429" s="2">
        <f t="shared" si="1147"/>
        <v>0</v>
      </c>
      <c r="Y2429" s="2" t="str">
        <f t="shared" si="1152"/>
        <v/>
      </c>
      <c r="Z2429" s="2" t="str">
        <f t="shared" si="1153"/>
        <v/>
      </c>
      <c r="AA2429" s="2" t="str">
        <f t="shared" si="1154"/>
        <v/>
      </c>
      <c r="AB2429" s="2">
        <f t="shared" si="1148"/>
        <v>0</v>
      </c>
      <c r="AC2429" s="625">
        <v>0</v>
      </c>
      <c r="AD2429" s="625">
        <v>0</v>
      </c>
      <c r="AE2429" s="625">
        <v>0</v>
      </c>
      <c r="AF2429" s="625">
        <v>0</v>
      </c>
      <c r="AG2429" s="625">
        <v>0</v>
      </c>
      <c r="AH2429" s="625">
        <v>0</v>
      </c>
      <c r="AI2429" s="625">
        <v>0</v>
      </c>
      <c r="AJ2429" s="625">
        <v>0</v>
      </c>
      <c r="AK2429" s="625">
        <v>0</v>
      </c>
      <c r="AL2429" s="625">
        <v>0</v>
      </c>
      <c r="AM2429" s="625">
        <v>0</v>
      </c>
      <c r="AN2429" s="625">
        <v>0</v>
      </c>
      <c r="AO2429" s="625">
        <v>0</v>
      </c>
      <c r="AP2429" s="41" t="str">
        <f t="shared" si="1132"/>
        <v>Def TaxR</v>
      </c>
      <c r="AQ2429" s="41" t="str">
        <f t="shared" si="1133"/>
        <v>Def TaxRR11Russell Decommissioning Reserve</v>
      </c>
      <c r="AR2429" s="41" t="str">
        <f t="shared" si="1134"/>
        <v>R11Russell Decommissioning Reserve</v>
      </c>
    </row>
    <row r="2430" spans="1:44" s="41" customFormat="1" ht="12.75" customHeight="1">
      <c r="A2430" s="25" t="s">
        <v>1590</v>
      </c>
      <c r="B2430" s="25" t="str">
        <f t="shared" si="1158"/>
        <v>Def Tax283550Cap ExBT010310</v>
      </c>
      <c r="C2430" s="736">
        <v>283550</v>
      </c>
      <c r="D2430" s="735" t="s">
        <v>1619</v>
      </c>
      <c r="E2430" s="41" t="s">
        <v>2302</v>
      </c>
      <c r="F2430" s="41" t="str">
        <f t="shared" si="1156"/>
        <v>ADIT-OTH-REG-STATE-ELECTRIC</v>
      </c>
      <c r="G2430" s="41" t="s">
        <v>2303</v>
      </c>
      <c r="H2430" s="736" t="s">
        <v>819</v>
      </c>
      <c r="I2430" s="25"/>
      <c r="J2430" s="25" t="str">
        <f t="shared" si="1157"/>
        <v/>
      </c>
      <c r="K2430" s="442" t="str">
        <f t="shared" si="1159"/>
        <v/>
      </c>
      <c r="L2430" s="736" t="s">
        <v>2443</v>
      </c>
      <c r="M2430" s="25" t="str">
        <f t="shared" si="1146"/>
        <v>R</v>
      </c>
      <c r="N2430" s="25" t="str">
        <f>IF(L2430&lt;&gt;"",VLOOKUP(L2430,Categories!$B$2:$D$41,2,FALSE),IF(F2430&lt;&gt;"","No Cat",""))</f>
        <v>Rate Base</v>
      </c>
      <c r="O2430" s="25" t="str">
        <f>IF($L2430&lt;&gt;"",VLOOKUP($L2430,Categories!$B$2:$D$41,3,FALSE),IF($F2430&lt;&gt;"","No Cat",""))</f>
        <v>Deferred Income Taxes</v>
      </c>
      <c r="P2430" s="736" t="s">
        <v>2482</v>
      </c>
      <c r="Q2430" s="25" t="str">
        <f>VLOOKUP($P2430,Allocators!$B$7:$F$19,5,FALSE)</f>
        <v>Electric</v>
      </c>
      <c r="R2430" s="737">
        <f>VLOOKUP($P2430,Allocators!$B$7:$F$19,2,FALSE)</f>
        <v>1</v>
      </c>
      <c r="S2430" s="737">
        <f>VLOOKUP($P2430,Allocators!$B$7:$F$19,3,FALSE)</f>
        <v>0</v>
      </c>
      <c r="T2430" s="737" t="str">
        <f t="shared" si="1160"/>
        <v>0.0%</v>
      </c>
      <c r="U2430" s="2">
        <f t="shared" si="1149"/>
        <v>-241.45895999999999</v>
      </c>
      <c r="V2430" s="2">
        <f t="shared" si="1150"/>
        <v>0</v>
      </c>
      <c r="W2430" s="2">
        <f t="shared" si="1151"/>
        <v>0</v>
      </c>
      <c r="X2430" s="2">
        <f t="shared" si="1147"/>
        <v>-241.45895999999999</v>
      </c>
      <c r="Y2430" s="2">
        <f t="shared" si="1152"/>
        <v>-241.45895999999999</v>
      </c>
      <c r="Z2430" s="2">
        <f t="shared" si="1153"/>
        <v>0</v>
      </c>
      <c r="AA2430" s="2">
        <f t="shared" si="1154"/>
        <v>0</v>
      </c>
      <c r="AB2430" s="2">
        <f t="shared" si="1148"/>
        <v>-241.45895999999999</v>
      </c>
      <c r="AC2430" s="625">
        <v>-241.45895999999999</v>
      </c>
      <c r="AD2430" s="625">
        <v>-241.45895999999999</v>
      </c>
      <c r="AE2430" s="625">
        <v>-241.45895999999999</v>
      </c>
      <c r="AF2430" s="625">
        <v>-241.45895999999999</v>
      </c>
      <c r="AG2430" s="625">
        <v>-241.45895999999999</v>
      </c>
      <c r="AH2430" s="625">
        <v>-241.45895999999999</v>
      </c>
      <c r="AI2430" s="625">
        <v>-241.45895999999999</v>
      </c>
      <c r="AJ2430" s="625">
        <v>-241.45895999999999</v>
      </c>
      <c r="AK2430" s="625">
        <v>-241.45895999999999</v>
      </c>
      <c r="AL2430" s="625">
        <v>-241.45895999999999</v>
      </c>
      <c r="AM2430" s="625">
        <v>-241.45895999999999</v>
      </c>
      <c r="AN2430" s="625">
        <v>-241.45895999999999</v>
      </c>
      <c r="AO2430" s="625">
        <v>-241.45895999999999</v>
      </c>
      <c r="AP2430" s="41" t="str">
        <f t="shared" si="1132"/>
        <v>Def TaxR</v>
      </c>
      <c r="AQ2430" s="41" t="str">
        <f t="shared" si="1133"/>
        <v>Def TaxRR11Cap Ex Deferral</v>
      </c>
      <c r="AR2430" s="41" t="str">
        <f t="shared" si="1134"/>
        <v>R11Cap Ex Deferral</v>
      </c>
    </row>
    <row r="2431" spans="1:44" s="41" customFormat="1" ht="12.75" customHeight="1">
      <c r="A2431" s="442" t="s">
        <v>1590</v>
      </c>
      <c r="B2431" s="442" t="str">
        <f t="shared" si="1158"/>
        <v>Def Tax283550AROBT010323</v>
      </c>
      <c r="C2431" s="736">
        <v>283550</v>
      </c>
      <c r="D2431" s="735" t="s">
        <v>1613</v>
      </c>
      <c r="E2431" s="626" t="s">
        <v>2304</v>
      </c>
      <c r="F2431" s="626" t="str">
        <f t="shared" si="1156"/>
        <v>ADIT-OTH-REG-STATE-ELECTRIC</v>
      </c>
      <c r="G2431" s="626" t="s">
        <v>2305</v>
      </c>
      <c r="H2431" s="736" t="s">
        <v>1138</v>
      </c>
      <c r="I2431" s="442"/>
      <c r="J2431" s="442" t="str">
        <f t="shared" si="1157"/>
        <v/>
      </c>
      <c r="K2431" s="442" t="str">
        <f t="shared" si="1159"/>
        <v/>
      </c>
      <c r="L2431" s="736" t="s">
        <v>2421</v>
      </c>
      <c r="M2431" s="442" t="str">
        <f t="shared" si="1146"/>
        <v>N</v>
      </c>
      <c r="N2431" s="442" t="str">
        <f>IF(L2431&lt;&gt;"",VLOOKUP(L2431,Categories!$B$2:$D$41,2,FALSE),IF(F2431&lt;&gt;"","No Cat",""))</f>
        <v>NRBASE</v>
      </c>
      <c r="O2431" s="442" t="str">
        <f>IF($L2431&lt;&gt;"",VLOOKUP($L2431,Categories!$B$2:$D$41,3,FALSE),IF($F2431&lt;&gt;"","No Cat",""))</f>
        <v>Direct Assign Items Not in RB</v>
      </c>
      <c r="P2431" s="736" t="s">
        <v>2468</v>
      </c>
      <c r="Q2431" s="442" t="str">
        <f>VLOOKUP($P2431,Allocators!$B$7:$F$19,5,FALSE)</f>
        <v>Not in Rate Base</v>
      </c>
      <c r="R2431" s="737">
        <f>VLOOKUP($P2431,Allocators!$B$7:$F$19,2,FALSE)</f>
        <v>0</v>
      </c>
      <c r="S2431" s="737">
        <f>VLOOKUP($P2431,Allocators!$B$7:$F$19,3,FALSE)</f>
        <v>0</v>
      </c>
      <c r="T2431" s="737">
        <f t="shared" si="1160"/>
        <v>1</v>
      </c>
      <c r="U2431" s="2">
        <f t="shared" si="1149"/>
        <v>0</v>
      </c>
      <c r="V2431" s="2">
        <f t="shared" si="1150"/>
        <v>0</v>
      </c>
      <c r="W2431" s="2">
        <f t="shared" si="1151"/>
        <v>-1037.6503495833299</v>
      </c>
      <c r="X2431" s="2">
        <f t="shared" si="1147"/>
        <v>-1037.6503495833299</v>
      </c>
      <c r="Y2431" s="2">
        <f t="shared" si="1152"/>
        <v>0</v>
      </c>
      <c r="Z2431" s="2">
        <f t="shared" si="1153"/>
        <v>0</v>
      </c>
      <c r="AA2431" s="2">
        <f t="shared" si="1154"/>
        <v>-1184.6555499999999</v>
      </c>
      <c r="AB2431" s="2">
        <f t="shared" si="1148"/>
        <v>-1184.6555499999999</v>
      </c>
      <c r="AC2431" s="625">
        <v>-903.43952000000002</v>
      </c>
      <c r="AD2431" s="625">
        <v>-967.98895999999991</v>
      </c>
      <c r="AE2431" s="625">
        <v>-975.63158999999996</v>
      </c>
      <c r="AF2431" s="625">
        <v>-983.32853</v>
      </c>
      <c r="AG2431" s="625">
        <v>-991.08003000000008</v>
      </c>
      <c r="AH2431" s="625">
        <v>-998.88654000000008</v>
      </c>
      <c r="AI2431" s="625">
        <v>-1006.74854</v>
      </c>
      <c r="AJ2431" s="625">
        <v>-1036.9915100000001</v>
      </c>
      <c r="AK2431" s="625">
        <v>-1067.2824900000001</v>
      </c>
      <c r="AL2431" s="625">
        <v>-1097.6218999999999</v>
      </c>
      <c r="AM2431" s="625">
        <v>-1128.01019</v>
      </c>
      <c r="AN2431" s="625">
        <v>-1154.1863799999999</v>
      </c>
      <c r="AO2431" s="625">
        <v>-1184.6555499999999</v>
      </c>
      <c r="AP2431" s="41" t="str">
        <f t="shared" si="1132"/>
        <v>Def TaxN</v>
      </c>
      <c r="AQ2431" s="41" t="str">
        <f t="shared" si="1133"/>
        <v>Def TaxNN2Asset Retirement Obligation</v>
      </c>
      <c r="AR2431" s="41" t="str">
        <f t="shared" si="1134"/>
        <v>N2Asset Retirement Obligation</v>
      </c>
    </row>
    <row r="2432" spans="1:44" s="41" customFormat="1" ht="12.75" customHeight="1">
      <c r="A2432" s="442" t="s">
        <v>1590</v>
      </c>
      <c r="B2432" s="442" t="str">
        <f t="shared" ref="B2432" si="1161">CONCATENATE(A2432,C2432,D2432,E2432)</f>
        <v>Def Tax283550BT010335</v>
      </c>
      <c r="C2432" s="736">
        <v>283550</v>
      </c>
      <c r="D2432" s="735"/>
      <c r="E2432" s="626" t="s">
        <v>4045</v>
      </c>
      <c r="F2432" s="626" t="str">
        <f t="shared" si="1156"/>
        <v>ADIT-OTH-REG-STATE-ELECTRIC</v>
      </c>
      <c r="G2432" s="626" t="s">
        <v>4046</v>
      </c>
      <c r="H2432" s="736" t="s">
        <v>1168</v>
      </c>
      <c r="I2432" s="442"/>
      <c r="J2432" s="442"/>
      <c r="K2432" s="442" t="str">
        <f t="shared" si="1159"/>
        <v/>
      </c>
      <c r="L2432" s="736" t="s">
        <v>2443</v>
      </c>
      <c r="M2432" s="442" t="str">
        <f t="shared" ref="M2432" si="1162">LEFT(L2432,1)</f>
        <v>R</v>
      </c>
      <c r="N2432" s="442" t="str">
        <f>IF(L2432&lt;&gt;"",VLOOKUP(L2432,Categories!$B$2:$D$41,2,FALSE),IF(F2432&lt;&gt;"","No Cat",""))</f>
        <v>Rate Base</v>
      </c>
      <c r="O2432" s="442" t="str">
        <f>IF($L2432&lt;&gt;"",VLOOKUP($L2432,Categories!$B$2:$D$41,3,FALSE),IF($F2432&lt;&gt;"","No Cat",""))</f>
        <v>Deferred Income Taxes</v>
      </c>
      <c r="P2432" s="736" t="s">
        <v>2482</v>
      </c>
      <c r="Q2432" s="442" t="str">
        <f>VLOOKUP($P2432,Allocators!$B$7:$F$19,5,FALSE)</f>
        <v>Electric</v>
      </c>
      <c r="R2432" s="737">
        <f>VLOOKUP($P2432,Allocators!$B$7:$F$19,2,FALSE)</f>
        <v>1</v>
      </c>
      <c r="S2432" s="737">
        <f>VLOOKUP($P2432,Allocators!$B$7:$F$19,3,FALSE)</f>
        <v>0</v>
      </c>
      <c r="T2432" s="737" t="str">
        <f t="shared" ref="T2432" si="1163">IF(P2432="N",1,"0.0%")</f>
        <v>0.0%</v>
      </c>
      <c r="U2432" s="2">
        <f t="shared" si="1149"/>
        <v>-112.64267</v>
      </c>
      <c r="V2432" s="2">
        <f t="shared" si="1150"/>
        <v>0</v>
      </c>
      <c r="W2432" s="2">
        <f t="shared" si="1151"/>
        <v>0</v>
      </c>
      <c r="X2432" s="2">
        <f t="shared" si="1147"/>
        <v>-112.64267</v>
      </c>
      <c r="Y2432" s="2">
        <f t="shared" si="1152"/>
        <v>-112.64267</v>
      </c>
      <c r="Z2432" s="2">
        <f t="shared" si="1153"/>
        <v>0</v>
      </c>
      <c r="AA2432" s="2">
        <f t="shared" si="1154"/>
        <v>0</v>
      </c>
      <c r="AB2432" s="2">
        <f t="shared" si="1148"/>
        <v>-112.64267</v>
      </c>
      <c r="AC2432" s="625">
        <v>-112.64267</v>
      </c>
      <c r="AD2432" s="625">
        <v>-112.64267</v>
      </c>
      <c r="AE2432" s="625">
        <v>-112.64267</v>
      </c>
      <c r="AF2432" s="625">
        <v>-112.64267</v>
      </c>
      <c r="AG2432" s="625">
        <v>-112.64267</v>
      </c>
      <c r="AH2432" s="625">
        <v>-112.64267</v>
      </c>
      <c r="AI2432" s="625">
        <v>-112.64267</v>
      </c>
      <c r="AJ2432" s="625">
        <v>-112.64267</v>
      </c>
      <c r="AK2432" s="625">
        <v>-112.64267</v>
      </c>
      <c r="AL2432" s="625">
        <v>-112.64267</v>
      </c>
      <c r="AM2432" s="625">
        <v>-112.64267</v>
      </c>
      <c r="AN2432" s="625">
        <v>-112.64267</v>
      </c>
      <c r="AO2432" s="625">
        <v>-112.64267</v>
      </c>
      <c r="AP2432" s="41" t="str">
        <f t="shared" si="1132"/>
        <v>Def TaxR</v>
      </c>
      <c r="AQ2432" s="41" t="str">
        <f t="shared" si="1133"/>
        <v>Def TaxRR11Variable Rate Debt - Pre-2004</v>
      </c>
      <c r="AR2432" s="41" t="str">
        <f t="shared" si="1134"/>
        <v>R11Variable Rate Debt - Pre-2004</v>
      </c>
    </row>
    <row r="2433" spans="1:44" s="41" customFormat="1" ht="12.75" customHeight="1">
      <c r="A2433" s="25" t="s">
        <v>1590</v>
      </c>
      <c r="B2433" s="25" t="str">
        <f t="shared" si="1158"/>
        <v>Def Tax283550NYS AuditBT010313</v>
      </c>
      <c r="C2433" s="736">
        <v>283550</v>
      </c>
      <c r="D2433" s="735" t="s">
        <v>2318</v>
      </c>
      <c r="E2433" s="41" t="s">
        <v>2319</v>
      </c>
      <c r="F2433" s="41" t="str">
        <f t="shared" si="1156"/>
        <v>ADIT-OTH-REG-STATE-ELECTRIC</v>
      </c>
      <c r="G2433" s="41" t="s">
        <v>2320</v>
      </c>
      <c r="H2433" s="736" t="s">
        <v>1126</v>
      </c>
      <c r="I2433" s="25"/>
      <c r="J2433" s="25" t="str">
        <f t="shared" si="1157"/>
        <v/>
      </c>
      <c r="K2433" s="442" t="str">
        <f t="shared" si="1159"/>
        <v/>
      </c>
      <c r="L2433" s="736" t="s">
        <v>2443</v>
      </c>
      <c r="M2433" s="25" t="str">
        <f t="shared" si="1146"/>
        <v>R</v>
      </c>
      <c r="N2433" s="25" t="str">
        <f>IF(L2433&lt;&gt;"",VLOOKUP(L2433,Categories!$B$2:$D$41,2,FALSE),IF(F2433&lt;&gt;"","No Cat",""))</f>
        <v>Rate Base</v>
      </c>
      <c r="O2433" s="25" t="str">
        <f>IF($L2433&lt;&gt;"",VLOOKUP($L2433,Categories!$B$2:$D$41,3,FALSE),IF($F2433&lt;&gt;"","No Cat",""))</f>
        <v>Deferred Income Taxes</v>
      </c>
      <c r="P2433" s="736" t="s">
        <v>2482</v>
      </c>
      <c r="Q2433" s="25" t="str">
        <f>VLOOKUP($P2433,Allocators!$B$7:$F$19,5,FALSE)</f>
        <v>Electric</v>
      </c>
      <c r="R2433" s="737">
        <f>VLOOKUP($P2433,Allocators!$B$7:$F$19,2,FALSE)</f>
        <v>1</v>
      </c>
      <c r="S2433" s="737">
        <f>VLOOKUP($P2433,Allocators!$B$7:$F$19,3,FALSE)</f>
        <v>0</v>
      </c>
      <c r="T2433" s="737" t="str">
        <f t="shared" si="1160"/>
        <v>0.0%</v>
      </c>
      <c r="U2433" s="2">
        <f t="shared" si="1149"/>
        <v>12.91412</v>
      </c>
      <c r="V2433" s="2">
        <f t="shared" si="1150"/>
        <v>0</v>
      </c>
      <c r="W2433" s="2">
        <f t="shared" si="1151"/>
        <v>0</v>
      </c>
      <c r="X2433" s="2">
        <f t="shared" si="1147"/>
        <v>12.91412</v>
      </c>
      <c r="Y2433" s="2">
        <f t="shared" si="1152"/>
        <v>12.91412</v>
      </c>
      <c r="Z2433" s="2">
        <f t="shared" si="1153"/>
        <v>0</v>
      </c>
      <c r="AA2433" s="2">
        <f t="shared" si="1154"/>
        <v>0</v>
      </c>
      <c r="AB2433" s="2">
        <f t="shared" si="1148"/>
        <v>12.91412</v>
      </c>
      <c r="AC2433" s="625">
        <v>12.91412</v>
      </c>
      <c r="AD2433" s="625">
        <v>12.91412</v>
      </c>
      <c r="AE2433" s="625">
        <v>12.91412</v>
      </c>
      <c r="AF2433" s="625">
        <v>12.91412</v>
      </c>
      <c r="AG2433" s="625">
        <v>12.91412</v>
      </c>
      <c r="AH2433" s="625">
        <v>12.91412</v>
      </c>
      <c r="AI2433" s="625">
        <v>12.91412</v>
      </c>
      <c r="AJ2433" s="625">
        <v>12.91412</v>
      </c>
      <c r="AK2433" s="625">
        <v>12.91412</v>
      </c>
      <c r="AL2433" s="625">
        <v>12.91412</v>
      </c>
      <c r="AM2433" s="625">
        <v>12.91412</v>
      </c>
      <c r="AN2433" s="625">
        <v>12.91412</v>
      </c>
      <c r="AO2433" s="625">
        <v>12.91412</v>
      </c>
      <c r="AP2433" s="41" t="str">
        <f t="shared" si="1132"/>
        <v>Def TaxR</v>
      </c>
      <c r="AQ2433" s="41" t="str">
        <f t="shared" si="1133"/>
        <v>Def TaxRR11NYS Tax Audit</v>
      </c>
      <c r="AR2433" s="41" t="str">
        <f t="shared" si="1134"/>
        <v>R11NYS Tax Audit</v>
      </c>
    </row>
    <row r="2434" spans="1:44" s="41" customFormat="1" ht="12.75" customHeight="1">
      <c r="A2434" s="25" t="s">
        <v>1590</v>
      </c>
      <c r="B2434" s="25" t="str">
        <f t="shared" si="1158"/>
        <v>Def Tax283550NERCBT010319</v>
      </c>
      <c r="C2434" s="736">
        <v>283550</v>
      </c>
      <c r="D2434" s="735" t="s">
        <v>2315</v>
      </c>
      <c r="E2434" s="41" t="s">
        <v>2316</v>
      </c>
      <c r="F2434" s="41" t="str">
        <f t="shared" si="1156"/>
        <v>ADIT-OTH-REG-STATE-ELECTRIC</v>
      </c>
      <c r="G2434" s="41" t="s">
        <v>2317</v>
      </c>
      <c r="H2434" s="736" t="s">
        <v>1127</v>
      </c>
      <c r="I2434" s="25"/>
      <c r="J2434" s="25" t="str">
        <f t="shared" si="1157"/>
        <v/>
      </c>
      <c r="K2434" s="442" t="str">
        <f t="shared" si="1159"/>
        <v/>
      </c>
      <c r="L2434" s="736" t="s">
        <v>2443</v>
      </c>
      <c r="M2434" s="25" t="str">
        <f t="shared" si="1146"/>
        <v>R</v>
      </c>
      <c r="N2434" s="25" t="str">
        <f>IF(L2434&lt;&gt;"",VLOOKUP(L2434,Categories!$B$2:$D$41,2,FALSE),IF(F2434&lt;&gt;"","No Cat",""))</f>
        <v>Rate Base</v>
      </c>
      <c r="O2434" s="25" t="str">
        <f>IF($L2434&lt;&gt;"",VLOOKUP($L2434,Categories!$B$2:$D$41,3,FALSE),IF($F2434&lt;&gt;"","No Cat",""))</f>
        <v>Deferred Income Taxes</v>
      </c>
      <c r="P2434" s="736" t="s">
        <v>2482</v>
      </c>
      <c r="Q2434" s="25" t="str">
        <f>VLOOKUP($P2434,Allocators!$B$7:$F$19,5,FALSE)</f>
        <v>Electric</v>
      </c>
      <c r="R2434" s="737">
        <f>VLOOKUP($P2434,Allocators!$B$7:$F$19,2,FALSE)</f>
        <v>1</v>
      </c>
      <c r="S2434" s="737">
        <f>VLOOKUP($P2434,Allocators!$B$7:$F$19,3,FALSE)</f>
        <v>0</v>
      </c>
      <c r="T2434" s="737" t="str">
        <f t="shared" si="1160"/>
        <v>0.0%</v>
      </c>
      <c r="U2434" s="2">
        <f t="shared" si="1149"/>
        <v>-21.558019999999999</v>
      </c>
      <c r="V2434" s="2">
        <f t="shared" si="1150"/>
        <v>0</v>
      </c>
      <c r="W2434" s="2">
        <f t="shared" si="1151"/>
        <v>0</v>
      </c>
      <c r="X2434" s="2">
        <f t="shared" si="1147"/>
        <v>-21.558019999999999</v>
      </c>
      <c r="Y2434" s="2">
        <f t="shared" si="1152"/>
        <v>-21.558019999999999</v>
      </c>
      <c r="Z2434" s="2">
        <f t="shared" si="1153"/>
        <v>0</v>
      </c>
      <c r="AA2434" s="2">
        <f t="shared" si="1154"/>
        <v>0</v>
      </c>
      <c r="AB2434" s="2">
        <f t="shared" si="1148"/>
        <v>-21.558019999999999</v>
      </c>
      <c r="AC2434" s="625">
        <v>-21.558019999999999</v>
      </c>
      <c r="AD2434" s="625">
        <v>-21.558019999999999</v>
      </c>
      <c r="AE2434" s="625">
        <v>-21.558019999999999</v>
      </c>
      <c r="AF2434" s="625">
        <v>-21.558019999999999</v>
      </c>
      <c r="AG2434" s="625">
        <v>-21.558019999999999</v>
      </c>
      <c r="AH2434" s="625">
        <v>-21.558019999999999</v>
      </c>
      <c r="AI2434" s="625">
        <v>-21.558019999999999</v>
      </c>
      <c r="AJ2434" s="625">
        <v>-21.558019999999999</v>
      </c>
      <c r="AK2434" s="625">
        <v>-21.558019999999999</v>
      </c>
      <c r="AL2434" s="625">
        <v>-21.558019999999999</v>
      </c>
      <c r="AM2434" s="625">
        <v>-21.558019999999999</v>
      </c>
      <c r="AN2434" s="625">
        <v>-21.558019999999999</v>
      </c>
      <c r="AO2434" s="625">
        <v>-21.558019999999999</v>
      </c>
      <c r="AP2434" s="41" t="str">
        <f t="shared" si="1132"/>
        <v>Def TaxR</v>
      </c>
      <c r="AQ2434" s="41" t="str">
        <f t="shared" si="1133"/>
        <v>Def TaxRR11Electric Reliability Organization</v>
      </c>
      <c r="AR2434" s="41" t="str">
        <f t="shared" si="1134"/>
        <v>R11Electric Reliability Organization</v>
      </c>
    </row>
    <row r="2435" spans="1:44" s="41" customFormat="1" ht="12.75" customHeight="1">
      <c r="A2435" s="25" t="s">
        <v>1590</v>
      </c>
      <c r="B2435" s="25" t="str">
        <f t="shared" si="1158"/>
        <v>Def Tax283550Stray VoltBT010314</v>
      </c>
      <c r="C2435" s="736">
        <v>283550</v>
      </c>
      <c r="D2435" s="735" t="s">
        <v>2322</v>
      </c>
      <c r="E2435" s="41" t="s">
        <v>2323</v>
      </c>
      <c r="F2435" s="41" t="str">
        <f t="shared" si="1156"/>
        <v>ADIT-OTH-REG-STATE-ELECTRIC</v>
      </c>
      <c r="G2435" s="41" t="s">
        <v>2324</v>
      </c>
      <c r="H2435" s="736" t="s">
        <v>1115</v>
      </c>
      <c r="I2435" s="25"/>
      <c r="J2435" s="25" t="str">
        <f t="shared" si="1157"/>
        <v/>
      </c>
      <c r="K2435" s="442" t="str">
        <f t="shared" si="1159"/>
        <v/>
      </c>
      <c r="L2435" s="736" t="s">
        <v>2443</v>
      </c>
      <c r="M2435" s="25" t="str">
        <f t="shared" si="1146"/>
        <v>R</v>
      </c>
      <c r="N2435" s="25" t="str">
        <f>IF(L2435&lt;&gt;"",VLOOKUP(L2435,Categories!$B$2:$D$41,2,FALSE),IF(F2435&lt;&gt;"","No Cat",""))</f>
        <v>Rate Base</v>
      </c>
      <c r="O2435" s="25" t="str">
        <f>IF($L2435&lt;&gt;"",VLOOKUP($L2435,Categories!$B$2:$D$41,3,FALSE),IF($F2435&lt;&gt;"","No Cat",""))</f>
        <v>Deferred Income Taxes</v>
      </c>
      <c r="P2435" s="736" t="s">
        <v>2482</v>
      </c>
      <c r="Q2435" s="25" t="str">
        <f>VLOOKUP($P2435,Allocators!$B$7:$F$19,5,FALSE)</f>
        <v>Electric</v>
      </c>
      <c r="R2435" s="737">
        <f>VLOOKUP($P2435,Allocators!$B$7:$F$19,2,FALSE)</f>
        <v>1</v>
      </c>
      <c r="S2435" s="737">
        <f>VLOOKUP($P2435,Allocators!$B$7:$F$19,3,FALSE)</f>
        <v>0</v>
      </c>
      <c r="T2435" s="737" t="str">
        <f t="shared" si="1160"/>
        <v>0.0%</v>
      </c>
      <c r="U2435" s="2">
        <f t="shared" si="1149"/>
        <v>-147.20641041666701</v>
      </c>
      <c r="V2435" s="2">
        <f t="shared" si="1150"/>
        <v>0</v>
      </c>
      <c r="W2435" s="2">
        <f t="shared" si="1151"/>
        <v>0</v>
      </c>
      <c r="X2435" s="2">
        <f t="shared" si="1147"/>
        <v>-147.20641041666701</v>
      </c>
      <c r="Y2435" s="2">
        <f t="shared" si="1152"/>
        <v>-118.18518</v>
      </c>
      <c r="Z2435" s="2">
        <f t="shared" si="1153"/>
        <v>0</v>
      </c>
      <c r="AA2435" s="2">
        <f t="shared" si="1154"/>
        <v>0</v>
      </c>
      <c r="AB2435" s="2">
        <f t="shared" si="1148"/>
        <v>-118.18517999999999</v>
      </c>
      <c r="AC2435" s="625">
        <v>-175.29665</v>
      </c>
      <c r="AD2435" s="625">
        <v>-169.72179</v>
      </c>
      <c r="AE2435" s="625">
        <v>-164.27085</v>
      </c>
      <c r="AF2435" s="625">
        <v>-159.86852999999999</v>
      </c>
      <c r="AG2435" s="625">
        <v>-156.85670000000002</v>
      </c>
      <c r="AH2435" s="625">
        <v>-151.54983999999999</v>
      </c>
      <c r="AI2435" s="625">
        <v>-148.04571999999999</v>
      </c>
      <c r="AJ2435" s="625">
        <v>-143.77218999999999</v>
      </c>
      <c r="AK2435" s="625">
        <v>-138.23334</v>
      </c>
      <c r="AL2435" s="625">
        <v>-134.17870000000002</v>
      </c>
      <c r="AM2435" s="625">
        <v>-129.40787</v>
      </c>
      <c r="AN2435" s="625">
        <v>-123.83047999999999</v>
      </c>
      <c r="AO2435" s="625">
        <v>-118.18517999999999</v>
      </c>
      <c r="AP2435" s="41" t="str">
        <f t="shared" si="1132"/>
        <v>Def TaxR</v>
      </c>
      <c r="AQ2435" s="41" t="str">
        <f t="shared" si="1133"/>
        <v>Def TaxRR11Stray Voltage</v>
      </c>
      <c r="AR2435" s="41" t="str">
        <f t="shared" si="1134"/>
        <v>R11Stray Voltage</v>
      </c>
    </row>
    <row r="2436" spans="1:44" s="41" customFormat="1" ht="12.75" customHeight="1">
      <c r="A2436" s="442" t="s">
        <v>1590</v>
      </c>
      <c r="B2436" s="442" t="str">
        <f t="shared" si="1158"/>
        <v>Def Tax283550Tree TrimmingBT010317</v>
      </c>
      <c r="C2436" s="736">
        <v>283550</v>
      </c>
      <c r="D2436" s="735" t="s">
        <v>2034</v>
      </c>
      <c r="E2436" s="626" t="s">
        <v>2325</v>
      </c>
      <c r="F2436" s="626" t="str">
        <f t="shared" si="1156"/>
        <v>ADIT-OTH-REG-STATE-ELECTRIC</v>
      </c>
      <c r="G2436" s="626" t="s">
        <v>2326</v>
      </c>
      <c r="H2436" s="736" t="s">
        <v>1119</v>
      </c>
      <c r="I2436" s="442"/>
      <c r="J2436" s="442" t="str">
        <f t="shared" si="1157"/>
        <v/>
      </c>
      <c r="K2436" s="442" t="str">
        <f t="shared" si="1159"/>
        <v/>
      </c>
      <c r="L2436" s="736" t="s">
        <v>2421</v>
      </c>
      <c r="M2436" s="442" t="str">
        <f t="shared" si="1146"/>
        <v>N</v>
      </c>
      <c r="N2436" s="442" t="str">
        <f>IF(L2436&lt;&gt;"",VLOOKUP(L2436,Categories!$B$2:$D$41,2,FALSE),IF(F2436&lt;&gt;"","No Cat",""))</f>
        <v>NRBASE</v>
      </c>
      <c r="O2436" s="442" t="str">
        <f>IF($L2436&lt;&gt;"",VLOOKUP($L2436,Categories!$B$2:$D$41,3,FALSE),IF($F2436&lt;&gt;"","No Cat",""))</f>
        <v>Direct Assign Items Not in RB</v>
      </c>
      <c r="P2436" s="736" t="s">
        <v>2468</v>
      </c>
      <c r="Q2436" s="442" t="str">
        <f>VLOOKUP($P2436,Allocators!$B$7:$F$19,5,FALSE)</f>
        <v>Not in Rate Base</v>
      </c>
      <c r="R2436" s="737">
        <f>VLOOKUP($P2436,Allocators!$B$7:$F$19,2,FALSE)</f>
        <v>0</v>
      </c>
      <c r="S2436" s="737">
        <f>VLOOKUP($P2436,Allocators!$B$7:$F$19,3,FALSE)</f>
        <v>0</v>
      </c>
      <c r="T2436" s="737">
        <f t="shared" si="1160"/>
        <v>1</v>
      </c>
      <c r="U2436" s="2">
        <f t="shared" si="1149"/>
        <v>0</v>
      </c>
      <c r="V2436" s="2">
        <f t="shared" si="1150"/>
        <v>0</v>
      </c>
      <c r="W2436" s="2">
        <f t="shared" si="1151"/>
        <v>-92.832628749999998</v>
      </c>
      <c r="X2436" s="2">
        <f t="shared" si="1147"/>
        <v>-92.832628749999998</v>
      </c>
      <c r="Y2436" s="2">
        <f t="shared" si="1152"/>
        <v>0</v>
      </c>
      <c r="Z2436" s="2">
        <f t="shared" si="1153"/>
        <v>0</v>
      </c>
      <c r="AA2436" s="2">
        <f t="shared" si="1154"/>
        <v>-96.01567</v>
      </c>
      <c r="AB2436" s="2">
        <f t="shared" si="1148"/>
        <v>-96.01567</v>
      </c>
      <c r="AC2436" s="625">
        <v>-89.720240000000004</v>
      </c>
      <c r="AD2436" s="625">
        <v>-90.228710000000007</v>
      </c>
      <c r="AE2436" s="625">
        <v>-90.74006</v>
      </c>
      <c r="AF2436" s="625">
        <v>-91.254300000000001</v>
      </c>
      <c r="AG2436" s="625">
        <v>-91.771460000000005</v>
      </c>
      <c r="AH2436" s="625">
        <v>-92.291560000000004</v>
      </c>
      <c r="AI2436" s="625">
        <v>-92.814600000000013</v>
      </c>
      <c r="AJ2436" s="625">
        <v>-93.340600000000009</v>
      </c>
      <c r="AK2436" s="625">
        <v>-93.869579999999999</v>
      </c>
      <c r="AL2436" s="625">
        <v>-94.401570000000007</v>
      </c>
      <c r="AM2436" s="625">
        <v>-94.93656</v>
      </c>
      <c r="AN2436" s="625">
        <v>-95.474589999999992</v>
      </c>
      <c r="AO2436" s="625">
        <v>-96.01567</v>
      </c>
      <c r="AP2436" s="41" t="str">
        <f t="shared" si="1132"/>
        <v>Def TaxN</v>
      </c>
      <c r="AQ2436" s="41" t="str">
        <f t="shared" si="1133"/>
        <v>Def TaxNN2Vegetation Management</v>
      </c>
      <c r="AR2436" s="41" t="str">
        <f t="shared" si="1134"/>
        <v>N2Vegetation Management</v>
      </c>
    </row>
    <row r="2437" spans="1:44" s="41" customFormat="1" ht="12.75" customHeight="1">
      <c r="A2437" s="442" t="s">
        <v>1590</v>
      </c>
      <c r="B2437" s="442" t="str">
        <f t="shared" si="1158"/>
        <v>Def Tax283550PSC AssessBT010353</v>
      </c>
      <c r="C2437" s="736">
        <v>283550</v>
      </c>
      <c r="D2437" s="735" t="s">
        <v>2355</v>
      </c>
      <c r="E2437" s="626" t="s">
        <v>2356</v>
      </c>
      <c r="F2437" s="626" t="str">
        <f t="shared" si="1156"/>
        <v>ADIT-OTH-REG-STATE-ELECTRIC</v>
      </c>
      <c r="G2437" s="626" t="s">
        <v>2357</v>
      </c>
      <c r="H2437" s="736" t="s">
        <v>817</v>
      </c>
      <c r="I2437" s="442"/>
      <c r="J2437" s="442" t="str">
        <f t="shared" si="1157"/>
        <v/>
      </c>
      <c r="K2437" s="442" t="str">
        <f t="shared" si="1159"/>
        <v/>
      </c>
      <c r="L2437" s="736" t="s">
        <v>2421</v>
      </c>
      <c r="M2437" s="442" t="str">
        <f t="shared" si="1146"/>
        <v>N</v>
      </c>
      <c r="N2437" s="442" t="str">
        <f>IF(L2437&lt;&gt;"",VLOOKUP(L2437,Categories!$B$2:$D$41,2,FALSE),IF(F2437&lt;&gt;"","No Cat",""))</f>
        <v>NRBASE</v>
      </c>
      <c r="O2437" s="442" t="str">
        <f>IF($L2437&lt;&gt;"",VLOOKUP($L2437,Categories!$B$2:$D$41,3,FALSE),IF($F2437&lt;&gt;"","No Cat",""))</f>
        <v>Direct Assign Items Not in RB</v>
      </c>
      <c r="P2437" s="736" t="s">
        <v>2468</v>
      </c>
      <c r="Q2437" s="442" t="str">
        <f>VLOOKUP($P2437,Allocators!$B$7:$F$19,5,FALSE)</f>
        <v>Not in Rate Base</v>
      </c>
      <c r="R2437" s="737">
        <f>VLOOKUP($P2437,Allocators!$B$7:$F$19,2,FALSE)</f>
        <v>0</v>
      </c>
      <c r="S2437" s="737">
        <f>VLOOKUP($P2437,Allocators!$B$7:$F$19,3,FALSE)</f>
        <v>0</v>
      </c>
      <c r="T2437" s="737">
        <f t="shared" si="1160"/>
        <v>1</v>
      </c>
      <c r="U2437" s="2" t="str">
        <f t="shared" si="1149"/>
        <v/>
      </c>
      <c r="V2437" s="2" t="str">
        <f t="shared" si="1150"/>
        <v/>
      </c>
      <c r="W2437" s="2" t="str">
        <f t="shared" si="1151"/>
        <v/>
      </c>
      <c r="X2437" s="2">
        <f t="shared" si="1147"/>
        <v>0</v>
      </c>
      <c r="Y2437" s="2" t="str">
        <f t="shared" si="1152"/>
        <v/>
      </c>
      <c r="Z2437" s="2" t="str">
        <f t="shared" si="1153"/>
        <v/>
      </c>
      <c r="AA2437" s="2" t="str">
        <f t="shared" si="1154"/>
        <v/>
      </c>
      <c r="AB2437" s="2">
        <f t="shared" si="1148"/>
        <v>0</v>
      </c>
      <c r="AC2437" s="625">
        <v>0</v>
      </c>
      <c r="AD2437" s="625">
        <v>0</v>
      </c>
      <c r="AE2437" s="625">
        <v>0</v>
      </c>
      <c r="AF2437" s="625">
        <v>0</v>
      </c>
      <c r="AG2437" s="625">
        <v>0</v>
      </c>
      <c r="AH2437" s="625">
        <v>0</v>
      </c>
      <c r="AI2437" s="625">
        <v>0</v>
      </c>
      <c r="AJ2437" s="625">
        <v>0</v>
      </c>
      <c r="AK2437" s="625">
        <v>0</v>
      </c>
      <c r="AL2437" s="625">
        <v>0</v>
      </c>
      <c r="AM2437" s="625">
        <v>0</v>
      </c>
      <c r="AN2437" s="625">
        <v>0</v>
      </c>
      <c r="AO2437" s="625">
        <v>0</v>
      </c>
      <c r="AP2437" s="41" t="str">
        <f t="shared" si="1132"/>
        <v>Def TaxN</v>
      </c>
      <c r="AQ2437" s="41" t="str">
        <f t="shared" si="1133"/>
        <v>Def TaxNN2PSC Assessment</v>
      </c>
      <c r="AR2437" s="41" t="str">
        <f t="shared" si="1134"/>
        <v>N2PSC Assessment</v>
      </c>
    </row>
    <row r="2438" spans="1:44" s="41" customFormat="1" ht="12.75" customHeight="1">
      <c r="A2438" s="442" t="s">
        <v>1590</v>
      </c>
      <c r="B2438" s="442" t="str">
        <f t="shared" si="1158"/>
        <v>Def Tax283550MHP DeferralBDEFAULT</v>
      </c>
      <c r="C2438" s="736">
        <v>283550</v>
      </c>
      <c r="D2438" s="735" t="s">
        <v>2336</v>
      </c>
      <c r="E2438" s="626" t="s">
        <v>1620</v>
      </c>
      <c r="F2438" s="626" t="str">
        <f t="shared" si="1156"/>
        <v>ADIT-OTH-REG-STATE-ELECTRIC</v>
      </c>
      <c r="G2438" s="626" t="s">
        <v>2337</v>
      </c>
      <c r="H2438" s="736" t="s">
        <v>818</v>
      </c>
      <c r="I2438" s="442"/>
      <c r="J2438" s="442" t="str">
        <f t="shared" si="1157"/>
        <v/>
      </c>
      <c r="K2438" s="442" t="str">
        <f t="shared" si="1159"/>
        <v/>
      </c>
      <c r="L2438" s="736" t="s">
        <v>2421</v>
      </c>
      <c r="M2438" s="442" t="str">
        <f t="shared" si="1146"/>
        <v>N</v>
      </c>
      <c r="N2438" s="442" t="str">
        <f>IF(L2438&lt;&gt;"",VLOOKUP(L2438,Categories!$B$2:$D$41,2,FALSE),IF(F2438&lt;&gt;"","No Cat",""))</f>
        <v>NRBASE</v>
      </c>
      <c r="O2438" s="442" t="str">
        <f>IF($L2438&lt;&gt;"",VLOOKUP($L2438,Categories!$B$2:$D$41,3,FALSE),IF($F2438&lt;&gt;"","No Cat",""))</f>
        <v>Direct Assign Items Not in RB</v>
      </c>
      <c r="P2438" s="736" t="s">
        <v>2468</v>
      </c>
      <c r="Q2438" s="442" t="str">
        <f>VLOOKUP($P2438,Allocators!$B$7:$F$19,5,FALSE)</f>
        <v>Not in Rate Base</v>
      </c>
      <c r="R2438" s="737">
        <f>VLOOKUP($P2438,Allocators!$B$7:$F$19,2,FALSE)</f>
        <v>0</v>
      </c>
      <c r="S2438" s="737">
        <f>VLOOKUP($P2438,Allocators!$B$7:$F$19,3,FALSE)</f>
        <v>0</v>
      </c>
      <c r="T2438" s="737">
        <f t="shared" si="1160"/>
        <v>1</v>
      </c>
      <c r="U2438" s="2">
        <f t="shared" si="1149"/>
        <v>0</v>
      </c>
      <c r="V2438" s="2">
        <f t="shared" si="1150"/>
        <v>0</v>
      </c>
      <c r="W2438" s="2">
        <f t="shared" si="1151"/>
        <v>-97.031670416666699</v>
      </c>
      <c r="X2438" s="2">
        <f t="shared" si="1147"/>
        <v>-97.031670416666699</v>
      </c>
      <c r="Y2438" s="2">
        <f t="shared" si="1152"/>
        <v>0</v>
      </c>
      <c r="Z2438" s="2">
        <f t="shared" si="1153"/>
        <v>0</v>
      </c>
      <c r="AA2438" s="2">
        <f t="shared" si="1154"/>
        <v>-203.36376999999999</v>
      </c>
      <c r="AB2438" s="2">
        <f t="shared" si="1148"/>
        <v>-203.36376999999999</v>
      </c>
      <c r="AC2438" s="625">
        <v>0</v>
      </c>
      <c r="AD2438" s="625">
        <v>0</v>
      </c>
      <c r="AE2438" s="625">
        <v>0</v>
      </c>
      <c r="AF2438" s="625">
        <v>0</v>
      </c>
      <c r="AG2438" s="625">
        <v>0</v>
      </c>
      <c r="AH2438" s="625">
        <v>0</v>
      </c>
      <c r="AI2438" s="625">
        <v>0</v>
      </c>
      <c r="AJ2438" s="625">
        <v>-225.24763000000002</v>
      </c>
      <c r="AK2438" s="625">
        <v>-223.31671</v>
      </c>
      <c r="AL2438" s="625">
        <v>-212.06214000000003</v>
      </c>
      <c r="AM2438" s="625">
        <v>-198.86735000000002</v>
      </c>
      <c r="AN2438" s="625">
        <v>-203.20433</v>
      </c>
      <c r="AO2438" s="625">
        <v>-203.36376999999999</v>
      </c>
      <c r="AP2438" s="41" t="str">
        <f t="shared" si="1132"/>
        <v>Def TaxN</v>
      </c>
      <c r="AQ2438" s="41" t="str">
        <f t="shared" si="1133"/>
        <v>Def TaxNN2MHP Meter Deferral</v>
      </c>
      <c r="AR2438" s="41" t="str">
        <f t="shared" si="1134"/>
        <v>N2MHP Meter Deferral</v>
      </c>
    </row>
    <row r="2439" spans="1:44" s="41" customFormat="1" ht="12.75" customHeight="1">
      <c r="A2439" s="442" t="s">
        <v>1590</v>
      </c>
      <c r="B2439" s="442" t="str">
        <f t="shared" si="1158"/>
        <v>Def Tax283550BE030597</v>
      </c>
      <c r="C2439" s="736">
        <v>283550</v>
      </c>
      <c r="D2439" s="735"/>
      <c r="E2439" s="626" t="s">
        <v>770</v>
      </c>
      <c r="F2439" s="626" t="str">
        <f t="shared" ref="F2439" si="1164">VLOOKUP(C2439,$C$7:$F$787,4,FALSE)</f>
        <v>ADIT-OTH-REG-STATE-ELECTRIC</v>
      </c>
      <c r="G2439" s="626" t="s">
        <v>4047</v>
      </c>
      <c r="H2439" s="736" t="s">
        <v>824</v>
      </c>
      <c r="I2439" s="442"/>
      <c r="J2439" s="442" t="s">
        <v>7</v>
      </c>
      <c r="K2439" s="442" t="str">
        <f t="shared" si="1159"/>
        <v/>
      </c>
      <c r="L2439" s="736" t="s">
        <v>2421</v>
      </c>
      <c r="M2439" s="442" t="str">
        <f t="shared" si="1146"/>
        <v>N</v>
      </c>
      <c r="N2439" s="442" t="str">
        <f>IF(L2439&lt;&gt;"",VLOOKUP(L2439,Categories!$B$2:$D$41,2,FALSE),IF(F2439&lt;&gt;"","No Cat",""))</f>
        <v>NRBASE</v>
      </c>
      <c r="O2439" s="442" t="str">
        <f>IF($L2439&lt;&gt;"",VLOOKUP($L2439,Categories!$B$2:$D$41,3,FALSE),IF($F2439&lt;&gt;"","No Cat",""))</f>
        <v>Direct Assign Items Not in RB</v>
      </c>
      <c r="P2439" s="736" t="s">
        <v>2468</v>
      </c>
      <c r="Q2439" s="442" t="str">
        <f>VLOOKUP($P2439,Allocators!$B$7:$F$19,5,FALSE)</f>
        <v>Not in Rate Base</v>
      </c>
      <c r="R2439" s="737">
        <f>VLOOKUP($P2439,Allocators!$B$7:$F$19,2,FALSE)</f>
        <v>0</v>
      </c>
      <c r="S2439" s="737">
        <f>VLOOKUP($P2439,Allocators!$B$7:$F$19,3,FALSE)</f>
        <v>0</v>
      </c>
      <c r="T2439" s="737">
        <f t="shared" si="1160"/>
        <v>1</v>
      </c>
      <c r="U2439" s="2">
        <f t="shared" si="1149"/>
        <v>0</v>
      </c>
      <c r="V2439" s="2">
        <f t="shared" si="1150"/>
        <v>0</v>
      </c>
      <c r="W2439" s="2">
        <f t="shared" si="1151"/>
        <v>-5.9578679166666699</v>
      </c>
      <c r="X2439" s="2">
        <f t="shared" si="1147"/>
        <v>-5.9578679166666699</v>
      </c>
      <c r="Y2439" s="2">
        <f t="shared" si="1152"/>
        <v>0</v>
      </c>
      <c r="Z2439" s="2">
        <f t="shared" si="1153"/>
        <v>0</v>
      </c>
      <c r="AA2439" s="2">
        <f t="shared" si="1154"/>
        <v>-6.1621499999999996</v>
      </c>
      <c r="AB2439" s="2">
        <f t="shared" si="1148"/>
        <v>-6.1621499999999996</v>
      </c>
      <c r="AC2439" s="625">
        <v>-5.7581199999999999</v>
      </c>
      <c r="AD2439" s="625">
        <v>-5.7907500000000001</v>
      </c>
      <c r="AE2439" s="625">
        <v>-5.8235700000000001</v>
      </c>
      <c r="AF2439" s="625">
        <v>-5.8565699999999996</v>
      </c>
      <c r="AG2439" s="625">
        <v>-5.8897599999999999</v>
      </c>
      <c r="AH2439" s="625">
        <v>-5.9231400000000001</v>
      </c>
      <c r="AI2439" s="625">
        <v>-5.9567100000000002</v>
      </c>
      <c r="AJ2439" s="625">
        <v>-5.9904700000000002</v>
      </c>
      <c r="AK2439" s="625">
        <v>-6.0244200000000001</v>
      </c>
      <c r="AL2439" s="625">
        <v>-6.0585600000000008</v>
      </c>
      <c r="AM2439" s="625">
        <v>-6.0928999999999993</v>
      </c>
      <c r="AN2439" s="625">
        <v>-6.1274300000000004</v>
      </c>
      <c r="AO2439" s="625">
        <v>-6.1621499999999996</v>
      </c>
      <c r="AP2439" s="41" t="str">
        <f t="shared" si="1132"/>
        <v>Def TaxN</v>
      </c>
      <c r="AQ2439" s="41" t="str">
        <f t="shared" si="1133"/>
        <v>Def TaxNN2CAIDI/SAIFI Study</v>
      </c>
      <c r="AR2439" s="41" t="str">
        <f t="shared" si="1134"/>
        <v>N2CAIDI/SAIFI StudyNCR</v>
      </c>
    </row>
    <row r="2440" spans="1:44" s="41" customFormat="1" ht="12.75" customHeight="1">
      <c r="A2440" s="442" t="s">
        <v>1590</v>
      </c>
      <c r="B2440" s="442" t="str">
        <f t="shared" ref="B2440" si="1165">CONCATENATE(A2440,C2440,D2440,E2440)</f>
        <v>Def Tax283550BEHUNGDT</v>
      </c>
      <c r="C2440" s="736">
        <v>283550</v>
      </c>
      <c r="D2440" s="735"/>
      <c r="E2440" s="626" t="s">
        <v>4059</v>
      </c>
      <c r="F2440" s="626" t="str">
        <f t="shared" ref="F2440" si="1166">VLOOKUP(C2440,$C$7:$F$787,4,FALSE)</f>
        <v>ADIT-OTH-REG-STATE-ELECTRIC</v>
      </c>
      <c r="G2440" s="626" t="s">
        <v>4058</v>
      </c>
      <c r="H2440" s="736" t="s">
        <v>2880</v>
      </c>
      <c r="I2440" s="442"/>
      <c r="J2440" s="442"/>
      <c r="K2440" s="442" t="str">
        <f t="shared" si="1159"/>
        <v/>
      </c>
      <c r="L2440" s="736" t="s">
        <v>2443</v>
      </c>
      <c r="M2440" s="442" t="str">
        <f t="shared" ref="M2440" si="1167">LEFT(L2440,1)</f>
        <v>R</v>
      </c>
      <c r="N2440" s="442" t="str">
        <f>IF(L2440&lt;&gt;"",VLOOKUP(L2440,Categories!$B$2:$D$41,2,FALSE),IF(F2440&lt;&gt;"","No Cat",""))</f>
        <v>Rate Base</v>
      </c>
      <c r="O2440" s="442" t="str">
        <f>IF($L2440&lt;&gt;"",VLOOKUP($L2440,Categories!$B$2:$D$41,3,FALSE),IF($F2440&lt;&gt;"","No Cat",""))</f>
        <v>Deferred Income Taxes</v>
      </c>
      <c r="P2440" s="736" t="s">
        <v>2482</v>
      </c>
      <c r="Q2440" s="442" t="str">
        <f>VLOOKUP($P2440,Allocators!$B$7:$F$19,5,FALSE)</f>
        <v>Electric</v>
      </c>
      <c r="R2440" s="737">
        <f>VLOOKUP($P2440,Allocators!$B$7:$F$19,2,FALSE)</f>
        <v>1</v>
      </c>
      <c r="S2440" s="737">
        <f>VLOOKUP($P2440,Allocators!$B$7:$F$19,3,FALSE)</f>
        <v>0</v>
      </c>
      <c r="T2440" s="737" t="str">
        <f t="shared" ref="T2440" si="1168">IF(P2440="N",1,"0.0%")</f>
        <v>0.0%</v>
      </c>
      <c r="U2440" s="2" t="str">
        <f t="shared" si="1149"/>
        <v/>
      </c>
      <c r="V2440" s="2" t="str">
        <f t="shared" si="1150"/>
        <v/>
      </c>
      <c r="W2440" s="2" t="str">
        <f t="shared" si="1151"/>
        <v/>
      </c>
      <c r="X2440" s="2">
        <f t="shared" si="1147"/>
        <v>0</v>
      </c>
      <c r="Y2440" s="2" t="str">
        <f t="shared" si="1152"/>
        <v/>
      </c>
      <c r="Z2440" s="2" t="str">
        <f t="shared" si="1153"/>
        <v/>
      </c>
      <c r="AA2440" s="2" t="str">
        <f t="shared" si="1154"/>
        <v/>
      </c>
      <c r="AB2440" s="2">
        <f t="shared" si="1148"/>
        <v>0</v>
      </c>
      <c r="AC2440" s="625">
        <v>0</v>
      </c>
      <c r="AD2440" s="625">
        <v>0</v>
      </c>
      <c r="AE2440" s="625">
        <v>0</v>
      </c>
      <c r="AF2440" s="625">
        <v>0</v>
      </c>
      <c r="AG2440" s="625">
        <v>0</v>
      </c>
      <c r="AH2440" s="625">
        <v>0</v>
      </c>
      <c r="AI2440" s="625">
        <v>0</v>
      </c>
      <c r="AJ2440" s="625">
        <v>0</v>
      </c>
      <c r="AK2440" s="625">
        <v>0</v>
      </c>
      <c r="AL2440" s="625">
        <v>0</v>
      </c>
      <c r="AM2440" s="625">
        <v>0</v>
      </c>
      <c r="AN2440" s="625">
        <v>0</v>
      </c>
      <c r="AO2440" s="625">
        <v>0</v>
      </c>
      <c r="AP2440" s="41" t="str">
        <f t="shared" ref="AP2440:AP2493" si="1169">CONCATENATE(A2440,M2440)</f>
        <v>Def TaxR</v>
      </c>
      <c r="AQ2440" s="41" t="str">
        <f t="shared" ref="AQ2440:AQ2493" si="1170">CONCATENATE(AP2440,L2440,H2440)</f>
        <v>Def TaxRR11Hung Deferred Taxes</v>
      </c>
      <c r="AR2440" s="41" t="str">
        <f t="shared" ref="AR2440:AR2493" si="1171">CONCATENATE(L2440,H2440,J2440)</f>
        <v>R11Hung Deferred Taxes</v>
      </c>
    </row>
    <row r="2441" spans="1:44" s="41" customFormat="1" ht="12.75" customHeight="1">
      <c r="A2441" s="25" t="s">
        <v>1590</v>
      </c>
      <c r="B2441" s="25" t="str">
        <f t="shared" si="1158"/>
        <v>Def Tax283550MedicareBT010125</v>
      </c>
      <c r="C2441" s="736">
        <v>283550</v>
      </c>
      <c r="D2441" s="735" t="s">
        <v>1667</v>
      </c>
      <c r="E2441" s="41" t="s">
        <v>1668</v>
      </c>
      <c r="F2441" s="41" t="str">
        <f t="shared" si="1156"/>
        <v>ADIT-OTH-REG-STATE-ELECTRIC</v>
      </c>
      <c r="G2441" s="41" t="s">
        <v>2333</v>
      </c>
      <c r="H2441" s="736" t="s">
        <v>1118</v>
      </c>
      <c r="I2441" s="25"/>
      <c r="J2441" s="25" t="str">
        <f t="shared" si="1157"/>
        <v/>
      </c>
      <c r="K2441" s="442" t="str">
        <f t="shared" si="1159"/>
        <v/>
      </c>
      <c r="L2441" s="736" t="s">
        <v>2443</v>
      </c>
      <c r="M2441" s="25" t="str">
        <f t="shared" si="1146"/>
        <v>R</v>
      </c>
      <c r="N2441" s="25" t="str">
        <f>IF(L2441&lt;&gt;"",VLOOKUP(L2441,Categories!$B$2:$D$41,2,FALSE),IF(F2441&lt;&gt;"","No Cat",""))</f>
        <v>Rate Base</v>
      </c>
      <c r="O2441" s="25" t="str">
        <f>IF($L2441&lt;&gt;"",VLOOKUP($L2441,Categories!$B$2:$D$41,3,FALSE),IF($F2441&lt;&gt;"","No Cat",""))</f>
        <v>Deferred Income Taxes</v>
      </c>
      <c r="P2441" s="736" t="s">
        <v>2482</v>
      </c>
      <c r="Q2441" s="25" t="str">
        <f>VLOOKUP($P2441,Allocators!$B$7:$F$19,5,FALSE)</f>
        <v>Electric</v>
      </c>
      <c r="R2441" s="737">
        <f>VLOOKUP($P2441,Allocators!$B$7:$F$19,2,FALSE)</f>
        <v>1</v>
      </c>
      <c r="S2441" s="737">
        <f>VLOOKUP($P2441,Allocators!$B$7:$F$19,3,FALSE)</f>
        <v>0</v>
      </c>
      <c r="T2441" s="737" t="str">
        <f t="shared" si="1160"/>
        <v>0.0%</v>
      </c>
      <c r="U2441" s="2" t="str">
        <f t="shared" si="1149"/>
        <v/>
      </c>
      <c r="V2441" s="2" t="str">
        <f t="shared" si="1150"/>
        <v/>
      </c>
      <c r="W2441" s="2" t="str">
        <f t="shared" si="1151"/>
        <v/>
      </c>
      <c r="X2441" s="2">
        <f t="shared" si="1147"/>
        <v>0</v>
      </c>
      <c r="Y2441" s="2" t="str">
        <f t="shared" si="1152"/>
        <v/>
      </c>
      <c r="Z2441" s="2" t="str">
        <f t="shared" si="1153"/>
        <v/>
      </c>
      <c r="AA2441" s="2" t="str">
        <f t="shared" si="1154"/>
        <v/>
      </c>
      <c r="AB2441" s="2">
        <f t="shared" si="1148"/>
        <v>0</v>
      </c>
      <c r="AC2441" s="625">
        <v>0</v>
      </c>
      <c r="AD2441" s="625">
        <v>0</v>
      </c>
      <c r="AE2441" s="625">
        <v>0</v>
      </c>
      <c r="AF2441" s="625">
        <v>0</v>
      </c>
      <c r="AG2441" s="625">
        <v>0</v>
      </c>
      <c r="AH2441" s="625">
        <v>0</v>
      </c>
      <c r="AI2441" s="625">
        <v>0</v>
      </c>
      <c r="AJ2441" s="625">
        <v>0</v>
      </c>
      <c r="AK2441" s="625">
        <v>0</v>
      </c>
      <c r="AL2441" s="625">
        <v>0</v>
      </c>
      <c r="AM2441" s="625">
        <v>0</v>
      </c>
      <c r="AN2441" s="625">
        <v>0</v>
      </c>
      <c r="AO2441" s="625">
        <v>0</v>
      </c>
      <c r="AP2441" s="41" t="str">
        <f t="shared" si="1169"/>
        <v>Def TaxR</v>
      </c>
      <c r="AQ2441" s="41" t="str">
        <f t="shared" si="1170"/>
        <v>Def TaxRR11Medicare Part D</v>
      </c>
      <c r="AR2441" s="41" t="str">
        <f t="shared" si="1171"/>
        <v>R11Medicare Part D</v>
      </c>
    </row>
    <row r="2442" spans="1:44" s="41" customFormat="1" ht="12.75" customHeight="1">
      <c r="A2442" s="442" t="s">
        <v>1590</v>
      </c>
      <c r="B2442" s="442" t="str">
        <f t="shared" si="1158"/>
        <v>Def Tax283550MFCBE030155</v>
      </c>
      <c r="C2442" s="736">
        <v>283550</v>
      </c>
      <c r="D2442" s="735" t="s">
        <v>2334</v>
      </c>
      <c r="E2442" s="626" t="s">
        <v>1200</v>
      </c>
      <c r="F2442" s="626" t="str">
        <f t="shared" si="1156"/>
        <v>ADIT-OTH-REG-STATE-ELECTRIC</v>
      </c>
      <c r="G2442" s="626" t="s">
        <v>2335</v>
      </c>
      <c r="H2442" s="736" t="s">
        <v>1203</v>
      </c>
      <c r="I2442" s="442"/>
      <c r="J2442" s="442" t="str">
        <f t="shared" si="1157"/>
        <v/>
      </c>
      <c r="K2442" s="442" t="str">
        <f t="shared" si="1159"/>
        <v/>
      </c>
      <c r="L2442" s="736" t="s">
        <v>2421</v>
      </c>
      <c r="M2442" s="442" t="str">
        <f t="shared" si="1146"/>
        <v>N</v>
      </c>
      <c r="N2442" s="442" t="str">
        <f>IF(L2442&lt;&gt;"",VLOOKUP(L2442,Categories!$B$2:$D$41,2,FALSE),IF(F2442&lt;&gt;"","No Cat",""))</f>
        <v>NRBASE</v>
      </c>
      <c r="O2442" s="442" t="str">
        <f>IF($L2442&lt;&gt;"",VLOOKUP($L2442,Categories!$B$2:$D$41,3,FALSE),IF($F2442&lt;&gt;"","No Cat",""))</f>
        <v>Direct Assign Items Not in RB</v>
      </c>
      <c r="P2442" s="736" t="s">
        <v>2468</v>
      </c>
      <c r="Q2442" s="442" t="str">
        <f>VLOOKUP($P2442,Allocators!$B$7:$F$19,5,FALSE)</f>
        <v>Not in Rate Base</v>
      </c>
      <c r="R2442" s="737">
        <f>VLOOKUP($P2442,Allocators!$B$7:$F$19,2,FALSE)</f>
        <v>0</v>
      </c>
      <c r="S2442" s="737">
        <f>VLOOKUP($P2442,Allocators!$B$7:$F$19,3,FALSE)</f>
        <v>0</v>
      </c>
      <c r="T2442" s="737">
        <f t="shared" si="1160"/>
        <v>1</v>
      </c>
      <c r="U2442" s="2">
        <f t="shared" si="1149"/>
        <v>0</v>
      </c>
      <c r="V2442" s="2">
        <f t="shared" si="1150"/>
        <v>0</v>
      </c>
      <c r="W2442" s="2">
        <f t="shared" si="1151"/>
        <v>-12.802550833333299</v>
      </c>
      <c r="X2442" s="2">
        <f t="shared" si="1147"/>
        <v>-12.802550833333299</v>
      </c>
      <c r="Y2442" s="2">
        <f t="shared" si="1152"/>
        <v>0</v>
      </c>
      <c r="Z2442" s="2">
        <f t="shared" si="1153"/>
        <v>0</v>
      </c>
      <c r="AA2442" s="2">
        <f t="shared" si="1154"/>
        <v>-35.241230000000002</v>
      </c>
      <c r="AB2442" s="2">
        <f t="shared" si="1148"/>
        <v>-35.241230000000002</v>
      </c>
      <c r="AC2442" s="625">
        <v>-35.241230000000002</v>
      </c>
      <c r="AD2442" s="625">
        <v>-19.522919999999999</v>
      </c>
      <c r="AE2442" s="625">
        <v>-17.008599999999998</v>
      </c>
      <c r="AF2442" s="625">
        <v>-9.02121</v>
      </c>
      <c r="AG2442" s="625">
        <v>-10.53121</v>
      </c>
      <c r="AH2442" s="625">
        <v>-11.97184</v>
      </c>
      <c r="AI2442" s="625">
        <v>-13.729280000000001</v>
      </c>
      <c r="AJ2442" s="625">
        <v>9.5458300000000005</v>
      </c>
      <c r="AK2442" s="625">
        <v>9.729989999999999</v>
      </c>
      <c r="AL2442" s="625">
        <v>-3.0146799999999998</v>
      </c>
      <c r="AM2442" s="625">
        <v>-17.624230000000001</v>
      </c>
      <c r="AN2442" s="625">
        <v>-35.241230000000002</v>
      </c>
      <c r="AO2442" s="625">
        <v>-35.241230000000002</v>
      </c>
      <c r="AP2442" s="41" t="str">
        <f t="shared" si="1169"/>
        <v>Def TaxN</v>
      </c>
      <c r="AQ2442" s="41" t="str">
        <f t="shared" si="1170"/>
        <v>Def TaxNN2Merchant Function Charge - Elec</v>
      </c>
      <c r="AR2442" s="41" t="str">
        <f t="shared" si="1171"/>
        <v>N2Merchant Function Charge - Elec</v>
      </c>
    </row>
    <row r="2443" spans="1:44" s="41" customFormat="1" ht="12.75" customHeight="1">
      <c r="A2443" s="25" t="s">
        <v>1590</v>
      </c>
      <c r="B2443" s="25" t="str">
        <f t="shared" si="1158"/>
        <v>Def Tax283550VERP CTABG030903</v>
      </c>
      <c r="C2443" s="736">
        <v>283550</v>
      </c>
      <c r="D2443" s="735" t="s">
        <v>2364</v>
      </c>
      <c r="E2443" s="41" t="s">
        <v>940</v>
      </c>
      <c r="F2443" s="41" t="str">
        <f t="shared" si="1156"/>
        <v>ADIT-OTH-REG-STATE-ELECTRIC</v>
      </c>
      <c r="G2443" s="41" t="s">
        <v>2365</v>
      </c>
      <c r="H2443" s="736" t="s">
        <v>820</v>
      </c>
      <c r="I2443" s="25"/>
      <c r="J2443" s="25" t="str">
        <f t="shared" si="1157"/>
        <v/>
      </c>
      <c r="K2443" s="442" t="str">
        <f t="shared" si="1159"/>
        <v/>
      </c>
      <c r="L2443" s="736" t="s">
        <v>2443</v>
      </c>
      <c r="M2443" s="25" t="str">
        <f t="shared" si="1146"/>
        <v>R</v>
      </c>
      <c r="N2443" s="25" t="str">
        <f>IF(L2443&lt;&gt;"",VLOOKUP(L2443,Categories!$B$2:$D$41,2,FALSE),IF(F2443&lt;&gt;"","No Cat",""))</f>
        <v>Rate Base</v>
      </c>
      <c r="O2443" s="25" t="str">
        <f>IF($L2443&lt;&gt;"",VLOOKUP($L2443,Categories!$B$2:$D$41,3,FALSE),IF($F2443&lt;&gt;"","No Cat",""))</f>
        <v>Deferred Income Taxes</v>
      </c>
      <c r="P2443" s="736" t="s">
        <v>2482</v>
      </c>
      <c r="Q2443" s="25" t="str">
        <f>VLOOKUP($P2443,Allocators!$B$7:$F$19,5,FALSE)</f>
        <v>Electric</v>
      </c>
      <c r="R2443" s="737">
        <f>VLOOKUP($P2443,Allocators!$B$7:$F$19,2,FALSE)</f>
        <v>1</v>
      </c>
      <c r="S2443" s="737">
        <f>VLOOKUP($P2443,Allocators!$B$7:$F$19,3,FALSE)</f>
        <v>0</v>
      </c>
      <c r="T2443" s="737" t="str">
        <f t="shared" si="1160"/>
        <v>0.0%</v>
      </c>
      <c r="U2443" s="2">
        <f t="shared" si="1149"/>
        <v>-7.4260999999999999</v>
      </c>
      <c r="V2443" s="2">
        <f t="shared" si="1150"/>
        <v>0</v>
      </c>
      <c r="W2443" s="2">
        <f t="shared" si="1151"/>
        <v>0</v>
      </c>
      <c r="X2443" s="2">
        <f t="shared" si="1147"/>
        <v>-7.4260999999999999</v>
      </c>
      <c r="Y2443" s="2">
        <f t="shared" si="1152"/>
        <v>-7.4260999999999999</v>
      </c>
      <c r="Z2443" s="2">
        <f t="shared" si="1153"/>
        <v>0</v>
      </c>
      <c r="AA2443" s="2">
        <f t="shared" si="1154"/>
        <v>0</v>
      </c>
      <c r="AB2443" s="2">
        <f t="shared" si="1148"/>
        <v>-7.4260999999999999</v>
      </c>
      <c r="AC2443" s="625">
        <v>-7.4260999999999999</v>
      </c>
      <c r="AD2443" s="625">
        <v>-7.4260999999999999</v>
      </c>
      <c r="AE2443" s="625">
        <v>-7.4260999999999999</v>
      </c>
      <c r="AF2443" s="625">
        <v>-7.4260999999999999</v>
      </c>
      <c r="AG2443" s="625">
        <v>-7.4260999999999999</v>
      </c>
      <c r="AH2443" s="625">
        <v>-7.4260999999999999</v>
      </c>
      <c r="AI2443" s="625">
        <v>-7.4260999999999999</v>
      </c>
      <c r="AJ2443" s="625">
        <v>-7.4260999999999999</v>
      </c>
      <c r="AK2443" s="625">
        <v>-7.4260999999999999</v>
      </c>
      <c r="AL2443" s="625">
        <v>-7.4260999999999999</v>
      </c>
      <c r="AM2443" s="625">
        <v>-7.4260999999999999</v>
      </c>
      <c r="AN2443" s="625">
        <v>-7.4260999999999999</v>
      </c>
      <c r="AO2443" s="625">
        <v>-7.4260999999999999</v>
      </c>
      <c r="AP2443" s="41" t="str">
        <f t="shared" si="1169"/>
        <v>Def TaxR</v>
      </c>
      <c r="AQ2443" s="41" t="str">
        <f t="shared" si="1170"/>
        <v>Def TaxRR11CTA Efficiency</v>
      </c>
      <c r="AR2443" s="41" t="str">
        <f t="shared" si="1171"/>
        <v>R11CTA Efficiency</v>
      </c>
    </row>
    <row r="2444" spans="1:44" s="41" customFormat="1" ht="12.75" customHeight="1">
      <c r="A2444" s="442" t="s">
        <v>1590</v>
      </c>
      <c r="B2444" s="442" t="str">
        <f t="shared" si="1158"/>
        <v>Def Tax283550BT010009</v>
      </c>
      <c r="C2444" s="736">
        <v>283550</v>
      </c>
      <c r="D2444" s="735"/>
      <c r="E2444" s="626" t="s">
        <v>1477</v>
      </c>
      <c r="F2444" s="626" t="str">
        <f t="shared" si="1156"/>
        <v>ADIT-OTH-REG-STATE-ELECTRIC</v>
      </c>
      <c r="G2444" s="626" t="s">
        <v>2306</v>
      </c>
      <c r="H2444" s="736" t="s">
        <v>1330</v>
      </c>
      <c r="I2444" s="442"/>
      <c r="J2444" s="442" t="str">
        <f t="shared" si="1157"/>
        <v/>
      </c>
      <c r="K2444" s="442" t="str">
        <f t="shared" si="1159"/>
        <v/>
      </c>
      <c r="L2444" s="736" t="s">
        <v>2421</v>
      </c>
      <c r="M2444" s="442" t="str">
        <f t="shared" si="1146"/>
        <v>N</v>
      </c>
      <c r="N2444" s="442" t="str">
        <f>IF(L2444&lt;&gt;"",VLOOKUP(L2444,Categories!$B$2:$D$41,2,FALSE),IF(F2444&lt;&gt;"","No Cat",""))</f>
        <v>NRBASE</v>
      </c>
      <c r="O2444" s="442" t="str">
        <f>IF($L2444&lt;&gt;"",VLOOKUP($L2444,Categories!$B$2:$D$41,3,FALSE),IF($F2444&lt;&gt;"","No Cat",""))</f>
        <v>Direct Assign Items Not in RB</v>
      </c>
      <c r="P2444" s="736" t="s">
        <v>2468</v>
      </c>
      <c r="Q2444" s="442" t="str">
        <f>VLOOKUP($P2444,Allocators!$B$7:$F$19,5,FALSE)</f>
        <v>Not in Rate Base</v>
      </c>
      <c r="R2444" s="737">
        <f>VLOOKUP($P2444,Allocators!$B$7:$F$19,2,FALSE)</f>
        <v>0</v>
      </c>
      <c r="S2444" s="737">
        <f>VLOOKUP($P2444,Allocators!$B$7:$F$19,3,FALSE)</f>
        <v>0</v>
      </c>
      <c r="T2444" s="737">
        <f t="shared" si="1160"/>
        <v>1</v>
      </c>
      <c r="U2444" s="2">
        <f t="shared" si="1149"/>
        <v>0</v>
      </c>
      <c r="V2444" s="2">
        <f t="shared" si="1150"/>
        <v>0</v>
      </c>
      <c r="W2444" s="2">
        <f t="shared" si="1151"/>
        <v>309.85034999999999</v>
      </c>
      <c r="X2444" s="2">
        <f t="shared" si="1147"/>
        <v>309.85034999999999</v>
      </c>
      <c r="Y2444" s="2">
        <f t="shared" si="1152"/>
        <v>0</v>
      </c>
      <c r="Z2444" s="2">
        <f t="shared" si="1153"/>
        <v>0</v>
      </c>
      <c r="AA2444" s="2">
        <f t="shared" si="1154"/>
        <v>309.85034999999999</v>
      </c>
      <c r="AB2444" s="2">
        <f t="shared" si="1148"/>
        <v>309.85034999999999</v>
      </c>
      <c r="AC2444" s="625">
        <v>309.85034999999999</v>
      </c>
      <c r="AD2444" s="625">
        <v>309.85034999999999</v>
      </c>
      <c r="AE2444" s="625">
        <v>309.85034999999999</v>
      </c>
      <c r="AF2444" s="625">
        <v>309.85034999999999</v>
      </c>
      <c r="AG2444" s="625">
        <v>309.85034999999999</v>
      </c>
      <c r="AH2444" s="625">
        <v>309.85034999999999</v>
      </c>
      <c r="AI2444" s="625">
        <v>309.85034999999999</v>
      </c>
      <c r="AJ2444" s="625">
        <v>309.85034999999999</v>
      </c>
      <c r="AK2444" s="625">
        <v>309.85034999999999</v>
      </c>
      <c r="AL2444" s="625">
        <v>309.85034999999999</v>
      </c>
      <c r="AM2444" s="625">
        <v>309.85034999999999</v>
      </c>
      <c r="AN2444" s="625">
        <v>309.85034999999999</v>
      </c>
      <c r="AO2444" s="625">
        <v>309.85034999999999</v>
      </c>
      <c r="AP2444" s="41" t="str">
        <f t="shared" si="1169"/>
        <v>Def TaxN</v>
      </c>
      <c r="AQ2444" s="41" t="str">
        <f t="shared" si="1170"/>
        <v>Def TaxNN2ASGA</v>
      </c>
      <c r="AR2444" s="41" t="str">
        <f t="shared" si="1171"/>
        <v>N2ASGA</v>
      </c>
    </row>
    <row r="2445" spans="1:44" s="41" customFormat="1" ht="12.75" customHeight="1">
      <c r="A2445" s="442" t="s">
        <v>1590</v>
      </c>
      <c r="B2445" s="442" t="str">
        <f t="shared" si="1158"/>
        <v>Def Tax283550BE030904</v>
      </c>
      <c r="C2445" s="736">
        <v>283550</v>
      </c>
      <c r="D2445" s="735"/>
      <c r="E2445" s="626" t="s">
        <v>769</v>
      </c>
      <c r="F2445" s="626" t="str">
        <f t="shared" si="1156"/>
        <v>ADIT-OTH-REG-STATE-ELECTRIC</v>
      </c>
      <c r="G2445" s="626" t="s">
        <v>1979</v>
      </c>
      <c r="H2445" s="736" t="s">
        <v>823</v>
      </c>
      <c r="I2445" s="442"/>
      <c r="J2445" s="442" t="str">
        <f t="shared" si="1157"/>
        <v/>
      </c>
      <c r="K2445" s="442" t="str">
        <f t="shared" si="1159"/>
        <v/>
      </c>
      <c r="L2445" s="736" t="s">
        <v>2421</v>
      </c>
      <c r="M2445" s="442" t="str">
        <f t="shared" si="1146"/>
        <v>N</v>
      </c>
      <c r="N2445" s="442" t="str">
        <f>IF(L2445&lt;&gt;"",VLOOKUP(L2445,Categories!$B$2:$D$41,2,FALSE),IF(F2445&lt;&gt;"","No Cat",""))</f>
        <v>NRBASE</v>
      </c>
      <c r="O2445" s="442" t="str">
        <f>IF($L2445&lt;&gt;"",VLOOKUP($L2445,Categories!$B$2:$D$41,3,FALSE),IF($F2445&lt;&gt;"","No Cat",""))</f>
        <v>Direct Assign Items Not in RB</v>
      </c>
      <c r="P2445" s="736" t="s">
        <v>2468</v>
      </c>
      <c r="Q2445" s="442" t="str">
        <f>VLOOKUP($P2445,Allocators!$B$7:$F$19,5,FALSE)</f>
        <v>Not in Rate Base</v>
      </c>
      <c r="R2445" s="737">
        <f>VLOOKUP($P2445,Allocators!$B$7:$F$19,2,FALSE)</f>
        <v>0</v>
      </c>
      <c r="S2445" s="737">
        <f>VLOOKUP($P2445,Allocators!$B$7:$F$19,3,FALSE)</f>
        <v>0</v>
      </c>
      <c r="T2445" s="737">
        <f t="shared" si="1160"/>
        <v>1</v>
      </c>
      <c r="U2445" s="2" t="str">
        <f t="shared" si="1149"/>
        <v/>
      </c>
      <c r="V2445" s="2" t="str">
        <f t="shared" si="1150"/>
        <v/>
      </c>
      <c r="W2445" s="2" t="str">
        <f t="shared" si="1151"/>
        <v/>
      </c>
      <c r="X2445" s="2">
        <f t="shared" si="1147"/>
        <v>0</v>
      </c>
      <c r="Y2445" s="2" t="str">
        <f t="shared" si="1152"/>
        <v/>
      </c>
      <c r="Z2445" s="2" t="str">
        <f t="shared" si="1153"/>
        <v/>
      </c>
      <c r="AA2445" s="2" t="str">
        <f t="shared" si="1154"/>
        <v/>
      </c>
      <c r="AB2445" s="2">
        <f t="shared" si="1148"/>
        <v>0</v>
      </c>
      <c r="AC2445" s="625">
        <v>0</v>
      </c>
      <c r="AD2445" s="625">
        <v>0</v>
      </c>
      <c r="AE2445" s="625">
        <v>0</v>
      </c>
      <c r="AF2445" s="625">
        <v>0</v>
      </c>
      <c r="AG2445" s="625">
        <v>0</v>
      </c>
      <c r="AH2445" s="625">
        <v>0</v>
      </c>
      <c r="AI2445" s="625">
        <v>0</v>
      </c>
      <c r="AJ2445" s="625">
        <v>0</v>
      </c>
      <c r="AK2445" s="625">
        <v>0</v>
      </c>
      <c r="AL2445" s="625">
        <v>0</v>
      </c>
      <c r="AM2445" s="625">
        <v>0</v>
      </c>
      <c r="AN2445" s="625">
        <v>0</v>
      </c>
      <c r="AO2445" s="625">
        <v>0</v>
      </c>
      <c r="AP2445" s="41" t="str">
        <f t="shared" si="1169"/>
        <v>Def TaxN</v>
      </c>
      <c r="AQ2445" s="41" t="str">
        <f t="shared" si="1170"/>
        <v>Def TaxNN2RDM</v>
      </c>
      <c r="AR2445" s="41" t="str">
        <f t="shared" si="1171"/>
        <v>N2RDM</v>
      </c>
    </row>
    <row r="2446" spans="1:44" s="41" customFormat="1" ht="12.75" customHeight="1">
      <c r="A2446" s="442" t="s">
        <v>1590</v>
      </c>
      <c r="B2446" s="442" t="str">
        <f t="shared" ref="B2446" si="1172">CONCATENATE(A2446,C2446,D2446,E2446)</f>
        <v>Def Tax283550BDEFAULT</v>
      </c>
      <c r="C2446" s="736">
        <v>283550</v>
      </c>
      <c r="D2446" s="735"/>
      <c r="E2446" s="626" t="s">
        <v>1620</v>
      </c>
      <c r="F2446" s="626" t="str">
        <f t="shared" si="1156"/>
        <v>ADIT-OTH-REG-STATE-ELECTRIC</v>
      </c>
      <c r="G2446" s="626" t="s">
        <v>4263</v>
      </c>
      <c r="H2446" s="736" t="s">
        <v>818</v>
      </c>
      <c r="I2446" s="442"/>
      <c r="J2446" s="442" t="str">
        <f t="shared" si="1157"/>
        <v/>
      </c>
      <c r="K2446" s="442" t="str">
        <f t="shared" si="1159"/>
        <v/>
      </c>
      <c r="L2446" s="736" t="s">
        <v>2421</v>
      </c>
      <c r="M2446" s="442" t="str">
        <f t="shared" si="1146"/>
        <v>N</v>
      </c>
      <c r="N2446" s="442" t="str">
        <f>IF(L2446&lt;&gt;"",VLOOKUP(L2446,Categories!$B$2:$D$41,2,FALSE),IF(F2446&lt;&gt;"","No Cat",""))</f>
        <v>NRBASE</v>
      </c>
      <c r="O2446" s="442" t="str">
        <f>IF($L2446&lt;&gt;"",VLOOKUP($L2446,Categories!$B$2:$D$41,3,FALSE),IF($F2446&lt;&gt;"","No Cat",""))</f>
        <v>Direct Assign Items Not in RB</v>
      </c>
      <c r="P2446" s="736" t="s">
        <v>2468</v>
      </c>
      <c r="Q2446" s="442" t="str">
        <f>VLOOKUP($P2446,Allocators!$B$7:$F$19,5,FALSE)</f>
        <v>Not in Rate Base</v>
      </c>
      <c r="R2446" s="737">
        <f>VLOOKUP($P2446,Allocators!$B$7:$F$19,2,FALSE)</f>
        <v>0</v>
      </c>
      <c r="S2446" s="737">
        <f>VLOOKUP($P2446,Allocators!$B$7:$F$19,3,FALSE)</f>
        <v>0</v>
      </c>
      <c r="T2446" s="737">
        <f t="shared" si="1160"/>
        <v>1</v>
      </c>
      <c r="U2446" s="2" t="str">
        <f t="shared" si="1149"/>
        <v/>
      </c>
      <c r="V2446" s="2" t="str">
        <f t="shared" si="1150"/>
        <v/>
      </c>
      <c r="W2446" s="2" t="str">
        <f t="shared" si="1151"/>
        <v/>
      </c>
      <c r="X2446" s="2">
        <f t="shared" si="1147"/>
        <v>0</v>
      </c>
      <c r="Y2446" s="2" t="str">
        <f t="shared" si="1152"/>
        <v/>
      </c>
      <c r="Z2446" s="2" t="str">
        <f t="shared" si="1153"/>
        <v/>
      </c>
      <c r="AA2446" s="2" t="str">
        <f t="shared" si="1154"/>
        <v/>
      </c>
      <c r="AB2446" s="2">
        <f t="shared" si="1148"/>
        <v>0</v>
      </c>
      <c r="AC2446" s="625">
        <v>0</v>
      </c>
      <c r="AD2446" s="625">
        <v>0</v>
      </c>
      <c r="AE2446" s="625">
        <v>0</v>
      </c>
      <c r="AF2446" s="625">
        <v>0</v>
      </c>
      <c r="AG2446" s="625">
        <v>0</v>
      </c>
      <c r="AH2446" s="625">
        <v>0</v>
      </c>
      <c r="AI2446" s="625">
        <v>0</v>
      </c>
      <c r="AJ2446" s="625">
        <v>0</v>
      </c>
      <c r="AK2446" s="625">
        <v>0</v>
      </c>
      <c r="AL2446" s="625">
        <v>0</v>
      </c>
      <c r="AM2446" s="625">
        <v>0</v>
      </c>
      <c r="AN2446" s="625">
        <v>0</v>
      </c>
      <c r="AO2446" s="625">
        <v>0</v>
      </c>
      <c r="AP2446" s="41" t="str">
        <f t="shared" si="1169"/>
        <v>Def TaxN</v>
      </c>
      <c r="AQ2446" s="41" t="str">
        <f t="shared" si="1170"/>
        <v>Def TaxNN2MHP Meter Deferral</v>
      </c>
      <c r="AR2446" s="41" t="str">
        <f t="shared" si="1171"/>
        <v>N2MHP Meter Deferral</v>
      </c>
    </row>
    <row r="2447" spans="1:44" s="41" customFormat="1" ht="12.75" customHeight="1">
      <c r="A2447" s="25" t="s">
        <v>1590</v>
      </c>
      <c r="B2447" s="25" t="str">
        <f t="shared" si="1158"/>
        <v>Def Tax283550BE030598</v>
      </c>
      <c r="C2447" s="736">
        <v>283550</v>
      </c>
      <c r="D2447" s="735"/>
      <c r="E2447" s="41" t="s">
        <v>768</v>
      </c>
      <c r="F2447" s="41" t="str">
        <f t="shared" si="1156"/>
        <v>ADIT-OTH-REG-STATE-ELECTRIC</v>
      </c>
      <c r="G2447" s="41" t="s">
        <v>822</v>
      </c>
      <c r="H2447" s="736" t="s">
        <v>822</v>
      </c>
      <c r="I2447" s="25"/>
      <c r="J2447" s="25" t="str">
        <f t="shared" si="1157"/>
        <v/>
      </c>
      <c r="K2447" s="442" t="str">
        <f t="shared" si="1159"/>
        <v/>
      </c>
      <c r="L2447" s="736" t="s">
        <v>2443</v>
      </c>
      <c r="M2447" s="25" t="str">
        <f t="shared" si="1146"/>
        <v>R</v>
      </c>
      <c r="N2447" s="25" t="str">
        <f>IF(L2447&lt;&gt;"",VLOOKUP(L2447,Categories!$B$2:$D$41,2,FALSE),IF(F2447&lt;&gt;"","No Cat",""))</f>
        <v>Rate Base</v>
      </c>
      <c r="O2447" s="25" t="str">
        <f>IF($L2447&lt;&gt;"",VLOOKUP($L2447,Categories!$B$2:$D$41,3,FALSE),IF($F2447&lt;&gt;"","No Cat",""))</f>
        <v>Deferred Income Taxes</v>
      </c>
      <c r="P2447" s="736" t="s">
        <v>2482</v>
      </c>
      <c r="Q2447" s="25" t="str">
        <f>VLOOKUP($P2447,Allocators!$B$7:$F$19,5,FALSE)</f>
        <v>Electric</v>
      </c>
      <c r="R2447" s="737">
        <f>VLOOKUP($P2447,Allocators!$B$7:$F$19,2,FALSE)</f>
        <v>1</v>
      </c>
      <c r="S2447" s="737">
        <f>VLOOKUP($P2447,Allocators!$B$7:$F$19,3,FALSE)</f>
        <v>0</v>
      </c>
      <c r="T2447" s="737" t="str">
        <f t="shared" si="1160"/>
        <v>0.0%</v>
      </c>
      <c r="U2447" s="2">
        <f t="shared" si="1149"/>
        <v>137.39199291666699</v>
      </c>
      <c r="V2447" s="2">
        <f t="shared" si="1150"/>
        <v>0</v>
      </c>
      <c r="W2447" s="2">
        <f t="shared" si="1151"/>
        <v>0</v>
      </c>
      <c r="X2447" s="2">
        <f t="shared" si="1147"/>
        <v>137.39199291666699</v>
      </c>
      <c r="Y2447" s="2">
        <f t="shared" si="1152"/>
        <v>164.93844999999999</v>
      </c>
      <c r="Z2447" s="2">
        <f t="shared" si="1153"/>
        <v>0</v>
      </c>
      <c r="AA2447" s="2">
        <f t="shared" si="1154"/>
        <v>0</v>
      </c>
      <c r="AB2447" s="2">
        <f t="shared" si="1148"/>
        <v>164.93845000000002</v>
      </c>
      <c r="AC2447" s="625">
        <v>78.127740000000003</v>
      </c>
      <c r="AD2447" s="625">
        <v>79.229979999999998</v>
      </c>
      <c r="AE2447" s="625">
        <v>80.457380000000001</v>
      </c>
      <c r="AF2447" s="625">
        <v>81.659030000000001</v>
      </c>
      <c r="AG2447" s="625">
        <v>164.46087</v>
      </c>
      <c r="AH2447" s="625">
        <v>156.85484</v>
      </c>
      <c r="AI2447" s="625">
        <v>157.91206</v>
      </c>
      <c r="AJ2447" s="625">
        <v>159.00095000000002</v>
      </c>
      <c r="AK2447" s="625">
        <v>160.14348000000001</v>
      </c>
      <c r="AL2447" s="625">
        <v>161.30241000000001</v>
      </c>
      <c r="AM2447" s="625">
        <v>162.45651999999998</v>
      </c>
      <c r="AN2447" s="625">
        <v>163.69329999999999</v>
      </c>
      <c r="AO2447" s="625">
        <v>164.93845000000002</v>
      </c>
      <c r="AP2447" s="41" t="str">
        <f t="shared" si="1169"/>
        <v>Def TaxR</v>
      </c>
      <c r="AQ2447" s="41" t="str">
        <f t="shared" si="1170"/>
        <v>Def TaxRR11Variable Rate Debt</v>
      </c>
      <c r="AR2447" s="41" t="str">
        <f t="shared" si="1171"/>
        <v>R11Variable Rate Debt</v>
      </c>
    </row>
    <row r="2448" spans="1:44" s="41" customFormat="1" ht="12.75" customHeight="1">
      <c r="A2448" s="25" t="s">
        <v>1590</v>
      </c>
      <c r="B2448" s="25" t="str">
        <f t="shared" si="1158"/>
        <v>Def Tax283560Cap ExBT010310</v>
      </c>
      <c r="C2448" s="736">
        <v>283560</v>
      </c>
      <c r="D2448" s="735" t="s">
        <v>1619</v>
      </c>
      <c r="E2448" s="41" t="s">
        <v>2302</v>
      </c>
      <c r="F2448" s="41" t="str">
        <f t="shared" si="1156"/>
        <v>ADIT-OTH-REG-STATE-GAS</v>
      </c>
      <c r="G2448" s="41" t="s">
        <v>2303</v>
      </c>
      <c r="H2448" s="736" t="s">
        <v>819</v>
      </c>
      <c r="I2448" s="25"/>
      <c r="J2448" s="25" t="str">
        <f t="shared" si="1157"/>
        <v/>
      </c>
      <c r="K2448" s="442" t="str">
        <f t="shared" si="1159"/>
        <v/>
      </c>
      <c r="L2448" s="736" t="s">
        <v>2443</v>
      </c>
      <c r="M2448" s="25" t="str">
        <f t="shared" si="1146"/>
        <v>R</v>
      </c>
      <c r="N2448" s="25" t="str">
        <f>IF(L2448&lt;&gt;"",VLOOKUP(L2448,Categories!$B$2:$D$41,2,FALSE),IF(F2448&lt;&gt;"","No Cat",""))</f>
        <v>Rate Base</v>
      </c>
      <c r="O2448" s="25" t="str">
        <f>IF($L2448&lt;&gt;"",VLOOKUP($L2448,Categories!$B$2:$D$41,3,FALSE),IF($F2448&lt;&gt;"","No Cat",""))</f>
        <v>Deferred Income Taxes</v>
      </c>
      <c r="P2448" s="736" t="s">
        <v>2483</v>
      </c>
      <c r="Q2448" s="25" t="str">
        <f>VLOOKUP($P2448,Allocators!$B$7:$F$19,5,FALSE)</f>
        <v>Gas</v>
      </c>
      <c r="R2448" s="737">
        <f>VLOOKUP($P2448,Allocators!$B$7:$F$19,2,FALSE)</f>
        <v>0</v>
      </c>
      <c r="S2448" s="737">
        <f>VLOOKUP($P2448,Allocators!$B$7:$F$19,3,FALSE)</f>
        <v>1</v>
      </c>
      <c r="T2448" s="737" t="str">
        <f t="shared" si="1160"/>
        <v>0.0%</v>
      </c>
      <c r="U2448" s="2">
        <f t="shared" si="1149"/>
        <v>0</v>
      </c>
      <c r="V2448" s="2">
        <f t="shared" si="1150"/>
        <v>-54.735959999999999</v>
      </c>
      <c r="W2448" s="2">
        <f t="shared" si="1151"/>
        <v>0</v>
      </c>
      <c r="X2448" s="2">
        <f t="shared" si="1147"/>
        <v>-54.735959999999999</v>
      </c>
      <c r="Y2448" s="2">
        <f t="shared" si="1152"/>
        <v>0</v>
      </c>
      <c r="Z2448" s="2">
        <f t="shared" si="1153"/>
        <v>-54.735959999999999</v>
      </c>
      <c r="AA2448" s="2">
        <f t="shared" si="1154"/>
        <v>0</v>
      </c>
      <c r="AB2448" s="2">
        <f t="shared" si="1148"/>
        <v>-54.735959999999999</v>
      </c>
      <c r="AC2448" s="625">
        <v>-54.735959999999999</v>
      </c>
      <c r="AD2448" s="625">
        <v>-54.735959999999999</v>
      </c>
      <c r="AE2448" s="625">
        <v>-54.735959999999999</v>
      </c>
      <c r="AF2448" s="625">
        <v>-54.735959999999999</v>
      </c>
      <c r="AG2448" s="625">
        <v>-54.735959999999999</v>
      </c>
      <c r="AH2448" s="625">
        <v>-54.735959999999999</v>
      </c>
      <c r="AI2448" s="625">
        <v>-54.735959999999999</v>
      </c>
      <c r="AJ2448" s="625">
        <v>-54.735959999999999</v>
      </c>
      <c r="AK2448" s="625">
        <v>-54.735959999999999</v>
      </c>
      <c r="AL2448" s="625">
        <v>-54.735959999999999</v>
      </c>
      <c r="AM2448" s="625">
        <v>-54.735959999999999</v>
      </c>
      <c r="AN2448" s="625">
        <v>-54.735959999999999</v>
      </c>
      <c r="AO2448" s="625">
        <v>-54.735959999999999</v>
      </c>
      <c r="AP2448" s="41" t="str">
        <f t="shared" si="1169"/>
        <v>Def TaxR</v>
      </c>
      <c r="AQ2448" s="41" t="str">
        <f t="shared" si="1170"/>
        <v>Def TaxRR11Cap Ex Deferral</v>
      </c>
      <c r="AR2448" s="41" t="str">
        <f t="shared" si="1171"/>
        <v>R11Cap Ex Deferral</v>
      </c>
    </row>
    <row r="2449" spans="1:44" s="41" customFormat="1" ht="12.75" customHeight="1">
      <c r="A2449" s="442" t="s">
        <v>1590</v>
      </c>
      <c r="B2449" s="442" t="str">
        <f t="shared" si="1158"/>
        <v>Def Tax283560AROBT010323</v>
      </c>
      <c r="C2449" s="736">
        <v>283560</v>
      </c>
      <c r="D2449" s="735" t="s">
        <v>1613</v>
      </c>
      <c r="E2449" s="626" t="s">
        <v>2304</v>
      </c>
      <c r="F2449" s="626" t="str">
        <f t="shared" si="1156"/>
        <v>ADIT-OTH-REG-STATE-GAS</v>
      </c>
      <c r="G2449" s="626" t="s">
        <v>2305</v>
      </c>
      <c r="H2449" s="736" t="s">
        <v>1138</v>
      </c>
      <c r="I2449" s="442"/>
      <c r="J2449" s="442" t="str">
        <f t="shared" si="1157"/>
        <v/>
      </c>
      <c r="K2449" s="442" t="str">
        <f t="shared" si="1159"/>
        <v/>
      </c>
      <c r="L2449" s="736" t="s">
        <v>2421</v>
      </c>
      <c r="M2449" s="442" t="str">
        <f t="shared" si="1146"/>
        <v>N</v>
      </c>
      <c r="N2449" s="442" t="str">
        <f>IF(L2449&lt;&gt;"",VLOOKUP(L2449,Categories!$B$2:$D$41,2,FALSE),IF(F2449&lt;&gt;"","No Cat",""))</f>
        <v>NRBASE</v>
      </c>
      <c r="O2449" s="442" t="str">
        <f>IF($L2449&lt;&gt;"",VLOOKUP($L2449,Categories!$B$2:$D$41,3,FALSE),IF($F2449&lt;&gt;"","No Cat",""))</f>
        <v>Direct Assign Items Not in RB</v>
      </c>
      <c r="P2449" s="736" t="s">
        <v>2468</v>
      </c>
      <c r="Q2449" s="442" t="str">
        <f>VLOOKUP($P2449,Allocators!$B$7:$F$19,5,FALSE)</f>
        <v>Not in Rate Base</v>
      </c>
      <c r="R2449" s="737">
        <f>VLOOKUP($P2449,Allocators!$B$7:$F$19,2,FALSE)</f>
        <v>0</v>
      </c>
      <c r="S2449" s="737">
        <f>VLOOKUP($P2449,Allocators!$B$7:$F$19,3,FALSE)</f>
        <v>0</v>
      </c>
      <c r="T2449" s="737">
        <f t="shared" si="1160"/>
        <v>1</v>
      </c>
      <c r="U2449" s="2">
        <f t="shared" si="1149"/>
        <v>0</v>
      </c>
      <c r="V2449" s="2">
        <f t="shared" si="1150"/>
        <v>0</v>
      </c>
      <c r="W2449" s="2">
        <f t="shared" si="1151"/>
        <v>31.718804583333299</v>
      </c>
      <c r="X2449" s="2">
        <f t="shared" si="1147"/>
        <v>31.718804583333299</v>
      </c>
      <c r="Y2449" s="2">
        <f t="shared" si="1152"/>
        <v>0</v>
      </c>
      <c r="Z2449" s="2">
        <f t="shared" si="1153"/>
        <v>0</v>
      </c>
      <c r="AA2449" s="2">
        <f t="shared" si="1154"/>
        <v>39.50356</v>
      </c>
      <c r="AB2449" s="2">
        <f t="shared" si="1148"/>
        <v>39.50356</v>
      </c>
      <c r="AC2449" s="625">
        <v>32.723269999999999</v>
      </c>
      <c r="AD2449" s="625">
        <v>32.316429999999997</v>
      </c>
      <c r="AE2449" s="625">
        <v>31.90784</v>
      </c>
      <c r="AF2449" s="625">
        <v>31.497490000000003</v>
      </c>
      <c r="AG2449" s="625">
        <v>31.085369999999998</v>
      </c>
      <c r="AH2449" s="625">
        <v>30.671479999999999</v>
      </c>
      <c r="AI2449" s="625">
        <v>30.255790000000001</v>
      </c>
      <c r="AJ2449" s="625">
        <v>29.83832</v>
      </c>
      <c r="AK2449" s="625">
        <v>29.419040000000003</v>
      </c>
      <c r="AL2449" s="625">
        <v>28.997959999999999</v>
      </c>
      <c r="AM2449" s="625">
        <v>28.575060000000001</v>
      </c>
      <c r="AN2449" s="625">
        <v>39.94746</v>
      </c>
      <c r="AO2449" s="625">
        <v>39.50356</v>
      </c>
      <c r="AP2449" s="41" t="str">
        <f t="shared" si="1169"/>
        <v>Def TaxN</v>
      </c>
      <c r="AQ2449" s="41" t="str">
        <f t="shared" si="1170"/>
        <v>Def TaxNN2Asset Retirement Obligation</v>
      </c>
      <c r="AR2449" s="41" t="str">
        <f t="shared" si="1171"/>
        <v>N2Asset Retirement Obligation</v>
      </c>
    </row>
    <row r="2450" spans="1:44" s="41" customFormat="1" ht="12.75" customHeight="1">
      <c r="A2450" s="25" t="s">
        <v>1590</v>
      </c>
      <c r="B2450" s="25" t="str">
        <f t="shared" si="1158"/>
        <v>Def Tax283560283-068BC030225</v>
      </c>
      <c r="C2450" s="736">
        <v>283560</v>
      </c>
      <c r="D2450" s="735" t="s">
        <v>2152</v>
      </c>
      <c r="E2450" s="41" t="s">
        <v>2377</v>
      </c>
      <c r="F2450" s="41" t="str">
        <f t="shared" si="1156"/>
        <v>ADIT-OTH-REG-STATE-GAS</v>
      </c>
      <c r="G2450" s="41" t="s">
        <v>1752</v>
      </c>
      <c r="H2450" s="736" t="s">
        <v>1629</v>
      </c>
      <c r="I2450" s="25"/>
      <c r="J2450" s="25" t="str">
        <f t="shared" si="1157"/>
        <v/>
      </c>
      <c r="K2450" s="442" t="str">
        <f t="shared" si="1159"/>
        <v/>
      </c>
      <c r="L2450" s="736" t="s">
        <v>2443</v>
      </c>
      <c r="M2450" s="25" t="str">
        <f t="shared" si="1146"/>
        <v>R</v>
      </c>
      <c r="N2450" s="25" t="str">
        <f>IF(L2450&lt;&gt;"",VLOOKUP(L2450,Categories!$B$2:$D$41,2,FALSE),IF(F2450&lt;&gt;"","No Cat",""))</f>
        <v>Rate Base</v>
      </c>
      <c r="O2450" s="25" t="str">
        <f>IF($L2450&lt;&gt;"",VLOOKUP($L2450,Categories!$B$2:$D$41,3,FALSE),IF($F2450&lt;&gt;"","No Cat",""))</f>
        <v>Deferred Income Taxes</v>
      </c>
      <c r="P2450" s="736" t="s">
        <v>2483</v>
      </c>
      <c r="Q2450" s="25" t="str">
        <f>VLOOKUP($P2450,Allocators!$B$7:$F$19,5,FALSE)</f>
        <v>Gas</v>
      </c>
      <c r="R2450" s="737">
        <f>VLOOKUP($P2450,Allocators!$B$7:$F$19,2,FALSE)</f>
        <v>0</v>
      </c>
      <c r="S2450" s="737">
        <f>VLOOKUP($P2450,Allocators!$B$7:$F$19,3,FALSE)</f>
        <v>1</v>
      </c>
      <c r="T2450" s="737" t="str">
        <f t="shared" si="1160"/>
        <v>0.0%</v>
      </c>
      <c r="U2450" s="2">
        <f t="shared" si="1149"/>
        <v>0</v>
      </c>
      <c r="V2450" s="2">
        <f t="shared" si="1150"/>
        <v>-14.776013333333299</v>
      </c>
      <c r="W2450" s="2">
        <f t="shared" si="1151"/>
        <v>0</v>
      </c>
      <c r="X2450" s="2">
        <f t="shared" ref="X2450:X2493" si="1173">IF(ISERROR(ROUND((SUM(AC2450:AO2450)-((AC2450+AO2450))/2)/12,15)),"",ROUND((SUM(AC2450:AO2450)-((AC2450+AO2450))/2)/12,15))</f>
        <v>-14.776013333333299</v>
      </c>
      <c r="Y2450" s="2">
        <f t="shared" si="1152"/>
        <v>0</v>
      </c>
      <c r="Z2450" s="2">
        <f t="shared" si="1153"/>
        <v>-16.211639999999999</v>
      </c>
      <c r="AA2450" s="2">
        <f t="shared" si="1154"/>
        <v>0</v>
      </c>
      <c r="AB2450" s="2">
        <f t="shared" ref="AB2450:AB2493" si="1174">IF(AO2450="",0,+AO2450)</f>
        <v>-16.211639999999999</v>
      </c>
      <c r="AC2450" s="625">
        <v>-13.491160000000001</v>
      </c>
      <c r="AD2450" s="625">
        <v>-13.70416</v>
      </c>
      <c r="AE2450" s="625">
        <v>-13.917159999999999</v>
      </c>
      <c r="AF2450" s="625">
        <v>-14.13016</v>
      </c>
      <c r="AG2450" s="625">
        <v>-14.343159999999999</v>
      </c>
      <c r="AH2450" s="625">
        <v>-14.55616</v>
      </c>
      <c r="AI2450" s="625">
        <v>-14.769159999999999</v>
      </c>
      <c r="AJ2450" s="625">
        <v>-14.98216</v>
      </c>
      <c r="AK2450" s="625">
        <v>-15.19516</v>
      </c>
      <c r="AL2450" s="625">
        <v>-15.408160000000001</v>
      </c>
      <c r="AM2450" s="625">
        <v>-15.62116</v>
      </c>
      <c r="AN2450" s="625">
        <v>-15.834160000000001</v>
      </c>
      <c r="AO2450" s="625">
        <v>-16.211639999999999</v>
      </c>
      <c r="AP2450" s="41" t="str">
        <f t="shared" si="1169"/>
        <v>Def TaxR</v>
      </c>
      <c r="AQ2450" s="41" t="str">
        <f t="shared" si="1170"/>
        <v>Def TaxRR11Merger Related</v>
      </c>
      <c r="AR2450" s="41" t="str">
        <f t="shared" si="1171"/>
        <v>R11Merger Related</v>
      </c>
    </row>
    <row r="2451" spans="1:44" s="41" customFormat="1" ht="12.75" customHeight="1">
      <c r="A2451" s="25" t="s">
        <v>1590</v>
      </c>
      <c r="B2451" s="25" t="str">
        <f t="shared" si="1158"/>
        <v>Def Tax283560Debt AdjBDEFAULT</v>
      </c>
      <c r="C2451" s="736">
        <v>283560</v>
      </c>
      <c r="D2451" s="735" t="s">
        <v>1773</v>
      </c>
      <c r="E2451" s="41" t="s">
        <v>1620</v>
      </c>
      <c r="F2451" s="41" t="str">
        <f t="shared" si="1156"/>
        <v>ADIT-OTH-REG-STATE-GAS</v>
      </c>
      <c r="G2451" s="41" t="s">
        <v>1774</v>
      </c>
      <c r="H2451" s="736" t="s">
        <v>1775</v>
      </c>
      <c r="I2451" s="25"/>
      <c r="J2451" s="25" t="str">
        <f t="shared" si="1157"/>
        <v/>
      </c>
      <c r="K2451" s="442" t="str">
        <f t="shared" si="1159"/>
        <v/>
      </c>
      <c r="L2451" s="736" t="s">
        <v>2443</v>
      </c>
      <c r="M2451" s="25" t="str">
        <f t="shared" si="1146"/>
        <v>R</v>
      </c>
      <c r="N2451" s="25" t="str">
        <f>IF(L2451&lt;&gt;"",VLOOKUP(L2451,Categories!$B$2:$D$41,2,FALSE),IF(F2451&lt;&gt;"","No Cat",""))</f>
        <v>Rate Base</v>
      </c>
      <c r="O2451" s="25" t="str">
        <f>IF($L2451&lt;&gt;"",VLOOKUP($L2451,Categories!$B$2:$D$41,3,FALSE),IF($F2451&lt;&gt;"","No Cat",""))</f>
        <v>Deferred Income Taxes</v>
      </c>
      <c r="P2451" s="736" t="s">
        <v>2483</v>
      </c>
      <c r="Q2451" s="25" t="str">
        <f>VLOOKUP($P2451,Allocators!$B$7:$F$19,5,FALSE)</f>
        <v>Gas</v>
      </c>
      <c r="R2451" s="737">
        <f>VLOOKUP($P2451,Allocators!$B$7:$F$19,2,FALSE)</f>
        <v>0</v>
      </c>
      <c r="S2451" s="737">
        <f>VLOOKUP($P2451,Allocators!$B$7:$F$19,3,FALSE)</f>
        <v>1</v>
      </c>
      <c r="T2451" s="737" t="str">
        <f t="shared" si="1160"/>
        <v>0.0%</v>
      </c>
      <c r="U2451" s="2" t="str">
        <f t="shared" si="1149"/>
        <v/>
      </c>
      <c r="V2451" s="2" t="str">
        <f t="shared" si="1150"/>
        <v/>
      </c>
      <c r="W2451" s="2" t="str">
        <f t="shared" si="1151"/>
        <v/>
      </c>
      <c r="X2451" s="2">
        <f t="shared" si="1173"/>
        <v>0</v>
      </c>
      <c r="Y2451" s="2" t="str">
        <f t="shared" si="1152"/>
        <v/>
      </c>
      <c r="Z2451" s="2" t="str">
        <f t="shared" si="1153"/>
        <v/>
      </c>
      <c r="AA2451" s="2" t="str">
        <f t="shared" si="1154"/>
        <v/>
      </c>
      <c r="AB2451" s="2">
        <f t="shared" si="1174"/>
        <v>0</v>
      </c>
      <c r="AC2451" s="625">
        <v>0</v>
      </c>
      <c r="AD2451" s="625">
        <v>0</v>
      </c>
      <c r="AE2451" s="625">
        <v>0</v>
      </c>
      <c r="AF2451" s="625">
        <v>0</v>
      </c>
      <c r="AG2451" s="625">
        <v>0</v>
      </c>
      <c r="AH2451" s="625">
        <v>0</v>
      </c>
      <c r="AI2451" s="625">
        <v>0</v>
      </c>
      <c r="AJ2451" s="625">
        <v>0</v>
      </c>
      <c r="AK2451" s="625">
        <v>0</v>
      </c>
      <c r="AL2451" s="625">
        <v>0</v>
      </c>
      <c r="AM2451" s="625">
        <v>0</v>
      </c>
      <c r="AN2451" s="625">
        <v>0</v>
      </c>
      <c r="AO2451" s="625">
        <v>0</v>
      </c>
      <c r="AP2451" s="41" t="str">
        <f t="shared" si="1169"/>
        <v>Def TaxR</v>
      </c>
      <c r="AQ2451" s="41" t="str">
        <f t="shared" si="1170"/>
        <v>Def TaxRR11Gain/Loss on Reacquired Debt</v>
      </c>
      <c r="AR2451" s="41" t="str">
        <f t="shared" si="1171"/>
        <v>R11Gain/Loss on Reacquired Debt</v>
      </c>
    </row>
    <row r="2452" spans="1:44" s="41" customFormat="1" ht="12.75" customHeight="1">
      <c r="A2452" s="442" t="s">
        <v>1590</v>
      </c>
      <c r="B2452" s="442" t="str">
        <f t="shared" si="1158"/>
        <v>Def Tax283560283-080-JPBT010054</v>
      </c>
      <c r="C2452" s="736">
        <v>283560</v>
      </c>
      <c r="D2452" s="735" t="s">
        <v>2156</v>
      </c>
      <c r="E2452" s="626" t="s">
        <v>2307</v>
      </c>
      <c r="F2452" s="626" t="str">
        <f t="shared" si="1156"/>
        <v>ADIT-OTH-REG-STATE-GAS</v>
      </c>
      <c r="G2452" s="626" t="s">
        <v>2308</v>
      </c>
      <c r="H2452" s="736" t="s">
        <v>1113</v>
      </c>
      <c r="I2452" s="442"/>
      <c r="J2452" s="442" t="str">
        <f t="shared" si="1157"/>
        <v/>
      </c>
      <c r="K2452" s="442" t="str">
        <f t="shared" si="1159"/>
        <v/>
      </c>
      <c r="L2452" s="736" t="s">
        <v>2421</v>
      </c>
      <c r="M2452" s="442" t="str">
        <f t="shared" si="1146"/>
        <v>N</v>
      </c>
      <c r="N2452" s="442" t="str">
        <f>IF(L2452&lt;&gt;"",VLOOKUP(L2452,Categories!$B$2:$D$41,2,FALSE),IF(F2452&lt;&gt;"","No Cat",""))</f>
        <v>NRBASE</v>
      </c>
      <c r="O2452" s="442" t="str">
        <f>IF($L2452&lt;&gt;"",VLOOKUP($L2452,Categories!$B$2:$D$41,3,FALSE),IF($F2452&lt;&gt;"","No Cat",""))</f>
        <v>Direct Assign Items Not in RB</v>
      </c>
      <c r="P2452" s="736" t="s">
        <v>2468</v>
      </c>
      <c r="Q2452" s="442" t="str">
        <f>VLOOKUP($P2452,Allocators!$B$7:$F$19,5,FALSE)</f>
        <v>Not in Rate Base</v>
      </c>
      <c r="R2452" s="737">
        <f>VLOOKUP($P2452,Allocators!$B$7:$F$19,2,FALSE)</f>
        <v>0</v>
      </c>
      <c r="S2452" s="737">
        <f>VLOOKUP($P2452,Allocators!$B$7:$F$19,3,FALSE)</f>
        <v>0</v>
      </c>
      <c r="T2452" s="737">
        <f t="shared" si="1160"/>
        <v>1</v>
      </c>
      <c r="U2452" s="2">
        <f t="shared" si="1149"/>
        <v>0</v>
      </c>
      <c r="V2452" s="2">
        <f t="shared" si="1150"/>
        <v>0</v>
      </c>
      <c r="W2452" s="2">
        <f t="shared" si="1151"/>
        <v>-283.17875458333299</v>
      </c>
      <c r="X2452" s="2">
        <f t="shared" si="1173"/>
        <v>-283.17875458333299</v>
      </c>
      <c r="Y2452" s="2">
        <f t="shared" si="1152"/>
        <v>0</v>
      </c>
      <c r="Z2452" s="2">
        <f t="shared" si="1153"/>
        <v>0</v>
      </c>
      <c r="AA2452" s="2">
        <f t="shared" si="1154"/>
        <v>-1.8000000000000001E-4</v>
      </c>
      <c r="AB2452" s="2">
        <f t="shared" si="1174"/>
        <v>-1.7999999999999998E-4</v>
      </c>
      <c r="AC2452" s="625">
        <v>-961.52134999999998</v>
      </c>
      <c r="AD2452" s="625">
        <v>-966.97053000000005</v>
      </c>
      <c r="AE2452" s="625">
        <v>-972.45060000000001</v>
      </c>
      <c r="AF2452" s="625">
        <v>-977.96172000000001</v>
      </c>
      <c r="AG2452" s="625">
        <v>-1.7999999999999998E-4</v>
      </c>
      <c r="AH2452" s="625">
        <v>-1.7999999999999998E-4</v>
      </c>
      <c r="AI2452" s="625">
        <v>-1.7999999999999998E-4</v>
      </c>
      <c r="AJ2452" s="625">
        <v>-1.7999999999999998E-4</v>
      </c>
      <c r="AK2452" s="625">
        <v>-1.7999999999999998E-4</v>
      </c>
      <c r="AL2452" s="625">
        <v>-1.7999999999999998E-4</v>
      </c>
      <c r="AM2452" s="625">
        <v>-1.7999999999999998E-4</v>
      </c>
      <c r="AN2452" s="625">
        <v>-1.7999999999999998E-4</v>
      </c>
      <c r="AO2452" s="625">
        <v>-1.7999999999999998E-4</v>
      </c>
      <c r="AP2452" s="41" t="str">
        <f t="shared" si="1169"/>
        <v>Def TaxN</v>
      </c>
      <c r="AQ2452" s="41" t="str">
        <f t="shared" si="1170"/>
        <v>Def TaxNN2Property Tax Deferral</v>
      </c>
      <c r="AR2452" s="41" t="str">
        <f t="shared" si="1171"/>
        <v>N2Property Tax Deferral</v>
      </c>
    </row>
    <row r="2453" spans="1:44" s="41" customFormat="1" ht="12.75" customHeight="1">
      <c r="A2453" s="442" t="s">
        <v>1590</v>
      </c>
      <c r="B2453" s="442" t="str">
        <f t="shared" si="1158"/>
        <v>Def Tax283560EEPSBG030590</v>
      </c>
      <c r="C2453" s="736">
        <v>283560</v>
      </c>
      <c r="D2453" s="735" t="s">
        <v>2366</v>
      </c>
      <c r="E2453" s="626" t="s">
        <v>968</v>
      </c>
      <c r="F2453" s="626" t="str">
        <f t="shared" si="1156"/>
        <v>ADIT-OTH-REG-STATE-GAS</v>
      </c>
      <c r="G2453" s="626" t="s">
        <v>2367</v>
      </c>
      <c r="H2453" s="736" t="s">
        <v>1131</v>
      </c>
      <c r="I2453" s="442"/>
      <c r="J2453" s="442" t="str">
        <f t="shared" si="1157"/>
        <v/>
      </c>
      <c r="K2453" s="442" t="str">
        <f t="shared" si="1159"/>
        <v/>
      </c>
      <c r="L2453" s="736" t="s">
        <v>2421</v>
      </c>
      <c r="M2453" s="442" t="str">
        <f t="shared" si="1146"/>
        <v>N</v>
      </c>
      <c r="N2453" s="442" t="str">
        <f>IF(L2453&lt;&gt;"",VLOOKUP(L2453,Categories!$B$2:$D$41,2,FALSE),IF(F2453&lt;&gt;"","No Cat",""))</f>
        <v>NRBASE</v>
      </c>
      <c r="O2453" s="442" t="str">
        <f>IF($L2453&lt;&gt;"",VLOOKUP($L2453,Categories!$B$2:$D$41,3,FALSE),IF($F2453&lt;&gt;"","No Cat",""))</f>
        <v>Direct Assign Items Not in RB</v>
      </c>
      <c r="P2453" s="736" t="s">
        <v>2468</v>
      </c>
      <c r="Q2453" s="442" t="str">
        <f>VLOOKUP($P2453,Allocators!$B$7:$F$19,5,FALSE)</f>
        <v>Not in Rate Base</v>
      </c>
      <c r="R2453" s="737">
        <f>VLOOKUP($P2453,Allocators!$B$7:$F$19,2,FALSE)</f>
        <v>0</v>
      </c>
      <c r="S2453" s="737">
        <f>VLOOKUP($P2453,Allocators!$B$7:$F$19,3,FALSE)</f>
        <v>0</v>
      </c>
      <c r="T2453" s="737">
        <f t="shared" si="1160"/>
        <v>1</v>
      </c>
      <c r="U2453" s="2">
        <f t="shared" si="1149"/>
        <v>0</v>
      </c>
      <c r="V2453" s="2">
        <f t="shared" si="1150"/>
        <v>0</v>
      </c>
      <c r="W2453" s="2">
        <f t="shared" si="1151"/>
        <v>-2.5111300000000001</v>
      </c>
      <c r="X2453" s="2">
        <f t="shared" si="1173"/>
        <v>-2.5111300000000001</v>
      </c>
      <c r="Y2453" s="2">
        <f t="shared" si="1152"/>
        <v>0</v>
      </c>
      <c r="Z2453" s="2">
        <f t="shared" si="1153"/>
        <v>0</v>
      </c>
      <c r="AA2453" s="2">
        <f t="shared" si="1154"/>
        <v>-2.5111300000000001</v>
      </c>
      <c r="AB2453" s="2">
        <f t="shared" si="1174"/>
        <v>-2.5111300000000001</v>
      </c>
      <c r="AC2453" s="625">
        <v>-2.5111300000000001</v>
      </c>
      <c r="AD2453" s="625">
        <v>-2.5111300000000001</v>
      </c>
      <c r="AE2453" s="625">
        <v>-2.5111300000000001</v>
      </c>
      <c r="AF2453" s="625">
        <v>-2.5111300000000001</v>
      </c>
      <c r="AG2453" s="625">
        <v>-2.5111300000000001</v>
      </c>
      <c r="AH2453" s="625">
        <v>-2.5111300000000001</v>
      </c>
      <c r="AI2453" s="625">
        <v>-2.5111300000000001</v>
      </c>
      <c r="AJ2453" s="625">
        <v>-2.5111300000000001</v>
      </c>
      <c r="AK2453" s="625">
        <v>-2.5111300000000001</v>
      </c>
      <c r="AL2453" s="625">
        <v>-2.5111300000000001</v>
      </c>
      <c r="AM2453" s="625">
        <v>-2.5111300000000001</v>
      </c>
      <c r="AN2453" s="625">
        <v>-2.5111300000000001</v>
      </c>
      <c r="AO2453" s="625">
        <v>-2.5111300000000001</v>
      </c>
      <c r="AP2453" s="41" t="str">
        <f t="shared" si="1169"/>
        <v>Def TaxN</v>
      </c>
      <c r="AQ2453" s="41" t="str">
        <f t="shared" si="1170"/>
        <v>Def TaxNN2Energy Efficiency Portfolio Standard</v>
      </c>
      <c r="AR2453" s="41" t="str">
        <f t="shared" si="1171"/>
        <v>N2Energy Efficiency Portfolio Standard</v>
      </c>
    </row>
    <row r="2454" spans="1:44" s="41" customFormat="1" ht="12.75" customHeight="1">
      <c r="A2454" s="25" t="s">
        <v>1590</v>
      </c>
      <c r="B2454" s="25" t="str">
        <f t="shared" si="1158"/>
        <v>Def Tax283560Pipeline IntegrityBT010320</v>
      </c>
      <c r="C2454" s="736">
        <v>283560</v>
      </c>
      <c r="D2454" s="735" t="s">
        <v>2368</v>
      </c>
      <c r="E2454" s="41" t="s">
        <v>2369</v>
      </c>
      <c r="F2454" s="41" t="str">
        <f t="shared" si="1156"/>
        <v>ADIT-OTH-REG-STATE-GAS</v>
      </c>
      <c r="G2454" s="41" t="s">
        <v>2370</v>
      </c>
      <c r="H2454" s="736" t="s">
        <v>1132</v>
      </c>
      <c r="I2454" s="25"/>
      <c r="J2454" s="25" t="str">
        <f t="shared" si="1157"/>
        <v/>
      </c>
      <c r="K2454" s="442" t="str">
        <f t="shared" si="1159"/>
        <v/>
      </c>
      <c r="L2454" s="736" t="s">
        <v>2443</v>
      </c>
      <c r="M2454" s="25" t="str">
        <f t="shared" si="1146"/>
        <v>R</v>
      </c>
      <c r="N2454" s="25" t="str">
        <f>IF(L2454&lt;&gt;"",VLOOKUP(L2454,Categories!$B$2:$D$41,2,FALSE),IF(F2454&lt;&gt;"","No Cat",""))</f>
        <v>Rate Base</v>
      </c>
      <c r="O2454" s="25" t="str">
        <f>IF($L2454&lt;&gt;"",VLOOKUP($L2454,Categories!$B$2:$D$41,3,FALSE),IF($F2454&lt;&gt;"","No Cat",""))</f>
        <v>Deferred Income Taxes</v>
      </c>
      <c r="P2454" s="736" t="s">
        <v>2483</v>
      </c>
      <c r="Q2454" s="25" t="str">
        <f>VLOOKUP($P2454,Allocators!$B$7:$F$19,5,FALSE)</f>
        <v>Gas</v>
      </c>
      <c r="R2454" s="737">
        <f>VLOOKUP($P2454,Allocators!$B$7:$F$19,2,FALSE)</f>
        <v>0</v>
      </c>
      <c r="S2454" s="737">
        <f>VLOOKUP($P2454,Allocators!$B$7:$F$19,3,FALSE)</f>
        <v>1</v>
      </c>
      <c r="T2454" s="737" t="str">
        <f t="shared" si="1160"/>
        <v>0.0%</v>
      </c>
      <c r="U2454" s="2">
        <f t="shared" si="1149"/>
        <v>0</v>
      </c>
      <c r="V2454" s="2">
        <f t="shared" si="1150"/>
        <v>21.474679583333302</v>
      </c>
      <c r="W2454" s="2">
        <f t="shared" si="1151"/>
        <v>0</v>
      </c>
      <c r="X2454" s="2">
        <f t="shared" si="1173"/>
        <v>21.474679583333302</v>
      </c>
      <c r="Y2454" s="2">
        <f t="shared" si="1152"/>
        <v>0</v>
      </c>
      <c r="Z2454" s="2">
        <f t="shared" si="1153"/>
        <v>16.69247</v>
      </c>
      <c r="AA2454" s="2">
        <f t="shared" si="1154"/>
        <v>0</v>
      </c>
      <c r="AB2454" s="2">
        <f t="shared" si="1174"/>
        <v>16.69247</v>
      </c>
      <c r="AC2454" s="625">
        <v>5.1799799999999996</v>
      </c>
      <c r="AD2454" s="625">
        <v>15.211209999999999</v>
      </c>
      <c r="AE2454" s="625">
        <v>22.545189999999998</v>
      </c>
      <c r="AF2454" s="625">
        <v>26.189859999999999</v>
      </c>
      <c r="AG2454" s="625">
        <v>28.580179999999999</v>
      </c>
      <c r="AH2454" s="625">
        <v>27.195790000000002</v>
      </c>
      <c r="AI2454" s="625">
        <v>24.93122</v>
      </c>
      <c r="AJ2454" s="625">
        <v>22.675819999999998</v>
      </c>
      <c r="AK2454" s="625">
        <v>24.604340000000001</v>
      </c>
      <c r="AL2454" s="625">
        <v>23.200830000000003</v>
      </c>
      <c r="AM2454" s="625">
        <v>14.82944</v>
      </c>
      <c r="AN2454" s="625">
        <v>16.796050000000001</v>
      </c>
      <c r="AO2454" s="625">
        <v>16.69247</v>
      </c>
      <c r="AP2454" s="41" t="str">
        <f t="shared" si="1169"/>
        <v>Def TaxR</v>
      </c>
      <c r="AQ2454" s="41" t="str">
        <f t="shared" si="1170"/>
        <v>Def TaxRR11Gas Pipeline Integrity</v>
      </c>
      <c r="AR2454" s="41" t="str">
        <f t="shared" si="1171"/>
        <v>R11Gas Pipeline Integrity</v>
      </c>
    </row>
    <row r="2455" spans="1:44" s="41" customFormat="1" ht="12.75" customHeight="1">
      <c r="A2455" s="25" t="s">
        <v>1590</v>
      </c>
      <c r="B2455" s="25" t="str">
        <f t="shared" si="1158"/>
        <v>Def Tax283560190-102BT010087</v>
      </c>
      <c r="C2455" s="736">
        <v>283560</v>
      </c>
      <c r="D2455" s="735" t="s">
        <v>1761</v>
      </c>
      <c r="E2455" s="41" t="s">
        <v>2321</v>
      </c>
      <c r="F2455" s="41" t="str">
        <f t="shared" si="1156"/>
        <v>ADIT-OTH-REG-STATE-GAS</v>
      </c>
      <c r="G2455" s="41" t="s">
        <v>1762</v>
      </c>
      <c r="H2455" s="736" t="s">
        <v>1114</v>
      </c>
      <c r="I2455" s="25"/>
      <c r="J2455" s="25" t="str">
        <f t="shared" si="1157"/>
        <v/>
      </c>
      <c r="K2455" s="442" t="str">
        <f t="shared" si="1159"/>
        <v/>
      </c>
      <c r="L2455" s="736" t="s">
        <v>2443</v>
      </c>
      <c r="M2455" s="25" t="str">
        <f t="shared" ref="M2455:M2493" si="1175">LEFT(L2455,1)</f>
        <v>R</v>
      </c>
      <c r="N2455" s="25" t="str">
        <f>IF(L2455&lt;&gt;"",VLOOKUP(L2455,Categories!$B$2:$D$41,2,FALSE),IF(F2455&lt;&gt;"","No Cat",""))</f>
        <v>Rate Base</v>
      </c>
      <c r="O2455" s="25" t="str">
        <f>IF($L2455&lt;&gt;"",VLOOKUP($L2455,Categories!$B$2:$D$41,3,FALSE),IF($F2455&lt;&gt;"","No Cat",""))</f>
        <v>Deferred Income Taxes</v>
      </c>
      <c r="P2455" s="736" t="s">
        <v>2483</v>
      </c>
      <c r="Q2455" s="25" t="str">
        <f>VLOOKUP($P2455,Allocators!$B$7:$F$19,5,FALSE)</f>
        <v>Gas</v>
      </c>
      <c r="R2455" s="737">
        <f>VLOOKUP($P2455,Allocators!$B$7:$F$19,2,FALSE)</f>
        <v>0</v>
      </c>
      <c r="S2455" s="737">
        <f>VLOOKUP($P2455,Allocators!$B$7:$F$19,3,FALSE)</f>
        <v>1</v>
      </c>
      <c r="T2455" s="737" t="str">
        <f t="shared" si="1160"/>
        <v>0.0%</v>
      </c>
      <c r="U2455" s="2">
        <f t="shared" si="1149"/>
        <v>0</v>
      </c>
      <c r="V2455" s="2">
        <f t="shared" si="1150"/>
        <v>-11.76717</v>
      </c>
      <c r="W2455" s="2">
        <f t="shared" si="1151"/>
        <v>0</v>
      </c>
      <c r="X2455" s="2">
        <f t="shared" si="1173"/>
        <v>-11.76717</v>
      </c>
      <c r="Y2455" s="2">
        <f t="shared" si="1152"/>
        <v>0</v>
      </c>
      <c r="Z2455" s="2">
        <f t="shared" si="1153"/>
        <v>-11.76717</v>
      </c>
      <c r="AA2455" s="2">
        <f t="shared" si="1154"/>
        <v>0</v>
      </c>
      <c r="AB2455" s="2">
        <f t="shared" si="1174"/>
        <v>-11.76717</v>
      </c>
      <c r="AC2455" s="625">
        <v>-11.76717</v>
      </c>
      <c r="AD2455" s="625">
        <v>-11.76717</v>
      </c>
      <c r="AE2455" s="625">
        <v>-11.76717</v>
      </c>
      <c r="AF2455" s="625">
        <v>-11.76717</v>
      </c>
      <c r="AG2455" s="625">
        <v>-11.76717</v>
      </c>
      <c r="AH2455" s="625">
        <v>-11.76717</v>
      </c>
      <c r="AI2455" s="625">
        <v>-11.76717</v>
      </c>
      <c r="AJ2455" s="625">
        <v>-11.76717</v>
      </c>
      <c r="AK2455" s="625">
        <v>-11.76717</v>
      </c>
      <c r="AL2455" s="625">
        <v>-11.76717</v>
      </c>
      <c r="AM2455" s="625">
        <v>-11.76717</v>
      </c>
      <c r="AN2455" s="625">
        <v>-11.76717</v>
      </c>
      <c r="AO2455" s="625">
        <v>-11.76717</v>
      </c>
      <c r="AP2455" s="41" t="str">
        <f t="shared" si="1169"/>
        <v>Def TaxR</v>
      </c>
      <c r="AQ2455" s="41" t="str">
        <f t="shared" si="1170"/>
        <v>Def TaxRR11Sarbanes-Oxley</v>
      </c>
      <c r="AR2455" s="41" t="str">
        <f t="shared" si="1171"/>
        <v>R11Sarbanes-Oxley</v>
      </c>
    </row>
    <row r="2456" spans="1:44" s="41" customFormat="1" ht="12.75" customHeight="1">
      <c r="A2456" s="25" t="s">
        <v>1590</v>
      </c>
      <c r="B2456" s="25" t="str">
        <f t="shared" si="1158"/>
        <v>Def Tax283560NYS AuditBT010313</v>
      </c>
      <c r="C2456" s="736">
        <v>283560</v>
      </c>
      <c r="D2456" s="735" t="s">
        <v>2318</v>
      </c>
      <c r="E2456" s="41" t="s">
        <v>2319</v>
      </c>
      <c r="F2456" s="41" t="str">
        <f t="shared" si="1156"/>
        <v>ADIT-OTH-REG-STATE-GAS</v>
      </c>
      <c r="G2456" s="41" t="s">
        <v>2371</v>
      </c>
      <c r="H2456" s="736" t="s">
        <v>1126</v>
      </c>
      <c r="I2456" s="25"/>
      <c r="J2456" s="25" t="str">
        <f t="shared" si="1157"/>
        <v/>
      </c>
      <c r="K2456" s="442" t="str">
        <f t="shared" si="1159"/>
        <v/>
      </c>
      <c r="L2456" s="736" t="s">
        <v>2443</v>
      </c>
      <c r="M2456" s="25" t="str">
        <f t="shared" si="1175"/>
        <v>R</v>
      </c>
      <c r="N2456" s="25" t="str">
        <f>IF(L2456&lt;&gt;"",VLOOKUP(L2456,Categories!$B$2:$D$41,2,FALSE),IF(F2456&lt;&gt;"","No Cat",""))</f>
        <v>Rate Base</v>
      </c>
      <c r="O2456" s="25" t="str">
        <f>IF($L2456&lt;&gt;"",VLOOKUP($L2456,Categories!$B$2:$D$41,3,FALSE),IF($F2456&lt;&gt;"","No Cat",""))</f>
        <v>Deferred Income Taxes</v>
      </c>
      <c r="P2456" s="736" t="s">
        <v>2483</v>
      </c>
      <c r="Q2456" s="25" t="str">
        <f>VLOOKUP($P2456,Allocators!$B$7:$F$19,5,FALSE)</f>
        <v>Gas</v>
      </c>
      <c r="R2456" s="737">
        <f>VLOOKUP($P2456,Allocators!$B$7:$F$19,2,FALSE)</f>
        <v>0</v>
      </c>
      <c r="S2456" s="737">
        <f>VLOOKUP($P2456,Allocators!$B$7:$F$19,3,FALSE)</f>
        <v>1</v>
      </c>
      <c r="T2456" s="737" t="str">
        <f t="shared" si="1160"/>
        <v>0.0%</v>
      </c>
      <c r="U2456" s="2">
        <f t="shared" si="1149"/>
        <v>0</v>
      </c>
      <c r="V2456" s="2">
        <f t="shared" si="1150"/>
        <v>8.8399000000000001</v>
      </c>
      <c r="W2456" s="2">
        <f t="shared" si="1151"/>
        <v>0</v>
      </c>
      <c r="X2456" s="2">
        <f t="shared" si="1173"/>
        <v>8.8399000000000001</v>
      </c>
      <c r="Y2456" s="2">
        <f t="shared" si="1152"/>
        <v>0</v>
      </c>
      <c r="Z2456" s="2">
        <f t="shared" si="1153"/>
        <v>8.8399000000000001</v>
      </c>
      <c r="AA2456" s="2">
        <f t="shared" si="1154"/>
        <v>0</v>
      </c>
      <c r="AB2456" s="2">
        <f t="shared" si="1174"/>
        <v>8.8399000000000001</v>
      </c>
      <c r="AC2456" s="625">
        <v>8.8399000000000001</v>
      </c>
      <c r="AD2456" s="625">
        <v>8.8399000000000001</v>
      </c>
      <c r="AE2456" s="625">
        <v>8.8399000000000001</v>
      </c>
      <c r="AF2456" s="625">
        <v>8.8399000000000001</v>
      </c>
      <c r="AG2456" s="625">
        <v>8.8399000000000001</v>
      </c>
      <c r="AH2456" s="625">
        <v>8.8399000000000001</v>
      </c>
      <c r="AI2456" s="625">
        <v>8.8399000000000001</v>
      </c>
      <c r="AJ2456" s="625">
        <v>8.8399000000000001</v>
      </c>
      <c r="AK2456" s="625">
        <v>8.8399000000000001</v>
      </c>
      <c r="AL2456" s="625">
        <v>8.8399000000000001</v>
      </c>
      <c r="AM2456" s="625">
        <v>8.8399000000000001</v>
      </c>
      <c r="AN2456" s="625">
        <v>8.8399000000000001</v>
      </c>
      <c r="AO2456" s="625">
        <v>8.8399000000000001</v>
      </c>
      <c r="AP2456" s="41" t="str">
        <f t="shared" si="1169"/>
        <v>Def TaxR</v>
      </c>
      <c r="AQ2456" s="41" t="str">
        <f t="shared" si="1170"/>
        <v>Def TaxRR11NYS Tax Audit</v>
      </c>
      <c r="AR2456" s="41" t="str">
        <f t="shared" si="1171"/>
        <v>R11NYS Tax Audit</v>
      </c>
    </row>
    <row r="2457" spans="1:44" s="41" customFormat="1" ht="12.75" customHeight="1">
      <c r="A2457" s="442" t="s">
        <v>1590</v>
      </c>
      <c r="B2457" s="442" t="str">
        <f t="shared" si="1158"/>
        <v>Def Tax283560FAS 133 RelatedBT010328</v>
      </c>
      <c r="C2457" s="736">
        <v>283560</v>
      </c>
      <c r="D2457" s="735" t="s">
        <v>1594</v>
      </c>
      <c r="E2457" s="626" t="s">
        <v>1776</v>
      </c>
      <c r="F2457" s="626" t="str">
        <f t="shared" si="1156"/>
        <v>ADIT-OTH-REG-STATE-GAS</v>
      </c>
      <c r="G2457" s="626" t="s">
        <v>1777</v>
      </c>
      <c r="H2457" s="736" t="s">
        <v>1594</v>
      </c>
      <c r="I2457" s="442"/>
      <c r="J2457" s="442" t="str">
        <f t="shared" si="1157"/>
        <v/>
      </c>
      <c r="K2457" s="442" t="str">
        <f t="shared" si="1159"/>
        <v/>
      </c>
      <c r="L2457" s="736" t="s">
        <v>2427</v>
      </c>
      <c r="M2457" s="442" t="str">
        <f t="shared" si="1175"/>
        <v>N</v>
      </c>
      <c r="N2457" s="442" t="str">
        <f>IF(L2457&lt;&gt;"",VLOOKUP(L2457,Categories!$B$2:$D$41,2,FALSE),IF(F2457&lt;&gt;"","No Cat",""))</f>
        <v>NRBASE</v>
      </c>
      <c r="O2457" s="442" t="str">
        <f>IF($L2457&lt;&gt;"",VLOOKUP($L2457,Categories!$B$2:$D$41,3,FALSE),IF($F2457&lt;&gt;"","No Cat",""))</f>
        <v>Hedges &amp; OCI</v>
      </c>
      <c r="P2457" s="736" t="s">
        <v>2468</v>
      </c>
      <c r="Q2457" s="442" t="str">
        <f>VLOOKUP($P2457,Allocators!$B$7:$F$19,5,FALSE)</f>
        <v>Not in Rate Base</v>
      </c>
      <c r="R2457" s="737">
        <f>VLOOKUP($P2457,Allocators!$B$7:$F$19,2,FALSE)</f>
        <v>0</v>
      </c>
      <c r="S2457" s="737">
        <f>VLOOKUP($P2457,Allocators!$B$7:$F$19,3,FALSE)</f>
        <v>0</v>
      </c>
      <c r="T2457" s="737">
        <f t="shared" si="1160"/>
        <v>1</v>
      </c>
      <c r="U2457" s="2">
        <f t="shared" si="1149"/>
        <v>0</v>
      </c>
      <c r="V2457" s="2">
        <f t="shared" si="1150"/>
        <v>0</v>
      </c>
      <c r="W2457" s="2">
        <f t="shared" si="1151"/>
        <v>-492.44736124999997</v>
      </c>
      <c r="X2457" s="2">
        <f t="shared" si="1173"/>
        <v>-492.44736124999997</v>
      </c>
      <c r="Y2457" s="2">
        <f t="shared" si="1152"/>
        <v>0</v>
      </c>
      <c r="Z2457" s="2">
        <f t="shared" si="1153"/>
        <v>0</v>
      </c>
      <c r="AA2457" s="2">
        <f t="shared" si="1154"/>
        <v>-642.52085999999997</v>
      </c>
      <c r="AB2457" s="2">
        <f t="shared" si="1174"/>
        <v>-642.52085999999997</v>
      </c>
      <c r="AC2457" s="625">
        <v>-471.12898999999999</v>
      </c>
      <c r="AD2457" s="625">
        <v>-471.12898999999999</v>
      </c>
      <c r="AE2457" s="625">
        <v>-471.12898999999999</v>
      </c>
      <c r="AF2457" s="625">
        <v>-471.12898999999999</v>
      </c>
      <c r="AG2457" s="625">
        <v>-471.12898999999999</v>
      </c>
      <c r="AH2457" s="625">
        <v>-471.12898999999999</v>
      </c>
      <c r="AI2457" s="625">
        <v>-471.12898999999999</v>
      </c>
      <c r="AJ2457" s="625">
        <v>-513.61680999999999</v>
      </c>
      <c r="AK2457" s="625">
        <v>-481.68384999999995</v>
      </c>
      <c r="AL2457" s="625">
        <v>-483.91111999999998</v>
      </c>
      <c r="AM2457" s="625">
        <v>-538.43556999999998</v>
      </c>
      <c r="AN2457" s="625">
        <v>-508.12212</v>
      </c>
      <c r="AO2457" s="625">
        <v>-642.52085999999997</v>
      </c>
      <c r="AP2457" s="41" t="str">
        <f t="shared" si="1169"/>
        <v>Def TaxN</v>
      </c>
      <c r="AQ2457" s="41" t="str">
        <f t="shared" si="1170"/>
        <v>Def TaxNN5FAS 133 Related</v>
      </c>
      <c r="AR2457" s="41" t="str">
        <f t="shared" si="1171"/>
        <v>N5FAS 133 Related</v>
      </c>
    </row>
    <row r="2458" spans="1:44" s="41" customFormat="1" ht="12.75" customHeight="1">
      <c r="A2458" s="442" t="s">
        <v>1590</v>
      </c>
      <c r="B2458" s="442" t="str">
        <f t="shared" ref="B2458" si="1176">CONCATENATE(A2458,C2458,D2458,E2458)</f>
        <v>Def Tax283560BT010335</v>
      </c>
      <c r="C2458" s="736">
        <v>283560</v>
      </c>
      <c r="D2458" s="735"/>
      <c r="E2458" s="626" t="s">
        <v>4045</v>
      </c>
      <c r="F2458" s="626" t="str">
        <f t="shared" si="1156"/>
        <v>ADIT-OTH-REG-STATE-GAS</v>
      </c>
      <c r="G2458" s="626" t="s">
        <v>4046</v>
      </c>
      <c r="H2458" s="736" t="s">
        <v>1168</v>
      </c>
      <c r="I2458" s="442"/>
      <c r="J2458" s="442"/>
      <c r="K2458" s="442" t="str">
        <f t="shared" si="1159"/>
        <v/>
      </c>
      <c r="L2458" s="736" t="s">
        <v>2443</v>
      </c>
      <c r="M2458" s="442" t="str">
        <f t="shared" si="1175"/>
        <v>R</v>
      </c>
      <c r="N2458" s="442" t="str">
        <f>IF(L2458&lt;&gt;"",VLOOKUP(L2458,Categories!$B$2:$D$41,2,FALSE),IF(F2458&lt;&gt;"","No Cat",""))</f>
        <v>Rate Base</v>
      </c>
      <c r="O2458" s="442" t="str">
        <f>IF($L2458&lt;&gt;"",VLOOKUP($L2458,Categories!$B$2:$D$41,3,FALSE),IF($F2458&lt;&gt;"","No Cat",""))</f>
        <v>Deferred Income Taxes</v>
      </c>
      <c r="P2458" s="736" t="s">
        <v>2483</v>
      </c>
      <c r="Q2458" s="442" t="str">
        <f>VLOOKUP($P2458,Allocators!$B$7:$F$19,5,FALSE)</f>
        <v>Gas</v>
      </c>
      <c r="R2458" s="737">
        <f>VLOOKUP($P2458,Allocators!$B$7:$F$19,2,FALSE)</f>
        <v>0</v>
      </c>
      <c r="S2458" s="737">
        <f>VLOOKUP($P2458,Allocators!$B$7:$F$19,3,FALSE)</f>
        <v>1</v>
      </c>
      <c r="T2458" s="737" t="str">
        <f t="shared" ref="T2458" si="1177">IF(P2458="N",1,"0.0%")</f>
        <v>0.0%</v>
      </c>
      <c r="U2458" s="2">
        <f t="shared" ref="U2458:U2493" si="1178">IF(ABS(X2458)=0,"",IF($R2458="NO ALLOC","NO ALLOC",ROUND($R2458*X2458,15)))</f>
        <v>0</v>
      </c>
      <c r="V2458" s="2">
        <f t="shared" ref="V2458:V2493" si="1179">IF(ABS(X2458)=0,"",IF($S2458="NO ALLOC","NO ALLOC",ROUND($S2458*X2458,15)))</f>
        <v>-35.113639999999997</v>
      </c>
      <c r="W2458" s="2">
        <f t="shared" ref="W2458:W2493" si="1180">IF(ABS(X2458)=0,"",IF($T2458="NO ALLOC","NO ALLOC",ROUND($T2458*X2458,15)))</f>
        <v>0</v>
      </c>
      <c r="X2458" s="2">
        <f t="shared" si="1173"/>
        <v>-35.113639999999997</v>
      </c>
      <c r="Y2458" s="2">
        <f t="shared" ref="Y2458:Y2493" si="1181">IF(ABS(AB2458)=0,"",IF($R2458="NO ALLOC","NO ALLOC",ROUND($R2458*AB2458,15)))</f>
        <v>0</v>
      </c>
      <c r="Z2458" s="2">
        <f t="shared" ref="Z2458:Z2493" si="1182">IF(ABS(AB2458)=0,"",IF($S2458="NO ALLOC","NO ALLOC",ROUND($S2458*AB2458,15)))</f>
        <v>-35.113639999999997</v>
      </c>
      <c r="AA2458" s="2">
        <f t="shared" ref="AA2458:AA2493" si="1183">IF(ABS(AB2458)=0,"",IF($T2458="NO ALLOC","NO ALLOC",ROUND($T2458*AB2458,15)))</f>
        <v>0</v>
      </c>
      <c r="AB2458" s="2">
        <f t="shared" si="1174"/>
        <v>-35.113639999999997</v>
      </c>
      <c r="AC2458" s="625">
        <v>-35.113639999999997</v>
      </c>
      <c r="AD2458" s="625">
        <v>-35.113639999999997</v>
      </c>
      <c r="AE2458" s="625">
        <v>-35.113639999999997</v>
      </c>
      <c r="AF2458" s="625">
        <v>-35.113639999999997</v>
      </c>
      <c r="AG2458" s="625">
        <v>-35.113639999999997</v>
      </c>
      <c r="AH2458" s="625">
        <v>-35.113639999999997</v>
      </c>
      <c r="AI2458" s="625">
        <v>-35.113639999999997</v>
      </c>
      <c r="AJ2458" s="625">
        <v>-35.113639999999997</v>
      </c>
      <c r="AK2458" s="625">
        <v>-35.113639999999997</v>
      </c>
      <c r="AL2458" s="625">
        <v>-35.113639999999997</v>
      </c>
      <c r="AM2458" s="625">
        <v>-35.113639999999997</v>
      </c>
      <c r="AN2458" s="625">
        <v>-35.113639999999997</v>
      </c>
      <c r="AO2458" s="625">
        <v>-35.113639999999997</v>
      </c>
      <c r="AP2458" s="41" t="str">
        <f t="shared" si="1169"/>
        <v>Def TaxR</v>
      </c>
      <c r="AQ2458" s="41" t="str">
        <f t="shared" si="1170"/>
        <v>Def TaxRR11Variable Rate Debt - Pre-2004</v>
      </c>
      <c r="AR2458" s="41" t="str">
        <f t="shared" si="1171"/>
        <v>R11Variable Rate Debt - Pre-2004</v>
      </c>
    </row>
    <row r="2459" spans="1:44" s="41" customFormat="1" ht="12.75" customHeight="1">
      <c r="A2459" s="442" t="s">
        <v>1590</v>
      </c>
      <c r="B2459" s="442" t="str">
        <f t="shared" ref="B2459" si="1184">CONCATENATE(A2459,C2459,D2459,E2459)</f>
        <v>Def Tax283560BG030932</v>
      </c>
      <c r="C2459" s="736">
        <v>283560</v>
      </c>
      <c r="D2459" s="735"/>
      <c r="E2459" s="626" t="s">
        <v>4056</v>
      </c>
      <c r="F2459" s="626" t="str">
        <f t="shared" ref="F2459" si="1185">VLOOKUP(C2459,$C$7:$F$787,4,FALSE)</f>
        <v>ADIT-OTH-REG-STATE-GAS</v>
      </c>
      <c r="G2459" s="626" t="s">
        <v>4054</v>
      </c>
      <c r="H2459" s="736" t="s">
        <v>4377</v>
      </c>
      <c r="I2459" s="442"/>
      <c r="J2459" s="442"/>
      <c r="K2459" s="442" t="str">
        <f t="shared" si="1159"/>
        <v/>
      </c>
      <c r="L2459" s="736" t="s">
        <v>2443</v>
      </c>
      <c r="M2459" s="442" t="str">
        <f t="shared" ref="M2459" si="1186">LEFT(L2459,1)</f>
        <v>R</v>
      </c>
      <c r="N2459" s="442" t="str">
        <f>IF(L2459&lt;&gt;"",VLOOKUP(L2459,Categories!$B$2:$D$41,2,FALSE),IF(F2459&lt;&gt;"","No Cat",""))</f>
        <v>Rate Base</v>
      </c>
      <c r="O2459" s="442" t="str">
        <f>IF($L2459&lt;&gt;"",VLOOKUP($L2459,Categories!$B$2:$D$41,3,FALSE),IF($F2459&lt;&gt;"","No Cat",""))</f>
        <v>Deferred Income Taxes</v>
      </c>
      <c r="P2459" s="736" t="s">
        <v>2483</v>
      </c>
      <c r="Q2459" s="442" t="str">
        <f>VLOOKUP($P2459,Allocators!$B$7:$F$19,5,FALSE)</f>
        <v>Gas</v>
      </c>
      <c r="R2459" s="737">
        <f>VLOOKUP($P2459,Allocators!$B$7:$F$19,2,FALSE)</f>
        <v>0</v>
      </c>
      <c r="S2459" s="737">
        <f>VLOOKUP($P2459,Allocators!$B$7:$F$19,3,FALSE)</f>
        <v>1</v>
      </c>
      <c r="T2459" s="737" t="str">
        <f t="shared" ref="T2459" si="1187">IF(P2459="N",1,"0.0%")</f>
        <v>0.0%</v>
      </c>
      <c r="U2459" s="2">
        <f t="shared" si="1178"/>
        <v>0</v>
      </c>
      <c r="V2459" s="2">
        <f t="shared" si="1179"/>
        <v>-1662.6552204166701</v>
      </c>
      <c r="W2459" s="2">
        <f t="shared" si="1180"/>
        <v>0</v>
      </c>
      <c r="X2459" s="2">
        <f t="shared" si="1173"/>
        <v>-1662.6552204166701</v>
      </c>
      <c r="Y2459" s="2">
        <f t="shared" si="1181"/>
        <v>0</v>
      </c>
      <c r="Z2459" s="2">
        <f t="shared" si="1182"/>
        <v>-1870.84583</v>
      </c>
      <c r="AA2459" s="2">
        <f t="shared" si="1183"/>
        <v>0</v>
      </c>
      <c r="AB2459" s="2">
        <f t="shared" si="1174"/>
        <v>-1870.84583</v>
      </c>
      <c r="AC2459" s="625">
        <v>-1426.23298</v>
      </c>
      <c r="AD2459" s="625">
        <v>-1465.8505600000001</v>
      </c>
      <c r="AE2459" s="625">
        <v>-1505.4681499999999</v>
      </c>
      <c r="AF2459" s="625">
        <v>-1545.08573</v>
      </c>
      <c r="AG2459" s="625">
        <v>-1584.7033100000001</v>
      </c>
      <c r="AH2459" s="625">
        <v>-1624.32089</v>
      </c>
      <c r="AI2459" s="625">
        <v>-1663.93848</v>
      </c>
      <c r="AJ2459" s="625">
        <v>-1703.5560600000001</v>
      </c>
      <c r="AK2459" s="625">
        <v>-1743.17364</v>
      </c>
      <c r="AL2459" s="625">
        <v>-1782.7912200000001</v>
      </c>
      <c r="AM2459" s="625">
        <v>-1822.4088100000001</v>
      </c>
      <c r="AN2459" s="625">
        <v>-1862.02639</v>
      </c>
      <c r="AO2459" s="625">
        <v>-1870.84583</v>
      </c>
      <c r="AP2459" s="41" t="str">
        <f t="shared" si="1169"/>
        <v>Def TaxR</v>
      </c>
      <c r="AQ2459" s="41" t="str">
        <f t="shared" si="1170"/>
        <v>Def TaxRR11Funded DIT Tax True-up Deferral</v>
      </c>
      <c r="AR2459" s="41" t="str">
        <f t="shared" si="1171"/>
        <v>R11Funded DIT Tax True-up Deferral</v>
      </c>
    </row>
    <row r="2460" spans="1:44" s="41" customFormat="1" ht="12.75" customHeight="1">
      <c r="A2460" s="442" t="s">
        <v>1590</v>
      </c>
      <c r="B2460" s="442" t="str">
        <f t="shared" ref="B2460" si="1188">CONCATENATE(A2460,C2460,D2460,E2460)</f>
        <v>Def Tax283560BGHUNGDT</v>
      </c>
      <c r="C2460" s="736">
        <v>283560</v>
      </c>
      <c r="D2460" s="735"/>
      <c r="E2460" s="626" t="s">
        <v>4057</v>
      </c>
      <c r="F2460" s="626" t="str">
        <f t="shared" ref="F2460" si="1189">VLOOKUP(C2460,$C$7:$F$787,4,FALSE)</f>
        <v>ADIT-OTH-REG-STATE-GAS</v>
      </c>
      <c r="G2460" s="626" t="s">
        <v>4055</v>
      </c>
      <c r="H2460" s="736" t="s">
        <v>2880</v>
      </c>
      <c r="I2460" s="442"/>
      <c r="J2460" s="442"/>
      <c r="K2460" s="442" t="str">
        <f t="shared" si="1159"/>
        <v/>
      </c>
      <c r="L2460" s="736" t="s">
        <v>2443</v>
      </c>
      <c r="M2460" s="442" t="str">
        <f t="shared" ref="M2460" si="1190">LEFT(L2460,1)</f>
        <v>R</v>
      </c>
      <c r="N2460" s="442" t="str">
        <f>IF(L2460&lt;&gt;"",VLOOKUP(L2460,Categories!$B$2:$D$41,2,FALSE),IF(F2460&lt;&gt;"","No Cat",""))</f>
        <v>Rate Base</v>
      </c>
      <c r="O2460" s="442" t="str">
        <f>IF($L2460&lt;&gt;"",VLOOKUP($L2460,Categories!$B$2:$D$41,3,FALSE),IF($F2460&lt;&gt;"","No Cat",""))</f>
        <v>Deferred Income Taxes</v>
      </c>
      <c r="P2460" s="736" t="s">
        <v>2483</v>
      </c>
      <c r="Q2460" s="442" t="str">
        <f>VLOOKUP($P2460,Allocators!$B$7:$F$19,5,FALSE)</f>
        <v>Gas</v>
      </c>
      <c r="R2460" s="737">
        <f>VLOOKUP($P2460,Allocators!$B$7:$F$19,2,FALSE)</f>
        <v>0</v>
      </c>
      <c r="S2460" s="737">
        <f>VLOOKUP($P2460,Allocators!$B$7:$F$19,3,FALSE)</f>
        <v>1</v>
      </c>
      <c r="T2460" s="737" t="str">
        <f t="shared" ref="T2460" si="1191">IF(P2460="N",1,"0.0%")</f>
        <v>0.0%</v>
      </c>
      <c r="U2460" s="2" t="str">
        <f t="shared" si="1178"/>
        <v/>
      </c>
      <c r="V2460" s="2" t="str">
        <f t="shared" si="1179"/>
        <v/>
      </c>
      <c r="W2460" s="2" t="str">
        <f t="shared" si="1180"/>
        <v/>
      </c>
      <c r="X2460" s="2">
        <f t="shared" si="1173"/>
        <v>0</v>
      </c>
      <c r="Y2460" s="2" t="str">
        <f t="shared" si="1181"/>
        <v/>
      </c>
      <c r="Z2460" s="2" t="str">
        <f t="shared" si="1182"/>
        <v/>
      </c>
      <c r="AA2460" s="2" t="str">
        <f t="shared" si="1183"/>
        <v/>
      </c>
      <c r="AB2460" s="2">
        <f t="shared" si="1174"/>
        <v>0</v>
      </c>
      <c r="AC2460" s="625">
        <v>0</v>
      </c>
      <c r="AD2460" s="625">
        <v>0</v>
      </c>
      <c r="AE2460" s="625">
        <v>0</v>
      </c>
      <c r="AF2460" s="625">
        <v>0</v>
      </c>
      <c r="AG2460" s="625">
        <v>0</v>
      </c>
      <c r="AH2460" s="625">
        <v>0</v>
      </c>
      <c r="AI2460" s="625">
        <v>0</v>
      </c>
      <c r="AJ2460" s="625">
        <v>0</v>
      </c>
      <c r="AK2460" s="625">
        <v>0</v>
      </c>
      <c r="AL2460" s="625">
        <v>0</v>
      </c>
      <c r="AM2460" s="625">
        <v>0</v>
      </c>
      <c r="AN2460" s="625">
        <v>0</v>
      </c>
      <c r="AO2460" s="625">
        <v>0</v>
      </c>
      <c r="AP2460" s="41" t="str">
        <f t="shared" si="1169"/>
        <v>Def TaxR</v>
      </c>
      <c r="AQ2460" s="41" t="str">
        <f t="shared" si="1170"/>
        <v>Def TaxRR11Hung Deferred Taxes</v>
      </c>
      <c r="AR2460" s="41" t="str">
        <f t="shared" si="1171"/>
        <v>R11Hung Deferred Taxes</v>
      </c>
    </row>
    <row r="2461" spans="1:44" s="41" customFormat="1" ht="12.75" customHeight="1">
      <c r="A2461" s="25" t="s">
        <v>1590</v>
      </c>
      <c r="B2461" s="25" t="str">
        <f t="shared" si="1158"/>
        <v>Def Tax283560MedicareBT010125</v>
      </c>
      <c r="C2461" s="736">
        <v>283560</v>
      </c>
      <c r="D2461" s="735" t="s">
        <v>1667</v>
      </c>
      <c r="E2461" s="41" t="s">
        <v>1668</v>
      </c>
      <c r="F2461" s="41" t="str">
        <f t="shared" si="1156"/>
        <v>ADIT-OTH-REG-STATE-GAS</v>
      </c>
      <c r="G2461" s="41" t="s">
        <v>2333</v>
      </c>
      <c r="H2461" s="736" t="s">
        <v>1118</v>
      </c>
      <c r="I2461" s="25"/>
      <c r="J2461" s="25" t="str">
        <f t="shared" si="1157"/>
        <v/>
      </c>
      <c r="K2461" s="442" t="str">
        <f t="shared" si="1159"/>
        <v/>
      </c>
      <c r="L2461" s="736" t="s">
        <v>2443</v>
      </c>
      <c r="M2461" s="25" t="str">
        <f t="shared" si="1175"/>
        <v>R</v>
      </c>
      <c r="N2461" s="25" t="str">
        <f>IF(L2461&lt;&gt;"",VLOOKUP(L2461,Categories!$B$2:$D$41,2,FALSE),IF(F2461&lt;&gt;"","No Cat",""))</f>
        <v>Rate Base</v>
      </c>
      <c r="O2461" s="25" t="str">
        <f>IF($L2461&lt;&gt;"",VLOOKUP($L2461,Categories!$B$2:$D$41,3,FALSE),IF($F2461&lt;&gt;"","No Cat",""))</f>
        <v>Deferred Income Taxes</v>
      </c>
      <c r="P2461" s="736" t="s">
        <v>2483</v>
      </c>
      <c r="Q2461" s="25" t="str">
        <f>VLOOKUP($P2461,Allocators!$B$7:$F$19,5,FALSE)</f>
        <v>Gas</v>
      </c>
      <c r="R2461" s="737">
        <f>VLOOKUP($P2461,Allocators!$B$7:$F$19,2,FALSE)</f>
        <v>0</v>
      </c>
      <c r="S2461" s="737">
        <f>VLOOKUP($P2461,Allocators!$B$7:$F$19,3,FALSE)</f>
        <v>1</v>
      </c>
      <c r="T2461" s="737" t="str">
        <f t="shared" si="1160"/>
        <v>0.0%</v>
      </c>
      <c r="U2461" s="2" t="str">
        <f t="shared" si="1178"/>
        <v/>
      </c>
      <c r="V2461" s="2" t="str">
        <f t="shared" si="1179"/>
        <v/>
      </c>
      <c r="W2461" s="2" t="str">
        <f t="shared" si="1180"/>
        <v/>
      </c>
      <c r="X2461" s="2">
        <f t="shared" si="1173"/>
        <v>0</v>
      </c>
      <c r="Y2461" s="2" t="str">
        <f t="shared" si="1181"/>
        <v/>
      </c>
      <c r="Z2461" s="2" t="str">
        <f t="shared" si="1182"/>
        <v/>
      </c>
      <c r="AA2461" s="2" t="str">
        <f t="shared" si="1183"/>
        <v/>
      </c>
      <c r="AB2461" s="2">
        <f t="shared" si="1174"/>
        <v>0</v>
      </c>
      <c r="AC2461" s="741">
        <v>0</v>
      </c>
      <c r="AD2461" s="625">
        <v>0</v>
      </c>
      <c r="AE2461" s="625">
        <v>0</v>
      </c>
      <c r="AF2461" s="625">
        <v>0</v>
      </c>
      <c r="AG2461" s="625">
        <v>0</v>
      </c>
      <c r="AH2461" s="625">
        <v>0</v>
      </c>
      <c r="AI2461" s="625">
        <v>0</v>
      </c>
      <c r="AJ2461" s="625">
        <v>0</v>
      </c>
      <c r="AK2461" s="625">
        <v>0</v>
      </c>
      <c r="AL2461" s="625">
        <v>0</v>
      </c>
      <c r="AM2461" s="625">
        <v>0</v>
      </c>
      <c r="AN2461" s="625">
        <v>0</v>
      </c>
      <c r="AO2461" s="625">
        <v>0</v>
      </c>
      <c r="AP2461" s="41" t="str">
        <f t="shared" si="1169"/>
        <v>Def TaxR</v>
      </c>
      <c r="AQ2461" s="41" t="str">
        <f t="shared" si="1170"/>
        <v>Def TaxRR11Medicare Part D</v>
      </c>
      <c r="AR2461" s="41" t="str">
        <f t="shared" si="1171"/>
        <v>R11Medicare Part D</v>
      </c>
    </row>
    <row r="2462" spans="1:44" s="41" customFormat="1" ht="12.75" customHeight="1">
      <c r="A2462" s="25" t="s">
        <v>1590</v>
      </c>
      <c r="B2462" s="25" t="str">
        <f t="shared" si="1158"/>
        <v>Def Tax283560Mendon HeaterBG030906</v>
      </c>
      <c r="C2462" s="736">
        <v>283560</v>
      </c>
      <c r="D2462" s="735" t="s">
        <v>999</v>
      </c>
      <c r="E2462" s="41" t="s">
        <v>939</v>
      </c>
      <c r="F2462" s="41" t="str">
        <f t="shared" si="1156"/>
        <v>ADIT-OTH-REG-STATE-GAS</v>
      </c>
      <c r="G2462" s="41" t="s">
        <v>2372</v>
      </c>
      <c r="H2462" s="736" t="s">
        <v>999</v>
      </c>
      <c r="I2462" s="25"/>
      <c r="J2462" s="25" t="str">
        <f t="shared" si="1157"/>
        <v/>
      </c>
      <c r="K2462" s="442" t="str">
        <f t="shared" si="1159"/>
        <v/>
      </c>
      <c r="L2462" s="736" t="s">
        <v>2443</v>
      </c>
      <c r="M2462" s="25" t="str">
        <f t="shared" si="1175"/>
        <v>R</v>
      </c>
      <c r="N2462" s="25" t="str">
        <f>IF(L2462&lt;&gt;"",VLOOKUP(L2462,Categories!$B$2:$D$41,2,FALSE),IF(F2462&lt;&gt;"","No Cat",""))</f>
        <v>Rate Base</v>
      </c>
      <c r="O2462" s="25" t="str">
        <f>IF($L2462&lt;&gt;"",VLOOKUP($L2462,Categories!$B$2:$D$41,3,FALSE),IF($F2462&lt;&gt;"","No Cat",""))</f>
        <v>Deferred Income Taxes</v>
      </c>
      <c r="P2462" s="736" t="s">
        <v>2483</v>
      </c>
      <c r="Q2462" s="25" t="str">
        <f>VLOOKUP($P2462,Allocators!$B$7:$F$19,5,FALSE)</f>
        <v>Gas</v>
      </c>
      <c r="R2462" s="737">
        <f>VLOOKUP($P2462,Allocators!$B$7:$F$19,2,FALSE)</f>
        <v>0</v>
      </c>
      <c r="S2462" s="737">
        <f>VLOOKUP($P2462,Allocators!$B$7:$F$19,3,FALSE)</f>
        <v>1</v>
      </c>
      <c r="T2462" s="737" t="str">
        <f t="shared" si="1160"/>
        <v>0.0%</v>
      </c>
      <c r="U2462" s="2" t="str">
        <f t="shared" si="1178"/>
        <v/>
      </c>
      <c r="V2462" s="2" t="str">
        <f t="shared" si="1179"/>
        <v/>
      </c>
      <c r="W2462" s="2" t="str">
        <f t="shared" si="1180"/>
        <v/>
      </c>
      <c r="X2462" s="2">
        <f t="shared" si="1173"/>
        <v>0</v>
      </c>
      <c r="Y2462" s="2" t="str">
        <f t="shared" si="1181"/>
        <v/>
      </c>
      <c r="Z2462" s="2" t="str">
        <f t="shared" si="1182"/>
        <v/>
      </c>
      <c r="AA2462" s="2" t="str">
        <f t="shared" si="1183"/>
        <v/>
      </c>
      <c r="AB2462" s="2">
        <f t="shared" si="1174"/>
        <v>0</v>
      </c>
      <c r="AC2462" s="741">
        <v>0</v>
      </c>
      <c r="AD2462" s="625">
        <v>0</v>
      </c>
      <c r="AE2462" s="625">
        <v>0</v>
      </c>
      <c r="AF2462" s="625">
        <v>0</v>
      </c>
      <c r="AG2462" s="625">
        <v>0</v>
      </c>
      <c r="AH2462" s="625">
        <v>0</v>
      </c>
      <c r="AI2462" s="625">
        <v>0</v>
      </c>
      <c r="AJ2462" s="625">
        <v>0</v>
      </c>
      <c r="AK2462" s="625">
        <v>0</v>
      </c>
      <c r="AL2462" s="625">
        <v>0</v>
      </c>
      <c r="AM2462" s="625">
        <v>0</v>
      </c>
      <c r="AN2462" s="625">
        <v>0</v>
      </c>
      <c r="AO2462" s="625">
        <v>0</v>
      </c>
      <c r="AP2462" s="41" t="str">
        <f t="shared" si="1169"/>
        <v>Def TaxR</v>
      </c>
      <c r="AQ2462" s="41" t="str">
        <f t="shared" si="1170"/>
        <v>Def TaxRR11Mendon Heater</v>
      </c>
      <c r="AR2462" s="41" t="str">
        <f t="shared" si="1171"/>
        <v>R11Mendon Heater</v>
      </c>
    </row>
    <row r="2463" spans="1:44" s="41" customFormat="1" ht="12.75" customHeight="1">
      <c r="A2463" s="25" t="s">
        <v>1590</v>
      </c>
      <c r="B2463" s="25" t="str">
        <f t="shared" si="1158"/>
        <v>Def Tax283560283-090BT010273</v>
      </c>
      <c r="C2463" s="736">
        <v>283560</v>
      </c>
      <c r="D2463" s="735" t="s">
        <v>2345</v>
      </c>
      <c r="E2463" s="41" t="s">
        <v>2346</v>
      </c>
      <c r="F2463" s="41" t="str">
        <f t="shared" si="1156"/>
        <v>ADIT-OTH-REG-STATE-GAS</v>
      </c>
      <c r="G2463" s="41" t="s">
        <v>2347</v>
      </c>
      <c r="H2463" s="736" t="s">
        <v>1126</v>
      </c>
      <c r="I2463" s="25"/>
      <c r="J2463" s="25" t="str">
        <f t="shared" si="1157"/>
        <v/>
      </c>
      <c r="K2463" s="442" t="str">
        <f t="shared" si="1159"/>
        <v/>
      </c>
      <c r="L2463" s="736" t="s">
        <v>2443</v>
      </c>
      <c r="M2463" s="25" t="str">
        <f t="shared" si="1175"/>
        <v>R</v>
      </c>
      <c r="N2463" s="25" t="str">
        <f>IF(L2463&lt;&gt;"",VLOOKUP(L2463,Categories!$B$2:$D$41,2,FALSE),IF(F2463&lt;&gt;"","No Cat",""))</f>
        <v>Rate Base</v>
      </c>
      <c r="O2463" s="25" t="str">
        <f>IF($L2463&lt;&gt;"",VLOOKUP($L2463,Categories!$B$2:$D$41,3,FALSE),IF($F2463&lt;&gt;"","No Cat",""))</f>
        <v>Deferred Income Taxes</v>
      </c>
      <c r="P2463" s="736" t="s">
        <v>2483</v>
      </c>
      <c r="Q2463" s="25" t="str">
        <f>VLOOKUP($P2463,Allocators!$B$7:$F$19,5,FALSE)</f>
        <v>Gas</v>
      </c>
      <c r="R2463" s="737">
        <f>VLOOKUP($P2463,Allocators!$B$7:$F$19,2,FALSE)</f>
        <v>0</v>
      </c>
      <c r="S2463" s="737">
        <f>VLOOKUP($P2463,Allocators!$B$7:$F$19,3,FALSE)</f>
        <v>1</v>
      </c>
      <c r="T2463" s="737" t="str">
        <f t="shared" si="1160"/>
        <v>0.0%</v>
      </c>
      <c r="U2463" s="2">
        <f t="shared" si="1178"/>
        <v>0</v>
      </c>
      <c r="V2463" s="2">
        <f t="shared" si="1179"/>
        <v>-0.94718999999999998</v>
      </c>
      <c r="W2463" s="2">
        <f t="shared" si="1180"/>
        <v>0</v>
      </c>
      <c r="X2463" s="2">
        <f t="shared" si="1173"/>
        <v>-0.94718999999999998</v>
      </c>
      <c r="Y2463" s="2">
        <f t="shared" si="1181"/>
        <v>0</v>
      </c>
      <c r="Z2463" s="2">
        <f t="shared" si="1182"/>
        <v>-0.94718999999999998</v>
      </c>
      <c r="AA2463" s="2">
        <f t="shared" si="1183"/>
        <v>0</v>
      </c>
      <c r="AB2463" s="2">
        <f t="shared" si="1174"/>
        <v>-0.94719000000000009</v>
      </c>
      <c r="AC2463" s="625">
        <v>-0.94719000000000009</v>
      </c>
      <c r="AD2463" s="625">
        <v>-0.94719000000000009</v>
      </c>
      <c r="AE2463" s="625">
        <v>-0.94719000000000009</v>
      </c>
      <c r="AF2463" s="625">
        <v>-0.94719000000000009</v>
      </c>
      <c r="AG2463" s="625">
        <v>-0.94719000000000009</v>
      </c>
      <c r="AH2463" s="625">
        <v>-0.94719000000000009</v>
      </c>
      <c r="AI2463" s="625">
        <v>-0.94719000000000009</v>
      </c>
      <c r="AJ2463" s="625">
        <v>-0.94719000000000009</v>
      </c>
      <c r="AK2463" s="625">
        <v>-0.94719000000000009</v>
      </c>
      <c r="AL2463" s="625">
        <v>-0.94719000000000009</v>
      </c>
      <c r="AM2463" s="625">
        <v>-0.94719000000000009</v>
      </c>
      <c r="AN2463" s="625">
        <v>-0.94719000000000009</v>
      </c>
      <c r="AO2463" s="625">
        <v>-0.94719000000000009</v>
      </c>
      <c r="AP2463" s="41" t="str">
        <f t="shared" si="1169"/>
        <v>Def TaxR</v>
      </c>
      <c r="AQ2463" s="41" t="str">
        <f t="shared" si="1170"/>
        <v>Def TaxRR11NYS Tax Audit</v>
      </c>
      <c r="AR2463" s="41" t="str">
        <f t="shared" si="1171"/>
        <v>R11NYS Tax Audit</v>
      </c>
    </row>
    <row r="2464" spans="1:44" s="41" customFormat="1" ht="12.75" customHeight="1">
      <c r="A2464" s="25" t="s">
        <v>1590</v>
      </c>
      <c r="B2464" s="25" t="str">
        <f t="shared" si="1158"/>
        <v>Def Tax283560FAS 158 SFASBC030561</v>
      </c>
      <c r="C2464" s="736">
        <v>283560</v>
      </c>
      <c r="D2464" s="735" t="s">
        <v>1961</v>
      </c>
      <c r="E2464" s="41" t="s">
        <v>980</v>
      </c>
      <c r="F2464" s="41" t="str">
        <f t="shared" si="1156"/>
        <v>ADIT-OTH-REG-STATE-GAS</v>
      </c>
      <c r="G2464" s="41" t="s">
        <v>1962</v>
      </c>
      <c r="H2464" s="736" t="s">
        <v>1673</v>
      </c>
      <c r="I2464" s="25"/>
      <c r="J2464" s="25" t="str">
        <f t="shared" si="1157"/>
        <v/>
      </c>
      <c r="K2464" s="442" t="str">
        <f t="shared" si="1159"/>
        <v/>
      </c>
      <c r="L2464" s="736" t="s">
        <v>2443</v>
      </c>
      <c r="M2464" s="25" t="str">
        <f t="shared" si="1175"/>
        <v>R</v>
      </c>
      <c r="N2464" s="25" t="str">
        <f>IF(L2464&lt;&gt;"",VLOOKUP(L2464,Categories!$B$2:$D$41,2,FALSE),IF(F2464&lt;&gt;"","No Cat",""))</f>
        <v>Rate Base</v>
      </c>
      <c r="O2464" s="25" t="str">
        <f>IF($L2464&lt;&gt;"",VLOOKUP($L2464,Categories!$B$2:$D$41,3,FALSE),IF($F2464&lt;&gt;"","No Cat",""))</f>
        <v>Deferred Income Taxes</v>
      </c>
      <c r="P2464" s="736" t="s">
        <v>2483</v>
      </c>
      <c r="Q2464" s="25" t="str">
        <f>VLOOKUP($P2464,Allocators!$B$7:$F$19,5,FALSE)</f>
        <v>Gas</v>
      </c>
      <c r="R2464" s="737">
        <f>VLOOKUP($P2464,Allocators!$B$7:$F$19,2,FALSE)</f>
        <v>0</v>
      </c>
      <c r="S2464" s="737">
        <f>VLOOKUP($P2464,Allocators!$B$7:$F$19,3,FALSE)</f>
        <v>1</v>
      </c>
      <c r="T2464" s="737" t="str">
        <f t="shared" si="1160"/>
        <v>0.0%</v>
      </c>
      <c r="U2464" s="2" t="str">
        <f t="shared" si="1178"/>
        <v/>
      </c>
      <c r="V2464" s="2" t="str">
        <f t="shared" si="1179"/>
        <v/>
      </c>
      <c r="W2464" s="2" t="str">
        <f t="shared" si="1180"/>
        <v/>
      </c>
      <c r="X2464" s="2">
        <f t="shared" si="1173"/>
        <v>0</v>
      </c>
      <c r="Y2464" s="2" t="str">
        <f t="shared" si="1181"/>
        <v/>
      </c>
      <c r="Z2464" s="2" t="str">
        <f t="shared" si="1182"/>
        <v/>
      </c>
      <c r="AA2464" s="2" t="str">
        <f t="shared" si="1183"/>
        <v/>
      </c>
      <c r="AB2464" s="2">
        <f t="shared" si="1174"/>
        <v>0</v>
      </c>
      <c r="AC2464" s="625">
        <v>0</v>
      </c>
      <c r="AD2464" s="625">
        <v>0</v>
      </c>
      <c r="AE2464" s="625">
        <v>0</v>
      </c>
      <c r="AF2464" s="625">
        <v>0</v>
      </c>
      <c r="AG2464" s="625">
        <v>0</v>
      </c>
      <c r="AH2464" s="625">
        <v>0</v>
      </c>
      <c r="AI2464" s="625">
        <v>0</v>
      </c>
      <c r="AJ2464" s="625">
        <v>0</v>
      </c>
      <c r="AK2464" s="625">
        <v>0</v>
      </c>
      <c r="AL2464" s="625">
        <v>0</v>
      </c>
      <c r="AM2464" s="625">
        <v>0</v>
      </c>
      <c r="AN2464" s="625">
        <v>0</v>
      </c>
      <c r="AO2464" s="625">
        <v>0</v>
      </c>
      <c r="AP2464" s="41" t="str">
        <f t="shared" si="1169"/>
        <v>Def TaxR</v>
      </c>
      <c r="AQ2464" s="41" t="str">
        <f t="shared" si="1170"/>
        <v>Def TaxRR11Pension</v>
      </c>
      <c r="AR2464" s="41" t="str">
        <f t="shared" si="1171"/>
        <v>R11Pension</v>
      </c>
    </row>
    <row r="2465" spans="1:44" s="41" customFormat="1" ht="12.75" customHeight="1">
      <c r="A2465" s="25" t="s">
        <v>1590</v>
      </c>
      <c r="B2465" s="25" t="str">
        <f t="shared" si="1158"/>
        <v>Def Tax283560190-015-FAS 158 SBC030562/
BT030562</v>
      </c>
      <c r="C2465" s="736">
        <v>283560</v>
      </c>
      <c r="D2465" s="735" t="s">
        <v>2375</v>
      </c>
      <c r="E2465" s="41" t="s">
        <v>2378</v>
      </c>
      <c r="F2465" s="41" t="str">
        <f t="shared" si="1156"/>
        <v>ADIT-OTH-REG-STATE-GAS</v>
      </c>
      <c r="G2465" s="41" t="s">
        <v>2351</v>
      </c>
      <c r="H2465" s="736" t="s">
        <v>812</v>
      </c>
      <c r="I2465" s="25"/>
      <c r="J2465" s="25" t="str">
        <f t="shared" si="1157"/>
        <v/>
      </c>
      <c r="K2465" s="442" t="str">
        <f t="shared" si="1159"/>
        <v/>
      </c>
      <c r="L2465" s="736" t="s">
        <v>2443</v>
      </c>
      <c r="M2465" s="25" t="str">
        <f t="shared" si="1175"/>
        <v>R</v>
      </c>
      <c r="N2465" s="25" t="str">
        <f>IF(L2465&lt;&gt;"",VLOOKUP(L2465,Categories!$B$2:$D$41,2,FALSE),IF(F2465&lt;&gt;"","No Cat",""))</f>
        <v>Rate Base</v>
      </c>
      <c r="O2465" s="25" t="str">
        <f>IF($L2465&lt;&gt;"",VLOOKUP($L2465,Categories!$B$2:$D$41,3,FALSE),IF($F2465&lt;&gt;"","No Cat",""))</f>
        <v>Deferred Income Taxes</v>
      </c>
      <c r="P2465" s="736" t="s">
        <v>2483</v>
      </c>
      <c r="Q2465" s="25" t="str">
        <f>VLOOKUP($P2465,Allocators!$B$7:$F$19,5,FALSE)</f>
        <v>Gas</v>
      </c>
      <c r="R2465" s="737">
        <f>VLOOKUP($P2465,Allocators!$B$7:$F$19,2,FALSE)</f>
        <v>0</v>
      </c>
      <c r="S2465" s="737">
        <f>VLOOKUP($P2465,Allocators!$B$7:$F$19,3,FALSE)</f>
        <v>1</v>
      </c>
      <c r="T2465" s="737" t="str">
        <f t="shared" si="1160"/>
        <v>0.0%</v>
      </c>
      <c r="U2465" s="2" t="str">
        <f t="shared" si="1178"/>
        <v/>
      </c>
      <c r="V2465" s="2" t="str">
        <f t="shared" si="1179"/>
        <v/>
      </c>
      <c r="W2465" s="2" t="str">
        <f t="shared" si="1180"/>
        <v/>
      </c>
      <c r="X2465" s="2">
        <f t="shared" si="1173"/>
        <v>0</v>
      </c>
      <c r="Y2465" s="2" t="str">
        <f t="shared" si="1181"/>
        <v/>
      </c>
      <c r="Z2465" s="2" t="str">
        <f t="shared" si="1182"/>
        <v/>
      </c>
      <c r="AA2465" s="2" t="str">
        <f t="shared" si="1183"/>
        <v/>
      </c>
      <c r="AB2465" s="2">
        <f t="shared" si="1174"/>
        <v>0</v>
      </c>
      <c r="AC2465" s="741">
        <v>0</v>
      </c>
      <c r="AD2465" s="625">
        <v>0</v>
      </c>
      <c r="AE2465" s="625">
        <v>0</v>
      </c>
      <c r="AF2465" s="625">
        <v>0</v>
      </c>
      <c r="AG2465" s="625">
        <v>0</v>
      </c>
      <c r="AH2465" s="625">
        <v>0</v>
      </c>
      <c r="AI2465" s="625">
        <v>0</v>
      </c>
      <c r="AJ2465" s="625">
        <v>0</v>
      </c>
      <c r="AK2465" s="625">
        <v>0</v>
      </c>
      <c r="AL2465" s="625">
        <v>0</v>
      </c>
      <c r="AM2465" s="625">
        <v>0</v>
      </c>
      <c r="AN2465" s="625">
        <v>0</v>
      </c>
      <c r="AO2465" s="625">
        <v>0</v>
      </c>
      <c r="AP2465" s="41" t="str">
        <f t="shared" si="1169"/>
        <v>Def TaxR</v>
      </c>
      <c r="AQ2465" s="41" t="str">
        <f t="shared" si="1170"/>
        <v>Def TaxRR11OPEB True-up</v>
      </c>
      <c r="AR2465" s="41" t="str">
        <f t="shared" si="1171"/>
        <v>R11OPEB True-up</v>
      </c>
    </row>
    <row r="2466" spans="1:44" s="41" customFormat="1" ht="12.75" customHeight="1">
      <c r="A2466" s="442" t="s">
        <v>1590</v>
      </c>
      <c r="B2466" s="442" t="str">
        <f t="shared" si="1158"/>
        <v>Def Tax283560PSC AssessBT010353</v>
      </c>
      <c r="C2466" s="736">
        <v>283560</v>
      </c>
      <c r="D2466" s="735" t="s">
        <v>2355</v>
      </c>
      <c r="E2466" s="626" t="s">
        <v>2356</v>
      </c>
      <c r="F2466" s="626" t="str">
        <f t="shared" si="1156"/>
        <v>ADIT-OTH-REG-STATE-GAS</v>
      </c>
      <c r="G2466" s="626" t="s">
        <v>2357</v>
      </c>
      <c r="H2466" s="736" t="s">
        <v>817</v>
      </c>
      <c r="I2466" s="442"/>
      <c r="J2466" s="442" t="str">
        <f t="shared" si="1157"/>
        <v/>
      </c>
      <c r="K2466" s="442" t="str">
        <f t="shared" si="1159"/>
        <v/>
      </c>
      <c r="L2466" s="736" t="s">
        <v>2421</v>
      </c>
      <c r="M2466" s="442" t="str">
        <f t="shared" si="1175"/>
        <v>N</v>
      </c>
      <c r="N2466" s="442" t="str">
        <f>IF(L2466&lt;&gt;"",VLOOKUP(L2466,Categories!$B$2:$D$41,2,FALSE),IF(F2466&lt;&gt;"","No Cat",""))</f>
        <v>NRBASE</v>
      </c>
      <c r="O2466" s="442" t="str">
        <f>IF($L2466&lt;&gt;"",VLOOKUP($L2466,Categories!$B$2:$D$41,3,FALSE),IF($F2466&lt;&gt;"","No Cat",""))</f>
        <v>Direct Assign Items Not in RB</v>
      </c>
      <c r="P2466" s="736" t="s">
        <v>2468</v>
      </c>
      <c r="Q2466" s="442" t="str">
        <f>VLOOKUP($P2466,Allocators!$B$7:$F$19,5,FALSE)</f>
        <v>Not in Rate Base</v>
      </c>
      <c r="R2466" s="737">
        <f>VLOOKUP($P2466,Allocators!$B$7:$F$19,2,FALSE)</f>
        <v>0</v>
      </c>
      <c r="S2466" s="737">
        <f>VLOOKUP($P2466,Allocators!$B$7:$F$19,3,FALSE)</f>
        <v>0</v>
      </c>
      <c r="T2466" s="737">
        <f t="shared" si="1160"/>
        <v>1</v>
      </c>
      <c r="U2466" s="2">
        <f t="shared" si="1178"/>
        <v>0</v>
      </c>
      <c r="V2466" s="2">
        <f t="shared" si="1179"/>
        <v>0</v>
      </c>
      <c r="W2466" s="2">
        <f t="shared" si="1180"/>
        <v>-62.435881250000001</v>
      </c>
      <c r="X2466" s="2">
        <f t="shared" si="1173"/>
        <v>-62.435881250000001</v>
      </c>
      <c r="Y2466" s="2">
        <f t="shared" si="1181"/>
        <v>0</v>
      </c>
      <c r="Z2466" s="2">
        <f t="shared" si="1182"/>
        <v>0</v>
      </c>
      <c r="AA2466" s="2">
        <f t="shared" si="1183"/>
        <v>-108.92404999999999</v>
      </c>
      <c r="AB2466" s="2">
        <f t="shared" si="1174"/>
        <v>-108.92405000000001</v>
      </c>
      <c r="AC2466" s="625">
        <v>0</v>
      </c>
      <c r="AD2466" s="625">
        <v>0</v>
      </c>
      <c r="AE2466" s="625">
        <v>0</v>
      </c>
      <c r="AF2466" s="625">
        <v>0</v>
      </c>
      <c r="AG2466" s="625">
        <v>0</v>
      </c>
      <c r="AH2466" s="625">
        <v>0</v>
      </c>
      <c r="AI2466" s="625">
        <v>0</v>
      </c>
      <c r="AJ2466" s="625">
        <v>-108.36881</v>
      </c>
      <c r="AK2466" s="625">
        <v>-145.30392999999998</v>
      </c>
      <c r="AL2466" s="625">
        <v>-178.81440000000001</v>
      </c>
      <c r="AM2466" s="625">
        <v>-134.95589999999999</v>
      </c>
      <c r="AN2466" s="625">
        <v>-127.32550999999999</v>
      </c>
      <c r="AO2466" s="625">
        <v>-108.92405000000001</v>
      </c>
      <c r="AP2466" s="41" t="str">
        <f t="shared" si="1169"/>
        <v>Def TaxN</v>
      </c>
      <c r="AQ2466" s="41" t="str">
        <f t="shared" si="1170"/>
        <v>Def TaxNN2PSC Assessment</v>
      </c>
      <c r="AR2466" s="41" t="str">
        <f t="shared" si="1171"/>
        <v>N2PSC Assessment</v>
      </c>
    </row>
    <row r="2467" spans="1:44" s="41" customFormat="1" ht="12.75" customHeight="1">
      <c r="A2467" s="442" t="s">
        <v>1590</v>
      </c>
      <c r="B2467" s="442" t="str">
        <f t="shared" si="1158"/>
        <v>Def Tax283560283-081-JPBT010176</v>
      </c>
      <c r="C2467" s="736">
        <v>283560</v>
      </c>
      <c r="D2467" s="735" t="s">
        <v>2026</v>
      </c>
      <c r="E2467" s="626" t="s">
        <v>1977</v>
      </c>
      <c r="F2467" s="626" t="str">
        <f t="shared" si="1156"/>
        <v>ADIT-OTH-REG-STATE-GAS</v>
      </c>
      <c r="G2467" s="626" t="s">
        <v>2027</v>
      </c>
      <c r="H2467" s="736" t="s">
        <v>1245</v>
      </c>
      <c r="I2467" s="442"/>
      <c r="J2467" s="442" t="str">
        <f t="shared" si="1157"/>
        <v/>
      </c>
      <c r="K2467" s="442" t="str">
        <f t="shared" si="1159"/>
        <v/>
      </c>
      <c r="L2467" s="736" t="s">
        <v>2421</v>
      </c>
      <c r="M2467" s="442" t="str">
        <f t="shared" si="1175"/>
        <v>N</v>
      </c>
      <c r="N2467" s="442" t="str">
        <f>IF(L2467&lt;&gt;"",VLOOKUP(L2467,Categories!$B$2:$D$41,2,FALSE),IF(F2467&lt;&gt;"","No Cat",""))</f>
        <v>NRBASE</v>
      </c>
      <c r="O2467" s="442" t="str">
        <f>IF($L2467&lt;&gt;"",VLOOKUP($L2467,Categories!$B$2:$D$41,3,FALSE),IF($F2467&lt;&gt;"","No Cat",""))</f>
        <v>Direct Assign Items Not in RB</v>
      </c>
      <c r="P2467" s="736" t="s">
        <v>2468</v>
      </c>
      <c r="Q2467" s="442" t="str">
        <f>VLOOKUP($P2467,Allocators!$B$7:$F$19,5,FALSE)</f>
        <v>Not in Rate Base</v>
      </c>
      <c r="R2467" s="737">
        <f>VLOOKUP($P2467,Allocators!$B$7:$F$19,2,FALSE)</f>
        <v>0</v>
      </c>
      <c r="S2467" s="737">
        <f>VLOOKUP($P2467,Allocators!$B$7:$F$19,3,FALSE)</f>
        <v>0</v>
      </c>
      <c r="T2467" s="737">
        <f t="shared" si="1160"/>
        <v>1</v>
      </c>
      <c r="U2467" s="2" t="str">
        <f t="shared" si="1178"/>
        <v/>
      </c>
      <c r="V2467" s="2" t="str">
        <f t="shared" si="1179"/>
        <v/>
      </c>
      <c r="W2467" s="2" t="str">
        <f t="shared" si="1180"/>
        <v/>
      </c>
      <c r="X2467" s="2">
        <f t="shared" si="1173"/>
        <v>0</v>
      </c>
      <c r="Y2467" s="2" t="str">
        <f t="shared" si="1181"/>
        <v/>
      </c>
      <c r="Z2467" s="2" t="str">
        <f t="shared" si="1182"/>
        <v/>
      </c>
      <c r="AA2467" s="2" t="str">
        <f t="shared" si="1183"/>
        <v/>
      </c>
      <c r="AB2467" s="2">
        <f t="shared" si="1174"/>
        <v>0</v>
      </c>
      <c r="AC2467" s="625">
        <v>0</v>
      </c>
      <c r="AD2467" s="625">
        <v>0</v>
      </c>
      <c r="AE2467" s="625">
        <v>0</v>
      </c>
      <c r="AF2467" s="625">
        <v>0</v>
      </c>
      <c r="AG2467" s="625">
        <v>0</v>
      </c>
      <c r="AH2467" s="625">
        <v>0</v>
      </c>
      <c r="AI2467" s="625">
        <v>0</v>
      </c>
      <c r="AJ2467" s="625">
        <v>0</v>
      </c>
      <c r="AK2467" s="625">
        <v>0</v>
      </c>
      <c r="AL2467" s="625">
        <v>0</v>
      </c>
      <c r="AM2467" s="625">
        <v>0</v>
      </c>
      <c r="AN2467" s="625">
        <v>0</v>
      </c>
      <c r="AO2467" s="625">
        <v>0</v>
      </c>
      <c r="AP2467" s="41" t="str">
        <f t="shared" si="1169"/>
        <v>Def TaxN</v>
      </c>
      <c r="AQ2467" s="41" t="str">
        <f t="shared" si="1170"/>
        <v>Def TaxNN2Purchase of Receivables</v>
      </c>
      <c r="AR2467" s="41" t="str">
        <f t="shared" si="1171"/>
        <v>N2Purchase of Receivables</v>
      </c>
    </row>
    <row r="2468" spans="1:44" s="41" customFormat="1" ht="12.75" customHeight="1">
      <c r="A2468" s="442" t="s">
        <v>1590</v>
      </c>
      <c r="B2468" s="442" t="str">
        <f t="shared" si="1158"/>
        <v>Def Tax283560BG030904</v>
      </c>
      <c r="C2468" s="736">
        <v>283560</v>
      </c>
      <c r="D2468" s="735"/>
      <c r="E2468" s="626" t="s">
        <v>944</v>
      </c>
      <c r="F2468" s="626" t="str">
        <f t="shared" si="1156"/>
        <v>ADIT-OTH-REG-STATE-GAS</v>
      </c>
      <c r="G2468" s="626" t="s">
        <v>2028</v>
      </c>
      <c r="H2468" s="736" t="s">
        <v>823</v>
      </c>
      <c r="I2468" s="442"/>
      <c r="J2468" s="442" t="s">
        <v>7</v>
      </c>
      <c r="K2468" s="442" t="str">
        <f t="shared" si="1159"/>
        <v/>
      </c>
      <c r="L2468" s="736" t="s">
        <v>2436</v>
      </c>
      <c r="M2468" s="442" t="str">
        <f t="shared" si="1175"/>
        <v>N</v>
      </c>
      <c r="N2468" s="442" t="str">
        <f>IF(L2468&lt;&gt;"",VLOOKUP(L2468,Categories!$B$2:$D$41,2,FALSE),IF(F2468&lt;&gt;"","No Cat",""))</f>
        <v>NRBASE</v>
      </c>
      <c r="O2468" s="442" t="str">
        <f>IF($L2468&lt;&gt;"",VLOOKUP($L2468,Categories!$B$2:$D$41,3,FALSE),IF($F2468&lt;&gt;"","No Cat",""))</f>
        <v>Deferrals Accruing Non-Cash Return   (other than ASGA)</v>
      </c>
      <c r="P2468" s="736" t="s">
        <v>2468</v>
      </c>
      <c r="Q2468" s="442" t="str">
        <f>VLOOKUP($P2468,Allocators!$B$7:$F$19,5,FALSE)</f>
        <v>Not in Rate Base</v>
      </c>
      <c r="R2468" s="737">
        <f>VLOOKUP($P2468,Allocators!$B$7:$F$19,2,FALSE)</f>
        <v>0</v>
      </c>
      <c r="S2468" s="737">
        <f>VLOOKUP($P2468,Allocators!$B$7:$F$19,3,FALSE)</f>
        <v>0</v>
      </c>
      <c r="T2468" s="737">
        <f t="shared" si="1160"/>
        <v>1</v>
      </c>
      <c r="U2468" s="2">
        <f t="shared" si="1178"/>
        <v>0</v>
      </c>
      <c r="V2468" s="2">
        <f t="shared" si="1179"/>
        <v>0</v>
      </c>
      <c r="W2468" s="2">
        <f t="shared" si="1180"/>
        <v>181.51522875000001</v>
      </c>
      <c r="X2468" s="2">
        <f t="shared" si="1173"/>
        <v>181.51522875000001</v>
      </c>
      <c r="Y2468" s="2">
        <f t="shared" si="1181"/>
        <v>0</v>
      </c>
      <c r="Z2468" s="2">
        <f t="shared" si="1182"/>
        <v>0</v>
      </c>
      <c r="AA2468" s="2">
        <f t="shared" si="1183"/>
        <v>94.182850000000002</v>
      </c>
      <c r="AB2468" s="2">
        <f t="shared" si="1174"/>
        <v>94.182850000000002</v>
      </c>
      <c r="AC2468" s="625">
        <v>334.94397999999995</v>
      </c>
      <c r="AD2468" s="625">
        <v>381.44574</v>
      </c>
      <c r="AE2468" s="625">
        <v>344.15285999999998</v>
      </c>
      <c r="AF2468" s="625">
        <v>295.17755999999997</v>
      </c>
      <c r="AG2468" s="625">
        <v>238.96052</v>
      </c>
      <c r="AH2468" s="625">
        <v>190.06421</v>
      </c>
      <c r="AI2468" s="625">
        <v>143.07309000000001</v>
      </c>
      <c r="AJ2468" s="625">
        <v>128.78077999999999</v>
      </c>
      <c r="AK2468" s="625">
        <v>71.154660000000007</v>
      </c>
      <c r="AL2468" s="625">
        <v>51.858879999999999</v>
      </c>
      <c r="AM2468" s="625">
        <v>43.678690000000003</v>
      </c>
      <c r="AN2468" s="625">
        <v>75.27234</v>
      </c>
      <c r="AO2468" s="625">
        <v>94.182850000000002</v>
      </c>
      <c r="AP2468" s="41" t="str">
        <f t="shared" si="1169"/>
        <v>Def TaxN</v>
      </c>
      <c r="AQ2468" s="41" t="str">
        <f t="shared" si="1170"/>
        <v>Def TaxNN10RDM</v>
      </c>
      <c r="AR2468" s="41" t="str">
        <f t="shared" si="1171"/>
        <v>N10RDMNCR</v>
      </c>
    </row>
    <row r="2469" spans="1:44" s="41" customFormat="1" ht="12.75" customHeight="1">
      <c r="A2469" s="25" t="s">
        <v>1590</v>
      </c>
      <c r="B2469" s="25" t="str">
        <f t="shared" si="1158"/>
        <v>Def Tax283560283-082-JPBT010168</v>
      </c>
      <c r="C2469" s="736">
        <v>283560</v>
      </c>
      <c r="D2469" s="735" t="s">
        <v>2241</v>
      </c>
      <c r="E2469" s="41" t="s">
        <v>2360</v>
      </c>
      <c r="F2469" s="41" t="str">
        <f t="shared" si="1156"/>
        <v>ADIT-OTH-REG-STATE-GAS</v>
      </c>
      <c r="G2469" s="41" t="s">
        <v>2361</v>
      </c>
      <c r="H2469" s="736" t="s">
        <v>1117</v>
      </c>
      <c r="I2469" s="25"/>
      <c r="J2469" s="25" t="str">
        <f t="shared" si="1157"/>
        <v/>
      </c>
      <c r="K2469" s="442" t="str">
        <f t="shared" si="1159"/>
        <v/>
      </c>
      <c r="L2469" s="736" t="s">
        <v>2443</v>
      </c>
      <c r="M2469" s="25" t="str">
        <f t="shared" si="1175"/>
        <v>R</v>
      </c>
      <c r="N2469" s="25" t="str">
        <f>IF(L2469&lt;&gt;"",VLOOKUP(L2469,Categories!$B$2:$D$41,2,FALSE),IF(F2469&lt;&gt;"","No Cat",""))</f>
        <v>Rate Base</v>
      </c>
      <c r="O2469" s="25" t="str">
        <f>IF($L2469&lt;&gt;"",VLOOKUP($L2469,Categories!$B$2:$D$41,3,FALSE),IF($F2469&lt;&gt;"","No Cat",""))</f>
        <v>Deferred Income Taxes</v>
      </c>
      <c r="P2469" s="736" t="s">
        <v>2483</v>
      </c>
      <c r="Q2469" s="25" t="str">
        <f>VLOOKUP($P2469,Allocators!$B$7:$F$19,5,FALSE)</f>
        <v>Gas</v>
      </c>
      <c r="R2469" s="737">
        <f>VLOOKUP($P2469,Allocators!$B$7:$F$19,2,FALSE)</f>
        <v>0</v>
      </c>
      <c r="S2469" s="737">
        <f>VLOOKUP($P2469,Allocators!$B$7:$F$19,3,FALSE)</f>
        <v>1</v>
      </c>
      <c r="T2469" s="737" t="str">
        <f t="shared" si="1160"/>
        <v>0.0%</v>
      </c>
      <c r="U2469" s="2">
        <f t="shared" si="1178"/>
        <v>0</v>
      </c>
      <c r="V2469" s="2">
        <f t="shared" si="1179"/>
        <v>-1.325E-2</v>
      </c>
      <c r="W2469" s="2">
        <f t="shared" si="1180"/>
        <v>0</v>
      </c>
      <c r="X2469" s="2">
        <f t="shared" si="1173"/>
        <v>-1.325E-2</v>
      </c>
      <c r="Y2469" s="2">
        <f t="shared" si="1181"/>
        <v>0</v>
      </c>
      <c r="Z2469" s="2">
        <f t="shared" si="1182"/>
        <v>-1.325E-2</v>
      </c>
      <c r="AA2469" s="2">
        <f t="shared" si="1183"/>
        <v>0</v>
      </c>
      <c r="AB2469" s="2">
        <f t="shared" si="1174"/>
        <v>-1.325E-2</v>
      </c>
      <c r="AC2469" s="625">
        <v>-1.325E-2</v>
      </c>
      <c r="AD2469" s="625">
        <v>-1.325E-2</v>
      </c>
      <c r="AE2469" s="625">
        <v>-1.325E-2</v>
      </c>
      <c r="AF2469" s="625">
        <v>-1.325E-2</v>
      </c>
      <c r="AG2469" s="625">
        <v>-1.325E-2</v>
      </c>
      <c r="AH2469" s="625">
        <v>-1.325E-2</v>
      </c>
      <c r="AI2469" s="625">
        <v>-1.325E-2</v>
      </c>
      <c r="AJ2469" s="625">
        <v>-1.325E-2</v>
      </c>
      <c r="AK2469" s="625">
        <v>-1.325E-2</v>
      </c>
      <c r="AL2469" s="625">
        <v>-1.325E-2</v>
      </c>
      <c r="AM2469" s="625">
        <v>-1.325E-2</v>
      </c>
      <c r="AN2469" s="625">
        <v>-1.325E-2</v>
      </c>
      <c r="AO2469" s="625">
        <v>-1.325E-2</v>
      </c>
      <c r="AP2469" s="41" t="str">
        <f t="shared" si="1169"/>
        <v>Def TaxR</v>
      </c>
      <c r="AQ2469" s="41" t="str">
        <f t="shared" si="1170"/>
        <v>Def TaxRR11Security Costs</v>
      </c>
      <c r="AR2469" s="41" t="str">
        <f t="shared" si="1171"/>
        <v>R11Security Costs</v>
      </c>
    </row>
    <row r="2470" spans="1:44" s="41" customFormat="1" ht="12.75" customHeight="1">
      <c r="A2470" s="25" t="s">
        <v>1590</v>
      </c>
      <c r="B2470" s="25" t="str">
        <f t="shared" si="1158"/>
        <v>Def Tax283560283-026BT010071/
BT010072</v>
      </c>
      <c r="C2470" s="736">
        <v>283560</v>
      </c>
      <c r="D2470" s="735" t="s">
        <v>1706</v>
      </c>
      <c r="E2470" s="41" t="s">
        <v>2373</v>
      </c>
      <c r="F2470" s="41" t="str">
        <f t="shared" si="1156"/>
        <v>ADIT-OTH-REG-STATE-GAS</v>
      </c>
      <c r="G2470" s="41" t="s">
        <v>2243</v>
      </c>
      <c r="H2470" s="736" t="s">
        <v>1134</v>
      </c>
      <c r="I2470" s="25"/>
      <c r="J2470" s="25" t="str">
        <f t="shared" si="1157"/>
        <v/>
      </c>
      <c r="K2470" s="442" t="str">
        <f t="shared" si="1159"/>
        <v/>
      </c>
      <c r="L2470" s="736" t="s">
        <v>2421</v>
      </c>
      <c r="M2470" s="25" t="str">
        <f t="shared" si="1175"/>
        <v>N</v>
      </c>
      <c r="N2470" s="25" t="str">
        <f>IF(L2470&lt;&gt;"",VLOOKUP(L2470,Categories!$B$2:$D$41,2,FALSE),IF(F2470&lt;&gt;"","No Cat",""))</f>
        <v>NRBASE</v>
      </c>
      <c r="O2470" s="25" t="str">
        <f>IF($L2470&lt;&gt;"",VLOOKUP($L2470,Categories!$B$2:$D$41,3,FALSE),IF($F2470&lt;&gt;"","No Cat",""))</f>
        <v>Direct Assign Items Not in RB</v>
      </c>
      <c r="P2470" s="736" t="s">
        <v>2468</v>
      </c>
      <c r="Q2470" s="25" t="str">
        <f>VLOOKUP($P2470,Allocators!$B$7:$F$19,5,FALSE)</f>
        <v>Not in Rate Base</v>
      </c>
      <c r="R2470" s="737">
        <f>VLOOKUP($P2470,Allocators!$B$7:$F$19,2,FALSE)</f>
        <v>0</v>
      </c>
      <c r="S2470" s="737">
        <f>VLOOKUP($P2470,Allocators!$B$7:$F$19,3,FALSE)</f>
        <v>0</v>
      </c>
      <c r="T2470" s="737">
        <f t="shared" si="1160"/>
        <v>1</v>
      </c>
      <c r="U2470" s="2">
        <f t="shared" si="1178"/>
        <v>0</v>
      </c>
      <c r="V2470" s="2">
        <f t="shared" si="1179"/>
        <v>0</v>
      </c>
      <c r="W2470" s="2">
        <f t="shared" si="1180"/>
        <v>-2476.8405666666699</v>
      </c>
      <c r="X2470" s="2">
        <f t="shared" si="1173"/>
        <v>-2476.8405666666699</v>
      </c>
      <c r="Y2470" s="2">
        <f t="shared" si="1181"/>
        <v>0</v>
      </c>
      <c r="Z2470" s="2">
        <f t="shared" si="1182"/>
        <v>0</v>
      </c>
      <c r="AA2470" s="2">
        <f t="shared" si="1183"/>
        <v>-3212.3518899999999</v>
      </c>
      <c r="AB2470" s="2">
        <f t="shared" si="1174"/>
        <v>-3212.3518899999999</v>
      </c>
      <c r="AC2470" s="625">
        <v>-2394.0243500000001</v>
      </c>
      <c r="AD2470" s="625">
        <v>-2456.0794000000001</v>
      </c>
      <c r="AE2470" s="625">
        <v>-2438.24433</v>
      </c>
      <c r="AF2470" s="625">
        <v>-2431.4751499999998</v>
      </c>
      <c r="AG2470" s="625">
        <v>-2407.73866</v>
      </c>
      <c r="AH2470" s="625">
        <v>-2369.7963500000001</v>
      </c>
      <c r="AI2470" s="625">
        <v>-2340.0888300000001</v>
      </c>
      <c r="AJ2470" s="625">
        <v>-2325.8244100000002</v>
      </c>
      <c r="AK2470" s="625">
        <v>-2305.4552699999999</v>
      </c>
      <c r="AL2470" s="625">
        <v>-2282.8218299999999</v>
      </c>
      <c r="AM2470" s="625">
        <v>-2327.3743999999997</v>
      </c>
      <c r="AN2470" s="625">
        <v>-3234.0000499999996</v>
      </c>
      <c r="AO2470" s="625">
        <v>-3212.3518899999999</v>
      </c>
      <c r="AP2470" s="41" t="str">
        <f t="shared" si="1169"/>
        <v>Def TaxN</v>
      </c>
      <c r="AQ2470" s="41" t="str">
        <f t="shared" si="1170"/>
        <v>Def TaxNN2Environmental</v>
      </c>
      <c r="AR2470" s="41" t="str">
        <f t="shared" si="1171"/>
        <v>N2Environmental</v>
      </c>
    </row>
    <row r="2471" spans="1:44" s="41" customFormat="1" ht="12.75" customHeight="1">
      <c r="A2471" s="442" t="s">
        <v>1590</v>
      </c>
      <c r="B2471" s="442" t="str">
        <f t="shared" si="1158"/>
        <v>Def Tax283560VRDBG030598</v>
      </c>
      <c r="C2471" s="736">
        <v>283560</v>
      </c>
      <c r="D2471" s="735" t="s">
        <v>2374</v>
      </c>
      <c r="E2471" s="626" t="s">
        <v>943</v>
      </c>
      <c r="F2471" s="626" t="str">
        <f t="shared" si="1156"/>
        <v>ADIT-OTH-REG-STATE-GAS</v>
      </c>
      <c r="G2471" s="626" t="s">
        <v>822</v>
      </c>
      <c r="H2471" s="736" t="s">
        <v>822</v>
      </c>
      <c r="I2471" s="442"/>
      <c r="J2471" s="442" t="str">
        <f t="shared" si="1157"/>
        <v/>
      </c>
      <c r="K2471" s="442" t="str">
        <f t="shared" si="1159"/>
        <v/>
      </c>
      <c r="L2471" s="736" t="s">
        <v>2421</v>
      </c>
      <c r="M2471" s="442" t="str">
        <f t="shared" si="1175"/>
        <v>N</v>
      </c>
      <c r="N2471" s="442" t="str">
        <f>IF(L2471&lt;&gt;"",VLOOKUP(L2471,Categories!$B$2:$D$41,2,FALSE),IF(F2471&lt;&gt;"","No Cat",""))</f>
        <v>NRBASE</v>
      </c>
      <c r="O2471" s="442" t="str">
        <f>IF($L2471&lt;&gt;"",VLOOKUP($L2471,Categories!$B$2:$D$41,3,FALSE),IF($F2471&lt;&gt;"","No Cat",""))</f>
        <v>Direct Assign Items Not in RB</v>
      </c>
      <c r="P2471" s="736" t="s">
        <v>2468</v>
      </c>
      <c r="Q2471" s="442" t="str">
        <f>VLOOKUP($P2471,Allocators!$B$7:$F$19,5,FALSE)</f>
        <v>Not in Rate Base</v>
      </c>
      <c r="R2471" s="737">
        <f>VLOOKUP($P2471,Allocators!$B$7:$F$19,2,FALSE)</f>
        <v>0</v>
      </c>
      <c r="S2471" s="737">
        <f>VLOOKUP($P2471,Allocators!$B$7:$F$19,3,FALSE)</f>
        <v>0</v>
      </c>
      <c r="T2471" s="737">
        <f t="shared" si="1160"/>
        <v>1</v>
      </c>
      <c r="U2471" s="2">
        <f t="shared" si="1178"/>
        <v>0</v>
      </c>
      <c r="V2471" s="2">
        <f t="shared" si="1179"/>
        <v>0</v>
      </c>
      <c r="W2471" s="2">
        <f t="shared" si="1180"/>
        <v>115.314265833333</v>
      </c>
      <c r="X2471" s="2">
        <f t="shared" si="1173"/>
        <v>115.314265833333</v>
      </c>
      <c r="Y2471" s="2">
        <f t="shared" si="1181"/>
        <v>0</v>
      </c>
      <c r="Z2471" s="2">
        <f t="shared" si="1182"/>
        <v>0</v>
      </c>
      <c r="AA2471" s="2">
        <f t="shared" si="1183"/>
        <v>116.79676000000001</v>
      </c>
      <c r="AB2471" s="2">
        <f t="shared" si="1174"/>
        <v>116.79675999999999</v>
      </c>
      <c r="AC2471" s="625">
        <v>111.68128</v>
      </c>
      <c r="AD2471" s="625">
        <v>112.15731</v>
      </c>
      <c r="AE2471" s="625">
        <v>112.69241000000001</v>
      </c>
      <c r="AF2471" s="625">
        <v>113.21503999999999</v>
      </c>
      <c r="AG2471" s="625">
        <v>125.99203</v>
      </c>
      <c r="AH2471" s="625">
        <v>113.85744</v>
      </c>
      <c r="AI2471" s="625">
        <v>114.23869999999999</v>
      </c>
      <c r="AJ2471" s="625">
        <v>114.63249</v>
      </c>
      <c r="AK2471" s="625">
        <v>115.04769999999999</v>
      </c>
      <c r="AL2471" s="625">
        <v>115.46927000000001</v>
      </c>
      <c r="AM2471" s="625">
        <v>115.88864</v>
      </c>
      <c r="AN2471" s="625">
        <v>116.34114</v>
      </c>
      <c r="AO2471" s="625">
        <v>116.79675999999999</v>
      </c>
      <c r="AP2471" s="41" t="str">
        <f t="shared" si="1169"/>
        <v>Def TaxN</v>
      </c>
      <c r="AQ2471" s="41" t="str">
        <f t="shared" si="1170"/>
        <v>Def TaxNN2Variable Rate Debt</v>
      </c>
      <c r="AR2471" s="41" t="str">
        <f t="shared" si="1171"/>
        <v>N2Variable Rate Debt</v>
      </c>
    </row>
    <row r="2472" spans="1:44" s="41" customFormat="1" ht="12.75" customHeight="1">
      <c r="A2472" s="442" t="s">
        <v>1590</v>
      </c>
      <c r="B2472" s="442" t="str">
        <f t="shared" ref="B2472" si="1192">CONCATENATE(A2472,C2472,D2472,E2472)</f>
        <v>Def Tax283560BT010391</v>
      </c>
      <c r="C2472" s="736">
        <v>283560</v>
      </c>
      <c r="D2472" s="735"/>
      <c r="E2472" s="626" t="s">
        <v>4416</v>
      </c>
      <c r="F2472" s="626" t="str">
        <f t="shared" si="1156"/>
        <v>ADIT-OTH-REG-STATE-GAS</v>
      </c>
      <c r="G2472" s="626" t="s">
        <v>4415</v>
      </c>
      <c r="H2472" s="736" t="s">
        <v>4342</v>
      </c>
      <c r="I2472" s="442"/>
      <c r="J2472" s="442"/>
      <c r="K2472" s="442"/>
      <c r="L2472" s="736" t="s">
        <v>2443</v>
      </c>
      <c r="M2472" s="25" t="str">
        <f t="shared" si="1175"/>
        <v>R</v>
      </c>
      <c r="N2472" s="25" t="str">
        <f>IF(L2472&lt;&gt;"",VLOOKUP(L2472,Categories!$B$2:$D$41,2,FALSE),IF(F2472&lt;&gt;"","No Cat",""))</f>
        <v>Rate Base</v>
      </c>
      <c r="O2472" s="25" t="str">
        <f>IF($L2472&lt;&gt;"",VLOOKUP($L2472,Categories!$B$2:$D$41,3,FALSE),IF($F2472&lt;&gt;"","No Cat",""))</f>
        <v>Deferred Income Taxes</v>
      </c>
      <c r="P2472" s="736" t="s">
        <v>2483</v>
      </c>
      <c r="Q2472" s="25" t="str">
        <f>VLOOKUP($P2472,Allocators!$B$7:$F$19,5,FALSE)</f>
        <v>Gas</v>
      </c>
      <c r="R2472" s="737">
        <f>VLOOKUP($P2472,Allocators!$B$7:$F$19,2,FALSE)</f>
        <v>0</v>
      </c>
      <c r="S2472" s="737">
        <f>VLOOKUP($P2472,Allocators!$B$7:$F$19,3,FALSE)</f>
        <v>1</v>
      </c>
      <c r="T2472" s="737" t="str">
        <f t="shared" si="1160"/>
        <v>0.0%</v>
      </c>
      <c r="U2472" s="2">
        <f t="shared" si="1178"/>
        <v>0</v>
      </c>
      <c r="V2472" s="2">
        <f t="shared" si="1179"/>
        <v>-67.808452500000001</v>
      </c>
      <c r="W2472" s="2">
        <f t="shared" si="1180"/>
        <v>0</v>
      </c>
      <c r="X2472" s="2">
        <f t="shared" si="1173"/>
        <v>-67.808452500000001</v>
      </c>
      <c r="Y2472" s="2">
        <f t="shared" si="1181"/>
        <v>0</v>
      </c>
      <c r="Z2472" s="2">
        <f t="shared" si="1182"/>
        <v>-137.52699999999999</v>
      </c>
      <c r="AA2472" s="2">
        <f t="shared" si="1183"/>
        <v>0</v>
      </c>
      <c r="AB2472" s="2">
        <f t="shared" si="1174"/>
        <v>-137.52699999999999</v>
      </c>
      <c r="AC2472" s="625"/>
      <c r="AD2472" s="625"/>
      <c r="AE2472" s="625">
        <v>-22.921169999999996</v>
      </c>
      <c r="AF2472" s="625">
        <v>-34.381749999999997</v>
      </c>
      <c r="AG2472" s="625">
        <v>-45.842330000000004</v>
      </c>
      <c r="AH2472" s="625">
        <v>-57.30292</v>
      </c>
      <c r="AI2472" s="625">
        <v>-68.763499999999993</v>
      </c>
      <c r="AJ2472" s="625">
        <v>-80.224080000000001</v>
      </c>
      <c r="AK2472" s="625">
        <v>-91.684669999999997</v>
      </c>
      <c r="AL2472" s="625">
        <v>-103.14525</v>
      </c>
      <c r="AM2472" s="625">
        <v>-114.60584</v>
      </c>
      <c r="AN2472" s="625">
        <v>-126.06641999999999</v>
      </c>
      <c r="AO2472" s="625">
        <v>-137.52699999999999</v>
      </c>
      <c r="AP2472" s="41" t="str">
        <f t="shared" si="1169"/>
        <v>Def TaxR</v>
      </c>
      <c r="AQ2472" s="41" t="str">
        <f t="shared" si="1170"/>
        <v>Def TaxRR11Continuation of Current Amorts (Until New Rates are Set)</v>
      </c>
      <c r="AR2472" s="41" t="str">
        <f t="shared" si="1171"/>
        <v>R11Continuation of Current Amorts (Until New Rates are Set)</v>
      </c>
    </row>
    <row r="2473" spans="1:44" s="41" customFormat="1" ht="15.75" customHeight="1">
      <c r="A2473" s="25" t="s">
        <v>1590</v>
      </c>
      <c r="B2473" s="25" t="str">
        <f t="shared" si="1158"/>
        <v>Def Tax283560VERP CTABG030903</v>
      </c>
      <c r="C2473" s="736">
        <v>283560</v>
      </c>
      <c r="D2473" s="735" t="s">
        <v>2364</v>
      </c>
      <c r="E2473" s="41" t="s">
        <v>940</v>
      </c>
      <c r="F2473" s="41" t="str">
        <f t="shared" si="1156"/>
        <v>ADIT-OTH-REG-STATE-GAS</v>
      </c>
      <c r="G2473" s="41" t="s">
        <v>2365</v>
      </c>
      <c r="H2473" s="736" t="s">
        <v>820</v>
      </c>
      <c r="I2473" s="25"/>
      <c r="J2473" s="25" t="str">
        <f t="shared" si="1157"/>
        <v/>
      </c>
      <c r="K2473" s="442" t="str">
        <f t="shared" si="1159"/>
        <v/>
      </c>
      <c r="L2473" s="736" t="s">
        <v>2443</v>
      </c>
      <c r="M2473" s="25" t="str">
        <f t="shared" si="1175"/>
        <v>R</v>
      </c>
      <c r="N2473" s="25" t="str">
        <f>IF(L2473&lt;&gt;"",VLOOKUP(L2473,Categories!$B$2:$D$41,2,FALSE),IF(F2473&lt;&gt;"","No Cat",""))</f>
        <v>Rate Base</v>
      </c>
      <c r="O2473" s="25" t="str">
        <f>IF($L2473&lt;&gt;"",VLOOKUP($L2473,Categories!$B$2:$D$41,3,FALSE),IF($F2473&lt;&gt;"","No Cat",""))</f>
        <v>Deferred Income Taxes</v>
      </c>
      <c r="P2473" s="736" t="s">
        <v>2483</v>
      </c>
      <c r="Q2473" s="25" t="str">
        <f>VLOOKUP($P2473,Allocators!$B$7:$F$19,5,FALSE)</f>
        <v>Gas</v>
      </c>
      <c r="R2473" s="737">
        <f>VLOOKUP($P2473,Allocators!$B$7:$F$19,2,FALSE)</f>
        <v>0</v>
      </c>
      <c r="S2473" s="737">
        <f>VLOOKUP($P2473,Allocators!$B$7:$F$19,3,FALSE)</f>
        <v>1</v>
      </c>
      <c r="T2473" s="737" t="str">
        <f t="shared" si="1160"/>
        <v>0.0%</v>
      </c>
      <c r="U2473" s="2">
        <f t="shared" si="1178"/>
        <v>0</v>
      </c>
      <c r="V2473" s="2">
        <f t="shared" si="1179"/>
        <v>-8.0603999999999996</v>
      </c>
      <c r="W2473" s="2">
        <f t="shared" si="1180"/>
        <v>0</v>
      </c>
      <c r="X2473" s="2">
        <f t="shared" si="1173"/>
        <v>-8.0603999999999996</v>
      </c>
      <c r="Y2473" s="2">
        <f t="shared" si="1181"/>
        <v>0</v>
      </c>
      <c r="Z2473" s="2">
        <f t="shared" si="1182"/>
        <v>-8.0603999999999996</v>
      </c>
      <c r="AA2473" s="2">
        <f t="shared" si="1183"/>
        <v>0</v>
      </c>
      <c r="AB2473" s="2">
        <f t="shared" si="1174"/>
        <v>-8.0603999999999996</v>
      </c>
      <c r="AC2473" s="625">
        <v>-8.0603999999999996</v>
      </c>
      <c r="AD2473" s="625">
        <v>-8.0603999999999996</v>
      </c>
      <c r="AE2473" s="625">
        <v>-8.0603999999999996</v>
      </c>
      <c r="AF2473" s="625">
        <v>-8.0603999999999996</v>
      </c>
      <c r="AG2473" s="625">
        <v>-8.0603999999999996</v>
      </c>
      <c r="AH2473" s="625">
        <v>-8.0603999999999996</v>
      </c>
      <c r="AI2473" s="625">
        <v>-8.0603999999999996</v>
      </c>
      <c r="AJ2473" s="625">
        <v>-8.0603999999999996</v>
      </c>
      <c r="AK2473" s="625">
        <v>-8.0603999999999996</v>
      </c>
      <c r="AL2473" s="625">
        <v>-8.0603999999999996</v>
      </c>
      <c r="AM2473" s="625">
        <v>-8.0603999999999996</v>
      </c>
      <c r="AN2473" s="625">
        <v>-8.0603999999999996</v>
      </c>
      <c r="AO2473" s="625">
        <v>-8.0603999999999996</v>
      </c>
      <c r="AP2473" s="41" t="str">
        <f t="shared" si="1169"/>
        <v>Def TaxR</v>
      </c>
      <c r="AQ2473" s="41" t="str">
        <f t="shared" si="1170"/>
        <v>Def TaxRR11CTA Efficiency</v>
      </c>
      <c r="AR2473" s="41" t="str">
        <f t="shared" si="1171"/>
        <v>R11CTA Efficiency</v>
      </c>
    </row>
    <row r="2474" spans="1:44" s="41" customFormat="1" ht="12.75" customHeight="1">
      <c r="A2474" s="442" t="s">
        <v>1590</v>
      </c>
      <c r="B2474" s="442" t="str">
        <f t="shared" si="1158"/>
        <v>Def Tax2838830BC999998</v>
      </c>
      <c r="C2474" s="736">
        <v>283883</v>
      </c>
      <c r="D2474" s="735">
        <v>0</v>
      </c>
      <c r="E2474" s="626" t="s">
        <v>2379</v>
      </c>
      <c r="F2474" s="626" t="str">
        <f t="shared" si="1156"/>
        <v>TAXES ACCRUED-GAS-GAAP FIN 48 - DEFERRED</v>
      </c>
      <c r="G2474" s="626" t="s">
        <v>2380</v>
      </c>
      <c r="H2474" s="736" t="s">
        <v>8</v>
      </c>
      <c r="I2474" s="442"/>
      <c r="J2474" s="442" t="str">
        <f t="shared" si="1157"/>
        <v/>
      </c>
      <c r="K2474" s="442" t="str">
        <f t="shared" si="1159"/>
        <v>Y</v>
      </c>
      <c r="L2474" s="736" t="s">
        <v>2423</v>
      </c>
      <c r="M2474" s="442" t="str">
        <f t="shared" si="1175"/>
        <v>N</v>
      </c>
      <c r="N2474" s="442" t="str">
        <f>IF(L2474&lt;&gt;"",VLOOKUP(L2474,Categories!$B$2:$D$41,2,FALSE),IF(F2474&lt;&gt;"","No Cat",""))</f>
        <v>NRBASE</v>
      </c>
      <c r="O2474" s="442" t="str">
        <f>IF($L2474&lt;&gt;"",VLOOKUP($L2474,Categories!$B$2:$D$41,3,FALSE),IF($F2474&lt;&gt;"","No Cat",""))</f>
        <v>SFAS-109   (offsetting)</v>
      </c>
      <c r="P2474" s="736" t="s">
        <v>2468</v>
      </c>
      <c r="Q2474" s="442" t="str">
        <f>VLOOKUP($P2474,Allocators!$B$7:$F$19,5,FALSE)</f>
        <v>Not in Rate Base</v>
      </c>
      <c r="R2474" s="737">
        <f>VLOOKUP($P2474,Allocators!$B$7:$F$19,2,FALSE)</f>
        <v>0</v>
      </c>
      <c r="S2474" s="737">
        <f>VLOOKUP($P2474,Allocators!$B$7:$F$19,3,FALSE)</f>
        <v>0</v>
      </c>
      <c r="T2474" s="737">
        <f t="shared" si="1160"/>
        <v>1</v>
      </c>
      <c r="U2474" s="2">
        <f t="shared" si="1178"/>
        <v>0</v>
      </c>
      <c r="V2474" s="2">
        <f t="shared" si="1179"/>
        <v>0</v>
      </c>
      <c r="W2474" s="2">
        <f t="shared" si="1180"/>
        <v>1862</v>
      </c>
      <c r="X2474" s="2">
        <f t="shared" si="1173"/>
        <v>1862</v>
      </c>
      <c r="Y2474" s="2">
        <f t="shared" si="1181"/>
        <v>0</v>
      </c>
      <c r="Z2474" s="2">
        <f t="shared" si="1182"/>
        <v>0</v>
      </c>
      <c r="AA2474" s="2">
        <f t="shared" si="1183"/>
        <v>1862</v>
      </c>
      <c r="AB2474" s="2">
        <f t="shared" si="1174"/>
        <v>1862</v>
      </c>
      <c r="AC2474" s="625">
        <v>1862</v>
      </c>
      <c r="AD2474" s="625">
        <v>1862</v>
      </c>
      <c r="AE2474" s="625">
        <v>1862</v>
      </c>
      <c r="AF2474" s="625">
        <v>1862</v>
      </c>
      <c r="AG2474" s="625">
        <v>1862</v>
      </c>
      <c r="AH2474" s="625">
        <v>1862</v>
      </c>
      <c r="AI2474" s="625">
        <v>1862</v>
      </c>
      <c r="AJ2474" s="625">
        <v>1862</v>
      </c>
      <c r="AK2474" s="625">
        <v>1862</v>
      </c>
      <c r="AL2474" s="625">
        <v>1862</v>
      </c>
      <c r="AM2474" s="625">
        <v>1862</v>
      </c>
      <c r="AN2474" s="625">
        <v>1862</v>
      </c>
      <c r="AO2474" s="625">
        <v>1862</v>
      </c>
      <c r="AP2474" s="41" t="str">
        <f t="shared" si="1169"/>
        <v>Def TaxN</v>
      </c>
      <c r="AQ2474" s="41" t="str">
        <f t="shared" si="1170"/>
        <v>Def TaxNN3SFAS 109</v>
      </c>
      <c r="AR2474" s="41" t="str">
        <f t="shared" si="1171"/>
        <v>N3SFAS 109</v>
      </c>
    </row>
    <row r="2475" spans="1:44" s="41" customFormat="1" ht="12.75" customHeight="1">
      <c r="A2475" s="442" t="s">
        <v>1590</v>
      </c>
      <c r="B2475" s="442" t="str">
        <f t="shared" si="1158"/>
        <v>Def Tax2838830BTFIN48F</v>
      </c>
      <c r="C2475" s="736">
        <v>283883</v>
      </c>
      <c r="D2475" s="735">
        <v>0</v>
      </c>
      <c r="E2475" s="626" t="s">
        <v>2381</v>
      </c>
      <c r="F2475" s="626" t="str">
        <f t="shared" si="1156"/>
        <v>TAXES ACCRUED-GAS-GAAP FIN 48 - DEFERRED</v>
      </c>
      <c r="G2475" s="626" t="s">
        <v>2380</v>
      </c>
      <c r="H2475" s="736" t="s">
        <v>8</v>
      </c>
      <c r="I2475" s="442"/>
      <c r="J2475" s="442" t="str">
        <f t="shared" si="1157"/>
        <v/>
      </c>
      <c r="K2475" s="442" t="str">
        <f t="shared" si="1159"/>
        <v>Y</v>
      </c>
      <c r="L2475" s="736" t="s">
        <v>2423</v>
      </c>
      <c r="M2475" s="442" t="str">
        <f t="shared" si="1175"/>
        <v>N</v>
      </c>
      <c r="N2475" s="442" t="str">
        <f>IF(L2475&lt;&gt;"",VLOOKUP(L2475,Categories!$B$2:$D$41,2,FALSE),IF(F2475&lt;&gt;"","No Cat",""))</f>
        <v>NRBASE</v>
      </c>
      <c r="O2475" s="442" t="str">
        <f>IF($L2475&lt;&gt;"",VLOOKUP($L2475,Categories!$B$2:$D$41,3,FALSE),IF($F2475&lt;&gt;"","No Cat",""))</f>
        <v>SFAS-109   (offsetting)</v>
      </c>
      <c r="P2475" s="736" t="s">
        <v>2468</v>
      </c>
      <c r="Q2475" s="442" t="str">
        <f>VLOOKUP($P2475,Allocators!$B$7:$F$19,5,FALSE)</f>
        <v>Not in Rate Base</v>
      </c>
      <c r="R2475" s="737">
        <f>VLOOKUP($P2475,Allocators!$B$7:$F$19,2,FALSE)</f>
        <v>0</v>
      </c>
      <c r="S2475" s="737">
        <f>VLOOKUP($P2475,Allocators!$B$7:$F$19,3,FALSE)</f>
        <v>0</v>
      </c>
      <c r="T2475" s="737">
        <f t="shared" si="1160"/>
        <v>1</v>
      </c>
      <c r="U2475" s="2">
        <f t="shared" si="1178"/>
        <v>0</v>
      </c>
      <c r="V2475" s="2">
        <f t="shared" si="1179"/>
        <v>0</v>
      </c>
      <c r="W2475" s="2">
        <f t="shared" si="1180"/>
        <v>1908.3720000000001</v>
      </c>
      <c r="X2475" s="2">
        <f t="shared" si="1173"/>
        <v>1908.3720000000001</v>
      </c>
      <c r="Y2475" s="2">
        <f t="shared" si="1181"/>
        <v>0</v>
      </c>
      <c r="Z2475" s="2">
        <f t="shared" si="1182"/>
        <v>0</v>
      </c>
      <c r="AA2475" s="2">
        <f t="shared" si="1183"/>
        <v>2674.4560000000001</v>
      </c>
      <c r="AB2475" s="2">
        <f t="shared" si="1174"/>
        <v>2674.4560000000001</v>
      </c>
      <c r="AC2475" s="625">
        <v>1003</v>
      </c>
      <c r="AD2475" s="625">
        <v>1003</v>
      </c>
      <c r="AE2475" s="625">
        <v>1003</v>
      </c>
      <c r="AF2475" s="625">
        <v>1003</v>
      </c>
      <c r="AG2475" s="625">
        <v>1003</v>
      </c>
      <c r="AH2475" s="625">
        <v>1003</v>
      </c>
      <c r="AI2475" s="625">
        <v>2674.4560000000001</v>
      </c>
      <c r="AJ2475" s="625">
        <v>2674.4560000000001</v>
      </c>
      <c r="AK2475" s="625">
        <v>2674.4560000000001</v>
      </c>
      <c r="AL2475" s="625">
        <v>2674.4560000000001</v>
      </c>
      <c r="AM2475" s="625">
        <v>2674.4560000000001</v>
      </c>
      <c r="AN2475" s="625">
        <v>2674.4560000000001</v>
      </c>
      <c r="AO2475" s="625">
        <v>2674.4560000000001</v>
      </c>
      <c r="AP2475" s="41" t="str">
        <f t="shared" si="1169"/>
        <v>Def TaxN</v>
      </c>
      <c r="AQ2475" s="41" t="str">
        <f t="shared" si="1170"/>
        <v>Def TaxNN3SFAS 109</v>
      </c>
      <c r="AR2475" s="41" t="str">
        <f t="shared" si="1171"/>
        <v>N3SFAS 109</v>
      </c>
    </row>
    <row r="2476" spans="1:44" s="41" customFormat="1" ht="12.75" customHeight="1">
      <c r="A2476" s="442" t="s">
        <v>1590</v>
      </c>
      <c r="B2476" s="442" t="str">
        <f t="shared" si="1158"/>
        <v>Def Tax2838830BTFIN48S</v>
      </c>
      <c r="C2476" s="736">
        <v>283883</v>
      </c>
      <c r="D2476" s="735">
        <v>0</v>
      </c>
      <c r="E2476" s="626" t="s">
        <v>2382</v>
      </c>
      <c r="F2476" s="626" t="str">
        <f t="shared" si="1156"/>
        <v>TAXES ACCRUED-GAS-GAAP FIN 48 - DEFERRED</v>
      </c>
      <c r="G2476" s="626" t="s">
        <v>2380</v>
      </c>
      <c r="H2476" s="736" t="s">
        <v>8</v>
      </c>
      <c r="I2476" s="442"/>
      <c r="J2476" s="442" t="str">
        <f t="shared" si="1157"/>
        <v/>
      </c>
      <c r="K2476" s="442" t="str">
        <f t="shared" si="1159"/>
        <v>Y</v>
      </c>
      <c r="L2476" s="736" t="s">
        <v>2423</v>
      </c>
      <c r="M2476" s="442" t="str">
        <f t="shared" si="1175"/>
        <v>N</v>
      </c>
      <c r="N2476" s="442" t="str">
        <f>IF(L2476&lt;&gt;"",VLOOKUP(L2476,Categories!$B$2:$D$41,2,FALSE),IF(F2476&lt;&gt;"","No Cat",""))</f>
        <v>NRBASE</v>
      </c>
      <c r="O2476" s="442" t="str">
        <f>IF($L2476&lt;&gt;"",VLOOKUP($L2476,Categories!$B$2:$D$41,3,FALSE),IF($F2476&lt;&gt;"","No Cat",""))</f>
        <v>SFAS-109   (offsetting)</v>
      </c>
      <c r="P2476" s="736" t="s">
        <v>2468</v>
      </c>
      <c r="Q2476" s="442" t="str">
        <f>VLOOKUP($P2476,Allocators!$B$7:$F$19,5,FALSE)</f>
        <v>Not in Rate Base</v>
      </c>
      <c r="R2476" s="737">
        <f>VLOOKUP($P2476,Allocators!$B$7:$F$19,2,FALSE)</f>
        <v>0</v>
      </c>
      <c r="S2476" s="737">
        <f>VLOOKUP($P2476,Allocators!$B$7:$F$19,3,FALSE)</f>
        <v>0</v>
      </c>
      <c r="T2476" s="737">
        <f t="shared" si="1160"/>
        <v>1</v>
      </c>
      <c r="U2476" s="2">
        <f t="shared" si="1178"/>
        <v>0</v>
      </c>
      <c r="V2476" s="2">
        <f t="shared" si="1179"/>
        <v>0</v>
      </c>
      <c r="W2476" s="2">
        <f t="shared" si="1180"/>
        <v>-5383.8029100000003</v>
      </c>
      <c r="X2476" s="2">
        <f t="shared" si="1173"/>
        <v>-5383.8029100000003</v>
      </c>
      <c r="Y2476" s="2">
        <f t="shared" si="1181"/>
        <v>0</v>
      </c>
      <c r="Z2476" s="2">
        <f t="shared" si="1182"/>
        <v>0</v>
      </c>
      <c r="AA2476" s="2">
        <f t="shared" si="1183"/>
        <v>-5383.8029100000003</v>
      </c>
      <c r="AB2476" s="2">
        <f t="shared" si="1174"/>
        <v>-5383.8029100000003</v>
      </c>
      <c r="AC2476" s="625">
        <v>-5383.8029100000003</v>
      </c>
      <c r="AD2476" s="625">
        <v>-5383.8029100000003</v>
      </c>
      <c r="AE2476" s="625">
        <v>-5383.8029100000003</v>
      </c>
      <c r="AF2476" s="625">
        <v>-5383.8029100000003</v>
      </c>
      <c r="AG2476" s="625">
        <v>-5383.8029100000003</v>
      </c>
      <c r="AH2476" s="625">
        <v>-5383.8029100000003</v>
      </c>
      <c r="AI2476" s="625">
        <v>-5383.8029100000003</v>
      </c>
      <c r="AJ2476" s="625">
        <v>-5383.8029100000003</v>
      </c>
      <c r="AK2476" s="625">
        <v>-5383.8029100000003</v>
      </c>
      <c r="AL2476" s="625">
        <v>-5383.8029100000003</v>
      </c>
      <c r="AM2476" s="625">
        <v>-5383.8029100000003</v>
      </c>
      <c r="AN2476" s="625">
        <v>-5383.8029100000003</v>
      </c>
      <c r="AO2476" s="625">
        <v>-5383.8029100000003</v>
      </c>
      <c r="AP2476" s="41" t="str">
        <f t="shared" si="1169"/>
        <v>Def TaxN</v>
      </c>
      <c r="AQ2476" s="41" t="str">
        <f t="shared" si="1170"/>
        <v>Def TaxNN3SFAS 109</v>
      </c>
      <c r="AR2476" s="41" t="str">
        <f t="shared" si="1171"/>
        <v>N3SFAS 109</v>
      </c>
    </row>
    <row r="2477" spans="1:44" s="41" customFormat="1" ht="12.75" customHeight="1">
      <c r="A2477" s="442" t="s">
        <v>1590</v>
      </c>
      <c r="B2477" s="442" t="str">
        <f t="shared" si="1158"/>
        <v>Def Tax2838840BTFIN48F</v>
      </c>
      <c r="C2477" s="736">
        <v>283884</v>
      </c>
      <c r="D2477" s="735">
        <v>0</v>
      </c>
      <c r="E2477" s="626" t="s">
        <v>2381</v>
      </c>
      <c r="F2477" s="626" t="str">
        <f t="shared" si="1156"/>
        <v>TAXES ACCRUED-ELEC-FERC FIN 48 - DEFERRED</v>
      </c>
      <c r="G2477" s="626" t="s">
        <v>2383</v>
      </c>
      <c r="H2477" s="736" t="s">
        <v>8</v>
      </c>
      <c r="I2477" s="442"/>
      <c r="J2477" s="442" t="str">
        <f t="shared" si="1157"/>
        <v/>
      </c>
      <c r="K2477" s="442" t="str">
        <f t="shared" si="1159"/>
        <v>Y</v>
      </c>
      <c r="L2477" s="736" t="s">
        <v>2423</v>
      </c>
      <c r="M2477" s="442" t="str">
        <f t="shared" si="1175"/>
        <v>N</v>
      </c>
      <c r="N2477" s="442" t="str">
        <f>IF(L2477&lt;&gt;"",VLOOKUP(L2477,Categories!$B$2:$D$41,2,FALSE),IF(F2477&lt;&gt;"","No Cat",""))</f>
        <v>NRBASE</v>
      </c>
      <c r="O2477" s="442" t="str">
        <f>IF($L2477&lt;&gt;"",VLOOKUP($L2477,Categories!$B$2:$D$41,3,FALSE),IF($F2477&lt;&gt;"","No Cat",""))</f>
        <v>SFAS-109   (offsetting)</v>
      </c>
      <c r="P2477" s="736" t="s">
        <v>2468</v>
      </c>
      <c r="Q2477" s="442" t="str">
        <f>VLOOKUP($P2477,Allocators!$B$7:$F$19,5,FALSE)</f>
        <v>Not in Rate Base</v>
      </c>
      <c r="R2477" s="737">
        <f>VLOOKUP($P2477,Allocators!$B$7:$F$19,2,FALSE)</f>
        <v>0</v>
      </c>
      <c r="S2477" s="737">
        <f>VLOOKUP($P2477,Allocators!$B$7:$F$19,3,FALSE)</f>
        <v>0</v>
      </c>
      <c r="T2477" s="737">
        <f t="shared" si="1160"/>
        <v>1</v>
      </c>
      <c r="U2477" s="2">
        <f t="shared" si="1178"/>
        <v>0</v>
      </c>
      <c r="V2477" s="2">
        <f t="shared" si="1179"/>
        <v>0</v>
      </c>
      <c r="W2477" s="2">
        <f t="shared" si="1180"/>
        <v>-578</v>
      </c>
      <c r="X2477" s="2">
        <f t="shared" si="1173"/>
        <v>-578</v>
      </c>
      <c r="Y2477" s="2">
        <f t="shared" si="1181"/>
        <v>0</v>
      </c>
      <c r="Z2477" s="2">
        <f t="shared" si="1182"/>
        <v>0</v>
      </c>
      <c r="AA2477" s="2">
        <f t="shared" si="1183"/>
        <v>-578</v>
      </c>
      <c r="AB2477" s="2">
        <f t="shared" si="1174"/>
        <v>-578</v>
      </c>
      <c r="AC2477" s="625">
        <v>-578</v>
      </c>
      <c r="AD2477" s="625">
        <v>-578</v>
      </c>
      <c r="AE2477" s="625">
        <v>-578</v>
      </c>
      <c r="AF2477" s="625">
        <v>-578</v>
      </c>
      <c r="AG2477" s="625">
        <v>-578</v>
      </c>
      <c r="AH2477" s="625">
        <v>-578</v>
      </c>
      <c r="AI2477" s="625">
        <v>-578</v>
      </c>
      <c r="AJ2477" s="625">
        <v>-578</v>
      </c>
      <c r="AK2477" s="625">
        <v>-578</v>
      </c>
      <c r="AL2477" s="625">
        <v>-578</v>
      </c>
      <c r="AM2477" s="625">
        <v>-578</v>
      </c>
      <c r="AN2477" s="625">
        <v>-578</v>
      </c>
      <c r="AO2477" s="625">
        <v>-578</v>
      </c>
      <c r="AP2477" s="41" t="str">
        <f t="shared" si="1169"/>
        <v>Def TaxN</v>
      </c>
      <c r="AQ2477" s="41" t="str">
        <f t="shared" si="1170"/>
        <v>Def TaxNN3SFAS 109</v>
      </c>
      <c r="AR2477" s="41" t="str">
        <f t="shared" si="1171"/>
        <v>N3SFAS 109</v>
      </c>
    </row>
    <row r="2478" spans="1:44" s="41" customFormat="1" ht="12.75" customHeight="1">
      <c r="A2478" s="442" t="s">
        <v>1590</v>
      </c>
      <c r="B2478" s="442" t="str">
        <f t="shared" si="1158"/>
        <v>Def Tax2838840BTFIN48S</v>
      </c>
      <c r="C2478" s="736">
        <v>283884</v>
      </c>
      <c r="D2478" s="735">
        <v>0</v>
      </c>
      <c r="E2478" s="626" t="s">
        <v>2382</v>
      </c>
      <c r="F2478" s="626" t="str">
        <f t="shared" si="1156"/>
        <v>TAXES ACCRUED-ELEC-FERC FIN 48 - DEFERRED</v>
      </c>
      <c r="G2478" s="626" t="s">
        <v>2383</v>
      </c>
      <c r="H2478" s="736" t="s">
        <v>8</v>
      </c>
      <c r="I2478" s="442"/>
      <c r="J2478" s="442" t="str">
        <f t="shared" si="1157"/>
        <v/>
      </c>
      <c r="K2478" s="442" t="str">
        <f t="shared" si="1159"/>
        <v>Y</v>
      </c>
      <c r="L2478" s="736" t="s">
        <v>2423</v>
      </c>
      <c r="M2478" s="442" t="str">
        <f t="shared" si="1175"/>
        <v>N</v>
      </c>
      <c r="N2478" s="442" t="str">
        <f>IF(L2478&lt;&gt;"",VLOOKUP(L2478,Categories!$B$2:$D$41,2,FALSE),IF(F2478&lt;&gt;"","No Cat",""))</f>
        <v>NRBASE</v>
      </c>
      <c r="O2478" s="442" t="str">
        <f>IF($L2478&lt;&gt;"",VLOOKUP($L2478,Categories!$B$2:$D$41,3,FALSE),IF($F2478&lt;&gt;"","No Cat",""))</f>
        <v>SFAS-109   (offsetting)</v>
      </c>
      <c r="P2478" s="736" t="s">
        <v>2468</v>
      </c>
      <c r="Q2478" s="442" t="str">
        <f>VLOOKUP($P2478,Allocators!$B$7:$F$19,5,FALSE)</f>
        <v>Not in Rate Base</v>
      </c>
      <c r="R2478" s="737">
        <f>VLOOKUP($P2478,Allocators!$B$7:$F$19,2,FALSE)</f>
        <v>0</v>
      </c>
      <c r="S2478" s="737">
        <f>VLOOKUP($P2478,Allocators!$B$7:$F$19,3,FALSE)</f>
        <v>0</v>
      </c>
      <c r="T2478" s="737">
        <f t="shared" si="1160"/>
        <v>1</v>
      </c>
      <c r="U2478" s="2">
        <f t="shared" si="1178"/>
        <v>0</v>
      </c>
      <c r="V2478" s="2">
        <f t="shared" si="1179"/>
        <v>0</v>
      </c>
      <c r="W2478" s="2">
        <f t="shared" si="1180"/>
        <v>-449.88009</v>
      </c>
      <c r="X2478" s="2">
        <f t="shared" si="1173"/>
        <v>-449.88009</v>
      </c>
      <c r="Y2478" s="2">
        <f t="shared" si="1181"/>
        <v>0</v>
      </c>
      <c r="Z2478" s="2">
        <f t="shared" si="1182"/>
        <v>0</v>
      </c>
      <c r="AA2478" s="2">
        <f t="shared" si="1183"/>
        <v>-449.88009</v>
      </c>
      <c r="AB2478" s="2">
        <f t="shared" si="1174"/>
        <v>-449.88009000000005</v>
      </c>
      <c r="AC2478" s="625">
        <v>-449.88009000000005</v>
      </c>
      <c r="AD2478" s="625">
        <v>-449.88009000000005</v>
      </c>
      <c r="AE2478" s="625">
        <v>-449.88009000000005</v>
      </c>
      <c r="AF2478" s="625">
        <v>-449.88009000000005</v>
      </c>
      <c r="AG2478" s="625">
        <v>-449.88009000000005</v>
      </c>
      <c r="AH2478" s="625">
        <v>-449.88009000000005</v>
      </c>
      <c r="AI2478" s="625">
        <v>-449.88009000000005</v>
      </c>
      <c r="AJ2478" s="625">
        <v>-449.88009000000005</v>
      </c>
      <c r="AK2478" s="625">
        <v>-449.88009000000005</v>
      </c>
      <c r="AL2478" s="625">
        <v>-449.88009000000005</v>
      </c>
      <c r="AM2478" s="625">
        <v>-449.88009000000005</v>
      </c>
      <c r="AN2478" s="625">
        <v>-449.88009000000005</v>
      </c>
      <c r="AO2478" s="625">
        <v>-449.88009000000005</v>
      </c>
      <c r="AP2478" s="41" t="str">
        <f t="shared" si="1169"/>
        <v>Def TaxN</v>
      </c>
      <c r="AQ2478" s="41" t="str">
        <f t="shared" si="1170"/>
        <v>Def TaxNN3SFAS 109</v>
      </c>
      <c r="AR2478" s="41" t="str">
        <f t="shared" si="1171"/>
        <v>N3SFAS 109</v>
      </c>
    </row>
    <row r="2479" spans="1:44" s="41" customFormat="1" ht="12.75" customHeight="1">
      <c r="A2479" s="442" t="s">
        <v>1590</v>
      </c>
      <c r="B2479" s="442" t="str">
        <f t="shared" si="1158"/>
        <v>Def Tax2839830BC999998</v>
      </c>
      <c r="C2479" s="736">
        <v>283983</v>
      </c>
      <c r="D2479" s="735">
        <v>0</v>
      </c>
      <c r="E2479" s="626" t="s">
        <v>2379</v>
      </c>
      <c r="F2479" s="626" t="str">
        <f t="shared" si="1156"/>
        <v>TAXES ACCRUED-ELEC-FERC FIN 48 - DEFERRED</v>
      </c>
      <c r="G2479" s="626" t="s">
        <v>2380</v>
      </c>
      <c r="H2479" s="736" t="s">
        <v>8</v>
      </c>
      <c r="I2479" s="442"/>
      <c r="J2479" s="442" t="str">
        <f t="shared" si="1157"/>
        <v/>
      </c>
      <c r="K2479" s="442" t="str">
        <f t="shared" si="1159"/>
        <v>Y</v>
      </c>
      <c r="L2479" s="736" t="s">
        <v>2423</v>
      </c>
      <c r="M2479" s="442" t="str">
        <f t="shared" si="1175"/>
        <v>N</v>
      </c>
      <c r="N2479" s="442" t="str">
        <f>IF(L2479&lt;&gt;"",VLOOKUP(L2479,Categories!$B$2:$D$41,2,FALSE),IF(F2479&lt;&gt;"","No Cat",""))</f>
        <v>NRBASE</v>
      </c>
      <c r="O2479" s="442" t="str">
        <f>IF($L2479&lt;&gt;"",VLOOKUP($L2479,Categories!$B$2:$D$41,3,FALSE),IF($F2479&lt;&gt;"","No Cat",""))</f>
        <v>SFAS-109   (offsetting)</v>
      </c>
      <c r="P2479" s="736" t="s">
        <v>2468</v>
      </c>
      <c r="Q2479" s="442" t="str">
        <f>VLOOKUP($P2479,Allocators!$B$7:$F$19,5,FALSE)</f>
        <v>Not in Rate Base</v>
      </c>
      <c r="R2479" s="737">
        <f>VLOOKUP($P2479,Allocators!$B$7:$F$19,2,FALSE)</f>
        <v>0</v>
      </c>
      <c r="S2479" s="737">
        <f>VLOOKUP($P2479,Allocators!$B$7:$F$19,3,FALSE)</f>
        <v>0</v>
      </c>
      <c r="T2479" s="737">
        <f t="shared" si="1160"/>
        <v>1</v>
      </c>
      <c r="U2479" s="2">
        <f t="shared" si="1178"/>
        <v>0</v>
      </c>
      <c r="V2479" s="2">
        <f t="shared" si="1179"/>
        <v>0</v>
      </c>
      <c r="W2479" s="2">
        <f t="shared" si="1180"/>
        <v>-1862</v>
      </c>
      <c r="X2479" s="2">
        <f t="shared" si="1173"/>
        <v>-1862</v>
      </c>
      <c r="Y2479" s="2">
        <f t="shared" si="1181"/>
        <v>0</v>
      </c>
      <c r="Z2479" s="2">
        <f t="shared" si="1182"/>
        <v>0</v>
      </c>
      <c r="AA2479" s="2">
        <f t="shared" si="1183"/>
        <v>-1862</v>
      </c>
      <c r="AB2479" s="2">
        <f t="shared" si="1174"/>
        <v>-1862</v>
      </c>
      <c r="AC2479" s="625">
        <v>-1862</v>
      </c>
      <c r="AD2479" s="625">
        <v>-1862</v>
      </c>
      <c r="AE2479" s="625">
        <v>-1862</v>
      </c>
      <c r="AF2479" s="625">
        <v>-1862</v>
      </c>
      <c r="AG2479" s="625">
        <v>-1862</v>
      </c>
      <c r="AH2479" s="625">
        <v>-1862</v>
      </c>
      <c r="AI2479" s="625">
        <v>-1862</v>
      </c>
      <c r="AJ2479" s="625">
        <v>-1862</v>
      </c>
      <c r="AK2479" s="625">
        <v>-1862</v>
      </c>
      <c r="AL2479" s="625">
        <v>-1862</v>
      </c>
      <c r="AM2479" s="625">
        <v>-1862</v>
      </c>
      <c r="AN2479" s="625">
        <v>-1862</v>
      </c>
      <c r="AO2479" s="625">
        <v>-1862</v>
      </c>
      <c r="AP2479" s="41" t="str">
        <f t="shared" si="1169"/>
        <v>Def TaxN</v>
      </c>
      <c r="AQ2479" s="41" t="str">
        <f t="shared" si="1170"/>
        <v>Def TaxNN3SFAS 109</v>
      </c>
      <c r="AR2479" s="41" t="str">
        <f t="shared" si="1171"/>
        <v>N3SFAS 109</v>
      </c>
    </row>
    <row r="2480" spans="1:44" s="41" customFormat="1" ht="12.75" customHeight="1">
      <c r="A2480" s="442" t="s">
        <v>1590</v>
      </c>
      <c r="B2480" s="442" t="str">
        <f t="shared" si="1158"/>
        <v>Def Tax2839830BTFIN48F</v>
      </c>
      <c r="C2480" s="736">
        <v>283983</v>
      </c>
      <c r="D2480" s="735">
        <v>0</v>
      </c>
      <c r="E2480" s="626" t="s">
        <v>2381</v>
      </c>
      <c r="F2480" s="626" t="str">
        <f t="shared" si="1156"/>
        <v>TAXES ACCRUED-ELEC-FERC FIN 48 - DEFERRED</v>
      </c>
      <c r="G2480" s="626" t="s">
        <v>2380</v>
      </c>
      <c r="H2480" s="736" t="s">
        <v>8</v>
      </c>
      <c r="I2480" s="442"/>
      <c r="J2480" s="442" t="str">
        <f t="shared" si="1157"/>
        <v/>
      </c>
      <c r="K2480" s="442" t="str">
        <f t="shared" si="1159"/>
        <v>Y</v>
      </c>
      <c r="L2480" s="736" t="s">
        <v>2423</v>
      </c>
      <c r="M2480" s="442" t="str">
        <f t="shared" si="1175"/>
        <v>N</v>
      </c>
      <c r="N2480" s="442" t="str">
        <f>IF(L2480&lt;&gt;"",VLOOKUP(L2480,Categories!$B$2:$D$41,2,FALSE),IF(F2480&lt;&gt;"","No Cat",""))</f>
        <v>NRBASE</v>
      </c>
      <c r="O2480" s="442" t="str">
        <f>IF($L2480&lt;&gt;"",VLOOKUP($L2480,Categories!$B$2:$D$41,3,FALSE),IF($F2480&lt;&gt;"","No Cat",""))</f>
        <v>SFAS-109   (offsetting)</v>
      </c>
      <c r="P2480" s="736" t="s">
        <v>2468</v>
      </c>
      <c r="Q2480" s="442" t="str">
        <f>VLOOKUP($P2480,Allocators!$B$7:$F$19,5,FALSE)</f>
        <v>Not in Rate Base</v>
      </c>
      <c r="R2480" s="737">
        <f>VLOOKUP($P2480,Allocators!$B$7:$F$19,2,FALSE)</f>
        <v>0</v>
      </c>
      <c r="S2480" s="737">
        <f>VLOOKUP($P2480,Allocators!$B$7:$F$19,3,FALSE)</f>
        <v>0</v>
      </c>
      <c r="T2480" s="737">
        <f t="shared" si="1160"/>
        <v>1</v>
      </c>
      <c r="U2480" s="2">
        <f t="shared" si="1178"/>
        <v>0</v>
      </c>
      <c r="V2480" s="2">
        <f t="shared" si="1179"/>
        <v>0</v>
      </c>
      <c r="W2480" s="2">
        <f t="shared" si="1180"/>
        <v>-1908.3720000000001</v>
      </c>
      <c r="X2480" s="2">
        <f t="shared" si="1173"/>
        <v>-1908.3720000000001</v>
      </c>
      <c r="Y2480" s="2">
        <f t="shared" si="1181"/>
        <v>0</v>
      </c>
      <c r="Z2480" s="2">
        <f t="shared" si="1182"/>
        <v>0</v>
      </c>
      <c r="AA2480" s="2">
        <f t="shared" si="1183"/>
        <v>-2674.4560000000001</v>
      </c>
      <c r="AB2480" s="2">
        <f t="shared" si="1174"/>
        <v>-2674.4560000000001</v>
      </c>
      <c r="AC2480" s="625">
        <v>-1003</v>
      </c>
      <c r="AD2480" s="625">
        <v>-1003</v>
      </c>
      <c r="AE2480" s="625">
        <v>-1003</v>
      </c>
      <c r="AF2480" s="625">
        <v>-1003</v>
      </c>
      <c r="AG2480" s="625">
        <v>-1003</v>
      </c>
      <c r="AH2480" s="625">
        <v>-1003</v>
      </c>
      <c r="AI2480" s="625">
        <v>-2674.4560000000001</v>
      </c>
      <c r="AJ2480" s="625">
        <v>-2674.4560000000001</v>
      </c>
      <c r="AK2480" s="625">
        <v>-2674.4560000000001</v>
      </c>
      <c r="AL2480" s="625">
        <v>-2674.4560000000001</v>
      </c>
      <c r="AM2480" s="625">
        <v>-2674.4560000000001</v>
      </c>
      <c r="AN2480" s="625">
        <v>-2674.4560000000001</v>
      </c>
      <c r="AO2480" s="625">
        <v>-2674.4560000000001</v>
      </c>
      <c r="AP2480" s="41" t="str">
        <f t="shared" si="1169"/>
        <v>Def TaxN</v>
      </c>
      <c r="AQ2480" s="41" t="str">
        <f t="shared" si="1170"/>
        <v>Def TaxNN3SFAS 109</v>
      </c>
      <c r="AR2480" s="41" t="str">
        <f t="shared" si="1171"/>
        <v>N3SFAS 109</v>
      </c>
    </row>
    <row r="2481" spans="1:44" s="41" customFormat="1" ht="12.75" customHeight="1">
      <c r="A2481" s="442" t="s">
        <v>1590</v>
      </c>
      <c r="B2481" s="442" t="str">
        <f t="shared" si="1158"/>
        <v>Def Tax2839830BTFIN48S</v>
      </c>
      <c r="C2481" s="736">
        <v>283983</v>
      </c>
      <c r="D2481" s="735">
        <v>0</v>
      </c>
      <c r="E2481" s="626" t="s">
        <v>2382</v>
      </c>
      <c r="F2481" s="626" t="str">
        <f t="shared" si="1156"/>
        <v>TAXES ACCRUED-ELEC-FERC FIN 48 - DEFERRED</v>
      </c>
      <c r="G2481" s="626" t="s">
        <v>2380</v>
      </c>
      <c r="H2481" s="736" t="s">
        <v>8</v>
      </c>
      <c r="I2481" s="442"/>
      <c r="J2481" s="442" t="str">
        <f t="shared" si="1157"/>
        <v/>
      </c>
      <c r="K2481" s="442" t="str">
        <f t="shared" si="1159"/>
        <v>Y</v>
      </c>
      <c r="L2481" s="736" t="s">
        <v>2423</v>
      </c>
      <c r="M2481" s="442" t="str">
        <f t="shared" si="1175"/>
        <v>N</v>
      </c>
      <c r="N2481" s="442" t="str">
        <f>IF(L2481&lt;&gt;"",VLOOKUP(L2481,Categories!$B$2:$D$41,2,FALSE),IF(F2481&lt;&gt;"","No Cat",""))</f>
        <v>NRBASE</v>
      </c>
      <c r="O2481" s="442" t="str">
        <f>IF($L2481&lt;&gt;"",VLOOKUP($L2481,Categories!$B$2:$D$41,3,FALSE),IF($F2481&lt;&gt;"","No Cat",""))</f>
        <v>SFAS-109   (offsetting)</v>
      </c>
      <c r="P2481" s="736" t="s">
        <v>2468</v>
      </c>
      <c r="Q2481" s="442" t="str">
        <f>VLOOKUP($P2481,Allocators!$B$7:$F$19,5,FALSE)</f>
        <v>Not in Rate Base</v>
      </c>
      <c r="R2481" s="737">
        <f>VLOOKUP($P2481,Allocators!$B$7:$F$19,2,FALSE)</f>
        <v>0</v>
      </c>
      <c r="S2481" s="737">
        <f>VLOOKUP($P2481,Allocators!$B$7:$F$19,3,FALSE)</f>
        <v>0</v>
      </c>
      <c r="T2481" s="737">
        <f t="shared" si="1160"/>
        <v>1</v>
      </c>
      <c r="U2481" s="2">
        <f t="shared" si="1178"/>
        <v>0</v>
      </c>
      <c r="V2481" s="2">
        <f t="shared" si="1179"/>
        <v>0</v>
      </c>
      <c r="W2481" s="2">
        <f t="shared" si="1180"/>
        <v>5383.8029100000003</v>
      </c>
      <c r="X2481" s="2">
        <f t="shared" si="1173"/>
        <v>5383.8029100000003</v>
      </c>
      <c r="Y2481" s="2">
        <f t="shared" si="1181"/>
        <v>0</v>
      </c>
      <c r="Z2481" s="2">
        <f t="shared" si="1182"/>
        <v>0</v>
      </c>
      <c r="AA2481" s="2">
        <f t="shared" si="1183"/>
        <v>5383.8029100000003</v>
      </c>
      <c r="AB2481" s="2">
        <f t="shared" si="1174"/>
        <v>5383.8029100000003</v>
      </c>
      <c r="AC2481" s="625">
        <v>5383.8029100000003</v>
      </c>
      <c r="AD2481" s="625">
        <v>5383.8029100000003</v>
      </c>
      <c r="AE2481" s="625">
        <v>5383.8029100000003</v>
      </c>
      <c r="AF2481" s="625">
        <v>5383.8029100000003</v>
      </c>
      <c r="AG2481" s="625">
        <v>5383.8029100000003</v>
      </c>
      <c r="AH2481" s="625">
        <v>5383.8029100000003</v>
      </c>
      <c r="AI2481" s="625">
        <v>5383.8029100000003</v>
      </c>
      <c r="AJ2481" s="625">
        <v>5383.8029100000003</v>
      </c>
      <c r="AK2481" s="625">
        <v>5383.8029100000003</v>
      </c>
      <c r="AL2481" s="625">
        <v>5383.8029100000003</v>
      </c>
      <c r="AM2481" s="625">
        <v>5383.8029100000003</v>
      </c>
      <c r="AN2481" s="625">
        <v>5383.8029100000003</v>
      </c>
      <c r="AO2481" s="625">
        <v>5383.8029100000003</v>
      </c>
      <c r="AP2481" s="41" t="str">
        <f t="shared" si="1169"/>
        <v>Def TaxN</v>
      </c>
      <c r="AQ2481" s="41" t="str">
        <f t="shared" si="1170"/>
        <v>Def TaxNN3SFAS 109</v>
      </c>
      <c r="AR2481" s="41" t="str">
        <f t="shared" si="1171"/>
        <v>N3SFAS 109</v>
      </c>
    </row>
    <row r="2482" spans="1:44" s="41" customFormat="1" ht="12.75" customHeight="1">
      <c r="A2482" s="442" t="s">
        <v>1590</v>
      </c>
      <c r="B2482" s="442" t="str">
        <f t="shared" si="1158"/>
        <v>Def Tax2839840BTFIN48F</v>
      </c>
      <c r="C2482" s="736">
        <v>283984</v>
      </c>
      <c r="D2482" s="735">
        <v>0</v>
      </c>
      <c r="E2482" s="626" t="s">
        <v>2381</v>
      </c>
      <c r="F2482" s="626" t="str">
        <f t="shared" si="1156"/>
        <v>TAXES ACCRUED-GAS-FERC FIN 48 - DEFERRED</v>
      </c>
      <c r="G2482" s="626" t="s">
        <v>2383</v>
      </c>
      <c r="H2482" s="736" t="s">
        <v>8</v>
      </c>
      <c r="I2482" s="442"/>
      <c r="J2482" s="442" t="str">
        <f t="shared" si="1157"/>
        <v/>
      </c>
      <c r="K2482" s="442" t="str">
        <f t="shared" si="1159"/>
        <v>Y</v>
      </c>
      <c r="L2482" s="736" t="s">
        <v>2423</v>
      </c>
      <c r="M2482" s="442" t="str">
        <f t="shared" si="1175"/>
        <v>N</v>
      </c>
      <c r="N2482" s="442" t="str">
        <f>IF(L2482&lt;&gt;"",VLOOKUP(L2482,Categories!$B$2:$D$41,2,FALSE),IF(F2482&lt;&gt;"","No Cat",""))</f>
        <v>NRBASE</v>
      </c>
      <c r="O2482" s="442" t="str">
        <f>IF($L2482&lt;&gt;"",VLOOKUP($L2482,Categories!$B$2:$D$41,3,FALSE),IF($F2482&lt;&gt;"","No Cat",""))</f>
        <v>SFAS-109   (offsetting)</v>
      </c>
      <c r="P2482" s="736" t="s">
        <v>2468</v>
      </c>
      <c r="Q2482" s="442" t="str">
        <f>VLOOKUP($P2482,Allocators!$B$7:$F$19,5,FALSE)</f>
        <v>Not in Rate Base</v>
      </c>
      <c r="R2482" s="737">
        <f>VLOOKUP($P2482,Allocators!$B$7:$F$19,2,FALSE)</f>
        <v>0</v>
      </c>
      <c r="S2482" s="737">
        <f>VLOOKUP($P2482,Allocators!$B$7:$F$19,3,FALSE)</f>
        <v>0</v>
      </c>
      <c r="T2482" s="737">
        <f t="shared" si="1160"/>
        <v>1</v>
      </c>
      <c r="U2482" s="2">
        <f t="shared" si="1178"/>
        <v>0</v>
      </c>
      <c r="V2482" s="2">
        <f t="shared" si="1179"/>
        <v>0</v>
      </c>
      <c r="W2482" s="2">
        <f t="shared" si="1180"/>
        <v>578</v>
      </c>
      <c r="X2482" s="2">
        <f t="shared" si="1173"/>
        <v>578</v>
      </c>
      <c r="Y2482" s="2">
        <f t="shared" si="1181"/>
        <v>0</v>
      </c>
      <c r="Z2482" s="2">
        <f t="shared" si="1182"/>
        <v>0</v>
      </c>
      <c r="AA2482" s="2">
        <f t="shared" si="1183"/>
        <v>578</v>
      </c>
      <c r="AB2482" s="2">
        <f t="shared" si="1174"/>
        <v>578</v>
      </c>
      <c r="AC2482" s="625">
        <v>578</v>
      </c>
      <c r="AD2482" s="625">
        <v>578</v>
      </c>
      <c r="AE2482" s="625">
        <v>578</v>
      </c>
      <c r="AF2482" s="625">
        <v>578</v>
      </c>
      <c r="AG2482" s="625">
        <v>578</v>
      </c>
      <c r="AH2482" s="625">
        <v>578</v>
      </c>
      <c r="AI2482" s="625">
        <v>578</v>
      </c>
      <c r="AJ2482" s="625">
        <v>578</v>
      </c>
      <c r="AK2482" s="625">
        <v>578</v>
      </c>
      <c r="AL2482" s="625">
        <v>578</v>
      </c>
      <c r="AM2482" s="625">
        <v>578</v>
      </c>
      <c r="AN2482" s="625">
        <v>578</v>
      </c>
      <c r="AO2482" s="625">
        <v>578</v>
      </c>
      <c r="AP2482" s="41" t="str">
        <f t="shared" si="1169"/>
        <v>Def TaxN</v>
      </c>
      <c r="AQ2482" s="41" t="str">
        <f t="shared" si="1170"/>
        <v>Def TaxNN3SFAS 109</v>
      </c>
      <c r="AR2482" s="41" t="str">
        <f t="shared" si="1171"/>
        <v>N3SFAS 109</v>
      </c>
    </row>
    <row r="2483" spans="1:44" s="41" customFormat="1" ht="12.75" customHeight="1">
      <c r="A2483" s="442" t="s">
        <v>1590</v>
      </c>
      <c r="B2483" s="442" t="str">
        <f t="shared" si="1158"/>
        <v>Def Tax2839840BTFIN48S</v>
      </c>
      <c r="C2483" s="736">
        <v>283984</v>
      </c>
      <c r="D2483" s="735">
        <v>0</v>
      </c>
      <c r="E2483" s="626" t="s">
        <v>2382</v>
      </c>
      <c r="F2483" s="626" t="str">
        <f t="shared" si="1156"/>
        <v>TAXES ACCRUED-GAS-FERC FIN 48 - DEFERRED</v>
      </c>
      <c r="G2483" s="626" t="s">
        <v>2383</v>
      </c>
      <c r="H2483" s="736" t="s">
        <v>8</v>
      </c>
      <c r="I2483" s="442"/>
      <c r="J2483" s="442" t="str">
        <f t="shared" si="1157"/>
        <v/>
      </c>
      <c r="K2483" s="442" t="str">
        <f t="shared" si="1159"/>
        <v>Y</v>
      </c>
      <c r="L2483" s="736" t="s">
        <v>2423</v>
      </c>
      <c r="M2483" s="442" t="str">
        <f t="shared" si="1175"/>
        <v>N</v>
      </c>
      <c r="N2483" s="442" t="str">
        <f>IF(L2483&lt;&gt;"",VLOOKUP(L2483,Categories!$B$2:$D$41,2,FALSE),IF(F2483&lt;&gt;"","No Cat",""))</f>
        <v>NRBASE</v>
      </c>
      <c r="O2483" s="442" t="str">
        <f>IF($L2483&lt;&gt;"",VLOOKUP($L2483,Categories!$B$2:$D$41,3,FALSE),IF($F2483&lt;&gt;"","No Cat",""))</f>
        <v>SFAS-109   (offsetting)</v>
      </c>
      <c r="P2483" s="736" t="s">
        <v>2468</v>
      </c>
      <c r="Q2483" s="442" t="str">
        <f>VLOOKUP($P2483,Allocators!$B$7:$F$19,5,FALSE)</f>
        <v>Not in Rate Base</v>
      </c>
      <c r="R2483" s="737">
        <f>VLOOKUP($P2483,Allocators!$B$7:$F$19,2,FALSE)</f>
        <v>0</v>
      </c>
      <c r="S2483" s="737">
        <f>VLOOKUP($P2483,Allocators!$B$7:$F$19,3,FALSE)</f>
        <v>0</v>
      </c>
      <c r="T2483" s="737">
        <f t="shared" si="1160"/>
        <v>1</v>
      </c>
      <c r="U2483" s="2">
        <f t="shared" si="1178"/>
        <v>0</v>
      </c>
      <c r="V2483" s="2">
        <f t="shared" si="1179"/>
        <v>0</v>
      </c>
      <c r="W2483" s="2">
        <f t="shared" si="1180"/>
        <v>449.88009</v>
      </c>
      <c r="X2483" s="2">
        <f t="shared" si="1173"/>
        <v>449.88009</v>
      </c>
      <c r="Y2483" s="2">
        <f t="shared" si="1181"/>
        <v>0</v>
      </c>
      <c r="Z2483" s="2">
        <f t="shared" si="1182"/>
        <v>0</v>
      </c>
      <c r="AA2483" s="2">
        <f t="shared" si="1183"/>
        <v>449.88009</v>
      </c>
      <c r="AB2483" s="2">
        <f t="shared" si="1174"/>
        <v>449.88009000000005</v>
      </c>
      <c r="AC2483" s="625">
        <v>449.88009000000005</v>
      </c>
      <c r="AD2483" s="625">
        <v>449.88009000000005</v>
      </c>
      <c r="AE2483" s="625">
        <v>449.88009000000005</v>
      </c>
      <c r="AF2483" s="625">
        <v>449.88009000000005</v>
      </c>
      <c r="AG2483" s="625">
        <v>449.88009000000005</v>
      </c>
      <c r="AH2483" s="625">
        <v>449.88009000000005</v>
      </c>
      <c r="AI2483" s="625">
        <v>449.88009000000005</v>
      </c>
      <c r="AJ2483" s="625">
        <v>449.88009000000005</v>
      </c>
      <c r="AK2483" s="625">
        <v>449.88009000000005</v>
      </c>
      <c r="AL2483" s="625">
        <v>449.88009000000005</v>
      </c>
      <c r="AM2483" s="625">
        <v>449.88009000000005</v>
      </c>
      <c r="AN2483" s="625">
        <v>449.88009000000005</v>
      </c>
      <c r="AO2483" s="625">
        <v>449.88009000000005</v>
      </c>
      <c r="AP2483" s="41" t="str">
        <f t="shared" si="1169"/>
        <v>Def TaxN</v>
      </c>
      <c r="AQ2483" s="41" t="str">
        <f t="shared" si="1170"/>
        <v>Def TaxNN3SFAS 109</v>
      </c>
      <c r="AR2483" s="41" t="str">
        <f t="shared" si="1171"/>
        <v>N3SFAS 109</v>
      </c>
    </row>
    <row r="2484" spans="1:44" s="41" customFormat="1" ht="12.75" customHeight="1">
      <c r="A2484" s="442" t="s">
        <v>1590</v>
      </c>
      <c r="B2484" s="442" t="str">
        <f t="shared" si="1158"/>
        <v>Def Tax2839860</v>
      </c>
      <c r="C2484" s="736">
        <v>283986</v>
      </c>
      <c r="D2484" s="735">
        <v>0</v>
      </c>
      <c r="E2484" s="626"/>
      <c r="F2484" s="626" t="str">
        <f t="shared" si="1156"/>
        <v>RECLASS-ACCUM DEFER INC TX-FED-CURRENT-ELECTRIC</v>
      </c>
      <c r="G2484" s="626" t="s">
        <v>2384</v>
      </c>
      <c r="H2484" s="736">
        <v>0</v>
      </c>
      <c r="I2484" s="442"/>
      <c r="J2484" s="442" t="str">
        <f t="shared" si="1157"/>
        <v/>
      </c>
      <c r="K2484" s="442" t="str">
        <f t="shared" si="1159"/>
        <v/>
      </c>
      <c r="L2484" s="736" t="s">
        <v>2421</v>
      </c>
      <c r="M2484" s="442" t="str">
        <f t="shared" si="1175"/>
        <v>N</v>
      </c>
      <c r="N2484" s="442" t="str">
        <f>IF(L2484&lt;&gt;"",VLOOKUP(L2484,Categories!$B$2:$D$41,2,FALSE),IF(F2484&lt;&gt;"","No Cat",""))</f>
        <v>NRBASE</v>
      </c>
      <c r="O2484" s="442" t="str">
        <f>IF($L2484&lt;&gt;"",VLOOKUP($L2484,Categories!$B$2:$D$41,3,FALSE),IF($F2484&lt;&gt;"","No Cat",""))</f>
        <v>Direct Assign Items Not in RB</v>
      </c>
      <c r="P2484" s="736" t="s">
        <v>2468</v>
      </c>
      <c r="Q2484" s="442" t="str">
        <f>VLOOKUP($P2484,Allocators!$B$7:$F$19,5,FALSE)</f>
        <v>Not in Rate Base</v>
      </c>
      <c r="R2484" s="737">
        <f>VLOOKUP($P2484,Allocators!$B$7:$F$19,2,FALSE)</f>
        <v>0</v>
      </c>
      <c r="S2484" s="737">
        <f>VLOOKUP($P2484,Allocators!$B$7:$F$19,3,FALSE)</f>
        <v>0</v>
      </c>
      <c r="T2484" s="737">
        <f t="shared" si="1160"/>
        <v>1</v>
      </c>
      <c r="U2484" s="2" t="str">
        <f t="shared" si="1178"/>
        <v/>
      </c>
      <c r="V2484" s="2" t="str">
        <f t="shared" si="1179"/>
        <v/>
      </c>
      <c r="W2484" s="2" t="str">
        <f t="shared" si="1180"/>
        <v/>
      </c>
      <c r="X2484" s="2">
        <f t="shared" si="1173"/>
        <v>0</v>
      </c>
      <c r="Y2484" s="2" t="str">
        <f t="shared" si="1181"/>
        <v/>
      </c>
      <c r="Z2484" s="2" t="str">
        <f t="shared" si="1182"/>
        <v/>
      </c>
      <c r="AA2484" s="2" t="str">
        <f t="shared" si="1183"/>
        <v/>
      </c>
      <c r="AB2484" s="2">
        <f t="shared" si="1174"/>
        <v>0</v>
      </c>
      <c r="AC2484" s="625">
        <v>0</v>
      </c>
      <c r="AD2484" s="625">
        <v>0</v>
      </c>
      <c r="AE2484" s="625">
        <v>0</v>
      </c>
      <c r="AF2484" s="625">
        <v>0</v>
      </c>
      <c r="AG2484" s="625">
        <v>0</v>
      </c>
      <c r="AH2484" s="625">
        <v>0</v>
      </c>
      <c r="AI2484" s="625">
        <v>0</v>
      </c>
      <c r="AJ2484" s="625">
        <v>0</v>
      </c>
      <c r="AK2484" s="625">
        <v>0</v>
      </c>
      <c r="AL2484" s="625">
        <v>0</v>
      </c>
      <c r="AM2484" s="625">
        <v>0</v>
      </c>
      <c r="AN2484" s="625">
        <v>0</v>
      </c>
      <c r="AO2484" s="625">
        <v>0</v>
      </c>
      <c r="AP2484" s="41" t="str">
        <f t="shared" si="1169"/>
        <v>Def TaxN</v>
      </c>
      <c r="AQ2484" s="41" t="str">
        <f t="shared" si="1170"/>
        <v>Def TaxNN20</v>
      </c>
      <c r="AR2484" s="41" t="str">
        <f t="shared" si="1171"/>
        <v>N20</v>
      </c>
    </row>
    <row r="2485" spans="1:44" s="41" customFormat="1" ht="12.75" customHeight="1">
      <c r="A2485" s="25" t="s">
        <v>1590</v>
      </c>
      <c r="B2485" s="25" t="str">
        <f t="shared" si="1158"/>
        <v>Def Tax283986283-026BT010071</v>
      </c>
      <c r="C2485" s="736">
        <v>283986</v>
      </c>
      <c r="D2485" s="735" t="s">
        <v>1706</v>
      </c>
      <c r="E2485" s="41" t="s">
        <v>1707</v>
      </c>
      <c r="F2485" s="41" t="str">
        <f t="shared" ref="F2485:F2493" si="1193">VLOOKUP(C2485,$C$7:$F$787,4,FALSE)</f>
        <v>RECLASS-ACCUM DEFER INC TX-FED-CURRENT-ELECTRIC</v>
      </c>
      <c r="G2485" s="41" t="s">
        <v>2385</v>
      </c>
      <c r="H2485" s="736" t="s">
        <v>1134</v>
      </c>
      <c r="I2485" s="25"/>
      <c r="J2485" s="25" t="str">
        <f t="shared" si="1157"/>
        <v/>
      </c>
      <c r="K2485" s="442" t="str">
        <f t="shared" si="1159"/>
        <v/>
      </c>
      <c r="L2485" s="736" t="s">
        <v>2421</v>
      </c>
      <c r="M2485" s="25" t="str">
        <f t="shared" si="1175"/>
        <v>N</v>
      </c>
      <c r="N2485" s="25" t="str">
        <f>IF(L2485&lt;&gt;"",VLOOKUP(L2485,Categories!$B$2:$D$41,2,FALSE),IF(F2485&lt;&gt;"","No Cat",""))</f>
        <v>NRBASE</v>
      </c>
      <c r="O2485" s="25" t="str">
        <f>IF($L2485&lt;&gt;"",VLOOKUP($L2485,Categories!$B$2:$D$41,3,FALSE),IF($F2485&lt;&gt;"","No Cat",""))</f>
        <v>Direct Assign Items Not in RB</v>
      </c>
      <c r="P2485" s="736" t="s">
        <v>2468</v>
      </c>
      <c r="Q2485" s="25" t="str">
        <f>VLOOKUP($P2485,Allocators!$B$7:$F$19,5,FALSE)</f>
        <v>Not in Rate Base</v>
      </c>
      <c r="R2485" s="737">
        <f>VLOOKUP($P2485,Allocators!$B$7:$F$19,2,FALSE)</f>
        <v>0</v>
      </c>
      <c r="S2485" s="737">
        <f>VLOOKUP($P2485,Allocators!$B$7:$F$19,3,FALSE)</f>
        <v>0</v>
      </c>
      <c r="T2485" s="737">
        <f t="shared" si="1160"/>
        <v>1</v>
      </c>
      <c r="U2485" s="2" t="str">
        <f t="shared" si="1178"/>
        <v/>
      </c>
      <c r="V2485" s="2" t="str">
        <f t="shared" si="1179"/>
        <v/>
      </c>
      <c r="W2485" s="2" t="str">
        <f t="shared" si="1180"/>
        <v/>
      </c>
      <c r="X2485" s="2">
        <f t="shared" si="1173"/>
        <v>0</v>
      </c>
      <c r="Y2485" s="2" t="str">
        <f t="shared" si="1181"/>
        <v/>
      </c>
      <c r="Z2485" s="2" t="str">
        <f t="shared" si="1182"/>
        <v/>
      </c>
      <c r="AA2485" s="2" t="str">
        <f t="shared" si="1183"/>
        <v/>
      </c>
      <c r="AB2485" s="2">
        <f t="shared" si="1174"/>
        <v>0</v>
      </c>
      <c r="AC2485" s="625">
        <v>0</v>
      </c>
      <c r="AD2485" s="625">
        <v>0</v>
      </c>
      <c r="AE2485" s="625">
        <v>0</v>
      </c>
      <c r="AF2485" s="625">
        <v>0</v>
      </c>
      <c r="AG2485" s="625">
        <v>0</v>
      </c>
      <c r="AH2485" s="625">
        <v>0</v>
      </c>
      <c r="AI2485" s="625">
        <v>0</v>
      </c>
      <c r="AJ2485" s="625">
        <v>0</v>
      </c>
      <c r="AK2485" s="625">
        <v>0</v>
      </c>
      <c r="AL2485" s="625">
        <v>0</v>
      </c>
      <c r="AM2485" s="625">
        <v>0</v>
      </c>
      <c r="AN2485" s="625">
        <v>0</v>
      </c>
      <c r="AO2485" s="625">
        <v>0</v>
      </c>
      <c r="AP2485" s="41" t="str">
        <f t="shared" si="1169"/>
        <v>Def TaxN</v>
      </c>
      <c r="AQ2485" s="41" t="str">
        <f t="shared" si="1170"/>
        <v>Def TaxNN2Environmental</v>
      </c>
      <c r="AR2485" s="41" t="str">
        <f t="shared" si="1171"/>
        <v>N2Environmental</v>
      </c>
    </row>
    <row r="2486" spans="1:44" s="41" customFormat="1" ht="12.75" customHeight="1">
      <c r="A2486" s="442" t="s">
        <v>1590</v>
      </c>
      <c r="B2486" s="442" t="str">
        <f t="shared" si="1158"/>
        <v>Def Tax2839870</v>
      </c>
      <c r="C2486" s="736">
        <v>283987</v>
      </c>
      <c r="D2486" s="735">
        <v>0</v>
      </c>
      <c r="E2486" s="626"/>
      <c r="F2486" s="626" t="str">
        <f t="shared" si="1193"/>
        <v>RECLASS-ACCUM DEFER INC TX-FED-CURRENT-GAS</v>
      </c>
      <c r="G2486" s="626" t="s">
        <v>2384</v>
      </c>
      <c r="H2486" s="736" t="s">
        <v>1594</v>
      </c>
      <c r="I2486" s="442"/>
      <c r="J2486" s="442" t="str">
        <f t="shared" ref="J2486:J2493" si="1194">IF(L2486="N10","Y",IF(L2486="N8","Y",""))</f>
        <v/>
      </c>
      <c r="K2486" s="442" t="str">
        <f t="shared" si="1159"/>
        <v/>
      </c>
      <c r="L2486" s="736" t="s">
        <v>2427</v>
      </c>
      <c r="M2486" s="442" t="str">
        <f t="shared" si="1175"/>
        <v>N</v>
      </c>
      <c r="N2486" s="442" t="str">
        <f>IF(L2486&lt;&gt;"",VLOOKUP(L2486,Categories!$B$2:$D$41,2,FALSE),IF(F2486&lt;&gt;"","No Cat",""))</f>
        <v>NRBASE</v>
      </c>
      <c r="O2486" s="442" t="str">
        <f>IF($L2486&lt;&gt;"",VLOOKUP($L2486,Categories!$B$2:$D$41,3,FALSE),IF($F2486&lt;&gt;"","No Cat",""))</f>
        <v>Hedges &amp; OCI</v>
      </c>
      <c r="P2486" s="736" t="s">
        <v>2468</v>
      </c>
      <c r="Q2486" s="442" t="str">
        <f>VLOOKUP($P2486,Allocators!$B$7:$F$19,5,FALSE)</f>
        <v>Not in Rate Base</v>
      </c>
      <c r="R2486" s="737">
        <f>VLOOKUP($P2486,Allocators!$B$7:$F$19,2,FALSE)</f>
        <v>0</v>
      </c>
      <c r="S2486" s="737">
        <f>VLOOKUP($P2486,Allocators!$B$7:$F$19,3,FALSE)</f>
        <v>0</v>
      </c>
      <c r="T2486" s="737">
        <f t="shared" si="1160"/>
        <v>1</v>
      </c>
      <c r="U2486" s="2" t="str">
        <f t="shared" si="1178"/>
        <v/>
      </c>
      <c r="V2486" s="2" t="str">
        <f t="shared" si="1179"/>
        <v/>
      </c>
      <c r="W2486" s="2" t="str">
        <f t="shared" si="1180"/>
        <v/>
      </c>
      <c r="X2486" s="2">
        <f t="shared" si="1173"/>
        <v>0</v>
      </c>
      <c r="Y2486" s="2" t="str">
        <f t="shared" si="1181"/>
        <v/>
      </c>
      <c r="Z2486" s="2" t="str">
        <f t="shared" si="1182"/>
        <v/>
      </c>
      <c r="AA2486" s="2" t="str">
        <f t="shared" si="1183"/>
        <v/>
      </c>
      <c r="AB2486" s="2">
        <f t="shared" si="1174"/>
        <v>0</v>
      </c>
      <c r="AC2486" s="625">
        <v>0</v>
      </c>
      <c r="AD2486" s="625">
        <v>0</v>
      </c>
      <c r="AE2486" s="625">
        <v>0</v>
      </c>
      <c r="AF2486" s="625">
        <v>0</v>
      </c>
      <c r="AG2486" s="625">
        <v>0</v>
      </c>
      <c r="AH2486" s="625">
        <v>0</v>
      </c>
      <c r="AI2486" s="625">
        <v>0</v>
      </c>
      <c r="AJ2486" s="625">
        <v>0</v>
      </c>
      <c r="AK2486" s="625">
        <v>0</v>
      </c>
      <c r="AL2486" s="625">
        <v>0</v>
      </c>
      <c r="AM2486" s="625">
        <v>0</v>
      </c>
      <c r="AN2486" s="625">
        <v>0</v>
      </c>
      <c r="AO2486" s="625">
        <v>0</v>
      </c>
      <c r="AP2486" s="41" t="str">
        <f t="shared" si="1169"/>
        <v>Def TaxN</v>
      </c>
      <c r="AQ2486" s="41" t="str">
        <f t="shared" si="1170"/>
        <v>Def TaxNN5FAS 133 Related</v>
      </c>
      <c r="AR2486" s="41" t="str">
        <f t="shared" si="1171"/>
        <v>N5FAS 133 Related</v>
      </c>
    </row>
    <row r="2487" spans="1:44" s="41" customFormat="1" ht="12.75" customHeight="1">
      <c r="A2487" s="25" t="s">
        <v>1590</v>
      </c>
      <c r="B2487" s="25" t="str">
        <f t="shared" si="1158"/>
        <v>Def Tax283987283-026BT010071</v>
      </c>
      <c r="C2487" s="736">
        <v>283987</v>
      </c>
      <c r="D2487" s="735" t="s">
        <v>1706</v>
      </c>
      <c r="E2487" s="41" t="s">
        <v>1707</v>
      </c>
      <c r="F2487" s="41" t="str">
        <f t="shared" si="1193"/>
        <v>RECLASS-ACCUM DEFER INC TX-FED-CURRENT-GAS</v>
      </c>
      <c r="G2487" s="41" t="s">
        <v>2385</v>
      </c>
      <c r="H2487" s="736" t="s">
        <v>1134</v>
      </c>
      <c r="I2487" s="25"/>
      <c r="J2487" s="25" t="str">
        <f t="shared" si="1194"/>
        <v/>
      </c>
      <c r="K2487" s="442" t="str">
        <f t="shared" si="1159"/>
        <v/>
      </c>
      <c r="L2487" s="736" t="s">
        <v>2421</v>
      </c>
      <c r="M2487" s="25" t="str">
        <f t="shared" si="1175"/>
        <v>N</v>
      </c>
      <c r="N2487" s="25" t="str">
        <f>IF(L2487&lt;&gt;"",VLOOKUP(L2487,Categories!$B$2:$D$41,2,FALSE),IF(F2487&lt;&gt;"","No Cat",""))</f>
        <v>NRBASE</v>
      </c>
      <c r="O2487" s="25" t="str">
        <f>IF($L2487&lt;&gt;"",VLOOKUP($L2487,Categories!$B$2:$D$41,3,FALSE),IF($F2487&lt;&gt;"","No Cat",""))</f>
        <v>Direct Assign Items Not in RB</v>
      </c>
      <c r="P2487" s="736" t="s">
        <v>2468</v>
      </c>
      <c r="Q2487" s="25" t="str">
        <f>VLOOKUP($P2487,Allocators!$B$7:$F$19,5,FALSE)</f>
        <v>Not in Rate Base</v>
      </c>
      <c r="R2487" s="737">
        <f>VLOOKUP($P2487,Allocators!$B$7:$F$19,2,FALSE)</f>
        <v>0</v>
      </c>
      <c r="S2487" s="737">
        <f>VLOOKUP($P2487,Allocators!$B$7:$F$19,3,FALSE)</f>
        <v>0</v>
      </c>
      <c r="T2487" s="737">
        <f t="shared" si="1160"/>
        <v>1</v>
      </c>
      <c r="U2487" s="2" t="str">
        <f t="shared" si="1178"/>
        <v/>
      </c>
      <c r="V2487" s="2" t="str">
        <f t="shared" si="1179"/>
        <v/>
      </c>
      <c r="W2487" s="2" t="str">
        <f t="shared" si="1180"/>
        <v/>
      </c>
      <c r="X2487" s="2">
        <f t="shared" si="1173"/>
        <v>0</v>
      </c>
      <c r="Y2487" s="2" t="str">
        <f t="shared" si="1181"/>
        <v/>
      </c>
      <c r="Z2487" s="2" t="str">
        <f t="shared" si="1182"/>
        <v/>
      </c>
      <c r="AA2487" s="2" t="str">
        <f t="shared" si="1183"/>
        <v/>
      </c>
      <c r="AB2487" s="2">
        <f t="shared" si="1174"/>
        <v>0</v>
      </c>
      <c r="AC2487" s="625">
        <v>0</v>
      </c>
      <c r="AD2487" s="625">
        <v>0</v>
      </c>
      <c r="AE2487" s="625">
        <v>0</v>
      </c>
      <c r="AF2487" s="625">
        <v>0</v>
      </c>
      <c r="AG2487" s="625">
        <v>0</v>
      </c>
      <c r="AH2487" s="625">
        <v>0</v>
      </c>
      <c r="AI2487" s="625">
        <v>0</v>
      </c>
      <c r="AJ2487" s="625">
        <v>0</v>
      </c>
      <c r="AK2487" s="625">
        <v>0</v>
      </c>
      <c r="AL2487" s="625">
        <v>0</v>
      </c>
      <c r="AM2487" s="625">
        <v>0</v>
      </c>
      <c r="AN2487" s="625">
        <v>0</v>
      </c>
      <c r="AO2487" s="625">
        <v>0</v>
      </c>
      <c r="AP2487" s="41" t="str">
        <f t="shared" si="1169"/>
        <v>Def TaxN</v>
      </c>
      <c r="AQ2487" s="41" t="str">
        <f t="shared" si="1170"/>
        <v>Def TaxNN2Environmental</v>
      </c>
      <c r="AR2487" s="41" t="str">
        <f t="shared" si="1171"/>
        <v>N2Environmental</v>
      </c>
    </row>
    <row r="2488" spans="1:44" s="41" customFormat="1" ht="12.75" customHeight="1">
      <c r="A2488" s="442" t="s">
        <v>1590</v>
      </c>
      <c r="B2488" s="442" t="str">
        <f t="shared" si="1158"/>
        <v>Def Tax283987DerivativeBT010057</v>
      </c>
      <c r="C2488" s="736">
        <v>283987</v>
      </c>
      <c r="D2488" s="735" t="s">
        <v>1833</v>
      </c>
      <c r="E2488" s="626" t="s">
        <v>1834</v>
      </c>
      <c r="F2488" s="626" t="str">
        <f t="shared" si="1193"/>
        <v>RECLASS-ACCUM DEFER INC TX-FED-CURRENT-GAS</v>
      </c>
      <c r="G2488" s="626" t="s">
        <v>2386</v>
      </c>
      <c r="H2488" s="736" t="s">
        <v>1594</v>
      </c>
      <c r="I2488" s="442"/>
      <c r="J2488" s="442" t="str">
        <f t="shared" si="1194"/>
        <v/>
      </c>
      <c r="K2488" s="442" t="str">
        <f t="shared" si="1159"/>
        <v/>
      </c>
      <c r="L2488" s="736" t="s">
        <v>2427</v>
      </c>
      <c r="M2488" s="442" t="str">
        <f t="shared" si="1175"/>
        <v>N</v>
      </c>
      <c r="N2488" s="442" t="str">
        <f>IF(L2488&lt;&gt;"",VLOOKUP(L2488,Categories!$B$2:$D$41,2,FALSE),IF(F2488&lt;&gt;"","No Cat",""))</f>
        <v>NRBASE</v>
      </c>
      <c r="O2488" s="442" t="str">
        <f>IF($L2488&lt;&gt;"",VLOOKUP($L2488,Categories!$B$2:$D$41,3,FALSE),IF($F2488&lt;&gt;"","No Cat",""))</f>
        <v>Hedges &amp; OCI</v>
      </c>
      <c r="P2488" s="736" t="s">
        <v>2468</v>
      </c>
      <c r="Q2488" s="442" t="str">
        <f>VLOOKUP($P2488,Allocators!$B$7:$F$19,5,FALSE)</f>
        <v>Not in Rate Base</v>
      </c>
      <c r="R2488" s="737">
        <f>VLOOKUP($P2488,Allocators!$B$7:$F$19,2,FALSE)</f>
        <v>0</v>
      </c>
      <c r="S2488" s="737">
        <f>VLOOKUP($P2488,Allocators!$B$7:$F$19,3,FALSE)</f>
        <v>0</v>
      </c>
      <c r="T2488" s="737">
        <f t="shared" si="1160"/>
        <v>1</v>
      </c>
      <c r="U2488" s="2" t="str">
        <f t="shared" si="1178"/>
        <v/>
      </c>
      <c r="V2488" s="2" t="str">
        <f t="shared" si="1179"/>
        <v/>
      </c>
      <c r="W2488" s="2" t="str">
        <f t="shared" si="1180"/>
        <v/>
      </c>
      <c r="X2488" s="2">
        <f t="shared" si="1173"/>
        <v>0</v>
      </c>
      <c r="Y2488" s="2" t="str">
        <f t="shared" si="1181"/>
        <v/>
      </c>
      <c r="Z2488" s="2" t="str">
        <f t="shared" si="1182"/>
        <v/>
      </c>
      <c r="AA2488" s="2" t="str">
        <f t="shared" si="1183"/>
        <v/>
      </c>
      <c r="AB2488" s="2">
        <f t="shared" si="1174"/>
        <v>0</v>
      </c>
      <c r="AC2488" s="625">
        <v>0</v>
      </c>
      <c r="AD2488" s="625">
        <v>0</v>
      </c>
      <c r="AE2488" s="625">
        <v>0</v>
      </c>
      <c r="AF2488" s="625">
        <v>0</v>
      </c>
      <c r="AG2488" s="625">
        <v>0</v>
      </c>
      <c r="AH2488" s="625">
        <v>0</v>
      </c>
      <c r="AI2488" s="625">
        <v>0</v>
      </c>
      <c r="AJ2488" s="625">
        <v>0</v>
      </c>
      <c r="AK2488" s="625">
        <v>0</v>
      </c>
      <c r="AL2488" s="625">
        <v>0</v>
      </c>
      <c r="AM2488" s="625">
        <v>0</v>
      </c>
      <c r="AN2488" s="625">
        <v>0</v>
      </c>
      <c r="AO2488" s="625">
        <v>0</v>
      </c>
      <c r="AP2488" s="41" t="str">
        <f t="shared" si="1169"/>
        <v>Def TaxN</v>
      </c>
      <c r="AQ2488" s="41" t="str">
        <f t="shared" si="1170"/>
        <v>Def TaxNN5FAS 133 Related</v>
      </c>
      <c r="AR2488" s="41" t="str">
        <f t="shared" si="1171"/>
        <v>N5FAS 133 Related</v>
      </c>
    </row>
    <row r="2489" spans="1:44" s="41" customFormat="1" ht="12.75" customHeight="1">
      <c r="A2489" s="442" t="s">
        <v>1590</v>
      </c>
      <c r="B2489" s="442" t="str">
        <f t="shared" si="1158"/>
        <v>Def Tax2839880</v>
      </c>
      <c r="C2489" s="736">
        <v>283988</v>
      </c>
      <c r="D2489" s="735">
        <v>0</v>
      </c>
      <c r="E2489" s="626"/>
      <c r="F2489" s="626" t="str">
        <f t="shared" si="1193"/>
        <v>RECLASS-ACCUM DEFER INC TX-STATE-CURRENT-ELECTRIC</v>
      </c>
      <c r="G2489" s="626" t="s">
        <v>2384</v>
      </c>
      <c r="H2489" s="736">
        <v>0</v>
      </c>
      <c r="I2489" s="442"/>
      <c r="J2489" s="442" t="str">
        <f t="shared" si="1194"/>
        <v/>
      </c>
      <c r="K2489" s="442" t="str">
        <f t="shared" si="1159"/>
        <v/>
      </c>
      <c r="L2489" s="736" t="s">
        <v>2421</v>
      </c>
      <c r="M2489" s="442" t="str">
        <f t="shared" si="1175"/>
        <v>N</v>
      </c>
      <c r="N2489" s="442" t="str">
        <f>IF(L2489&lt;&gt;"",VLOOKUP(L2489,Categories!$B$2:$D$41,2,FALSE),IF(F2489&lt;&gt;"","No Cat",""))</f>
        <v>NRBASE</v>
      </c>
      <c r="O2489" s="442" t="str">
        <f>IF($L2489&lt;&gt;"",VLOOKUP($L2489,Categories!$B$2:$D$41,3,FALSE),IF($F2489&lt;&gt;"","No Cat",""))</f>
        <v>Direct Assign Items Not in RB</v>
      </c>
      <c r="P2489" s="736" t="s">
        <v>2468</v>
      </c>
      <c r="Q2489" s="442" t="str">
        <f>VLOOKUP($P2489,Allocators!$B$7:$F$19,5,FALSE)</f>
        <v>Not in Rate Base</v>
      </c>
      <c r="R2489" s="737">
        <f>VLOOKUP($P2489,Allocators!$B$7:$F$19,2,FALSE)</f>
        <v>0</v>
      </c>
      <c r="S2489" s="737">
        <f>VLOOKUP($P2489,Allocators!$B$7:$F$19,3,FALSE)</f>
        <v>0</v>
      </c>
      <c r="T2489" s="737">
        <f t="shared" si="1160"/>
        <v>1</v>
      </c>
      <c r="U2489" s="2" t="str">
        <f t="shared" si="1178"/>
        <v/>
      </c>
      <c r="V2489" s="2" t="str">
        <f t="shared" si="1179"/>
        <v/>
      </c>
      <c r="W2489" s="2" t="str">
        <f t="shared" si="1180"/>
        <v/>
      </c>
      <c r="X2489" s="2">
        <f t="shared" si="1173"/>
        <v>0</v>
      </c>
      <c r="Y2489" s="2" t="str">
        <f t="shared" si="1181"/>
        <v/>
      </c>
      <c r="Z2489" s="2" t="str">
        <f t="shared" si="1182"/>
        <v/>
      </c>
      <c r="AA2489" s="2" t="str">
        <f t="shared" si="1183"/>
        <v/>
      </c>
      <c r="AB2489" s="2">
        <f t="shared" si="1174"/>
        <v>0</v>
      </c>
      <c r="AC2489" s="625">
        <v>0</v>
      </c>
      <c r="AD2489" s="625">
        <v>0</v>
      </c>
      <c r="AE2489" s="625">
        <v>0</v>
      </c>
      <c r="AF2489" s="625">
        <v>0</v>
      </c>
      <c r="AG2489" s="625">
        <v>0</v>
      </c>
      <c r="AH2489" s="625">
        <v>0</v>
      </c>
      <c r="AI2489" s="625">
        <v>0</v>
      </c>
      <c r="AJ2489" s="625">
        <v>0</v>
      </c>
      <c r="AK2489" s="625">
        <v>0</v>
      </c>
      <c r="AL2489" s="625">
        <v>0</v>
      </c>
      <c r="AM2489" s="625">
        <v>0</v>
      </c>
      <c r="AN2489" s="625">
        <v>0</v>
      </c>
      <c r="AO2489" s="625">
        <v>0</v>
      </c>
      <c r="AP2489" s="41" t="str">
        <f t="shared" si="1169"/>
        <v>Def TaxN</v>
      </c>
      <c r="AQ2489" s="41" t="str">
        <f t="shared" si="1170"/>
        <v>Def TaxNN20</v>
      </c>
      <c r="AR2489" s="41" t="str">
        <f t="shared" si="1171"/>
        <v>N20</v>
      </c>
    </row>
    <row r="2490" spans="1:44" s="41" customFormat="1" ht="12.75" customHeight="1">
      <c r="A2490" s="25" t="s">
        <v>1590</v>
      </c>
      <c r="B2490" s="25" t="str">
        <f t="shared" si="1158"/>
        <v>Def Tax283988283-026BT010071</v>
      </c>
      <c r="C2490" s="736">
        <v>283988</v>
      </c>
      <c r="D2490" s="735" t="s">
        <v>1706</v>
      </c>
      <c r="E2490" s="41" t="s">
        <v>1707</v>
      </c>
      <c r="F2490" s="41" t="str">
        <f t="shared" si="1193"/>
        <v>RECLASS-ACCUM DEFER INC TX-STATE-CURRENT-ELECTRIC</v>
      </c>
      <c r="G2490" s="41" t="s">
        <v>2385</v>
      </c>
      <c r="H2490" s="736" t="s">
        <v>1134</v>
      </c>
      <c r="I2490" s="25"/>
      <c r="J2490" s="25" t="str">
        <f t="shared" si="1194"/>
        <v/>
      </c>
      <c r="K2490" s="442" t="str">
        <f t="shared" si="1159"/>
        <v/>
      </c>
      <c r="L2490" s="736" t="s">
        <v>2421</v>
      </c>
      <c r="M2490" s="25" t="str">
        <f t="shared" si="1175"/>
        <v>N</v>
      </c>
      <c r="N2490" s="25" t="str">
        <f>IF(L2490&lt;&gt;"",VLOOKUP(L2490,Categories!$B$2:$D$41,2,FALSE),IF(F2490&lt;&gt;"","No Cat",""))</f>
        <v>NRBASE</v>
      </c>
      <c r="O2490" s="25" t="str">
        <f>IF($L2490&lt;&gt;"",VLOOKUP($L2490,Categories!$B$2:$D$41,3,FALSE),IF($F2490&lt;&gt;"","No Cat",""))</f>
        <v>Direct Assign Items Not in RB</v>
      </c>
      <c r="P2490" s="736" t="s">
        <v>2468</v>
      </c>
      <c r="Q2490" s="25" t="str">
        <f>VLOOKUP($P2490,Allocators!$B$7:$F$19,5,FALSE)</f>
        <v>Not in Rate Base</v>
      </c>
      <c r="R2490" s="737">
        <f>VLOOKUP($P2490,Allocators!$B$7:$F$19,2,FALSE)</f>
        <v>0</v>
      </c>
      <c r="S2490" s="737">
        <f>VLOOKUP($P2490,Allocators!$B$7:$F$19,3,FALSE)</f>
        <v>0</v>
      </c>
      <c r="T2490" s="737">
        <f t="shared" si="1160"/>
        <v>1</v>
      </c>
      <c r="U2490" s="2" t="str">
        <f t="shared" si="1178"/>
        <v/>
      </c>
      <c r="V2490" s="2" t="str">
        <f t="shared" si="1179"/>
        <v/>
      </c>
      <c r="W2490" s="2" t="str">
        <f t="shared" si="1180"/>
        <v/>
      </c>
      <c r="X2490" s="2">
        <f t="shared" si="1173"/>
        <v>0</v>
      </c>
      <c r="Y2490" s="2" t="str">
        <f t="shared" si="1181"/>
        <v/>
      </c>
      <c r="Z2490" s="2" t="str">
        <f t="shared" si="1182"/>
        <v/>
      </c>
      <c r="AA2490" s="2" t="str">
        <f t="shared" si="1183"/>
        <v/>
      </c>
      <c r="AB2490" s="2">
        <f t="shared" si="1174"/>
        <v>0</v>
      </c>
      <c r="AC2490" s="625">
        <v>0</v>
      </c>
      <c r="AD2490" s="625">
        <v>0</v>
      </c>
      <c r="AE2490" s="625">
        <v>0</v>
      </c>
      <c r="AF2490" s="625">
        <v>0</v>
      </c>
      <c r="AG2490" s="625">
        <v>0</v>
      </c>
      <c r="AH2490" s="625">
        <v>0</v>
      </c>
      <c r="AI2490" s="625">
        <v>0</v>
      </c>
      <c r="AJ2490" s="625">
        <v>0</v>
      </c>
      <c r="AK2490" s="625">
        <v>0</v>
      </c>
      <c r="AL2490" s="625">
        <v>0</v>
      </c>
      <c r="AM2490" s="625">
        <v>0</v>
      </c>
      <c r="AN2490" s="625">
        <v>0</v>
      </c>
      <c r="AO2490" s="625">
        <v>0</v>
      </c>
      <c r="AP2490" s="41" t="str">
        <f t="shared" si="1169"/>
        <v>Def TaxN</v>
      </c>
      <c r="AQ2490" s="41" t="str">
        <f t="shared" si="1170"/>
        <v>Def TaxNN2Environmental</v>
      </c>
      <c r="AR2490" s="41" t="str">
        <f t="shared" si="1171"/>
        <v>N2Environmental</v>
      </c>
    </row>
    <row r="2491" spans="1:44" s="41" customFormat="1" ht="12.75" customHeight="1">
      <c r="A2491" s="442" t="s">
        <v>1590</v>
      </c>
      <c r="B2491" s="442" t="str">
        <f t="shared" si="1158"/>
        <v>Def Tax2839890</v>
      </c>
      <c r="C2491" s="736">
        <v>283989</v>
      </c>
      <c r="D2491" s="735">
        <v>0</v>
      </c>
      <c r="E2491" s="626"/>
      <c r="F2491" s="626" t="str">
        <f t="shared" si="1193"/>
        <v>RECLASS-ACCUM DEFER INC TX-STATE-CURRENT-GAS</v>
      </c>
      <c r="G2491" s="626" t="s">
        <v>2384</v>
      </c>
      <c r="H2491" s="736" t="s">
        <v>1594</v>
      </c>
      <c r="I2491" s="442"/>
      <c r="J2491" s="442" t="str">
        <f t="shared" si="1194"/>
        <v/>
      </c>
      <c r="K2491" s="442" t="str">
        <f t="shared" ref="K2491:K2493" si="1195">IF(L2491="N3","Y","")</f>
        <v/>
      </c>
      <c r="L2491" s="736" t="s">
        <v>2427</v>
      </c>
      <c r="M2491" s="442" t="str">
        <f t="shared" si="1175"/>
        <v>N</v>
      </c>
      <c r="N2491" s="442" t="str">
        <f>IF(L2491&lt;&gt;"",VLOOKUP(L2491,Categories!$B$2:$D$41,2,FALSE),IF(F2491&lt;&gt;"","No Cat",""))</f>
        <v>NRBASE</v>
      </c>
      <c r="O2491" s="442" t="str">
        <f>IF($L2491&lt;&gt;"",VLOOKUP($L2491,Categories!$B$2:$D$41,3,FALSE),IF($F2491&lt;&gt;"","No Cat",""))</f>
        <v>Hedges &amp; OCI</v>
      </c>
      <c r="P2491" s="736" t="s">
        <v>2468</v>
      </c>
      <c r="Q2491" s="442" t="str">
        <f>VLOOKUP($P2491,Allocators!$B$7:$F$19,5,FALSE)</f>
        <v>Not in Rate Base</v>
      </c>
      <c r="R2491" s="737">
        <f>VLOOKUP($P2491,Allocators!$B$7:$F$19,2,FALSE)</f>
        <v>0</v>
      </c>
      <c r="S2491" s="737">
        <f>VLOOKUP($P2491,Allocators!$B$7:$F$19,3,FALSE)</f>
        <v>0</v>
      </c>
      <c r="T2491" s="737">
        <f t="shared" si="1160"/>
        <v>1</v>
      </c>
      <c r="U2491" s="2" t="str">
        <f t="shared" si="1178"/>
        <v/>
      </c>
      <c r="V2491" s="2" t="str">
        <f t="shared" si="1179"/>
        <v/>
      </c>
      <c r="W2491" s="2" t="str">
        <f t="shared" si="1180"/>
        <v/>
      </c>
      <c r="X2491" s="2">
        <f t="shared" si="1173"/>
        <v>0</v>
      </c>
      <c r="Y2491" s="2" t="str">
        <f t="shared" si="1181"/>
        <v/>
      </c>
      <c r="Z2491" s="2" t="str">
        <f t="shared" si="1182"/>
        <v/>
      </c>
      <c r="AA2491" s="2" t="str">
        <f t="shared" si="1183"/>
        <v/>
      </c>
      <c r="AB2491" s="2">
        <f t="shared" si="1174"/>
        <v>0</v>
      </c>
      <c r="AC2491" s="625">
        <v>0</v>
      </c>
      <c r="AD2491" s="625">
        <v>0</v>
      </c>
      <c r="AE2491" s="625">
        <v>0</v>
      </c>
      <c r="AF2491" s="625">
        <v>0</v>
      </c>
      <c r="AG2491" s="625">
        <v>0</v>
      </c>
      <c r="AH2491" s="625">
        <v>0</v>
      </c>
      <c r="AI2491" s="625">
        <v>0</v>
      </c>
      <c r="AJ2491" s="625">
        <v>0</v>
      </c>
      <c r="AK2491" s="625">
        <v>0</v>
      </c>
      <c r="AL2491" s="625">
        <v>0</v>
      </c>
      <c r="AM2491" s="625">
        <v>0</v>
      </c>
      <c r="AN2491" s="625">
        <v>0</v>
      </c>
      <c r="AO2491" s="625">
        <v>0</v>
      </c>
      <c r="AP2491" s="41" t="str">
        <f t="shared" si="1169"/>
        <v>Def TaxN</v>
      </c>
      <c r="AQ2491" s="41" t="str">
        <f t="shared" si="1170"/>
        <v>Def TaxNN5FAS 133 Related</v>
      </c>
      <c r="AR2491" s="41" t="str">
        <f t="shared" si="1171"/>
        <v>N5FAS 133 Related</v>
      </c>
    </row>
    <row r="2492" spans="1:44" s="41" customFormat="1" ht="12.75" customHeight="1">
      <c r="A2492" s="25" t="s">
        <v>1590</v>
      </c>
      <c r="B2492" s="25" t="str">
        <f t="shared" si="1158"/>
        <v>Def Tax283989283-026BT010071</v>
      </c>
      <c r="C2492" s="736">
        <v>283989</v>
      </c>
      <c r="D2492" s="735" t="s">
        <v>1706</v>
      </c>
      <c r="E2492" s="41" t="s">
        <v>1707</v>
      </c>
      <c r="F2492" s="41" t="str">
        <f t="shared" si="1193"/>
        <v>RECLASS-ACCUM DEFER INC TX-STATE-CURRENT-GAS</v>
      </c>
      <c r="G2492" s="41" t="s">
        <v>2385</v>
      </c>
      <c r="H2492" s="736" t="s">
        <v>1134</v>
      </c>
      <c r="I2492" s="25"/>
      <c r="J2492" s="25" t="str">
        <f t="shared" si="1194"/>
        <v/>
      </c>
      <c r="K2492" s="442" t="str">
        <f t="shared" si="1195"/>
        <v/>
      </c>
      <c r="L2492" s="736" t="s">
        <v>2421</v>
      </c>
      <c r="M2492" s="25" t="str">
        <f t="shared" si="1175"/>
        <v>N</v>
      </c>
      <c r="N2492" s="25" t="str">
        <f>IF(L2492&lt;&gt;"",VLOOKUP(L2492,Categories!$B$2:$D$41,2,FALSE),IF(F2492&lt;&gt;"","No Cat",""))</f>
        <v>NRBASE</v>
      </c>
      <c r="O2492" s="25" t="str">
        <f>IF($L2492&lt;&gt;"",VLOOKUP($L2492,Categories!$B$2:$D$41,3,FALSE),IF($F2492&lt;&gt;"","No Cat",""))</f>
        <v>Direct Assign Items Not in RB</v>
      </c>
      <c r="P2492" s="736" t="s">
        <v>2468</v>
      </c>
      <c r="Q2492" s="25" t="str">
        <f>VLOOKUP($P2492,Allocators!$B$7:$F$19,5,FALSE)</f>
        <v>Not in Rate Base</v>
      </c>
      <c r="R2492" s="737">
        <f>VLOOKUP($P2492,Allocators!$B$7:$F$19,2,FALSE)</f>
        <v>0</v>
      </c>
      <c r="S2492" s="737">
        <f>VLOOKUP($P2492,Allocators!$B$7:$F$19,3,FALSE)</f>
        <v>0</v>
      </c>
      <c r="T2492" s="737">
        <f t="shared" si="1160"/>
        <v>1</v>
      </c>
      <c r="U2492" s="2" t="str">
        <f t="shared" si="1178"/>
        <v/>
      </c>
      <c r="V2492" s="2" t="str">
        <f t="shared" si="1179"/>
        <v/>
      </c>
      <c r="W2492" s="2" t="str">
        <f t="shared" si="1180"/>
        <v/>
      </c>
      <c r="X2492" s="2">
        <f t="shared" si="1173"/>
        <v>0</v>
      </c>
      <c r="Y2492" s="2" t="str">
        <f t="shared" si="1181"/>
        <v/>
      </c>
      <c r="Z2492" s="2" t="str">
        <f t="shared" si="1182"/>
        <v/>
      </c>
      <c r="AA2492" s="2" t="str">
        <f t="shared" si="1183"/>
        <v/>
      </c>
      <c r="AB2492" s="2">
        <f t="shared" si="1174"/>
        <v>0</v>
      </c>
      <c r="AC2492" s="625">
        <v>0</v>
      </c>
      <c r="AD2492" s="625">
        <v>0</v>
      </c>
      <c r="AE2492" s="625">
        <v>0</v>
      </c>
      <c r="AF2492" s="625">
        <v>0</v>
      </c>
      <c r="AG2492" s="625">
        <v>0</v>
      </c>
      <c r="AH2492" s="625">
        <v>0</v>
      </c>
      <c r="AI2492" s="625">
        <v>0</v>
      </c>
      <c r="AJ2492" s="625">
        <v>0</v>
      </c>
      <c r="AK2492" s="625">
        <v>0</v>
      </c>
      <c r="AL2492" s="625">
        <v>0</v>
      </c>
      <c r="AM2492" s="625">
        <v>0</v>
      </c>
      <c r="AN2492" s="625">
        <v>0</v>
      </c>
      <c r="AO2492" s="625">
        <v>0</v>
      </c>
      <c r="AP2492" s="41" t="str">
        <f t="shared" si="1169"/>
        <v>Def TaxN</v>
      </c>
      <c r="AQ2492" s="41" t="str">
        <f t="shared" si="1170"/>
        <v>Def TaxNN2Environmental</v>
      </c>
      <c r="AR2492" s="41" t="str">
        <f t="shared" si="1171"/>
        <v>N2Environmental</v>
      </c>
    </row>
    <row r="2493" spans="1:44" s="41" customFormat="1" ht="12.75" customHeight="1">
      <c r="A2493" s="442" t="s">
        <v>1590</v>
      </c>
      <c r="B2493" s="442" t="str">
        <f t="shared" ref="B2493" si="1196">CONCATENATE(A2493,C2493,D2493,E2493)</f>
        <v>Def Tax283989DerivativeBT010057</v>
      </c>
      <c r="C2493" s="736">
        <v>283989</v>
      </c>
      <c r="D2493" s="735" t="s">
        <v>1833</v>
      </c>
      <c r="E2493" s="626" t="s">
        <v>1834</v>
      </c>
      <c r="F2493" s="626" t="str">
        <f t="shared" si="1193"/>
        <v>RECLASS-ACCUM DEFER INC TX-STATE-CURRENT-GAS</v>
      </c>
      <c r="G2493" s="626" t="s">
        <v>2386</v>
      </c>
      <c r="H2493" s="736" t="s">
        <v>1594</v>
      </c>
      <c r="I2493" s="442"/>
      <c r="J2493" s="442" t="str">
        <f t="shared" si="1194"/>
        <v/>
      </c>
      <c r="K2493" s="442" t="str">
        <f t="shared" si="1195"/>
        <v/>
      </c>
      <c r="L2493" s="736" t="s">
        <v>2427</v>
      </c>
      <c r="M2493" s="442" t="str">
        <f t="shared" si="1175"/>
        <v>N</v>
      </c>
      <c r="N2493" s="442" t="str">
        <f>IF(L2493&lt;&gt;"",VLOOKUP(L2493,Categories!$B$2:$D$41,2,FALSE),IF(F2493&lt;&gt;"","No Cat",""))</f>
        <v>NRBASE</v>
      </c>
      <c r="O2493" s="442" t="str">
        <f>IF($L2493&lt;&gt;"",VLOOKUP($L2493,Categories!$B$2:$D$41,3,FALSE),IF($F2493&lt;&gt;"","No Cat",""))</f>
        <v>Hedges &amp; OCI</v>
      </c>
      <c r="P2493" s="736" t="s">
        <v>2468</v>
      </c>
      <c r="Q2493" s="442" t="str">
        <f>VLOOKUP($P2493,Allocators!$B$7:$F$19,5,FALSE)</f>
        <v>Not in Rate Base</v>
      </c>
      <c r="R2493" s="737">
        <f>VLOOKUP($P2493,Allocators!$B$7:$F$19,2,FALSE)</f>
        <v>0</v>
      </c>
      <c r="S2493" s="737">
        <f>VLOOKUP($P2493,Allocators!$B$7:$F$19,3,FALSE)</f>
        <v>0</v>
      </c>
      <c r="T2493" s="737">
        <f t="shared" si="1160"/>
        <v>1</v>
      </c>
      <c r="U2493" s="2" t="str">
        <f t="shared" si="1178"/>
        <v/>
      </c>
      <c r="V2493" s="2" t="str">
        <f t="shared" si="1179"/>
        <v/>
      </c>
      <c r="W2493" s="2" t="str">
        <f t="shared" si="1180"/>
        <v/>
      </c>
      <c r="X2493" s="2">
        <f t="shared" si="1173"/>
        <v>0</v>
      </c>
      <c r="Y2493" s="2" t="str">
        <f t="shared" si="1181"/>
        <v/>
      </c>
      <c r="Z2493" s="2" t="str">
        <f t="shared" si="1182"/>
        <v/>
      </c>
      <c r="AA2493" s="2" t="str">
        <f t="shared" si="1183"/>
        <v/>
      </c>
      <c r="AB2493" s="2">
        <f t="shared" si="1174"/>
        <v>0</v>
      </c>
      <c r="AC2493" s="625">
        <v>0</v>
      </c>
      <c r="AD2493" s="625">
        <v>0</v>
      </c>
      <c r="AE2493" s="625">
        <v>0</v>
      </c>
      <c r="AF2493" s="625">
        <v>0</v>
      </c>
      <c r="AG2493" s="625">
        <v>0</v>
      </c>
      <c r="AH2493" s="625">
        <v>0</v>
      </c>
      <c r="AI2493" s="625">
        <v>0</v>
      </c>
      <c r="AJ2493" s="625">
        <v>0</v>
      </c>
      <c r="AK2493" s="625">
        <v>0</v>
      </c>
      <c r="AL2493" s="625">
        <v>0</v>
      </c>
      <c r="AM2493" s="625">
        <v>0</v>
      </c>
      <c r="AN2493" s="625">
        <v>0</v>
      </c>
      <c r="AO2493" s="625">
        <v>0</v>
      </c>
      <c r="AP2493" s="41" t="str">
        <f t="shared" si="1169"/>
        <v>Def TaxN</v>
      </c>
      <c r="AQ2493" s="41" t="str">
        <f t="shared" si="1170"/>
        <v>Def TaxNN5FAS 133 Related</v>
      </c>
      <c r="AR2493" s="41" t="str">
        <f t="shared" si="1171"/>
        <v>N5FAS 133 Related</v>
      </c>
    </row>
    <row r="2494" spans="1:44">
      <c r="AC2494" s="8"/>
      <c r="AD2494" s="8"/>
      <c r="AE2494" s="8"/>
      <c r="AF2494" s="8"/>
      <c r="AG2494" s="8"/>
      <c r="AH2494" s="8"/>
      <c r="AI2494" s="8"/>
      <c r="AJ2494" s="8"/>
      <c r="AK2494" s="8"/>
      <c r="AL2494" s="8"/>
      <c r="AM2494" s="8"/>
      <c r="AN2494" s="8"/>
      <c r="AO2494" s="8"/>
    </row>
    <row r="2495" spans="1:44" s="52" customFormat="1">
      <c r="A2495" s="399"/>
      <c r="B2495" s="399"/>
      <c r="C2495" s="644"/>
      <c r="D2495" s="693"/>
      <c r="E2495" s="418"/>
      <c r="F2495" s="418"/>
      <c r="G2495" s="418"/>
      <c r="H2495" s="670"/>
      <c r="I2495" s="418"/>
      <c r="J2495" s="399"/>
      <c r="K2495" s="418"/>
      <c r="L2495" s="644"/>
      <c r="M2495" s="418"/>
      <c r="N2495" s="418"/>
      <c r="O2495" s="418"/>
      <c r="P2495" s="693"/>
      <c r="Q2495" s="418"/>
      <c r="R2495" s="484"/>
      <c r="S2495" s="484"/>
      <c r="T2495" s="484"/>
      <c r="AC2495" s="825">
        <f t="shared" ref="AC2495:AO2495" si="1197">SUM(AC1322:AC2494)</f>
        <v>-397327.33338999987</v>
      </c>
      <c r="AD2495" s="53">
        <f t="shared" si="1197"/>
        <v>-392964.66330999986</v>
      </c>
      <c r="AE2495" s="53">
        <f t="shared" si="1197"/>
        <v>-388637.95538999984</v>
      </c>
      <c r="AF2495" s="53">
        <f t="shared" si="1197"/>
        <v>-386972.60612999997</v>
      </c>
      <c r="AG2495" s="53">
        <f t="shared" si="1197"/>
        <v>-398231.28921000008</v>
      </c>
      <c r="AH2495" s="53">
        <f t="shared" si="1197"/>
        <v>-383895.54987999966</v>
      </c>
      <c r="AI2495" s="53">
        <f t="shared" si="1197"/>
        <v>-389010.50880000001</v>
      </c>
      <c r="AJ2495" s="53">
        <f t="shared" si="1197"/>
        <v>-389588.69488000002</v>
      </c>
      <c r="AK2495" s="53">
        <f t="shared" si="1197"/>
        <v>-393154.27294000005</v>
      </c>
      <c r="AL2495" s="53">
        <f t="shared" si="1197"/>
        <v>-385126.88930999971</v>
      </c>
      <c r="AM2495" s="53">
        <f t="shared" si="1197"/>
        <v>-401890.51686999988</v>
      </c>
      <c r="AN2495" s="53">
        <f t="shared" si="1197"/>
        <v>-394076.71431999997</v>
      </c>
      <c r="AO2495" s="53">
        <f t="shared" si="1197"/>
        <v>-400835.24905000022</v>
      </c>
    </row>
    <row r="2496" spans="1:44" s="52" customFormat="1" ht="15.75">
      <c r="A2496" s="443" t="s">
        <v>2523</v>
      </c>
      <c r="B2496" s="399"/>
      <c r="C2496" s="644"/>
      <c r="D2496" s="693"/>
      <c r="E2496" s="418"/>
      <c r="F2496" s="418"/>
      <c r="G2496" s="418"/>
      <c r="H2496" s="670"/>
      <c r="I2496" s="418"/>
      <c r="J2496" s="399"/>
      <c r="K2496" s="418"/>
      <c r="L2496" s="644"/>
      <c r="M2496" s="418"/>
      <c r="N2496" s="418"/>
      <c r="O2496" s="418"/>
      <c r="P2496" s="693"/>
      <c r="Q2496" s="418"/>
      <c r="R2496" s="484"/>
      <c r="S2496" s="484"/>
      <c r="T2496" s="484"/>
      <c r="AC2496" s="54"/>
      <c r="AD2496" s="54">
        <v>-392964.66032000002</v>
      </c>
      <c r="AE2496" s="54">
        <v>-388637.9534</v>
      </c>
      <c r="AF2496" s="54">
        <v>-386972.60376000003</v>
      </c>
      <c r="AG2496" s="54">
        <v>-398231.28723000002</v>
      </c>
      <c r="AH2496" s="54">
        <v>-383895.5478</v>
      </c>
      <c r="AI2496" s="54">
        <v>-389010.50676999998</v>
      </c>
      <c r="AJ2496" s="54">
        <v>-389588.69257999997</v>
      </c>
      <c r="AK2496" s="54">
        <v>-393154.27064</v>
      </c>
      <c r="AL2496" s="54">
        <v>-385126.88704</v>
      </c>
      <c r="AM2496" s="54">
        <v>-401890.51459999999</v>
      </c>
      <c r="AN2496" s="54">
        <v>-394076.71204000001</v>
      </c>
      <c r="AO2496" s="53">
        <v>-400835.24676000001</v>
      </c>
    </row>
    <row r="2497" spans="1:41" s="52" customFormat="1">
      <c r="A2497" s="399"/>
      <c r="B2497" s="399"/>
      <c r="C2497" s="644"/>
      <c r="D2497" s="693"/>
      <c r="E2497" s="418"/>
      <c r="F2497" s="418"/>
      <c r="G2497" s="418"/>
      <c r="H2497" s="670"/>
      <c r="I2497" s="418"/>
      <c r="J2497" s="399"/>
      <c r="K2497" s="418"/>
      <c r="L2497" s="644"/>
      <c r="M2497" s="418"/>
      <c r="N2497" s="418"/>
      <c r="O2497" s="418"/>
      <c r="P2497" s="693"/>
      <c r="Q2497" s="418"/>
      <c r="R2497" s="484"/>
      <c r="S2497" s="484"/>
      <c r="T2497" s="484"/>
      <c r="AC2497" s="53"/>
      <c r="AD2497" s="53">
        <f t="shared" ref="AD2497:AO2497" si="1198">+AD2495-AD2496</f>
        <v>-2.9899998335167766E-3</v>
      </c>
      <c r="AE2497" s="53">
        <f t="shared" si="1198"/>
        <v>-1.9899998442269862E-3</v>
      </c>
      <c r="AF2497" s="53">
        <f t="shared" si="1198"/>
        <v>-2.3699999437667429E-3</v>
      </c>
      <c r="AG2497" s="53">
        <f t="shared" si="1198"/>
        <v>-1.980000059120357E-3</v>
      </c>
      <c r="AH2497" s="53">
        <f t="shared" si="1198"/>
        <v>-2.0799996564164758E-3</v>
      </c>
      <c r="AI2497" s="53">
        <f t="shared" si="1198"/>
        <v>-2.0300000323913991E-3</v>
      </c>
      <c r="AJ2497" s="53">
        <f t="shared" si="1198"/>
        <v>-2.3000000510364771E-3</v>
      </c>
      <c r="AK2497" s="53">
        <f t="shared" si="1198"/>
        <v>-2.3000000510364771E-3</v>
      </c>
      <c r="AL2497" s="53">
        <f t="shared" si="1198"/>
        <v>-2.2699997061863542E-3</v>
      </c>
      <c r="AM2497" s="53">
        <f t="shared" si="1198"/>
        <v>-2.2699998808093369E-3</v>
      </c>
      <c r="AN2497" s="53">
        <f t="shared" si="1198"/>
        <v>-2.2799999569542706E-3</v>
      </c>
      <c r="AO2497" s="53">
        <f t="shared" si="1198"/>
        <v>-2.290000207722187E-3</v>
      </c>
    </row>
    <row r="2498" spans="1:41" hidden="1">
      <c r="A2498" s="4"/>
      <c r="B2498" s="4"/>
      <c r="E2498" s="5"/>
      <c r="F2498" s="5"/>
      <c r="G2498" s="5"/>
      <c r="I2498" s="5"/>
      <c r="J2498" s="4"/>
      <c r="K2498" s="5"/>
      <c r="M2498" s="5"/>
      <c r="N2498" s="5"/>
      <c r="O2498" s="5"/>
      <c r="Q2498" s="5"/>
      <c r="R2498" s="5"/>
      <c r="S2498" s="5"/>
      <c r="T2498" s="5"/>
    </row>
    <row r="2499" spans="1:41" hidden="1">
      <c r="A2499" s="4"/>
      <c r="B2499" s="4"/>
      <c r="E2499" s="5"/>
      <c r="F2499" s="5"/>
      <c r="G2499" s="5"/>
      <c r="I2499" s="5"/>
      <c r="J2499" s="4"/>
      <c r="K2499" s="5"/>
      <c r="M2499" s="5"/>
      <c r="N2499" s="5"/>
      <c r="O2499" s="5"/>
      <c r="Q2499" s="5"/>
      <c r="R2499" s="5"/>
      <c r="S2499" s="5"/>
      <c r="T2499" s="5"/>
    </row>
    <row r="2500" spans="1:41" hidden="1">
      <c r="A2500" s="4"/>
      <c r="B2500" s="59" t="s">
        <v>2524</v>
      </c>
      <c r="C2500" s="645"/>
      <c r="D2500" s="645"/>
      <c r="E2500" s="60"/>
      <c r="F2500" s="60"/>
      <c r="G2500" s="61"/>
      <c r="I2500" s="5"/>
      <c r="J2500" s="4"/>
      <c r="K2500" s="5"/>
      <c r="M2500" s="5"/>
      <c r="N2500" s="5"/>
      <c r="O2500" s="5"/>
      <c r="Q2500" s="5"/>
      <c r="R2500" s="5"/>
      <c r="S2500" s="5"/>
      <c r="T2500" s="5"/>
    </row>
    <row r="2501" spans="1:41" hidden="1">
      <c r="A2501" s="4"/>
      <c r="B2501" s="62"/>
      <c r="C2501" s="646" t="s">
        <v>17</v>
      </c>
      <c r="D2501" s="646" t="s">
        <v>931</v>
      </c>
      <c r="E2501" s="61"/>
      <c r="F2501" s="61"/>
      <c r="G2501" s="61" t="s">
        <v>2525</v>
      </c>
      <c r="I2501" s="5"/>
      <c r="J2501" s="4"/>
      <c r="K2501" s="5"/>
      <c r="M2501" s="5"/>
      <c r="N2501" s="5"/>
      <c r="O2501" s="5"/>
      <c r="Q2501" s="5"/>
      <c r="R2501" s="5"/>
      <c r="S2501" s="5"/>
      <c r="T2501" s="5"/>
      <c r="AC2501" s="8"/>
      <c r="AD2501" s="8"/>
      <c r="AE2501" s="8"/>
      <c r="AF2501" s="8"/>
      <c r="AG2501" s="8"/>
      <c r="AH2501" s="8"/>
      <c r="AI2501" s="8"/>
      <c r="AJ2501" s="8"/>
      <c r="AK2501" s="8"/>
      <c r="AL2501" s="8"/>
      <c r="AM2501" s="8"/>
      <c r="AN2501" s="8"/>
      <c r="AO2501" s="8"/>
    </row>
    <row r="2502" spans="1:41" hidden="1">
      <c r="A2502" s="4"/>
      <c r="B2502" s="62"/>
      <c r="C2502" s="646" t="s">
        <v>17</v>
      </c>
      <c r="D2502" s="646" t="s">
        <v>2484</v>
      </c>
      <c r="E2502" s="61"/>
      <c r="F2502" s="61"/>
      <c r="G2502" s="61" t="s">
        <v>2395</v>
      </c>
      <c r="I2502" s="5"/>
      <c r="J2502" s="4"/>
      <c r="K2502" s="5"/>
      <c r="M2502" s="5"/>
      <c r="N2502" s="5"/>
      <c r="O2502" s="5"/>
      <c r="Q2502" s="5"/>
      <c r="R2502" s="5"/>
      <c r="S2502" s="5"/>
      <c r="T2502" s="5"/>
      <c r="AC2502" s="8"/>
      <c r="AD2502" s="8"/>
      <c r="AE2502" s="8"/>
      <c r="AF2502" s="8"/>
      <c r="AG2502" s="8"/>
      <c r="AH2502" s="8"/>
      <c r="AI2502" s="8"/>
      <c r="AJ2502" s="8"/>
      <c r="AK2502" s="8"/>
      <c r="AL2502" s="8"/>
      <c r="AM2502" s="8"/>
      <c r="AN2502" s="8"/>
      <c r="AO2502" s="8"/>
    </row>
    <row r="2503" spans="1:41" hidden="1">
      <c r="A2503" s="4"/>
      <c r="B2503" s="62"/>
      <c r="C2503" s="646" t="s">
        <v>17</v>
      </c>
      <c r="D2503" s="646" t="s">
        <v>2526</v>
      </c>
      <c r="E2503" s="61"/>
      <c r="F2503" s="61"/>
      <c r="G2503" s="61" t="s">
        <v>2439</v>
      </c>
      <c r="I2503" s="5"/>
      <c r="J2503" s="4"/>
      <c r="K2503" s="5"/>
      <c r="M2503" s="5"/>
      <c r="N2503" s="5"/>
      <c r="O2503" s="5"/>
      <c r="Q2503" s="5"/>
      <c r="R2503" s="5"/>
      <c r="S2503" s="5"/>
      <c r="T2503" s="5"/>
      <c r="AC2503" s="8"/>
      <c r="AD2503" s="8"/>
      <c r="AE2503" s="8"/>
      <c r="AF2503" s="8"/>
      <c r="AG2503" s="8"/>
      <c r="AH2503" s="8"/>
      <c r="AI2503" s="8"/>
      <c r="AJ2503" s="8"/>
      <c r="AK2503" s="8"/>
      <c r="AL2503" s="8"/>
      <c r="AM2503" s="8"/>
      <c r="AN2503" s="8"/>
      <c r="AO2503" s="8"/>
    </row>
    <row r="2504" spans="1:41" hidden="1">
      <c r="A2504" s="4"/>
      <c r="B2504" s="62"/>
      <c r="C2504" s="646" t="s">
        <v>17</v>
      </c>
      <c r="D2504" s="646" t="s">
        <v>2468</v>
      </c>
      <c r="E2504" s="61"/>
      <c r="F2504" s="61"/>
      <c r="G2504" s="61" t="s">
        <v>2519</v>
      </c>
      <c r="I2504" s="5"/>
      <c r="J2504" s="4"/>
      <c r="K2504" s="5"/>
      <c r="M2504" s="5"/>
      <c r="N2504" s="5"/>
      <c r="O2504" s="5"/>
      <c r="Q2504" s="5"/>
      <c r="R2504" s="5"/>
      <c r="S2504" s="5"/>
      <c r="T2504" s="5"/>
      <c r="AC2504" s="8"/>
      <c r="AD2504" s="8"/>
      <c r="AE2504" s="8"/>
      <c r="AF2504" s="8"/>
      <c r="AG2504" s="8"/>
      <c r="AH2504" s="8"/>
      <c r="AI2504" s="8"/>
      <c r="AJ2504" s="8"/>
      <c r="AK2504" s="8"/>
      <c r="AL2504" s="8"/>
      <c r="AM2504" s="8"/>
      <c r="AN2504" s="8"/>
      <c r="AO2504" s="8"/>
    </row>
    <row r="2505" spans="1:41" hidden="1">
      <c r="A2505" s="4"/>
      <c r="B2505" s="62"/>
      <c r="C2505" s="646" t="s">
        <v>17</v>
      </c>
      <c r="D2505" s="646" t="s">
        <v>2464</v>
      </c>
      <c r="E2505" s="61"/>
      <c r="F2505" s="61"/>
      <c r="G2505" s="61" t="s">
        <v>2527</v>
      </c>
      <c r="I2505" s="5"/>
      <c r="J2505" s="4"/>
      <c r="K2505" s="5"/>
      <c r="M2505" s="5"/>
      <c r="N2505" s="5"/>
      <c r="O2505" s="5"/>
      <c r="Q2505" s="5"/>
      <c r="R2505" s="5"/>
      <c r="S2505" s="5"/>
      <c r="T2505" s="5"/>
      <c r="AC2505" s="8"/>
      <c r="AD2505" s="8"/>
      <c r="AE2505" s="8"/>
      <c r="AF2505" s="8"/>
      <c r="AG2505" s="8"/>
      <c r="AH2505" s="8"/>
      <c r="AI2505" s="8"/>
      <c r="AJ2505" s="8"/>
      <c r="AK2505" s="8"/>
      <c r="AL2505" s="8"/>
      <c r="AM2505" s="8"/>
      <c r="AN2505" s="8"/>
      <c r="AO2505" s="8"/>
    </row>
    <row r="2506" spans="1:41" ht="15" hidden="1">
      <c r="A2506" s="4"/>
      <c r="B2506" s="62"/>
      <c r="C2506" s="646" t="s">
        <v>17</v>
      </c>
      <c r="D2506" s="646" t="s">
        <v>2466</v>
      </c>
      <c r="E2506" s="61"/>
      <c r="F2506" s="61"/>
      <c r="G2506" s="61" t="s">
        <v>2528</v>
      </c>
      <c r="I2506" s="5"/>
      <c r="J2506" s="4"/>
      <c r="K2506" s="5"/>
      <c r="M2506" s="5"/>
      <c r="N2506" s="5"/>
      <c r="O2506" s="5"/>
      <c r="Q2506" s="5"/>
      <c r="R2506" s="5"/>
      <c r="S2506" s="5"/>
      <c r="T2506" s="5"/>
      <c r="AC2506" s="43"/>
      <c r="AD2506" s="43"/>
      <c r="AE2506" s="43"/>
      <c r="AF2506" s="43"/>
      <c r="AG2506" s="43"/>
      <c r="AH2506" s="43"/>
      <c r="AI2506" s="43"/>
      <c r="AJ2506" s="43"/>
      <c r="AK2506" s="43"/>
      <c r="AL2506" s="43"/>
      <c r="AM2506" s="43"/>
      <c r="AN2506" s="43"/>
      <c r="AO2506" s="43"/>
    </row>
    <row r="2507" spans="1:41" hidden="1">
      <c r="A2507" s="4"/>
      <c r="B2507" s="62"/>
      <c r="C2507" s="646"/>
      <c r="D2507" s="646"/>
      <c r="E2507" s="61"/>
      <c r="F2507" s="61"/>
      <c r="G2507" s="61"/>
      <c r="I2507" s="5"/>
      <c r="J2507" s="4"/>
      <c r="K2507" s="5"/>
      <c r="M2507" s="5"/>
      <c r="N2507" s="5"/>
      <c r="O2507" s="5"/>
      <c r="Q2507" s="5"/>
      <c r="R2507" s="5"/>
      <c r="S2507" s="5"/>
      <c r="T2507" s="5"/>
    </row>
    <row r="2508" spans="1:41" ht="15" hidden="1">
      <c r="A2508" s="4"/>
      <c r="B2508" s="62"/>
      <c r="C2508" s="646" t="s">
        <v>2475</v>
      </c>
      <c r="D2508" s="645"/>
      <c r="E2508" s="60"/>
      <c r="F2508" s="60"/>
      <c r="G2508" s="61"/>
      <c r="I2508" s="5"/>
      <c r="J2508" s="4"/>
      <c r="K2508" s="5"/>
      <c r="M2508" s="5"/>
      <c r="N2508" s="5"/>
      <c r="O2508" s="5"/>
      <c r="Q2508" s="5"/>
      <c r="R2508" s="5"/>
      <c r="S2508" s="5"/>
      <c r="T2508" s="5"/>
      <c r="AC2508" s="44"/>
      <c r="AD2508" s="44"/>
      <c r="AE2508" s="44"/>
      <c r="AF2508" s="44"/>
      <c r="AG2508" s="44"/>
      <c r="AH2508" s="44"/>
      <c r="AI2508" s="44"/>
      <c r="AJ2508" s="44"/>
      <c r="AK2508" s="44"/>
      <c r="AL2508" s="44"/>
      <c r="AM2508" s="44"/>
      <c r="AN2508" s="44"/>
      <c r="AO2508" s="44"/>
    </row>
    <row r="2509" spans="1:41" hidden="1">
      <c r="A2509" s="4"/>
      <c r="B2509" s="4"/>
      <c r="E2509" s="5"/>
      <c r="F2509" s="5"/>
      <c r="G2509" s="5"/>
      <c r="I2509" s="5"/>
      <c r="J2509" s="4"/>
      <c r="K2509" s="5"/>
      <c r="M2509" s="5"/>
      <c r="N2509" s="5"/>
      <c r="O2509" s="5"/>
      <c r="Q2509" s="5"/>
      <c r="R2509" s="5"/>
      <c r="S2509" s="5"/>
      <c r="T2509" s="5"/>
    </row>
    <row r="2510" spans="1:41" s="52" customFormat="1" hidden="1">
      <c r="A2510" s="51"/>
      <c r="B2510" s="51"/>
      <c r="C2510" s="644"/>
      <c r="D2510" s="693"/>
      <c r="H2510" s="670"/>
      <c r="J2510" s="51"/>
      <c r="L2510" s="644"/>
      <c r="P2510" s="693"/>
    </row>
    <row r="2511" spans="1:41" hidden="1">
      <c r="A2511" s="4"/>
      <c r="B2511" s="4"/>
      <c r="E2511" s="5"/>
      <c r="F2511" s="5"/>
      <c r="G2511" s="5"/>
      <c r="I2511" s="5"/>
      <c r="J2511" s="4"/>
      <c r="K2511" s="5"/>
      <c r="M2511" s="5"/>
      <c r="N2511" s="5"/>
      <c r="O2511" s="5"/>
      <c r="Q2511" s="5"/>
      <c r="R2511" s="5"/>
      <c r="S2511" s="5"/>
      <c r="T2511" s="5"/>
    </row>
    <row r="2512" spans="1:41" hidden="1">
      <c r="A2512" s="4"/>
      <c r="B2512" s="55" t="s">
        <v>2439</v>
      </c>
      <c r="C2512" s="647"/>
      <c r="D2512" s="647"/>
      <c r="E2512" s="56"/>
      <c r="F2512" s="56"/>
      <c r="G2512" s="57"/>
      <c r="I2512" s="5"/>
      <c r="J2512" s="4"/>
      <c r="K2512" s="5"/>
      <c r="M2512" s="5"/>
      <c r="N2512" s="5"/>
      <c r="O2512" s="5"/>
      <c r="Q2512" s="5"/>
      <c r="R2512" s="5"/>
      <c r="S2512" s="5"/>
      <c r="T2512" s="5"/>
    </row>
    <row r="2513" spans="1:41" hidden="1">
      <c r="A2513" s="4"/>
      <c r="B2513" s="63"/>
      <c r="C2513" s="648" t="s">
        <v>2438</v>
      </c>
      <c r="D2513" s="699" t="s">
        <v>2439</v>
      </c>
      <c r="E2513" s="63"/>
      <c r="F2513" s="63"/>
      <c r="G2513" s="63" t="s">
        <v>2440</v>
      </c>
      <c r="I2513" s="5"/>
      <c r="J2513" s="4"/>
      <c r="K2513" s="5"/>
      <c r="M2513" s="5"/>
      <c r="N2513" s="5"/>
      <c r="O2513" s="5"/>
      <c r="Q2513" s="5"/>
      <c r="R2513" s="5"/>
      <c r="S2513" s="5"/>
      <c r="T2513" s="5"/>
      <c r="AC2513" s="8"/>
      <c r="AD2513" s="8"/>
      <c r="AE2513" s="8"/>
      <c r="AF2513" s="8"/>
      <c r="AG2513" s="8"/>
      <c r="AH2513" s="8"/>
      <c r="AI2513" s="8"/>
      <c r="AJ2513" s="8"/>
      <c r="AK2513" s="8"/>
      <c r="AL2513" s="8"/>
      <c r="AM2513" s="8"/>
      <c r="AN2513" s="8"/>
      <c r="AO2513" s="8"/>
    </row>
    <row r="2514" spans="1:41" hidden="1">
      <c r="A2514" s="4"/>
      <c r="B2514" s="63"/>
      <c r="C2514" s="648" t="s">
        <v>2449</v>
      </c>
      <c r="D2514" s="699" t="s">
        <v>2439</v>
      </c>
      <c r="E2514" s="63"/>
      <c r="F2514" s="63"/>
      <c r="G2514" s="63" t="s">
        <v>2450</v>
      </c>
      <c r="I2514" s="5"/>
      <c r="J2514" s="4"/>
      <c r="K2514" s="5"/>
      <c r="M2514" s="5"/>
      <c r="N2514" s="5"/>
      <c r="O2514" s="5"/>
      <c r="Q2514" s="5"/>
      <c r="R2514" s="5"/>
      <c r="S2514" s="5"/>
      <c r="T2514" s="5"/>
      <c r="AC2514" s="8"/>
      <c r="AD2514" s="8"/>
      <c r="AE2514" s="8"/>
      <c r="AF2514" s="8"/>
      <c r="AG2514" s="8"/>
      <c r="AH2514" s="8"/>
      <c r="AI2514" s="8"/>
      <c r="AJ2514" s="8"/>
      <c r="AK2514" s="8"/>
      <c r="AL2514" s="8"/>
      <c r="AM2514" s="8"/>
      <c r="AN2514" s="8"/>
      <c r="AO2514" s="8"/>
    </row>
    <row r="2515" spans="1:41" hidden="1">
      <c r="A2515" s="4"/>
      <c r="B2515" s="63"/>
      <c r="C2515" s="648" t="s">
        <v>2451</v>
      </c>
      <c r="D2515" s="699" t="s">
        <v>2439</v>
      </c>
      <c r="E2515" s="63"/>
      <c r="F2515" s="63"/>
      <c r="G2515" s="63" t="s">
        <v>2452</v>
      </c>
      <c r="I2515" s="5"/>
      <c r="J2515" s="4"/>
      <c r="K2515" s="5"/>
      <c r="M2515" s="5"/>
      <c r="N2515" s="5"/>
      <c r="O2515" s="5"/>
      <c r="Q2515" s="5"/>
      <c r="R2515" s="5"/>
      <c r="S2515" s="5"/>
      <c r="T2515" s="5"/>
      <c r="AC2515" s="8"/>
      <c r="AD2515" s="8"/>
      <c r="AE2515" s="8"/>
      <c r="AF2515" s="8"/>
      <c r="AG2515" s="8"/>
      <c r="AH2515" s="8"/>
      <c r="AI2515" s="8"/>
      <c r="AJ2515" s="8"/>
      <c r="AK2515" s="8"/>
      <c r="AL2515" s="8"/>
      <c r="AM2515" s="8"/>
      <c r="AN2515" s="8"/>
      <c r="AO2515" s="8"/>
    </row>
    <row r="2516" spans="1:41" hidden="1">
      <c r="A2516" s="4"/>
      <c r="B2516" s="63"/>
      <c r="C2516" s="648" t="s">
        <v>2453</v>
      </c>
      <c r="D2516" s="699" t="s">
        <v>2439</v>
      </c>
      <c r="E2516" s="63"/>
      <c r="F2516" s="63"/>
      <c r="G2516" s="63" t="s">
        <v>2454</v>
      </c>
      <c r="I2516" s="5"/>
      <c r="J2516" s="4"/>
      <c r="K2516" s="5"/>
      <c r="M2516" s="5"/>
      <c r="N2516" s="5"/>
      <c r="O2516" s="5"/>
      <c r="Q2516" s="5"/>
      <c r="R2516" s="5"/>
      <c r="S2516" s="5"/>
      <c r="T2516" s="5"/>
      <c r="AC2516" s="8"/>
      <c r="AD2516" s="8"/>
      <c r="AE2516" s="8"/>
      <c r="AF2516" s="8"/>
      <c r="AG2516" s="8"/>
      <c r="AH2516" s="8"/>
      <c r="AI2516" s="8"/>
      <c r="AJ2516" s="8"/>
      <c r="AK2516" s="8"/>
      <c r="AL2516" s="8"/>
      <c r="AM2516" s="8"/>
      <c r="AN2516" s="8"/>
      <c r="AO2516" s="8"/>
    </row>
    <row r="2517" spans="1:41" hidden="1">
      <c r="A2517" s="4"/>
      <c r="B2517" s="63"/>
      <c r="C2517" s="648" t="s">
        <v>2455</v>
      </c>
      <c r="D2517" s="699" t="s">
        <v>2439</v>
      </c>
      <c r="E2517" s="63"/>
      <c r="F2517" s="63"/>
      <c r="G2517" s="63" t="s">
        <v>2530</v>
      </c>
      <c r="I2517" s="5"/>
      <c r="J2517" s="4"/>
      <c r="K2517" s="5"/>
      <c r="M2517" s="5"/>
      <c r="N2517" s="5"/>
      <c r="O2517" s="5"/>
      <c r="Q2517" s="5"/>
      <c r="R2517" s="5"/>
      <c r="S2517" s="5"/>
      <c r="T2517" s="5"/>
      <c r="AC2517" s="8"/>
      <c r="AD2517" s="8"/>
      <c r="AE2517" s="8"/>
      <c r="AF2517" s="8"/>
      <c r="AG2517" s="8"/>
      <c r="AH2517" s="8"/>
      <c r="AI2517" s="8"/>
      <c r="AJ2517" s="8"/>
      <c r="AK2517" s="8"/>
      <c r="AL2517" s="8"/>
      <c r="AM2517" s="8"/>
      <c r="AN2517" s="8"/>
      <c r="AO2517" s="8"/>
    </row>
    <row r="2518" spans="1:41" hidden="1">
      <c r="A2518" s="4"/>
      <c r="B2518" s="63"/>
      <c r="C2518" s="648" t="s">
        <v>2456</v>
      </c>
      <c r="D2518" s="699" t="s">
        <v>2439</v>
      </c>
      <c r="E2518" s="63"/>
      <c r="F2518" s="63"/>
      <c r="G2518" s="63" t="s">
        <v>2457</v>
      </c>
      <c r="I2518" s="5"/>
      <c r="J2518" s="4"/>
      <c r="K2518" s="5"/>
      <c r="M2518" s="5"/>
      <c r="N2518" s="5"/>
      <c r="O2518" s="5"/>
      <c r="Q2518" s="5"/>
      <c r="R2518" s="5"/>
      <c r="S2518" s="5"/>
      <c r="T2518" s="5"/>
      <c r="AC2518" s="8"/>
      <c r="AD2518" s="8"/>
      <c r="AE2518" s="8"/>
      <c r="AF2518" s="8"/>
      <c r="AG2518" s="8"/>
      <c r="AH2518" s="8"/>
      <c r="AI2518" s="8"/>
      <c r="AJ2518" s="8"/>
      <c r="AK2518" s="8"/>
      <c r="AL2518" s="8"/>
      <c r="AM2518" s="8"/>
      <c r="AN2518" s="8"/>
      <c r="AO2518" s="8"/>
    </row>
    <row r="2519" spans="1:41" hidden="1">
      <c r="A2519" s="4"/>
      <c r="B2519" s="63"/>
      <c r="C2519" s="648" t="s">
        <v>2458</v>
      </c>
      <c r="D2519" s="699" t="s">
        <v>2439</v>
      </c>
      <c r="E2519" s="63"/>
      <c r="F2519" s="63"/>
      <c r="G2519" s="63" t="s">
        <v>2459</v>
      </c>
      <c r="I2519" s="5"/>
      <c r="J2519" s="4"/>
      <c r="K2519" s="5"/>
      <c r="M2519" s="5"/>
      <c r="N2519" s="5"/>
      <c r="O2519" s="5"/>
      <c r="Q2519" s="5"/>
      <c r="R2519" s="5"/>
      <c r="S2519" s="5"/>
      <c r="T2519" s="5"/>
      <c r="AC2519" s="8"/>
      <c r="AD2519" s="8"/>
      <c r="AE2519" s="8"/>
      <c r="AF2519" s="8"/>
      <c r="AG2519" s="8"/>
      <c r="AH2519" s="8"/>
      <c r="AI2519" s="8"/>
      <c r="AJ2519" s="8"/>
      <c r="AK2519" s="8"/>
      <c r="AL2519" s="8"/>
      <c r="AM2519" s="8"/>
      <c r="AN2519" s="8"/>
      <c r="AO2519" s="8"/>
    </row>
    <row r="2520" spans="1:41" hidden="1">
      <c r="A2520" s="4"/>
      <c r="B2520" s="63"/>
      <c r="C2520" s="648" t="s">
        <v>2460</v>
      </c>
      <c r="D2520" s="699" t="s">
        <v>2439</v>
      </c>
      <c r="E2520" s="63"/>
      <c r="F2520" s="63"/>
      <c r="G2520" s="63" t="s">
        <v>2461</v>
      </c>
      <c r="I2520" s="5"/>
      <c r="J2520" s="4"/>
      <c r="K2520" s="5"/>
      <c r="M2520" s="5"/>
      <c r="N2520" s="5"/>
      <c r="O2520" s="5"/>
      <c r="Q2520" s="5"/>
      <c r="R2520" s="5"/>
      <c r="S2520" s="5"/>
      <c r="T2520" s="5"/>
      <c r="AC2520" s="8"/>
      <c r="AD2520" s="8"/>
      <c r="AE2520" s="8"/>
      <c r="AF2520" s="8"/>
      <c r="AG2520" s="8"/>
      <c r="AH2520" s="8"/>
      <c r="AI2520" s="8"/>
      <c r="AJ2520" s="8"/>
      <c r="AK2520" s="8"/>
      <c r="AL2520" s="8"/>
      <c r="AM2520" s="8"/>
      <c r="AN2520" s="8"/>
      <c r="AO2520" s="8"/>
    </row>
    <row r="2521" spans="1:41" hidden="1">
      <c r="A2521" s="4"/>
      <c r="B2521" s="63"/>
      <c r="C2521" s="648" t="s">
        <v>2462</v>
      </c>
      <c r="D2521" s="699" t="s">
        <v>2439</v>
      </c>
      <c r="E2521" s="63"/>
      <c r="F2521" s="63"/>
      <c r="G2521" s="63" t="s">
        <v>2463</v>
      </c>
      <c r="I2521" s="5"/>
      <c r="J2521" s="4"/>
      <c r="K2521" s="5"/>
      <c r="M2521" s="5"/>
      <c r="N2521" s="5"/>
      <c r="O2521" s="5"/>
      <c r="Q2521" s="5"/>
      <c r="R2521" s="5"/>
      <c r="S2521" s="5"/>
      <c r="T2521" s="5"/>
      <c r="AC2521" s="8"/>
      <c r="AD2521" s="8"/>
      <c r="AE2521" s="8"/>
      <c r="AF2521" s="8"/>
      <c r="AG2521" s="8"/>
      <c r="AH2521" s="8"/>
      <c r="AI2521" s="8"/>
      <c r="AJ2521" s="8"/>
      <c r="AK2521" s="8"/>
      <c r="AL2521" s="8"/>
      <c r="AM2521" s="8"/>
      <c r="AN2521" s="8"/>
      <c r="AO2521" s="8"/>
    </row>
    <row r="2522" spans="1:41" hidden="1">
      <c r="A2522" s="4"/>
      <c r="B2522" s="63"/>
      <c r="C2522" s="648" t="s">
        <v>2441</v>
      </c>
      <c r="D2522" s="699" t="s">
        <v>2439</v>
      </c>
      <c r="E2522" s="63"/>
      <c r="F2522" s="63"/>
      <c r="G2522" s="63" t="s">
        <v>2442</v>
      </c>
      <c r="I2522" s="5"/>
      <c r="J2522" s="4"/>
      <c r="K2522" s="5"/>
      <c r="M2522" s="5"/>
      <c r="N2522" s="5"/>
      <c r="O2522" s="5"/>
      <c r="Q2522" s="5"/>
      <c r="R2522" s="5"/>
      <c r="S2522" s="5"/>
      <c r="T2522" s="5"/>
      <c r="AC2522" s="8"/>
      <c r="AD2522" s="8"/>
      <c r="AE2522" s="8"/>
      <c r="AF2522" s="8"/>
      <c r="AG2522" s="8"/>
      <c r="AH2522" s="8"/>
      <c r="AI2522" s="8"/>
      <c r="AJ2522" s="8"/>
      <c r="AK2522" s="8"/>
      <c r="AL2522" s="8"/>
      <c r="AM2522" s="8"/>
      <c r="AN2522" s="8"/>
      <c r="AO2522" s="8"/>
    </row>
    <row r="2523" spans="1:41" hidden="1">
      <c r="A2523" s="4"/>
      <c r="B2523" s="63"/>
      <c r="C2523" s="648" t="s">
        <v>2443</v>
      </c>
      <c r="D2523" s="699" t="s">
        <v>2439</v>
      </c>
      <c r="E2523" s="63"/>
      <c r="F2523" s="63"/>
      <c r="G2523" s="63" t="s">
        <v>2444</v>
      </c>
      <c r="I2523" s="5"/>
      <c r="J2523" s="4"/>
      <c r="K2523" s="5"/>
      <c r="M2523" s="5"/>
      <c r="N2523" s="5"/>
      <c r="O2523" s="5"/>
      <c r="Q2523" s="5"/>
      <c r="R2523" s="5"/>
      <c r="S2523" s="5"/>
      <c r="T2523" s="5"/>
      <c r="AC2523" s="8"/>
      <c r="AD2523" s="8"/>
      <c r="AE2523" s="8"/>
      <c r="AF2523" s="8"/>
      <c r="AG2523" s="8"/>
      <c r="AH2523" s="8"/>
      <c r="AI2523" s="8"/>
      <c r="AJ2523" s="8"/>
      <c r="AK2523" s="8"/>
      <c r="AL2523" s="8"/>
      <c r="AM2523" s="8"/>
      <c r="AN2523" s="8"/>
      <c r="AO2523" s="8"/>
    </row>
    <row r="2524" spans="1:41" hidden="1">
      <c r="A2524" s="4"/>
      <c r="B2524" s="63"/>
      <c r="C2524" s="648" t="s">
        <v>2445</v>
      </c>
      <c r="D2524" s="699" t="s">
        <v>2439</v>
      </c>
      <c r="E2524" s="63"/>
      <c r="F2524" s="63"/>
      <c r="G2524" s="63" t="s">
        <v>2446</v>
      </c>
      <c r="I2524" s="5"/>
      <c r="J2524" s="4"/>
      <c r="K2524" s="5"/>
      <c r="M2524" s="5"/>
      <c r="N2524" s="5"/>
      <c r="O2524" s="5"/>
      <c r="Q2524" s="5"/>
      <c r="R2524" s="5"/>
      <c r="S2524" s="5"/>
      <c r="T2524" s="5"/>
      <c r="AC2524" s="8"/>
      <c r="AD2524" s="8"/>
      <c r="AE2524" s="8"/>
      <c r="AF2524" s="8"/>
      <c r="AG2524" s="8"/>
      <c r="AH2524" s="8"/>
      <c r="AI2524" s="8"/>
      <c r="AJ2524" s="8"/>
      <c r="AK2524" s="8"/>
      <c r="AL2524" s="8"/>
      <c r="AM2524" s="8"/>
      <c r="AN2524" s="8"/>
      <c r="AO2524" s="8"/>
    </row>
    <row r="2525" spans="1:41" ht="15" hidden="1">
      <c r="A2525" s="4"/>
      <c r="B2525" s="63"/>
      <c r="C2525" s="648" t="s">
        <v>2447</v>
      </c>
      <c r="D2525" s="699" t="s">
        <v>2439</v>
      </c>
      <c r="E2525" s="63"/>
      <c r="F2525" s="63"/>
      <c r="G2525" s="63" t="s">
        <v>2448</v>
      </c>
      <c r="I2525" s="5"/>
      <c r="J2525" s="4"/>
      <c r="K2525" s="5"/>
      <c r="M2525" s="5"/>
      <c r="N2525" s="5"/>
      <c r="O2525" s="5"/>
      <c r="Q2525" s="5"/>
      <c r="R2525" s="5"/>
      <c r="S2525" s="5"/>
      <c r="T2525" s="5"/>
      <c r="AC2525" s="43"/>
      <c r="AD2525" s="43"/>
      <c r="AE2525" s="43"/>
      <c r="AF2525" s="43"/>
      <c r="AG2525" s="43"/>
      <c r="AH2525" s="43"/>
      <c r="AI2525" s="43"/>
      <c r="AJ2525" s="43"/>
      <c r="AK2525" s="43"/>
      <c r="AL2525" s="43"/>
      <c r="AM2525" s="43"/>
      <c r="AN2525" s="43"/>
      <c r="AO2525" s="43"/>
    </row>
    <row r="2526" spans="1:41" hidden="1">
      <c r="A2526" s="4"/>
      <c r="B2526" s="63"/>
      <c r="C2526" s="648"/>
      <c r="D2526" s="699"/>
      <c r="E2526" s="63"/>
      <c r="F2526" s="63"/>
      <c r="G2526" s="63"/>
      <c r="I2526" s="5"/>
      <c r="J2526" s="4"/>
      <c r="K2526" s="5"/>
      <c r="M2526" s="5"/>
      <c r="N2526" s="5"/>
      <c r="O2526" s="5"/>
      <c r="Q2526" s="5"/>
      <c r="R2526" s="5"/>
      <c r="S2526" s="5"/>
      <c r="T2526" s="5"/>
    </row>
    <row r="2527" spans="1:41" hidden="1">
      <c r="A2527" s="4"/>
      <c r="B2527" s="58"/>
      <c r="C2527" s="647"/>
      <c r="D2527" s="649"/>
      <c r="E2527" s="58"/>
      <c r="F2527" s="58"/>
      <c r="G2527" s="58"/>
      <c r="I2527" s="5"/>
      <c r="J2527" s="4"/>
      <c r="K2527" s="5"/>
      <c r="M2527" s="5"/>
      <c r="N2527" s="5"/>
      <c r="O2527" s="5"/>
      <c r="Q2527" s="5"/>
      <c r="R2527" s="5"/>
      <c r="S2527" s="5"/>
      <c r="T2527" s="5"/>
    </row>
    <row r="2528" spans="1:41" ht="15" hidden="1">
      <c r="A2528" s="4"/>
      <c r="B2528" s="58"/>
      <c r="C2528" s="649" t="s">
        <v>2475</v>
      </c>
      <c r="D2528" s="649"/>
      <c r="E2528" s="58"/>
      <c r="F2528" s="58"/>
      <c r="G2528" s="58"/>
      <c r="I2528" s="5"/>
      <c r="J2528" s="4"/>
      <c r="K2528" s="5"/>
      <c r="M2528" s="5"/>
      <c r="N2528" s="5"/>
      <c r="O2528" s="5"/>
      <c r="Q2528" s="5"/>
      <c r="R2528" s="5"/>
      <c r="S2528" s="5"/>
      <c r="T2528" s="5"/>
      <c r="AC2528" s="44"/>
      <c r="AD2528" s="44"/>
      <c r="AE2528" s="44"/>
      <c r="AF2528" s="44"/>
      <c r="AG2528" s="44"/>
      <c r="AH2528" s="44"/>
      <c r="AI2528" s="44"/>
      <c r="AJ2528" s="44"/>
      <c r="AK2528" s="44"/>
      <c r="AL2528" s="44"/>
      <c r="AM2528" s="44"/>
      <c r="AN2528" s="44"/>
      <c r="AO2528" s="44"/>
    </row>
    <row r="2529" spans="1:41" hidden="1">
      <c r="A2529" s="4"/>
      <c r="B2529" s="4"/>
      <c r="E2529" s="5"/>
      <c r="F2529" s="5"/>
      <c r="G2529" s="5"/>
      <c r="I2529" s="5"/>
      <c r="J2529" s="4"/>
      <c r="K2529" s="5"/>
      <c r="M2529" s="5"/>
      <c r="N2529" s="5"/>
      <c r="O2529" s="5"/>
      <c r="Q2529" s="5"/>
      <c r="R2529" s="5"/>
      <c r="S2529" s="5"/>
      <c r="T2529" s="5"/>
    </row>
    <row r="2530" spans="1:41" s="52" customFormat="1" hidden="1">
      <c r="A2530" s="51"/>
      <c r="B2530" s="51"/>
      <c r="C2530" s="644"/>
      <c r="D2530" s="693"/>
      <c r="H2530" s="670"/>
      <c r="J2530" s="51"/>
      <c r="L2530" s="644"/>
      <c r="P2530" s="693"/>
    </row>
    <row r="2531" spans="1:41" hidden="1">
      <c r="A2531" s="4"/>
      <c r="B2531" s="4"/>
      <c r="E2531" s="5"/>
      <c r="F2531" s="5"/>
      <c r="G2531" s="5"/>
      <c r="I2531" s="5"/>
      <c r="J2531" s="4"/>
      <c r="K2531" s="5"/>
      <c r="M2531" s="5"/>
      <c r="N2531" s="5"/>
      <c r="O2531" s="5"/>
      <c r="Q2531" s="5"/>
      <c r="R2531" s="5"/>
      <c r="S2531" s="5"/>
      <c r="T2531" s="5"/>
    </row>
    <row r="2532" spans="1:41" hidden="1">
      <c r="A2532" s="4"/>
      <c r="B2532" s="55" t="s">
        <v>2395</v>
      </c>
      <c r="C2532" s="647"/>
      <c r="D2532" s="649"/>
      <c r="E2532" s="58"/>
      <c r="F2532" s="58"/>
      <c r="G2532" s="58"/>
      <c r="I2532" s="5"/>
      <c r="J2532" s="4"/>
      <c r="K2532" s="5"/>
      <c r="M2532" s="5"/>
      <c r="N2532" s="5"/>
      <c r="O2532" s="5"/>
      <c r="Q2532" s="5"/>
      <c r="R2532" s="5"/>
      <c r="S2532" s="5"/>
      <c r="T2532" s="5"/>
      <c r="AC2532" s="8"/>
      <c r="AD2532" s="8"/>
      <c r="AE2532" s="8"/>
      <c r="AF2532" s="8"/>
      <c r="AG2532" s="8"/>
      <c r="AH2532" s="8"/>
      <c r="AI2532" s="8"/>
      <c r="AJ2532" s="8"/>
      <c r="AK2532" s="8"/>
      <c r="AL2532" s="8"/>
      <c r="AM2532" s="8"/>
      <c r="AN2532" s="8"/>
      <c r="AO2532" s="8"/>
    </row>
    <row r="2533" spans="1:41" hidden="1">
      <c r="A2533" s="4"/>
      <c r="B2533" s="63"/>
      <c r="C2533" s="648" t="s">
        <v>2394</v>
      </c>
      <c r="D2533" s="699" t="s">
        <v>2395</v>
      </c>
      <c r="E2533" s="63"/>
      <c r="F2533" s="63"/>
      <c r="G2533" s="63" t="s">
        <v>2396</v>
      </c>
      <c r="I2533" s="5"/>
      <c r="J2533" s="4"/>
      <c r="K2533" s="5"/>
      <c r="M2533" s="5"/>
      <c r="N2533" s="5"/>
      <c r="O2533" s="5"/>
      <c r="Q2533" s="5"/>
      <c r="R2533" s="5"/>
      <c r="S2533" s="5"/>
      <c r="T2533" s="5"/>
      <c r="AC2533" s="8"/>
      <c r="AD2533" s="8"/>
      <c r="AE2533" s="8"/>
      <c r="AF2533" s="8"/>
      <c r="AG2533" s="8"/>
      <c r="AH2533" s="8"/>
      <c r="AI2533" s="8"/>
      <c r="AJ2533" s="8"/>
      <c r="AK2533" s="8"/>
      <c r="AL2533" s="8"/>
      <c r="AM2533" s="8"/>
      <c r="AN2533" s="8"/>
      <c r="AO2533" s="8"/>
    </row>
    <row r="2534" spans="1:41" hidden="1">
      <c r="A2534" s="4"/>
      <c r="B2534" s="63"/>
      <c r="C2534" s="648" t="s">
        <v>2411</v>
      </c>
      <c r="D2534" s="699" t="s">
        <v>2395</v>
      </c>
      <c r="E2534" s="63"/>
      <c r="F2534" s="63"/>
      <c r="G2534" s="63" t="s">
        <v>2412</v>
      </c>
      <c r="I2534" s="5"/>
      <c r="J2534" s="4"/>
      <c r="K2534" s="5"/>
      <c r="M2534" s="5"/>
      <c r="N2534" s="5"/>
      <c r="O2534" s="5"/>
      <c r="Q2534" s="5"/>
      <c r="R2534" s="5"/>
      <c r="S2534" s="5"/>
      <c r="T2534" s="5"/>
      <c r="AC2534" s="8"/>
      <c r="AD2534" s="8"/>
      <c r="AE2534" s="8"/>
      <c r="AF2534" s="8"/>
      <c r="AG2534" s="8"/>
      <c r="AH2534" s="8"/>
      <c r="AI2534" s="8"/>
      <c r="AJ2534" s="8"/>
      <c r="AK2534" s="8"/>
      <c r="AL2534" s="8"/>
      <c r="AM2534" s="8"/>
      <c r="AN2534" s="8"/>
      <c r="AO2534" s="8"/>
    </row>
    <row r="2535" spans="1:41" hidden="1">
      <c r="A2535" s="4"/>
      <c r="B2535" s="63"/>
      <c r="C2535" s="648" t="s">
        <v>2413</v>
      </c>
      <c r="D2535" s="699" t="s">
        <v>2395</v>
      </c>
      <c r="E2535" s="63"/>
      <c r="F2535" s="63"/>
      <c r="G2535" s="63" t="s">
        <v>2414</v>
      </c>
      <c r="I2535" s="5"/>
      <c r="J2535" s="4"/>
      <c r="K2535" s="5"/>
      <c r="M2535" s="5"/>
      <c r="N2535" s="5"/>
      <c r="O2535" s="5"/>
      <c r="Q2535" s="5"/>
      <c r="R2535" s="5"/>
      <c r="S2535" s="5"/>
      <c r="T2535" s="5"/>
      <c r="AC2535" s="8"/>
      <c r="AD2535" s="8"/>
      <c r="AE2535" s="8"/>
      <c r="AF2535" s="8"/>
      <c r="AG2535" s="8"/>
      <c r="AH2535" s="8"/>
      <c r="AI2535" s="8"/>
      <c r="AJ2535" s="8"/>
      <c r="AK2535" s="8"/>
      <c r="AL2535" s="8"/>
      <c r="AM2535" s="8"/>
      <c r="AN2535" s="8"/>
      <c r="AO2535" s="8"/>
    </row>
    <row r="2536" spans="1:41" hidden="1">
      <c r="A2536" s="4"/>
      <c r="B2536" s="63"/>
      <c r="C2536" s="648" t="s">
        <v>2415</v>
      </c>
      <c r="D2536" s="699" t="s">
        <v>2395</v>
      </c>
      <c r="E2536" s="63"/>
      <c r="F2536" s="63"/>
      <c r="G2536" s="63" t="s">
        <v>2416</v>
      </c>
      <c r="I2536" s="5"/>
      <c r="J2536" s="4"/>
      <c r="K2536" s="5"/>
      <c r="M2536" s="5"/>
      <c r="N2536" s="5"/>
      <c r="O2536" s="5"/>
      <c r="Q2536" s="5"/>
      <c r="R2536" s="5"/>
      <c r="S2536" s="5"/>
      <c r="T2536" s="5"/>
      <c r="AC2536" s="8"/>
      <c r="AD2536" s="8"/>
      <c r="AE2536" s="8"/>
      <c r="AF2536" s="8"/>
      <c r="AG2536" s="8"/>
      <c r="AH2536" s="8"/>
      <c r="AI2536" s="8"/>
      <c r="AJ2536" s="8"/>
      <c r="AK2536" s="8"/>
      <c r="AL2536" s="8"/>
      <c r="AM2536" s="8"/>
      <c r="AN2536" s="8"/>
      <c r="AO2536" s="8"/>
    </row>
    <row r="2537" spans="1:41" hidden="1">
      <c r="A2537" s="4"/>
      <c r="B2537" s="63"/>
      <c r="C2537" s="648" t="s">
        <v>2417</v>
      </c>
      <c r="D2537" s="699" t="s">
        <v>2395</v>
      </c>
      <c r="E2537" s="63"/>
      <c r="F2537" s="63"/>
      <c r="G2537" s="63" t="s">
        <v>2418</v>
      </c>
      <c r="I2537" s="5"/>
      <c r="J2537" s="4"/>
      <c r="K2537" s="5"/>
      <c r="M2537" s="5"/>
      <c r="N2537" s="5"/>
      <c r="O2537" s="5"/>
      <c r="Q2537" s="5"/>
      <c r="R2537" s="5"/>
      <c r="S2537" s="5"/>
      <c r="T2537" s="5"/>
      <c r="AC2537" s="8"/>
      <c r="AD2537" s="8"/>
      <c r="AE2537" s="8"/>
      <c r="AF2537" s="8"/>
      <c r="AG2537" s="8"/>
      <c r="AH2537" s="8"/>
      <c r="AI2537" s="8"/>
      <c r="AJ2537" s="8"/>
      <c r="AK2537" s="8"/>
      <c r="AL2537" s="8"/>
      <c r="AM2537" s="8"/>
      <c r="AN2537" s="8"/>
      <c r="AO2537" s="8"/>
    </row>
    <row r="2538" spans="1:41" hidden="1">
      <c r="A2538" s="4"/>
      <c r="B2538" s="63"/>
      <c r="C2538" s="648" t="s">
        <v>2397</v>
      </c>
      <c r="D2538" s="699" t="s">
        <v>2395</v>
      </c>
      <c r="E2538" s="63"/>
      <c r="F2538" s="63"/>
      <c r="G2538" s="63" t="s">
        <v>2398</v>
      </c>
      <c r="I2538" s="5"/>
      <c r="J2538" s="4"/>
      <c r="K2538" s="5"/>
      <c r="M2538" s="5"/>
      <c r="N2538" s="5"/>
      <c r="O2538" s="5"/>
      <c r="Q2538" s="5"/>
      <c r="R2538" s="5"/>
      <c r="S2538" s="5"/>
      <c r="T2538" s="5"/>
      <c r="AC2538" s="8"/>
      <c r="AD2538" s="8"/>
      <c r="AE2538" s="8"/>
      <c r="AF2538" s="8"/>
      <c r="AG2538" s="8"/>
      <c r="AH2538" s="8"/>
      <c r="AI2538" s="8"/>
      <c r="AJ2538" s="8"/>
      <c r="AK2538" s="8"/>
      <c r="AL2538" s="8"/>
      <c r="AM2538" s="8"/>
      <c r="AN2538" s="8"/>
      <c r="AO2538" s="8"/>
    </row>
    <row r="2539" spans="1:41" hidden="1">
      <c r="A2539" s="4"/>
      <c r="B2539" s="63"/>
      <c r="C2539" s="648" t="s">
        <v>2399</v>
      </c>
      <c r="D2539" s="699" t="s">
        <v>2395</v>
      </c>
      <c r="E2539" s="63"/>
      <c r="F2539" s="63"/>
      <c r="G2539" s="63" t="s">
        <v>1552</v>
      </c>
      <c r="I2539" s="5"/>
      <c r="J2539" s="4"/>
      <c r="K2539" s="5"/>
      <c r="M2539" s="5"/>
      <c r="N2539" s="5"/>
      <c r="O2539" s="5"/>
      <c r="Q2539" s="5"/>
      <c r="R2539" s="5"/>
      <c r="S2539" s="5"/>
      <c r="T2539" s="5"/>
      <c r="AC2539" s="8"/>
      <c r="AD2539" s="8"/>
      <c r="AE2539" s="8"/>
      <c r="AF2539" s="8"/>
      <c r="AG2539" s="8"/>
      <c r="AH2539" s="8"/>
      <c r="AI2539" s="8"/>
      <c r="AJ2539" s="8"/>
      <c r="AK2539" s="8"/>
      <c r="AL2539" s="8"/>
      <c r="AM2539" s="8"/>
      <c r="AN2539" s="8"/>
      <c r="AO2539" s="8"/>
    </row>
    <row r="2540" spans="1:41" hidden="1">
      <c r="A2540" s="4"/>
      <c r="B2540" s="63"/>
      <c r="C2540" s="648" t="s">
        <v>2400</v>
      </c>
      <c r="D2540" s="699" t="s">
        <v>2395</v>
      </c>
      <c r="E2540" s="63"/>
      <c r="F2540" s="63"/>
      <c r="G2540" s="63" t="s">
        <v>2401</v>
      </c>
      <c r="I2540" s="5"/>
      <c r="J2540" s="4"/>
      <c r="K2540" s="5"/>
      <c r="M2540" s="5"/>
      <c r="N2540" s="5"/>
      <c r="O2540" s="5"/>
      <c r="Q2540" s="5"/>
      <c r="R2540" s="5"/>
      <c r="S2540" s="5"/>
      <c r="T2540" s="5"/>
      <c r="AC2540" s="8"/>
      <c r="AD2540" s="8"/>
      <c r="AE2540" s="8"/>
      <c r="AF2540" s="8"/>
      <c r="AG2540" s="8"/>
      <c r="AH2540" s="8"/>
      <c r="AI2540" s="8"/>
      <c r="AJ2540" s="8"/>
      <c r="AK2540" s="8"/>
      <c r="AL2540" s="8"/>
      <c r="AM2540" s="8"/>
      <c r="AN2540" s="8"/>
      <c r="AO2540" s="8"/>
    </row>
    <row r="2541" spans="1:41" hidden="1">
      <c r="A2541" s="4"/>
      <c r="B2541" s="63"/>
      <c r="C2541" s="648" t="s">
        <v>2402</v>
      </c>
      <c r="D2541" s="699" t="s">
        <v>2395</v>
      </c>
      <c r="E2541" s="63"/>
      <c r="F2541" s="63"/>
      <c r="G2541" s="63" t="s">
        <v>2354</v>
      </c>
      <c r="I2541" s="5"/>
      <c r="J2541" s="4"/>
      <c r="K2541" s="5"/>
      <c r="M2541" s="5"/>
      <c r="N2541" s="5"/>
      <c r="O2541" s="5"/>
      <c r="Q2541" s="5"/>
      <c r="R2541" s="5"/>
      <c r="S2541" s="5"/>
      <c r="T2541" s="5"/>
      <c r="AC2541" s="8"/>
      <c r="AD2541" s="8"/>
      <c r="AE2541" s="8"/>
      <c r="AF2541" s="8"/>
      <c r="AG2541" s="8"/>
      <c r="AH2541" s="8"/>
      <c r="AI2541" s="8"/>
      <c r="AJ2541" s="8"/>
      <c r="AK2541" s="8"/>
      <c r="AL2541" s="8"/>
      <c r="AM2541" s="8"/>
      <c r="AN2541" s="8"/>
      <c r="AO2541" s="8"/>
    </row>
    <row r="2542" spans="1:41" hidden="1">
      <c r="A2542" s="4"/>
      <c r="B2542" s="63"/>
      <c r="C2542" s="648" t="s">
        <v>2403</v>
      </c>
      <c r="D2542" s="699" t="s">
        <v>2395</v>
      </c>
      <c r="E2542" s="63"/>
      <c r="F2542" s="63"/>
      <c r="G2542" s="63" t="s">
        <v>2404</v>
      </c>
      <c r="I2542" s="5"/>
      <c r="J2542" s="4"/>
      <c r="K2542" s="5"/>
      <c r="M2542" s="5"/>
      <c r="N2542" s="5"/>
      <c r="O2542" s="5"/>
      <c r="Q2542" s="5"/>
      <c r="R2542" s="5"/>
      <c r="S2542" s="5"/>
      <c r="T2542" s="5"/>
      <c r="AC2542" s="8"/>
      <c r="AD2542" s="8"/>
      <c r="AE2542" s="8"/>
      <c r="AF2542" s="8"/>
      <c r="AG2542" s="8"/>
      <c r="AH2542" s="8"/>
      <c r="AI2542" s="8"/>
      <c r="AJ2542" s="8"/>
      <c r="AK2542" s="8"/>
      <c r="AL2542" s="8"/>
      <c r="AM2542" s="8"/>
      <c r="AN2542" s="8"/>
      <c r="AO2542" s="8"/>
    </row>
    <row r="2543" spans="1:41" ht="15" hidden="1">
      <c r="A2543" s="4"/>
      <c r="B2543" s="63"/>
      <c r="C2543" s="648" t="s">
        <v>2405</v>
      </c>
      <c r="D2543" s="699" t="s">
        <v>2395</v>
      </c>
      <c r="E2543" s="63"/>
      <c r="F2543" s="63"/>
      <c r="G2543" s="63" t="s">
        <v>2406</v>
      </c>
      <c r="I2543" s="5"/>
      <c r="J2543" s="4"/>
      <c r="K2543" s="5"/>
      <c r="M2543" s="5"/>
      <c r="N2543" s="5"/>
      <c r="O2543" s="5"/>
      <c r="Q2543" s="5"/>
      <c r="R2543" s="5"/>
      <c r="S2543" s="5"/>
      <c r="T2543" s="5"/>
      <c r="AC2543" s="43"/>
      <c r="AD2543" s="43"/>
      <c r="AE2543" s="43"/>
      <c r="AF2543" s="43"/>
      <c r="AG2543" s="43"/>
      <c r="AH2543" s="43"/>
      <c r="AI2543" s="43"/>
      <c r="AJ2543" s="43"/>
      <c r="AK2543" s="43"/>
      <c r="AL2543" s="43"/>
      <c r="AM2543" s="43"/>
      <c r="AN2543" s="43"/>
      <c r="AO2543" s="43"/>
    </row>
    <row r="2544" spans="1:41" hidden="1">
      <c r="A2544" s="4"/>
      <c r="B2544" s="63"/>
      <c r="C2544" s="648"/>
      <c r="D2544" s="699"/>
      <c r="E2544" s="63"/>
      <c r="F2544" s="63"/>
      <c r="G2544" s="63"/>
      <c r="I2544" s="5"/>
      <c r="J2544" s="4"/>
      <c r="K2544" s="5"/>
      <c r="M2544" s="5"/>
      <c r="N2544" s="5"/>
      <c r="O2544" s="5"/>
      <c r="Q2544" s="5"/>
      <c r="R2544" s="5"/>
      <c r="S2544" s="5"/>
      <c r="T2544" s="5"/>
    </row>
    <row r="2545" spans="1:45" hidden="1">
      <c r="A2545" s="4"/>
      <c r="B2545" s="58"/>
      <c r="C2545" s="647"/>
      <c r="D2545" s="649"/>
      <c r="E2545" s="58"/>
      <c r="F2545" s="58"/>
      <c r="G2545" s="58"/>
      <c r="I2545" s="5"/>
      <c r="J2545" s="4"/>
      <c r="K2545" s="5"/>
      <c r="M2545" s="5"/>
      <c r="N2545" s="5"/>
      <c r="O2545" s="5"/>
      <c r="Q2545" s="5"/>
      <c r="R2545" s="5"/>
      <c r="S2545" s="5"/>
      <c r="T2545" s="5"/>
    </row>
    <row r="2546" spans="1:45" ht="15" hidden="1">
      <c r="A2546" s="4"/>
      <c r="B2546" s="58"/>
      <c r="C2546" s="649" t="s">
        <v>2475</v>
      </c>
      <c r="D2546" s="649"/>
      <c r="E2546" s="58"/>
      <c r="F2546" s="58"/>
      <c r="G2546" s="58"/>
      <c r="I2546" s="5"/>
      <c r="J2546" s="4"/>
      <c r="K2546" s="5"/>
      <c r="M2546" s="5"/>
      <c r="N2546" s="5"/>
      <c r="O2546" s="5"/>
      <c r="Q2546" s="5"/>
      <c r="R2546" s="5"/>
      <c r="S2546" s="5"/>
      <c r="T2546" s="5"/>
      <c r="AC2546" s="64"/>
      <c r="AD2546" s="64"/>
      <c r="AE2546" s="64"/>
      <c r="AF2546" s="64"/>
      <c r="AG2546" s="64"/>
      <c r="AH2546" s="64"/>
      <c r="AI2546" s="64"/>
      <c r="AJ2546" s="64"/>
      <c r="AK2546" s="64"/>
      <c r="AL2546" s="64"/>
      <c r="AM2546" s="64"/>
      <c r="AN2546" s="64"/>
      <c r="AO2546" s="64"/>
    </row>
    <row r="2547" spans="1:45" hidden="1">
      <c r="A2547" s="4"/>
      <c r="B2547" s="4"/>
      <c r="E2547" s="5"/>
      <c r="F2547" s="5"/>
      <c r="G2547" s="5"/>
      <c r="I2547" s="5"/>
      <c r="J2547" s="4"/>
      <c r="K2547" s="5"/>
      <c r="M2547" s="5"/>
      <c r="N2547" s="5"/>
      <c r="O2547" s="5"/>
      <c r="Q2547" s="5"/>
      <c r="R2547" s="5"/>
      <c r="S2547" s="5"/>
      <c r="T2547" s="5"/>
    </row>
    <row r="2548" spans="1:45" s="52" customFormat="1" hidden="1">
      <c r="A2548" s="51"/>
      <c r="B2548" s="51"/>
      <c r="C2548" s="644"/>
      <c r="D2548" s="693"/>
      <c r="H2548" s="670"/>
      <c r="J2548" s="51"/>
      <c r="L2548" s="644"/>
      <c r="P2548" s="693"/>
    </row>
    <row r="2549" spans="1:45" hidden="1">
      <c r="A2549" s="4"/>
      <c r="B2549" s="4"/>
      <c r="E2549" s="5"/>
      <c r="F2549" s="5"/>
      <c r="G2549" s="5"/>
      <c r="I2549" s="5"/>
      <c r="J2549" s="4"/>
      <c r="K2549" s="5"/>
      <c r="M2549" s="5"/>
      <c r="N2549" s="5"/>
      <c r="O2549" s="5"/>
      <c r="Q2549" s="5"/>
      <c r="R2549" s="5"/>
      <c r="S2549" s="5"/>
      <c r="T2549" s="5"/>
    </row>
    <row r="2550" spans="1:45" hidden="1">
      <c r="A2550" s="4"/>
      <c r="B2550" s="55" t="s">
        <v>2531</v>
      </c>
      <c r="C2550" s="650"/>
      <c r="D2550" s="700"/>
      <c r="E2550" s="5"/>
      <c r="F2550" s="5"/>
      <c r="G2550" s="5"/>
      <c r="I2550" s="5"/>
      <c r="J2550" s="4"/>
      <c r="K2550" s="5"/>
      <c r="M2550" s="5"/>
      <c r="N2550" s="5"/>
      <c r="O2550" s="5"/>
      <c r="Q2550" s="5"/>
      <c r="R2550" s="5"/>
      <c r="S2550" s="5"/>
      <c r="T2550" s="5"/>
    </row>
    <row r="2551" spans="1:45" hidden="1">
      <c r="A2551" s="4"/>
      <c r="B2551" s="66"/>
      <c r="C2551" s="650" t="s">
        <v>2532</v>
      </c>
      <c r="D2551" s="700"/>
      <c r="E2551" s="5"/>
      <c r="F2551" s="5"/>
      <c r="G2551" s="5"/>
      <c r="I2551" s="5"/>
      <c r="J2551" s="4"/>
      <c r="K2551" s="5"/>
      <c r="M2551" s="5"/>
      <c r="N2551" s="5"/>
      <c r="O2551" s="5"/>
      <c r="Q2551" s="5"/>
      <c r="R2551" s="5"/>
      <c r="S2551" s="5"/>
      <c r="T2551" s="5"/>
      <c r="AC2551" s="8"/>
      <c r="AD2551" s="8"/>
      <c r="AE2551" s="8"/>
      <c r="AF2551" s="8"/>
      <c r="AG2551" s="8"/>
      <c r="AH2551" s="8"/>
      <c r="AI2551" s="8"/>
      <c r="AJ2551" s="8"/>
      <c r="AK2551" s="8"/>
      <c r="AL2551" s="8"/>
      <c r="AM2551" s="8"/>
      <c r="AN2551" s="8"/>
      <c r="AO2551" s="8"/>
    </row>
    <row r="2552" spans="1:45" hidden="1">
      <c r="A2552" s="4"/>
      <c r="B2552" s="66"/>
      <c r="C2552" s="650"/>
      <c r="D2552" s="700"/>
      <c r="E2552" s="5"/>
      <c r="F2552" s="5"/>
      <c r="G2552" s="5"/>
      <c r="I2552" s="5"/>
      <c r="J2552" s="4"/>
      <c r="K2552" s="5"/>
      <c r="M2552" s="5"/>
      <c r="N2552" s="5"/>
      <c r="O2552" s="5"/>
      <c r="Q2552" s="5"/>
      <c r="R2552" s="5"/>
      <c r="S2552" s="5"/>
      <c r="T2552" s="5"/>
    </row>
    <row r="2553" spans="1:45" hidden="1">
      <c r="A2553" s="4"/>
      <c r="B2553" s="66"/>
      <c r="C2553" s="650" t="s">
        <v>2533</v>
      </c>
      <c r="D2553" s="700"/>
      <c r="E2553" s="5"/>
      <c r="F2553" s="5"/>
      <c r="G2553" s="5"/>
      <c r="I2553" s="5"/>
      <c r="J2553" s="4"/>
      <c r="K2553" s="5"/>
      <c r="M2553" s="5"/>
      <c r="N2553" s="5"/>
      <c r="O2553" s="5"/>
      <c r="Q2553" s="5"/>
      <c r="R2553" s="5"/>
      <c r="S2553" s="5"/>
      <c r="T2553" s="5"/>
      <c r="AC2553" s="71"/>
      <c r="AD2553" s="71"/>
      <c r="AE2553" s="71"/>
      <c r="AF2553" s="71"/>
      <c r="AG2553" s="71"/>
      <c r="AH2553" s="71"/>
      <c r="AI2553" s="71"/>
      <c r="AJ2553" s="71"/>
      <c r="AK2553" s="71"/>
      <c r="AL2553" s="71"/>
      <c r="AM2553" s="71"/>
      <c r="AN2553" s="71"/>
      <c r="AO2553" s="71"/>
    </row>
    <row r="2554" spans="1:45" hidden="1">
      <c r="A2554" s="4"/>
      <c r="B2554" s="66"/>
      <c r="C2554" s="650"/>
      <c r="D2554" s="700"/>
      <c r="E2554" s="5"/>
      <c r="F2554" s="5"/>
      <c r="G2554" s="5"/>
      <c r="I2554" s="5"/>
      <c r="J2554" s="4"/>
      <c r="K2554" s="5"/>
      <c r="M2554" s="5"/>
      <c r="N2554" s="5"/>
      <c r="O2554" s="5"/>
      <c r="Q2554" s="5"/>
      <c r="R2554" s="5"/>
      <c r="S2554" s="5"/>
      <c r="T2554" s="5"/>
    </row>
    <row r="2555" spans="1:45" ht="15" hidden="1">
      <c r="A2555" s="4"/>
      <c r="B2555" s="68"/>
      <c r="C2555" s="650" t="s">
        <v>2475</v>
      </c>
      <c r="D2555" s="650" t="s">
        <v>2456</v>
      </c>
      <c r="E2555" s="5"/>
      <c r="F2555" s="5"/>
      <c r="G2555" s="5"/>
      <c r="I2555" s="5"/>
      <c r="J2555" s="4"/>
      <c r="K2555" s="5"/>
      <c r="M2555" s="5"/>
      <c r="N2555" s="5"/>
      <c r="O2555" s="5"/>
      <c r="Q2555" s="5"/>
      <c r="R2555" s="5"/>
      <c r="S2555" s="5"/>
      <c r="T2555" s="5"/>
      <c r="AC2555" s="43"/>
      <c r="AD2555" s="43"/>
      <c r="AE2555" s="43"/>
      <c r="AF2555" s="43"/>
      <c r="AG2555" s="43"/>
      <c r="AH2555" s="43"/>
      <c r="AI2555" s="43"/>
      <c r="AJ2555" s="43"/>
      <c r="AK2555" s="43"/>
      <c r="AL2555" s="43"/>
      <c r="AM2555" s="43"/>
      <c r="AN2555" s="43"/>
      <c r="AO2555" s="43"/>
    </row>
    <row r="2556" spans="1:45" hidden="1">
      <c r="A2556" s="4"/>
      <c r="B2556" s="58"/>
      <c r="C2556" s="650"/>
      <c r="D2556" s="647"/>
      <c r="E2556" s="5"/>
      <c r="F2556" s="5"/>
      <c r="G2556" s="5"/>
      <c r="I2556" s="5"/>
      <c r="J2556" s="4"/>
      <c r="K2556" s="5"/>
      <c r="M2556" s="5"/>
      <c r="N2556" s="5"/>
      <c r="O2556" s="5"/>
      <c r="Q2556" s="5"/>
      <c r="R2556" s="5"/>
      <c r="S2556" s="5"/>
      <c r="T2556" s="5"/>
    </row>
    <row r="2557" spans="1:45" hidden="1">
      <c r="A2557" s="4"/>
      <c r="B2557" s="55" t="s">
        <v>2534</v>
      </c>
      <c r="C2557" s="650"/>
      <c r="D2557" s="700"/>
      <c r="E2557" s="5"/>
      <c r="F2557" s="5"/>
      <c r="G2557" s="5"/>
      <c r="I2557" s="5"/>
      <c r="J2557" s="4"/>
      <c r="K2557" s="5"/>
      <c r="M2557" s="5"/>
      <c r="N2557" s="5"/>
      <c r="O2557" s="5"/>
      <c r="Q2557" s="5"/>
      <c r="R2557" s="5"/>
      <c r="S2557" s="5"/>
      <c r="T2557" s="5"/>
    </row>
    <row r="2558" spans="1:45" hidden="1">
      <c r="A2558" s="4"/>
      <c r="B2558" s="66"/>
      <c r="C2558" s="651" t="s">
        <v>2221</v>
      </c>
      <c r="D2558" s="700"/>
      <c r="E2558" s="5"/>
      <c r="F2558" s="5"/>
      <c r="G2558" s="5"/>
      <c r="I2558" s="5"/>
      <c r="J2558" s="4"/>
      <c r="K2558" s="5"/>
      <c r="M2558" s="5"/>
      <c r="N2558" s="5"/>
      <c r="O2558" s="5"/>
      <c r="Q2558" s="5"/>
      <c r="R2558" s="5"/>
      <c r="S2558" s="5"/>
      <c r="T2558" s="5"/>
      <c r="AC2558" s="8"/>
      <c r="AD2558" s="8"/>
      <c r="AE2558" s="8"/>
      <c r="AF2558" s="8"/>
      <c r="AG2558" s="8"/>
      <c r="AH2558" s="8"/>
      <c r="AI2558" s="8"/>
      <c r="AJ2558" s="8"/>
      <c r="AK2558" s="8"/>
      <c r="AL2558" s="8"/>
      <c r="AM2558" s="8"/>
      <c r="AN2558" s="8"/>
      <c r="AO2558" s="8"/>
      <c r="AS2558" s="5" t="str">
        <f>CONCATENATE($D$2564,C2558)</f>
        <v>R7Prepaid Insurance</v>
      </c>
    </row>
    <row r="2559" spans="1:45" hidden="1">
      <c r="A2559" s="4"/>
      <c r="B2559" s="66"/>
      <c r="C2559" s="651" t="s">
        <v>2535</v>
      </c>
      <c r="D2559" s="700"/>
      <c r="E2559" s="5"/>
      <c r="F2559" s="5"/>
      <c r="G2559" s="5"/>
      <c r="I2559" s="5"/>
      <c r="J2559" s="4"/>
      <c r="K2559" s="5"/>
      <c r="M2559" s="5"/>
      <c r="N2559" s="5"/>
      <c r="O2559" s="5"/>
      <c r="Q2559" s="5"/>
      <c r="R2559" s="5"/>
      <c r="S2559" s="5"/>
      <c r="T2559" s="5"/>
      <c r="AC2559" s="8"/>
      <c r="AD2559" s="8"/>
      <c r="AE2559" s="8"/>
      <c r="AF2559" s="8"/>
      <c r="AG2559" s="8"/>
      <c r="AH2559" s="8"/>
      <c r="AI2559" s="8"/>
      <c r="AJ2559" s="8"/>
      <c r="AK2559" s="8"/>
      <c r="AL2559" s="8"/>
      <c r="AM2559" s="8"/>
      <c r="AN2559" s="8"/>
      <c r="AO2559" s="8"/>
      <c r="AS2559" s="5" t="str">
        <f>CONCATENATE($D$2564,C2559)</f>
        <v>R7Prepaid Property Taxes</v>
      </c>
    </row>
    <row r="2560" spans="1:45" hidden="1">
      <c r="A2560" s="4"/>
      <c r="B2560" s="66"/>
      <c r="C2560" s="651" t="s">
        <v>817</v>
      </c>
      <c r="D2560" s="700"/>
      <c r="E2560" s="5"/>
      <c r="F2560" s="5"/>
      <c r="G2560" s="5"/>
      <c r="I2560" s="5"/>
      <c r="J2560" s="4"/>
      <c r="K2560" s="5"/>
      <c r="M2560" s="5"/>
      <c r="N2560" s="5"/>
      <c r="O2560" s="5"/>
      <c r="Q2560" s="5"/>
      <c r="R2560" s="5"/>
      <c r="S2560" s="5"/>
      <c r="T2560" s="5"/>
      <c r="AC2560" s="8"/>
      <c r="AD2560" s="8"/>
      <c r="AE2560" s="8"/>
      <c r="AF2560" s="8"/>
      <c r="AG2560" s="8"/>
      <c r="AH2560" s="8"/>
      <c r="AI2560" s="8"/>
      <c r="AJ2560" s="8"/>
      <c r="AK2560" s="8"/>
      <c r="AL2560" s="8"/>
      <c r="AM2560" s="8"/>
      <c r="AN2560" s="8"/>
      <c r="AO2560" s="8"/>
      <c r="AS2560" s="5" t="str">
        <f>CONCATENATE($D$2564,C2560)</f>
        <v>R7PSC Assessment</v>
      </c>
    </row>
    <row r="2561" spans="1:45" hidden="1">
      <c r="A2561" s="4"/>
      <c r="B2561" s="66"/>
      <c r="C2561" s="650"/>
      <c r="D2561" s="700"/>
      <c r="E2561" s="5"/>
      <c r="F2561" s="5"/>
      <c r="G2561" s="5"/>
      <c r="I2561" s="5"/>
      <c r="J2561" s="4"/>
      <c r="K2561" s="5"/>
      <c r="M2561" s="5"/>
      <c r="N2561" s="5"/>
      <c r="O2561" s="5"/>
      <c r="Q2561" s="5"/>
      <c r="R2561" s="5"/>
      <c r="S2561" s="5"/>
      <c r="T2561" s="5"/>
    </row>
    <row r="2562" spans="1:45" ht="15" hidden="1">
      <c r="A2562" s="4"/>
      <c r="B2562" s="66"/>
      <c r="C2562" s="650" t="s">
        <v>2533</v>
      </c>
      <c r="D2562" s="700"/>
      <c r="E2562" s="5"/>
      <c r="F2562" s="5"/>
      <c r="G2562" s="5"/>
      <c r="I2562" s="5"/>
      <c r="J2562" s="4"/>
      <c r="K2562" s="5"/>
      <c r="M2562" s="5"/>
      <c r="N2562" s="5"/>
      <c r="O2562" s="5"/>
      <c r="Q2562" s="5"/>
      <c r="R2562" s="5"/>
      <c r="S2562" s="5"/>
      <c r="T2562" s="5"/>
      <c r="AC2562" s="43"/>
      <c r="AD2562" s="43"/>
      <c r="AE2562" s="43"/>
      <c r="AF2562" s="43"/>
      <c r="AG2562" s="43"/>
      <c r="AH2562" s="43"/>
      <c r="AI2562" s="43"/>
      <c r="AJ2562" s="43"/>
      <c r="AK2562" s="43"/>
      <c r="AL2562" s="43"/>
      <c r="AM2562" s="43"/>
      <c r="AN2562" s="43"/>
      <c r="AO2562" s="43"/>
    </row>
    <row r="2563" spans="1:45" hidden="1">
      <c r="A2563" s="4"/>
      <c r="B2563" s="58"/>
      <c r="C2563" s="650"/>
      <c r="D2563" s="700"/>
      <c r="E2563" s="5"/>
      <c r="F2563" s="5"/>
      <c r="G2563" s="5"/>
      <c r="I2563" s="5"/>
      <c r="J2563" s="4"/>
      <c r="K2563" s="5"/>
      <c r="M2563" s="5"/>
      <c r="N2563" s="5"/>
      <c r="O2563" s="5"/>
      <c r="Q2563" s="5"/>
      <c r="R2563" s="5"/>
      <c r="S2563" s="5"/>
      <c r="T2563" s="5"/>
    </row>
    <row r="2564" spans="1:45" hidden="1">
      <c r="A2564" s="4"/>
      <c r="B2564" s="68"/>
      <c r="C2564" s="650" t="s">
        <v>2475</v>
      </c>
      <c r="D2564" s="651" t="s">
        <v>2458</v>
      </c>
      <c r="E2564" s="5"/>
      <c r="F2564" s="5"/>
      <c r="G2564" s="5"/>
      <c r="I2564" s="5"/>
      <c r="J2564" s="4"/>
      <c r="K2564" s="5"/>
      <c r="M2564" s="5"/>
      <c r="N2564" s="5"/>
      <c r="O2564" s="5"/>
      <c r="Q2564" s="5"/>
      <c r="R2564" s="5"/>
      <c r="S2564" s="5"/>
      <c r="T2564" s="5"/>
      <c r="AC2564" s="8"/>
      <c r="AD2564" s="8"/>
      <c r="AE2564" s="8"/>
      <c r="AF2564" s="8"/>
      <c r="AG2564" s="8"/>
      <c r="AH2564" s="8"/>
      <c r="AI2564" s="8"/>
      <c r="AJ2564" s="8"/>
      <c r="AK2564" s="8"/>
      <c r="AL2564" s="8"/>
      <c r="AM2564" s="8"/>
      <c r="AN2564" s="8"/>
      <c r="AO2564" s="8"/>
    </row>
    <row r="2565" spans="1:45" ht="15.75" hidden="1">
      <c r="A2565" s="4"/>
      <c r="B2565"/>
      <c r="C2565" s="650" t="s">
        <v>2536</v>
      </c>
      <c r="D2565" s="701"/>
      <c r="E2565" s="5"/>
      <c r="F2565" s="5"/>
      <c r="G2565" s="5"/>
      <c r="I2565" s="5"/>
      <c r="J2565" s="4"/>
      <c r="K2565" s="5"/>
      <c r="M2565" s="5"/>
      <c r="N2565" s="5"/>
      <c r="O2565" s="5"/>
      <c r="Q2565" s="5"/>
      <c r="R2565" s="5"/>
      <c r="S2565" s="5"/>
      <c r="T2565" s="5"/>
      <c r="AC2565" s="72"/>
      <c r="AD2565" s="72"/>
      <c r="AE2565" s="72"/>
      <c r="AF2565" s="72"/>
      <c r="AG2565" s="72"/>
      <c r="AH2565" s="72"/>
      <c r="AI2565" s="72"/>
      <c r="AJ2565" s="72"/>
      <c r="AK2565" s="72"/>
      <c r="AL2565" s="72"/>
      <c r="AM2565" s="72"/>
      <c r="AN2565" s="72"/>
      <c r="AO2565" s="72"/>
    </row>
    <row r="2566" spans="1:45" ht="15.75" hidden="1">
      <c r="A2566" s="4"/>
      <c r="B2566" s="69" t="s">
        <v>2458</v>
      </c>
      <c r="C2566" s="650" t="s">
        <v>2537</v>
      </c>
      <c r="D2566" s="701"/>
      <c r="E2566" s="5"/>
      <c r="F2566" s="5"/>
      <c r="G2566" s="5"/>
      <c r="I2566" s="5"/>
      <c r="J2566" s="4"/>
      <c r="K2566" s="5"/>
      <c r="M2566" s="5"/>
      <c r="N2566" s="5"/>
      <c r="O2566" s="5"/>
      <c r="Q2566" s="5"/>
      <c r="R2566" s="5"/>
      <c r="S2566" s="5"/>
      <c r="T2566" s="5"/>
      <c r="AC2566" s="42"/>
      <c r="AD2566" s="42"/>
      <c r="AE2566" s="42"/>
      <c r="AF2566" s="42"/>
      <c r="AG2566" s="42"/>
      <c r="AH2566" s="42"/>
      <c r="AI2566" s="42"/>
      <c r="AJ2566" s="42"/>
      <c r="AK2566" s="42"/>
      <c r="AL2566" s="42"/>
      <c r="AM2566" s="42"/>
      <c r="AN2566" s="42"/>
      <c r="AO2566" s="42"/>
    </row>
    <row r="2567" spans="1:45" hidden="1">
      <c r="A2567" s="4"/>
      <c r="B2567" s="58"/>
      <c r="C2567" s="650"/>
      <c r="D2567" s="647"/>
      <c r="E2567" s="5"/>
      <c r="F2567" s="5"/>
      <c r="G2567" s="5"/>
      <c r="I2567" s="5"/>
      <c r="J2567" s="4"/>
      <c r="K2567" s="5"/>
      <c r="M2567" s="5"/>
      <c r="N2567" s="5"/>
      <c r="O2567" s="5"/>
      <c r="Q2567" s="5"/>
      <c r="R2567" s="5"/>
      <c r="S2567" s="5"/>
      <c r="T2567" s="5"/>
    </row>
    <row r="2568" spans="1:45" hidden="1">
      <c r="A2568" s="4"/>
      <c r="B2568" s="58"/>
      <c r="C2568" s="650"/>
      <c r="D2568" s="647"/>
      <c r="E2568" s="5"/>
      <c r="F2568" s="5"/>
      <c r="G2568" s="5"/>
      <c r="I2568" s="5"/>
      <c r="J2568" s="4"/>
      <c r="K2568" s="5"/>
      <c r="M2568" s="5"/>
      <c r="N2568" s="5"/>
      <c r="O2568" s="5"/>
      <c r="Q2568" s="5"/>
      <c r="R2568" s="5"/>
      <c r="S2568" s="5"/>
      <c r="T2568" s="5"/>
    </row>
    <row r="2569" spans="1:45" hidden="1">
      <c r="A2569" s="4"/>
      <c r="B2569" s="55" t="s">
        <v>2538</v>
      </c>
      <c r="C2569" s="650"/>
      <c r="D2569" s="700"/>
      <c r="E2569" s="5"/>
      <c r="F2569" s="5"/>
      <c r="G2569" s="5"/>
      <c r="I2569" s="5"/>
      <c r="J2569" s="4"/>
      <c r="K2569" s="5"/>
      <c r="M2569" s="5"/>
      <c r="N2569" s="5"/>
      <c r="O2569" s="5"/>
      <c r="Q2569" s="5"/>
      <c r="R2569" s="5"/>
      <c r="S2569" s="5"/>
      <c r="T2569" s="5"/>
    </row>
    <row r="2570" spans="1:45" hidden="1">
      <c r="A2570" s="4"/>
      <c r="B2570" s="66"/>
      <c r="C2570" s="651" t="s">
        <v>1468</v>
      </c>
      <c r="D2570" s="700"/>
      <c r="E2570" s="5"/>
      <c r="F2570" s="5"/>
      <c r="G2570" s="5"/>
      <c r="I2570" s="5"/>
      <c r="J2570" s="4"/>
      <c r="K2570" s="5"/>
      <c r="M2570" s="5"/>
      <c r="N2570" s="5"/>
      <c r="O2570" s="5"/>
      <c r="Q2570" s="5"/>
      <c r="R2570" s="5"/>
      <c r="S2570" s="5"/>
      <c r="T2570" s="5"/>
      <c r="AC2570" s="8"/>
      <c r="AD2570" s="8"/>
      <c r="AE2570" s="8"/>
      <c r="AF2570" s="8"/>
      <c r="AG2570" s="8"/>
      <c r="AH2570" s="8"/>
      <c r="AI2570" s="8"/>
      <c r="AJ2570" s="8"/>
      <c r="AK2570" s="8"/>
      <c r="AL2570" s="8"/>
      <c r="AM2570" s="8"/>
      <c r="AN2570" s="8"/>
      <c r="AO2570" s="8"/>
      <c r="AS2570" s="5" t="str">
        <f t="shared" ref="AS2570:AS2599" si="1199">CONCATENATE($D$2628,C2570)</f>
        <v>R10ACF</v>
      </c>
    </row>
    <row r="2571" spans="1:45" hidden="1">
      <c r="A2571" s="4"/>
      <c r="B2571" s="66"/>
      <c r="C2571" s="651" t="s">
        <v>2539</v>
      </c>
      <c r="D2571" s="700"/>
      <c r="E2571" s="5"/>
      <c r="F2571" s="5"/>
      <c r="G2571" s="5"/>
      <c r="I2571" s="5"/>
      <c r="J2571" s="4"/>
      <c r="K2571" s="5"/>
      <c r="M2571" s="5"/>
      <c r="N2571" s="5"/>
      <c r="O2571" s="5"/>
      <c r="Q2571" s="5"/>
      <c r="R2571" s="5"/>
      <c r="S2571" s="5"/>
      <c r="T2571" s="5"/>
      <c r="AC2571" s="8"/>
      <c r="AD2571" s="8"/>
      <c r="AE2571" s="8"/>
      <c r="AF2571" s="8"/>
      <c r="AG2571" s="8"/>
      <c r="AH2571" s="8"/>
      <c r="AI2571" s="8"/>
      <c r="AJ2571" s="8"/>
      <c r="AK2571" s="8"/>
      <c r="AL2571" s="8"/>
      <c r="AM2571" s="8"/>
      <c r="AN2571" s="8"/>
      <c r="AO2571" s="8"/>
      <c r="AS2571" s="5" t="str">
        <f t="shared" si="1199"/>
        <v>R10Accrued Pension</v>
      </c>
    </row>
    <row r="2572" spans="1:45" hidden="1">
      <c r="A2572" s="4"/>
      <c r="B2572" s="66"/>
      <c r="C2572" s="651" t="s">
        <v>1140</v>
      </c>
      <c r="D2572" s="700"/>
      <c r="E2572" s="5"/>
      <c r="F2572" s="5"/>
      <c r="G2572" s="5"/>
      <c r="I2572" s="5"/>
      <c r="J2572" s="4"/>
      <c r="K2572" s="5"/>
      <c r="M2572" s="5"/>
      <c r="N2572" s="5"/>
      <c r="O2572" s="5"/>
      <c r="Q2572" s="5"/>
      <c r="R2572" s="5"/>
      <c r="S2572" s="5"/>
      <c r="T2572" s="5"/>
      <c r="AC2572" s="8"/>
      <c r="AD2572" s="8"/>
      <c r="AE2572" s="8"/>
      <c r="AF2572" s="8"/>
      <c r="AG2572" s="8"/>
      <c r="AH2572" s="8"/>
      <c r="AI2572" s="8"/>
      <c r="AJ2572" s="8"/>
      <c r="AK2572" s="8"/>
      <c r="AL2572" s="8"/>
      <c r="AM2572" s="8"/>
      <c r="AN2572" s="8"/>
      <c r="AO2572" s="8"/>
      <c r="AS2572" s="5" t="str">
        <f t="shared" si="1199"/>
        <v>R10Allegany</v>
      </c>
    </row>
    <row r="2573" spans="1:45" hidden="1">
      <c r="A2573" s="4"/>
      <c r="B2573" s="66"/>
      <c r="C2573" s="651" t="s">
        <v>1332</v>
      </c>
      <c r="D2573" s="700"/>
      <c r="E2573" s="5"/>
      <c r="F2573" s="5"/>
      <c r="G2573" s="5"/>
      <c r="I2573" s="5"/>
      <c r="J2573" s="4"/>
      <c r="K2573" s="5"/>
      <c r="M2573" s="5"/>
      <c r="N2573" s="5"/>
      <c r="O2573" s="5"/>
      <c r="Q2573" s="5"/>
      <c r="R2573" s="5"/>
      <c r="S2573" s="5"/>
      <c r="T2573" s="5"/>
      <c r="AC2573" s="8"/>
      <c r="AD2573" s="8"/>
      <c r="AE2573" s="8"/>
      <c r="AF2573" s="8"/>
      <c r="AG2573" s="8"/>
      <c r="AH2573" s="8"/>
      <c r="AI2573" s="8"/>
      <c r="AJ2573" s="8"/>
      <c r="AK2573" s="8"/>
      <c r="AL2573" s="8"/>
      <c r="AM2573" s="8"/>
      <c r="AN2573" s="8"/>
      <c r="AO2573" s="8"/>
      <c r="AS2573" s="5" t="str">
        <f t="shared" si="1199"/>
        <v>R10Beebee Decommissioning</v>
      </c>
    </row>
    <row r="2574" spans="1:45" hidden="1">
      <c r="A2574" s="4"/>
      <c r="B2574" s="66"/>
      <c r="C2574" s="651" t="s">
        <v>819</v>
      </c>
      <c r="D2574" s="700"/>
      <c r="E2574" s="5"/>
      <c r="F2574" s="5"/>
      <c r="G2574" s="5"/>
      <c r="I2574" s="5"/>
      <c r="J2574" s="4"/>
      <c r="K2574" s="5"/>
      <c r="M2574" s="5"/>
      <c r="N2574" s="5"/>
      <c r="O2574" s="5"/>
      <c r="Q2574" s="5"/>
      <c r="R2574" s="5"/>
      <c r="S2574" s="5"/>
      <c r="T2574" s="5"/>
      <c r="AC2574" s="8"/>
      <c r="AD2574" s="8"/>
      <c r="AE2574" s="8"/>
      <c r="AF2574" s="8"/>
      <c r="AG2574" s="8"/>
      <c r="AH2574" s="8"/>
      <c r="AI2574" s="8"/>
      <c r="AJ2574" s="8"/>
      <c r="AK2574" s="8"/>
      <c r="AL2574" s="8"/>
      <c r="AM2574" s="8"/>
      <c r="AN2574" s="8"/>
      <c r="AO2574" s="8"/>
      <c r="AS2574" s="5" t="str">
        <f t="shared" si="1199"/>
        <v>R10Cap Ex Deferral</v>
      </c>
    </row>
    <row r="2575" spans="1:45" hidden="1">
      <c r="A2575" s="4"/>
      <c r="B2575" s="66"/>
      <c r="C2575" s="651" t="s">
        <v>1501</v>
      </c>
      <c r="D2575" s="700"/>
      <c r="E2575" s="5"/>
      <c r="F2575" s="5"/>
      <c r="G2575" s="5"/>
      <c r="I2575" s="5"/>
      <c r="J2575" s="4"/>
      <c r="K2575" s="5"/>
      <c r="M2575" s="5"/>
      <c r="N2575" s="5"/>
      <c r="O2575" s="5"/>
      <c r="Q2575" s="5"/>
      <c r="R2575" s="5"/>
      <c r="S2575" s="5"/>
      <c r="T2575" s="5"/>
      <c r="AC2575" s="8"/>
      <c r="AD2575" s="8"/>
      <c r="AE2575" s="8"/>
      <c r="AF2575" s="8"/>
      <c r="AG2575" s="8"/>
      <c r="AH2575" s="8"/>
      <c r="AI2575" s="8"/>
      <c r="AJ2575" s="8"/>
      <c r="AK2575" s="8"/>
      <c r="AL2575" s="8"/>
      <c r="AM2575" s="8"/>
      <c r="AN2575" s="8"/>
      <c r="AO2575" s="8"/>
      <c r="AS2575" s="5" t="str">
        <f t="shared" si="1199"/>
        <v>R10Commodity Hedge Margin</v>
      </c>
    </row>
    <row r="2576" spans="1:45" hidden="1">
      <c r="A2576" s="4"/>
      <c r="B2576" s="66"/>
      <c r="C2576" s="651" t="s">
        <v>820</v>
      </c>
      <c r="D2576" s="700"/>
      <c r="E2576" s="5"/>
      <c r="F2576" s="5"/>
      <c r="G2576" s="5"/>
      <c r="I2576" s="5"/>
      <c r="J2576" s="4"/>
      <c r="K2576" s="5"/>
      <c r="M2576" s="5"/>
      <c r="N2576" s="5"/>
      <c r="O2576" s="5"/>
      <c r="Q2576" s="5"/>
      <c r="R2576" s="5"/>
      <c r="S2576" s="5"/>
      <c r="T2576" s="5"/>
      <c r="AC2576" s="8"/>
      <c r="AD2576" s="8"/>
      <c r="AE2576" s="8"/>
      <c r="AF2576" s="8"/>
      <c r="AG2576" s="8"/>
      <c r="AH2576" s="8"/>
      <c r="AI2576" s="8"/>
      <c r="AJ2576" s="8"/>
      <c r="AK2576" s="8"/>
      <c r="AL2576" s="8"/>
      <c r="AM2576" s="8"/>
      <c r="AN2576" s="8"/>
      <c r="AO2576" s="8"/>
      <c r="AS2576" s="5" t="str">
        <f t="shared" si="1199"/>
        <v>R10CTA Efficiency</v>
      </c>
    </row>
    <row r="2577" spans="1:45" hidden="1">
      <c r="A2577" s="4"/>
      <c r="B2577" s="66"/>
      <c r="C2577" s="651" t="s">
        <v>1128</v>
      </c>
      <c r="D2577" s="700"/>
      <c r="E2577" s="5"/>
      <c r="F2577" s="5"/>
      <c r="G2577" s="5"/>
      <c r="I2577" s="5"/>
      <c r="J2577" s="4"/>
      <c r="K2577" s="5"/>
      <c r="M2577" s="5"/>
      <c r="N2577" s="5"/>
      <c r="O2577" s="5"/>
      <c r="Q2577" s="5"/>
      <c r="R2577" s="5"/>
      <c r="S2577" s="5"/>
      <c r="T2577" s="5"/>
      <c r="AC2577" s="8"/>
      <c r="AD2577" s="8"/>
      <c r="AE2577" s="8"/>
      <c r="AF2577" s="8"/>
      <c r="AG2577" s="8"/>
      <c r="AH2577" s="8"/>
      <c r="AI2577" s="8"/>
      <c r="AJ2577" s="8"/>
      <c r="AK2577" s="8"/>
      <c r="AL2577" s="8"/>
      <c r="AM2577" s="8"/>
      <c r="AN2577" s="8"/>
      <c r="AO2577" s="8"/>
      <c r="AS2577" s="5" t="str">
        <f t="shared" si="1199"/>
        <v>R10CTA Property Tax</v>
      </c>
    </row>
    <row r="2578" spans="1:45" hidden="1">
      <c r="A2578" s="4"/>
      <c r="B2578" s="66"/>
      <c r="C2578" s="651" t="s">
        <v>1573</v>
      </c>
      <c r="D2578" s="700"/>
      <c r="E2578" s="5"/>
      <c r="F2578" s="5"/>
      <c r="G2578" s="5"/>
      <c r="I2578" s="5"/>
      <c r="J2578" s="4"/>
      <c r="K2578" s="5"/>
      <c r="M2578" s="5"/>
      <c r="N2578" s="5"/>
      <c r="O2578" s="5"/>
      <c r="Q2578" s="5"/>
      <c r="R2578" s="5"/>
      <c r="S2578" s="5"/>
      <c r="T2578" s="5"/>
      <c r="AC2578" s="8"/>
      <c r="AD2578" s="8"/>
      <c r="AE2578" s="8"/>
      <c r="AF2578" s="8"/>
      <c r="AG2578" s="8"/>
      <c r="AH2578" s="8"/>
      <c r="AI2578" s="8"/>
      <c r="AJ2578" s="8"/>
      <c r="AK2578" s="8"/>
      <c r="AL2578" s="8"/>
      <c r="AM2578" s="8"/>
      <c r="AN2578" s="8"/>
      <c r="AO2578" s="8"/>
      <c r="AS2578" s="5" t="str">
        <f t="shared" si="1199"/>
        <v>R10DARS Insurance</v>
      </c>
    </row>
    <row r="2579" spans="1:45" hidden="1">
      <c r="A2579" s="4"/>
      <c r="B2579" s="66"/>
      <c r="C2579" s="651" t="s">
        <v>1174</v>
      </c>
      <c r="D2579" s="700"/>
      <c r="E2579" s="5"/>
      <c r="F2579" s="5"/>
      <c r="G2579" s="5"/>
      <c r="I2579" s="5"/>
      <c r="J2579" s="4"/>
      <c r="K2579" s="5"/>
      <c r="M2579" s="5"/>
      <c r="N2579" s="5"/>
      <c r="O2579" s="5"/>
      <c r="Q2579" s="5"/>
      <c r="R2579" s="5"/>
      <c r="S2579" s="5"/>
      <c r="T2579" s="5"/>
      <c r="AC2579" s="8"/>
      <c r="AD2579" s="8"/>
      <c r="AE2579" s="8"/>
      <c r="AF2579" s="8"/>
      <c r="AG2579" s="8"/>
      <c r="AH2579" s="8"/>
      <c r="AI2579" s="8"/>
      <c r="AJ2579" s="8"/>
      <c r="AK2579" s="8"/>
      <c r="AL2579" s="8"/>
      <c r="AM2579" s="8"/>
      <c r="AN2579" s="8"/>
      <c r="AO2579" s="8"/>
      <c r="AS2579" s="5" t="str">
        <f t="shared" si="1199"/>
        <v>R10DOE Liability - True-up</v>
      </c>
    </row>
    <row r="2580" spans="1:45" hidden="1">
      <c r="A2580" s="4"/>
      <c r="B2580" s="66"/>
      <c r="C2580" s="651" t="s">
        <v>1120</v>
      </c>
      <c r="D2580" s="700"/>
      <c r="E2580" s="5"/>
      <c r="F2580" s="5"/>
      <c r="G2580" s="5"/>
      <c r="I2580" s="5"/>
      <c r="J2580" s="4"/>
      <c r="K2580" s="5"/>
      <c r="M2580" s="5"/>
      <c r="N2580" s="5"/>
      <c r="O2580" s="5"/>
      <c r="Q2580" s="5"/>
      <c r="R2580" s="5"/>
      <c r="S2580" s="5"/>
      <c r="T2580" s="5"/>
      <c r="AC2580" s="8"/>
      <c r="AD2580" s="8"/>
      <c r="AE2580" s="8"/>
      <c r="AF2580" s="8"/>
      <c r="AG2580" s="8"/>
      <c r="AH2580" s="8"/>
      <c r="AI2580" s="8"/>
      <c r="AJ2580" s="8"/>
      <c r="AK2580" s="8"/>
      <c r="AL2580" s="8"/>
      <c r="AM2580" s="8"/>
      <c r="AN2580" s="8"/>
      <c r="AO2580" s="8"/>
      <c r="AS2580" s="5" t="str">
        <f t="shared" si="1199"/>
        <v>R10DOE Liability - True-up-2004</v>
      </c>
    </row>
    <row r="2581" spans="1:45" hidden="1">
      <c r="A2581" s="4"/>
      <c r="B2581" s="66"/>
      <c r="C2581" s="651" t="s">
        <v>1309</v>
      </c>
      <c r="D2581" s="700"/>
      <c r="E2581" s="5"/>
      <c r="F2581" s="5"/>
      <c r="G2581" s="5"/>
      <c r="I2581" s="5"/>
      <c r="J2581" s="4"/>
      <c r="K2581" s="5"/>
      <c r="M2581" s="5"/>
      <c r="N2581" s="5"/>
      <c r="O2581" s="5"/>
      <c r="Q2581" s="5"/>
      <c r="R2581" s="5"/>
      <c r="S2581" s="5"/>
      <c r="T2581" s="5"/>
      <c r="AC2581" s="8"/>
      <c r="AD2581" s="8"/>
      <c r="AE2581" s="8"/>
      <c r="AF2581" s="8"/>
      <c r="AG2581" s="8"/>
      <c r="AH2581" s="8"/>
      <c r="AI2581" s="8"/>
      <c r="AJ2581" s="8"/>
      <c r="AK2581" s="8"/>
      <c r="AL2581" s="8"/>
      <c r="AM2581" s="8"/>
      <c r="AN2581" s="8"/>
      <c r="AO2581" s="8"/>
      <c r="AS2581" s="5" t="str">
        <f t="shared" si="1199"/>
        <v>R10Economic Development</v>
      </c>
    </row>
    <row r="2582" spans="1:45" hidden="1">
      <c r="A2582" s="4"/>
      <c r="B2582" s="66"/>
      <c r="C2582" s="651" t="s">
        <v>1127</v>
      </c>
      <c r="D2582" s="700"/>
      <c r="E2582" s="5"/>
      <c r="F2582" s="5"/>
      <c r="G2582" s="5"/>
      <c r="I2582" s="5"/>
      <c r="J2582" s="4"/>
      <c r="K2582" s="5"/>
      <c r="M2582" s="5"/>
      <c r="N2582" s="5"/>
      <c r="O2582" s="5"/>
      <c r="Q2582" s="5"/>
      <c r="R2582" s="5"/>
      <c r="S2582" s="5"/>
      <c r="T2582" s="5"/>
      <c r="AC2582" s="8"/>
      <c r="AD2582" s="8"/>
      <c r="AE2582" s="8"/>
      <c r="AF2582" s="8"/>
      <c r="AG2582" s="8"/>
      <c r="AH2582" s="8"/>
      <c r="AI2582" s="8"/>
      <c r="AJ2582" s="8"/>
      <c r="AK2582" s="8"/>
      <c r="AL2582" s="8"/>
      <c r="AM2582" s="8"/>
      <c r="AN2582" s="8"/>
      <c r="AO2582" s="8"/>
      <c r="AS2582" s="5" t="str">
        <f t="shared" si="1199"/>
        <v>R10Electric Reliability Organization</v>
      </c>
    </row>
    <row r="2583" spans="1:45" hidden="1">
      <c r="A2583" s="4"/>
      <c r="B2583" s="66"/>
      <c r="C2583" s="651" t="s">
        <v>1134</v>
      </c>
      <c r="D2583" s="700"/>
      <c r="E2583" s="5"/>
      <c r="F2583" s="5"/>
      <c r="G2583" s="5"/>
      <c r="I2583" s="5"/>
      <c r="J2583" s="4"/>
      <c r="K2583" s="5"/>
      <c r="M2583" s="5"/>
      <c r="N2583" s="5"/>
      <c r="O2583" s="5"/>
      <c r="Q2583" s="5"/>
      <c r="R2583" s="5"/>
      <c r="S2583" s="5"/>
      <c r="T2583" s="5"/>
      <c r="AC2583" s="8"/>
      <c r="AD2583" s="8"/>
      <c r="AE2583" s="8"/>
      <c r="AF2583" s="8"/>
      <c r="AG2583" s="8"/>
      <c r="AH2583" s="8"/>
      <c r="AI2583" s="8"/>
      <c r="AJ2583" s="8"/>
      <c r="AK2583" s="8"/>
      <c r="AL2583" s="8"/>
      <c r="AM2583" s="8"/>
      <c r="AN2583" s="8"/>
      <c r="AO2583" s="8"/>
      <c r="AS2583" s="5" t="str">
        <f t="shared" si="1199"/>
        <v>R10Environmental</v>
      </c>
    </row>
    <row r="2584" spans="1:45" hidden="1">
      <c r="A2584" s="4"/>
      <c r="B2584" s="66"/>
      <c r="C2584" s="651" t="s">
        <v>1487</v>
      </c>
      <c r="D2584" s="700"/>
      <c r="E2584" s="5"/>
      <c r="F2584" s="5"/>
      <c r="G2584" s="5"/>
      <c r="I2584" s="5"/>
      <c r="J2584" s="4"/>
      <c r="K2584" s="5"/>
      <c r="M2584" s="5"/>
      <c r="N2584" s="5"/>
      <c r="O2584" s="5"/>
      <c r="Q2584" s="5"/>
      <c r="R2584" s="5"/>
      <c r="S2584" s="5"/>
      <c r="T2584" s="5"/>
      <c r="AC2584" s="8"/>
      <c r="AD2584" s="8"/>
      <c r="AE2584" s="8"/>
      <c r="AF2584" s="8"/>
      <c r="AG2584" s="8"/>
      <c r="AH2584" s="8"/>
      <c r="AI2584" s="8"/>
      <c r="AJ2584" s="8"/>
      <c r="AK2584" s="8"/>
      <c r="AL2584" s="8"/>
      <c r="AM2584" s="8"/>
      <c r="AN2584" s="8"/>
      <c r="AO2584" s="8"/>
      <c r="AS2584" s="5" t="str">
        <f t="shared" si="1199"/>
        <v>R10Excess NYS DIT (to 7.1%)</v>
      </c>
    </row>
    <row r="2585" spans="1:45" hidden="1">
      <c r="A2585" s="4"/>
      <c r="B2585" s="66"/>
      <c r="C2585" s="651" t="s">
        <v>1586</v>
      </c>
      <c r="D2585" s="700"/>
      <c r="E2585" s="5"/>
      <c r="F2585" s="5"/>
      <c r="G2585" s="5"/>
      <c r="I2585" s="5"/>
      <c r="J2585" s="4"/>
      <c r="K2585" s="5"/>
      <c r="M2585" s="5"/>
      <c r="N2585" s="5"/>
      <c r="O2585" s="5"/>
      <c r="Q2585" s="5"/>
      <c r="R2585" s="5"/>
      <c r="S2585" s="5"/>
      <c r="T2585" s="5"/>
      <c r="AC2585" s="8"/>
      <c r="AD2585" s="8"/>
      <c r="AE2585" s="8"/>
      <c r="AF2585" s="8"/>
      <c r="AG2585" s="8"/>
      <c r="AH2585" s="8"/>
      <c r="AI2585" s="8"/>
      <c r="AJ2585" s="8"/>
      <c r="AK2585" s="8"/>
      <c r="AL2585" s="8"/>
      <c r="AM2585" s="8"/>
      <c r="AN2585" s="8"/>
      <c r="AO2585" s="8"/>
      <c r="AS2585" s="5" t="str">
        <f t="shared" si="1199"/>
        <v>R10FAS 112</v>
      </c>
    </row>
    <row r="2586" spans="1:45" hidden="1">
      <c r="A2586" s="4"/>
      <c r="B2586" s="66"/>
      <c r="C2586" s="651" t="s">
        <v>1133</v>
      </c>
      <c r="D2586" s="700"/>
      <c r="E2586" s="5"/>
      <c r="F2586" s="5"/>
      <c r="G2586" s="5"/>
      <c r="I2586" s="5"/>
      <c r="J2586" s="4"/>
      <c r="K2586" s="5"/>
      <c r="M2586" s="5"/>
      <c r="N2586" s="5"/>
      <c r="O2586" s="5"/>
      <c r="Q2586" s="5"/>
      <c r="R2586" s="5"/>
      <c r="S2586" s="5"/>
      <c r="T2586" s="5"/>
      <c r="AC2586" s="8"/>
      <c r="AD2586" s="8"/>
      <c r="AE2586" s="8"/>
      <c r="AF2586" s="8"/>
      <c r="AG2586" s="8"/>
      <c r="AH2586" s="8"/>
      <c r="AI2586" s="8"/>
      <c r="AJ2586" s="8"/>
      <c r="AK2586" s="8"/>
      <c r="AL2586" s="8"/>
      <c r="AM2586" s="8"/>
      <c r="AN2586" s="8"/>
      <c r="AO2586" s="8"/>
      <c r="AS2586" s="5" t="str">
        <f t="shared" si="1199"/>
        <v>R10FAS 133</v>
      </c>
    </row>
    <row r="2587" spans="1:45" hidden="1">
      <c r="A2587" s="4"/>
      <c r="B2587" s="66"/>
      <c r="C2587" s="651" t="s">
        <v>1137</v>
      </c>
      <c r="D2587" s="700"/>
      <c r="E2587" s="5"/>
      <c r="F2587" s="5"/>
      <c r="G2587" s="5"/>
      <c r="I2587" s="5"/>
      <c r="J2587" s="4"/>
      <c r="K2587" s="5"/>
      <c r="M2587" s="5"/>
      <c r="N2587" s="5"/>
      <c r="O2587" s="5"/>
      <c r="Q2587" s="5"/>
      <c r="R2587" s="5"/>
      <c r="S2587" s="5"/>
      <c r="T2587" s="5"/>
      <c r="AC2587" s="8"/>
      <c r="AD2587" s="8"/>
      <c r="AE2587" s="8"/>
      <c r="AF2587" s="8"/>
      <c r="AG2587" s="8"/>
      <c r="AH2587" s="8"/>
      <c r="AI2587" s="8"/>
      <c r="AJ2587" s="8"/>
      <c r="AK2587" s="8"/>
      <c r="AL2587" s="8"/>
      <c r="AM2587" s="8"/>
      <c r="AN2587" s="8"/>
      <c r="AO2587" s="8"/>
      <c r="AS2587" s="5" t="str">
        <f t="shared" si="1199"/>
        <v>R10FERC 636</v>
      </c>
    </row>
    <row r="2588" spans="1:45" hidden="1">
      <c r="A2588" s="4"/>
      <c r="B2588" s="66"/>
      <c r="C2588" s="651" t="s">
        <v>1142</v>
      </c>
      <c r="D2588" s="700"/>
      <c r="E2588" s="5"/>
      <c r="F2588" s="5"/>
      <c r="G2588" s="5"/>
      <c r="I2588" s="5"/>
      <c r="J2588" s="4"/>
      <c r="K2588" s="5"/>
      <c r="M2588" s="5"/>
      <c r="N2588" s="5"/>
      <c r="O2588" s="5"/>
      <c r="Q2588" s="5"/>
      <c r="R2588" s="5"/>
      <c r="S2588" s="5"/>
      <c r="T2588" s="5"/>
      <c r="AC2588" s="8"/>
      <c r="AD2588" s="8"/>
      <c r="AE2588" s="8"/>
      <c r="AF2588" s="8"/>
      <c r="AG2588" s="8"/>
      <c r="AH2588" s="8"/>
      <c r="AI2588" s="8"/>
      <c r="AJ2588" s="8"/>
      <c r="AK2588" s="8"/>
      <c r="AL2588" s="8"/>
      <c r="AM2588" s="8"/>
      <c r="AN2588" s="8"/>
      <c r="AO2588" s="8"/>
      <c r="AS2588" s="5" t="str">
        <f t="shared" si="1199"/>
        <v>R10Gas Costs Deferred</v>
      </c>
    </row>
    <row r="2589" spans="1:45" hidden="1">
      <c r="A2589" s="4"/>
      <c r="B2589" s="66"/>
      <c r="C2589" s="651" t="s">
        <v>1132</v>
      </c>
      <c r="D2589" s="700"/>
      <c r="E2589" s="5"/>
      <c r="F2589" s="5"/>
      <c r="G2589" s="5"/>
      <c r="I2589" s="5"/>
      <c r="J2589" s="4"/>
      <c r="K2589" s="5"/>
      <c r="M2589" s="5"/>
      <c r="N2589" s="5"/>
      <c r="O2589" s="5"/>
      <c r="Q2589" s="5"/>
      <c r="R2589" s="5"/>
      <c r="S2589" s="5"/>
      <c r="T2589" s="5"/>
      <c r="AC2589" s="8"/>
      <c r="AD2589" s="8"/>
      <c r="AE2589" s="8"/>
      <c r="AF2589" s="8"/>
      <c r="AG2589" s="8"/>
      <c r="AH2589" s="8"/>
      <c r="AI2589" s="8"/>
      <c r="AJ2589" s="8"/>
      <c r="AK2589" s="8"/>
      <c r="AL2589" s="8"/>
      <c r="AM2589" s="8"/>
      <c r="AN2589" s="8"/>
      <c r="AO2589" s="8"/>
      <c r="AS2589" s="5" t="str">
        <f t="shared" si="1199"/>
        <v>R10Gas Pipeline Integrity</v>
      </c>
    </row>
    <row r="2590" spans="1:45" hidden="1">
      <c r="A2590" s="4"/>
      <c r="B2590" s="66"/>
      <c r="C2590" s="651" t="s">
        <v>1313</v>
      </c>
      <c r="D2590" s="700"/>
      <c r="E2590" s="5"/>
      <c r="F2590" s="5"/>
      <c r="G2590" s="5"/>
      <c r="I2590" s="5"/>
      <c r="J2590" s="4"/>
      <c r="K2590" s="5"/>
      <c r="M2590" s="5"/>
      <c r="N2590" s="5"/>
      <c r="O2590" s="5"/>
      <c r="Q2590" s="5"/>
      <c r="R2590" s="5"/>
      <c r="S2590" s="5"/>
      <c r="T2590" s="5"/>
      <c r="AC2590" s="8"/>
      <c r="AD2590" s="8"/>
      <c r="AE2590" s="8"/>
      <c r="AF2590" s="8"/>
      <c r="AG2590" s="8"/>
      <c r="AH2590" s="8"/>
      <c r="AI2590" s="8"/>
      <c r="AJ2590" s="8"/>
      <c r="AK2590" s="8"/>
      <c r="AL2590" s="8"/>
      <c r="AM2590" s="8"/>
      <c r="AN2590" s="8"/>
      <c r="AO2590" s="8"/>
      <c r="AS2590" s="5" t="str">
        <f t="shared" si="1199"/>
        <v>R10IMLR</v>
      </c>
    </row>
    <row r="2591" spans="1:45" hidden="1">
      <c r="A2591" s="4"/>
      <c r="B2591" s="66"/>
      <c r="C2591" s="651" t="s">
        <v>814</v>
      </c>
      <c r="D2591" s="700"/>
      <c r="E2591" s="5"/>
      <c r="F2591" s="5"/>
      <c r="G2591" s="5"/>
      <c r="I2591" s="5"/>
      <c r="J2591" s="4"/>
      <c r="K2591" s="5"/>
      <c r="M2591" s="5"/>
      <c r="N2591" s="5"/>
      <c r="O2591" s="5"/>
      <c r="Q2591" s="5"/>
      <c r="R2591" s="5"/>
      <c r="S2591" s="5"/>
      <c r="T2591" s="5"/>
      <c r="AC2591" s="8"/>
      <c r="AD2591" s="8"/>
      <c r="AE2591" s="8"/>
      <c r="AF2591" s="8"/>
      <c r="AG2591" s="8"/>
      <c r="AH2591" s="8"/>
      <c r="AI2591" s="8"/>
      <c r="AJ2591" s="8"/>
      <c r="AK2591" s="8"/>
      <c r="AL2591" s="8"/>
      <c r="AM2591" s="8"/>
      <c r="AN2591" s="8"/>
      <c r="AO2591" s="8"/>
      <c r="AS2591" s="5" t="str">
        <f t="shared" si="1199"/>
        <v>R10IRS Audit - 1998-2001</v>
      </c>
    </row>
    <row r="2592" spans="1:45" hidden="1">
      <c r="A2592" s="4"/>
      <c r="B2592" s="66"/>
      <c r="C2592" s="651" t="s">
        <v>809</v>
      </c>
      <c r="D2592" s="700"/>
      <c r="E2592" s="5"/>
      <c r="F2592" s="5"/>
      <c r="G2592" s="5"/>
      <c r="I2592" s="5"/>
      <c r="J2592" s="4"/>
      <c r="K2592" s="5"/>
      <c r="M2592" s="5"/>
      <c r="N2592" s="5"/>
      <c r="O2592" s="5"/>
      <c r="Q2592" s="5"/>
      <c r="R2592" s="5"/>
      <c r="S2592" s="5"/>
      <c r="T2592" s="5"/>
      <c r="AC2592" s="8"/>
      <c r="AD2592" s="8"/>
      <c r="AE2592" s="8"/>
      <c r="AF2592" s="8"/>
      <c r="AG2592" s="8"/>
      <c r="AH2592" s="8"/>
      <c r="AI2592" s="8"/>
      <c r="AJ2592" s="8"/>
      <c r="AK2592" s="8"/>
      <c r="AL2592" s="8"/>
      <c r="AM2592" s="8"/>
      <c r="AN2592" s="8"/>
      <c r="AO2592" s="8"/>
      <c r="AS2592" s="5" t="str">
        <f t="shared" si="1199"/>
        <v xml:space="preserve">R10Low Income </v>
      </c>
    </row>
    <row r="2593" spans="1:45" hidden="1">
      <c r="A2593" s="4"/>
      <c r="B2593" s="66"/>
      <c r="C2593" s="651" t="s">
        <v>1118</v>
      </c>
      <c r="D2593" s="700"/>
      <c r="E2593" s="5"/>
      <c r="F2593" s="5"/>
      <c r="G2593" s="5"/>
      <c r="I2593" s="5"/>
      <c r="J2593" s="4"/>
      <c r="K2593" s="5"/>
      <c r="M2593" s="5"/>
      <c r="N2593" s="5"/>
      <c r="O2593" s="5"/>
      <c r="Q2593" s="5"/>
      <c r="R2593" s="5"/>
      <c r="S2593" s="5"/>
      <c r="T2593" s="5"/>
      <c r="AC2593" s="8"/>
      <c r="AD2593" s="8"/>
      <c r="AE2593" s="8"/>
      <c r="AF2593" s="8"/>
      <c r="AG2593" s="8"/>
      <c r="AH2593" s="8"/>
      <c r="AI2593" s="8"/>
      <c r="AJ2593" s="8"/>
      <c r="AK2593" s="8"/>
      <c r="AL2593" s="8"/>
      <c r="AM2593" s="8"/>
      <c r="AN2593" s="8"/>
      <c r="AO2593" s="8"/>
      <c r="AS2593" s="5" t="str">
        <f t="shared" si="1199"/>
        <v>R10Medicare Part D</v>
      </c>
    </row>
    <row r="2594" spans="1:45" hidden="1">
      <c r="A2594" s="4"/>
      <c r="B2594" s="66"/>
      <c r="C2594" s="651" t="s">
        <v>999</v>
      </c>
      <c r="D2594" s="700"/>
      <c r="E2594" s="5"/>
      <c r="F2594" s="5"/>
      <c r="G2594" s="5"/>
      <c r="I2594" s="5"/>
      <c r="J2594" s="4"/>
      <c r="K2594" s="5"/>
      <c r="M2594" s="5"/>
      <c r="N2594" s="5"/>
      <c r="O2594" s="5"/>
      <c r="Q2594" s="5"/>
      <c r="R2594" s="5"/>
      <c r="S2594" s="5"/>
      <c r="T2594" s="5"/>
      <c r="AC2594" s="8"/>
      <c r="AD2594" s="8"/>
      <c r="AE2594" s="8"/>
      <c r="AF2594" s="8"/>
      <c r="AG2594" s="8"/>
      <c r="AH2594" s="8"/>
      <c r="AI2594" s="8"/>
      <c r="AJ2594" s="8"/>
      <c r="AK2594" s="8"/>
      <c r="AL2594" s="8"/>
      <c r="AM2594" s="8"/>
      <c r="AN2594" s="8"/>
      <c r="AO2594" s="8"/>
      <c r="AS2594" s="5" t="str">
        <f t="shared" si="1199"/>
        <v>R10Mendon Heater</v>
      </c>
    </row>
    <row r="2595" spans="1:45" hidden="1">
      <c r="A2595" s="4"/>
      <c r="B2595" s="66"/>
      <c r="C2595" s="651" t="s">
        <v>1234</v>
      </c>
      <c r="D2595" s="700"/>
      <c r="E2595" s="5"/>
      <c r="F2595" s="5"/>
      <c r="G2595" s="5"/>
      <c r="I2595" s="5"/>
      <c r="J2595" s="4"/>
      <c r="K2595" s="5"/>
      <c r="M2595" s="5"/>
      <c r="N2595" s="5"/>
      <c r="O2595" s="5"/>
      <c r="Q2595" s="5"/>
      <c r="R2595" s="5"/>
      <c r="S2595" s="5"/>
      <c r="T2595" s="5"/>
      <c r="AC2595" s="8"/>
      <c r="AD2595" s="8"/>
      <c r="AE2595" s="8"/>
      <c r="AF2595" s="8"/>
      <c r="AG2595" s="8"/>
      <c r="AH2595" s="8"/>
      <c r="AI2595" s="8"/>
      <c r="AJ2595" s="8"/>
      <c r="AK2595" s="8"/>
      <c r="AL2595" s="8"/>
      <c r="AM2595" s="8"/>
      <c r="AN2595" s="8"/>
      <c r="AO2595" s="8"/>
      <c r="AS2595" s="5" t="str">
        <f t="shared" si="1199"/>
        <v>R10Merchant Function Charge-Gas</v>
      </c>
    </row>
    <row r="2596" spans="1:45" hidden="1">
      <c r="A2596" s="4"/>
      <c r="B2596" s="66"/>
      <c r="C2596" s="651" t="s">
        <v>1557</v>
      </c>
      <c r="D2596" s="700"/>
      <c r="E2596" s="5"/>
      <c r="F2596" s="5"/>
      <c r="G2596" s="5"/>
      <c r="I2596" s="5"/>
      <c r="J2596" s="4"/>
      <c r="K2596" s="5"/>
      <c r="M2596" s="5"/>
      <c r="N2596" s="5"/>
      <c r="O2596" s="5"/>
      <c r="Q2596" s="5"/>
      <c r="R2596" s="5"/>
      <c r="S2596" s="5"/>
      <c r="T2596" s="5"/>
      <c r="AC2596" s="8"/>
      <c r="AD2596" s="8"/>
      <c r="AE2596" s="8"/>
      <c r="AF2596" s="8"/>
      <c r="AG2596" s="8"/>
      <c r="AH2596" s="8"/>
      <c r="AI2596" s="8"/>
      <c r="AJ2596" s="8"/>
      <c r="AK2596" s="8"/>
      <c r="AL2596" s="8"/>
      <c r="AM2596" s="8"/>
      <c r="AN2596" s="8"/>
      <c r="AO2596" s="8"/>
      <c r="AS2596" s="5" t="str">
        <f t="shared" si="1199"/>
        <v>R10Monroe County Conduit</v>
      </c>
    </row>
    <row r="2597" spans="1:45" hidden="1">
      <c r="A2597" s="4"/>
      <c r="B2597" s="66"/>
      <c r="C2597" s="651" t="s">
        <v>1141</v>
      </c>
      <c r="D2597" s="700"/>
      <c r="E2597" s="5"/>
      <c r="F2597" s="5"/>
      <c r="G2597" s="5"/>
      <c r="I2597" s="5"/>
      <c r="J2597" s="4"/>
      <c r="K2597" s="5"/>
      <c r="M2597" s="5"/>
      <c r="N2597" s="5"/>
      <c r="O2597" s="5"/>
      <c r="Q2597" s="5"/>
      <c r="R2597" s="5"/>
      <c r="S2597" s="5"/>
      <c r="T2597" s="5"/>
      <c r="AC2597" s="8"/>
      <c r="AD2597" s="8"/>
      <c r="AE2597" s="8"/>
      <c r="AF2597" s="8"/>
      <c r="AG2597" s="8"/>
      <c r="AH2597" s="8"/>
      <c r="AI2597" s="8"/>
      <c r="AJ2597" s="8"/>
      <c r="AK2597" s="8"/>
      <c r="AL2597" s="8"/>
      <c r="AM2597" s="8"/>
      <c r="AN2597" s="8"/>
      <c r="AO2597" s="8"/>
      <c r="AS2597" s="5" t="str">
        <f t="shared" si="1199"/>
        <v>R10NBC True-up</v>
      </c>
    </row>
    <row r="2598" spans="1:45" hidden="1">
      <c r="A2598" s="4"/>
      <c r="B2598" s="66"/>
      <c r="C2598" s="651" t="s">
        <v>1144</v>
      </c>
      <c r="D2598" s="700"/>
      <c r="E2598" s="5"/>
      <c r="F2598" s="5"/>
      <c r="G2598" s="5"/>
      <c r="I2598" s="5"/>
      <c r="J2598" s="4"/>
      <c r="K2598" s="5"/>
      <c r="M2598" s="5"/>
      <c r="N2598" s="5"/>
      <c r="O2598" s="5"/>
      <c r="Q2598" s="5"/>
      <c r="R2598" s="5"/>
      <c r="S2598" s="5"/>
      <c r="T2598" s="5"/>
      <c r="AC2598" s="8"/>
      <c r="AD2598" s="8"/>
      <c r="AE2598" s="8"/>
      <c r="AF2598" s="8"/>
      <c r="AG2598" s="8"/>
      <c r="AH2598" s="8"/>
      <c r="AI2598" s="8"/>
      <c r="AJ2598" s="8"/>
      <c r="AK2598" s="8"/>
      <c r="AL2598" s="8"/>
      <c r="AM2598" s="8"/>
      <c r="AN2598" s="8"/>
      <c r="AO2598" s="8"/>
      <c r="AS2598" s="5" t="str">
        <f t="shared" si="1199"/>
        <v>R10Nine Mile Mirror CWIP</v>
      </c>
    </row>
    <row r="2599" spans="1:45" hidden="1">
      <c r="A2599" s="4"/>
      <c r="B2599" s="66"/>
      <c r="C2599" s="651" t="s">
        <v>1145</v>
      </c>
      <c r="D2599" s="700"/>
      <c r="E2599" s="5"/>
      <c r="F2599" s="5"/>
      <c r="G2599" s="5"/>
      <c r="I2599" s="5"/>
      <c r="J2599" s="4"/>
      <c r="K2599" s="5"/>
      <c r="M2599" s="5"/>
      <c r="N2599" s="5"/>
      <c r="O2599" s="5"/>
      <c r="Q2599" s="5"/>
      <c r="R2599" s="5"/>
      <c r="S2599" s="5"/>
      <c r="T2599" s="5"/>
      <c r="AC2599" s="8"/>
      <c r="AD2599" s="8"/>
      <c r="AE2599" s="8"/>
      <c r="AF2599" s="8"/>
      <c r="AG2599" s="8"/>
      <c r="AH2599" s="8"/>
      <c r="AI2599" s="8"/>
      <c r="AJ2599" s="8"/>
      <c r="AK2599" s="8"/>
      <c r="AL2599" s="8"/>
      <c r="AM2599" s="8"/>
      <c r="AN2599" s="8"/>
      <c r="AO2599" s="8"/>
      <c r="AS2599" s="5" t="str">
        <f t="shared" si="1199"/>
        <v>R10NM2 Sale</v>
      </c>
    </row>
    <row r="2600" spans="1:45" hidden="1">
      <c r="A2600" s="4"/>
      <c r="B2600" s="66"/>
      <c r="C2600" s="651" t="s">
        <v>1126</v>
      </c>
      <c r="D2600" s="700"/>
      <c r="E2600" s="5"/>
      <c r="F2600" s="5"/>
      <c r="G2600" s="5"/>
      <c r="I2600" s="5"/>
      <c r="J2600" s="4"/>
      <c r="K2600" s="5"/>
      <c r="M2600" s="5"/>
      <c r="N2600" s="5"/>
      <c r="O2600" s="5"/>
      <c r="Q2600" s="5"/>
      <c r="R2600" s="5"/>
      <c r="S2600" s="5"/>
      <c r="T2600" s="5"/>
      <c r="AC2600" s="8"/>
      <c r="AD2600" s="8"/>
      <c r="AE2600" s="8"/>
      <c r="AF2600" s="8"/>
      <c r="AG2600" s="8"/>
      <c r="AH2600" s="8"/>
      <c r="AI2600" s="8"/>
      <c r="AJ2600" s="8"/>
      <c r="AK2600" s="8"/>
      <c r="AL2600" s="8"/>
      <c r="AM2600" s="8"/>
      <c r="AN2600" s="8"/>
      <c r="AO2600" s="8"/>
      <c r="AS2600" s="5" t="str">
        <f t="shared" ref="AS2600:AS2624" si="1200">CONCATENATE($D$2628,C2600)</f>
        <v>R10NYS Tax Audit</v>
      </c>
    </row>
    <row r="2601" spans="1:45" hidden="1">
      <c r="A2601" s="4"/>
      <c r="B2601" s="66"/>
      <c r="C2601" s="651" t="s">
        <v>1125</v>
      </c>
      <c r="D2601" s="700"/>
      <c r="E2601" s="5"/>
      <c r="F2601" s="5"/>
      <c r="G2601" s="5"/>
      <c r="I2601" s="5"/>
      <c r="J2601" s="4"/>
      <c r="K2601" s="5"/>
      <c r="M2601" s="5"/>
      <c r="N2601" s="5"/>
      <c r="O2601" s="5"/>
      <c r="Q2601" s="5"/>
      <c r="R2601" s="5"/>
      <c r="S2601" s="5"/>
      <c r="T2601" s="5"/>
      <c r="AC2601" s="8"/>
      <c r="AD2601" s="8"/>
      <c r="AE2601" s="8"/>
      <c r="AF2601" s="8"/>
      <c r="AG2601" s="8"/>
      <c r="AH2601" s="8"/>
      <c r="AI2601" s="8"/>
      <c r="AJ2601" s="8"/>
      <c r="AK2601" s="8"/>
      <c r="AL2601" s="8"/>
      <c r="AM2601" s="8"/>
      <c r="AN2601" s="8"/>
      <c r="AO2601" s="8"/>
      <c r="AS2601" s="5" t="str">
        <f t="shared" si="1200"/>
        <v>R10NYS Tax Rate to 7.1%</v>
      </c>
    </row>
    <row r="2602" spans="1:45" hidden="1">
      <c r="A2602" s="4"/>
      <c r="B2602" s="66"/>
      <c r="C2602" s="651" t="s">
        <v>816</v>
      </c>
      <c r="D2602" s="700"/>
      <c r="E2602" s="5"/>
      <c r="F2602" s="5"/>
      <c r="G2602" s="5"/>
      <c r="I2602" s="5"/>
      <c r="J2602" s="4"/>
      <c r="K2602" s="5"/>
      <c r="M2602" s="5"/>
      <c r="N2602" s="5"/>
      <c r="O2602" s="5"/>
      <c r="Q2602" s="5"/>
      <c r="R2602" s="5"/>
      <c r="S2602" s="5"/>
      <c r="T2602" s="5"/>
      <c r="AC2602" s="8"/>
      <c r="AD2602" s="8"/>
      <c r="AE2602" s="8"/>
      <c r="AF2602" s="8"/>
      <c r="AG2602" s="8"/>
      <c r="AH2602" s="8"/>
      <c r="AI2602" s="8"/>
      <c r="AJ2602" s="8"/>
      <c r="AK2602" s="8"/>
      <c r="AL2602" s="8"/>
      <c r="AM2602" s="8"/>
      <c r="AN2602" s="8"/>
      <c r="AO2602" s="8"/>
      <c r="AS2602" s="5" t="str">
        <f t="shared" si="1200"/>
        <v>R10NYSIT - '02 Combined Filing Adj</v>
      </c>
    </row>
    <row r="2603" spans="1:45" hidden="1">
      <c r="A2603" s="4"/>
      <c r="B2603" s="66"/>
      <c r="C2603" s="651" t="s">
        <v>1135</v>
      </c>
      <c r="D2603" s="700"/>
      <c r="E2603" s="5"/>
      <c r="F2603" s="5"/>
      <c r="G2603" s="5"/>
      <c r="I2603" s="5"/>
      <c r="J2603" s="4"/>
      <c r="K2603" s="5"/>
      <c r="M2603" s="5"/>
      <c r="N2603" s="5"/>
      <c r="O2603" s="5"/>
      <c r="Q2603" s="5"/>
      <c r="R2603" s="5"/>
      <c r="S2603" s="5"/>
      <c r="T2603" s="5"/>
      <c r="AC2603" s="8"/>
      <c r="AD2603" s="8"/>
      <c r="AE2603" s="8"/>
      <c r="AF2603" s="8"/>
      <c r="AG2603" s="8"/>
      <c r="AH2603" s="8"/>
      <c r="AI2603" s="8"/>
      <c r="AJ2603" s="8"/>
      <c r="AK2603" s="8"/>
      <c r="AL2603" s="8"/>
      <c r="AM2603" s="8"/>
      <c r="AN2603" s="8"/>
      <c r="AO2603" s="8"/>
      <c r="AS2603" s="5" t="str">
        <f t="shared" si="1200"/>
        <v>R10OPEB Reserve</v>
      </c>
    </row>
    <row r="2604" spans="1:45" hidden="1">
      <c r="A2604" s="4"/>
      <c r="B2604" s="66"/>
      <c r="C2604" s="651" t="s">
        <v>812</v>
      </c>
      <c r="D2604" s="700"/>
      <c r="E2604" s="5"/>
      <c r="F2604" s="5"/>
      <c r="G2604" s="5"/>
      <c r="I2604" s="5"/>
      <c r="J2604" s="4"/>
      <c r="K2604" s="5"/>
      <c r="M2604" s="5"/>
      <c r="N2604" s="5"/>
      <c r="O2604" s="5"/>
      <c r="Q2604" s="5"/>
      <c r="R2604" s="5"/>
      <c r="S2604" s="5"/>
      <c r="T2604" s="5"/>
      <c r="AC2604" s="8"/>
      <c r="AD2604" s="8"/>
      <c r="AE2604" s="8"/>
      <c r="AF2604" s="8"/>
      <c r="AG2604" s="8"/>
      <c r="AH2604" s="8"/>
      <c r="AI2604" s="8"/>
      <c r="AJ2604" s="8"/>
      <c r="AK2604" s="8"/>
      <c r="AL2604" s="8"/>
      <c r="AM2604" s="8"/>
      <c r="AN2604" s="8"/>
      <c r="AO2604" s="8"/>
      <c r="AS2604" s="5" t="str">
        <f t="shared" si="1200"/>
        <v>R10OPEB True-up</v>
      </c>
    </row>
    <row r="2605" spans="1:45" hidden="1">
      <c r="A2605" s="4"/>
      <c r="B2605" s="66"/>
      <c r="C2605" s="651" t="s">
        <v>1139</v>
      </c>
      <c r="D2605" s="700"/>
      <c r="E2605" s="5"/>
      <c r="F2605" s="5"/>
      <c r="G2605" s="5"/>
      <c r="I2605" s="5"/>
      <c r="J2605" s="4"/>
      <c r="K2605" s="5"/>
      <c r="M2605" s="5"/>
      <c r="N2605" s="5"/>
      <c r="O2605" s="5"/>
      <c r="Q2605" s="5"/>
      <c r="R2605" s="5"/>
      <c r="S2605" s="5"/>
      <c r="T2605" s="5"/>
      <c r="AC2605" s="8"/>
      <c r="AD2605" s="8"/>
      <c r="AE2605" s="8"/>
      <c r="AF2605" s="8"/>
      <c r="AG2605" s="8"/>
      <c r="AH2605" s="8"/>
      <c r="AI2605" s="8"/>
      <c r="AJ2605" s="8"/>
      <c r="AK2605" s="8"/>
      <c r="AL2605" s="8"/>
      <c r="AM2605" s="8"/>
      <c r="AN2605" s="8"/>
      <c r="AO2605" s="8"/>
      <c r="AS2605" s="5" t="str">
        <f t="shared" si="1200"/>
        <v>R10Oswego</v>
      </c>
    </row>
    <row r="2606" spans="1:45" hidden="1">
      <c r="A2606" s="4"/>
      <c r="B2606" s="66"/>
      <c r="C2606" s="651" t="s">
        <v>815</v>
      </c>
      <c r="D2606" s="700"/>
      <c r="E2606" s="5"/>
      <c r="F2606" s="5"/>
      <c r="G2606" s="5"/>
      <c r="I2606" s="5"/>
      <c r="J2606" s="4"/>
      <c r="K2606" s="5"/>
      <c r="M2606" s="5"/>
      <c r="N2606" s="5"/>
      <c r="O2606" s="5"/>
      <c r="Q2606" s="5"/>
      <c r="R2606" s="5"/>
      <c r="S2606" s="5"/>
      <c r="T2606" s="5"/>
      <c r="AC2606" s="8"/>
      <c r="AD2606" s="8"/>
      <c r="AE2606" s="8"/>
      <c r="AF2606" s="8"/>
      <c r="AG2606" s="8"/>
      <c r="AH2606" s="8"/>
      <c r="AI2606" s="8"/>
      <c r="AJ2606" s="8"/>
      <c r="AK2606" s="8"/>
      <c r="AL2606" s="8"/>
      <c r="AM2606" s="8"/>
      <c r="AN2606" s="8"/>
      <c r="AO2606" s="8"/>
      <c r="AS2606" s="5" t="str">
        <f t="shared" si="1200"/>
        <v>R10Outreach &amp; Education</v>
      </c>
    </row>
    <row r="2607" spans="1:45" hidden="1">
      <c r="A2607" s="4"/>
      <c r="B2607" s="66"/>
      <c r="C2607" s="651" t="s">
        <v>1136</v>
      </c>
      <c r="D2607" s="700"/>
      <c r="E2607" s="5"/>
      <c r="F2607" s="5"/>
      <c r="G2607" s="5"/>
      <c r="I2607" s="5"/>
      <c r="J2607" s="4"/>
      <c r="K2607" s="5"/>
      <c r="M2607" s="5"/>
      <c r="N2607" s="5"/>
      <c r="O2607" s="5"/>
      <c r="Q2607" s="5"/>
      <c r="R2607" s="5"/>
      <c r="S2607" s="5"/>
      <c r="T2607" s="5"/>
      <c r="AC2607" s="8"/>
      <c r="AD2607" s="8"/>
      <c r="AE2607" s="8"/>
      <c r="AF2607" s="8"/>
      <c r="AG2607" s="8"/>
      <c r="AH2607" s="8"/>
      <c r="AI2607" s="8"/>
      <c r="AJ2607" s="8"/>
      <c r="AK2607" s="8"/>
      <c r="AL2607" s="8"/>
      <c r="AM2607" s="8"/>
      <c r="AN2607" s="8"/>
      <c r="AO2607" s="8"/>
      <c r="AS2607" s="5" t="str">
        <f t="shared" si="1200"/>
        <v>R10Pension Asset</v>
      </c>
    </row>
    <row r="2608" spans="1:45" hidden="1">
      <c r="A2608" s="4"/>
      <c r="B2608" s="66"/>
      <c r="C2608" s="651" t="s">
        <v>1136</v>
      </c>
      <c r="D2608" s="700"/>
      <c r="E2608" s="5"/>
      <c r="F2608" s="5"/>
      <c r="G2608" s="5"/>
      <c r="I2608" s="5"/>
      <c r="J2608" s="4"/>
      <c r="K2608" s="5"/>
      <c r="M2608" s="5"/>
      <c r="N2608" s="5"/>
      <c r="O2608" s="5"/>
      <c r="Q2608" s="5"/>
      <c r="R2608" s="5"/>
      <c r="S2608" s="5"/>
      <c r="T2608" s="5"/>
      <c r="AC2608" s="8"/>
      <c r="AD2608" s="8"/>
      <c r="AE2608" s="8"/>
      <c r="AF2608" s="8"/>
      <c r="AG2608" s="8"/>
      <c r="AH2608" s="8"/>
      <c r="AI2608" s="8"/>
      <c r="AJ2608" s="8"/>
      <c r="AK2608" s="8"/>
      <c r="AL2608" s="8"/>
      <c r="AM2608" s="8"/>
      <c r="AN2608" s="8"/>
      <c r="AO2608" s="8"/>
      <c r="AS2608" s="5" t="str">
        <f t="shared" si="1200"/>
        <v>R10Pension Asset</v>
      </c>
    </row>
    <row r="2609" spans="1:45" hidden="1">
      <c r="A2609" s="4"/>
      <c r="B2609" s="66"/>
      <c r="C2609" s="651" t="s">
        <v>1159</v>
      </c>
      <c r="D2609" s="700"/>
      <c r="E2609" s="5"/>
      <c r="F2609" s="5"/>
      <c r="G2609" s="5"/>
      <c r="I2609" s="5"/>
      <c r="J2609" s="4"/>
      <c r="K2609" s="5"/>
      <c r="M2609" s="5"/>
      <c r="N2609" s="5"/>
      <c r="O2609" s="5"/>
      <c r="Q2609" s="5"/>
      <c r="R2609" s="5"/>
      <c r="S2609" s="5"/>
      <c r="T2609" s="5"/>
      <c r="AC2609" s="8"/>
      <c r="AD2609" s="8"/>
      <c r="AE2609" s="8"/>
      <c r="AF2609" s="8"/>
      <c r="AG2609" s="8"/>
      <c r="AH2609" s="8"/>
      <c r="AI2609" s="8"/>
      <c r="AJ2609" s="8"/>
      <c r="AK2609" s="8"/>
      <c r="AL2609" s="8"/>
      <c r="AM2609" s="8"/>
      <c r="AN2609" s="8"/>
      <c r="AO2609" s="8"/>
      <c r="AS2609" s="5" t="str">
        <f t="shared" si="1200"/>
        <v>R10Pension True-up</v>
      </c>
    </row>
    <row r="2610" spans="1:45" hidden="1">
      <c r="A2610" s="4"/>
      <c r="B2610" s="66"/>
      <c r="C2610" s="651" t="s">
        <v>1481</v>
      </c>
      <c r="D2610" s="700"/>
      <c r="E2610" s="5"/>
      <c r="F2610" s="5"/>
      <c r="G2610" s="5"/>
      <c r="I2610" s="5"/>
      <c r="J2610" s="4"/>
      <c r="K2610" s="5"/>
      <c r="M2610" s="5"/>
      <c r="N2610" s="5"/>
      <c r="O2610" s="5"/>
      <c r="Q2610" s="5"/>
      <c r="R2610" s="5"/>
      <c r="S2610" s="5"/>
      <c r="T2610" s="5"/>
      <c r="AC2610" s="8"/>
      <c r="AD2610" s="8"/>
      <c r="AE2610" s="8"/>
      <c r="AF2610" s="8"/>
      <c r="AG2610" s="8"/>
      <c r="AH2610" s="8"/>
      <c r="AI2610" s="8"/>
      <c r="AJ2610" s="8"/>
      <c r="AK2610" s="8"/>
      <c r="AL2610" s="8"/>
      <c r="AM2610" s="8"/>
      <c r="AN2610" s="8"/>
      <c r="AO2610" s="8"/>
      <c r="AS2610" s="5" t="str">
        <f t="shared" si="1200"/>
        <v>R10Positive Benefit Adjustment</v>
      </c>
    </row>
    <row r="2611" spans="1:45" hidden="1">
      <c r="A2611" s="4"/>
      <c r="B2611" s="66"/>
      <c r="C2611" s="651" t="s">
        <v>1199</v>
      </c>
      <c r="D2611" s="700"/>
      <c r="E2611" s="5"/>
      <c r="F2611" s="5"/>
      <c r="G2611" s="5"/>
      <c r="I2611" s="5"/>
      <c r="J2611" s="4"/>
      <c r="K2611" s="5"/>
      <c r="M2611" s="5"/>
      <c r="N2611" s="5"/>
      <c r="O2611" s="5"/>
      <c r="Q2611" s="5"/>
      <c r="R2611" s="5"/>
      <c r="S2611" s="5"/>
      <c r="T2611" s="5"/>
      <c r="AC2611" s="8"/>
      <c r="AD2611" s="8"/>
      <c r="AE2611" s="8"/>
      <c r="AF2611" s="8"/>
      <c r="AG2611" s="8"/>
      <c r="AH2611" s="8"/>
      <c r="AI2611" s="8"/>
      <c r="AJ2611" s="8"/>
      <c r="AK2611" s="8"/>
      <c r="AL2611" s="8"/>
      <c r="AM2611" s="8"/>
      <c r="AN2611" s="8"/>
      <c r="AO2611" s="8"/>
      <c r="AS2611" s="5" t="str">
        <f t="shared" si="1200"/>
        <v>R10Pre-Capitalized Installation Costs</v>
      </c>
    </row>
    <row r="2612" spans="1:45" hidden="1">
      <c r="A2612" s="4"/>
      <c r="B2612" s="66"/>
      <c r="C2612" s="651" t="s">
        <v>1181</v>
      </c>
      <c r="D2612" s="700"/>
      <c r="E2612" s="5"/>
      <c r="F2612" s="5"/>
      <c r="G2612" s="5"/>
      <c r="I2612" s="5"/>
      <c r="J2612" s="4"/>
      <c r="K2612" s="5"/>
      <c r="M2612" s="5"/>
      <c r="N2612" s="5"/>
      <c r="O2612" s="5"/>
      <c r="Q2612" s="5"/>
      <c r="R2612" s="5"/>
      <c r="S2612" s="5"/>
      <c r="T2612" s="5"/>
      <c r="AC2612" s="8"/>
      <c r="AD2612" s="8"/>
      <c r="AE2612" s="8"/>
      <c r="AF2612" s="8"/>
      <c r="AG2612" s="8"/>
      <c r="AH2612" s="8"/>
      <c r="AI2612" s="8"/>
      <c r="AJ2612" s="8"/>
      <c r="AK2612" s="8"/>
      <c r="AL2612" s="8"/>
      <c r="AM2612" s="8"/>
      <c r="AN2612" s="8"/>
      <c r="AO2612" s="8"/>
      <c r="AS2612" s="5" t="str">
        <f t="shared" si="1200"/>
        <v>R10Property Tax 481(a)</v>
      </c>
    </row>
    <row r="2613" spans="1:45" hidden="1">
      <c r="A2613" s="4"/>
      <c r="B2613" s="66"/>
      <c r="C2613" s="651" t="s">
        <v>1113</v>
      </c>
      <c r="D2613" s="700"/>
      <c r="E2613" s="5"/>
      <c r="F2613" s="5"/>
      <c r="G2613" s="5"/>
      <c r="I2613" s="5"/>
      <c r="J2613" s="4"/>
      <c r="K2613" s="5"/>
      <c r="M2613" s="5"/>
      <c r="N2613" s="5"/>
      <c r="O2613" s="5"/>
      <c r="Q2613" s="5"/>
      <c r="R2613" s="5"/>
      <c r="S2613" s="5"/>
      <c r="T2613" s="5"/>
      <c r="AC2613" s="8"/>
      <c r="AD2613" s="8"/>
      <c r="AE2613" s="8"/>
      <c r="AF2613" s="8"/>
      <c r="AG2613" s="8"/>
      <c r="AH2613" s="8"/>
      <c r="AI2613" s="8"/>
      <c r="AJ2613" s="8"/>
      <c r="AK2613" s="8"/>
      <c r="AL2613" s="8"/>
      <c r="AM2613" s="8"/>
      <c r="AN2613" s="8"/>
      <c r="AO2613" s="8"/>
      <c r="AS2613" s="5" t="str">
        <f t="shared" si="1200"/>
        <v>R10Property Tax Deferral</v>
      </c>
    </row>
    <row r="2614" spans="1:45" hidden="1">
      <c r="A2614" s="4"/>
      <c r="B2614" s="66"/>
      <c r="C2614" s="651" t="s">
        <v>817</v>
      </c>
      <c r="D2614" s="700"/>
      <c r="E2614" s="5"/>
      <c r="F2614" s="5"/>
      <c r="G2614" s="5"/>
      <c r="I2614" s="5"/>
      <c r="J2614" s="4"/>
      <c r="K2614" s="5"/>
      <c r="M2614" s="5"/>
      <c r="N2614" s="5"/>
      <c r="O2614" s="5"/>
      <c r="Q2614" s="5"/>
      <c r="R2614" s="5"/>
      <c r="S2614" s="5"/>
      <c r="T2614" s="5"/>
      <c r="AC2614" s="8"/>
      <c r="AD2614" s="8"/>
      <c r="AE2614" s="8"/>
      <c r="AF2614" s="8"/>
      <c r="AG2614" s="8"/>
      <c r="AH2614" s="8"/>
      <c r="AI2614" s="8"/>
      <c r="AJ2614" s="8"/>
      <c r="AK2614" s="8"/>
      <c r="AL2614" s="8"/>
      <c r="AM2614" s="8"/>
      <c r="AN2614" s="8"/>
      <c r="AO2614" s="8"/>
      <c r="AS2614" s="5" t="str">
        <f t="shared" si="1200"/>
        <v>R10PSC Assessment</v>
      </c>
    </row>
    <row r="2615" spans="1:45" hidden="1">
      <c r="A2615" s="4"/>
      <c r="B2615" s="66"/>
      <c r="C2615" s="651" t="s">
        <v>1245</v>
      </c>
      <c r="D2615" s="700"/>
      <c r="E2615" s="5"/>
      <c r="F2615" s="5"/>
      <c r="G2615" s="5"/>
      <c r="I2615" s="5"/>
      <c r="J2615" s="4"/>
      <c r="K2615" s="5"/>
      <c r="M2615" s="5"/>
      <c r="N2615" s="5"/>
      <c r="O2615" s="5"/>
      <c r="Q2615" s="5"/>
      <c r="R2615" s="5"/>
      <c r="S2615" s="5"/>
      <c r="T2615" s="5"/>
      <c r="AC2615" s="8"/>
      <c r="AD2615" s="8"/>
      <c r="AE2615" s="8"/>
      <c r="AF2615" s="8"/>
      <c r="AG2615" s="8"/>
      <c r="AH2615" s="8"/>
      <c r="AI2615" s="8"/>
      <c r="AJ2615" s="8"/>
      <c r="AK2615" s="8"/>
      <c r="AL2615" s="8"/>
      <c r="AM2615" s="8"/>
      <c r="AN2615" s="8"/>
      <c r="AO2615" s="8"/>
      <c r="AS2615" s="5" t="str">
        <f t="shared" si="1200"/>
        <v>R10Purchase of Receivables</v>
      </c>
    </row>
    <row r="2616" spans="1:45" hidden="1">
      <c r="A2616" s="4"/>
      <c r="B2616" s="66"/>
      <c r="C2616" s="651" t="s">
        <v>1124</v>
      </c>
      <c r="D2616" s="700"/>
      <c r="E2616" s="5"/>
      <c r="F2616" s="5"/>
      <c r="G2616" s="5"/>
      <c r="I2616" s="5"/>
      <c r="J2616" s="4"/>
      <c r="K2616" s="5"/>
      <c r="M2616" s="5"/>
      <c r="N2616" s="5"/>
      <c r="O2616" s="5"/>
      <c r="Q2616" s="5"/>
      <c r="R2616" s="5"/>
      <c r="S2616" s="5"/>
      <c r="T2616" s="5"/>
      <c r="AC2616" s="8"/>
      <c r="AD2616" s="8"/>
      <c r="AE2616" s="8"/>
      <c r="AF2616" s="8"/>
      <c r="AG2616" s="8"/>
      <c r="AH2616" s="8"/>
      <c r="AI2616" s="8"/>
      <c r="AJ2616" s="8"/>
      <c r="AK2616" s="8"/>
      <c r="AL2616" s="8"/>
      <c r="AM2616" s="8"/>
      <c r="AN2616" s="8"/>
      <c r="AO2616" s="8"/>
      <c r="AS2616" s="5" t="str">
        <f t="shared" si="1200"/>
        <v>R10R&amp;D Tax Credit Deferral</v>
      </c>
    </row>
    <row r="2617" spans="1:45" hidden="1">
      <c r="A2617" s="4"/>
      <c r="B2617" s="66"/>
      <c r="C2617" s="651" t="s">
        <v>811</v>
      </c>
      <c r="D2617" s="700"/>
      <c r="E2617" s="5"/>
      <c r="F2617" s="5"/>
      <c r="G2617" s="5"/>
      <c r="I2617" s="5"/>
      <c r="J2617" s="4"/>
      <c r="K2617" s="5"/>
      <c r="M2617" s="5"/>
      <c r="N2617" s="5"/>
      <c r="O2617" s="5"/>
      <c r="Q2617" s="5"/>
      <c r="R2617" s="5"/>
      <c r="S2617" s="5"/>
      <c r="T2617" s="5"/>
      <c r="AC2617" s="8"/>
      <c r="AD2617" s="8"/>
      <c r="AE2617" s="8"/>
      <c r="AF2617" s="8"/>
      <c r="AG2617" s="8"/>
      <c r="AH2617" s="8"/>
      <c r="AI2617" s="8"/>
      <c r="AJ2617" s="8"/>
      <c r="AK2617" s="8"/>
      <c r="AL2617" s="8"/>
      <c r="AM2617" s="8"/>
      <c r="AN2617" s="8"/>
      <c r="AO2617" s="8"/>
      <c r="AS2617" s="5" t="str">
        <f t="shared" si="1200"/>
        <v>R10Retail Access Surcharge</v>
      </c>
    </row>
    <row r="2618" spans="1:45" hidden="1">
      <c r="A2618" s="4"/>
      <c r="B2618" s="66"/>
      <c r="C2618" s="651" t="s">
        <v>1114</v>
      </c>
      <c r="D2618" s="700"/>
      <c r="E2618" s="5"/>
      <c r="F2618" s="5"/>
      <c r="G2618" s="5"/>
      <c r="I2618" s="5"/>
      <c r="J2618" s="4"/>
      <c r="K2618" s="5"/>
      <c r="M2618" s="5"/>
      <c r="N2618" s="5"/>
      <c r="O2618" s="5"/>
      <c r="Q2618" s="5"/>
      <c r="R2618" s="5"/>
      <c r="S2618" s="5"/>
      <c r="T2618" s="5"/>
      <c r="AC2618" s="8"/>
      <c r="AD2618" s="8"/>
      <c r="AE2618" s="8"/>
      <c r="AF2618" s="8"/>
      <c r="AG2618" s="8"/>
      <c r="AH2618" s="8"/>
      <c r="AI2618" s="8"/>
      <c r="AJ2618" s="8"/>
      <c r="AK2618" s="8"/>
      <c r="AL2618" s="8"/>
      <c r="AM2618" s="8"/>
      <c r="AN2618" s="8"/>
      <c r="AO2618" s="8"/>
      <c r="AS2618" s="5" t="str">
        <f t="shared" si="1200"/>
        <v>R10Sarbanes-Oxley</v>
      </c>
    </row>
    <row r="2619" spans="1:45" hidden="1">
      <c r="A2619" s="4"/>
      <c r="B2619" s="66"/>
      <c r="C2619" s="651" t="s">
        <v>1117</v>
      </c>
      <c r="D2619" s="700"/>
      <c r="E2619" s="5"/>
      <c r="F2619" s="5"/>
      <c r="G2619" s="5"/>
      <c r="I2619" s="5"/>
      <c r="J2619" s="4"/>
      <c r="K2619" s="5"/>
      <c r="M2619" s="5"/>
      <c r="N2619" s="5"/>
      <c r="O2619" s="5"/>
      <c r="Q2619" s="5"/>
      <c r="R2619" s="5"/>
      <c r="S2619" s="5"/>
      <c r="T2619" s="5"/>
      <c r="AC2619" s="8"/>
      <c r="AD2619" s="8"/>
      <c r="AE2619" s="8"/>
      <c r="AF2619" s="8"/>
      <c r="AG2619" s="8"/>
      <c r="AH2619" s="8"/>
      <c r="AI2619" s="8"/>
      <c r="AJ2619" s="8"/>
      <c r="AK2619" s="8"/>
      <c r="AL2619" s="8"/>
      <c r="AM2619" s="8"/>
      <c r="AN2619" s="8"/>
      <c r="AO2619" s="8"/>
      <c r="AS2619" s="5" t="str">
        <f t="shared" si="1200"/>
        <v>R10Security Costs</v>
      </c>
    </row>
    <row r="2620" spans="1:45" hidden="1">
      <c r="A2620" s="4"/>
      <c r="B2620" s="66"/>
      <c r="C2620" s="651" t="s">
        <v>1155</v>
      </c>
      <c r="D2620" s="700"/>
      <c r="E2620" s="5"/>
      <c r="F2620" s="5"/>
      <c r="G2620" s="5"/>
      <c r="I2620" s="5"/>
      <c r="J2620" s="4"/>
      <c r="K2620" s="5"/>
      <c r="M2620" s="5"/>
      <c r="N2620" s="5"/>
      <c r="O2620" s="5"/>
      <c r="Q2620" s="5"/>
      <c r="R2620" s="5"/>
      <c r="S2620" s="5"/>
      <c r="T2620" s="5"/>
      <c r="AC2620" s="8"/>
      <c r="AD2620" s="8"/>
      <c r="AE2620" s="8"/>
      <c r="AF2620" s="8"/>
      <c r="AG2620" s="8"/>
      <c r="AH2620" s="8"/>
      <c r="AI2620" s="8"/>
      <c r="AJ2620" s="8"/>
      <c r="AK2620" s="8"/>
      <c r="AL2620" s="8"/>
      <c r="AM2620" s="8"/>
      <c r="AN2620" s="8"/>
      <c r="AO2620" s="8"/>
      <c r="AS2620" s="5" t="str">
        <f t="shared" si="1200"/>
        <v>R10SO2 Allowance</v>
      </c>
    </row>
    <row r="2621" spans="1:45" hidden="1">
      <c r="A2621" s="4"/>
      <c r="B2621" s="66"/>
      <c r="C2621" s="651" t="s">
        <v>1115</v>
      </c>
      <c r="D2621" s="700"/>
      <c r="E2621" s="5"/>
      <c r="F2621" s="5"/>
      <c r="G2621" s="5"/>
      <c r="I2621" s="5"/>
      <c r="J2621" s="4"/>
      <c r="K2621" s="5"/>
      <c r="M2621" s="5"/>
      <c r="N2621" s="5"/>
      <c r="O2621" s="5"/>
      <c r="Q2621" s="5"/>
      <c r="R2621" s="5"/>
      <c r="S2621" s="5"/>
      <c r="T2621" s="5"/>
      <c r="AC2621" s="8"/>
      <c r="AD2621" s="8"/>
      <c r="AE2621" s="8"/>
      <c r="AF2621" s="8"/>
      <c r="AG2621" s="8"/>
      <c r="AH2621" s="8"/>
      <c r="AI2621" s="8"/>
      <c r="AJ2621" s="8"/>
      <c r="AK2621" s="8"/>
      <c r="AL2621" s="8"/>
      <c r="AM2621" s="8"/>
      <c r="AN2621" s="8"/>
      <c r="AO2621" s="8"/>
      <c r="AS2621" s="5" t="str">
        <f t="shared" si="1200"/>
        <v>R10Stray Voltage</v>
      </c>
    </row>
    <row r="2622" spans="1:45" hidden="1">
      <c r="A2622" s="4"/>
      <c r="B2622" s="66"/>
      <c r="C2622" s="651" t="s">
        <v>1549</v>
      </c>
      <c r="D2622" s="700"/>
      <c r="E2622" s="5"/>
      <c r="F2622" s="5"/>
      <c r="G2622" s="5"/>
      <c r="I2622" s="5"/>
      <c r="J2622" s="4"/>
      <c r="K2622" s="5"/>
      <c r="M2622" s="5"/>
      <c r="N2622" s="5"/>
      <c r="O2622" s="5"/>
      <c r="Q2622" s="5"/>
      <c r="R2622" s="5"/>
      <c r="S2622" s="5"/>
      <c r="T2622" s="5"/>
      <c r="AC2622" s="8"/>
      <c r="AD2622" s="8"/>
      <c r="AE2622" s="8"/>
      <c r="AF2622" s="8"/>
      <c r="AG2622" s="8"/>
      <c r="AH2622" s="8"/>
      <c r="AI2622" s="8"/>
      <c r="AJ2622" s="8"/>
      <c r="AK2622" s="8"/>
      <c r="AL2622" s="8"/>
      <c r="AM2622" s="8"/>
      <c r="AN2622" s="8"/>
      <c r="AO2622" s="8"/>
      <c r="AS2622" s="5" t="str">
        <f t="shared" si="1200"/>
        <v>R10Unclaimed Funds</v>
      </c>
    </row>
    <row r="2623" spans="1:45" hidden="1">
      <c r="A2623" s="4"/>
      <c r="B2623" s="66"/>
      <c r="C2623" s="651" t="s">
        <v>822</v>
      </c>
      <c r="D2623" s="700"/>
      <c r="E2623" s="5"/>
      <c r="F2623" s="5"/>
      <c r="G2623" s="5"/>
      <c r="I2623" s="5"/>
      <c r="J2623" s="4"/>
      <c r="K2623" s="5"/>
      <c r="M2623" s="5"/>
      <c r="N2623" s="5"/>
      <c r="O2623" s="5"/>
      <c r="Q2623" s="5"/>
      <c r="R2623" s="5"/>
      <c r="S2623" s="5"/>
      <c r="T2623" s="5"/>
      <c r="AC2623" s="8"/>
      <c r="AD2623" s="8"/>
      <c r="AE2623" s="8"/>
      <c r="AF2623" s="8"/>
      <c r="AG2623" s="8"/>
      <c r="AH2623" s="8"/>
      <c r="AI2623" s="8"/>
      <c r="AJ2623" s="8"/>
      <c r="AK2623" s="8"/>
      <c r="AL2623" s="8"/>
      <c r="AM2623" s="8"/>
      <c r="AN2623" s="8"/>
      <c r="AO2623" s="8"/>
      <c r="AS2623" s="5" t="str">
        <f t="shared" si="1200"/>
        <v>R10Variable Rate Debt</v>
      </c>
    </row>
    <row r="2624" spans="1:45" hidden="1">
      <c r="A2624" s="4"/>
      <c r="B2624" s="66"/>
      <c r="C2624" s="651" t="s">
        <v>1168</v>
      </c>
      <c r="D2624" s="700"/>
      <c r="E2624" s="5"/>
      <c r="F2624" s="5"/>
      <c r="G2624" s="5"/>
      <c r="I2624" s="5"/>
      <c r="J2624" s="4"/>
      <c r="K2624" s="5"/>
      <c r="M2624" s="5"/>
      <c r="N2624" s="5"/>
      <c r="O2624" s="5"/>
      <c r="Q2624" s="5"/>
      <c r="R2624" s="5"/>
      <c r="S2624" s="5"/>
      <c r="T2624" s="5"/>
      <c r="AC2624" s="8"/>
      <c r="AD2624" s="8"/>
      <c r="AE2624" s="8"/>
      <c r="AF2624" s="8"/>
      <c r="AG2624" s="8"/>
      <c r="AH2624" s="8"/>
      <c r="AI2624" s="8"/>
      <c r="AJ2624" s="8"/>
      <c r="AK2624" s="8"/>
      <c r="AL2624" s="8"/>
      <c r="AM2624" s="8"/>
      <c r="AN2624" s="8"/>
      <c r="AO2624" s="8"/>
      <c r="AS2624" s="5" t="str">
        <f t="shared" si="1200"/>
        <v>R10Variable Rate Debt - Pre-2004</v>
      </c>
    </row>
    <row r="2625" spans="1:41" hidden="1">
      <c r="A2625" s="4"/>
      <c r="B2625" s="66"/>
      <c r="C2625" s="650"/>
      <c r="D2625" s="700"/>
      <c r="E2625" s="5"/>
      <c r="F2625" s="5"/>
      <c r="G2625" s="5"/>
      <c r="I2625" s="5"/>
      <c r="J2625" s="4"/>
      <c r="K2625" s="5"/>
      <c r="M2625" s="5"/>
      <c r="N2625" s="5"/>
      <c r="O2625" s="5"/>
      <c r="Q2625" s="5"/>
      <c r="R2625" s="5"/>
      <c r="S2625" s="5"/>
      <c r="T2625" s="5"/>
    </row>
    <row r="2626" spans="1:41" hidden="1">
      <c r="A2626" s="4"/>
      <c r="B2626" s="66"/>
      <c r="C2626" s="650" t="s">
        <v>2533</v>
      </c>
      <c r="D2626" s="700"/>
      <c r="E2626" s="5"/>
      <c r="F2626" s="5"/>
      <c r="G2626" s="5"/>
      <c r="I2626" s="5"/>
      <c r="J2626" s="4"/>
      <c r="K2626" s="5"/>
      <c r="M2626" s="5"/>
      <c r="N2626" s="5"/>
      <c r="O2626" s="5"/>
      <c r="Q2626" s="5"/>
      <c r="R2626" s="5"/>
      <c r="S2626" s="5"/>
      <c r="T2626" s="5"/>
      <c r="AC2626" s="42"/>
      <c r="AD2626" s="42"/>
      <c r="AE2626" s="42"/>
      <c r="AF2626" s="42"/>
      <c r="AG2626" s="42"/>
      <c r="AH2626" s="42"/>
      <c r="AI2626" s="42"/>
      <c r="AJ2626" s="42"/>
      <c r="AK2626" s="42"/>
      <c r="AL2626" s="42"/>
      <c r="AM2626" s="42"/>
      <c r="AN2626" s="42"/>
      <c r="AO2626" s="42"/>
    </row>
    <row r="2627" spans="1:41" hidden="1">
      <c r="A2627" s="4"/>
      <c r="B2627" s="66"/>
      <c r="C2627" s="650"/>
      <c r="D2627" s="700"/>
      <c r="E2627" s="5"/>
      <c r="F2627" s="5"/>
      <c r="G2627" s="5"/>
      <c r="I2627" s="5"/>
      <c r="J2627" s="4"/>
      <c r="K2627" s="5"/>
      <c r="M2627" s="5"/>
      <c r="N2627" s="5"/>
      <c r="O2627" s="5"/>
      <c r="Q2627" s="5"/>
      <c r="R2627" s="5"/>
      <c r="S2627" s="5"/>
      <c r="T2627" s="5"/>
    </row>
    <row r="2628" spans="1:41" hidden="1">
      <c r="A2628" s="4"/>
      <c r="B2628" s="68"/>
      <c r="C2628" s="650" t="s">
        <v>2475</v>
      </c>
      <c r="D2628" s="650" t="s">
        <v>2441</v>
      </c>
      <c r="E2628" s="5"/>
      <c r="F2628" s="5"/>
      <c r="G2628" s="5"/>
      <c r="I2628" s="5"/>
      <c r="J2628" s="4"/>
      <c r="K2628" s="5"/>
      <c r="M2628" s="5"/>
      <c r="N2628" s="5"/>
      <c r="O2628" s="5"/>
      <c r="Q2628" s="5"/>
      <c r="R2628" s="5"/>
      <c r="S2628" s="5"/>
      <c r="T2628" s="5"/>
      <c r="AC2628" s="8"/>
      <c r="AD2628" s="8"/>
      <c r="AE2628" s="8"/>
      <c r="AF2628" s="8"/>
      <c r="AG2628" s="8"/>
      <c r="AH2628" s="8"/>
      <c r="AI2628" s="8"/>
      <c r="AJ2628" s="8"/>
      <c r="AK2628" s="8"/>
      <c r="AL2628" s="8"/>
      <c r="AM2628" s="8"/>
      <c r="AN2628" s="8"/>
      <c r="AO2628" s="8"/>
    </row>
    <row r="2629" spans="1:41" hidden="1">
      <c r="A2629" s="4"/>
      <c r="B2629" s="58"/>
      <c r="C2629" s="650"/>
      <c r="D2629" s="647"/>
      <c r="E2629" s="5"/>
      <c r="F2629" s="5"/>
      <c r="G2629" s="5"/>
      <c r="I2629" s="5"/>
      <c r="J2629" s="4"/>
      <c r="K2629" s="5"/>
      <c r="M2629" s="5"/>
      <c r="N2629" s="5"/>
      <c r="O2629" s="5"/>
      <c r="Q2629" s="5"/>
      <c r="R2629" s="5"/>
      <c r="S2629" s="5"/>
      <c r="T2629" s="5"/>
    </row>
    <row r="2630" spans="1:41" hidden="1">
      <c r="A2630" s="4"/>
      <c r="B2630" s="58"/>
      <c r="C2630" s="650"/>
      <c r="D2630" s="647"/>
      <c r="E2630" s="5"/>
      <c r="F2630" s="5"/>
      <c r="G2630" s="5"/>
      <c r="I2630" s="5"/>
      <c r="J2630" s="4"/>
      <c r="K2630" s="5"/>
      <c r="M2630" s="5"/>
      <c r="N2630" s="5"/>
      <c r="O2630" s="5"/>
      <c r="Q2630" s="5"/>
      <c r="R2630" s="5"/>
      <c r="S2630" s="5"/>
      <c r="T2630" s="5"/>
    </row>
    <row r="2631" spans="1:41" hidden="1">
      <c r="A2631" s="4"/>
      <c r="B2631" s="58"/>
      <c r="C2631" s="650"/>
      <c r="D2631" s="647"/>
      <c r="E2631" s="5"/>
      <c r="F2631" s="5"/>
      <c r="G2631" s="5"/>
      <c r="I2631" s="5"/>
      <c r="J2631" s="4"/>
      <c r="K2631" s="5"/>
      <c r="M2631" s="5"/>
      <c r="N2631" s="5"/>
      <c r="O2631" s="5"/>
      <c r="Q2631" s="5"/>
      <c r="R2631" s="5"/>
      <c r="S2631" s="5"/>
      <c r="T2631" s="5"/>
    </row>
    <row r="2632" spans="1:41" hidden="1">
      <c r="A2632" s="4"/>
      <c r="B2632" s="58"/>
      <c r="C2632" s="650"/>
      <c r="D2632" s="647"/>
      <c r="E2632" s="5"/>
      <c r="F2632" s="5"/>
      <c r="G2632" s="5"/>
      <c r="I2632" s="5"/>
      <c r="J2632" s="4"/>
      <c r="K2632" s="5"/>
      <c r="M2632" s="5"/>
      <c r="N2632" s="5"/>
      <c r="O2632" s="5"/>
      <c r="Q2632" s="5"/>
      <c r="R2632" s="5"/>
      <c r="S2632" s="5"/>
      <c r="T2632" s="5"/>
    </row>
    <row r="2633" spans="1:41" hidden="1">
      <c r="A2633" s="4"/>
      <c r="B2633" s="55" t="s">
        <v>2542</v>
      </c>
      <c r="C2633" s="650"/>
      <c r="D2633" s="647"/>
      <c r="E2633" s="5"/>
      <c r="F2633" s="5"/>
      <c r="G2633" s="5"/>
      <c r="I2633" s="5"/>
      <c r="J2633" s="4"/>
      <c r="K2633" s="5"/>
      <c r="M2633" s="5"/>
      <c r="N2633" s="5"/>
      <c r="O2633" s="5"/>
      <c r="Q2633" s="5"/>
      <c r="R2633" s="5"/>
      <c r="S2633" s="5"/>
      <c r="T2633" s="5"/>
    </row>
    <row r="2634" spans="1:41" hidden="1">
      <c r="A2634" s="4"/>
      <c r="B2634" s="58"/>
      <c r="C2634" s="650" t="s">
        <v>746</v>
      </c>
      <c r="D2634" s="647"/>
      <c r="E2634" s="5"/>
      <c r="F2634" s="5"/>
      <c r="G2634" s="5"/>
      <c r="I2634" s="5"/>
      <c r="J2634" s="4"/>
      <c r="K2634" s="5"/>
      <c r="M2634" s="5"/>
      <c r="N2634" s="5"/>
      <c r="O2634" s="5"/>
      <c r="Q2634" s="5"/>
      <c r="R2634" s="5"/>
      <c r="S2634" s="5"/>
      <c r="T2634" s="5"/>
      <c r="AC2634" s="8"/>
      <c r="AD2634" s="8"/>
      <c r="AE2634" s="8"/>
      <c r="AF2634" s="8"/>
      <c r="AG2634" s="8"/>
      <c r="AH2634" s="8"/>
      <c r="AI2634" s="8"/>
      <c r="AJ2634" s="8"/>
      <c r="AK2634" s="8"/>
      <c r="AL2634" s="8"/>
      <c r="AM2634" s="8"/>
      <c r="AN2634" s="8"/>
      <c r="AO2634" s="8"/>
    </row>
    <row r="2635" spans="1:41" ht="15" hidden="1">
      <c r="A2635" s="4"/>
      <c r="B2635" s="70"/>
      <c r="C2635" s="650" t="s">
        <v>2464</v>
      </c>
      <c r="D2635" s="702"/>
      <c r="E2635" s="5"/>
      <c r="F2635" s="5"/>
      <c r="G2635" s="5"/>
      <c r="I2635" s="5"/>
      <c r="J2635" s="4"/>
      <c r="K2635" s="5"/>
      <c r="M2635" s="5"/>
      <c r="N2635" s="5"/>
      <c r="O2635" s="5"/>
      <c r="Q2635" s="5"/>
      <c r="R2635" s="5"/>
      <c r="S2635" s="5"/>
      <c r="T2635" s="5"/>
      <c r="AC2635" s="43"/>
      <c r="AD2635" s="43"/>
      <c r="AE2635" s="43"/>
      <c r="AF2635" s="43"/>
      <c r="AG2635" s="43"/>
      <c r="AH2635" s="43"/>
      <c r="AI2635" s="43"/>
      <c r="AJ2635" s="43"/>
      <c r="AK2635" s="43"/>
      <c r="AL2635" s="43"/>
      <c r="AM2635" s="43"/>
      <c r="AN2635" s="43"/>
      <c r="AO2635" s="43"/>
    </row>
    <row r="2636" spans="1:41" hidden="1">
      <c r="A2636" s="4"/>
      <c r="B2636" s="58"/>
      <c r="C2636" s="650"/>
      <c r="D2636" s="647"/>
      <c r="E2636" s="5"/>
      <c r="F2636" s="5"/>
      <c r="G2636" s="5"/>
      <c r="I2636" s="5"/>
      <c r="J2636" s="4"/>
      <c r="K2636" s="5"/>
      <c r="M2636" s="5"/>
      <c r="N2636" s="5"/>
      <c r="O2636" s="5"/>
      <c r="Q2636" s="5"/>
      <c r="R2636" s="5"/>
      <c r="S2636" s="5"/>
      <c r="T2636" s="5"/>
    </row>
    <row r="2637" spans="1:41" ht="15" hidden="1">
      <c r="A2637" s="4"/>
      <c r="B2637" s="66"/>
      <c r="C2637" s="650" t="s">
        <v>2543</v>
      </c>
      <c r="D2637" s="700"/>
      <c r="E2637" s="5"/>
      <c r="F2637" s="5"/>
      <c r="G2637" s="5"/>
      <c r="I2637" s="5"/>
      <c r="J2637" s="4"/>
      <c r="K2637" s="5"/>
      <c r="M2637" s="5"/>
      <c r="N2637" s="5"/>
      <c r="O2637" s="5"/>
      <c r="Q2637" s="5"/>
      <c r="R2637" s="5"/>
      <c r="S2637" s="5"/>
      <c r="T2637" s="5"/>
      <c r="AC2637" s="44"/>
      <c r="AD2637" s="44"/>
      <c r="AE2637" s="44"/>
      <c r="AF2637" s="44"/>
      <c r="AG2637" s="44"/>
      <c r="AH2637" s="44"/>
      <c r="AI2637" s="44"/>
      <c r="AJ2637" s="44"/>
      <c r="AK2637" s="44"/>
      <c r="AL2637" s="44"/>
      <c r="AM2637" s="44"/>
      <c r="AN2637" s="44"/>
      <c r="AO2637" s="44"/>
    </row>
    <row r="2638" spans="1:41" hidden="1">
      <c r="A2638" s="4"/>
      <c r="B2638" s="4"/>
      <c r="E2638" s="5"/>
      <c r="F2638" s="5"/>
      <c r="G2638" s="5"/>
      <c r="I2638" s="5"/>
      <c r="J2638" s="4"/>
      <c r="K2638" s="5"/>
      <c r="M2638" s="5"/>
      <c r="N2638" s="5"/>
      <c r="O2638" s="5"/>
      <c r="Q2638" s="5"/>
      <c r="R2638" s="5"/>
      <c r="S2638" s="5"/>
      <c r="T2638" s="5"/>
    </row>
    <row r="2639" spans="1:41" s="52" customFormat="1" hidden="1">
      <c r="A2639" s="51"/>
      <c r="B2639" s="51"/>
      <c r="C2639" s="644"/>
      <c r="D2639" s="693"/>
      <c r="H2639" s="670"/>
      <c r="J2639" s="51"/>
      <c r="L2639" s="644"/>
      <c r="P2639" s="693"/>
    </row>
    <row r="2640" spans="1:41" hidden="1">
      <c r="A2640" s="4"/>
      <c r="B2640" s="4"/>
      <c r="E2640" s="5"/>
      <c r="F2640" s="5"/>
      <c r="G2640" s="5"/>
      <c r="I2640" s="5"/>
      <c r="J2640" s="4"/>
      <c r="K2640" s="5"/>
      <c r="M2640" s="5"/>
      <c r="N2640" s="5"/>
      <c r="O2640" s="5"/>
      <c r="Q2640" s="5"/>
      <c r="R2640" s="5"/>
      <c r="S2640" s="5"/>
      <c r="T2640" s="5"/>
    </row>
    <row r="2641" spans="1:45" hidden="1">
      <c r="A2641" s="4"/>
      <c r="B2641" s="55" t="s">
        <v>2567</v>
      </c>
      <c r="C2641" s="650"/>
      <c r="E2641" s="5"/>
      <c r="F2641" s="5"/>
      <c r="G2641" s="5"/>
      <c r="I2641" s="5"/>
      <c r="J2641" s="4"/>
      <c r="K2641" s="5"/>
      <c r="M2641" s="5"/>
      <c r="N2641" s="5"/>
      <c r="O2641" s="5"/>
      <c r="Q2641" s="5"/>
      <c r="R2641" s="5"/>
      <c r="S2641" s="5"/>
      <c r="T2641" s="5"/>
    </row>
    <row r="2642" spans="1:45" hidden="1">
      <c r="A2642" s="4"/>
      <c r="B2642" s="66"/>
      <c r="C2642" s="651"/>
      <c r="E2642" s="5"/>
      <c r="F2642" s="5"/>
      <c r="G2642" s="5"/>
      <c r="I2642" s="5"/>
      <c r="J2642" s="4"/>
      <c r="K2642" s="5"/>
      <c r="M2642" s="5"/>
      <c r="N2642" s="5"/>
      <c r="O2642" s="5"/>
      <c r="Q2642" s="5"/>
      <c r="R2642" s="5"/>
      <c r="S2642" s="5"/>
      <c r="T2642" s="5"/>
    </row>
    <row r="2643" spans="1:45" hidden="1">
      <c r="A2643" s="4"/>
      <c r="B2643" s="66"/>
      <c r="C2643" s="651" t="s">
        <v>2009</v>
      </c>
      <c r="E2643" s="5"/>
      <c r="F2643" s="5"/>
      <c r="G2643" s="5"/>
      <c r="I2643" s="5"/>
      <c r="J2643" s="4"/>
      <c r="K2643" s="5"/>
      <c r="M2643" s="5"/>
      <c r="N2643" s="5"/>
      <c r="O2643" s="5"/>
      <c r="Q2643" s="5"/>
      <c r="R2643" s="5"/>
      <c r="S2643" s="5"/>
      <c r="T2643" s="5"/>
      <c r="AC2643" s="8"/>
      <c r="AD2643" s="8"/>
      <c r="AE2643" s="8"/>
      <c r="AF2643" s="8"/>
      <c r="AG2643" s="8"/>
      <c r="AH2643" s="8"/>
      <c r="AI2643" s="8"/>
      <c r="AJ2643" s="8"/>
      <c r="AK2643" s="8"/>
      <c r="AL2643" s="8"/>
      <c r="AM2643" s="8"/>
      <c r="AN2643" s="8"/>
      <c r="AO2643" s="8"/>
      <c r="AS2643" s="5" t="str">
        <f>CONCATENATE($D$2747,C2643)</f>
        <v>R111998 Wind Storm</v>
      </c>
    </row>
    <row r="2644" spans="1:45" hidden="1">
      <c r="A2644" s="4"/>
      <c r="B2644" s="66"/>
      <c r="C2644" s="651" t="s">
        <v>1893</v>
      </c>
      <c r="E2644" s="5"/>
      <c r="F2644" s="5"/>
      <c r="G2644" s="5"/>
      <c r="I2644" s="5"/>
      <c r="J2644" s="4"/>
      <c r="K2644" s="5"/>
      <c r="M2644" s="5"/>
      <c r="N2644" s="5"/>
      <c r="O2644" s="5"/>
      <c r="Q2644" s="5"/>
      <c r="R2644" s="5"/>
      <c r="S2644" s="5"/>
      <c r="T2644" s="5"/>
      <c r="AC2644" s="8"/>
      <c r="AD2644" s="8"/>
      <c r="AE2644" s="8"/>
      <c r="AF2644" s="8"/>
      <c r="AG2644" s="8"/>
      <c r="AH2644" s="8"/>
      <c r="AI2644" s="8"/>
      <c r="AJ2644" s="8"/>
      <c r="AK2644" s="8"/>
      <c r="AL2644" s="8"/>
      <c r="AM2644" s="8"/>
      <c r="AN2644" s="8"/>
      <c r="AO2644" s="8"/>
      <c r="AS2644" s="5" t="str">
        <f t="shared" ref="AS2644:AS2707" si="1201">CONCATENATE($D$2747,C2644)</f>
        <v>R112003 Blackout</v>
      </c>
    </row>
    <row r="2645" spans="1:45" hidden="1">
      <c r="A2645" s="4"/>
      <c r="B2645" s="4"/>
      <c r="C2645" s="651" t="s">
        <v>2019</v>
      </c>
      <c r="E2645" s="5"/>
      <c r="F2645" s="5"/>
      <c r="G2645" s="5"/>
      <c r="I2645" s="5"/>
      <c r="J2645" s="4"/>
      <c r="K2645" s="5"/>
      <c r="M2645" s="5"/>
      <c r="N2645" s="5"/>
      <c r="O2645" s="5"/>
      <c r="Q2645" s="5"/>
      <c r="R2645" s="5"/>
      <c r="S2645" s="5"/>
      <c r="T2645" s="5"/>
      <c r="AC2645" s="8"/>
      <c r="AD2645" s="8"/>
      <c r="AE2645" s="8"/>
      <c r="AF2645" s="8"/>
      <c r="AG2645" s="8"/>
      <c r="AH2645" s="8"/>
      <c r="AI2645" s="8"/>
      <c r="AJ2645" s="8"/>
      <c r="AK2645" s="8"/>
      <c r="AL2645" s="8"/>
      <c r="AM2645" s="8"/>
      <c r="AN2645" s="8"/>
      <c r="AO2645" s="8"/>
      <c r="AS2645" s="5" t="str">
        <f t="shared" si="1201"/>
        <v>R1198 - '01 IRS Audit</v>
      </c>
    </row>
    <row r="2646" spans="1:45" hidden="1">
      <c r="A2646" s="4"/>
      <c r="B2646" s="4"/>
      <c r="C2646" s="651" t="s">
        <v>2065</v>
      </c>
      <c r="E2646" s="5"/>
      <c r="F2646" s="5"/>
      <c r="G2646" s="5"/>
      <c r="I2646" s="5"/>
      <c r="J2646" s="4"/>
      <c r="K2646" s="5"/>
      <c r="M2646" s="5"/>
      <c r="N2646" s="5"/>
      <c r="O2646" s="5"/>
      <c r="Q2646" s="5"/>
      <c r="R2646" s="5"/>
      <c r="S2646" s="5"/>
      <c r="T2646" s="5"/>
      <c r="AC2646" s="8"/>
      <c r="AD2646" s="8"/>
      <c r="AE2646" s="8"/>
      <c r="AF2646" s="8"/>
      <c r="AG2646" s="8"/>
      <c r="AH2646" s="8"/>
      <c r="AI2646" s="8"/>
      <c r="AJ2646" s="8"/>
      <c r="AK2646" s="8"/>
      <c r="AL2646" s="8"/>
      <c r="AM2646" s="8"/>
      <c r="AN2646" s="8"/>
      <c r="AO2646" s="8"/>
      <c r="AS2646" s="5" t="str">
        <f t="shared" si="1201"/>
        <v>R11Accelerated Depreciation</v>
      </c>
    </row>
    <row r="2647" spans="1:45" hidden="1">
      <c r="A2647" s="4"/>
      <c r="B2647" s="4"/>
      <c r="C2647" s="651" t="s">
        <v>1140</v>
      </c>
      <c r="E2647" s="5"/>
      <c r="F2647" s="5"/>
      <c r="G2647" s="5"/>
      <c r="I2647" s="5"/>
      <c r="J2647" s="4"/>
      <c r="K2647" s="5"/>
      <c r="M2647" s="5"/>
      <c r="N2647" s="5"/>
      <c r="O2647" s="5"/>
      <c r="Q2647" s="5"/>
      <c r="R2647" s="5"/>
      <c r="S2647" s="5"/>
      <c r="T2647" s="5"/>
      <c r="AC2647" s="8"/>
      <c r="AD2647" s="8"/>
      <c r="AE2647" s="8"/>
      <c r="AF2647" s="8"/>
      <c r="AG2647" s="8"/>
      <c r="AH2647" s="8"/>
      <c r="AI2647" s="8"/>
      <c r="AJ2647" s="8"/>
      <c r="AK2647" s="8"/>
      <c r="AL2647" s="8"/>
      <c r="AM2647" s="8"/>
      <c r="AN2647" s="8"/>
      <c r="AO2647" s="8"/>
      <c r="AS2647" s="5" t="str">
        <f t="shared" si="1201"/>
        <v>R11Allegany</v>
      </c>
    </row>
    <row r="2648" spans="1:45" hidden="1">
      <c r="A2648" s="4"/>
      <c r="B2648" s="4"/>
      <c r="C2648" s="651" t="s">
        <v>1829</v>
      </c>
      <c r="E2648" s="5"/>
      <c r="F2648" s="5"/>
      <c r="G2648" s="5"/>
      <c r="I2648" s="5"/>
      <c r="J2648" s="4"/>
      <c r="K2648" s="5"/>
      <c r="M2648" s="5"/>
      <c r="N2648" s="5"/>
      <c r="O2648" s="5"/>
      <c r="Q2648" s="5"/>
      <c r="R2648" s="5"/>
      <c r="S2648" s="5"/>
      <c r="T2648" s="5"/>
      <c r="AC2648" s="8"/>
      <c r="AD2648" s="8"/>
      <c r="AE2648" s="8"/>
      <c r="AF2648" s="8"/>
      <c r="AG2648" s="8"/>
      <c r="AH2648" s="8"/>
      <c r="AI2648" s="8"/>
      <c r="AJ2648" s="8"/>
      <c r="AK2648" s="8"/>
      <c r="AL2648" s="8"/>
      <c r="AM2648" s="8"/>
      <c r="AN2648" s="8"/>
      <c r="AO2648" s="8"/>
      <c r="AS2648" s="5" t="str">
        <f t="shared" si="1201"/>
        <v>R11Bad Debts</v>
      </c>
    </row>
    <row r="2649" spans="1:45" hidden="1">
      <c r="A2649" s="4"/>
      <c r="B2649" s="4"/>
      <c r="C2649" s="651" t="s">
        <v>1890</v>
      </c>
      <c r="E2649" s="5"/>
      <c r="F2649" s="5"/>
      <c r="G2649" s="5"/>
      <c r="I2649" s="5"/>
      <c r="J2649" s="4"/>
      <c r="K2649" s="5"/>
      <c r="M2649" s="5"/>
      <c r="N2649" s="5"/>
      <c r="O2649" s="5"/>
      <c r="Q2649" s="5"/>
      <c r="R2649" s="5"/>
      <c r="S2649" s="5"/>
      <c r="T2649" s="5"/>
      <c r="AC2649" s="8"/>
      <c r="AD2649" s="8"/>
      <c r="AE2649" s="8"/>
      <c r="AF2649" s="8"/>
      <c r="AG2649" s="8"/>
      <c r="AH2649" s="8"/>
      <c r="AI2649" s="8"/>
      <c r="AJ2649" s="8"/>
      <c r="AK2649" s="8"/>
      <c r="AL2649" s="8"/>
      <c r="AM2649" s="8"/>
      <c r="AN2649" s="8"/>
      <c r="AO2649" s="8"/>
      <c r="AS2649" s="5" t="str">
        <f t="shared" si="1201"/>
        <v>R11Beebee</v>
      </c>
    </row>
    <row r="2650" spans="1:45" hidden="1">
      <c r="A2650" s="4"/>
      <c r="B2650" s="4"/>
      <c r="C2650" s="651" t="s">
        <v>819</v>
      </c>
      <c r="E2650" s="5"/>
      <c r="F2650" s="5"/>
      <c r="G2650" s="5"/>
      <c r="I2650" s="5"/>
      <c r="J2650" s="4"/>
      <c r="K2650" s="5"/>
      <c r="M2650" s="5"/>
      <c r="N2650" s="5"/>
      <c r="O2650" s="5"/>
      <c r="Q2650" s="5"/>
      <c r="R2650" s="5"/>
      <c r="S2650" s="5"/>
      <c r="T2650" s="5"/>
      <c r="AC2650" s="8"/>
      <c r="AD2650" s="8"/>
      <c r="AE2650" s="8"/>
      <c r="AF2650" s="8"/>
      <c r="AG2650" s="8"/>
      <c r="AH2650" s="8"/>
      <c r="AI2650" s="8"/>
      <c r="AJ2650" s="8"/>
      <c r="AK2650" s="8"/>
      <c r="AL2650" s="8"/>
      <c r="AM2650" s="8"/>
      <c r="AN2650" s="8"/>
      <c r="AO2650" s="8"/>
      <c r="AS2650" s="5" t="str">
        <f t="shared" si="1201"/>
        <v>R11Cap Ex Deferral</v>
      </c>
    </row>
    <row r="2651" spans="1:45" hidden="1">
      <c r="A2651" s="4"/>
      <c r="B2651" s="4"/>
      <c r="C2651" s="651" t="s">
        <v>2083</v>
      </c>
      <c r="E2651" s="5"/>
      <c r="F2651" s="5"/>
      <c r="G2651" s="5"/>
      <c r="I2651" s="5"/>
      <c r="J2651" s="4"/>
      <c r="K2651" s="5"/>
      <c r="M2651" s="5"/>
      <c r="N2651" s="5"/>
      <c r="O2651" s="5"/>
      <c r="Q2651" s="5"/>
      <c r="R2651" s="5"/>
      <c r="S2651" s="5"/>
      <c r="T2651" s="5"/>
      <c r="AC2651" s="8"/>
      <c r="AD2651" s="8"/>
      <c r="AE2651" s="8"/>
      <c r="AF2651" s="8"/>
      <c r="AG2651" s="8"/>
      <c r="AH2651" s="8"/>
      <c r="AI2651" s="8"/>
      <c r="AJ2651" s="8"/>
      <c r="AK2651" s="8"/>
      <c r="AL2651" s="8"/>
      <c r="AM2651" s="8"/>
      <c r="AN2651" s="8"/>
      <c r="AO2651" s="8"/>
      <c r="AS2651" s="5" t="str">
        <f t="shared" si="1201"/>
        <v>R11Capitalized Interest</v>
      </c>
    </row>
    <row r="2652" spans="1:45" hidden="1">
      <c r="A2652" s="4"/>
      <c r="B2652" s="4"/>
      <c r="C2652" s="651" t="s">
        <v>2141</v>
      </c>
      <c r="E2652" s="5"/>
      <c r="F2652" s="5"/>
      <c r="G2652" s="5"/>
      <c r="I2652" s="5"/>
      <c r="J2652" s="4"/>
      <c r="K2652" s="5"/>
      <c r="M2652" s="5"/>
      <c r="N2652" s="5"/>
      <c r="O2652" s="5"/>
      <c r="Q2652" s="5"/>
      <c r="R2652" s="5"/>
      <c r="S2652" s="5"/>
      <c r="T2652" s="5"/>
      <c r="AC2652" s="8"/>
      <c r="AD2652" s="8"/>
      <c r="AE2652" s="8"/>
      <c r="AF2652" s="8"/>
      <c r="AG2652" s="8"/>
      <c r="AH2652" s="8"/>
      <c r="AI2652" s="8"/>
      <c r="AJ2652" s="8"/>
      <c r="AK2652" s="8"/>
      <c r="AL2652" s="8"/>
      <c r="AM2652" s="8"/>
      <c r="AN2652" s="8"/>
      <c r="AO2652" s="8"/>
      <c r="AS2652" s="5" t="str">
        <f t="shared" si="1201"/>
        <v>R11Casualty Loss</v>
      </c>
    </row>
    <row r="2653" spans="1:45" hidden="1">
      <c r="A2653" s="4"/>
      <c r="B2653" s="4"/>
      <c r="C2653" s="651" t="s">
        <v>2147</v>
      </c>
      <c r="E2653" s="5"/>
      <c r="F2653" s="5"/>
      <c r="G2653" s="5"/>
      <c r="I2653" s="5"/>
      <c r="J2653" s="4"/>
      <c r="K2653" s="5"/>
      <c r="M2653" s="5"/>
      <c r="N2653" s="5"/>
      <c r="O2653" s="5"/>
      <c r="Q2653" s="5"/>
      <c r="R2653" s="5"/>
      <c r="S2653" s="5"/>
      <c r="T2653" s="5"/>
      <c r="AC2653" s="8"/>
      <c r="AD2653" s="8"/>
      <c r="AE2653" s="8"/>
      <c r="AF2653" s="8"/>
      <c r="AG2653" s="8"/>
      <c r="AH2653" s="8"/>
      <c r="AI2653" s="8"/>
      <c r="AJ2653" s="8"/>
      <c r="AK2653" s="8"/>
      <c r="AL2653" s="8"/>
      <c r="AM2653" s="8"/>
      <c r="AN2653" s="8"/>
      <c r="AO2653" s="8"/>
      <c r="AS2653" s="5" t="str">
        <f t="shared" si="1201"/>
        <v>R11Change of Control</v>
      </c>
    </row>
    <row r="2654" spans="1:45" hidden="1">
      <c r="A2654" s="4"/>
      <c r="B2654" s="4"/>
      <c r="C2654" s="651" t="s">
        <v>1632</v>
      </c>
      <c r="E2654" s="5"/>
      <c r="F2654" s="5"/>
      <c r="G2654" s="5"/>
      <c r="I2654" s="5"/>
      <c r="J2654" s="4"/>
      <c r="K2654" s="5"/>
      <c r="M2654" s="5"/>
      <c r="N2654" s="5"/>
      <c r="O2654" s="5"/>
      <c r="Q2654" s="5"/>
      <c r="R2654" s="5"/>
      <c r="S2654" s="5"/>
      <c r="T2654" s="5"/>
      <c r="AC2654" s="8"/>
      <c r="AD2654" s="8"/>
      <c r="AE2654" s="8"/>
      <c r="AF2654" s="8"/>
      <c r="AG2654" s="8"/>
      <c r="AH2654" s="8"/>
      <c r="AI2654" s="8"/>
      <c r="AJ2654" s="8"/>
      <c r="AK2654" s="8"/>
      <c r="AL2654" s="8"/>
      <c r="AM2654" s="8"/>
      <c r="AN2654" s="8"/>
      <c r="AO2654" s="8"/>
      <c r="AS2654" s="5" t="str">
        <f t="shared" si="1201"/>
        <v>R11CIAC</v>
      </c>
    </row>
    <row r="2655" spans="1:45" hidden="1">
      <c r="A2655" s="4"/>
      <c r="B2655" s="4"/>
      <c r="C2655" s="651" t="s">
        <v>1636</v>
      </c>
      <c r="E2655" s="5"/>
      <c r="F2655" s="5"/>
      <c r="G2655" s="5"/>
      <c r="I2655" s="5"/>
      <c r="J2655" s="4"/>
      <c r="K2655" s="5"/>
      <c r="M2655" s="5"/>
      <c r="N2655" s="5"/>
      <c r="O2655" s="5"/>
      <c r="Q2655" s="5"/>
      <c r="R2655" s="5"/>
      <c r="S2655" s="5"/>
      <c r="T2655" s="5"/>
      <c r="AC2655" s="8"/>
      <c r="AD2655" s="8"/>
      <c r="AE2655" s="8"/>
      <c r="AF2655" s="8"/>
      <c r="AG2655" s="8"/>
      <c r="AH2655" s="8"/>
      <c r="AI2655" s="8"/>
      <c r="AJ2655" s="8"/>
      <c r="AK2655" s="8"/>
      <c r="AL2655" s="8"/>
      <c r="AM2655" s="8"/>
      <c r="AN2655" s="8"/>
      <c r="AO2655" s="8"/>
      <c r="AS2655" s="5" t="str">
        <f t="shared" si="1201"/>
        <v>R11Claims Reserve</v>
      </c>
    </row>
    <row r="2656" spans="1:45" hidden="1">
      <c r="A2656" s="4"/>
      <c r="B2656" s="4"/>
      <c r="C2656" s="651" t="s">
        <v>1784</v>
      </c>
      <c r="E2656" s="5"/>
      <c r="F2656" s="5"/>
      <c r="G2656" s="5"/>
      <c r="I2656" s="5"/>
      <c r="J2656" s="4"/>
      <c r="K2656" s="5"/>
      <c r="M2656" s="5"/>
      <c r="N2656" s="5"/>
      <c r="O2656" s="5"/>
      <c r="Q2656" s="5"/>
      <c r="R2656" s="5"/>
      <c r="S2656" s="5"/>
      <c r="T2656" s="5"/>
      <c r="AC2656" s="8"/>
      <c r="AD2656" s="8"/>
      <c r="AE2656" s="8"/>
      <c r="AF2656" s="8"/>
      <c r="AG2656" s="8"/>
      <c r="AH2656" s="8"/>
      <c r="AI2656" s="8"/>
      <c r="AJ2656" s="8"/>
      <c r="AK2656" s="8"/>
      <c r="AL2656" s="8"/>
      <c r="AM2656" s="8"/>
      <c r="AN2656" s="8"/>
      <c r="AO2656" s="8"/>
      <c r="AS2656" s="5" t="str">
        <f t="shared" si="1201"/>
        <v>R11Clean Air Act Allowance</v>
      </c>
    </row>
    <row r="2657" spans="1:45" hidden="1">
      <c r="A2657" s="4"/>
      <c r="B2657" s="4"/>
      <c r="C2657" s="651" t="s">
        <v>1901</v>
      </c>
      <c r="E2657" s="5"/>
      <c r="F2657" s="5"/>
      <c r="G2657" s="5"/>
      <c r="I2657" s="5"/>
      <c r="J2657" s="4"/>
      <c r="K2657" s="5"/>
      <c r="M2657" s="5"/>
      <c r="N2657" s="5"/>
      <c r="O2657" s="5"/>
      <c r="Q2657" s="5"/>
      <c r="R2657" s="5"/>
      <c r="S2657" s="5"/>
      <c r="T2657" s="5"/>
      <c r="AC2657" s="8"/>
      <c r="AD2657" s="8"/>
      <c r="AE2657" s="8"/>
      <c r="AF2657" s="8"/>
      <c r="AG2657" s="8"/>
      <c r="AH2657" s="8"/>
      <c r="AI2657" s="8"/>
      <c r="AJ2657" s="8"/>
      <c r="AK2657" s="8"/>
      <c r="AL2657" s="8"/>
      <c r="AM2657" s="8"/>
      <c r="AN2657" s="8"/>
      <c r="AO2657" s="8"/>
      <c r="AS2657" s="5" t="str">
        <f t="shared" si="1201"/>
        <v>R11COB II Deferral</v>
      </c>
    </row>
    <row r="2658" spans="1:45" hidden="1">
      <c r="A2658" s="4"/>
      <c r="B2658" s="4"/>
      <c r="C2658" s="651" t="s">
        <v>1640</v>
      </c>
      <c r="E2658" s="5"/>
      <c r="F2658" s="5"/>
      <c r="G2658" s="5"/>
      <c r="I2658" s="5"/>
      <c r="J2658" s="4"/>
      <c r="K2658" s="5"/>
      <c r="M2658" s="5"/>
      <c r="N2658" s="5"/>
      <c r="O2658" s="5"/>
      <c r="Q2658" s="5"/>
      <c r="R2658" s="5"/>
      <c r="S2658" s="5"/>
      <c r="T2658" s="5"/>
      <c r="AC2658" s="8"/>
      <c r="AD2658" s="8"/>
      <c r="AE2658" s="8"/>
      <c r="AF2658" s="8"/>
      <c r="AG2658" s="8"/>
      <c r="AH2658" s="8"/>
      <c r="AI2658" s="8"/>
      <c r="AJ2658" s="8"/>
      <c r="AK2658" s="8"/>
      <c r="AL2658" s="8"/>
      <c r="AM2658" s="8"/>
      <c r="AN2658" s="8"/>
      <c r="AO2658" s="8"/>
      <c r="AS2658" s="5" t="str">
        <f t="shared" si="1201"/>
        <v xml:space="preserve">R11Contractor Settlement </v>
      </c>
    </row>
    <row r="2659" spans="1:45" hidden="1">
      <c r="A2659" s="4"/>
      <c r="B2659" s="4"/>
      <c r="C2659" s="651" t="s">
        <v>2079</v>
      </c>
      <c r="E2659" s="5"/>
      <c r="F2659" s="5"/>
      <c r="G2659" s="5"/>
      <c r="I2659" s="5"/>
      <c r="J2659" s="4"/>
      <c r="K2659" s="5"/>
      <c r="M2659" s="5"/>
      <c r="N2659" s="5"/>
      <c r="O2659" s="5"/>
      <c r="Q2659" s="5"/>
      <c r="R2659" s="5"/>
      <c r="S2659" s="5"/>
      <c r="T2659" s="5"/>
      <c r="AC2659" s="8"/>
      <c r="AD2659" s="8"/>
      <c r="AE2659" s="8"/>
      <c r="AF2659" s="8"/>
      <c r="AG2659" s="8"/>
      <c r="AH2659" s="8"/>
      <c r="AI2659" s="8"/>
      <c r="AJ2659" s="8"/>
      <c r="AK2659" s="8"/>
      <c r="AL2659" s="8"/>
      <c r="AM2659" s="8"/>
      <c r="AN2659" s="8"/>
      <c r="AO2659" s="8"/>
      <c r="AS2659" s="5" t="str">
        <f t="shared" si="1201"/>
        <v>R11Cost of Removal</v>
      </c>
    </row>
    <row r="2660" spans="1:45" hidden="1">
      <c r="A2660" s="4"/>
      <c r="B2660" s="4"/>
      <c r="C2660" s="651" t="s">
        <v>820</v>
      </c>
      <c r="E2660" s="5"/>
      <c r="F2660" s="5"/>
      <c r="G2660" s="5"/>
      <c r="I2660" s="5"/>
      <c r="J2660" s="4"/>
      <c r="K2660" s="5"/>
      <c r="M2660" s="5"/>
      <c r="N2660" s="5"/>
      <c r="O2660" s="5"/>
      <c r="Q2660" s="5"/>
      <c r="R2660" s="5"/>
      <c r="S2660" s="5"/>
      <c r="T2660" s="5"/>
      <c r="AC2660" s="8"/>
      <c r="AD2660" s="8"/>
      <c r="AE2660" s="8"/>
      <c r="AF2660" s="8"/>
      <c r="AG2660" s="8"/>
      <c r="AH2660" s="8"/>
      <c r="AI2660" s="8"/>
      <c r="AJ2660" s="8"/>
      <c r="AK2660" s="8"/>
      <c r="AL2660" s="8"/>
      <c r="AM2660" s="8"/>
      <c r="AN2660" s="8"/>
      <c r="AO2660" s="8"/>
      <c r="AS2660" s="5" t="str">
        <f t="shared" si="1201"/>
        <v>R11CTA Efficiency</v>
      </c>
    </row>
    <row r="2661" spans="1:45" hidden="1">
      <c r="A2661" s="4"/>
      <c r="B2661" s="4"/>
      <c r="C2661" s="651" t="s">
        <v>1883</v>
      </c>
      <c r="E2661" s="5"/>
      <c r="F2661" s="5"/>
      <c r="G2661" s="5"/>
      <c r="I2661" s="5"/>
      <c r="J2661" s="4"/>
      <c r="K2661" s="5"/>
      <c r="M2661" s="5"/>
      <c r="N2661" s="5"/>
      <c r="O2661" s="5"/>
      <c r="Q2661" s="5"/>
      <c r="R2661" s="5"/>
      <c r="S2661" s="5"/>
      <c r="T2661" s="5"/>
      <c r="AC2661" s="8"/>
      <c r="AD2661" s="8"/>
      <c r="AE2661" s="8"/>
      <c r="AF2661" s="8"/>
      <c r="AG2661" s="8"/>
      <c r="AH2661" s="8"/>
      <c r="AI2661" s="8"/>
      <c r="AJ2661" s="8"/>
      <c r="AK2661" s="8"/>
      <c r="AL2661" s="8"/>
      <c r="AM2661" s="8"/>
      <c r="AN2661" s="8"/>
      <c r="AO2661" s="8"/>
      <c r="AS2661" s="5" t="str">
        <f t="shared" si="1201"/>
        <v>R11D &amp; O Insurance</v>
      </c>
    </row>
    <row r="2662" spans="1:45" hidden="1">
      <c r="A2662" s="4"/>
      <c r="B2662" s="4"/>
      <c r="C2662" s="651" t="s">
        <v>1644</v>
      </c>
      <c r="E2662" s="5"/>
      <c r="F2662" s="5"/>
      <c r="G2662" s="5"/>
      <c r="I2662" s="5"/>
      <c r="J2662" s="4"/>
      <c r="K2662" s="5"/>
      <c r="M2662" s="5"/>
      <c r="N2662" s="5"/>
      <c r="O2662" s="5"/>
      <c r="Q2662" s="5"/>
      <c r="R2662" s="5"/>
      <c r="S2662" s="5"/>
      <c r="T2662" s="5"/>
      <c r="AC2662" s="8"/>
      <c r="AD2662" s="8"/>
      <c r="AE2662" s="8"/>
      <c r="AF2662" s="8"/>
      <c r="AG2662" s="8"/>
      <c r="AH2662" s="8"/>
      <c r="AI2662" s="8"/>
      <c r="AJ2662" s="8"/>
      <c r="AK2662" s="8"/>
      <c r="AL2662" s="8"/>
      <c r="AM2662" s="8"/>
      <c r="AN2662" s="8"/>
      <c r="AO2662" s="8"/>
      <c r="AS2662" s="5" t="str">
        <f t="shared" si="1201"/>
        <v>R11Decommissioning Income</v>
      </c>
    </row>
    <row r="2663" spans="1:45" hidden="1">
      <c r="A2663" s="4"/>
      <c r="B2663" s="4"/>
      <c r="C2663" s="651" t="s">
        <v>1647</v>
      </c>
      <c r="E2663" s="5"/>
      <c r="F2663" s="5"/>
      <c r="G2663" s="5"/>
      <c r="I2663" s="5"/>
      <c r="J2663" s="4"/>
      <c r="K2663" s="5"/>
      <c r="M2663" s="5"/>
      <c r="N2663" s="5"/>
      <c r="O2663" s="5"/>
      <c r="Q2663" s="5"/>
      <c r="R2663" s="5"/>
      <c r="S2663" s="5"/>
      <c r="T2663" s="5"/>
      <c r="AC2663" s="8"/>
      <c r="AD2663" s="8"/>
      <c r="AE2663" s="8"/>
      <c r="AF2663" s="8"/>
      <c r="AG2663" s="8"/>
      <c r="AH2663" s="8"/>
      <c r="AI2663" s="8"/>
      <c r="AJ2663" s="8"/>
      <c r="AK2663" s="8"/>
      <c r="AL2663" s="8"/>
      <c r="AM2663" s="8"/>
      <c r="AN2663" s="8"/>
      <c r="AO2663" s="8"/>
      <c r="AS2663" s="5" t="str">
        <f t="shared" si="1201"/>
        <v>R11Deferred Comp</v>
      </c>
    </row>
    <row r="2664" spans="1:45" hidden="1">
      <c r="A2664" s="4"/>
      <c r="B2664" s="4"/>
      <c r="C2664" s="651" t="s">
        <v>2155</v>
      </c>
      <c r="E2664" s="5"/>
      <c r="F2664" s="5"/>
      <c r="G2664" s="5"/>
      <c r="I2664" s="5"/>
      <c r="J2664" s="4"/>
      <c r="K2664" s="5"/>
      <c r="M2664" s="5"/>
      <c r="N2664" s="5"/>
      <c r="O2664" s="5"/>
      <c r="Q2664" s="5"/>
      <c r="R2664" s="5"/>
      <c r="S2664" s="5"/>
      <c r="T2664" s="5"/>
      <c r="AC2664" s="8"/>
      <c r="AD2664" s="8"/>
      <c r="AE2664" s="8"/>
      <c r="AF2664" s="8"/>
      <c r="AG2664" s="8"/>
      <c r="AH2664" s="8"/>
      <c r="AI2664" s="8"/>
      <c r="AJ2664" s="8"/>
      <c r="AK2664" s="8"/>
      <c r="AL2664" s="8"/>
      <c r="AM2664" s="8"/>
      <c r="AN2664" s="8"/>
      <c r="AO2664" s="8"/>
      <c r="AS2664" s="5" t="str">
        <f t="shared" si="1201"/>
        <v>R11Deferred Competition Implementation</v>
      </c>
    </row>
    <row r="2665" spans="1:45" hidden="1">
      <c r="A2665" s="4"/>
      <c r="B2665" s="4"/>
      <c r="C2665" s="651" t="s">
        <v>1174</v>
      </c>
      <c r="E2665" s="5"/>
      <c r="F2665" s="5"/>
      <c r="G2665" s="5"/>
      <c r="I2665" s="5"/>
      <c r="J2665" s="4"/>
      <c r="K2665" s="5"/>
      <c r="M2665" s="5"/>
      <c r="N2665" s="5"/>
      <c r="O2665" s="5"/>
      <c r="Q2665" s="5"/>
      <c r="R2665" s="5"/>
      <c r="S2665" s="5"/>
      <c r="T2665" s="5"/>
      <c r="AC2665" s="8"/>
      <c r="AD2665" s="8"/>
      <c r="AE2665" s="8"/>
      <c r="AF2665" s="8"/>
      <c r="AG2665" s="8"/>
      <c r="AH2665" s="8"/>
      <c r="AI2665" s="8"/>
      <c r="AJ2665" s="8"/>
      <c r="AK2665" s="8"/>
      <c r="AL2665" s="8"/>
      <c r="AM2665" s="8"/>
      <c r="AN2665" s="8"/>
      <c r="AO2665" s="8"/>
      <c r="AS2665" s="5" t="str">
        <f t="shared" si="1201"/>
        <v>R11DOE Liability - True-up</v>
      </c>
    </row>
    <row r="2666" spans="1:45" hidden="1">
      <c r="A2666" s="4"/>
      <c r="B2666" s="4"/>
      <c r="C2666" s="651" t="s">
        <v>1127</v>
      </c>
      <c r="E2666" s="5"/>
      <c r="F2666" s="5"/>
      <c r="G2666" s="5"/>
      <c r="I2666" s="5"/>
      <c r="J2666" s="4"/>
      <c r="K2666" s="5"/>
      <c r="M2666" s="5"/>
      <c r="N2666" s="5"/>
      <c r="O2666" s="5"/>
      <c r="Q2666" s="5"/>
      <c r="R2666" s="5"/>
      <c r="S2666" s="5"/>
      <c r="T2666" s="5"/>
      <c r="AC2666" s="8"/>
      <c r="AD2666" s="8"/>
      <c r="AE2666" s="8"/>
      <c r="AF2666" s="8"/>
      <c r="AG2666" s="8"/>
      <c r="AH2666" s="8"/>
      <c r="AI2666" s="8"/>
      <c r="AJ2666" s="8"/>
      <c r="AK2666" s="8"/>
      <c r="AL2666" s="8"/>
      <c r="AM2666" s="8"/>
      <c r="AN2666" s="8"/>
      <c r="AO2666" s="8"/>
      <c r="AS2666" s="5" t="str">
        <f t="shared" si="1201"/>
        <v>R11Electric Reliability Organization</v>
      </c>
    </row>
    <row r="2667" spans="1:45" hidden="1">
      <c r="A2667" s="4"/>
      <c r="B2667" s="4"/>
      <c r="C2667" s="651" t="s">
        <v>1134</v>
      </c>
      <c r="E2667" s="5"/>
      <c r="F2667" s="5"/>
      <c r="G2667" s="5"/>
      <c r="I2667" s="5"/>
      <c r="J2667" s="4"/>
      <c r="K2667" s="5"/>
      <c r="M2667" s="5"/>
      <c r="N2667" s="5"/>
      <c r="O2667" s="5"/>
      <c r="Q2667" s="5"/>
      <c r="R2667" s="5"/>
      <c r="S2667" s="5"/>
      <c r="T2667" s="5"/>
      <c r="AC2667" s="8"/>
      <c r="AD2667" s="8"/>
      <c r="AE2667" s="8"/>
      <c r="AF2667" s="8"/>
      <c r="AG2667" s="8"/>
      <c r="AH2667" s="8"/>
      <c r="AI2667" s="8"/>
      <c r="AJ2667" s="8"/>
      <c r="AK2667" s="8"/>
      <c r="AL2667" s="8"/>
      <c r="AM2667" s="8"/>
      <c r="AN2667" s="8"/>
      <c r="AO2667" s="8"/>
      <c r="AS2667" s="5" t="str">
        <f t="shared" si="1201"/>
        <v>R11Environmental</v>
      </c>
    </row>
    <row r="2668" spans="1:45" hidden="1">
      <c r="A2668" s="4"/>
      <c r="B2668" s="4"/>
      <c r="C2668" s="651" t="s">
        <v>2312</v>
      </c>
      <c r="E2668" s="5"/>
      <c r="F2668" s="5"/>
      <c r="G2668" s="5"/>
      <c r="I2668" s="5"/>
      <c r="J2668" s="4"/>
      <c r="K2668" s="5"/>
      <c r="M2668" s="5"/>
      <c r="N2668" s="5"/>
      <c r="O2668" s="5"/>
      <c r="Q2668" s="5"/>
      <c r="R2668" s="5"/>
      <c r="S2668" s="5"/>
      <c r="T2668" s="5"/>
      <c r="AC2668" s="8"/>
      <c r="AD2668" s="8"/>
      <c r="AE2668" s="8"/>
      <c r="AF2668" s="8"/>
      <c r="AG2668" s="8"/>
      <c r="AH2668" s="8"/>
      <c r="AI2668" s="8"/>
      <c r="AJ2668" s="8"/>
      <c r="AK2668" s="8"/>
      <c r="AL2668" s="8"/>
      <c r="AM2668" s="8"/>
      <c r="AN2668" s="8"/>
      <c r="AO2668" s="8"/>
      <c r="AS2668" s="5" t="str">
        <f t="shared" si="1201"/>
        <v>R11ESR</v>
      </c>
    </row>
    <row r="2669" spans="1:45" hidden="1">
      <c r="A2669" s="4"/>
      <c r="B2669" s="4"/>
      <c r="C2669" s="651" t="s">
        <v>1487</v>
      </c>
      <c r="E2669" s="5"/>
      <c r="F2669" s="5"/>
      <c r="G2669" s="5"/>
      <c r="I2669" s="5"/>
      <c r="J2669" s="4"/>
      <c r="K2669" s="5"/>
      <c r="M2669" s="5"/>
      <c r="N2669" s="5"/>
      <c r="O2669" s="5"/>
      <c r="Q2669" s="5"/>
      <c r="R2669" s="5"/>
      <c r="S2669" s="5"/>
      <c r="T2669" s="5"/>
      <c r="AC2669" s="8"/>
      <c r="AD2669" s="8"/>
      <c r="AE2669" s="8"/>
      <c r="AF2669" s="8"/>
      <c r="AG2669" s="8"/>
      <c r="AH2669" s="8"/>
      <c r="AI2669" s="8"/>
      <c r="AJ2669" s="8"/>
      <c r="AK2669" s="8"/>
      <c r="AL2669" s="8"/>
      <c r="AM2669" s="8"/>
      <c r="AN2669" s="8"/>
      <c r="AO2669" s="8"/>
      <c r="AS2669" s="5" t="str">
        <f t="shared" si="1201"/>
        <v>R11Excess NYS DIT (to 7.1%)</v>
      </c>
    </row>
    <row r="2670" spans="1:45" hidden="1">
      <c r="A2670" s="4"/>
      <c r="B2670" s="4"/>
      <c r="C2670" s="651" t="s">
        <v>2086</v>
      </c>
      <c r="E2670" s="5"/>
      <c r="F2670" s="5"/>
      <c r="G2670" s="5"/>
      <c r="I2670" s="5"/>
      <c r="J2670" s="4"/>
      <c r="K2670" s="5"/>
      <c r="M2670" s="5"/>
      <c r="N2670" s="5"/>
      <c r="O2670" s="5"/>
      <c r="Q2670" s="5"/>
      <c r="R2670" s="5"/>
      <c r="S2670" s="5"/>
      <c r="T2670" s="5"/>
      <c r="AC2670" s="8"/>
      <c r="AD2670" s="8"/>
      <c r="AE2670" s="8"/>
      <c r="AF2670" s="8"/>
      <c r="AG2670" s="8"/>
      <c r="AH2670" s="8"/>
      <c r="AI2670" s="8"/>
      <c r="AJ2670" s="8"/>
      <c r="AK2670" s="8"/>
      <c r="AL2670" s="8"/>
      <c r="AM2670" s="8"/>
      <c r="AN2670" s="8"/>
      <c r="AO2670" s="8"/>
      <c r="AS2670" s="5" t="str">
        <f t="shared" si="1201"/>
        <v>R11Excess Salvage</v>
      </c>
    </row>
    <row r="2671" spans="1:45" hidden="1">
      <c r="A2671" s="4"/>
      <c r="B2671" s="4"/>
      <c r="C2671" s="651" t="s">
        <v>1586</v>
      </c>
      <c r="E2671" s="5"/>
      <c r="F2671" s="5"/>
      <c r="G2671" s="5"/>
      <c r="I2671" s="5"/>
      <c r="J2671" s="4"/>
      <c r="K2671" s="5"/>
      <c r="M2671" s="5"/>
      <c r="N2671" s="5"/>
      <c r="O2671" s="5"/>
      <c r="Q2671" s="5"/>
      <c r="R2671" s="5"/>
      <c r="S2671" s="5"/>
      <c r="T2671" s="5"/>
      <c r="AC2671" s="8"/>
      <c r="AD2671" s="8"/>
      <c r="AE2671" s="8"/>
      <c r="AF2671" s="8"/>
      <c r="AG2671" s="8"/>
      <c r="AH2671" s="8"/>
      <c r="AI2671" s="8"/>
      <c r="AJ2671" s="8"/>
      <c r="AK2671" s="8"/>
      <c r="AL2671" s="8"/>
      <c r="AM2671" s="8"/>
      <c r="AN2671" s="8"/>
      <c r="AO2671" s="8"/>
      <c r="AS2671" s="5" t="str">
        <f t="shared" si="1201"/>
        <v>R11FAS 112</v>
      </c>
    </row>
    <row r="2672" spans="1:45" hidden="1">
      <c r="A2672" s="4"/>
      <c r="B2672" s="4"/>
      <c r="C2672" s="651" t="s">
        <v>2213</v>
      </c>
      <c r="E2672" s="5"/>
      <c r="F2672" s="5"/>
      <c r="G2672" s="5"/>
      <c r="I2672" s="5"/>
      <c r="J2672" s="4"/>
      <c r="K2672" s="5"/>
      <c r="M2672" s="5"/>
      <c r="N2672" s="5"/>
      <c r="O2672" s="5"/>
      <c r="Q2672" s="5"/>
      <c r="R2672" s="5"/>
      <c r="S2672" s="5"/>
      <c r="T2672" s="5"/>
      <c r="AC2672" s="8"/>
      <c r="AD2672" s="8"/>
      <c r="AE2672" s="8"/>
      <c r="AF2672" s="8"/>
      <c r="AG2672" s="8"/>
      <c r="AH2672" s="8"/>
      <c r="AI2672" s="8"/>
      <c r="AJ2672" s="8"/>
      <c r="AK2672" s="8"/>
      <c r="AL2672" s="8"/>
      <c r="AM2672" s="8"/>
      <c r="AN2672" s="8"/>
      <c r="AO2672" s="8"/>
      <c r="AS2672" s="5" t="str">
        <f t="shared" si="1201"/>
        <v>R11FIT Benefit - 2003</v>
      </c>
    </row>
    <row r="2673" spans="1:45" hidden="1">
      <c r="A2673" s="4"/>
      <c r="B2673" s="4"/>
      <c r="C2673" s="651" t="s">
        <v>2112</v>
      </c>
      <c r="E2673" s="5"/>
      <c r="F2673" s="5"/>
      <c r="G2673" s="5"/>
      <c r="I2673" s="5"/>
      <c r="J2673" s="4"/>
      <c r="K2673" s="5"/>
      <c r="M2673" s="5"/>
      <c r="N2673" s="5"/>
      <c r="O2673" s="5"/>
      <c r="Q2673" s="5"/>
      <c r="R2673" s="5"/>
      <c r="S2673" s="5"/>
      <c r="T2673" s="5"/>
      <c r="AC2673" s="8"/>
      <c r="AD2673" s="8"/>
      <c r="AE2673" s="8"/>
      <c r="AF2673" s="8"/>
      <c r="AG2673" s="8"/>
      <c r="AH2673" s="8"/>
      <c r="AI2673" s="8"/>
      <c r="AJ2673" s="8"/>
      <c r="AK2673" s="8"/>
      <c r="AL2673" s="8"/>
      <c r="AM2673" s="8"/>
      <c r="AN2673" s="8"/>
      <c r="AO2673" s="8"/>
      <c r="AS2673" s="5" t="str">
        <f t="shared" si="1201"/>
        <v>R11Fossil Inventory</v>
      </c>
    </row>
    <row r="2674" spans="1:45" hidden="1">
      <c r="A2674" s="4"/>
      <c r="B2674" s="4"/>
      <c r="C2674" s="651" t="s">
        <v>1775</v>
      </c>
      <c r="E2674" s="5"/>
      <c r="F2674" s="5"/>
      <c r="G2674" s="5"/>
      <c r="I2674" s="5"/>
      <c r="J2674" s="4"/>
      <c r="K2674" s="5"/>
      <c r="M2674" s="5"/>
      <c r="N2674" s="5"/>
      <c r="O2674" s="5"/>
      <c r="Q2674" s="5"/>
      <c r="R2674" s="5"/>
      <c r="S2674" s="5"/>
      <c r="T2674" s="5"/>
      <c r="AC2674" s="8"/>
      <c r="AD2674" s="8"/>
      <c r="AE2674" s="8"/>
      <c r="AF2674" s="8"/>
      <c r="AG2674" s="8"/>
      <c r="AH2674" s="8"/>
      <c r="AI2674" s="8"/>
      <c r="AJ2674" s="8"/>
      <c r="AK2674" s="8"/>
      <c r="AL2674" s="8"/>
      <c r="AM2674" s="8"/>
      <c r="AN2674" s="8"/>
      <c r="AO2674" s="8"/>
      <c r="AS2674" s="5" t="str">
        <f t="shared" si="1201"/>
        <v>R11Gain/Loss on Reacquired Debt</v>
      </c>
    </row>
    <row r="2675" spans="1:45" hidden="1">
      <c r="A2675" s="4"/>
      <c r="B2675" s="4"/>
      <c r="C2675" s="651" t="s">
        <v>1736</v>
      </c>
      <c r="E2675" s="5"/>
      <c r="F2675" s="5"/>
      <c r="G2675" s="5"/>
      <c r="I2675" s="5"/>
      <c r="J2675" s="4"/>
      <c r="K2675" s="5"/>
      <c r="M2675" s="5"/>
      <c r="N2675" s="5"/>
      <c r="O2675" s="5"/>
      <c r="Q2675" s="5"/>
      <c r="R2675" s="5"/>
      <c r="S2675" s="5"/>
      <c r="T2675" s="5"/>
      <c r="AC2675" s="8"/>
      <c r="AD2675" s="8"/>
      <c r="AE2675" s="8"/>
      <c r="AF2675" s="8"/>
      <c r="AG2675" s="8"/>
      <c r="AH2675" s="8"/>
      <c r="AI2675" s="8"/>
      <c r="AJ2675" s="8"/>
      <c r="AK2675" s="8"/>
      <c r="AL2675" s="8"/>
      <c r="AM2675" s="8"/>
      <c r="AN2675" s="8"/>
      <c r="AO2675" s="8"/>
      <c r="AS2675" s="5" t="str">
        <f t="shared" si="1201"/>
        <v>R11Gas Demand Charges</v>
      </c>
    </row>
    <row r="2676" spans="1:45" hidden="1">
      <c r="A2676" s="4"/>
      <c r="B2676" s="4"/>
      <c r="C2676" s="651" t="s">
        <v>1740</v>
      </c>
      <c r="E2676" s="5"/>
      <c r="F2676" s="5"/>
      <c r="G2676" s="5"/>
      <c r="I2676" s="5"/>
      <c r="J2676" s="4"/>
      <c r="K2676" s="5"/>
      <c r="M2676" s="5"/>
      <c r="N2676" s="5"/>
      <c r="O2676" s="5"/>
      <c r="Q2676" s="5"/>
      <c r="R2676" s="5"/>
      <c r="S2676" s="5"/>
      <c r="T2676" s="5"/>
      <c r="AC2676" s="8"/>
      <c r="AD2676" s="8"/>
      <c r="AE2676" s="8"/>
      <c r="AF2676" s="8"/>
      <c r="AG2676" s="8"/>
      <c r="AH2676" s="8"/>
      <c r="AI2676" s="8"/>
      <c r="AJ2676" s="8"/>
      <c r="AK2676" s="8"/>
      <c r="AL2676" s="8"/>
      <c r="AM2676" s="8"/>
      <c r="AN2676" s="8"/>
      <c r="AO2676" s="8"/>
      <c r="AS2676" s="5" t="str">
        <f t="shared" si="1201"/>
        <v>R11Gas Inventory - 263A</v>
      </c>
    </row>
    <row r="2677" spans="1:45" hidden="1">
      <c r="A2677" s="4"/>
      <c r="B2677" s="4"/>
      <c r="C2677" s="651" t="s">
        <v>1132</v>
      </c>
      <c r="E2677" s="5"/>
      <c r="F2677" s="5"/>
      <c r="G2677" s="5"/>
      <c r="I2677" s="5"/>
      <c r="J2677" s="4"/>
      <c r="K2677" s="5"/>
      <c r="M2677" s="5"/>
      <c r="N2677" s="5"/>
      <c r="O2677" s="5"/>
      <c r="Q2677" s="5"/>
      <c r="R2677" s="5"/>
      <c r="S2677" s="5"/>
      <c r="T2677" s="5"/>
      <c r="AC2677" s="8"/>
      <c r="AD2677" s="8"/>
      <c r="AE2677" s="8"/>
      <c r="AF2677" s="8"/>
      <c r="AG2677" s="8"/>
      <c r="AH2677" s="8"/>
      <c r="AI2677" s="8"/>
      <c r="AJ2677" s="8"/>
      <c r="AK2677" s="8"/>
      <c r="AL2677" s="8"/>
      <c r="AM2677" s="8"/>
      <c r="AN2677" s="8"/>
      <c r="AO2677" s="8"/>
      <c r="AS2677" s="5" t="str">
        <f t="shared" si="1201"/>
        <v>R11Gas Pipeline Integrity</v>
      </c>
    </row>
    <row r="2678" spans="1:45" hidden="1">
      <c r="A2678" s="4"/>
      <c r="B2678" s="4"/>
      <c r="C2678" s="651" t="s">
        <v>2165</v>
      </c>
      <c r="E2678" s="5"/>
      <c r="F2678" s="5"/>
      <c r="G2678" s="5"/>
      <c r="I2678" s="5"/>
      <c r="J2678" s="4"/>
      <c r="K2678" s="5"/>
      <c r="M2678" s="5"/>
      <c r="N2678" s="5"/>
      <c r="O2678" s="5"/>
      <c r="Q2678" s="5"/>
      <c r="R2678" s="5"/>
      <c r="S2678" s="5"/>
      <c r="T2678" s="5"/>
      <c r="AC2678" s="8"/>
      <c r="AD2678" s="8"/>
      <c r="AE2678" s="8"/>
      <c r="AF2678" s="8"/>
      <c r="AG2678" s="8"/>
      <c r="AH2678" s="8"/>
      <c r="AI2678" s="8"/>
      <c r="AJ2678" s="8"/>
      <c r="AK2678" s="8"/>
      <c r="AL2678" s="8"/>
      <c r="AM2678" s="8"/>
      <c r="AN2678" s="8"/>
      <c r="AO2678" s="8"/>
      <c r="AS2678" s="5" t="str">
        <f t="shared" si="1201"/>
        <v>R11GECHO</v>
      </c>
    </row>
    <row r="2679" spans="1:45" hidden="1">
      <c r="A2679" s="4"/>
      <c r="B2679" s="4"/>
      <c r="C2679" s="651" t="s">
        <v>2108</v>
      </c>
      <c r="E2679" s="5"/>
      <c r="F2679" s="5"/>
      <c r="G2679" s="5"/>
      <c r="I2679" s="5"/>
      <c r="J2679" s="4"/>
      <c r="K2679" s="5"/>
      <c r="M2679" s="5"/>
      <c r="N2679" s="5"/>
      <c r="O2679" s="5"/>
      <c r="Q2679" s="5"/>
      <c r="R2679" s="5"/>
      <c r="S2679" s="5"/>
      <c r="T2679" s="5"/>
      <c r="AC2679" s="8"/>
      <c r="AD2679" s="8"/>
      <c r="AE2679" s="8"/>
      <c r="AF2679" s="8"/>
      <c r="AG2679" s="8"/>
      <c r="AH2679" s="8"/>
      <c r="AI2679" s="8"/>
      <c r="AJ2679" s="8"/>
      <c r="AK2679" s="8"/>
      <c r="AL2679" s="8"/>
      <c r="AM2679" s="8"/>
      <c r="AN2679" s="8"/>
      <c r="AO2679" s="8"/>
      <c r="AS2679" s="5" t="str">
        <f t="shared" si="1201"/>
        <v>R11Ginna Inventory</v>
      </c>
    </row>
    <row r="2680" spans="1:45" hidden="1">
      <c r="A2680" s="4"/>
      <c r="B2680" s="4"/>
      <c r="C2680" s="651" t="s">
        <v>1926</v>
      </c>
      <c r="E2680" s="5"/>
      <c r="F2680" s="5"/>
      <c r="G2680" s="5"/>
      <c r="I2680" s="5"/>
      <c r="J2680" s="4"/>
      <c r="K2680" s="5"/>
      <c r="M2680" s="5"/>
      <c r="N2680" s="5"/>
      <c r="O2680" s="5"/>
      <c r="Q2680" s="5"/>
      <c r="R2680" s="5"/>
      <c r="S2680" s="5"/>
      <c r="T2680" s="5"/>
      <c r="AC2680" s="8"/>
      <c r="AD2680" s="8"/>
      <c r="AE2680" s="8"/>
      <c r="AF2680" s="8"/>
      <c r="AG2680" s="8"/>
      <c r="AH2680" s="8"/>
      <c r="AI2680" s="8"/>
      <c r="AJ2680" s="8"/>
      <c r="AK2680" s="8"/>
      <c r="AL2680" s="8"/>
      <c r="AM2680" s="8"/>
      <c r="AN2680" s="8"/>
      <c r="AO2680" s="8"/>
      <c r="AS2680" s="5" t="str">
        <f t="shared" si="1201"/>
        <v>R11Ginna Related</v>
      </c>
    </row>
    <row r="2681" spans="1:45" hidden="1">
      <c r="A2681" s="4"/>
      <c r="B2681" s="4"/>
      <c r="C2681" s="651" t="s">
        <v>2173</v>
      </c>
      <c r="E2681" s="5"/>
      <c r="F2681" s="5"/>
      <c r="G2681" s="5"/>
      <c r="I2681" s="5"/>
      <c r="J2681" s="4"/>
      <c r="K2681" s="5"/>
      <c r="M2681" s="5"/>
      <c r="N2681" s="5"/>
      <c r="O2681" s="5"/>
      <c r="Q2681" s="5"/>
      <c r="R2681" s="5"/>
      <c r="S2681" s="5"/>
      <c r="T2681" s="5"/>
      <c r="AC2681" s="8"/>
      <c r="AD2681" s="8"/>
      <c r="AE2681" s="8"/>
      <c r="AF2681" s="8"/>
      <c r="AG2681" s="8"/>
      <c r="AH2681" s="8"/>
      <c r="AI2681" s="8"/>
      <c r="AJ2681" s="8"/>
      <c r="AK2681" s="8"/>
      <c r="AL2681" s="8"/>
      <c r="AM2681" s="8"/>
      <c r="AN2681" s="8"/>
      <c r="AO2681" s="8"/>
      <c r="AS2681" s="5" t="str">
        <f t="shared" si="1201"/>
        <v>R11Ice Storm</v>
      </c>
    </row>
    <row r="2682" spans="1:45" hidden="1">
      <c r="A2682" s="4"/>
      <c r="B2682" s="4"/>
      <c r="C2682" s="651" t="s">
        <v>1313</v>
      </c>
      <c r="E2682" s="5"/>
      <c r="F2682" s="5"/>
      <c r="G2682" s="5"/>
      <c r="I2682" s="5"/>
      <c r="J2682" s="4"/>
      <c r="K2682" s="5"/>
      <c r="M2682" s="5"/>
      <c r="N2682" s="5"/>
      <c r="O2682" s="5"/>
      <c r="Q2682" s="5"/>
      <c r="R2682" s="5"/>
      <c r="S2682" s="5"/>
      <c r="T2682" s="5"/>
      <c r="AC2682" s="8"/>
      <c r="AD2682" s="8"/>
      <c r="AE2682" s="8"/>
      <c r="AF2682" s="8"/>
      <c r="AG2682" s="8"/>
      <c r="AH2682" s="8"/>
      <c r="AI2682" s="8"/>
      <c r="AJ2682" s="8"/>
      <c r="AK2682" s="8"/>
      <c r="AL2682" s="8"/>
      <c r="AM2682" s="8"/>
      <c r="AN2682" s="8"/>
      <c r="AO2682" s="8"/>
      <c r="AS2682" s="5" t="str">
        <f t="shared" si="1201"/>
        <v>R11IMLR</v>
      </c>
    </row>
    <row r="2683" spans="1:45" hidden="1">
      <c r="A2683" s="4"/>
      <c r="B2683" s="4"/>
      <c r="C2683" s="651" t="s">
        <v>2179</v>
      </c>
      <c r="E2683" s="5"/>
      <c r="F2683" s="5"/>
      <c r="G2683" s="5"/>
      <c r="I2683" s="5"/>
      <c r="J2683" s="4"/>
      <c r="K2683" s="5"/>
      <c r="M2683" s="5"/>
      <c r="N2683" s="5"/>
      <c r="O2683" s="5"/>
      <c r="Q2683" s="5"/>
      <c r="R2683" s="5"/>
      <c r="S2683" s="5"/>
      <c r="T2683" s="5"/>
      <c r="AC2683" s="8"/>
      <c r="AD2683" s="8"/>
      <c r="AE2683" s="8"/>
      <c r="AF2683" s="8"/>
      <c r="AG2683" s="8"/>
      <c r="AH2683" s="8"/>
      <c r="AI2683" s="8"/>
      <c r="AJ2683" s="8"/>
      <c r="AK2683" s="8"/>
      <c r="AL2683" s="8"/>
      <c r="AM2683" s="8"/>
      <c r="AN2683" s="8"/>
      <c r="AO2683" s="8"/>
      <c r="AS2683" s="5" t="str">
        <f t="shared" si="1201"/>
        <v>R11Internal Software</v>
      </c>
    </row>
    <row r="2684" spans="1:45" hidden="1">
      <c r="A2684" s="4"/>
      <c r="B2684" s="4"/>
      <c r="C2684" s="651" t="s">
        <v>2115</v>
      </c>
      <c r="E2684" s="5"/>
      <c r="F2684" s="5"/>
      <c r="G2684" s="5"/>
      <c r="I2684" s="5"/>
      <c r="J2684" s="4"/>
      <c r="K2684" s="5"/>
      <c r="M2684" s="5"/>
      <c r="N2684" s="5"/>
      <c r="O2684" s="5"/>
      <c r="Q2684" s="5"/>
      <c r="R2684" s="5"/>
      <c r="S2684" s="5"/>
      <c r="T2684" s="5"/>
      <c r="AC2684" s="8"/>
      <c r="AD2684" s="8"/>
      <c r="AE2684" s="8"/>
      <c r="AF2684" s="8"/>
      <c r="AG2684" s="8"/>
      <c r="AH2684" s="8"/>
      <c r="AI2684" s="8"/>
      <c r="AJ2684" s="8"/>
      <c r="AK2684" s="8"/>
      <c r="AL2684" s="8"/>
      <c r="AM2684" s="8"/>
      <c r="AN2684" s="8"/>
      <c r="AO2684" s="8"/>
      <c r="AS2684" s="5" t="str">
        <f t="shared" si="1201"/>
        <v>R11Internal Software - IBO</v>
      </c>
    </row>
    <row r="2685" spans="1:45" hidden="1">
      <c r="A2685" s="4"/>
      <c r="B2685" s="4"/>
      <c r="C2685" s="651" t="s">
        <v>2121</v>
      </c>
      <c r="E2685" s="5"/>
      <c r="F2685" s="5"/>
      <c r="G2685" s="5"/>
      <c r="I2685" s="5"/>
      <c r="J2685" s="4"/>
      <c r="K2685" s="5"/>
      <c r="M2685" s="5"/>
      <c r="N2685" s="5"/>
      <c r="O2685" s="5"/>
      <c r="Q2685" s="5"/>
      <c r="R2685" s="5"/>
      <c r="S2685" s="5"/>
      <c r="T2685" s="5"/>
      <c r="AC2685" s="8"/>
      <c r="AD2685" s="8"/>
      <c r="AE2685" s="8"/>
      <c r="AF2685" s="8"/>
      <c r="AG2685" s="8"/>
      <c r="AH2685" s="8"/>
      <c r="AI2685" s="8"/>
      <c r="AJ2685" s="8"/>
      <c r="AK2685" s="8"/>
      <c r="AL2685" s="8"/>
      <c r="AM2685" s="8"/>
      <c r="AN2685" s="8"/>
      <c r="AO2685" s="8"/>
      <c r="AS2685" s="5" t="str">
        <f t="shared" si="1201"/>
        <v>R11Internal Software - NIRP</v>
      </c>
    </row>
    <row r="2686" spans="1:45" hidden="1">
      <c r="A2686" s="4"/>
      <c r="B2686" s="4"/>
      <c r="C2686" s="651" t="s">
        <v>2118</v>
      </c>
      <c r="E2686" s="5"/>
      <c r="F2686" s="5"/>
      <c r="G2686" s="5"/>
      <c r="I2686" s="5"/>
      <c r="J2686" s="4"/>
      <c r="K2686" s="5"/>
      <c r="M2686" s="5"/>
      <c r="N2686" s="5"/>
      <c r="O2686" s="5"/>
      <c r="Q2686" s="5"/>
      <c r="R2686" s="5"/>
      <c r="S2686" s="5"/>
      <c r="T2686" s="5"/>
      <c r="AC2686" s="8"/>
      <c r="AD2686" s="8"/>
      <c r="AE2686" s="8"/>
      <c r="AF2686" s="8"/>
      <c r="AG2686" s="8"/>
      <c r="AH2686" s="8"/>
      <c r="AI2686" s="8"/>
      <c r="AJ2686" s="8"/>
      <c r="AK2686" s="8"/>
      <c r="AL2686" s="8"/>
      <c r="AM2686" s="8"/>
      <c r="AN2686" s="8"/>
      <c r="AO2686" s="8"/>
      <c r="AS2686" s="5" t="str">
        <f t="shared" si="1201"/>
        <v>R11Internal Software - WMS</v>
      </c>
    </row>
    <row r="2687" spans="1:45" hidden="1">
      <c r="A2687" s="4"/>
      <c r="B2687" s="4"/>
      <c r="C2687" s="651" t="s">
        <v>2190</v>
      </c>
      <c r="E2687" s="5"/>
      <c r="F2687" s="5"/>
      <c r="G2687" s="5"/>
      <c r="I2687" s="5"/>
      <c r="J2687" s="4"/>
      <c r="K2687" s="5"/>
      <c r="M2687" s="5"/>
      <c r="N2687" s="5"/>
      <c r="O2687" s="5"/>
      <c r="Q2687" s="5"/>
      <c r="R2687" s="5"/>
      <c r="S2687" s="5"/>
      <c r="T2687" s="5"/>
      <c r="AC2687" s="8"/>
      <c r="AD2687" s="8"/>
      <c r="AE2687" s="8"/>
      <c r="AF2687" s="8"/>
      <c r="AG2687" s="8"/>
      <c r="AH2687" s="8"/>
      <c r="AI2687" s="8"/>
      <c r="AJ2687" s="8"/>
      <c r="AK2687" s="8"/>
      <c r="AL2687" s="8"/>
      <c r="AM2687" s="8"/>
      <c r="AN2687" s="8"/>
      <c r="AO2687" s="8"/>
      <c r="AS2687" s="5" t="str">
        <f t="shared" si="1201"/>
        <v>R11Laser Light Show</v>
      </c>
    </row>
    <row r="2688" spans="1:45" hidden="1">
      <c r="A2688" s="4"/>
      <c r="B2688" s="4"/>
      <c r="C2688" s="651" t="s">
        <v>1664</v>
      </c>
      <c r="E2688" s="5"/>
      <c r="F2688" s="5"/>
      <c r="G2688" s="5"/>
      <c r="I2688" s="5"/>
      <c r="J2688" s="4"/>
      <c r="K2688" s="5"/>
      <c r="M2688" s="5"/>
      <c r="N2688" s="5"/>
      <c r="O2688" s="5"/>
      <c r="Q2688" s="5"/>
      <c r="R2688" s="5"/>
      <c r="S2688" s="5"/>
      <c r="T2688" s="5"/>
      <c r="AC2688" s="8"/>
      <c r="AD2688" s="8"/>
      <c r="AE2688" s="8"/>
      <c r="AF2688" s="8"/>
      <c r="AG2688" s="8"/>
      <c r="AH2688" s="8"/>
      <c r="AI2688" s="8"/>
      <c r="AJ2688" s="8"/>
      <c r="AK2688" s="8"/>
      <c r="AL2688" s="8"/>
      <c r="AM2688" s="8"/>
      <c r="AN2688" s="8"/>
      <c r="AO2688" s="8"/>
      <c r="AS2688" s="5" t="str">
        <f t="shared" si="1201"/>
        <v>R11M&amp;S Obsolescence</v>
      </c>
    </row>
    <row r="2689" spans="1:45" hidden="1">
      <c r="A2689" s="4"/>
      <c r="B2689" s="4"/>
      <c r="C2689" s="651" t="s">
        <v>1118</v>
      </c>
      <c r="E2689" s="5"/>
      <c r="F2689" s="5"/>
      <c r="G2689" s="5"/>
      <c r="I2689" s="5"/>
      <c r="J2689" s="4"/>
      <c r="K2689" s="5"/>
      <c r="M2689" s="5"/>
      <c r="N2689" s="5"/>
      <c r="O2689" s="5"/>
      <c r="Q2689" s="5"/>
      <c r="R2689" s="5"/>
      <c r="S2689" s="5"/>
      <c r="T2689" s="5"/>
      <c r="AC2689" s="8"/>
      <c r="AD2689" s="8"/>
      <c r="AE2689" s="8"/>
      <c r="AF2689" s="8"/>
      <c r="AG2689" s="8"/>
      <c r="AH2689" s="8"/>
      <c r="AI2689" s="8"/>
      <c r="AJ2689" s="8"/>
      <c r="AK2689" s="8"/>
      <c r="AL2689" s="8"/>
      <c r="AM2689" s="8"/>
      <c r="AN2689" s="8"/>
      <c r="AO2689" s="8"/>
      <c r="AS2689" s="5" t="str">
        <f t="shared" si="1201"/>
        <v>R11Medicare Part D</v>
      </c>
    </row>
    <row r="2690" spans="1:45" hidden="1">
      <c r="A2690" s="4"/>
      <c r="B2690" s="4"/>
      <c r="C2690" s="651" t="s">
        <v>999</v>
      </c>
      <c r="E2690" s="5"/>
      <c r="F2690" s="5"/>
      <c r="G2690" s="5"/>
      <c r="I2690" s="5"/>
      <c r="J2690" s="4"/>
      <c r="K2690" s="5"/>
      <c r="M2690" s="5"/>
      <c r="N2690" s="5"/>
      <c r="O2690" s="5"/>
      <c r="Q2690" s="5"/>
      <c r="R2690" s="5"/>
      <c r="S2690" s="5"/>
      <c r="T2690" s="5"/>
      <c r="AC2690" s="8"/>
      <c r="AD2690" s="8"/>
      <c r="AE2690" s="8"/>
      <c r="AF2690" s="8"/>
      <c r="AG2690" s="8"/>
      <c r="AH2690" s="8"/>
      <c r="AI2690" s="8"/>
      <c r="AJ2690" s="8"/>
      <c r="AK2690" s="8"/>
      <c r="AL2690" s="8"/>
      <c r="AM2690" s="8"/>
      <c r="AN2690" s="8"/>
      <c r="AO2690" s="8"/>
      <c r="AS2690" s="5" t="str">
        <f t="shared" si="1201"/>
        <v>R11Mendon Heater</v>
      </c>
    </row>
    <row r="2691" spans="1:45" hidden="1">
      <c r="A2691" s="4"/>
      <c r="B2691" s="4"/>
      <c r="C2691" s="651" t="s">
        <v>1234</v>
      </c>
      <c r="E2691" s="5"/>
      <c r="F2691" s="5"/>
      <c r="G2691" s="5"/>
      <c r="I2691" s="5"/>
      <c r="J2691" s="4"/>
      <c r="K2691" s="5"/>
      <c r="M2691" s="5"/>
      <c r="N2691" s="5"/>
      <c r="O2691" s="5"/>
      <c r="Q2691" s="5"/>
      <c r="R2691" s="5"/>
      <c r="S2691" s="5"/>
      <c r="T2691" s="5"/>
      <c r="AC2691" s="8"/>
      <c r="AD2691" s="8"/>
      <c r="AE2691" s="8"/>
      <c r="AF2691" s="8"/>
      <c r="AG2691" s="8"/>
      <c r="AH2691" s="8"/>
      <c r="AI2691" s="8"/>
      <c r="AJ2691" s="8"/>
      <c r="AK2691" s="8"/>
      <c r="AL2691" s="8"/>
      <c r="AM2691" s="8"/>
      <c r="AN2691" s="8"/>
      <c r="AO2691" s="8"/>
      <c r="AS2691" s="5" t="str">
        <f t="shared" si="1201"/>
        <v>R11Merchant Function Charge-Gas</v>
      </c>
    </row>
    <row r="2692" spans="1:45" hidden="1">
      <c r="A2692" s="4"/>
      <c r="B2692" s="4"/>
      <c r="C2692" s="651" t="s">
        <v>1629</v>
      </c>
      <c r="E2692" s="5"/>
      <c r="F2692" s="5"/>
      <c r="G2692" s="5"/>
      <c r="I2692" s="5"/>
      <c r="J2692" s="4"/>
      <c r="K2692" s="5"/>
      <c r="M2692" s="5"/>
      <c r="N2692" s="5"/>
      <c r="O2692" s="5"/>
      <c r="Q2692" s="5"/>
      <c r="R2692" s="5"/>
      <c r="S2692" s="5"/>
      <c r="T2692" s="5"/>
      <c r="AC2692" s="8"/>
      <c r="AD2692" s="8"/>
      <c r="AE2692" s="8"/>
      <c r="AF2692" s="8"/>
      <c r="AG2692" s="8"/>
      <c r="AH2692" s="8"/>
      <c r="AI2692" s="8"/>
      <c r="AJ2692" s="8"/>
      <c r="AK2692" s="8"/>
      <c r="AL2692" s="8"/>
      <c r="AM2692" s="8"/>
      <c r="AN2692" s="8"/>
      <c r="AO2692" s="8"/>
      <c r="AS2692" s="5" t="str">
        <f t="shared" si="1201"/>
        <v>R11Merger Related</v>
      </c>
    </row>
    <row r="2693" spans="1:45" hidden="1">
      <c r="A2693" s="4"/>
      <c r="B2693" s="4"/>
      <c r="C2693" s="651" t="s">
        <v>2125</v>
      </c>
      <c r="E2693" s="5"/>
      <c r="F2693" s="5"/>
      <c r="G2693" s="5"/>
      <c r="I2693" s="5"/>
      <c r="J2693" s="4"/>
      <c r="K2693" s="5"/>
      <c r="M2693" s="5"/>
      <c r="N2693" s="5"/>
      <c r="O2693" s="5"/>
      <c r="Q2693" s="5"/>
      <c r="R2693" s="5"/>
      <c r="S2693" s="5"/>
      <c r="T2693" s="5"/>
      <c r="AC2693" s="8"/>
      <c r="AD2693" s="8"/>
      <c r="AE2693" s="8"/>
      <c r="AF2693" s="8"/>
      <c r="AG2693" s="8"/>
      <c r="AH2693" s="8"/>
      <c r="AI2693" s="8"/>
      <c r="AJ2693" s="8"/>
      <c r="AK2693" s="8"/>
      <c r="AL2693" s="8"/>
      <c r="AM2693" s="8"/>
      <c r="AN2693" s="8"/>
      <c r="AO2693" s="8"/>
      <c r="AS2693" s="5" t="str">
        <f t="shared" si="1201"/>
        <v>R11Mixed Use 263(a)</v>
      </c>
    </row>
    <row r="2694" spans="1:45" hidden="1">
      <c r="A2694" s="4"/>
      <c r="B2694" s="4"/>
      <c r="C2694" s="651" t="s">
        <v>2201</v>
      </c>
      <c r="E2694" s="5"/>
      <c r="F2694" s="5"/>
      <c r="G2694" s="5"/>
      <c r="I2694" s="5"/>
      <c r="J2694" s="4"/>
      <c r="K2694" s="5"/>
      <c r="M2694" s="5"/>
      <c r="N2694" s="5"/>
      <c r="O2694" s="5"/>
      <c r="Q2694" s="5"/>
      <c r="R2694" s="5"/>
      <c r="S2694" s="5"/>
      <c r="T2694" s="5"/>
      <c r="AC2694" s="8"/>
      <c r="AD2694" s="8"/>
      <c r="AE2694" s="8"/>
      <c r="AF2694" s="8"/>
      <c r="AG2694" s="8"/>
      <c r="AH2694" s="8"/>
      <c r="AI2694" s="8"/>
      <c r="AJ2694" s="8"/>
      <c r="AK2694" s="8"/>
      <c r="AL2694" s="8"/>
      <c r="AM2694" s="8"/>
      <c r="AN2694" s="8"/>
      <c r="AO2694" s="8"/>
      <c r="AS2694" s="5" t="str">
        <f t="shared" si="1201"/>
        <v>R11Mortgage Recording Tax</v>
      </c>
    </row>
    <row r="2695" spans="1:45" hidden="1">
      <c r="A2695" s="4"/>
      <c r="B2695" s="4"/>
      <c r="C2695" s="651" t="s">
        <v>1141</v>
      </c>
      <c r="E2695" s="5"/>
      <c r="F2695" s="5"/>
      <c r="G2695" s="5"/>
      <c r="I2695" s="5"/>
      <c r="J2695" s="4"/>
      <c r="K2695" s="5"/>
      <c r="M2695" s="5"/>
      <c r="N2695" s="5"/>
      <c r="O2695" s="5"/>
      <c r="Q2695" s="5"/>
      <c r="R2695" s="5"/>
      <c r="S2695" s="5"/>
      <c r="T2695" s="5"/>
      <c r="AC2695" s="8"/>
      <c r="AD2695" s="8"/>
      <c r="AE2695" s="8"/>
      <c r="AF2695" s="8"/>
      <c r="AG2695" s="8"/>
      <c r="AH2695" s="8"/>
      <c r="AI2695" s="8"/>
      <c r="AJ2695" s="8"/>
      <c r="AK2695" s="8"/>
      <c r="AL2695" s="8"/>
      <c r="AM2695" s="8"/>
      <c r="AN2695" s="8"/>
      <c r="AO2695" s="8"/>
      <c r="AS2695" s="5" t="str">
        <f t="shared" si="1201"/>
        <v>R11NBC True-up</v>
      </c>
    </row>
    <row r="2696" spans="1:45" hidden="1">
      <c r="A2696" s="4"/>
      <c r="B2696" s="4"/>
      <c r="C2696" s="651" t="s">
        <v>1788</v>
      </c>
      <c r="E2696" s="5"/>
      <c r="F2696" s="5"/>
      <c r="G2696" s="5"/>
      <c r="I2696" s="5"/>
      <c r="J2696" s="4"/>
      <c r="K2696" s="5"/>
      <c r="M2696" s="5"/>
      <c r="N2696" s="5"/>
      <c r="O2696" s="5"/>
      <c r="Q2696" s="5"/>
      <c r="R2696" s="5"/>
      <c r="S2696" s="5"/>
      <c r="T2696" s="5"/>
      <c r="AC2696" s="8"/>
      <c r="AD2696" s="8"/>
      <c r="AE2696" s="8"/>
      <c r="AF2696" s="8"/>
      <c r="AG2696" s="8"/>
      <c r="AH2696" s="8"/>
      <c r="AI2696" s="8"/>
      <c r="AJ2696" s="8"/>
      <c r="AK2696" s="8"/>
      <c r="AL2696" s="8"/>
      <c r="AM2696" s="8"/>
      <c r="AN2696" s="8"/>
      <c r="AO2696" s="8"/>
      <c r="AS2696" s="5" t="str">
        <f t="shared" si="1201"/>
        <v>R11NEIL</v>
      </c>
    </row>
    <row r="2697" spans="1:45" hidden="1">
      <c r="A2697" s="4"/>
      <c r="B2697" s="4"/>
      <c r="C2697" s="651" t="s">
        <v>1946</v>
      </c>
      <c r="E2697" s="5"/>
      <c r="F2697" s="5"/>
      <c r="G2697" s="5"/>
      <c r="I2697" s="5"/>
      <c r="J2697" s="4"/>
      <c r="K2697" s="5"/>
      <c r="M2697" s="5"/>
      <c r="N2697" s="5"/>
      <c r="O2697" s="5"/>
      <c r="Q2697" s="5"/>
      <c r="R2697" s="5"/>
      <c r="S2697" s="5"/>
      <c r="T2697" s="5"/>
      <c r="AC2697" s="8"/>
      <c r="AD2697" s="8"/>
      <c r="AE2697" s="8"/>
      <c r="AF2697" s="8"/>
      <c r="AG2697" s="8"/>
      <c r="AH2697" s="8"/>
      <c r="AI2697" s="8"/>
      <c r="AJ2697" s="8"/>
      <c r="AK2697" s="8"/>
      <c r="AL2697" s="8"/>
      <c r="AM2697" s="8"/>
      <c r="AN2697" s="8"/>
      <c r="AO2697" s="8"/>
      <c r="AS2697" s="5" t="str">
        <f t="shared" si="1201"/>
        <v>R11NM2 Related</v>
      </c>
    </row>
    <row r="2698" spans="1:45" hidden="1">
      <c r="A2698" s="4"/>
      <c r="B2698" s="4"/>
      <c r="C2698" s="651" t="s">
        <v>1145</v>
      </c>
      <c r="E2698" s="5"/>
      <c r="F2698" s="5"/>
      <c r="G2698" s="5"/>
      <c r="I2698" s="5"/>
      <c r="J2698" s="4"/>
      <c r="K2698" s="5"/>
      <c r="M2698" s="5"/>
      <c r="N2698" s="5"/>
      <c r="O2698" s="5"/>
      <c r="Q2698" s="5"/>
      <c r="R2698" s="5"/>
      <c r="S2698" s="5"/>
      <c r="T2698" s="5"/>
      <c r="AC2698" s="8"/>
      <c r="AD2698" s="8"/>
      <c r="AE2698" s="8"/>
      <c r="AF2698" s="8"/>
      <c r="AG2698" s="8"/>
      <c r="AH2698" s="8"/>
      <c r="AI2698" s="8"/>
      <c r="AJ2698" s="8"/>
      <c r="AK2698" s="8"/>
      <c r="AL2698" s="8"/>
      <c r="AM2698" s="8"/>
      <c r="AN2698" s="8"/>
      <c r="AO2698" s="8"/>
      <c r="AS2698" s="5" t="str">
        <f t="shared" si="1201"/>
        <v>R11NM2 Sale</v>
      </c>
    </row>
    <row r="2699" spans="1:45" hidden="1">
      <c r="A2699" s="4"/>
      <c r="B2699" s="4"/>
      <c r="C2699" s="651" t="s">
        <v>1857</v>
      </c>
      <c r="E2699" s="5"/>
      <c r="F2699" s="5"/>
      <c r="G2699" s="5"/>
      <c r="I2699" s="5"/>
      <c r="J2699" s="4"/>
      <c r="K2699" s="5"/>
      <c r="M2699" s="5"/>
      <c r="N2699" s="5"/>
      <c r="O2699" s="5"/>
      <c r="Q2699" s="5"/>
      <c r="R2699" s="5"/>
      <c r="S2699" s="5"/>
      <c r="T2699" s="5"/>
      <c r="AC2699" s="8"/>
      <c r="AD2699" s="8"/>
      <c r="AE2699" s="8"/>
      <c r="AF2699" s="8"/>
      <c r="AG2699" s="8"/>
      <c r="AH2699" s="8"/>
      <c r="AI2699" s="8"/>
      <c r="AJ2699" s="8"/>
      <c r="AK2699" s="8"/>
      <c r="AL2699" s="8"/>
      <c r="AM2699" s="8"/>
      <c r="AN2699" s="8"/>
      <c r="AO2699" s="8"/>
      <c r="AS2699" s="5" t="str">
        <f t="shared" si="1201"/>
        <v>R11Nuclear Decommissioning</v>
      </c>
    </row>
    <row r="2700" spans="1:45" hidden="1">
      <c r="A2700" s="4"/>
      <c r="B2700" s="4"/>
      <c r="C2700" s="651" t="s">
        <v>2073</v>
      </c>
      <c r="E2700" s="5"/>
      <c r="F2700" s="5"/>
      <c r="G2700" s="5"/>
      <c r="I2700" s="5"/>
      <c r="J2700" s="4"/>
      <c r="K2700" s="5"/>
      <c r="M2700" s="5"/>
      <c r="N2700" s="5"/>
      <c r="O2700" s="5"/>
      <c r="Q2700" s="5"/>
      <c r="R2700" s="5"/>
      <c r="S2700" s="5"/>
      <c r="T2700" s="5"/>
      <c r="AC2700" s="8"/>
      <c r="AD2700" s="8"/>
      <c r="AE2700" s="8"/>
      <c r="AF2700" s="8"/>
      <c r="AG2700" s="8"/>
      <c r="AH2700" s="8"/>
      <c r="AI2700" s="8"/>
      <c r="AJ2700" s="8"/>
      <c r="AK2700" s="8"/>
      <c r="AL2700" s="8"/>
      <c r="AM2700" s="8"/>
      <c r="AN2700" s="8"/>
      <c r="AO2700" s="8"/>
      <c r="AS2700" s="5" t="str">
        <f t="shared" si="1201"/>
        <v>R11Nuclear Fuel Depreciation</v>
      </c>
    </row>
    <row r="2701" spans="1:45" hidden="1">
      <c r="A2701" s="4"/>
      <c r="B2701" s="4"/>
      <c r="C2701" s="651" t="s">
        <v>1995</v>
      </c>
      <c r="E2701" s="5"/>
      <c r="F2701" s="5"/>
      <c r="G2701" s="5"/>
      <c r="I2701" s="5"/>
      <c r="J2701" s="4"/>
      <c r="K2701" s="5"/>
      <c r="M2701" s="5"/>
      <c r="N2701" s="5"/>
      <c r="O2701" s="5"/>
      <c r="Q2701" s="5"/>
      <c r="R2701" s="5"/>
      <c r="S2701" s="5"/>
      <c r="T2701" s="5"/>
      <c r="AC2701" s="8"/>
      <c r="AD2701" s="8"/>
      <c r="AE2701" s="8"/>
      <c r="AF2701" s="8"/>
      <c r="AG2701" s="8"/>
      <c r="AH2701" s="8"/>
      <c r="AI2701" s="8"/>
      <c r="AJ2701" s="8"/>
      <c r="AK2701" s="8"/>
      <c r="AL2701" s="8"/>
      <c r="AM2701" s="8"/>
      <c r="AN2701" s="8"/>
      <c r="AO2701" s="8"/>
      <c r="AS2701" s="5" t="str">
        <f t="shared" si="1201"/>
        <v>R11NYS Income Tax / GRT Deferral</v>
      </c>
    </row>
    <row r="2702" spans="1:45" hidden="1">
      <c r="A2702" s="4"/>
      <c r="B2702" s="4"/>
      <c r="C2702" s="651" t="s">
        <v>1126</v>
      </c>
      <c r="E2702" s="5"/>
      <c r="F2702" s="5"/>
      <c r="G2702" s="5"/>
      <c r="I2702" s="5"/>
      <c r="J2702" s="4"/>
      <c r="K2702" s="5"/>
      <c r="M2702" s="5"/>
      <c r="N2702" s="5"/>
      <c r="O2702" s="5"/>
      <c r="Q2702" s="5"/>
      <c r="R2702" s="5"/>
      <c r="S2702" s="5"/>
      <c r="T2702" s="5"/>
      <c r="AC2702" s="8"/>
      <c r="AD2702" s="8"/>
      <c r="AE2702" s="8"/>
      <c r="AF2702" s="8"/>
      <c r="AG2702" s="8"/>
      <c r="AH2702" s="8"/>
      <c r="AI2702" s="8"/>
      <c r="AJ2702" s="8"/>
      <c r="AK2702" s="8"/>
      <c r="AL2702" s="8"/>
      <c r="AM2702" s="8"/>
      <c r="AN2702" s="8"/>
      <c r="AO2702" s="8"/>
      <c r="AS2702" s="5" t="str">
        <f t="shared" si="1201"/>
        <v>R11NYS Tax Audit</v>
      </c>
    </row>
    <row r="2703" spans="1:45" hidden="1">
      <c r="A2703" s="4"/>
      <c r="B2703" s="4"/>
      <c r="C2703" s="651" t="s">
        <v>1125</v>
      </c>
      <c r="E2703" s="5"/>
      <c r="F2703" s="5"/>
      <c r="G2703" s="5"/>
      <c r="I2703" s="5"/>
      <c r="J2703" s="4"/>
      <c r="K2703" s="5"/>
      <c r="M2703" s="5"/>
      <c r="N2703" s="5"/>
      <c r="O2703" s="5"/>
      <c r="Q2703" s="5"/>
      <c r="R2703" s="5"/>
      <c r="S2703" s="5"/>
      <c r="T2703" s="5"/>
      <c r="AC2703" s="8"/>
      <c r="AD2703" s="8"/>
      <c r="AE2703" s="8"/>
      <c r="AF2703" s="8"/>
      <c r="AG2703" s="8"/>
      <c r="AH2703" s="8"/>
      <c r="AI2703" s="8"/>
      <c r="AJ2703" s="8"/>
      <c r="AK2703" s="8"/>
      <c r="AL2703" s="8"/>
      <c r="AM2703" s="8"/>
      <c r="AN2703" s="8"/>
      <c r="AO2703" s="8"/>
      <c r="AS2703" s="5" t="str">
        <f t="shared" si="1201"/>
        <v>R11NYS Tax Rate to 7.1%</v>
      </c>
    </row>
    <row r="2704" spans="1:45" hidden="1">
      <c r="A2704" s="4"/>
      <c r="B2704" s="4"/>
      <c r="C2704" s="651" t="s">
        <v>816</v>
      </c>
      <c r="E2704" s="5"/>
      <c r="F2704" s="5"/>
      <c r="G2704" s="5"/>
      <c r="I2704" s="5"/>
      <c r="J2704" s="4"/>
      <c r="K2704" s="5"/>
      <c r="M2704" s="5"/>
      <c r="N2704" s="5"/>
      <c r="O2704" s="5"/>
      <c r="Q2704" s="5"/>
      <c r="R2704" s="5"/>
      <c r="S2704" s="5"/>
      <c r="T2704" s="5"/>
      <c r="AC2704" s="8"/>
      <c r="AD2704" s="8"/>
      <c r="AE2704" s="8"/>
      <c r="AF2704" s="8"/>
      <c r="AG2704" s="8"/>
      <c r="AH2704" s="8"/>
      <c r="AI2704" s="8"/>
      <c r="AJ2704" s="8"/>
      <c r="AK2704" s="8"/>
      <c r="AL2704" s="8"/>
      <c r="AM2704" s="8"/>
      <c r="AN2704" s="8"/>
      <c r="AO2704" s="8"/>
      <c r="AS2704" s="5" t="str">
        <f t="shared" si="1201"/>
        <v>R11NYSIT - '02 Combined Filing Adj</v>
      </c>
    </row>
    <row r="2705" spans="1:45" hidden="1">
      <c r="A2705" s="4"/>
      <c r="B2705" s="4"/>
      <c r="C2705" s="651" t="s">
        <v>927</v>
      </c>
      <c r="E2705" s="5"/>
      <c r="F2705" s="5"/>
      <c r="G2705" s="5"/>
      <c r="I2705" s="5"/>
      <c r="J2705" s="4"/>
      <c r="K2705" s="5"/>
      <c r="M2705" s="5"/>
      <c r="N2705" s="5"/>
      <c r="O2705" s="5"/>
      <c r="Q2705" s="5"/>
      <c r="R2705" s="5"/>
      <c r="S2705" s="5"/>
      <c r="T2705" s="5"/>
      <c r="AC2705" s="8"/>
      <c r="AD2705" s="8"/>
      <c r="AE2705" s="8"/>
      <c r="AF2705" s="8"/>
      <c r="AG2705" s="8"/>
      <c r="AH2705" s="8"/>
      <c r="AI2705" s="8"/>
      <c r="AJ2705" s="8"/>
      <c r="AK2705" s="8"/>
      <c r="AL2705" s="8"/>
      <c r="AM2705" s="8"/>
      <c r="AN2705" s="8"/>
      <c r="AO2705" s="8"/>
      <c r="AS2705" s="5" t="str">
        <f t="shared" si="1201"/>
        <v>R11OPEB</v>
      </c>
    </row>
    <row r="2706" spans="1:45" hidden="1">
      <c r="A2706" s="4"/>
      <c r="B2706" s="4"/>
      <c r="C2706" s="651" t="s">
        <v>1139</v>
      </c>
      <c r="E2706" s="5"/>
      <c r="F2706" s="5"/>
      <c r="G2706" s="5"/>
      <c r="I2706" s="5"/>
      <c r="J2706" s="4"/>
      <c r="K2706" s="5"/>
      <c r="M2706" s="5"/>
      <c r="N2706" s="5"/>
      <c r="O2706" s="5"/>
      <c r="Q2706" s="5"/>
      <c r="R2706" s="5"/>
      <c r="S2706" s="5"/>
      <c r="T2706" s="5"/>
      <c r="AC2706" s="8"/>
      <c r="AD2706" s="8"/>
      <c r="AE2706" s="8"/>
      <c r="AF2706" s="8"/>
      <c r="AG2706" s="8"/>
      <c r="AH2706" s="8"/>
      <c r="AI2706" s="8"/>
      <c r="AJ2706" s="8"/>
      <c r="AK2706" s="8"/>
      <c r="AL2706" s="8"/>
      <c r="AM2706" s="8"/>
      <c r="AN2706" s="8"/>
      <c r="AO2706" s="8"/>
      <c r="AS2706" s="5" t="str">
        <f t="shared" si="1201"/>
        <v>R11Oswego</v>
      </c>
    </row>
    <row r="2707" spans="1:45" hidden="1">
      <c r="A2707" s="4"/>
      <c r="B2707" s="4"/>
      <c r="C2707" s="651" t="s">
        <v>815</v>
      </c>
      <c r="E2707" s="5"/>
      <c r="F2707" s="5"/>
      <c r="G2707" s="5"/>
      <c r="I2707" s="5"/>
      <c r="J2707" s="4"/>
      <c r="K2707" s="5"/>
      <c r="M2707" s="5"/>
      <c r="N2707" s="5"/>
      <c r="O2707" s="5"/>
      <c r="Q2707" s="5"/>
      <c r="R2707" s="5"/>
      <c r="S2707" s="5"/>
      <c r="T2707" s="5"/>
      <c r="AC2707" s="8"/>
      <c r="AD2707" s="8"/>
      <c r="AE2707" s="8"/>
      <c r="AF2707" s="8"/>
      <c r="AG2707" s="8"/>
      <c r="AH2707" s="8"/>
      <c r="AI2707" s="8"/>
      <c r="AJ2707" s="8"/>
      <c r="AK2707" s="8"/>
      <c r="AL2707" s="8"/>
      <c r="AM2707" s="8"/>
      <c r="AN2707" s="8"/>
      <c r="AO2707" s="8"/>
      <c r="AS2707" s="5" t="str">
        <f t="shared" si="1201"/>
        <v>R11Outreach &amp; Education</v>
      </c>
    </row>
    <row r="2708" spans="1:45" hidden="1">
      <c r="A2708" s="4"/>
      <c r="B2708" s="4"/>
      <c r="C2708" s="651" t="s">
        <v>1673</v>
      </c>
      <c r="E2708" s="5"/>
      <c r="F2708" s="5"/>
      <c r="G2708" s="5"/>
      <c r="I2708" s="5"/>
      <c r="J2708" s="4"/>
      <c r="K2708" s="5"/>
      <c r="M2708" s="5"/>
      <c r="N2708" s="5"/>
      <c r="O2708" s="5"/>
      <c r="Q2708" s="5"/>
      <c r="R2708" s="5"/>
      <c r="S2708" s="5"/>
      <c r="T2708" s="5"/>
      <c r="AC2708" s="8"/>
      <c r="AD2708" s="8"/>
      <c r="AE2708" s="8"/>
      <c r="AF2708" s="8"/>
      <c r="AG2708" s="8"/>
      <c r="AH2708" s="8"/>
      <c r="AI2708" s="8"/>
      <c r="AJ2708" s="8"/>
      <c r="AK2708" s="8"/>
      <c r="AL2708" s="8"/>
      <c r="AM2708" s="8"/>
      <c r="AN2708" s="8"/>
      <c r="AO2708" s="8"/>
      <c r="AS2708" s="5" t="str">
        <f t="shared" ref="AS2708:AS2743" si="1202">CONCATENATE($D$2747,C2708)</f>
        <v>R11Pension</v>
      </c>
    </row>
    <row r="2709" spans="1:45" hidden="1">
      <c r="A2709" s="4"/>
      <c r="B2709" s="4"/>
      <c r="C2709" s="651" t="s">
        <v>1819</v>
      </c>
      <c r="E2709" s="5"/>
      <c r="F2709" s="5"/>
      <c r="G2709" s="5"/>
      <c r="I2709" s="5"/>
      <c r="J2709" s="4"/>
      <c r="K2709" s="5"/>
      <c r="M2709" s="5"/>
      <c r="N2709" s="5"/>
      <c r="O2709" s="5"/>
      <c r="Q2709" s="5"/>
      <c r="R2709" s="5"/>
      <c r="S2709" s="5"/>
      <c r="T2709" s="5"/>
      <c r="AC2709" s="8"/>
      <c r="AD2709" s="8"/>
      <c r="AE2709" s="8"/>
      <c r="AF2709" s="8"/>
      <c r="AG2709" s="8"/>
      <c r="AH2709" s="8"/>
      <c r="AI2709" s="8"/>
      <c r="AJ2709" s="8"/>
      <c r="AK2709" s="8"/>
      <c r="AL2709" s="8"/>
      <c r="AM2709" s="8"/>
      <c r="AN2709" s="8"/>
      <c r="AO2709" s="8"/>
      <c r="AS2709" s="5" t="str">
        <f t="shared" si="1202"/>
        <v>R11Performance Plus Plan</v>
      </c>
    </row>
    <row r="2710" spans="1:45" hidden="1">
      <c r="A2710" s="4"/>
      <c r="B2710" s="4"/>
      <c r="C2710" s="651" t="s">
        <v>1677</v>
      </c>
      <c r="E2710" s="5"/>
      <c r="F2710" s="5"/>
      <c r="G2710" s="5"/>
      <c r="I2710" s="5"/>
      <c r="J2710" s="4"/>
      <c r="K2710" s="5"/>
      <c r="M2710" s="5"/>
      <c r="N2710" s="5"/>
      <c r="O2710" s="5"/>
      <c r="Q2710" s="5"/>
      <c r="R2710" s="5"/>
      <c r="S2710" s="5"/>
      <c r="T2710" s="5"/>
      <c r="AC2710" s="8"/>
      <c r="AD2710" s="8"/>
      <c r="AE2710" s="8"/>
      <c r="AF2710" s="8"/>
      <c r="AG2710" s="8"/>
      <c r="AH2710" s="8"/>
      <c r="AI2710" s="8"/>
      <c r="AJ2710" s="8"/>
      <c r="AK2710" s="8"/>
      <c r="AL2710" s="8"/>
      <c r="AM2710" s="8"/>
      <c r="AN2710" s="8"/>
      <c r="AO2710" s="8"/>
      <c r="AS2710" s="5" t="str">
        <f t="shared" si="1202"/>
        <v>R11Personal Time</v>
      </c>
    </row>
    <row r="2711" spans="1:45" hidden="1">
      <c r="A2711" s="4"/>
      <c r="B2711" s="4"/>
      <c r="C2711" s="651" t="s">
        <v>1481</v>
      </c>
      <c r="E2711" s="5"/>
      <c r="F2711" s="5"/>
      <c r="G2711" s="5"/>
      <c r="I2711" s="5"/>
      <c r="J2711" s="4"/>
      <c r="K2711" s="5"/>
      <c r="M2711" s="5"/>
      <c r="N2711" s="5"/>
      <c r="O2711" s="5"/>
      <c r="Q2711" s="5"/>
      <c r="R2711" s="5"/>
      <c r="S2711" s="5"/>
      <c r="T2711" s="5"/>
      <c r="AC2711" s="8"/>
      <c r="AD2711" s="8"/>
      <c r="AE2711" s="8"/>
      <c r="AF2711" s="8"/>
      <c r="AG2711" s="8"/>
      <c r="AH2711" s="8"/>
      <c r="AI2711" s="8"/>
      <c r="AJ2711" s="8"/>
      <c r="AK2711" s="8"/>
      <c r="AL2711" s="8"/>
      <c r="AM2711" s="8"/>
      <c r="AN2711" s="8"/>
      <c r="AO2711" s="8"/>
      <c r="AS2711" s="5" t="str">
        <f t="shared" si="1202"/>
        <v>R11Positive Benefit Adjustment</v>
      </c>
    </row>
    <row r="2712" spans="1:45" hidden="1">
      <c r="A2712" s="4"/>
      <c r="B2712" s="4"/>
      <c r="C2712" s="651" t="s">
        <v>1199</v>
      </c>
      <c r="E2712" s="5"/>
      <c r="F2712" s="5"/>
      <c r="G2712" s="5"/>
      <c r="I2712" s="5"/>
      <c r="J2712" s="4"/>
      <c r="K2712" s="5"/>
      <c r="M2712" s="5"/>
      <c r="N2712" s="5"/>
      <c r="O2712" s="5"/>
      <c r="Q2712" s="5"/>
      <c r="R2712" s="5"/>
      <c r="S2712" s="5"/>
      <c r="T2712" s="5"/>
      <c r="AC2712" s="8"/>
      <c r="AD2712" s="8"/>
      <c r="AE2712" s="8"/>
      <c r="AF2712" s="8"/>
      <c r="AG2712" s="8"/>
      <c r="AH2712" s="8"/>
      <c r="AI2712" s="8"/>
      <c r="AJ2712" s="8"/>
      <c r="AK2712" s="8"/>
      <c r="AL2712" s="8"/>
      <c r="AM2712" s="8"/>
      <c r="AN2712" s="8"/>
      <c r="AO2712" s="8"/>
      <c r="AS2712" s="5" t="str">
        <f t="shared" si="1202"/>
        <v>R11Pre-Capitalized Installation Costs</v>
      </c>
    </row>
    <row r="2713" spans="1:45" hidden="1">
      <c r="A2713" s="4"/>
      <c r="B2713" s="4"/>
      <c r="C2713" s="651" t="s">
        <v>2354</v>
      </c>
      <c r="E2713" s="5"/>
      <c r="F2713" s="5"/>
      <c r="G2713" s="5"/>
      <c r="I2713" s="5"/>
      <c r="J2713" s="4"/>
      <c r="K2713" s="5"/>
      <c r="M2713" s="5"/>
      <c r="N2713" s="5"/>
      <c r="O2713" s="5"/>
      <c r="Q2713" s="5"/>
      <c r="R2713" s="5"/>
      <c r="S2713" s="5"/>
      <c r="T2713" s="5"/>
      <c r="AC2713" s="8"/>
      <c r="AD2713" s="8"/>
      <c r="AE2713" s="8"/>
      <c r="AF2713" s="8"/>
      <c r="AG2713" s="8"/>
      <c r="AH2713" s="8"/>
      <c r="AI2713" s="8"/>
      <c r="AJ2713" s="8"/>
      <c r="AK2713" s="8"/>
      <c r="AL2713" s="8"/>
      <c r="AM2713" s="8"/>
      <c r="AN2713" s="8"/>
      <c r="AO2713" s="8"/>
      <c r="AS2713" s="5" t="str">
        <f t="shared" si="1202"/>
        <v>R11Preferred Stock</v>
      </c>
    </row>
    <row r="2714" spans="1:45" hidden="1">
      <c r="A2714" s="4"/>
      <c r="B2714" s="4"/>
      <c r="C2714" s="651" t="s">
        <v>2221</v>
      </c>
      <c r="E2714" s="5"/>
      <c r="F2714" s="5"/>
      <c r="G2714" s="5"/>
      <c r="I2714" s="5"/>
      <c r="J2714" s="4"/>
      <c r="K2714" s="5"/>
      <c r="M2714" s="5"/>
      <c r="N2714" s="5"/>
      <c r="O2714" s="5"/>
      <c r="Q2714" s="5"/>
      <c r="R2714" s="5"/>
      <c r="S2714" s="5"/>
      <c r="T2714" s="5"/>
      <c r="AC2714" s="8"/>
      <c r="AD2714" s="8"/>
      <c r="AE2714" s="8"/>
      <c r="AF2714" s="8"/>
      <c r="AG2714" s="8"/>
      <c r="AH2714" s="8"/>
      <c r="AI2714" s="8"/>
      <c r="AJ2714" s="8"/>
      <c r="AK2714" s="8"/>
      <c r="AL2714" s="8"/>
      <c r="AM2714" s="8"/>
      <c r="AN2714" s="8"/>
      <c r="AO2714" s="8"/>
      <c r="AS2714" s="5" t="str">
        <f t="shared" si="1202"/>
        <v>R11Prepaid Insurance</v>
      </c>
    </row>
    <row r="2715" spans="1:45" hidden="1">
      <c r="A2715" s="4"/>
      <c r="B2715" s="4"/>
      <c r="C2715" s="651" t="s">
        <v>1755</v>
      </c>
      <c r="E2715" s="5"/>
      <c r="F2715" s="5"/>
      <c r="G2715" s="5"/>
      <c r="I2715" s="5"/>
      <c r="J2715" s="4"/>
      <c r="K2715" s="5"/>
      <c r="M2715" s="5"/>
      <c r="N2715" s="5"/>
      <c r="O2715" s="5"/>
      <c r="Q2715" s="5"/>
      <c r="R2715" s="5"/>
      <c r="S2715" s="5"/>
      <c r="T2715" s="5"/>
      <c r="AC2715" s="8"/>
      <c r="AD2715" s="8"/>
      <c r="AE2715" s="8"/>
      <c r="AF2715" s="8"/>
      <c r="AG2715" s="8"/>
      <c r="AH2715" s="8"/>
      <c r="AI2715" s="8"/>
      <c r="AJ2715" s="8"/>
      <c r="AK2715" s="8"/>
      <c r="AL2715" s="8"/>
      <c r="AM2715" s="8"/>
      <c r="AN2715" s="8"/>
      <c r="AO2715" s="8"/>
      <c r="AS2715" s="5" t="str">
        <f t="shared" si="1202"/>
        <v>R11Prepaid Property Tax</v>
      </c>
    </row>
    <row r="2716" spans="1:45" hidden="1">
      <c r="A2716" s="4"/>
      <c r="B2716" s="4"/>
      <c r="C2716" s="651" t="s">
        <v>2224</v>
      </c>
      <c r="E2716" s="5"/>
      <c r="F2716" s="5"/>
      <c r="G2716" s="5"/>
      <c r="I2716" s="5"/>
      <c r="J2716" s="4"/>
      <c r="K2716" s="5"/>
      <c r="M2716" s="5"/>
      <c r="N2716" s="5"/>
      <c r="O2716" s="5"/>
      <c r="Q2716" s="5"/>
      <c r="R2716" s="5"/>
      <c r="S2716" s="5"/>
      <c r="T2716" s="5"/>
      <c r="AC2716" s="8"/>
      <c r="AD2716" s="8"/>
      <c r="AE2716" s="8"/>
      <c r="AF2716" s="8"/>
      <c r="AG2716" s="8"/>
      <c r="AH2716" s="8"/>
      <c r="AI2716" s="8"/>
      <c r="AJ2716" s="8"/>
      <c r="AK2716" s="8"/>
      <c r="AL2716" s="8"/>
      <c r="AM2716" s="8"/>
      <c r="AN2716" s="8"/>
      <c r="AO2716" s="8"/>
      <c r="AS2716" s="5" t="str">
        <f t="shared" si="1202"/>
        <v>R11PRIDE</v>
      </c>
    </row>
    <row r="2717" spans="1:45" hidden="1">
      <c r="A2717" s="4"/>
      <c r="B2717" s="4"/>
      <c r="C2717" s="651" t="s">
        <v>1969</v>
      </c>
      <c r="E2717" s="5"/>
      <c r="F2717" s="5"/>
      <c r="G2717" s="5"/>
      <c r="I2717" s="5"/>
      <c r="J2717" s="4"/>
      <c r="K2717" s="5"/>
      <c r="M2717" s="5"/>
      <c r="N2717" s="5"/>
      <c r="O2717" s="5"/>
      <c r="Q2717" s="5"/>
      <c r="R2717" s="5"/>
      <c r="S2717" s="5"/>
      <c r="T2717" s="5"/>
      <c r="AC2717" s="8"/>
      <c r="AD2717" s="8"/>
      <c r="AE2717" s="8"/>
      <c r="AF2717" s="8"/>
      <c r="AG2717" s="8"/>
      <c r="AH2717" s="8"/>
      <c r="AI2717" s="8"/>
      <c r="AJ2717" s="8"/>
      <c r="AK2717" s="8"/>
      <c r="AL2717" s="8"/>
      <c r="AM2717" s="8"/>
      <c r="AN2717" s="8"/>
      <c r="AO2717" s="8"/>
      <c r="AS2717" s="5" t="str">
        <f t="shared" si="1202"/>
        <v>R11Property Tax 481(a) Deferral</v>
      </c>
    </row>
    <row r="2718" spans="1:45" hidden="1">
      <c r="A2718" s="4"/>
      <c r="B2718" s="4"/>
      <c r="C2718" s="651" t="s">
        <v>1973</v>
      </c>
      <c r="E2718" s="5"/>
      <c r="F2718" s="5"/>
      <c r="G2718" s="5"/>
      <c r="I2718" s="5"/>
      <c r="J2718" s="4"/>
      <c r="K2718" s="5"/>
      <c r="M2718" s="5"/>
      <c r="N2718" s="5"/>
      <c r="O2718" s="5"/>
      <c r="Q2718" s="5"/>
      <c r="R2718" s="5"/>
      <c r="S2718" s="5"/>
      <c r="T2718" s="5"/>
      <c r="AC2718" s="8"/>
      <c r="AD2718" s="8"/>
      <c r="AE2718" s="8"/>
      <c r="AF2718" s="8"/>
      <c r="AG2718" s="8"/>
      <c r="AH2718" s="8"/>
      <c r="AI2718" s="8"/>
      <c r="AJ2718" s="8"/>
      <c r="AK2718" s="8"/>
      <c r="AL2718" s="8"/>
      <c r="AM2718" s="8"/>
      <c r="AN2718" s="8"/>
      <c r="AO2718" s="8"/>
      <c r="AS2718" s="5" t="str">
        <f t="shared" si="1202"/>
        <v>R11Property Tax Audit</v>
      </c>
    </row>
    <row r="2719" spans="1:45" hidden="1">
      <c r="A2719" s="4"/>
      <c r="B2719" s="4"/>
      <c r="C2719" s="651" t="s">
        <v>1245</v>
      </c>
      <c r="E2719" s="5"/>
      <c r="F2719" s="5"/>
      <c r="G2719" s="5"/>
      <c r="I2719" s="5"/>
      <c r="J2719" s="4"/>
      <c r="K2719" s="5"/>
      <c r="M2719" s="5"/>
      <c r="N2719" s="5"/>
      <c r="O2719" s="5"/>
      <c r="Q2719" s="5"/>
      <c r="R2719" s="5"/>
      <c r="S2719" s="5"/>
      <c r="T2719" s="5"/>
      <c r="AC2719" s="8"/>
      <c r="AD2719" s="8"/>
      <c r="AE2719" s="8"/>
      <c r="AF2719" s="8"/>
      <c r="AG2719" s="8"/>
      <c r="AH2719" s="8"/>
      <c r="AI2719" s="8"/>
      <c r="AJ2719" s="8"/>
      <c r="AK2719" s="8"/>
      <c r="AL2719" s="8"/>
      <c r="AM2719" s="8"/>
      <c r="AN2719" s="8"/>
      <c r="AO2719" s="8"/>
      <c r="AS2719" s="5" t="str">
        <f t="shared" si="1202"/>
        <v>R11Purchase of Receivables</v>
      </c>
    </row>
    <row r="2720" spans="1:45" hidden="1">
      <c r="A2720" s="4"/>
      <c r="B2720" s="4"/>
      <c r="C2720" s="651" t="s">
        <v>1124</v>
      </c>
      <c r="E2720" s="5"/>
      <c r="F2720" s="5"/>
      <c r="G2720" s="5"/>
      <c r="I2720" s="5"/>
      <c r="J2720" s="4"/>
      <c r="K2720" s="5"/>
      <c r="M2720" s="5"/>
      <c r="N2720" s="5"/>
      <c r="O2720" s="5"/>
      <c r="Q2720" s="5"/>
      <c r="R2720" s="5"/>
      <c r="S2720" s="5"/>
      <c r="T2720" s="5"/>
      <c r="AC2720" s="8"/>
      <c r="AD2720" s="8"/>
      <c r="AE2720" s="8"/>
      <c r="AF2720" s="8"/>
      <c r="AG2720" s="8"/>
      <c r="AH2720" s="8"/>
      <c r="AI2720" s="8"/>
      <c r="AJ2720" s="8"/>
      <c r="AK2720" s="8"/>
      <c r="AL2720" s="8"/>
      <c r="AM2720" s="8"/>
      <c r="AN2720" s="8"/>
      <c r="AO2720" s="8"/>
      <c r="AS2720" s="5" t="str">
        <f t="shared" si="1202"/>
        <v>R11R&amp;D Tax Credit Deferral</v>
      </c>
    </row>
    <row r="2721" spans="1:45" hidden="1">
      <c r="A2721" s="4"/>
      <c r="B2721" s="4"/>
      <c r="C2721" s="651" t="s">
        <v>2228</v>
      </c>
      <c r="E2721" s="5"/>
      <c r="F2721" s="5"/>
      <c r="G2721" s="5"/>
      <c r="I2721" s="5"/>
      <c r="J2721" s="4"/>
      <c r="K2721" s="5"/>
      <c r="M2721" s="5"/>
      <c r="N2721" s="5"/>
      <c r="O2721" s="5"/>
      <c r="Q2721" s="5"/>
      <c r="R2721" s="5"/>
      <c r="S2721" s="5"/>
      <c r="T2721" s="5"/>
      <c r="AC2721" s="8"/>
      <c r="AD2721" s="8"/>
      <c r="AE2721" s="8"/>
      <c r="AF2721" s="8"/>
      <c r="AG2721" s="8"/>
      <c r="AH2721" s="8"/>
      <c r="AI2721" s="8"/>
      <c r="AJ2721" s="8"/>
      <c r="AK2721" s="8"/>
      <c r="AL2721" s="8"/>
      <c r="AM2721" s="8"/>
      <c r="AN2721" s="8"/>
      <c r="AO2721" s="8"/>
      <c r="AS2721" s="5" t="str">
        <f t="shared" si="1202"/>
        <v>R11RAS</v>
      </c>
    </row>
    <row r="2722" spans="1:45" hidden="1">
      <c r="A2722" s="4"/>
      <c r="B2722" s="4"/>
      <c r="C2722" s="651" t="s">
        <v>1983</v>
      </c>
      <c r="E2722" s="5"/>
      <c r="F2722" s="5"/>
      <c r="G2722" s="5"/>
      <c r="I2722" s="5"/>
      <c r="J2722" s="4"/>
      <c r="K2722" s="5"/>
      <c r="M2722" s="5"/>
      <c r="N2722" s="5"/>
      <c r="O2722" s="5"/>
      <c r="Q2722" s="5"/>
      <c r="R2722" s="5"/>
      <c r="S2722" s="5"/>
      <c r="T2722" s="5"/>
      <c r="AC2722" s="8"/>
      <c r="AD2722" s="8"/>
      <c r="AE2722" s="8"/>
      <c r="AF2722" s="8"/>
      <c r="AG2722" s="8"/>
      <c r="AH2722" s="8"/>
      <c r="AI2722" s="8"/>
      <c r="AJ2722" s="8"/>
      <c r="AK2722" s="8"/>
      <c r="AL2722" s="8"/>
      <c r="AM2722" s="8"/>
      <c r="AN2722" s="8"/>
      <c r="AO2722" s="8"/>
      <c r="AS2722" s="5" t="str">
        <f t="shared" si="1202"/>
        <v>R11Reaquired Debt</v>
      </c>
    </row>
    <row r="2723" spans="1:45" hidden="1">
      <c r="A2723" s="4"/>
      <c r="B2723" s="4"/>
      <c r="C2723" s="651" t="s">
        <v>2233</v>
      </c>
      <c r="E2723" s="5"/>
      <c r="F2723" s="5"/>
      <c r="G2723" s="5"/>
      <c r="I2723" s="5"/>
      <c r="J2723" s="4"/>
      <c r="K2723" s="5"/>
      <c r="M2723" s="5"/>
      <c r="N2723" s="5"/>
      <c r="O2723" s="5"/>
      <c r="Q2723" s="5"/>
      <c r="R2723" s="5"/>
      <c r="S2723" s="5"/>
      <c r="T2723" s="5"/>
      <c r="AC2723" s="8"/>
      <c r="AD2723" s="8"/>
      <c r="AE2723" s="8"/>
      <c r="AF2723" s="8"/>
      <c r="AG2723" s="8"/>
      <c r="AH2723" s="8"/>
      <c r="AI2723" s="8"/>
      <c r="AJ2723" s="8"/>
      <c r="AK2723" s="8"/>
      <c r="AL2723" s="8"/>
      <c r="AM2723" s="8"/>
      <c r="AN2723" s="8"/>
      <c r="AO2723" s="8"/>
      <c r="AS2723" s="5" t="str">
        <f t="shared" si="1202"/>
        <v>R11Repair Allowance</v>
      </c>
    </row>
    <row r="2724" spans="1:45" hidden="1">
      <c r="A2724" s="4"/>
      <c r="B2724" s="4"/>
      <c r="C2724" s="651" t="s">
        <v>1691</v>
      </c>
      <c r="E2724" s="5"/>
      <c r="F2724" s="5"/>
      <c r="G2724" s="5"/>
      <c r="I2724" s="5"/>
      <c r="J2724" s="4"/>
      <c r="K2724" s="5"/>
      <c r="M2724" s="5"/>
      <c r="N2724" s="5"/>
      <c r="O2724" s="5"/>
      <c r="Q2724" s="5"/>
      <c r="R2724" s="5"/>
      <c r="S2724" s="5"/>
      <c r="T2724" s="5"/>
      <c r="AC2724" s="8"/>
      <c r="AD2724" s="8"/>
      <c r="AE2724" s="8"/>
      <c r="AF2724" s="8"/>
      <c r="AG2724" s="8"/>
      <c r="AH2724" s="8"/>
      <c r="AI2724" s="8"/>
      <c r="AJ2724" s="8"/>
      <c r="AK2724" s="8"/>
      <c r="AL2724" s="8"/>
      <c r="AM2724" s="8"/>
      <c r="AN2724" s="8"/>
      <c r="AO2724" s="8"/>
      <c r="AS2724" s="5" t="str">
        <f t="shared" si="1202"/>
        <v>R11Restricted Stock</v>
      </c>
    </row>
    <row r="2725" spans="1:45" hidden="1">
      <c r="A2725" s="4"/>
      <c r="B2725" s="4"/>
      <c r="C2725" s="651" t="s">
        <v>1537</v>
      </c>
      <c r="E2725" s="5"/>
      <c r="F2725" s="5"/>
      <c r="G2725" s="5"/>
      <c r="I2725" s="5"/>
      <c r="J2725" s="4"/>
      <c r="K2725" s="5"/>
      <c r="M2725" s="5"/>
      <c r="N2725" s="5"/>
      <c r="O2725" s="5"/>
      <c r="Q2725" s="5"/>
      <c r="R2725" s="5"/>
      <c r="S2725" s="5"/>
      <c r="T2725" s="5"/>
      <c r="AC2725" s="8"/>
      <c r="AD2725" s="8"/>
      <c r="AE2725" s="8"/>
      <c r="AF2725" s="8"/>
      <c r="AG2725" s="8"/>
      <c r="AH2725" s="8"/>
      <c r="AI2725" s="8"/>
      <c r="AJ2725" s="8"/>
      <c r="AK2725" s="8"/>
      <c r="AL2725" s="8"/>
      <c r="AM2725" s="8"/>
      <c r="AN2725" s="8"/>
      <c r="AO2725" s="8"/>
      <c r="AS2725" s="5" t="str">
        <f t="shared" si="1202"/>
        <v>R11Revolver Facility</v>
      </c>
    </row>
    <row r="2726" spans="1:45" hidden="1">
      <c r="A2726" s="4"/>
      <c r="B2726" s="4"/>
      <c r="C2726" s="651" t="s">
        <v>1986</v>
      </c>
      <c r="E2726" s="5"/>
      <c r="F2726" s="5"/>
      <c r="G2726" s="5"/>
      <c r="I2726" s="5"/>
      <c r="J2726" s="4"/>
      <c r="K2726" s="5"/>
      <c r="M2726" s="5"/>
      <c r="N2726" s="5"/>
      <c r="O2726" s="5"/>
      <c r="Q2726" s="5"/>
      <c r="R2726" s="5"/>
      <c r="S2726" s="5"/>
      <c r="T2726" s="5"/>
      <c r="AC2726" s="8"/>
      <c r="AD2726" s="8"/>
      <c r="AE2726" s="8"/>
      <c r="AF2726" s="8"/>
      <c r="AG2726" s="8"/>
      <c r="AH2726" s="8"/>
      <c r="AI2726" s="8"/>
      <c r="AJ2726" s="8"/>
      <c r="AK2726" s="8"/>
      <c r="AL2726" s="8"/>
      <c r="AM2726" s="8"/>
      <c r="AN2726" s="8"/>
      <c r="AO2726" s="8"/>
      <c r="AS2726" s="5" t="str">
        <f t="shared" si="1202"/>
        <v>R11Russell Decommissioning</v>
      </c>
    </row>
    <row r="2727" spans="1:45" hidden="1">
      <c r="A2727" s="4"/>
      <c r="B2727" s="4"/>
      <c r="C2727" s="651" t="s">
        <v>2103</v>
      </c>
      <c r="E2727" s="5"/>
      <c r="F2727" s="5"/>
      <c r="G2727" s="5"/>
      <c r="I2727" s="5"/>
      <c r="J2727" s="4"/>
      <c r="K2727" s="5"/>
      <c r="M2727" s="5"/>
      <c r="N2727" s="5"/>
      <c r="O2727" s="5"/>
      <c r="Q2727" s="5"/>
      <c r="R2727" s="5"/>
      <c r="S2727" s="5"/>
      <c r="T2727" s="5"/>
      <c r="AC2727" s="8"/>
      <c r="AD2727" s="8"/>
      <c r="AE2727" s="8"/>
      <c r="AF2727" s="8"/>
      <c r="AG2727" s="8"/>
      <c r="AH2727" s="8"/>
      <c r="AI2727" s="8"/>
      <c r="AJ2727" s="8"/>
      <c r="AK2727" s="8"/>
      <c r="AL2727" s="8"/>
      <c r="AM2727" s="8"/>
      <c r="AN2727" s="8"/>
      <c r="AO2727" s="8"/>
      <c r="AS2727" s="5" t="str">
        <f t="shared" si="1202"/>
        <v>R11Russell Retirement</v>
      </c>
    </row>
    <row r="2728" spans="1:45" hidden="1">
      <c r="A2728" s="4"/>
      <c r="B2728" s="4"/>
      <c r="C2728" s="651" t="s">
        <v>2240</v>
      </c>
      <c r="E2728" s="5"/>
      <c r="F2728" s="5"/>
      <c r="G2728" s="5"/>
      <c r="I2728" s="5"/>
      <c r="J2728" s="4"/>
      <c r="K2728" s="5"/>
      <c r="M2728" s="5"/>
      <c r="N2728" s="5"/>
      <c r="O2728" s="5"/>
      <c r="Q2728" s="5"/>
      <c r="R2728" s="5"/>
      <c r="S2728" s="5"/>
      <c r="T2728" s="5"/>
      <c r="AC2728" s="8"/>
      <c r="AD2728" s="8"/>
      <c r="AE2728" s="8"/>
      <c r="AF2728" s="8"/>
      <c r="AG2728" s="8"/>
      <c r="AH2728" s="8"/>
      <c r="AI2728" s="8"/>
      <c r="AJ2728" s="8"/>
      <c r="AK2728" s="8"/>
      <c r="AL2728" s="8"/>
      <c r="AM2728" s="8"/>
      <c r="AN2728" s="8"/>
      <c r="AO2728" s="8"/>
      <c r="AS2728" s="5" t="str">
        <f t="shared" si="1202"/>
        <v>R11Sales &amp; Use Tax Audit</v>
      </c>
    </row>
    <row r="2729" spans="1:45" hidden="1">
      <c r="A2729" s="4"/>
      <c r="B2729" s="4"/>
      <c r="C2729" s="651" t="s">
        <v>1114</v>
      </c>
      <c r="E2729" s="5"/>
      <c r="F2729" s="5"/>
      <c r="G2729" s="5"/>
      <c r="I2729" s="5"/>
      <c r="J2729" s="4"/>
      <c r="K2729" s="5"/>
      <c r="M2729" s="5"/>
      <c r="N2729" s="5"/>
      <c r="O2729" s="5"/>
      <c r="Q2729" s="5"/>
      <c r="R2729" s="5"/>
      <c r="S2729" s="5"/>
      <c r="T2729" s="5"/>
      <c r="AC2729" s="8"/>
      <c r="AD2729" s="8"/>
      <c r="AE2729" s="8"/>
      <c r="AF2729" s="8"/>
      <c r="AG2729" s="8"/>
      <c r="AH2729" s="8"/>
      <c r="AI2729" s="8"/>
      <c r="AJ2729" s="8"/>
      <c r="AK2729" s="8"/>
      <c r="AL2729" s="8"/>
      <c r="AM2729" s="8"/>
      <c r="AN2729" s="8"/>
      <c r="AO2729" s="8"/>
      <c r="AS2729" s="5" t="str">
        <f t="shared" si="1202"/>
        <v>R11Sarbanes-Oxley</v>
      </c>
    </row>
    <row r="2730" spans="1:45" hidden="1">
      <c r="A2730" s="4"/>
      <c r="B2730" s="4"/>
      <c r="C2730" s="651" t="s">
        <v>1210</v>
      </c>
      <c r="E2730" s="5"/>
      <c r="F2730" s="5"/>
      <c r="G2730" s="5"/>
      <c r="I2730" s="5"/>
      <c r="J2730" s="4"/>
      <c r="K2730" s="5"/>
      <c r="M2730" s="5"/>
      <c r="N2730" s="5"/>
      <c r="O2730" s="5"/>
      <c r="Q2730" s="5"/>
      <c r="R2730" s="5"/>
      <c r="S2730" s="5"/>
      <c r="T2730" s="5"/>
      <c r="AC2730" s="8"/>
      <c r="AD2730" s="8"/>
      <c r="AE2730" s="8"/>
      <c r="AF2730" s="8"/>
      <c r="AG2730" s="8"/>
      <c r="AH2730" s="8"/>
      <c r="AI2730" s="8"/>
      <c r="AJ2730" s="8"/>
      <c r="AK2730" s="8"/>
      <c r="AL2730" s="8"/>
      <c r="AM2730" s="8"/>
      <c r="AN2730" s="8"/>
      <c r="AO2730" s="8"/>
      <c r="AS2730" s="5" t="str">
        <f t="shared" si="1202"/>
        <v>R11SBC</v>
      </c>
    </row>
    <row r="2731" spans="1:45" hidden="1">
      <c r="A2731" s="4"/>
      <c r="B2731" s="4"/>
      <c r="C2731" s="651" t="s">
        <v>1117</v>
      </c>
      <c r="E2731" s="5"/>
      <c r="F2731" s="5"/>
      <c r="G2731" s="5"/>
      <c r="I2731" s="5"/>
      <c r="J2731" s="4"/>
      <c r="K2731" s="5"/>
      <c r="M2731" s="5"/>
      <c r="N2731" s="5"/>
      <c r="O2731" s="5"/>
      <c r="Q2731" s="5"/>
      <c r="R2731" s="5"/>
      <c r="S2731" s="5"/>
      <c r="T2731" s="5"/>
      <c r="AC2731" s="8"/>
      <c r="AD2731" s="8"/>
      <c r="AE2731" s="8"/>
      <c r="AF2731" s="8"/>
      <c r="AG2731" s="8"/>
      <c r="AH2731" s="8"/>
      <c r="AI2731" s="8"/>
      <c r="AJ2731" s="8"/>
      <c r="AK2731" s="8"/>
      <c r="AL2731" s="8"/>
      <c r="AM2731" s="8"/>
      <c r="AN2731" s="8"/>
      <c r="AO2731" s="8"/>
      <c r="AS2731" s="5" t="str">
        <f t="shared" si="1202"/>
        <v>R11Security Costs</v>
      </c>
    </row>
    <row r="2732" spans="1:45" hidden="1">
      <c r="A2732" s="4"/>
      <c r="B2732" s="4"/>
      <c r="C2732" s="651" t="s">
        <v>1698</v>
      </c>
      <c r="E2732" s="5"/>
      <c r="F2732" s="5"/>
      <c r="G2732" s="5"/>
      <c r="I2732" s="5"/>
      <c r="J2732" s="4"/>
      <c r="K2732" s="5"/>
      <c r="M2732" s="5"/>
      <c r="N2732" s="5"/>
      <c r="O2732" s="5"/>
      <c r="Q2732" s="5"/>
      <c r="R2732" s="5"/>
      <c r="S2732" s="5"/>
      <c r="T2732" s="5"/>
      <c r="AC2732" s="8"/>
      <c r="AD2732" s="8"/>
      <c r="AE2732" s="8"/>
      <c r="AF2732" s="8"/>
      <c r="AG2732" s="8"/>
      <c r="AH2732" s="8"/>
      <c r="AI2732" s="8"/>
      <c r="AJ2732" s="8"/>
      <c r="AK2732" s="8"/>
      <c r="AL2732" s="8"/>
      <c r="AM2732" s="8"/>
      <c r="AN2732" s="8"/>
      <c r="AO2732" s="8"/>
      <c r="AS2732" s="5" t="str">
        <f t="shared" si="1202"/>
        <v>R11Separation Accrual</v>
      </c>
    </row>
    <row r="2733" spans="1:45" hidden="1">
      <c r="A2733" s="4"/>
      <c r="B2733" s="4"/>
      <c r="C2733" s="651" t="s">
        <v>2246</v>
      </c>
      <c r="E2733" s="5"/>
      <c r="F2733" s="5"/>
      <c r="G2733" s="5"/>
      <c r="I2733" s="5"/>
      <c r="J2733" s="4"/>
      <c r="K2733" s="5"/>
      <c r="M2733" s="5"/>
      <c r="N2733" s="5"/>
      <c r="O2733" s="5"/>
      <c r="Q2733" s="5"/>
      <c r="R2733" s="5"/>
      <c r="S2733" s="5"/>
      <c r="T2733" s="5"/>
      <c r="AC2733" s="8"/>
      <c r="AD2733" s="8"/>
      <c r="AE2733" s="8"/>
      <c r="AF2733" s="8"/>
      <c r="AG2733" s="8"/>
      <c r="AH2733" s="8"/>
      <c r="AI2733" s="8"/>
      <c r="AJ2733" s="8"/>
      <c r="AK2733" s="8"/>
      <c r="AL2733" s="8"/>
      <c r="AM2733" s="8"/>
      <c r="AN2733" s="8"/>
      <c r="AO2733" s="8"/>
      <c r="AS2733" s="5" t="str">
        <f t="shared" si="1202"/>
        <v>R11STAR</v>
      </c>
    </row>
    <row r="2734" spans="1:45" hidden="1">
      <c r="A2734" s="4"/>
      <c r="B2734" s="4"/>
      <c r="C2734" s="651" t="s">
        <v>1712</v>
      </c>
      <c r="E2734" s="5"/>
      <c r="F2734" s="5"/>
      <c r="G2734" s="5"/>
      <c r="I2734" s="5"/>
      <c r="J2734" s="4"/>
      <c r="K2734" s="5"/>
      <c r="M2734" s="5"/>
      <c r="N2734" s="5"/>
      <c r="O2734" s="5"/>
      <c r="Q2734" s="5"/>
      <c r="R2734" s="5"/>
      <c r="S2734" s="5"/>
      <c r="T2734" s="5"/>
      <c r="AC2734" s="8"/>
      <c r="AD2734" s="8"/>
      <c r="AE2734" s="8"/>
      <c r="AF2734" s="8"/>
      <c r="AG2734" s="8"/>
      <c r="AH2734" s="8"/>
      <c r="AI2734" s="8"/>
      <c r="AJ2734" s="8"/>
      <c r="AK2734" s="8"/>
      <c r="AL2734" s="8"/>
      <c r="AM2734" s="8"/>
      <c r="AN2734" s="8"/>
      <c r="AO2734" s="8"/>
      <c r="AS2734" s="5" t="str">
        <f t="shared" si="1202"/>
        <v>R11Stock Options</v>
      </c>
    </row>
    <row r="2735" spans="1:45" hidden="1">
      <c r="A2735" s="4"/>
      <c r="B2735" s="4"/>
      <c r="C2735" s="651" t="s">
        <v>1115</v>
      </c>
      <c r="E2735" s="5"/>
      <c r="F2735" s="5"/>
      <c r="G2735" s="5"/>
      <c r="I2735" s="5"/>
      <c r="J2735" s="4"/>
      <c r="K2735" s="5"/>
      <c r="M2735" s="5"/>
      <c r="N2735" s="5"/>
      <c r="O2735" s="5"/>
      <c r="Q2735" s="5"/>
      <c r="R2735" s="5"/>
      <c r="S2735" s="5"/>
      <c r="T2735" s="5"/>
      <c r="AC2735" s="8"/>
      <c r="AD2735" s="8"/>
      <c r="AE2735" s="8"/>
      <c r="AF2735" s="8"/>
      <c r="AG2735" s="8"/>
      <c r="AH2735" s="8"/>
      <c r="AI2735" s="8"/>
      <c r="AJ2735" s="8"/>
      <c r="AK2735" s="8"/>
      <c r="AL2735" s="8"/>
      <c r="AM2735" s="8"/>
      <c r="AN2735" s="8"/>
      <c r="AO2735" s="8"/>
      <c r="AS2735" s="5" t="str">
        <f t="shared" si="1202"/>
        <v>R11Stray Voltage</v>
      </c>
    </row>
    <row r="2736" spans="1:45" hidden="1">
      <c r="A2736" s="4"/>
      <c r="B2736" s="4"/>
      <c r="C2736" s="651" t="s">
        <v>2092</v>
      </c>
      <c r="E2736" s="5"/>
      <c r="F2736" s="5"/>
      <c r="G2736" s="5"/>
      <c r="I2736" s="5"/>
      <c r="J2736" s="4"/>
      <c r="K2736" s="5"/>
      <c r="M2736" s="5"/>
      <c r="N2736" s="5"/>
      <c r="O2736" s="5"/>
      <c r="Q2736" s="5"/>
      <c r="R2736" s="5"/>
      <c r="S2736" s="5"/>
      <c r="T2736" s="5"/>
      <c r="AC2736" s="8"/>
      <c r="AD2736" s="8"/>
      <c r="AE2736" s="8"/>
      <c r="AF2736" s="8"/>
      <c r="AG2736" s="8"/>
      <c r="AH2736" s="8"/>
      <c r="AI2736" s="8"/>
      <c r="AJ2736" s="8"/>
      <c r="AK2736" s="8"/>
      <c r="AL2736" s="8"/>
      <c r="AM2736" s="8"/>
      <c r="AN2736" s="8"/>
      <c r="AO2736" s="8"/>
      <c r="AS2736" s="5" t="str">
        <f t="shared" si="1202"/>
        <v>R11Tax Gain / Loss on Retirement</v>
      </c>
    </row>
    <row r="2737" spans="1:45" hidden="1">
      <c r="A2737" s="4"/>
      <c r="B2737" s="4"/>
      <c r="C2737" s="651" t="s">
        <v>2249</v>
      </c>
      <c r="E2737" s="5"/>
      <c r="F2737" s="5"/>
      <c r="G2737" s="5"/>
      <c r="I2737" s="5"/>
      <c r="J2737" s="4"/>
      <c r="K2737" s="5"/>
      <c r="M2737" s="5"/>
      <c r="N2737" s="5"/>
      <c r="O2737" s="5"/>
      <c r="Q2737" s="5"/>
      <c r="R2737" s="5"/>
      <c r="S2737" s="5"/>
      <c r="T2737" s="5"/>
      <c r="AC2737" s="8"/>
      <c r="AD2737" s="8"/>
      <c r="AE2737" s="8"/>
      <c r="AF2737" s="8"/>
      <c r="AG2737" s="8"/>
      <c r="AH2737" s="8"/>
      <c r="AI2737" s="8"/>
      <c r="AJ2737" s="8"/>
      <c r="AK2737" s="8"/>
      <c r="AL2737" s="8"/>
      <c r="AM2737" s="8"/>
      <c r="AN2737" s="8"/>
      <c r="AO2737" s="8"/>
      <c r="AS2737" s="5" t="str">
        <f t="shared" si="1202"/>
        <v>R11Unit of Property - 481Adj</v>
      </c>
    </row>
    <row r="2738" spans="1:45" hidden="1">
      <c r="A2738" s="4"/>
      <c r="B2738" s="4"/>
      <c r="C2738" s="651" t="s">
        <v>2004</v>
      </c>
      <c r="E2738" s="5"/>
      <c r="F2738" s="5"/>
      <c r="G2738" s="5"/>
      <c r="I2738" s="5"/>
      <c r="J2738" s="4"/>
      <c r="K2738" s="5"/>
      <c r="M2738" s="5"/>
      <c r="N2738" s="5"/>
      <c r="O2738" s="5"/>
      <c r="Q2738" s="5"/>
      <c r="R2738" s="5"/>
      <c r="S2738" s="5"/>
      <c r="T2738" s="5"/>
      <c r="AC2738" s="8"/>
      <c r="AD2738" s="8"/>
      <c r="AE2738" s="8"/>
      <c r="AF2738" s="8"/>
      <c r="AG2738" s="8"/>
      <c r="AH2738" s="8"/>
      <c r="AI2738" s="8"/>
      <c r="AJ2738" s="8"/>
      <c r="AK2738" s="8"/>
      <c r="AL2738" s="8"/>
      <c r="AM2738" s="8"/>
      <c r="AN2738" s="8"/>
      <c r="AO2738" s="8"/>
      <c r="AS2738" s="5" t="str">
        <f t="shared" si="1202"/>
        <v>R11Uranium Enrichment D&amp;D</v>
      </c>
    </row>
    <row r="2739" spans="1:45" hidden="1">
      <c r="A2739" s="4"/>
      <c r="B2739" s="4"/>
      <c r="C2739" s="651" t="s">
        <v>1716</v>
      </c>
      <c r="E2739" s="5"/>
      <c r="F2739" s="5"/>
      <c r="G2739" s="5"/>
      <c r="I2739" s="5"/>
      <c r="J2739" s="4"/>
      <c r="K2739" s="5"/>
      <c r="M2739" s="5"/>
      <c r="N2739" s="5"/>
      <c r="O2739" s="5"/>
      <c r="Q2739" s="5"/>
      <c r="R2739" s="5"/>
      <c r="S2739" s="5"/>
      <c r="T2739" s="5"/>
      <c r="AC2739" s="8"/>
      <c r="AD2739" s="8"/>
      <c r="AE2739" s="8"/>
      <c r="AF2739" s="8"/>
      <c r="AG2739" s="8"/>
      <c r="AH2739" s="8"/>
      <c r="AI2739" s="8"/>
      <c r="AJ2739" s="8"/>
      <c r="AK2739" s="8"/>
      <c r="AL2739" s="8"/>
      <c r="AM2739" s="8"/>
      <c r="AN2739" s="8"/>
      <c r="AO2739" s="8"/>
      <c r="AS2739" s="5" t="str">
        <f t="shared" si="1202"/>
        <v>R11Use Tax Audit</v>
      </c>
    </row>
    <row r="2740" spans="1:45" hidden="1">
      <c r="A2740" s="4"/>
      <c r="B2740" s="4"/>
      <c r="C2740" s="651" t="s">
        <v>1815</v>
      </c>
      <c r="E2740" s="5"/>
      <c r="F2740" s="5"/>
      <c r="G2740" s="5"/>
      <c r="I2740" s="5"/>
      <c r="J2740" s="4"/>
      <c r="K2740" s="5"/>
      <c r="M2740" s="5"/>
      <c r="N2740" s="5"/>
      <c r="O2740" s="5"/>
      <c r="Q2740" s="5"/>
      <c r="R2740" s="5"/>
      <c r="S2740" s="5"/>
      <c r="T2740" s="5"/>
      <c r="AC2740" s="8"/>
      <c r="AD2740" s="8"/>
      <c r="AE2740" s="8"/>
      <c r="AF2740" s="8"/>
      <c r="AG2740" s="8"/>
      <c r="AH2740" s="8"/>
      <c r="AI2740" s="8"/>
      <c r="AJ2740" s="8"/>
      <c r="AK2740" s="8"/>
      <c r="AL2740" s="8"/>
      <c r="AM2740" s="8"/>
      <c r="AN2740" s="8"/>
      <c r="AO2740" s="8"/>
      <c r="AS2740" s="5" t="str">
        <f t="shared" si="1202"/>
        <v>R11Vacation pay</v>
      </c>
    </row>
    <row r="2741" spans="1:45" hidden="1">
      <c r="A2741" s="4"/>
      <c r="B2741" s="4"/>
      <c r="C2741" s="651" t="s">
        <v>822</v>
      </c>
      <c r="E2741" s="5"/>
      <c r="F2741" s="5"/>
      <c r="G2741" s="5"/>
      <c r="I2741" s="5"/>
      <c r="J2741" s="4"/>
      <c r="K2741" s="5"/>
      <c r="M2741" s="5"/>
      <c r="N2741" s="5"/>
      <c r="O2741" s="5"/>
      <c r="Q2741" s="5"/>
      <c r="R2741" s="5"/>
      <c r="S2741" s="5"/>
      <c r="T2741" s="5"/>
      <c r="AC2741" s="8"/>
      <c r="AD2741" s="8"/>
      <c r="AE2741" s="8"/>
      <c r="AF2741" s="8"/>
      <c r="AG2741" s="8"/>
      <c r="AH2741" s="8"/>
      <c r="AI2741" s="8"/>
      <c r="AJ2741" s="8"/>
      <c r="AK2741" s="8"/>
      <c r="AL2741" s="8"/>
      <c r="AM2741" s="8"/>
      <c r="AN2741" s="8"/>
      <c r="AO2741" s="8"/>
      <c r="AS2741" s="5" t="str">
        <f t="shared" si="1202"/>
        <v>R11Variable Rate Debt</v>
      </c>
    </row>
    <row r="2742" spans="1:45" hidden="1">
      <c r="A2742" s="4"/>
      <c r="B2742" s="4"/>
      <c r="C2742" s="651" t="s">
        <v>1720</v>
      </c>
      <c r="E2742" s="5"/>
      <c r="F2742" s="5"/>
      <c r="G2742" s="5"/>
      <c r="I2742" s="5"/>
      <c r="J2742" s="4"/>
      <c r="K2742" s="5"/>
      <c r="M2742" s="5"/>
      <c r="N2742" s="5"/>
      <c r="O2742" s="5"/>
      <c r="Q2742" s="5"/>
      <c r="R2742" s="5"/>
      <c r="S2742" s="5"/>
      <c r="T2742" s="5"/>
      <c r="AC2742" s="8"/>
      <c r="AD2742" s="8"/>
      <c r="AE2742" s="8"/>
      <c r="AF2742" s="8"/>
      <c r="AG2742" s="8"/>
      <c r="AH2742" s="8"/>
      <c r="AI2742" s="8"/>
      <c r="AJ2742" s="8"/>
      <c r="AK2742" s="8"/>
      <c r="AL2742" s="8"/>
      <c r="AM2742" s="8"/>
      <c r="AN2742" s="8"/>
      <c r="AO2742" s="8"/>
      <c r="AS2742" s="5" t="str">
        <f t="shared" si="1202"/>
        <v>R11Water Surplus Liability</v>
      </c>
    </row>
    <row r="2743" spans="1:45" hidden="1">
      <c r="A2743" s="4"/>
      <c r="B2743" s="4"/>
      <c r="C2743" s="651" t="s">
        <v>1724</v>
      </c>
      <c r="E2743" s="5"/>
      <c r="F2743" s="5"/>
      <c r="G2743" s="5"/>
      <c r="I2743" s="5"/>
      <c r="J2743" s="4"/>
      <c r="K2743" s="5"/>
      <c r="M2743" s="5"/>
      <c r="N2743" s="5"/>
      <c r="O2743" s="5"/>
      <c r="Q2743" s="5"/>
      <c r="R2743" s="5"/>
      <c r="S2743" s="5"/>
      <c r="T2743" s="5"/>
      <c r="AC2743" s="8"/>
      <c r="AD2743" s="8"/>
      <c r="AE2743" s="8"/>
      <c r="AF2743" s="8"/>
      <c r="AG2743" s="8"/>
      <c r="AH2743" s="8"/>
      <c r="AI2743" s="8"/>
      <c r="AJ2743" s="8"/>
      <c r="AK2743" s="8"/>
      <c r="AL2743" s="8"/>
      <c r="AM2743" s="8"/>
      <c r="AN2743" s="8"/>
      <c r="AO2743" s="8"/>
      <c r="AS2743" s="5" t="str">
        <f t="shared" si="1202"/>
        <v>R11Workers Comp Reserve</v>
      </c>
    </row>
    <row r="2744" spans="1:45" hidden="1">
      <c r="A2744" s="4"/>
      <c r="B2744" s="4"/>
      <c r="E2744" s="5"/>
      <c r="F2744" s="5"/>
      <c r="G2744" s="5"/>
      <c r="I2744" s="5"/>
      <c r="J2744" s="4"/>
      <c r="K2744" s="5"/>
      <c r="M2744" s="5"/>
      <c r="N2744" s="5"/>
      <c r="O2744" s="5"/>
      <c r="Q2744" s="5"/>
      <c r="R2744" s="5"/>
      <c r="S2744" s="5"/>
      <c r="T2744" s="5"/>
    </row>
    <row r="2745" spans="1:45" hidden="1">
      <c r="A2745" s="4"/>
      <c r="B2745" s="4"/>
      <c r="C2745" s="650" t="s">
        <v>2391</v>
      </c>
      <c r="D2745" s="700"/>
      <c r="E2745" s="5"/>
      <c r="F2745" s="5"/>
      <c r="G2745" s="5"/>
      <c r="I2745" s="5"/>
      <c r="J2745" s="4"/>
      <c r="K2745" s="5"/>
      <c r="M2745" s="5"/>
      <c r="N2745" s="5"/>
      <c r="O2745" s="5"/>
      <c r="Q2745" s="5"/>
      <c r="R2745" s="5"/>
      <c r="S2745" s="5"/>
      <c r="T2745" s="5"/>
      <c r="AC2745" s="8"/>
      <c r="AD2745" s="8"/>
      <c r="AE2745" s="8"/>
      <c r="AF2745" s="8"/>
      <c r="AG2745" s="8"/>
      <c r="AH2745" s="8"/>
      <c r="AI2745" s="8"/>
      <c r="AJ2745" s="8"/>
      <c r="AK2745" s="8"/>
      <c r="AL2745" s="8"/>
      <c r="AM2745" s="8"/>
      <c r="AN2745" s="8"/>
      <c r="AO2745" s="8"/>
    </row>
    <row r="2746" spans="1:45" hidden="1">
      <c r="A2746" s="4"/>
      <c r="B2746" s="4"/>
      <c r="C2746" s="650"/>
      <c r="D2746" s="700"/>
      <c r="E2746" s="5"/>
      <c r="F2746" s="5"/>
      <c r="G2746" s="5"/>
      <c r="I2746" s="5"/>
      <c r="J2746" s="4"/>
      <c r="K2746" s="5"/>
      <c r="M2746" s="5"/>
      <c r="N2746" s="5"/>
      <c r="O2746" s="5"/>
      <c r="Q2746" s="5"/>
      <c r="R2746" s="5"/>
      <c r="S2746" s="5"/>
      <c r="T2746" s="5"/>
    </row>
    <row r="2747" spans="1:45" hidden="1">
      <c r="A2747" s="4"/>
      <c r="B2747" s="4"/>
      <c r="C2747" s="650" t="s">
        <v>2475</v>
      </c>
      <c r="D2747" s="650" t="s">
        <v>2443</v>
      </c>
      <c r="E2747" s="5"/>
      <c r="F2747" s="5"/>
      <c r="G2747" s="5"/>
      <c r="I2747" s="5"/>
      <c r="J2747" s="4"/>
      <c r="K2747" s="5"/>
      <c r="M2747" s="5"/>
      <c r="N2747" s="5"/>
      <c r="O2747" s="5"/>
      <c r="Q2747" s="5"/>
      <c r="R2747" s="5"/>
      <c r="S2747" s="5"/>
      <c r="T2747" s="5"/>
      <c r="AC2747" s="8"/>
      <c r="AD2747" s="8"/>
      <c r="AE2747" s="8"/>
      <c r="AF2747" s="8"/>
      <c r="AG2747" s="8"/>
      <c r="AH2747" s="8"/>
      <c r="AI2747" s="8"/>
      <c r="AJ2747" s="8"/>
      <c r="AK2747" s="8"/>
      <c r="AL2747" s="8"/>
      <c r="AM2747" s="8"/>
      <c r="AN2747" s="8"/>
      <c r="AO2747" s="8"/>
    </row>
    <row r="2748" spans="1:45" hidden="1">
      <c r="A2748" s="4"/>
      <c r="B2748" s="4"/>
      <c r="E2748" s="5"/>
      <c r="F2748" s="5"/>
      <c r="G2748" s="5"/>
      <c r="I2748" s="5"/>
      <c r="J2748" s="4"/>
      <c r="K2748" s="5"/>
      <c r="M2748" s="5"/>
      <c r="N2748" s="5"/>
      <c r="O2748" s="5"/>
      <c r="Q2748" s="5"/>
      <c r="R2748" s="5"/>
      <c r="S2748" s="5"/>
      <c r="T2748" s="5"/>
    </row>
    <row r="2749" spans="1:45" hidden="1">
      <c r="A2749" s="4"/>
      <c r="B2749" s="4"/>
      <c r="E2749" s="5"/>
      <c r="F2749" s="5"/>
      <c r="G2749" s="5"/>
      <c r="I2749" s="5"/>
      <c r="J2749" s="4"/>
      <c r="K2749" s="5"/>
      <c r="M2749" s="5"/>
      <c r="N2749" s="5"/>
      <c r="O2749" s="5"/>
      <c r="Q2749" s="5"/>
      <c r="R2749" s="5"/>
      <c r="S2749" s="5"/>
      <c r="T2749" s="5"/>
    </row>
    <row r="2750" spans="1:45" hidden="1">
      <c r="A2750" s="4"/>
      <c r="B2750" s="55" t="s">
        <v>2568</v>
      </c>
      <c r="C2750" s="650"/>
      <c r="E2750" s="5"/>
      <c r="F2750" s="5"/>
      <c r="G2750" s="5"/>
      <c r="I2750" s="5"/>
      <c r="J2750" s="4"/>
      <c r="K2750" s="5"/>
      <c r="M2750" s="5"/>
      <c r="N2750" s="5"/>
      <c r="O2750" s="5"/>
      <c r="Q2750" s="5"/>
      <c r="R2750" s="5"/>
      <c r="S2750" s="5"/>
      <c r="T2750" s="5"/>
    </row>
    <row r="2751" spans="1:45" hidden="1">
      <c r="A2751" s="4"/>
      <c r="B2751" s="58"/>
      <c r="C2751" s="650" t="s">
        <v>1590</v>
      </c>
      <c r="E2751" s="5"/>
      <c r="F2751" s="5"/>
      <c r="G2751" s="5"/>
      <c r="I2751" s="5"/>
      <c r="J2751" s="4"/>
      <c r="K2751" s="5"/>
      <c r="M2751" s="5"/>
      <c r="N2751" s="5"/>
      <c r="O2751" s="5"/>
      <c r="Q2751" s="5"/>
      <c r="R2751" s="5"/>
      <c r="S2751" s="5"/>
      <c r="T2751" s="5"/>
      <c r="AC2751" s="8"/>
      <c r="AD2751" s="8"/>
      <c r="AE2751" s="8"/>
      <c r="AF2751" s="8"/>
      <c r="AG2751" s="8"/>
      <c r="AH2751" s="8"/>
      <c r="AI2751" s="8"/>
      <c r="AJ2751" s="8"/>
      <c r="AK2751" s="8"/>
      <c r="AL2751" s="8"/>
      <c r="AM2751" s="8"/>
      <c r="AN2751" s="8"/>
      <c r="AO2751" s="8"/>
    </row>
    <row r="2752" spans="1:45" ht="15" hidden="1">
      <c r="A2752" s="4"/>
      <c r="B2752" s="58"/>
      <c r="C2752" s="650" t="s">
        <v>2466</v>
      </c>
      <c r="E2752" s="5"/>
      <c r="F2752" s="5"/>
      <c r="G2752" s="5"/>
      <c r="I2752" s="5"/>
      <c r="J2752" s="4"/>
      <c r="K2752" s="5"/>
      <c r="M2752" s="5"/>
      <c r="N2752" s="5"/>
      <c r="O2752" s="5"/>
      <c r="Q2752" s="5"/>
      <c r="R2752" s="5"/>
      <c r="S2752" s="5"/>
      <c r="T2752" s="5"/>
      <c r="AC2752" s="43"/>
      <c r="AD2752" s="43"/>
      <c r="AE2752" s="43"/>
      <c r="AF2752" s="43"/>
      <c r="AG2752" s="43"/>
      <c r="AH2752" s="43"/>
      <c r="AI2752" s="43"/>
      <c r="AJ2752" s="43"/>
      <c r="AK2752" s="43"/>
      <c r="AL2752" s="43"/>
      <c r="AM2752" s="43"/>
      <c r="AN2752" s="43"/>
      <c r="AO2752" s="43"/>
    </row>
    <row r="2753" spans="1:45" hidden="1">
      <c r="A2753" s="4"/>
      <c r="B2753" s="58"/>
      <c r="C2753" s="647"/>
      <c r="E2753" s="5"/>
      <c r="F2753" s="5"/>
      <c r="G2753" s="5"/>
      <c r="I2753" s="5"/>
      <c r="J2753" s="4"/>
      <c r="K2753" s="5"/>
      <c r="M2753" s="5"/>
      <c r="N2753" s="5"/>
      <c r="O2753" s="5"/>
      <c r="Q2753" s="5"/>
      <c r="R2753" s="5"/>
      <c r="S2753" s="5"/>
      <c r="T2753" s="5"/>
    </row>
    <row r="2754" spans="1:45" ht="15" hidden="1">
      <c r="A2754" s="4"/>
      <c r="B2754" s="66"/>
      <c r="C2754" s="650" t="s">
        <v>2543</v>
      </c>
      <c r="E2754" s="5"/>
      <c r="F2754" s="5"/>
      <c r="G2754" s="5"/>
      <c r="I2754" s="5"/>
      <c r="J2754" s="4"/>
      <c r="K2754" s="5"/>
      <c r="M2754" s="5"/>
      <c r="N2754" s="5"/>
      <c r="O2754" s="5"/>
      <c r="Q2754" s="5"/>
      <c r="R2754" s="5"/>
      <c r="S2754" s="5"/>
      <c r="T2754" s="5"/>
      <c r="AC2754" s="44"/>
      <c r="AD2754" s="44"/>
      <c r="AE2754" s="44"/>
      <c r="AF2754" s="44"/>
      <c r="AG2754" s="44"/>
      <c r="AH2754" s="44"/>
      <c r="AI2754" s="44"/>
      <c r="AJ2754" s="44"/>
      <c r="AK2754" s="44"/>
      <c r="AL2754" s="44"/>
      <c r="AM2754" s="44"/>
      <c r="AN2754" s="44"/>
      <c r="AO2754" s="44"/>
    </row>
    <row r="2755" spans="1:45" hidden="1">
      <c r="A2755" s="4"/>
      <c r="B2755" s="4"/>
      <c r="E2755" s="5"/>
      <c r="F2755" s="5"/>
      <c r="G2755" s="5"/>
      <c r="I2755" s="5"/>
      <c r="J2755" s="4"/>
      <c r="K2755" s="5"/>
      <c r="M2755" s="5"/>
      <c r="N2755" s="5"/>
      <c r="O2755" s="5"/>
      <c r="Q2755" s="5"/>
      <c r="R2755" s="5"/>
      <c r="S2755" s="5"/>
      <c r="T2755" s="5"/>
    </row>
    <row r="2756" spans="1:45" s="52" customFormat="1" hidden="1">
      <c r="A2756" s="51"/>
      <c r="B2756" s="51"/>
      <c r="C2756" s="644"/>
      <c r="D2756" s="693"/>
      <c r="H2756" s="670"/>
      <c r="J2756" s="51"/>
      <c r="L2756" s="644"/>
      <c r="P2756" s="693"/>
    </row>
    <row r="2757" spans="1:45" hidden="1">
      <c r="A2757" s="4"/>
      <c r="B2757" s="4"/>
      <c r="E2757" s="5"/>
      <c r="F2757" s="5"/>
      <c r="G2757" s="5"/>
      <c r="I2757" s="5"/>
      <c r="J2757" s="4"/>
      <c r="K2757" s="5"/>
      <c r="M2757" s="5"/>
      <c r="N2757" s="5"/>
      <c r="O2757" s="5"/>
      <c r="Q2757" s="5"/>
      <c r="R2757" s="5"/>
      <c r="S2757" s="5"/>
      <c r="T2757" s="5"/>
    </row>
    <row r="2758" spans="1:45" hidden="1">
      <c r="A2758" s="4"/>
      <c r="B2758" s="55" t="s">
        <v>2569</v>
      </c>
      <c r="C2758" s="647"/>
      <c r="D2758" s="647"/>
      <c r="E2758" s="5"/>
      <c r="F2758" s="5"/>
      <c r="G2758" s="5"/>
      <c r="I2758" s="5"/>
      <c r="J2758" s="4"/>
      <c r="K2758" s="5"/>
      <c r="M2758" s="5"/>
      <c r="N2758" s="5"/>
      <c r="O2758" s="5"/>
      <c r="Q2758" s="5"/>
      <c r="R2758" s="5"/>
      <c r="S2758" s="5"/>
      <c r="T2758" s="5"/>
    </row>
    <row r="2759" spans="1:45" hidden="1">
      <c r="A2759" s="4"/>
      <c r="B2759" s="66"/>
      <c r="C2759" s="651"/>
      <c r="D2759" s="700"/>
      <c r="E2759" s="5"/>
      <c r="F2759" s="5"/>
      <c r="G2759" s="5"/>
      <c r="I2759" s="5"/>
      <c r="J2759" s="4"/>
      <c r="K2759" s="5"/>
      <c r="M2759" s="5"/>
      <c r="N2759" s="5"/>
      <c r="O2759" s="5"/>
      <c r="Q2759" s="5"/>
      <c r="R2759" s="5"/>
      <c r="S2759" s="5"/>
      <c r="T2759" s="5"/>
    </row>
    <row r="2760" spans="1:45" hidden="1">
      <c r="A2760" s="4"/>
      <c r="B2760" s="66"/>
      <c r="C2760" s="651" t="s">
        <v>2556</v>
      </c>
      <c r="D2760" s="700"/>
      <c r="E2760" s="5"/>
      <c r="F2760" s="5"/>
      <c r="G2760" s="5"/>
      <c r="I2760" s="5"/>
      <c r="J2760" s="4"/>
      <c r="K2760" s="5"/>
      <c r="M2760" s="5"/>
      <c r="N2760" s="5"/>
      <c r="O2760" s="5"/>
      <c r="Q2760" s="5"/>
      <c r="R2760" s="5"/>
      <c r="S2760" s="5"/>
      <c r="T2760" s="5"/>
      <c r="AC2760" s="8"/>
      <c r="AD2760" s="8"/>
      <c r="AE2760" s="8"/>
      <c r="AF2760" s="8"/>
      <c r="AG2760" s="8"/>
      <c r="AH2760" s="8"/>
      <c r="AI2760" s="8"/>
      <c r="AJ2760" s="8"/>
      <c r="AK2760" s="8"/>
      <c r="AL2760" s="8"/>
      <c r="AM2760" s="8"/>
      <c r="AN2760" s="8"/>
      <c r="AO2760" s="8"/>
      <c r="AS2760" s="5" t="str">
        <f>CONCATENATE($D$2778,C2760)</f>
        <v>A2Accounts Payable</v>
      </c>
    </row>
    <row r="2761" spans="1:45" hidden="1">
      <c r="A2761" s="4"/>
      <c r="B2761" s="66"/>
      <c r="C2761" s="651" t="s">
        <v>2546</v>
      </c>
      <c r="D2761" s="700"/>
      <c r="E2761" s="5"/>
      <c r="F2761" s="5"/>
      <c r="G2761" s="5"/>
      <c r="I2761" s="5"/>
      <c r="J2761" s="4"/>
      <c r="K2761" s="5"/>
      <c r="M2761" s="5"/>
      <c r="N2761" s="5"/>
      <c r="O2761" s="5"/>
      <c r="Q2761" s="5"/>
      <c r="R2761" s="5"/>
      <c r="S2761" s="5"/>
      <c r="T2761" s="5"/>
      <c r="AC2761" s="8"/>
      <c r="AD2761" s="8"/>
      <c r="AE2761" s="8"/>
      <c r="AF2761" s="8"/>
      <c r="AG2761" s="8"/>
      <c r="AH2761" s="8"/>
      <c r="AI2761" s="8"/>
      <c r="AJ2761" s="8"/>
      <c r="AK2761" s="8"/>
      <c r="AL2761" s="8"/>
      <c r="AM2761" s="8"/>
      <c r="AN2761" s="8"/>
      <c r="AO2761" s="8"/>
      <c r="AS2761" s="5" t="str">
        <f t="shared" ref="AS2761:AS2774" si="1203">CONCATENATE($D$2778,C2761)</f>
        <v>A2Accounts Receivable</v>
      </c>
    </row>
    <row r="2762" spans="1:45" hidden="1">
      <c r="A2762" s="4"/>
      <c r="B2762" s="66"/>
      <c r="C2762" s="651" t="s">
        <v>1330</v>
      </c>
      <c r="D2762" s="700"/>
      <c r="E2762" s="5"/>
      <c r="F2762" s="5"/>
      <c r="G2762" s="5"/>
      <c r="I2762" s="5"/>
      <c r="J2762" s="4"/>
      <c r="K2762" s="5"/>
      <c r="M2762" s="5"/>
      <c r="N2762" s="5"/>
      <c r="O2762" s="5"/>
      <c r="Q2762" s="5"/>
      <c r="R2762" s="5"/>
      <c r="S2762" s="5"/>
      <c r="T2762" s="5"/>
      <c r="AC2762" s="8"/>
      <c r="AD2762" s="8"/>
      <c r="AE2762" s="8"/>
      <c r="AF2762" s="8"/>
      <c r="AG2762" s="8"/>
      <c r="AH2762" s="8"/>
      <c r="AI2762" s="8"/>
      <c r="AJ2762" s="8"/>
      <c r="AK2762" s="8"/>
      <c r="AL2762" s="8"/>
      <c r="AM2762" s="8"/>
      <c r="AN2762" s="8"/>
      <c r="AO2762" s="8"/>
      <c r="AS2762" s="5" t="str">
        <f t="shared" si="1203"/>
        <v>A2ASGA</v>
      </c>
    </row>
    <row r="2763" spans="1:45" hidden="1">
      <c r="A2763" s="4"/>
      <c r="B2763" s="66"/>
      <c r="C2763" s="651" t="s">
        <v>1829</v>
      </c>
      <c r="D2763" s="700"/>
      <c r="E2763" s="5"/>
      <c r="F2763" s="5"/>
      <c r="G2763" s="5"/>
      <c r="I2763" s="5"/>
      <c r="J2763" s="4"/>
      <c r="K2763" s="5"/>
      <c r="M2763" s="5"/>
      <c r="N2763" s="5"/>
      <c r="O2763" s="5"/>
      <c r="Q2763" s="5"/>
      <c r="R2763" s="5"/>
      <c r="S2763" s="5"/>
      <c r="T2763" s="5"/>
      <c r="AC2763" s="8"/>
      <c r="AD2763" s="8"/>
      <c r="AE2763" s="8"/>
      <c r="AF2763" s="8"/>
      <c r="AG2763" s="8"/>
      <c r="AH2763" s="8"/>
      <c r="AI2763" s="8"/>
      <c r="AJ2763" s="8"/>
      <c r="AK2763" s="8"/>
      <c r="AL2763" s="8"/>
      <c r="AM2763" s="8"/>
      <c r="AN2763" s="8"/>
      <c r="AO2763" s="8"/>
      <c r="AS2763" s="5" t="str">
        <f t="shared" si="1203"/>
        <v>A2Bad Debts</v>
      </c>
    </row>
    <row r="2764" spans="1:45" hidden="1">
      <c r="A2764" s="4"/>
      <c r="B2764" s="66"/>
      <c r="C2764" s="651" t="s">
        <v>1565</v>
      </c>
      <c r="D2764" s="700"/>
      <c r="E2764" s="5"/>
      <c r="F2764" s="5"/>
      <c r="G2764" s="5"/>
      <c r="I2764" s="5"/>
      <c r="J2764" s="4"/>
      <c r="K2764" s="5"/>
      <c r="M2764" s="5"/>
      <c r="N2764" s="5"/>
      <c r="O2764" s="5"/>
      <c r="Q2764" s="5"/>
      <c r="R2764" s="5"/>
      <c r="S2764" s="5"/>
      <c r="T2764" s="5"/>
      <c r="AC2764" s="8"/>
      <c r="AD2764" s="8"/>
      <c r="AE2764" s="8"/>
      <c r="AF2764" s="8"/>
      <c r="AG2764" s="8"/>
      <c r="AH2764" s="8"/>
      <c r="AI2764" s="8"/>
      <c r="AJ2764" s="8"/>
      <c r="AK2764" s="8"/>
      <c r="AL2764" s="8"/>
      <c r="AM2764" s="8"/>
      <c r="AN2764" s="8"/>
      <c r="AO2764" s="8"/>
      <c r="AS2764" s="5" t="str">
        <f t="shared" si="1203"/>
        <v>A2CIAC Accrual</v>
      </c>
    </row>
    <row r="2765" spans="1:45" hidden="1">
      <c r="A2765" s="4"/>
      <c r="B2765" s="66"/>
      <c r="C2765" s="651" t="s">
        <v>2557</v>
      </c>
      <c r="D2765" s="700"/>
      <c r="E2765" s="5"/>
      <c r="F2765" s="5"/>
      <c r="G2765" s="5"/>
      <c r="I2765" s="5"/>
      <c r="J2765" s="4"/>
      <c r="K2765" s="5"/>
      <c r="M2765" s="5"/>
      <c r="N2765" s="5"/>
      <c r="O2765" s="5"/>
      <c r="Q2765" s="5"/>
      <c r="R2765" s="5"/>
      <c r="S2765" s="5"/>
      <c r="T2765" s="5"/>
      <c r="AC2765" s="8"/>
      <c r="AD2765" s="8"/>
      <c r="AE2765" s="8"/>
      <c r="AF2765" s="8"/>
      <c r="AG2765" s="8"/>
      <c r="AH2765" s="8"/>
      <c r="AI2765" s="8"/>
      <c r="AJ2765" s="8"/>
      <c r="AK2765" s="8"/>
      <c r="AL2765" s="8"/>
      <c r="AM2765" s="8"/>
      <c r="AN2765" s="8"/>
      <c r="AO2765" s="8"/>
      <c r="AS2765" s="5" t="str">
        <f t="shared" si="1203"/>
        <v>A2Clearing Accounts</v>
      </c>
    </row>
    <row r="2766" spans="1:45" hidden="1">
      <c r="A2766" s="4"/>
      <c r="B2766" s="66"/>
      <c r="C2766" s="651" t="s">
        <v>2558</v>
      </c>
      <c r="D2766" s="700"/>
      <c r="E2766" s="5"/>
      <c r="F2766" s="5"/>
      <c r="G2766" s="5"/>
      <c r="I2766" s="5"/>
      <c r="J2766" s="4"/>
      <c r="K2766" s="5"/>
      <c r="M2766" s="5"/>
      <c r="N2766" s="5"/>
      <c r="O2766" s="5"/>
      <c r="Q2766" s="5"/>
      <c r="R2766" s="5"/>
      <c r="S2766" s="5"/>
      <c r="T2766" s="5"/>
      <c r="AC2766" s="8"/>
      <c r="AD2766" s="8"/>
      <c r="AE2766" s="8"/>
      <c r="AF2766" s="8"/>
      <c r="AG2766" s="8"/>
      <c r="AH2766" s="8"/>
      <c r="AI2766" s="8"/>
      <c r="AJ2766" s="8"/>
      <c r="AK2766" s="8"/>
      <c r="AL2766" s="8"/>
      <c r="AM2766" s="8"/>
      <c r="AN2766" s="8"/>
      <c r="AO2766" s="8"/>
      <c r="AS2766" s="5" t="str">
        <f t="shared" si="1203"/>
        <v>A2Deferred Comp - Putnam</v>
      </c>
    </row>
    <row r="2767" spans="1:45" hidden="1">
      <c r="A2767" s="4"/>
      <c r="B2767" s="66"/>
      <c r="C2767" s="651" t="s">
        <v>1545</v>
      </c>
      <c r="D2767" s="700"/>
      <c r="E2767" s="5"/>
      <c r="F2767" s="5"/>
      <c r="G2767" s="5"/>
      <c r="I2767" s="5"/>
      <c r="J2767" s="4"/>
      <c r="K2767" s="5"/>
      <c r="M2767" s="5"/>
      <c r="N2767" s="5"/>
      <c r="O2767" s="5"/>
      <c r="Q2767" s="5"/>
      <c r="R2767" s="5"/>
      <c r="S2767" s="5"/>
      <c r="T2767" s="5"/>
      <c r="AC2767" s="8"/>
      <c r="AD2767" s="8"/>
      <c r="AE2767" s="8"/>
      <c r="AF2767" s="8"/>
      <c r="AG2767" s="8"/>
      <c r="AH2767" s="8"/>
      <c r="AI2767" s="8"/>
      <c r="AJ2767" s="8"/>
      <c r="AK2767" s="8"/>
      <c r="AL2767" s="8"/>
      <c r="AM2767" s="8"/>
      <c r="AN2767" s="8"/>
      <c r="AO2767" s="8"/>
      <c r="AS2767" s="5" t="str">
        <f t="shared" si="1203"/>
        <v>A2EB-Cap</v>
      </c>
    </row>
    <row r="2768" spans="1:45" hidden="1">
      <c r="A2768" s="4"/>
      <c r="B2768" s="66"/>
      <c r="C2768" s="651" t="s">
        <v>2559</v>
      </c>
      <c r="D2768" s="700"/>
      <c r="E2768" s="5"/>
      <c r="F2768" s="5"/>
      <c r="G2768" s="5"/>
      <c r="I2768" s="5"/>
      <c r="J2768" s="4"/>
      <c r="K2768" s="5"/>
      <c r="M2768" s="5"/>
      <c r="N2768" s="5"/>
      <c r="O2768" s="5"/>
      <c r="Q2768" s="5"/>
      <c r="R2768" s="5"/>
      <c r="S2768" s="5"/>
      <c r="T2768" s="5"/>
      <c r="AC2768" s="8"/>
      <c r="AD2768" s="8"/>
      <c r="AE2768" s="8"/>
      <c r="AF2768" s="8"/>
      <c r="AG2768" s="8"/>
      <c r="AH2768" s="8"/>
      <c r="AI2768" s="8"/>
      <c r="AJ2768" s="8"/>
      <c r="AK2768" s="8"/>
      <c r="AL2768" s="8"/>
      <c r="AM2768" s="8"/>
      <c r="AN2768" s="8"/>
      <c r="AO2768" s="8"/>
      <c r="AS2768" s="5" t="str">
        <f t="shared" si="1203"/>
        <v>A2Fin 48 Reclass</v>
      </c>
    </row>
    <row r="2769" spans="1:45" hidden="1">
      <c r="A2769" s="4"/>
      <c r="B2769" s="66"/>
      <c r="C2769" s="651" t="s">
        <v>1113</v>
      </c>
      <c r="D2769" s="700"/>
      <c r="E2769" s="5"/>
      <c r="F2769" s="5"/>
      <c r="G2769" s="5"/>
      <c r="I2769" s="5"/>
      <c r="J2769" s="4"/>
      <c r="K2769" s="5"/>
      <c r="M2769" s="5"/>
      <c r="N2769" s="5"/>
      <c r="O2769" s="5"/>
      <c r="Q2769" s="5"/>
      <c r="R2769" s="5"/>
      <c r="S2769" s="5"/>
      <c r="T2769" s="5"/>
      <c r="AC2769" s="8"/>
      <c r="AD2769" s="8"/>
      <c r="AE2769" s="8"/>
      <c r="AF2769" s="8"/>
      <c r="AG2769" s="8"/>
      <c r="AH2769" s="8"/>
      <c r="AI2769" s="8"/>
      <c r="AJ2769" s="8"/>
      <c r="AK2769" s="8"/>
      <c r="AL2769" s="8"/>
      <c r="AM2769" s="8"/>
      <c r="AN2769" s="8"/>
      <c r="AO2769" s="8"/>
      <c r="AS2769" s="5" t="str">
        <f t="shared" si="1203"/>
        <v>A2Property Tax Deferral</v>
      </c>
    </row>
    <row r="2770" spans="1:45" hidden="1">
      <c r="A2770" s="4"/>
      <c r="B2770" s="66"/>
      <c r="C2770" s="651" t="s">
        <v>2565</v>
      </c>
      <c r="D2770" s="700"/>
      <c r="E2770" s="5"/>
      <c r="F2770" s="5"/>
      <c r="G2770" s="5"/>
      <c r="I2770" s="5"/>
      <c r="J2770" s="4"/>
      <c r="K2770" s="5"/>
      <c r="M2770" s="5"/>
      <c r="N2770" s="5"/>
      <c r="O2770" s="5"/>
      <c r="Q2770" s="5"/>
      <c r="R2770" s="5"/>
      <c r="S2770" s="5"/>
      <c r="T2770" s="5"/>
      <c r="AC2770" s="8"/>
      <c r="AD2770" s="8"/>
      <c r="AE2770" s="8"/>
      <c r="AF2770" s="8"/>
      <c r="AG2770" s="8"/>
      <c r="AH2770" s="8"/>
      <c r="AI2770" s="8"/>
      <c r="AJ2770" s="8"/>
      <c r="AK2770" s="8"/>
      <c r="AL2770" s="8"/>
      <c r="AM2770" s="8"/>
      <c r="AN2770" s="8"/>
      <c r="AO2770" s="8"/>
      <c r="AS2770" s="5" t="str">
        <f t="shared" si="1203"/>
        <v>A2Research &amp; Develoment</v>
      </c>
    </row>
    <row r="2771" spans="1:45" hidden="1">
      <c r="A2771" s="4"/>
      <c r="B2771" s="66"/>
      <c r="C2771" s="651" t="s">
        <v>2547</v>
      </c>
      <c r="D2771" s="700"/>
      <c r="E2771" s="5"/>
      <c r="F2771" s="5"/>
      <c r="G2771" s="5"/>
      <c r="I2771" s="5"/>
      <c r="J2771" s="4"/>
      <c r="K2771" s="5"/>
      <c r="M2771" s="5"/>
      <c r="N2771" s="5"/>
      <c r="O2771" s="5"/>
      <c r="Q2771" s="5"/>
      <c r="R2771" s="5"/>
      <c r="S2771" s="5"/>
      <c r="T2771" s="5"/>
      <c r="AC2771" s="8"/>
      <c r="AD2771" s="8"/>
      <c r="AE2771" s="8"/>
      <c r="AF2771" s="8"/>
      <c r="AG2771" s="8"/>
      <c r="AH2771" s="8"/>
      <c r="AI2771" s="8"/>
      <c r="AJ2771" s="8"/>
      <c r="AK2771" s="8"/>
      <c r="AL2771" s="8"/>
      <c r="AM2771" s="8"/>
      <c r="AN2771" s="8"/>
      <c r="AO2771" s="8"/>
      <c r="AS2771" s="5" t="str">
        <f t="shared" si="1203"/>
        <v>A2Special Deposits</v>
      </c>
    </row>
    <row r="2772" spans="1:45" hidden="1">
      <c r="A2772" s="4"/>
      <c r="B2772" s="66"/>
      <c r="C2772" s="651" t="s">
        <v>2563</v>
      </c>
      <c r="D2772" s="700"/>
      <c r="E2772" s="5"/>
      <c r="F2772" s="5"/>
      <c r="G2772" s="5"/>
      <c r="I2772" s="5"/>
      <c r="J2772" s="4"/>
      <c r="K2772" s="5"/>
      <c r="M2772" s="5"/>
      <c r="N2772" s="5"/>
      <c r="O2772" s="5"/>
      <c r="Q2772" s="5"/>
      <c r="R2772" s="5"/>
      <c r="S2772" s="5"/>
      <c r="T2772" s="5"/>
      <c r="AC2772" s="8"/>
      <c r="AD2772" s="8"/>
      <c r="AE2772" s="8"/>
      <c r="AF2772" s="8"/>
      <c r="AG2772" s="8"/>
      <c r="AH2772" s="8"/>
      <c r="AI2772" s="8"/>
      <c r="AJ2772" s="8"/>
      <c r="AK2772" s="8"/>
      <c r="AL2772" s="8"/>
      <c r="AM2772" s="8"/>
      <c r="AN2772" s="8"/>
      <c r="AO2772" s="8"/>
      <c r="AS2772" s="5" t="str">
        <f t="shared" si="1203"/>
        <v>A2Unbilled Revenue</v>
      </c>
    </row>
    <row r="2773" spans="1:45" hidden="1">
      <c r="A2773" s="4"/>
      <c r="B2773" s="66"/>
      <c r="C2773" s="651" t="s">
        <v>2560</v>
      </c>
      <c r="D2773" s="700"/>
      <c r="E2773" s="5"/>
      <c r="F2773" s="5"/>
      <c r="G2773" s="5"/>
      <c r="I2773" s="5"/>
      <c r="J2773" s="4"/>
      <c r="K2773" s="5"/>
      <c r="M2773" s="5"/>
      <c r="N2773" s="5"/>
      <c r="O2773" s="5"/>
      <c r="Q2773" s="5"/>
      <c r="R2773" s="5"/>
      <c r="S2773" s="5"/>
      <c r="T2773" s="5"/>
      <c r="AC2773" s="8"/>
      <c r="AD2773" s="8"/>
      <c r="AE2773" s="8"/>
      <c r="AF2773" s="8"/>
      <c r="AG2773" s="8"/>
      <c r="AH2773" s="8"/>
      <c r="AI2773" s="8"/>
      <c r="AJ2773" s="8"/>
      <c r="AK2773" s="8"/>
      <c r="AL2773" s="8"/>
      <c r="AM2773" s="8"/>
      <c r="AN2773" s="8"/>
      <c r="AO2773" s="8"/>
      <c r="AS2773" s="5" t="str">
        <f t="shared" si="1203"/>
        <v>A2Working Funds</v>
      </c>
    </row>
    <row r="2774" spans="1:45" hidden="1">
      <c r="A2774" s="4"/>
      <c r="B2774" s="66"/>
      <c r="C2774" s="651" t="s">
        <v>2562</v>
      </c>
      <c r="D2774" s="700"/>
      <c r="E2774" s="5"/>
      <c r="F2774" s="5"/>
      <c r="G2774" s="5"/>
      <c r="I2774" s="5"/>
      <c r="J2774" s="4"/>
      <c r="K2774" s="5"/>
      <c r="M2774" s="5"/>
      <c r="N2774" s="5"/>
      <c r="O2774" s="5"/>
      <c r="Q2774" s="5"/>
      <c r="R2774" s="5"/>
      <c r="S2774" s="5"/>
      <c r="T2774" s="5"/>
      <c r="AC2774" s="8"/>
      <c r="AD2774" s="8"/>
      <c r="AE2774" s="8"/>
      <c r="AF2774" s="8"/>
      <c r="AG2774" s="8"/>
      <c r="AH2774" s="8"/>
      <c r="AI2774" s="8"/>
      <c r="AJ2774" s="8"/>
      <c r="AK2774" s="8"/>
      <c r="AL2774" s="8"/>
      <c r="AM2774" s="8"/>
      <c r="AN2774" s="8"/>
      <c r="AO2774" s="8"/>
      <c r="AS2774" s="5" t="str">
        <f t="shared" si="1203"/>
        <v>A2Workman's Comp Reserve</v>
      </c>
    </row>
    <row r="2775" spans="1:45" hidden="1">
      <c r="A2775" s="4"/>
      <c r="B2775" s="66"/>
      <c r="C2775" s="650"/>
      <c r="D2775" s="700"/>
      <c r="E2775" s="5"/>
      <c r="F2775" s="5"/>
      <c r="G2775" s="5"/>
      <c r="I2775" s="5"/>
      <c r="J2775" s="4"/>
      <c r="K2775" s="5"/>
      <c r="M2775" s="5"/>
      <c r="N2775" s="5"/>
      <c r="O2775" s="5"/>
      <c r="Q2775" s="5"/>
      <c r="R2775" s="5"/>
      <c r="S2775" s="5"/>
      <c r="T2775" s="5"/>
      <c r="AC2775" s="8"/>
      <c r="AD2775" s="8"/>
      <c r="AE2775" s="8"/>
      <c r="AF2775" s="8"/>
      <c r="AG2775" s="8"/>
      <c r="AH2775" s="8"/>
      <c r="AI2775" s="8"/>
      <c r="AJ2775" s="8"/>
      <c r="AK2775" s="8"/>
      <c r="AL2775" s="8"/>
      <c r="AM2775" s="8"/>
      <c r="AN2775" s="8"/>
      <c r="AO2775" s="8"/>
    </row>
    <row r="2776" spans="1:45" hidden="1">
      <c r="A2776" s="4"/>
      <c r="B2776" s="66"/>
      <c r="C2776" s="650" t="s">
        <v>2391</v>
      </c>
      <c r="D2776" s="700"/>
      <c r="E2776" s="5"/>
      <c r="F2776" s="5"/>
      <c r="G2776" s="5"/>
      <c r="I2776" s="5"/>
      <c r="J2776" s="4"/>
      <c r="K2776" s="5"/>
      <c r="M2776" s="5"/>
      <c r="N2776" s="5"/>
      <c r="O2776" s="5"/>
      <c r="Q2776" s="5"/>
      <c r="R2776" s="5"/>
      <c r="S2776" s="5"/>
      <c r="T2776" s="5"/>
      <c r="AC2776" s="8"/>
      <c r="AD2776" s="8"/>
      <c r="AE2776" s="8"/>
      <c r="AF2776" s="8"/>
      <c r="AG2776" s="8"/>
      <c r="AH2776" s="8"/>
      <c r="AI2776" s="8"/>
      <c r="AJ2776" s="8"/>
      <c r="AK2776" s="8"/>
      <c r="AL2776" s="8"/>
      <c r="AM2776" s="8"/>
      <c r="AN2776" s="8"/>
      <c r="AO2776" s="8"/>
    </row>
    <row r="2777" spans="1:45" hidden="1">
      <c r="A2777" s="4"/>
      <c r="B2777" s="66"/>
      <c r="C2777" s="650"/>
      <c r="D2777" s="700"/>
      <c r="E2777" s="5"/>
      <c r="F2777" s="5"/>
      <c r="G2777" s="5"/>
      <c r="I2777" s="5"/>
      <c r="J2777" s="4"/>
      <c r="K2777" s="5"/>
      <c r="M2777" s="5"/>
      <c r="N2777" s="5"/>
      <c r="O2777" s="5"/>
      <c r="Q2777" s="5"/>
      <c r="R2777" s="5"/>
      <c r="S2777" s="5"/>
      <c r="T2777" s="5"/>
    </row>
    <row r="2778" spans="1:45" hidden="1">
      <c r="A2778" s="4"/>
      <c r="B2778" s="58"/>
      <c r="C2778" s="650" t="s">
        <v>2475</v>
      </c>
      <c r="D2778" s="647" t="s">
        <v>2393</v>
      </c>
      <c r="E2778" s="5"/>
      <c r="F2778" s="5"/>
      <c r="G2778" s="5"/>
      <c r="I2778" s="5"/>
      <c r="J2778" s="4"/>
      <c r="K2778" s="5"/>
      <c r="M2778" s="5"/>
      <c r="N2778" s="5"/>
      <c r="O2778" s="5"/>
      <c r="Q2778" s="5"/>
      <c r="R2778" s="5"/>
      <c r="S2778" s="5"/>
      <c r="T2778" s="5"/>
      <c r="AC2778" s="8"/>
      <c r="AD2778" s="8"/>
      <c r="AE2778" s="8"/>
      <c r="AF2778" s="8"/>
      <c r="AG2778" s="8"/>
      <c r="AH2778" s="8"/>
      <c r="AI2778" s="8"/>
      <c r="AJ2778" s="8"/>
      <c r="AK2778" s="8"/>
      <c r="AL2778" s="8"/>
      <c r="AM2778" s="8"/>
      <c r="AN2778" s="8"/>
      <c r="AO2778" s="8"/>
    </row>
    <row r="2779" spans="1:45" hidden="1">
      <c r="A2779" s="4"/>
      <c r="B2779" s="4"/>
      <c r="E2779" s="5"/>
      <c r="F2779" s="5"/>
      <c r="G2779" s="5"/>
      <c r="I2779" s="5"/>
      <c r="J2779" s="4"/>
      <c r="K2779" s="5"/>
      <c r="M2779" s="5"/>
      <c r="N2779" s="5"/>
      <c r="O2779" s="5"/>
      <c r="Q2779" s="5"/>
      <c r="R2779" s="5"/>
      <c r="S2779" s="5"/>
      <c r="T2779" s="5"/>
    </row>
    <row r="2780" spans="1:45" s="52" customFormat="1" hidden="1">
      <c r="A2780" s="51"/>
      <c r="B2780" s="51"/>
      <c r="C2780" s="644"/>
      <c r="D2780" s="693"/>
      <c r="H2780" s="670"/>
      <c r="J2780" s="51"/>
      <c r="L2780" s="644"/>
      <c r="P2780" s="693"/>
    </row>
    <row r="2781" spans="1:45" hidden="1">
      <c r="A2781" s="4"/>
      <c r="B2781" s="4"/>
      <c r="E2781" s="5"/>
      <c r="F2781" s="5"/>
      <c r="G2781" s="5"/>
      <c r="I2781" s="5"/>
      <c r="J2781" s="4"/>
      <c r="K2781" s="5"/>
      <c r="M2781" s="5"/>
      <c r="N2781" s="5"/>
      <c r="O2781" s="5"/>
      <c r="Q2781" s="5"/>
      <c r="R2781" s="5"/>
      <c r="S2781" s="5"/>
      <c r="T2781" s="5"/>
    </row>
    <row r="2782" spans="1:45" hidden="1">
      <c r="A2782" s="4"/>
      <c r="B2782" s="55" t="s">
        <v>2570</v>
      </c>
      <c r="C2782" s="647"/>
      <c r="D2782" s="649"/>
      <c r="E2782" s="58"/>
      <c r="F2782" s="58"/>
      <c r="G2782" s="58"/>
      <c r="I2782" s="5"/>
      <c r="J2782" s="4"/>
      <c r="K2782" s="5"/>
      <c r="M2782" s="5"/>
      <c r="N2782" s="5"/>
      <c r="O2782" s="5"/>
      <c r="Q2782" s="5"/>
      <c r="R2782" s="5"/>
      <c r="S2782" s="5"/>
      <c r="T2782" s="5"/>
    </row>
    <row r="2783" spans="1:45" hidden="1">
      <c r="A2783" s="4"/>
      <c r="B2783" s="63"/>
      <c r="C2783" s="652" t="s">
        <v>2419</v>
      </c>
      <c r="D2783" s="699" t="s">
        <v>2519</v>
      </c>
      <c r="E2783" s="63"/>
      <c r="F2783" s="63"/>
      <c r="G2783" s="63" t="s">
        <v>2420</v>
      </c>
      <c r="I2783" s="5"/>
      <c r="J2783" s="4"/>
      <c r="K2783" s="5"/>
      <c r="M2783" s="5"/>
      <c r="N2783" s="5"/>
      <c r="O2783" s="5"/>
      <c r="Q2783" s="5"/>
      <c r="R2783" s="5"/>
      <c r="S2783" s="5"/>
      <c r="T2783" s="5"/>
      <c r="AC2783" s="8"/>
      <c r="AD2783" s="8"/>
      <c r="AE2783" s="8"/>
      <c r="AF2783" s="8"/>
      <c r="AG2783" s="8"/>
      <c r="AH2783" s="8"/>
      <c r="AI2783" s="8"/>
      <c r="AJ2783" s="8"/>
      <c r="AK2783" s="8"/>
      <c r="AL2783" s="8"/>
      <c r="AM2783" s="8"/>
      <c r="AN2783" s="8"/>
      <c r="AO2783" s="8"/>
    </row>
    <row r="2784" spans="1:45" hidden="1">
      <c r="A2784" s="4"/>
      <c r="B2784" s="63"/>
      <c r="C2784" s="652" t="s">
        <v>2421</v>
      </c>
      <c r="D2784" s="699" t="s">
        <v>2519</v>
      </c>
      <c r="E2784" s="63"/>
      <c r="F2784" s="63"/>
      <c r="G2784" s="63" t="s">
        <v>2422</v>
      </c>
      <c r="I2784" s="5"/>
      <c r="J2784" s="4"/>
      <c r="K2784" s="5"/>
      <c r="M2784" s="5"/>
      <c r="N2784" s="5"/>
      <c r="O2784" s="5"/>
      <c r="Q2784" s="5"/>
      <c r="R2784" s="5"/>
      <c r="S2784" s="5"/>
      <c r="T2784" s="5"/>
      <c r="AC2784" s="8"/>
      <c r="AD2784" s="8"/>
      <c r="AE2784" s="8"/>
      <c r="AF2784" s="8"/>
      <c r="AG2784" s="8"/>
      <c r="AH2784" s="8"/>
      <c r="AI2784" s="8"/>
      <c r="AJ2784" s="8"/>
      <c r="AK2784" s="8"/>
      <c r="AL2784" s="8"/>
      <c r="AM2784" s="8"/>
      <c r="AN2784" s="8"/>
      <c r="AO2784" s="8"/>
    </row>
    <row r="2785" spans="1:41" hidden="1">
      <c r="A2785" s="4"/>
      <c r="B2785" s="63"/>
      <c r="C2785" s="652" t="s">
        <v>2423</v>
      </c>
      <c r="D2785" s="699" t="s">
        <v>2519</v>
      </c>
      <c r="E2785" s="63"/>
      <c r="F2785" s="63"/>
      <c r="G2785" s="63" t="s">
        <v>2424</v>
      </c>
      <c r="I2785" s="5"/>
      <c r="J2785" s="4"/>
      <c r="K2785" s="5"/>
      <c r="M2785" s="5"/>
      <c r="N2785" s="5"/>
      <c r="O2785" s="5"/>
      <c r="Q2785" s="5"/>
      <c r="R2785" s="5"/>
      <c r="S2785" s="5"/>
      <c r="T2785" s="5"/>
      <c r="AC2785" s="8"/>
      <c r="AD2785" s="8"/>
      <c r="AE2785" s="8"/>
      <c r="AF2785" s="8"/>
      <c r="AG2785" s="8"/>
      <c r="AH2785" s="8"/>
      <c r="AI2785" s="8"/>
      <c r="AJ2785" s="8"/>
      <c r="AK2785" s="8"/>
      <c r="AL2785" s="8"/>
      <c r="AM2785" s="8"/>
      <c r="AN2785" s="8"/>
      <c r="AO2785" s="8"/>
    </row>
    <row r="2786" spans="1:41" hidden="1">
      <c r="A2786" s="4"/>
      <c r="B2786" s="63"/>
      <c r="C2786" s="652" t="s">
        <v>2425</v>
      </c>
      <c r="D2786" s="699" t="s">
        <v>2519</v>
      </c>
      <c r="E2786" s="63"/>
      <c r="F2786" s="63"/>
      <c r="G2786" s="63" t="s">
        <v>2426</v>
      </c>
      <c r="I2786" s="5"/>
      <c r="J2786" s="4"/>
      <c r="K2786" s="5"/>
      <c r="M2786" s="5"/>
      <c r="N2786" s="5"/>
      <c r="O2786" s="5"/>
      <c r="Q2786" s="5"/>
      <c r="R2786" s="5"/>
      <c r="S2786" s="5"/>
      <c r="T2786" s="5"/>
      <c r="AC2786" s="8"/>
      <c r="AD2786" s="8"/>
      <c r="AE2786" s="8"/>
      <c r="AF2786" s="8"/>
      <c r="AG2786" s="8"/>
      <c r="AH2786" s="8"/>
      <c r="AI2786" s="8"/>
      <c r="AJ2786" s="8"/>
      <c r="AK2786" s="8"/>
      <c r="AL2786" s="8"/>
      <c r="AM2786" s="8"/>
      <c r="AN2786" s="8"/>
      <c r="AO2786" s="8"/>
    </row>
    <row r="2787" spans="1:41" hidden="1">
      <c r="A2787" s="4"/>
      <c r="B2787" s="63"/>
      <c r="C2787" s="652" t="s">
        <v>2427</v>
      </c>
      <c r="D2787" s="699" t="s">
        <v>2519</v>
      </c>
      <c r="E2787" s="63"/>
      <c r="F2787" s="63"/>
      <c r="G2787" s="63" t="s">
        <v>2571</v>
      </c>
      <c r="I2787" s="5"/>
      <c r="J2787" s="4"/>
      <c r="K2787" s="5"/>
      <c r="M2787" s="5"/>
      <c r="N2787" s="5"/>
      <c r="O2787" s="5"/>
      <c r="Q2787" s="5"/>
      <c r="R2787" s="5"/>
      <c r="S2787" s="5"/>
      <c r="T2787" s="5"/>
      <c r="AC2787" s="8"/>
      <c r="AD2787" s="8"/>
      <c r="AE2787" s="8"/>
      <c r="AF2787" s="8"/>
      <c r="AG2787" s="8"/>
      <c r="AH2787" s="8"/>
      <c r="AI2787" s="8"/>
      <c r="AJ2787" s="8"/>
      <c r="AK2787" s="8"/>
      <c r="AL2787" s="8"/>
      <c r="AM2787" s="8"/>
      <c r="AN2787" s="8"/>
      <c r="AO2787" s="8"/>
    </row>
    <row r="2788" spans="1:41" hidden="1">
      <c r="A2788" s="4"/>
      <c r="B2788" s="63"/>
      <c r="C2788" s="652" t="s">
        <v>2429</v>
      </c>
      <c r="D2788" s="699" t="s">
        <v>2519</v>
      </c>
      <c r="E2788" s="63"/>
      <c r="F2788" s="63"/>
      <c r="G2788" s="63" t="s">
        <v>2572</v>
      </c>
      <c r="I2788" s="5"/>
      <c r="J2788" s="4"/>
      <c r="K2788" s="5"/>
      <c r="M2788" s="5"/>
      <c r="N2788" s="5"/>
      <c r="O2788" s="5"/>
      <c r="Q2788" s="5"/>
      <c r="R2788" s="5"/>
      <c r="S2788" s="5"/>
      <c r="T2788" s="5"/>
      <c r="AC2788" s="8"/>
      <c r="AD2788" s="8"/>
      <c r="AE2788" s="8"/>
      <c r="AF2788" s="8"/>
      <c r="AG2788" s="8"/>
      <c r="AH2788" s="8"/>
      <c r="AI2788" s="8"/>
      <c r="AJ2788" s="8"/>
      <c r="AK2788" s="8"/>
      <c r="AL2788" s="8"/>
      <c r="AM2788" s="8"/>
      <c r="AN2788" s="8"/>
      <c r="AO2788" s="8"/>
    </row>
    <row r="2789" spans="1:41" hidden="1">
      <c r="A2789" s="4"/>
      <c r="B2789" s="63"/>
      <c r="C2789" s="652" t="s">
        <v>2430</v>
      </c>
      <c r="D2789" s="699" t="s">
        <v>2519</v>
      </c>
      <c r="E2789" s="63"/>
      <c r="F2789" s="63"/>
      <c r="G2789" s="63" t="s">
        <v>2431</v>
      </c>
      <c r="I2789" s="5"/>
      <c r="J2789" s="4"/>
      <c r="K2789" s="5"/>
      <c r="M2789" s="5"/>
      <c r="N2789" s="5"/>
      <c r="O2789" s="5"/>
      <c r="Q2789" s="5"/>
      <c r="R2789" s="5"/>
      <c r="S2789" s="5"/>
      <c r="T2789" s="5"/>
      <c r="AC2789" s="8"/>
      <c r="AD2789" s="8"/>
      <c r="AE2789" s="8"/>
      <c r="AF2789" s="8"/>
      <c r="AG2789" s="8"/>
      <c r="AH2789" s="8"/>
      <c r="AI2789" s="8"/>
      <c r="AJ2789" s="8"/>
      <c r="AK2789" s="8"/>
      <c r="AL2789" s="8"/>
      <c r="AM2789" s="8"/>
      <c r="AN2789" s="8"/>
      <c r="AO2789" s="8"/>
    </row>
    <row r="2790" spans="1:41" hidden="1">
      <c r="A2790" s="4"/>
      <c r="B2790" s="63"/>
      <c r="C2790" s="652" t="s">
        <v>2432</v>
      </c>
      <c r="D2790" s="699" t="s">
        <v>2519</v>
      </c>
      <c r="E2790" s="63"/>
      <c r="F2790" s="63"/>
      <c r="G2790" s="63" t="s">
        <v>2433</v>
      </c>
      <c r="I2790" s="5"/>
      <c r="J2790" s="4"/>
      <c r="K2790" s="5"/>
      <c r="M2790" s="5"/>
      <c r="N2790" s="5"/>
      <c r="O2790" s="5"/>
      <c r="Q2790" s="5"/>
      <c r="R2790" s="5"/>
      <c r="S2790" s="5"/>
      <c r="T2790" s="5"/>
      <c r="AC2790" s="8"/>
      <c r="AD2790" s="8"/>
      <c r="AE2790" s="8"/>
      <c r="AF2790" s="8"/>
      <c r="AG2790" s="8"/>
      <c r="AH2790" s="8"/>
      <c r="AI2790" s="8"/>
      <c r="AJ2790" s="8"/>
      <c r="AK2790" s="8"/>
      <c r="AL2790" s="8"/>
      <c r="AM2790" s="8"/>
      <c r="AN2790" s="8"/>
      <c r="AO2790" s="8"/>
    </row>
    <row r="2791" spans="1:41" hidden="1">
      <c r="A2791" s="4"/>
      <c r="B2791" s="63"/>
      <c r="C2791" s="652" t="s">
        <v>2434</v>
      </c>
      <c r="D2791" s="699" t="s">
        <v>2519</v>
      </c>
      <c r="E2791" s="63"/>
      <c r="F2791" s="63"/>
      <c r="G2791" s="63" t="s">
        <v>2435</v>
      </c>
      <c r="I2791" s="5"/>
      <c r="J2791" s="4"/>
      <c r="K2791" s="5"/>
      <c r="M2791" s="5"/>
      <c r="N2791" s="5"/>
      <c r="O2791" s="5"/>
      <c r="Q2791" s="5"/>
      <c r="R2791" s="5"/>
      <c r="S2791" s="5"/>
      <c r="T2791" s="5"/>
      <c r="AC2791" s="8"/>
      <c r="AD2791" s="8"/>
      <c r="AE2791" s="8"/>
      <c r="AF2791" s="8"/>
      <c r="AG2791" s="8"/>
      <c r="AH2791" s="8"/>
      <c r="AI2791" s="8"/>
      <c r="AJ2791" s="8"/>
      <c r="AK2791" s="8"/>
      <c r="AL2791" s="8"/>
      <c r="AM2791" s="8"/>
      <c r="AN2791" s="8"/>
      <c r="AO2791" s="8"/>
    </row>
    <row r="2792" spans="1:41" ht="15" hidden="1">
      <c r="A2792" s="4"/>
      <c r="B2792" s="63"/>
      <c r="C2792" s="652" t="s">
        <v>2436</v>
      </c>
      <c r="D2792" s="699" t="s">
        <v>2519</v>
      </c>
      <c r="E2792" s="63"/>
      <c r="F2792" s="63"/>
      <c r="G2792" s="63" t="s">
        <v>2437</v>
      </c>
      <c r="I2792" s="5"/>
      <c r="J2792" s="4"/>
      <c r="K2792" s="5"/>
      <c r="M2792" s="5"/>
      <c r="N2792" s="5"/>
      <c r="O2792" s="5"/>
      <c r="Q2792" s="5"/>
      <c r="R2792" s="5"/>
      <c r="S2792" s="5"/>
      <c r="T2792" s="5"/>
      <c r="AC2792" s="43"/>
      <c r="AD2792" s="43"/>
      <c r="AE2792" s="43"/>
      <c r="AF2792" s="43"/>
      <c r="AG2792" s="43"/>
      <c r="AH2792" s="43"/>
      <c r="AI2792" s="43"/>
      <c r="AJ2792" s="43"/>
      <c r="AK2792" s="43"/>
      <c r="AL2792" s="43"/>
      <c r="AM2792" s="43"/>
      <c r="AN2792" s="43"/>
      <c r="AO2792" s="43"/>
    </row>
    <row r="2793" spans="1:41" hidden="1">
      <c r="A2793" s="4"/>
      <c r="B2793" s="63"/>
      <c r="C2793" s="653"/>
      <c r="D2793" s="699"/>
      <c r="E2793" s="63"/>
      <c r="F2793" s="63"/>
      <c r="G2793" s="63"/>
      <c r="I2793" s="5"/>
      <c r="J2793" s="4"/>
      <c r="K2793" s="5"/>
      <c r="M2793" s="5"/>
      <c r="N2793" s="5"/>
      <c r="O2793" s="5"/>
      <c r="Q2793" s="5"/>
      <c r="R2793" s="5"/>
      <c r="S2793" s="5"/>
      <c r="T2793" s="5"/>
      <c r="AC2793" s="8"/>
      <c r="AD2793" s="8"/>
      <c r="AE2793" s="8"/>
      <c r="AF2793" s="8"/>
      <c r="AG2793" s="8"/>
      <c r="AH2793" s="8"/>
      <c r="AI2793" s="8"/>
      <c r="AJ2793" s="8"/>
      <c r="AK2793" s="8"/>
      <c r="AL2793" s="8"/>
      <c r="AM2793" s="8"/>
      <c r="AN2793" s="8"/>
      <c r="AO2793" s="8"/>
    </row>
    <row r="2794" spans="1:41" hidden="1">
      <c r="A2794" s="4"/>
      <c r="B2794" s="58"/>
      <c r="C2794" s="647"/>
      <c r="D2794" s="649"/>
      <c r="E2794" s="58"/>
      <c r="F2794" s="58"/>
      <c r="G2794" s="58"/>
      <c r="I2794" s="5"/>
      <c r="J2794" s="4"/>
      <c r="K2794" s="5"/>
      <c r="M2794" s="5"/>
      <c r="N2794" s="5"/>
      <c r="O2794" s="5"/>
      <c r="Q2794" s="5"/>
      <c r="R2794" s="5"/>
      <c r="S2794" s="5"/>
      <c r="T2794" s="5"/>
      <c r="AC2794" s="8"/>
      <c r="AD2794" s="8"/>
      <c r="AE2794" s="8"/>
      <c r="AF2794" s="8"/>
      <c r="AG2794" s="8"/>
      <c r="AH2794" s="8"/>
      <c r="AI2794" s="8"/>
      <c r="AJ2794" s="8"/>
      <c r="AK2794" s="8"/>
      <c r="AL2794" s="8"/>
      <c r="AM2794" s="8"/>
      <c r="AN2794" s="8"/>
      <c r="AO2794" s="8"/>
    </row>
    <row r="2795" spans="1:41" hidden="1">
      <c r="A2795" s="4"/>
      <c r="B2795" s="58"/>
      <c r="C2795" s="649" t="s">
        <v>2475</v>
      </c>
      <c r="D2795" s="649"/>
      <c r="E2795" s="58"/>
      <c r="F2795" s="58"/>
      <c r="G2795" s="58"/>
      <c r="I2795" s="5"/>
      <c r="J2795" s="4"/>
      <c r="K2795" s="5"/>
      <c r="M2795" s="5"/>
      <c r="N2795" s="5"/>
      <c r="O2795" s="5"/>
      <c r="Q2795" s="5"/>
      <c r="R2795" s="5"/>
      <c r="S2795" s="5"/>
      <c r="T2795" s="5"/>
      <c r="AC2795" s="8"/>
      <c r="AD2795" s="8"/>
      <c r="AE2795" s="8"/>
      <c r="AF2795" s="8"/>
      <c r="AG2795" s="8"/>
      <c r="AH2795" s="8"/>
      <c r="AI2795" s="8"/>
      <c r="AJ2795" s="8"/>
      <c r="AK2795" s="8"/>
      <c r="AL2795" s="8"/>
      <c r="AM2795" s="8"/>
      <c r="AN2795" s="8"/>
      <c r="AO2795" s="8"/>
    </row>
    <row r="2796" spans="1:41" hidden="1">
      <c r="A2796" s="4"/>
      <c r="B2796" s="58"/>
      <c r="C2796" s="650"/>
      <c r="D2796" s="647"/>
      <c r="E2796" s="56"/>
      <c r="F2796" s="56"/>
      <c r="G2796" s="57"/>
      <c r="I2796" s="5"/>
      <c r="J2796" s="4"/>
      <c r="K2796" s="5"/>
      <c r="M2796" s="5"/>
      <c r="N2796" s="5"/>
      <c r="O2796" s="5"/>
      <c r="Q2796" s="5"/>
      <c r="R2796" s="5"/>
      <c r="S2796" s="5"/>
      <c r="T2796" s="5"/>
    </row>
    <row r="2797" spans="1:41" hidden="1">
      <c r="A2797" s="4"/>
      <c r="B2797" s="58"/>
      <c r="C2797" s="650"/>
      <c r="D2797" s="647"/>
      <c r="E2797" s="56"/>
      <c r="F2797" s="56"/>
      <c r="G2797" s="57"/>
      <c r="I2797" s="5"/>
      <c r="J2797" s="4"/>
      <c r="K2797" s="5"/>
      <c r="M2797" s="5"/>
      <c r="N2797" s="5"/>
      <c r="O2797" s="5"/>
      <c r="Q2797" s="5"/>
      <c r="R2797" s="5"/>
      <c r="S2797" s="5"/>
      <c r="T2797" s="5"/>
    </row>
    <row r="2798" spans="1:41" hidden="1">
      <c r="A2798" s="4"/>
      <c r="B2798" s="58"/>
      <c r="C2798" s="650"/>
      <c r="D2798" s="647"/>
      <c r="E2798" s="56"/>
      <c r="F2798" s="56"/>
      <c r="G2798" s="57"/>
      <c r="I2798" s="5"/>
      <c r="J2798" s="4"/>
      <c r="K2798" s="5"/>
      <c r="M2798" s="5"/>
      <c r="N2798" s="5"/>
      <c r="O2798" s="5"/>
      <c r="Q2798" s="5"/>
      <c r="R2798" s="5"/>
      <c r="S2798" s="5"/>
      <c r="T2798" s="5"/>
    </row>
    <row r="2799" spans="1:41" hidden="1">
      <c r="A2799" s="4"/>
      <c r="B2799" s="58"/>
      <c r="C2799" s="647"/>
      <c r="D2799" s="647"/>
      <c r="E2799" s="56"/>
      <c r="F2799" s="56"/>
      <c r="G2799" s="57"/>
      <c r="I2799" s="5"/>
      <c r="J2799" s="4"/>
      <c r="K2799" s="5"/>
      <c r="M2799" s="5"/>
      <c r="N2799" s="5"/>
      <c r="O2799" s="5"/>
      <c r="Q2799" s="5"/>
      <c r="R2799" s="5"/>
      <c r="S2799" s="5"/>
      <c r="T2799" s="5"/>
    </row>
    <row r="2800" spans="1:41" hidden="1">
      <c r="A2800" s="4"/>
      <c r="B2800" s="55" t="s">
        <v>2573</v>
      </c>
      <c r="C2800" s="647"/>
      <c r="D2800" s="647"/>
      <c r="E2800" s="56"/>
      <c r="F2800" s="56"/>
      <c r="G2800" s="57"/>
      <c r="I2800" s="5"/>
      <c r="J2800" s="4"/>
      <c r="K2800" s="5"/>
      <c r="M2800" s="5"/>
      <c r="N2800" s="5"/>
      <c r="O2800" s="5"/>
      <c r="Q2800" s="5"/>
      <c r="R2800" s="5"/>
      <c r="S2800" s="5"/>
      <c r="T2800" s="5"/>
    </row>
    <row r="2801" spans="1:45" hidden="1">
      <c r="A2801" s="4"/>
      <c r="B2801" s="66"/>
      <c r="C2801" s="650" t="s">
        <v>1130</v>
      </c>
      <c r="D2801" s="700"/>
      <c r="E2801" s="65"/>
      <c r="F2801" s="65"/>
      <c r="G2801" s="73"/>
      <c r="I2801" s="5"/>
      <c r="J2801" s="4"/>
      <c r="K2801" s="5"/>
      <c r="M2801" s="5"/>
      <c r="N2801" s="5"/>
      <c r="O2801" s="5"/>
      <c r="Q2801" s="5"/>
      <c r="R2801" s="5"/>
      <c r="S2801" s="5"/>
      <c r="T2801" s="5"/>
      <c r="AC2801" s="8"/>
      <c r="AD2801" s="8"/>
      <c r="AE2801" s="8"/>
      <c r="AF2801" s="8"/>
      <c r="AG2801" s="8"/>
      <c r="AH2801" s="8"/>
      <c r="AI2801" s="8"/>
      <c r="AJ2801" s="8"/>
      <c r="AK2801" s="8"/>
      <c r="AL2801" s="8"/>
      <c r="AM2801" s="8"/>
      <c r="AN2801" s="8"/>
      <c r="AO2801" s="8"/>
      <c r="AS2801" s="5" t="str">
        <f>CONCATENATE($D$2831,C2801,"Y")</f>
        <v>N10AMIY</v>
      </c>
    </row>
    <row r="2802" spans="1:45" hidden="1">
      <c r="A2802" s="4"/>
      <c r="B2802" s="66"/>
      <c r="C2802" s="650" t="s">
        <v>1186</v>
      </c>
      <c r="D2802" s="700"/>
      <c r="E2802" s="65"/>
      <c r="F2802" s="65"/>
      <c r="G2802" s="73"/>
      <c r="I2802" s="5"/>
      <c r="J2802" s="4"/>
      <c r="K2802" s="5"/>
      <c r="M2802" s="5"/>
      <c r="N2802" s="5"/>
      <c r="O2802" s="5"/>
      <c r="Q2802" s="5"/>
      <c r="R2802" s="5"/>
      <c r="S2802" s="5"/>
      <c r="T2802" s="5"/>
      <c r="AC2802" s="8"/>
      <c r="AD2802" s="8"/>
      <c r="AE2802" s="8"/>
      <c r="AF2802" s="8"/>
      <c r="AG2802" s="8"/>
      <c r="AH2802" s="8"/>
      <c r="AI2802" s="8"/>
      <c r="AJ2802" s="8"/>
      <c r="AK2802" s="8"/>
      <c r="AL2802" s="8"/>
      <c r="AM2802" s="8"/>
      <c r="AN2802" s="8"/>
      <c r="AO2802" s="8"/>
      <c r="AS2802" s="5" t="str">
        <f t="shared" ref="AS2802:AS2826" si="1204">CONCATENATE($D$2831,C2802,"Y")</f>
        <v>N10Bonus Depreciation DeferralY</v>
      </c>
    </row>
    <row r="2803" spans="1:45" hidden="1">
      <c r="A2803" s="4"/>
      <c r="B2803" s="66"/>
      <c r="C2803" s="650" t="s">
        <v>824</v>
      </c>
      <c r="D2803" s="700"/>
      <c r="E2803" s="65"/>
      <c r="F2803" s="65"/>
      <c r="G2803" s="73"/>
      <c r="I2803" s="5"/>
      <c r="J2803" s="4"/>
      <c r="K2803" s="5"/>
      <c r="M2803" s="5"/>
      <c r="N2803" s="5"/>
      <c r="O2803" s="5"/>
      <c r="Q2803" s="5"/>
      <c r="R2803" s="5"/>
      <c r="S2803" s="5"/>
      <c r="T2803" s="5"/>
      <c r="AC2803" s="8"/>
      <c r="AD2803" s="8"/>
      <c r="AE2803" s="8"/>
      <c r="AF2803" s="8"/>
      <c r="AG2803" s="8"/>
      <c r="AH2803" s="8"/>
      <c r="AI2803" s="8"/>
      <c r="AJ2803" s="8"/>
      <c r="AK2803" s="8"/>
      <c r="AL2803" s="8"/>
      <c r="AM2803" s="8"/>
      <c r="AN2803" s="8"/>
      <c r="AO2803" s="8"/>
      <c r="AS2803" s="5" t="str">
        <f t="shared" si="1204"/>
        <v>N10CAIDI/SAIFI StudyY</v>
      </c>
    </row>
    <row r="2804" spans="1:45" hidden="1">
      <c r="A2804" s="4"/>
      <c r="B2804" s="66"/>
      <c r="C2804" s="650" t="s">
        <v>1121</v>
      </c>
      <c r="D2804" s="700"/>
      <c r="E2804" s="65"/>
      <c r="F2804" s="65"/>
      <c r="G2804" s="73"/>
      <c r="I2804" s="5"/>
      <c r="J2804" s="4"/>
      <c r="K2804" s="5"/>
      <c r="M2804" s="5"/>
      <c r="N2804" s="5"/>
      <c r="O2804" s="5"/>
      <c r="Q2804" s="5"/>
      <c r="R2804" s="5"/>
      <c r="S2804" s="5"/>
      <c r="T2804" s="5"/>
      <c r="AC2804" s="8"/>
      <c r="AD2804" s="8"/>
      <c r="AE2804" s="8"/>
      <c r="AF2804" s="8"/>
      <c r="AG2804" s="8"/>
      <c r="AH2804" s="8"/>
      <c r="AI2804" s="8"/>
      <c r="AJ2804" s="8"/>
      <c r="AK2804" s="8"/>
      <c r="AL2804" s="8"/>
      <c r="AM2804" s="8"/>
      <c r="AN2804" s="8"/>
      <c r="AO2804" s="8"/>
      <c r="AS2804" s="5" t="str">
        <f t="shared" si="1204"/>
        <v>N10DOE Liability - True-up-2011Y</v>
      </c>
    </row>
    <row r="2805" spans="1:45" hidden="1">
      <c r="A2805" s="4"/>
      <c r="B2805" s="66"/>
      <c r="C2805" s="650" t="s">
        <v>1309</v>
      </c>
      <c r="D2805" s="700"/>
      <c r="E2805" s="65"/>
      <c r="F2805" s="65"/>
      <c r="G2805" s="73"/>
      <c r="I2805" s="5"/>
      <c r="J2805" s="4"/>
      <c r="K2805" s="5"/>
      <c r="M2805" s="5"/>
      <c r="N2805" s="5"/>
      <c r="O2805" s="5"/>
      <c r="Q2805" s="5"/>
      <c r="R2805" s="5"/>
      <c r="S2805" s="5"/>
      <c r="T2805" s="5"/>
      <c r="AC2805" s="8"/>
      <c r="AD2805" s="8"/>
      <c r="AE2805" s="8"/>
      <c r="AF2805" s="8"/>
      <c r="AG2805" s="8"/>
      <c r="AH2805" s="8"/>
      <c r="AI2805" s="8"/>
      <c r="AJ2805" s="8"/>
      <c r="AK2805" s="8"/>
      <c r="AL2805" s="8"/>
      <c r="AM2805" s="8"/>
      <c r="AN2805" s="8"/>
      <c r="AO2805" s="8"/>
      <c r="AS2805" s="5" t="str">
        <f t="shared" si="1204"/>
        <v>N10Economic DevelopmentY</v>
      </c>
    </row>
    <row r="2806" spans="1:45" hidden="1">
      <c r="A2806" s="4"/>
      <c r="B2806" s="66"/>
      <c r="C2806" s="650" t="s">
        <v>1134</v>
      </c>
      <c r="D2806" s="700"/>
      <c r="E2806" s="65"/>
      <c r="F2806" s="65"/>
      <c r="G2806" s="73"/>
      <c r="I2806" s="5"/>
      <c r="J2806" s="4"/>
      <c r="K2806" s="5"/>
      <c r="M2806" s="5"/>
      <c r="N2806" s="5"/>
      <c r="O2806" s="5"/>
      <c r="Q2806" s="5"/>
      <c r="R2806" s="5"/>
      <c r="S2806" s="5"/>
      <c r="T2806" s="5"/>
      <c r="AC2806" s="8"/>
      <c r="AD2806" s="8"/>
      <c r="AE2806" s="8"/>
      <c r="AF2806" s="8"/>
      <c r="AG2806" s="8"/>
      <c r="AH2806" s="8"/>
      <c r="AI2806" s="8"/>
      <c r="AJ2806" s="8"/>
      <c r="AK2806" s="8"/>
      <c r="AL2806" s="8"/>
      <c r="AM2806" s="8"/>
      <c r="AN2806" s="8"/>
      <c r="AO2806" s="8"/>
      <c r="AS2806" s="5" t="str">
        <f t="shared" si="1204"/>
        <v>N10EnvironmentalY</v>
      </c>
    </row>
    <row r="2807" spans="1:45" hidden="1">
      <c r="A2807" s="4"/>
      <c r="B2807" s="66"/>
      <c r="C2807" s="650" t="s">
        <v>813</v>
      </c>
      <c r="D2807" s="700"/>
      <c r="E2807" s="65"/>
      <c r="F2807" s="65"/>
      <c r="G2807" s="73"/>
      <c r="I2807" s="5"/>
      <c r="J2807" s="4"/>
      <c r="K2807" s="5"/>
      <c r="M2807" s="5"/>
      <c r="N2807" s="5"/>
      <c r="O2807" s="5"/>
      <c r="Q2807" s="5"/>
      <c r="R2807" s="5"/>
      <c r="S2807" s="5"/>
      <c r="T2807" s="5"/>
      <c r="AC2807" s="8"/>
      <c r="AD2807" s="8"/>
      <c r="AE2807" s="8"/>
      <c r="AF2807" s="8"/>
      <c r="AG2807" s="8"/>
      <c r="AH2807" s="8"/>
      <c r="AI2807" s="8"/>
      <c r="AJ2807" s="8"/>
      <c r="AK2807" s="8"/>
      <c r="AL2807" s="8"/>
      <c r="AM2807" s="8"/>
      <c r="AN2807" s="8"/>
      <c r="AO2807" s="8"/>
      <c r="AS2807" s="5" t="str">
        <f t="shared" si="1204"/>
        <v>N10ESMY</v>
      </c>
    </row>
    <row r="2808" spans="1:45" hidden="1">
      <c r="A2808" s="4"/>
      <c r="B2808" s="66"/>
      <c r="C2808" s="650" t="s">
        <v>1142</v>
      </c>
      <c r="D2808" s="700"/>
      <c r="E2808" s="65"/>
      <c r="F2808" s="65"/>
      <c r="G2808" s="73"/>
      <c r="I2808" s="5"/>
      <c r="J2808" s="4"/>
      <c r="K2808" s="5"/>
      <c r="M2808" s="5"/>
      <c r="N2808" s="5"/>
      <c r="O2808" s="5"/>
      <c r="Q2808" s="5"/>
      <c r="R2808" s="5"/>
      <c r="S2808" s="5"/>
      <c r="T2808" s="5"/>
      <c r="AC2808" s="8"/>
      <c r="AD2808" s="8"/>
      <c r="AE2808" s="8"/>
      <c r="AF2808" s="8"/>
      <c r="AG2808" s="8"/>
      <c r="AH2808" s="8"/>
      <c r="AI2808" s="8"/>
      <c r="AJ2808" s="8"/>
      <c r="AK2808" s="8"/>
      <c r="AL2808" s="8"/>
      <c r="AM2808" s="8"/>
      <c r="AN2808" s="8"/>
      <c r="AO2808" s="8"/>
      <c r="AS2808" s="5" t="str">
        <f t="shared" si="1204"/>
        <v>N10Gas Costs DeferredY</v>
      </c>
    </row>
    <row r="2809" spans="1:45" hidden="1">
      <c r="A2809" s="4"/>
      <c r="B2809" s="66"/>
      <c r="C2809" s="650" t="s">
        <v>1132</v>
      </c>
      <c r="D2809" s="700"/>
      <c r="E2809" s="65"/>
      <c r="F2809" s="65"/>
      <c r="G2809" s="73"/>
      <c r="I2809" s="5"/>
      <c r="J2809" s="4"/>
      <c r="K2809" s="5"/>
      <c r="M2809" s="5"/>
      <c r="N2809" s="5"/>
      <c r="O2809" s="5"/>
      <c r="Q2809" s="5"/>
      <c r="R2809" s="5"/>
      <c r="S2809" s="5"/>
      <c r="T2809" s="5"/>
      <c r="AC2809" s="8"/>
      <c r="AD2809" s="8"/>
      <c r="AE2809" s="8"/>
      <c r="AF2809" s="8"/>
      <c r="AG2809" s="8"/>
      <c r="AH2809" s="8"/>
      <c r="AI2809" s="8"/>
      <c r="AJ2809" s="8"/>
      <c r="AK2809" s="8"/>
      <c r="AL2809" s="8"/>
      <c r="AM2809" s="8"/>
      <c r="AN2809" s="8"/>
      <c r="AO2809" s="8"/>
      <c r="AS2809" s="5" t="str">
        <f t="shared" si="1204"/>
        <v>N10Gas Pipeline IntegrityY</v>
      </c>
    </row>
    <row r="2810" spans="1:45" hidden="1">
      <c r="A2810" s="4"/>
      <c r="B2810" s="66"/>
      <c r="C2810" s="650" t="s">
        <v>1195</v>
      </c>
      <c r="D2810" s="700"/>
      <c r="E2810" s="65"/>
      <c r="F2810" s="65"/>
      <c r="G2810" s="73"/>
      <c r="I2810" s="5"/>
      <c r="J2810" s="4"/>
      <c r="K2810" s="5"/>
      <c r="M2810" s="5"/>
      <c r="N2810" s="5"/>
      <c r="O2810" s="5"/>
      <c r="Q2810" s="5"/>
      <c r="R2810" s="5"/>
      <c r="S2810" s="5"/>
      <c r="T2810" s="5"/>
      <c r="AC2810" s="8"/>
      <c r="AD2810" s="8"/>
      <c r="AE2810" s="8"/>
      <c r="AF2810" s="8"/>
      <c r="AG2810" s="8"/>
      <c r="AH2810" s="8"/>
      <c r="AI2810" s="8"/>
      <c r="AJ2810" s="8"/>
      <c r="AK2810" s="8"/>
      <c r="AL2810" s="8"/>
      <c r="AM2810" s="8"/>
      <c r="AN2810" s="8"/>
      <c r="AO2810" s="8"/>
      <c r="AS2810" s="5" t="str">
        <f t="shared" si="1204"/>
        <v>N10Incremental MaintenanceY</v>
      </c>
    </row>
    <row r="2811" spans="1:45" hidden="1">
      <c r="A2811" s="4"/>
      <c r="B2811" s="66"/>
      <c r="C2811" s="650" t="s">
        <v>821</v>
      </c>
      <c r="D2811" s="700"/>
      <c r="E2811" s="65"/>
      <c r="F2811" s="65"/>
      <c r="G2811" s="73"/>
      <c r="I2811" s="5"/>
      <c r="J2811" s="4"/>
      <c r="K2811" s="5"/>
      <c r="M2811" s="5"/>
      <c r="N2811" s="5"/>
      <c r="O2811" s="5"/>
      <c r="Q2811" s="5"/>
      <c r="R2811" s="5"/>
      <c r="S2811" s="5"/>
      <c r="T2811" s="5"/>
      <c r="AC2811" s="8"/>
      <c r="AD2811" s="8"/>
      <c r="AE2811" s="8"/>
      <c r="AF2811" s="8"/>
      <c r="AG2811" s="8"/>
      <c r="AH2811" s="8"/>
      <c r="AI2811" s="8"/>
      <c r="AJ2811" s="8"/>
      <c r="AK2811" s="8"/>
      <c r="AL2811" s="8"/>
      <c r="AM2811" s="8"/>
      <c r="AN2811" s="8"/>
      <c r="AO2811" s="8"/>
      <c r="AS2811" s="5" t="str">
        <f t="shared" si="1204"/>
        <v>N10Low IncomeY</v>
      </c>
    </row>
    <row r="2812" spans="1:45" hidden="1">
      <c r="A2812" s="4"/>
      <c r="B2812" s="66"/>
      <c r="C2812" s="650" t="s">
        <v>1325</v>
      </c>
      <c r="D2812" s="700"/>
      <c r="E2812" s="65"/>
      <c r="F2812" s="65"/>
      <c r="G2812" s="73"/>
      <c r="I2812" s="5"/>
      <c r="J2812" s="4"/>
      <c r="K2812" s="5"/>
      <c r="M2812" s="5"/>
      <c r="N2812" s="5"/>
      <c r="O2812" s="5"/>
      <c r="Q2812" s="5"/>
      <c r="R2812" s="5"/>
      <c r="S2812" s="5"/>
      <c r="T2812" s="5"/>
      <c r="AC2812" s="8"/>
      <c r="AD2812" s="8"/>
      <c r="AE2812" s="8"/>
      <c r="AF2812" s="8"/>
      <c r="AG2812" s="8"/>
      <c r="AH2812" s="8"/>
      <c r="AI2812" s="8"/>
      <c r="AJ2812" s="8"/>
      <c r="AK2812" s="8"/>
      <c r="AL2812" s="8"/>
      <c r="AM2812" s="8"/>
      <c r="AN2812" s="8"/>
      <c r="AO2812" s="8"/>
      <c r="AS2812" s="5" t="str">
        <f t="shared" si="1204"/>
        <v>N10Major Storm ReserveY</v>
      </c>
    </row>
    <row r="2813" spans="1:45" hidden="1">
      <c r="A2813" s="4"/>
      <c r="B2813" s="66"/>
      <c r="C2813" s="650" t="s">
        <v>1192</v>
      </c>
      <c r="D2813" s="700"/>
      <c r="E2813" s="65"/>
      <c r="F2813" s="65"/>
      <c r="G2813" s="73"/>
      <c r="I2813" s="5"/>
      <c r="J2813" s="4"/>
      <c r="K2813" s="5"/>
      <c r="M2813" s="5"/>
      <c r="N2813" s="5"/>
      <c r="O2813" s="5"/>
      <c r="Q2813" s="5"/>
      <c r="R2813" s="5"/>
      <c r="S2813" s="5"/>
      <c r="T2813" s="5"/>
      <c r="AC2813" s="8"/>
      <c r="AD2813" s="8"/>
      <c r="AE2813" s="8"/>
      <c r="AF2813" s="8"/>
      <c r="AG2813" s="8"/>
      <c r="AH2813" s="8"/>
      <c r="AI2813" s="8"/>
      <c r="AJ2813" s="8"/>
      <c r="AK2813" s="8"/>
      <c r="AL2813" s="8"/>
      <c r="AM2813" s="8"/>
      <c r="AN2813" s="8"/>
      <c r="AO2813" s="8"/>
      <c r="AS2813" s="5" t="str">
        <f t="shared" si="1204"/>
        <v>N10Management Audit DeferralY</v>
      </c>
    </row>
    <row r="2814" spans="1:45" hidden="1">
      <c r="A2814" s="4"/>
      <c r="B2814" s="66"/>
      <c r="C2814" s="650" t="s">
        <v>1118</v>
      </c>
      <c r="D2814" s="700"/>
      <c r="E2814" s="65"/>
      <c r="F2814" s="65"/>
      <c r="G2814" s="73"/>
      <c r="I2814" s="5"/>
      <c r="J2814" s="4"/>
      <c r="K2814" s="5"/>
      <c r="M2814" s="5"/>
      <c r="N2814" s="5"/>
      <c r="O2814" s="5"/>
      <c r="Q2814" s="5"/>
      <c r="R2814" s="5"/>
      <c r="S2814" s="5"/>
      <c r="T2814" s="5"/>
      <c r="AC2814" s="8"/>
      <c r="AD2814" s="8"/>
      <c r="AE2814" s="8"/>
      <c r="AF2814" s="8"/>
      <c r="AG2814" s="8"/>
      <c r="AH2814" s="8"/>
      <c r="AI2814" s="8"/>
      <c r="AJ2814" s="8"/>
      <c r="AK2814" s="8"/>
      <c r="AL2814" s="8"/>
      <c r="AM2814" s="8"/>
      <c r="AN2814" s="8"/>
      <c r="AO2814" s="8"/>
      <c r="AS2814" s="5" t="str">
        <f t="shared" si="1204"/>
        <v>N10Medicare Part DY</v>
      </c>
    </row>
    <row r="2815" spans="1:45" hidden="1">
      <c r="A2815" s="4"/>
      <c r="B2815" s="66"/>
      <c r="C2815" s="650" t="s">
        <v>1123</v>
      </c>
      <c r="D2815" s="700"/>
      <c r="E2815" s="65"/>
      <c r="F2815" s="65"/>
      <c r="G2815" s="73"/>
      <c r="I2815" s="5"/>
      <c r="J2815" s="4"/>
      <c r="K2815" s="5"/>
      <c r="M2815" s="5"/>
      <c r="N2815" s="5"/>
      <c r="O2815" s="5"/>
      <c r="Q2815" s="5"/>
      <c r="R2815" s="5"/>
      <c r="S2815" s="5"/>
      <c r="T2815" s="5"/>
      <c r="AC2815" s="8"/>
      <c r="AD2815" s="8"/>
      <c r="AE2815" s="8"/>
      <c r="AF2815" s="8"/>
      <c r="AG2815" s="8"/>
      <c r="AH2815" s="8"/>
      <c r="AI2815" s="8"/>
      <c r="AJ2815" s="8"/>
      <c r="AK2815" s="8"/>
      <c r="AL2815" s="8"/>
      <c r="AM2815" s="8"/>
      <c r="AN2815" s="8"/>
      <c r="AO2815" s="8"/>
      <c r="AS2815" s="5" t="str">
        <f t="shared" si="1204"/>
        <v>N10NCR - ElectricY</v>
      </c>
    </row>
    <row r="2816" spans="1:45" hidden="1">
      <c r="A2816" s="4"/>
      <c r="B2816" s="66"/>
      <c r="C2816" s="650" t="s">
        <v>1116</v>
      </c>
      <c r="D2816" s="700"/>
      <c r="E2816" s="65"/>
      <c r="F2816" s="65"/>
      <c r="G2816" s="73"/>
      <c r="I2816" s="5"/>
      <c r="J2816" s="4"/>
      <c r="K2816" s="5"/>
      <c r="M2816" s="5"/>
      <c r="N2816" s="5"/>
      <c r="O2816" s="5"/>
      <c r="Q2816" s="5"/>
      <c r="R2816" s="5"/>
      <c r="S2816" s="5"/>
      <c r="T2816" s="5"/>
      <c r="AC2816" s="8"/>
      <c r="AD2816" s="8"/>
      <c r="AE2816" s="8"/>
      <c r="AF2816" s="8"/>
      <c r="AG2816" s="8"/>
      <c r="AH2816" s="8"/>
      <c r="AI2816" s="8"/>
      <c r="AJ2816" s="8"/>
      <c r="AK2816" s="8"/>
      <c r="AL2816" s="8"/>
      <c r="AM2816" s="8"/>
      <c r="AN2816" s="8"/>
      <c r="AO2816" s="8"/>
      <c r="AS2816" s="5" t="str">
        <f t="shared" si="1204"/>
        <v>N10NYISO May 8-9 2000Y</v>
      </c>
    </row>
    <row r="2817" spans="1:45" hidden="1">
      <c r="A2817" s="4"/>
      <c r="B2817" s="66"/>
      <c r="C2817" s="650" t="s">
        <v>812</v>
      </c>
      <c r="D2817" s="700"/>
      <c r="E2817" s="65"/>
      <c r="F2817" s="65"/>
      <c r="G2817" s="73"/>
      <c r="I2817" s="5"/>
      <c r="J2817" s="4"/>
      <c r="K2817" s="5"/>
      <c r="M2817" s="5"/>
      <c r="N2817" s="5"/>
      <c r="O2817" s="5"/>
      <c r="Q2817" s="5"/>
      <c r="R2817" s="5"/>
      <c r="S2817" s="5"/>
      <c r="T2817" s="5"/>
      <c r="AC2817" s="8"/>
      <c r="AD2817" s="8"/>
      <c r="AE2817" s="8"/>
      <c r="AF2817" s="8"/>
      <c r="AG2817" s="8"/>
      <c r="AH2817" s="8"/>
      <c r="AI2817" s="8"/>
      <c r="AJ2817" s="8"/>
      <c r="AK2817" s="8"/>
      <c r="AL2817" s="8"/>
      <c r="AM2817" s="8"/>
      <c r="AN2817" s="8"/>
      <c r="AO2817" s="8"/>
      <c r="AS2817" s="5" t="str">
        <f t="shared" si="1204"/>
        <v>N10OPEB True-upY</v>
      </c>
    </row>
    <row r="2818" spans="1:45" hidden="1">
      <c r="A2818" s="4"/>
      <c r="B2818" s="66"/>
      <c r="C2818" s="650" t="s">
        <v>1113</v>
      </c>
      <c r="D2818" s="700"/>
      <c r="E2818" s="65"/>
      <c r="F2818" s="65"/>
      <c r="G2818" s="73"/>
      <c r="I2818" s="5"/>
      <c r="J2818" s="4"/>
      <c r="K2818" s="5"/>
      <c r="M2818" s="5"/>
      <c r="N2818" s="5"/>
      <c r="O2818" s="5"/>
      <c r="Q2818" s="5"/>
      <c r="R2818" s="5"/>
      <c r="S2818" s="5"/>
      <c r="T2818" s="5"/>
      <c r="AC2818" s="8"/>
      <c r="AD2818" s="8"/>
      <c r="AE2818" s="8"/>
      <c r="AF2818" s="8"/>
      <c r="AG2818" s="8"/>
      <c r="AH2818" s="8"/>
      <c r="AI2818" s="8"/>
      <c r="AJ2818" s="8"/>
      <c r="AK2818" s="8"/>
      <c r="AL2818" s="8"/>
      <c r="AM2818" s="8"/>
      <c r="AN2818" s="8"/>
      <c r="AO2818" s="8"/>
      <c r="AS2818" s="5" t="str">
        <f t="shared" si="1204"/>
        <v>N10Property Tax DeferralY</v>
      </c>
    </row>
    <row r="2819" spans="1:45" hidden="1">
      <c r="A2819" s="4"/>
      <c r="B2819" s="66"/>
      <c r="C2819" s="650" t="s">
        <v>817</v>
      </c>
      <c r="D2819" s="700"/>
      <c r="E2819" s="65"/>
      <c r="F2819" s="65"/>
      <c r="G2819" s="73"/>
      <c r="I2819" s="5"/>
      <c r="J2819" s="4"/>
      <c r="K2819" s="5"/>
      <c r="M2819" s="5"/>
      <c r="N2819" s="5"/>
      <c r="O2819" s="5"/>
      <c r="Q2819" s="5"/>
      <c r="R2819" s="5"/>
      <c r="S2819" s="5"/>
      <c r="T2819" s="5"/>
      <c r="AC2819" s="8"/>
      <c r="AD2819" s="8"/>
      <c r="AE2819" s="8"/>
      <c r="AF2819" s="8"/>
      <c r="AG2819" s="8"/>
      <c r="AH2819" s="8"/>
      <c r="AI2819" s="8"/>
      <c r="AJ2819" s="8"/>
      <c r="AK2819" s="8"/>
      <c r="AL2819" s="8"/>
      <c r="AM2819" s="8"/>
      <c r="AN2819" s="8"/>
      <c r="AO2819" s="8"/>
      <c r="AS2819" s="5" t="str">
        <f t="shared" si="1204"/>
        <v>N10PSC AssessmentY</v>
      </c>
    </row>
    <row r="2820" spans="1:45" hidden="1">
      <c r="A2820" s="4"/>
      <c r="B2820" s="66"/>
      <c r="C2820" s="650" t="s">
        <v>1295</v>
      </c>
      <c r="D2820" s="700"/>
      <c r="E2820" s="65"/>
      <c r="F2820" s="65"/>
      <c r="G2820" s="73"/>
      <c r="I2820" s="5"/>
      <c r="J2820" s="4"/>
      <c r="K2820" s="5"/>
      <c r="M2820" s="5"/>
      <c r="N2820" s="5"/>
      <c r="O2820" s="5"/>
      <c r="Q2820" s="5"/>
      <c r="R2820" s="5"/>
      <c r="S2820" s="5"/>
      <c r="T2820" s="5"/>
      <c r="AC2820" s="8"/>
      <c r="AD2820" s="8"/>
      <c r="AE2820" s="8"/>
      <c r="AF2820" s="8"/>
      <c r="AG2820" s="8"/>
      <c r="AH2820" s="8"/>
      <c r="AI2820" s="8"/>
      <c r="AJ2820" s="8"/>
      <c r="AK2820" s="8"/>
      <c r="AL2820" s="8"/>
      <c r="AM2820" s="8"/>
      <c r="AN2820" s="8"/>
      <c r="AO2820" s="8"/>
      <c r="AS2820" s="5" t="str">
        <f t="shared" si="1204"/>
        <v>N10R&amp;D Deferral - GasY</v>
      </c>
    </row>
    <row r="2821" spans="1:45" hidden="1">
      <c r="A2821" s="4"/>
      <c r="B2821" s="66"/>
      <c r="C2821" s="650" t="s">
        <v>1124</v>
      </c>
      <c r="D2821" s="700"/>
      <c r="E2821" s="65"/>
      <c r="F2821" s="65"/>
      <c r="G2821" s="73"/>
      <c r="I2821" s="5"/>
      <c r="J2821" s="4"/>
      <c r="K2821" s="5"/>
      <c r="M2821" s="5"/>
      <c r="N2821" s="5"/>
      <c r="O2821" s="5"/>
      <c r="Q2821" s="5"/>
      <c r="R2821" s="5"/>
      <c r="S2821" s="5"/>
      <c r="T2821" s="5"/>
      <c r="AC2821" s="8"/>
      <c r="AD2821" s="8"/>
      <c r="AE2821" s="8"/>
      <c r="AF2821" s="8"/>
      <c r="AG2821" s="8"/>
      <c r="AH2821" s="8"/>
      <c r="AI2821" s="8"/>
      <c r="AJ2821" s="8"/>
      <c r="AK2821" s="8"/>
      <c r="AL2821" s="8"/>
      <c r="AM2821" s="8"/>
      <c r="AN2821" s="8"/>
      <c r="AO2821" s="8"/>
      <c r="AS2821" s="5" t="str">
        <f t="shared" si="1204"/>
        <v>N10R&amp;D Tax Credit DeferralY</v>
      </c>
    </row>
    <row r="2822" spans="1:45" hidden="1">
      <c r="A2822" s="4"/>
      <c r="B2822" s="66"/>
      <c r="C2822" s="650" t="s">
        <v>823</v>
      </c>
      <c r="D2822" s="700"/>
      <c r="E2822" s="65"/>
      <c r="F2822" s="65"/>
      <c r="G2822" s="73"/>
      <c r="I2822" s="5"/>
      <c r="J2822" s="4"/>
      <c r="K2822" s="5"/>
      <c r="M2822" s="5"/>
      <c r="N2822" s="5"/>
      <c r="O2822" s="5"/>
      <c r="Q2822" s="5"/>
      <c r="R2822" s="5"/>
      <c r="S2822" s="5"/>
      <c r="T2822" s="5"/>
      <c r="AC2822" s="8"/>
      <c r="AD2822" s="8"/>
      <c r="AE2822" s="8"/>
      <c r="AF2822" s="8"/>
      <c r="AG2822" s="8"/>
      <c r="AH2822" s="8"/>
      <c r="AI2822" s="8"/>
      <c r="AJ2822" s="8"/>
      <c r="AK2822" s="8"/>
      <c r="AL2822" s="8"/>
      <c r="AM2822" s="8"/>
      <c r="AN2822" s="8"/>
      <c r="AO2822" s="8"/>
      <c r="AS2822" s="5" t="str">
        <f t="shared" si="1204"/>
        <v>N10RDMY</v>
      </c>
    </row>
    <row r="2823" spans="1:45" hidden="1">
      <c r="A2823" s="4"/>
      <c r="B2823" s="66"/>
      <c r="C2823" s="650" t="s">
        <v>1210</v>
      </c>
      <c r="D2823" s="700"/>
      <c r="E2823" s="65"/>
      <c r="F2823" s="65"/>
      <c r="G2823" s="73"/>
      <c r="I2823" s="5"/>
      <c r="J2823" s="4"/>
      <c r="K2823" s="5"/>
      <c r="M2823" s="5"/>
      <c r="N2823" s="5"/>
      <c r="O2823" s="5"/>
      <c r="Q2823" s="5"/>
      <c r="R2823" s="5"/>
      <c r="S2823" s="5"/>
      <c r="T2823" s="5"/>
      <c r="AC2823" s="8"/>
      <c r="AD2823" s="8"/>
      <c r="AE2823" s="8"/>
      <c r="AF2823" s="8"/>
      <c r="AG2823" s="8"/>
      <c r="AH2823" s="8"/>
      <c r="AI2823" s="8"/>
      <c r="AJ2823" s="8"/>
      <c r="AK2823" s="8"/>
      <c r="AL2823" s="8"/>
      <c r="AM2823" s="8"/>
      <c r="AN2823" s="8"/>
      <c r="AO2823" s="8"/>
      <c r="AS2823" s="5" t="str">
        <f t="shared" si="1204"/>
        <v>N10SBCY</v>
      </c>
    </row>
    <row r="2824" spans="1:45" hidden="1">
      <c r="A2824" s="4"/>
      <c r="B2824" s="66"/>
      <c r="C2824" s="650" t="s">
        <v>1122</v>
      </c>
      <c r="D2824" s="700"/>
      <c r="E2824" s="65"/>
      <c r="F2824" s="65"/>
      <c r="G2824" s="73"/>
      <c r="I2824" s="5"/>
      <c r="J2824" s="4"/>
      <c r="K2824" s="5"/>
      <c r="M2824" s="5"/>
      <c r="N2824" s="5"/>
      <c r="O2824" s="5"/>
      <c r="Q2824" s="5"/>
      <c r="R2824" s="5"/>
      <c r="S2824" s="5"/>
      <c r="T2824" s="5"/>
      <c r="AC2824" s="8"/>
      <c r="AD2824" s="8"/>
      <c r="AE2824" s="8"/>
      <c r="AF2824" s="8"/>
      <c r="AG2824" s="8"/>
      <c r="AH2824" s="8"/>
      <c r="AI2824" s="8"/>
      <c r="AJ2824" s="8"/>
      <c r="AK2824" s="8"/>
      <c r="AL2824" s="8"/>
      <c r="AM2824" s="8"/>
      <c r="AN2824" s="8"/>
      <c r="AO2824" s="8"/>
      <c r="AS2824" s="5" t="str">
        <f t="shared" si="1204"/>
        <v>N10Service Quality PerformanceY</v>
      </c>
    </row>
    <row r="2825" spans="1:45" hidden="1">
      <c r="A2825" s="4"/>
      <c r="B2825" s="66"/>
      <c r="C2825" s="650" t="s">
        <v>822</v>
      </c>
      <c r="D2825" s="700"/>
      <c r="E2825" s="65"/>
      <c r="F2825" s="65"/>
      <c r="G2825" s="73"/>
      <c r="I2825" s="5"/>
      <c r="J2825" s="4"/>
      <c r="K2825" s="5"/>
      <c r="M2825" s="5"/>
      <c r="N2825" s="5"/>
      <c r="O2825" s="5"/>
      <c r="Q2825" s="5"/>
      <c r="R2825" s="5"/>
      <c r="S2825" s="5"/>
      <c r="T2825" s="5"/>
      <c r="AC2825" s="8"/>
      <c r="AD2825" s="8"/>
      <c r="AE2825" s="8"/>
      <c r="AF2825" s="8"/>
      <c r="AG2825" s="8"/>
      <c r="AH2825" s="8"/>
      <c r="AI2825" s="8"/>
      <c r="AJ2825" s="8"/>
      <c r="AK2825" s="8"/>
      <c r="AL2825" s="8"/>
      <c r="AM2825" s="8"/>
      <c r="AN2825" s="8"/>
      <c r="AO2825" s="8"/>
      <c r="AS2825" s="5" t="str">
        <f t="shared" si="1204"/>
        <v>N10Variable Rate DebtY</v>
      </c>
    </row>
    <row r="2826" spans="1:45" hidden="1">
      <c r="A2826" s="4"/>
      <c r="B2826" s="66"/>
      <c r="C2826" s="650" t="s">
        <v>1119</v>
      </c>
      <c r="D2826" s="700"/>
      <c r="E2826" s="65"/>
      <c r="F2826" s="65"/>
      <c r="G2826" s="73"/>
      <c r="I2826" s="5"/>
      <c r="J2826" s="4"/>
      <c r="K2826" s="5"/>
      <c r="M2826" s="5"/>
      <c r="N2826" s="5"/>
      <c r="O2826" s="5"/>
      <c r="Q2826" s="5"/>
      <c r="R2826" s="5"/>
      <c r="S2826" s="5"/>
      <c r="T2826" s="5"/>
      <c r="AC2826" s="8"/>
      <c r="AD2826" s="8"/>
      <c r="AE2826" s="8"/>
      <c r="AF2826" s="8"/>
      <c r="AG2826" s="8"/>
      <c r="AH2826" s="8"/>
      <c r="AI2826" s="8"/>
      <c r="AJ2826" s="8"/>
      <c r="AK2826" s="8"/>
      <c r="AL2826" s="8"/>
      <c r="AM2826" s="8"/>
      <c r="AN2826" s="8"/>
      <c r="AO2826" s="8"/>
      <c r="AS2826" s="5" t="str">
        <f t="shared" si="1204"/>
        <v>N10Vegetation ManagementY</v>
      </c>
    </row>
    <row r="2827" spans="1:45" hidden="1">
      <c r="A2827" s="4"/>
      <c r="B2827" s="66"/>
      <c r="C2827" s="650" t="s">
        <v>1330</v>
      </c>
      <c r="D2827" s="703"/>
      <c r="E2827" s="74"/>
      <c r="F2827" s="74"/>
      <c r="G2827" s="75"/>
      <c r="I2827" s="5"/>
      <c r="J2827" s="4"/>
      <c r="K2827" s="5"/>
      <c r="M2827" s="5"/>
      <c r="N2827" s="5"/>
      <c r="O2827" s="5"/>
      <c r="Q2827" s="5"/>
      <c r="R2827" s="5"/>
      <c r="S2827" s="5"/>
      <c r="T2827" s="5"/>
      <c r="AC2827" s="8"/>
      <c r="AD2827" s="8"/>
      <c r="AE2827" s="8"/>
      <c r="AF2827" s="8"/>
      <c r="AG2827" s="8"/>
      <c r="AH2827" s="8"/>
      <c r="AI2827" s="8"/>
      <c r="AJ2827" s="8"/>
      <c r="AK2827" s="8"/>
      <c r="AL2827" s="8"/>
      <c r="AM2827" s="8"/>
      <c r="AN2827" s="8"/>
      <c r="AO2827" s="8"/>
      <c r="AS2827" s="5" t="str">
        <f>CONCATENATE($E$2831,C2827,"Y")</f>
        <v>N8ASGAY</v>
      </c>
    </row>
    <row r="2828" spans="1:45" hidden="1">
      <c r="A2828" s="4"/>
      <c r="B2828" s="66"/>
      <c r="C2828" s="650"/>
      <c r="D2828" s="700"/>
      <c r="E2828" s="65"/>
      <c r="F2828" s="65"/>
      <c r="G2828" s="73"/>
      <c r="I2828" s="5"/>
      <c r="J2828" s="4"/>
      <c r="K2828" s="5"/>
      <c r="M2828" s="5"/>
      <c r="N2828" s="5"/>
      <c r="O2828" s="5"/>
      <c r="Q2828" s="5"/>
      <c r="R2828" s="5"/>
      <c r="S2828" s="5"/>
      <c r="T2828" s="5"/>
      <c r="AC2828" s="8"/>
      <c r="AD2828" s="8"/>
      <c r="AE2828" s="8"/>
      <c r="AF2828" s="8"/>
      <c r="AG2828" s="8"/>
      <c r="AH2828" s="8"/>
      <c r="AI2828" s="8"/>
      <c r="AJ2828" s="8"/>
      <c r="AK2828" s="8"/>
      <c r="AL2828" s="8"/>
      <c r="AM2828" s="8"/>
      <c r="AN2828" s="8"/>
      <c r="AO2828" s="8"/>
    </row>
    <row r="2829" spans="1:45" ht="15" hidden="1">
      <c r="A2829" s="4"/>
      <c r="B2829" s="66"/>
      <c r="C2829" s="650" t="s">
        <v>2391</v>
      </c>
      <c r="D2829" s="700"/>
      <c r="E2829" s="65"/>
      <c r="F2829" s="65"/>
      <c r="G2829" s="73"/>
      <c r="I2829" s="5"/>
      <c r="J2829" s="4"/>
      <c r="K2829" s="5"/>
      <c r="M2829" s="5"/>
      <c r="N2829" s="5"/>
      <c r="O2829" s="5"/>
      <c r="Q2829" s="5"/>
      <c r="R2829" s="5"/>
      <c r="S2829" s="5"/>
      <c r="T2829" s="5"/>
      <c r="AC2829" s="43"/>
      <c r="AD2829" s="43"/>
      <c r="AE2829" s="43"/>
      <c r="AF2829" s="43"/>
      <c r="AG2829" s="43"/>
      <c r="AH2829" s="43"/>
      <c r="AI2829" s="43"/>
      <c r="AJ2829" s="43"/>
      <c r="AK2829" s="43"/>
      <c r="AL2829" s="43"/>
      <c r="AM2829" s="43"/>
      <c r="AN2829" s="43"/>
      <c r="AO2829" s="43"/>
    </row>
    <row r="2830" spans="1:45" hidden="1">
      <c r="A2830" s="4"/>
      <c r="B2830" s="66"/>
      <c r="C2830" s="650"/>
      <c r="D2830" s="700"/>
      <c r="E2830" s="65"/>
      <c r="F2830" s="65"/>
      <c r="G2830" s="73"/>
      <c r="I2830" s="5"/>
      <c r="J2830" s="4"/>
      <c r="K2830" s="5"/>
      <c r="M2830" s="5"/>
      <c r="N2830" s="5"/>
      <c r="O2830" s="5"/>
      <c r="Q2830" s="5"/>
      <c r="R2830" s="5"/>
      <c r="S2830" s="5"/>
      <c r="T2830" s="5"/>
    </row>
    <row r="2831" spans="1:45" hidden="1">
      <c r="A2831" s="4"/>
      <c r="B2831" s="68"/>
      <c r="C2831" s="650" t="s">
        <v>2475</v>
      </c>
      <c r="D2831" s="650" t="s">
        <v>2436</v>
      </c>
      <c r="E2831" s="67" t="s">
        <v>2432</v>
      </c>
      <c r="F2831" s="67"/>
      <c r="G2831" s="57"/>
      <c r="I2831" s="5"/>
      <c r="J2831" s="4"/>
      <c r="K2831" s="5"/>
      <c r="M2831" s="5"/>
      <c r="N2831" s="5"/>
      <c r="O2831" s="5"/>
      <c r="Q2831" s="5"/>
      <c r="R2831" s="5"/>
      <c r="S2831" s="5"/>
      <c r="T2831" s="5"/>
      <c r="AC2831" s="8"/>
      <c r="AD2831" s="8"/>
      <c r="AE2831" s="8"/>
      <c r="AF2831" s="8"/>
      <c r="AG2831" s="8"/>
      <c r="AH2831" s="8"/>
      <c r="AI2831" s="8"/>
      <c r="AJ2831" s="8"/>
      <c r="AK2831" s="8"/>
      <c r="AL2831" s="8"/>
      <c r="AM2831" s="8"/>
      <c r="AN2831" s="8"/>
      <c r="AO2831" s="8"/>
    </row>
    <row r="2832" spans="1:45" hidden="1">
      <c r="A2832" s="4"/>
      <c r="B2832" s="58"/>
      <c r="C2832" s="650"/>
      <c r="D2832" s="647"/>
      <c r="E2832" s="56"/>
      <c r="F2832" s="56"/>
      <c r="G2832" s="57"/>
      <c r="I2832" s="5"/>
      <c r="J2832" s="4"/>
      <c r="K2832" s="5"/>
      <c r="M2832" s="5"/>
      <c r="N2832" s="5"/>
      <c r="O2832" s="5"/>
      <c r="Q2832" s="5"/>
      <c r="R2832" s="5"/>
      <c r="S2832" s="5"/>
      <c r="T2832" s="5"/>
    </row>
    <row r="2833" spans="1:43" hidden="1">
      <c r="A2833" s="4"/>
      <c r="B2833" s="58"/>
      <c r="C2833" s="650"/>
      <c r="D2833" s="647"/>
      <c r="E2833" s="56"/>
      <c r="F2833" s="56"/>
      <c r="G2833" s="57"/>
      <c r="I2833" s="5"/>
      <c r="J2833" s="4"/>
      <c r="K2833" s="5"/>
      <c r="M2833" s="5"/>
      <c r="N2833" s="5"/>
      <c r="O2833" s="5"/>
      <c r="Q2833" s="5"/>
      <c r="R2833" s="5"/>
      <c r="S2833" s="5"/>
      <c r="T2833" s="5"/>
    </row>
    <row r="2834" spans="1:43">
      <c r="B2834" s="401"/>
      <c r="C2834" s="650"/>
      <c r="D2834" s="647"/>
      <c r="E2834" s="400"/>
      <c r="F2834" s="400"/>
      <c r="G2834" s="402"/>
      <c r="AC2834" s="8"/>
      <c r="AD2834" s="8"/>
      <c r="AE2834" s="8"/>
      <c r="AF2834" s="8"/>
      <c r="AG2834" s="8"/>
      <c r="AH2834" s="8"/>
      <c r="AI2834" s="8"/>
      <c r="AJ2834" s="8"/>
      <c r="AK2834" s="8"/>
      <c r="AL2834" s="8"/>
      <c r="AM2834" s="8"/>
      <c r="AN2834" s="8"/>
      <c r="AO2834" s="8"/>
    </row>
    <row r="2835" spans="1:43">
      <c r="AC2835" s="8"/>
      <c r="AD2835" s="8"/>
      <c r="AE2835" s="8"/>
      <c r="AF2835" s="8"/>
      <c r="AG2835" s="8"/>
      <c r="AH2835" s="8"/>
      <c r="AI2835" s="8"/>
      <c r="AJ2835" s="8"/>
      <c r="AK2835" s="8"/>
      <c r="AL2835" s="8"/>
      <c r="AM2835" s="8"/>
      <c r="AN2835" s="8"/>
      <c r="AO2835" s="8"/>
    </row>
    <row r="2836" spans="1:43" s="193" customFormat="1">
      <c r="A2836" s="403"/>
      <c r="B2836" s="403"/>
      <c r="C2836" s="643"/>
      <c r="D2836" s="694"/>
      <c r="E2836" s="419"/>
      <c r="F2836" s="419"/>
      <c r="G2836" s="419"/>
      <c r="H2836" s="671"/>
      <c r="I2836" s="419"/>
      <c r="J2836" s="403"/>
      <c r="K2836" s="419"/>
      <c r="L2836" s="643"/>
      <c r="M2836" s="419"/>
      <c r="N2836" s="419"/>
      <c r="O2836" s="419"/>
      <c r="P2836" s="694"/>
      <c r="Q2836" s="419"/>
      <c r="R2836" s="485"/>
      <c r="S2836" s="485"/>
      <c r="T2836" s="485"/>
      <c r="AC2836" s="624"/>
      <c r="AD2836" s="624"/>
      <c r="AE2836" s="624"/>
      <c r="AF2836" s="624"/>
      <c r="AG2836" s="624"/>
      <c r="AH2836" s="624"/>
      <c r="AI2836" s="624"/>
      <c r="AJ2836" s="624"/>
      <c r="AK2836" s="624"/>
      <c r="AL2836" s="624"/>
      <c r="AM2836" s="624"/>
      <c r="AN2836" s="624"/>
      <c r="AO2836" s="624"/>
      <c r="AQ2836" s="810"/>
    </row>
    <row r="2837" spans="1:43" s="193" customFormat="1">
      <c r="A2837" s="403"/>
      <c r="B2837" s="403"/>
      <c r="C2837" s="643"/>
      <c r="D2837" s="694"/>
      <c r="E2837" s="419"/>
      <c r="F2837" s="419"/>
      <c r="G2837" s="419"/>
      <c r="H2837" s="671"/>
      <c r="I2837" s="419"/>
      <c r="J2837" s="403"/>
      <c r="K2837" s="419"/>
      <c r="L2837" s="643"/>
      <c r="M2837" s="419"/>
      <c r="N2837" s="419"/>
      <c r="O2837" s="419"/>
      <c r="P2837" s="694"/>
      <c r="Q2837" s="419"/>
      <c r="R2837" s="485"/>
      <c r="S2837" s="485"/>
      <c r="T2837" s="485"/>
      <c r="AC2837" s="624"/>
      <c r="AD2837" s="624"/>
      <c r="AE2837" s="624"/>
      <c r="AF2837" s="624"/>
      <c r="AG2837" s="624"/>
      <c r="AH2837" s="624"/>
      <c r="AI2837" s="624"/>
      <c r="AJ2837" s="624"/>
      <c r="AK2837" s="624"/>
      <c r="AL2837" s="624"/>
      <c r="AM2837" s="624"/>
      <c r="AN2837" s="624"/>
      <c r="AO2837" s="624"/>
      <c r="AQ2837" s="810"/>
    </row>
    <row r="2838" spans="1:43" s="193" customFormat="1">
      <c r="A2838" s="403"/>
      <c r="B2838" s="403"/>
      <c r="C2838" s="643"/>
      <c r="D2838" s="694"/>
      <c r="E2838" s="419"/>
      <c r="F2838" s="419"/>
      <c r="G2838" s="419"/>
      <c r="H2838" s="671"/>
      <c r="I2838" s="419"/>
      <c r="J2838" s="403"/>
      <c r="K2838" s="419"/>
      <c r="L2838" s="643"/>
      <c r="M2838" s="419"/>
      <c r="N2838" s="419"/>
      <c r="O2838" s="419"/>
      <c r="P2838" s="694"/>
      <c r="Q2838" s="419"/>
      <c r="R2838" s="485"/>
      <c r="S2838" s="485"/>
      <c r="T2838" s="485"/>
      <c r="AC2838" s="624"/>
      <c r="AD2838" s="624"/>
      <c r="AE2838" s="624"/>
      <c r="AF2838" s="624"/>
      <c r="AG2838" s="624"/>
      <c r="AH2838" s="624"/>
      <c r="AI2838" s="624"/>
      <c r="AJ2838" s="624"/>
      <c r="AK2838" s="624"/>
      <c r="AL2838" s="624"/>
      <c r="AM2838" s="624"/>
      <c r="AN2838" s="624"/>
      <c r="AO2838" s="624"/>
    </row>
    <row r="2839" spans="1:43">
      <c r="AC2839" s="8"/>
      <c r="AD2839" s="8"/>
      <c r="AE2839" s="8"/>
      <c r="AF2839" s="8"/>
      <c r="AG2839" s="8"/>
      <c r="AH2839" s="8"/>
      <c r="AI2839" s="8"/>
      <c r="AJ2839" s="8"/>
      <c r="AK2839" s="8"/>
      <c r="AL2839" s="8"/>
      <c r="AM2839" s="8"/>
      <c r="AN2839" s="8"/>
      <c r="AO2839" s="8"/>
      <c r="AQ2839" s="811"/>
    </row>
    <row r="2840" spans="1:43">
      <c r="AC2840" s="750"/>
      <c r="AD2840" s="750"/>
      <c r="AE2840" s="750"/>
      <c r="AF2840" s="750"/>
      <c r="AG2840" s="750"/>
      <c r="AH2840" s="750"/>
      <c r="AI2840" s="750"/>
      <c r="AJ2840" s="750"/>
      <c r="AK2840" s="750"/>
      <c r="AL2840" s="750"/>
      <c r="AM2840" s="750"/>
      <c r="AN2840" s="750"/>
      <c r="AO2840" s="750"/>
    </row>
    <row r="2841" spans="1:43" s="77" customFormat="1">
      <c r="A2841" s="444"/>
      <c r="B2841" s="404"/>
      <c r="C2841" s="654"/>
      <c r="D2841" s="704"/>
      <c r="E2841" s="445"/>
      <c r="F2841" s="420"/>
      <c r="G2841" s="446"/>
      <c r="H2841" s="654"/>
      <c r="I2841" s="404"/>
      <c r="J2841" s="404"/>
      <c r="K2841" s="404"/>
      <c r="L2841" s="654"/>
      <c r="M2841" s="404"/>
      <c r="N2841" s="404"/>
      <c r="O2841" s="404"/>
      <c r="P2841" s="654"/>
      <c r="Q2841" s="404"/>
      <c r="R2841" s="148"/>
      <c r="S2841" s="148"/>
      <c r="T2841" s="148"/>
    </row>
    <row r="2842" spans="1:43" s="77" customFormat="1">
      <c r="A2842" s="444"/>
      <c r="B2842" s="447" t="s">
        <v>2524</v>
      </c>
      <c r="C2842" s="655"/>
      <c r="D2842" s="655"/>
      <c r="E2842" s="405"/>
      <c r="F2842" s="405"/>
      <c r="G2842" s="406"/>
      <c r="H2842" s="672"/>
      <c r="I2842" s="448"/>
      <c r="J2842" s="448"/>
      <c r="K2842" s="405"/>
      <c r="L2842" s="655"/>
      <c r="M2842" s="405"/>
      <c r="N2842" s="449"/>
      <c r="O2842" s="449"/>
      <c r="P2842" s="655"/>
      <c r="Q2842" s="449"/>
      <c r="R2842" s="486"/>
      <c r="S2842" s="486"/>
      <c r="T2842" s="486"/>
      <c r="U2842" s="214"/>
      <c r="V2842" s="214"/>
      <c r="W2842" s="214"/>
      <c r="X2842" s="214"/>
      <c r="Y2842" s="214"/>
      <c r="Z2842" s="214"/>
      <c r="AA2842" s="214"/>
      <c r="AB2842" s="214"/>
    </row>
    <row r="2843" spans="1:43">
      <c r="B2843" s="409"/>
      <c r="C2843" s="656" t="s">
        <v>17</v>
      </c>
      <c r="D2843" s="656" t="s">
        <v>931</v>
      </c>
      <c r="E2843" s="406"/>
      <c r="F2843" s="406"/>
      <c r="G2843" s="406" t="s">
        <v>2525</v>
      </c>
      <c r="H2843" s="672"/>
      <c r="I2843" s="448"/>
      <c r="J2843" s="448"/>
      <c r="K2843" s="405"/>
      <c r="L2843" s="655"/>
      <c r="M2843" s="405"/>
      <c r="N2843" s="449"/>
      <c r="O2843" s="449"/>
      <c r="P2843" s="655"/>
      <c r="Q2843" s="449"/>
      <c r="R2843" s="486"/>
      <c r="S2843" s="486"/>
      <c r="T2843" s="486"/>
      <c r="U2843" s="214">
        <f t="shared" ref="U2843:AD2848" si="1205">SUMIF($AP:$AP,$C2843&amp;+$D2843,U:U)</f>
        <v>13952.231552893631</v>
      </c>
      <c r="V2843" s="214">
        <f t="shared" si="1205"/>
        <v>5715.419353356172</v>
      </c>
      <c r="W2843" s="214">
        <f t="shared" si="1205"/>
        <v>0</v>
      </c>
      <c r="X2843" s="214">
        <f t="shared" si="1205"/>
        <v>19679.710397083138</v>
      </c>
      <c r="Y2843" s="214">
        <f t="shared" si="1205"/>
        <v>21480.922953316</v>
      </c>
      <c r="Z2843" s="214">
        <f t="shared" si="1205"/>
        <v>8799.4871866840022</v>
      </c>
      <c r="AA2843" s="214">
        <f t="shared" si="1205"/>
        <v>0</v>
      </c>
      <c r="AB2843" s="214">
        <f t="shared" si="1205"/>
        <v>30569.837920000056</v>
      </c>
      <c r="AC2843" s="214">
        <f t="shared" si="1205"/>
        <v>-16307.834890000033</v>
      </c>
      <c r="AD2843" s="214">
        <f t="shared" si="1205"/>
        <v>-9684.9230400000488</v>
      </c>
      <c r="AE2843" s="214">
        <f t="shared" ref="AE2843:AO2848" si="1206">SUMIF($AP:$AP,$C2843&amp;+$D2843,AE:AE)</f>
        <v>21406.125229999965</v>
      </c>
      <c r="AF2843" s="214">
        <f t="shared" si="1206"/>
        <v>35606.036730000073</v>
      </c>
      <c r="AG2843" s="214">
        <f t="shared" si="1206"/>
        <v>14619.391070000036</v>
      </c>
      <c r="AH2843" s="214">
        <f t="shared" si="1206"/>
        <v>8524.2839000000076</v>
      </c>
      <c r="AI2843" s="214">
        <f t="shared" si="1206"/>
        <v>7153.1905699999543</v>
      </c>
      <c r="AJ2843" s="214">
        <f t="shared" si="1206"/>
        <v>25004.927689999986</v>
      </c>
      <c r="AK2843" s="214">
        <f t="shared" si="1206"/>
        <v>7489.8967499999499</v>
      </c>
      <c r="AL2843" s="214">
        <f t="shared" si="1206"/>
        <v>32991.821060000031</v>
      </c>
      <c r="AM2843" s="214">
        <f t="shared" si="1206"/>
        <v>42033.805149999971</v>
      </c>
      <c r="AN2843" s="214">
        <f t="shared" si="1206"/>
        <v>43880.968139999946</v>
      </c>
      <c r="AO2843" s="214">
        <f t="shared" si="1206"/>
        <v>30569.837920000056</v>
      </c>
    </row>
    <row r="2844" spans="1:43">
      <c r="B2844" s="409"/>
      <c r="C2844" s="656" t="s">
        <v>17</v>
      </c>
      <c r="D2844" s="656" t="s">
        <v>2484</v>
      </c>
      <c r="E2844" s="406"/>
      <c r="F2844" s="406"/>
      <c r="G2844" s="406" t="s">
        <v>2395</v>
      </c>
      <c r="H2844" s="672"/>
      <c r="I2844" s="448"/>
      <c r="J2844" s="448"/>
      <c r="K2844" s="405"/>
      <c r="L2844" s="655"/>
      <c r="M2844" s="405"/>
      <c r="N2844" s="449"/>
      <c r="O2844" s="449"/>
      <c r="P2844" s="655"/>
      <c r="Q2844" s="449"/>
      <c r="R2844" s="486"/>
      <c r="S2844" s="486"/>
      <c r="T2844" s="486"/>
      <c r="U2844" s="214">
        <f t="shared" si="1205"/>
        <v>0</v>
      </c>
      <c r="V2844" s="214">
        <f t="shared" si="1205"/>
        <v>0</v>
      </c>
      <c r="W2844" s="214">
        <f t="shared" si="1205"/>
        <v>-1584401.5393266664</v>
      </c>
      <c r="X2844" s="214">
        <f t="shared" si="1205"/>
        <v>-1584401.5393266664</v>
      </c>
      <c r="Y2844" s="214">
        <f t="shared" si="1205"/>
        <v>0</v>
      </c>
      <c r="Z2844" s="214">
        <f t="shared" si="1205"/>
        <v>0</v>
      </c>
      <c r="AA2844" s="214">
        <f t="shared" si="1205"/>
        <v>-1625829.7822700001</v>
      </c>
      <c r="AB2844" s="214">
        <f t="shared" si="1205"/>
        <v>-1625829.7822700001</v>
      </c>
      <c r="AC2844" s="214">
        <f t="shared" si="1205"/>
        <v>-1543037.9434700001</v>
      </c>
      <c r="AD2844" s="214">
        <f t="shared" si="1205"/>
        <v>-1543364.9533499999</v>
      </c>
      <c r="AE2844" s="214">
        <f t="shared" si="1206"/>
        <v>-1554963.4020400001</v>
      </c>
      <c r="AF2844" s="214">
        <f t="shared" si="1206"/>
        <v>-1566266.3674100002</v>
      </c>
      <c r="AG2844" s="214">
        <f t="shared" si="1206"/>
        <v>-1547053.5187599999</v>
      </c>
      <c r="AH2844" s="214">
        <f t="shared" si="1206"/>
        <v>-1548883.7179500004</v>
      </c>
      <c r="AI2844" s="214">
        <f t="shared" si="1206"/>
        <v>-1552848.3384500004</v>
      </c>
      <c r="AJ2844" s="214">
        <f t="shared" si="1206"/>
        <v>-1612146.2266500001</v>
      </c>
      <c r="AK2844" s="214">
        <f t="shared" si="1206"/>
        <v>-1594000.9464699998</v>
      </c>
      <c r="AL2844" s="214">
        <f t="shared" si="1206"/>
        <v>-1639653.2948400001</v>
      </c>
      <c r="AM2844" s="214">
        <f t="shared" si="1206"/>
        <v>-1639863.0026999998</v>
      </c>
      <c r="AN2844" s="214">
        <f t="shared" si="1206"/>
        <v>-1629340.8404300001</v>
      </c>
      <c r="AO2844" s="214">
        <f t="shared" si="1206"/>
        <v>-1625829.7822700001</v>
      </c>
    </row>
    <row r="2845" spans="1:43">
      <c r="B2845" s="409"/>
      <c r="C2845" s="656" t="s">
        <v>17</v>
      </c>
      <c r="D2845" s="656" t="s">
        <v>2526</v>
      </c>
      <c r="E2845" s="406"/>
      <c r="F2845" s="406"/>
      <c r="G2845" s="406" t="s">
        <v>2439</v>
      </c>
      <c r="H2845" s="672"/>
      <c r="I2845" s="448"/>
      <c r="J2845" s="448"/>
      <c r="K2845" s="405"/>
      <c r="L2845" s="655"/>
      <c r="M2845" s="405"/>
      <c r="N2845" s="449"/>
      <c r="O2845" s="449"/>
      <c r="P2845" s="655"/>
      <c r="Q2845" s="449"/>
      <c r="R2845" s="486"/>
      <c r="S2845" s="486"/>
      <c r="T2845" s="486"/>
      <c r="U2845" s="214">
        <f t="shared" si="1205"/>
        <v>1366744.6104456997</v>
      </c>
      <c r="V2845" s="214">
        <f t="shared" si="1205"/>
        <v>464545.74489679746</v>
      </c>
      <c r="W2845" s="214">
        <f t="shared" si="1205"/>
        <v>0</v>
      </c>
      <c r="X2845" s="214">
        <f t="shared" si="1205"/>
        <v>1831290.3553424971</v>
      </c>
      <c r="Y2845" s="214">
        <f t="shared" si="1205"/>
        <v>1352748.555166282</v>
      </c>
      <c r="Z2845" s="214">
        <f t="shared" si="1205"/>
        <v>455588.91216371791</v>
      </c>
      <c r="AA2845" s="214">
        <f t="shared" si="1205"/>
        <v>0</v>
      </c>
      <c r="AB2845" s="214">
        <f t="shared" si="1205"/>
        <v>1808337.4673299997</v>
      </c>
      <c r="AC2845" s="214">
        <f t="shared" si="1205"/>
        <v>1790544.9859900004</v>
      </c>
      <c r="AD2845" s="214">
        <f t="shared" si="1205"/>
        <v>1800511.3469600005</v>
      </c>
      <c r="AE2845" s="214">
        <f t="shared" si="1206"/>
        <v>1787016.4800899986</v>
      </c>
      <c r="AF2845" s="214">
        <f t="shared" si="1206"/>
        <v>1795965.1267299992</v>
      </c>
      <c r="AG2845" s="214">
        <f t="shared" si="1206"/>
        <v>1801555.7101700003</v>
      </c>
      <c r="AH2845" s="214">
        <f t="shared" si="1206"/>
        <v>1804327.6938399994</v>
      </c>
      <c r="AI2845" s="214">
        <f t="shared" si="1206"/>
        <v>1815748.65056</v>
      </c>
      <c r="AJ2845" s="214">
        <f t="shared" si="1206"/>
        <v>1858822.9168800006</v>
      </c>
      <c r="AK2845" s="214">
        <f t="shared" si="1206"/>
        <v>1859169.5918699994</v>
      </c>
      <c r="AL2845" s="214">
        <f t="shared" si="1206"/>
        <v>1892651.0966899996</v>
      </c>
      <c r="AM2845" s="214">
        <f t="shared" si="1206"/>
        <v>1902558.6376000009</v>
      </c>
      <c r="AN2845" s="214">
        <f t="shared" si="1206"/>
        <v>1857715.7860600005</v>
      </c>
      <c r="AO2845" s="214">
        <f t="shared" si="1206"/>
        <v>1808337.4673299997</v>
      </c>
    </row>
    <row r="2846" spans="1:43">
      <c r="B2846" s="409"/>
      <c r="C2846" s="656" t="s">
        <v>17</v>
      </c>
      <c r="D2846" s="656" t="s">
        <v>2468</v>
      </c>
      <c r="E2846" s="406"/>
      <c r="F2846" s="406"/>
      <c r="G2846" s="406" t="s">
        <v>2519</v>
      </c>
      <c r="H2846" s="672"/>
      <c r="I2846" s="448"/>
      <c r="J2846" s="448"/>
      <c r="K2846" s="405"/>
      <c r="L2846" s="655"/>
      <c r="M2846" s="405"/>
      <c r="N2846" s="449"/>
      <c r="O2846" s="449"/>
      <c r="P2846" s="655"/>
      <c r="Q2846" s="449"/>
      <c r="R2846" s="486"/>
      <c r="S2846" s="486"/>
      <c r="T2846" s="486"/>
      <c r="U2846" s="214">
        <f t="shared" si="1205"/>
        <v>0</v>
      </c>
      <c r="V2846" s="214">
        <f t="shared" si="1205"/>
        <v>0</v>
      </c>
      <c r="W2846" s="214">
        <f t="shared" si="1205"/>
        <v>-33531.40912999992</v>
      </c>
      <c r="X2846" s="214">
        <f t="shared" si="1205"/>
        <v>-33531.40912999992</v>
      </c>
      <c r="Y2846" s="214">
        <f t="shared" si="1205"/>
        <v>0</v>
      </c>
      <c r="Z2846" s="214">
        <f t="shared" si="1205"/>
        <v>0</v>
      </c>
      <c r="AA2846" s="214">
        <f t="shared" si="1205"/>
        <v>-46961.026629999993</v>
      </c>
      <c r="AB2846" s="214">
        <f t="shared" si="1205"/>
        <v>-46961.026629999993</v>
      </c>
      <c r="AC2846" s="214">
        <f t="shared" si="1205"/>
        <v>-32394.511029999991</v>
      </c>
      <c r="AD2846" s="214">
        <f t="shared" si="1205"/>
        <v>-30574.614100000006</v>
      </c>
      <c r="AE2846" s="214">
        <f t="shared" si="1206"/>
        <v>-30353.19845</v>
      </c>
      <c r="AF2846" s="214">
        <f t="shared" si="1206"/>
        <v>-29732.204740000005</v>
      </c>
      <c r="AG2846" s="214">
        <f t="shared" si="1206"/>
        <v>-25183.000080000002</v>
      </c>
      <c r="AH2846" s="214">
        <f t="shared" si="1206"/>
        <v>-26894.777799999996</v>
      </c>
      <c r="AI2846" s="214">
        <f t="shared" si="1206"/>
        <v>-30085.298430000003</v>
      </c>
      <c r="AJ2846" s="214">
        <f t="shared" si="1206"/>
        <v>-43421.645269999994</v>
      </c>
      <c r="AK2846" s="214">
        <f t="shared" si="1206"/>
        <v>-39361.593170000007</v>
      </c>
      <c r="AL2846" s="214">
        <f t="shared" si="1206"/>
        <v>-35772.788120000012</v>
      </c>
      <c r="AM2846" s="214">
        <f t="shared" si="1206"/>
        <v>-36459.857629999991</v>
      </c>
      <c r="AN2846" s="214">
        <f t="shared" si="1206"/>
        <v>-34860.162939999995</v>
      </c>
      <c r="AO2846" s="214">
        <f t="shared" si="1206"/>
        <v>-46961.026629999993</v>
      </c>
    </row>
    <row r="2847" spans="1:43">
      <c r="B2847" s="409"/>
      <c r="C2847" s="656" t="s">
        <v>17</v>
      </c>
      <c r="D2847" s="656" t="s">
        <v>2464</v>
      </c>
      <c r="E2847" s="406"/>
      <c r="F2847" s="406"/>
      <c r="G2847" s="406" t="s">
        <v>2527</v>
      </c>
      <c r="H2847" s="672"/>
      <c r="I2847" s="448"/>
      <c r="J2847" s="448"/>
      <c r="K2847" s="405"/>
      <c r="L2847" s="655"/>
      <c r="M2847" s="405"/>
      <c r="N2847" s="449"/>
      <c r="O2847" s="449"/>
      <c r="P2847" s="655"/>
      <c r="Q2847" s="449"/>
      <c r="R2847" s="486"/>
      <c r="S2847" s="486"/>
      <c r="T2847" s="486"/>
      <c r="U2847" s="214">
        <f t="shared" si="1205"/>
        <v>0</v>
      </c>
      <c r="V2847" s="214">
        <f t="shared" si="1205"/>
        <v>0</v>
      </c>
      <c r="W2847" s="214">
        <f t="shared" si="1205"/>
        <v>158848.79316041688</v>
      </c>
      <c r="X2847" s="214">
        <f t="shared" si="1205"/>
        <v>158848.79316041688</v>
      </c>
      <c r="Y2847" s="214">
        <f t="shared" si="1205"/>
        <v>0</v>
      </c>
      <c r="Z2847" s="214">
        <f t="shared" si="1205"/>
        <v>0</v>
      </c>
      <c r="AA2847" s="214">
        <f t="shared" si="1205"/>
        <v>234718.75040999998</v>
      </c>
      <c r="AB2847" s="214">
        <f t="shared" si="1205"/>
        <v>234718.75040999998</v>
      </c>
      <c r="AC2847" s="214">
        <f t="shared" si="1205"/>
        <v>198522.63492000007</v>
      </c>
      <c r="AD2847" s="214">
        <f t="shared" si="1205"/>
        <v>176077.80384999994</v>
      </c>
      <c r="AE2847" s="214">
        <f t="shared" si="1206"/>
        <v>165531.94856999998</v>
      </c>
      <c r="AF2847" s="214">
        <f t="shared" si="1206"/>
        <v>151400.01244999986</v>
      </c>
      <c r="AG2847" s="214">
        <f t="shared" si="1206"/>
        <v>154292.70482999992</v>
      </c>
      <c r="AH2847" s="214">
        <f t="shared" si="1206"/>
        <v>146822.06580999994</v>
      </c>
      <c r="AI2847" s="214">
        <f t="shared" si="1206"/>
        <v>149042.30251999988</v>
      </c>
      <c r="AJ2847" s="214">
        <f t="shared" si="1206"/>
        <v>161328.71992999993</v>
      </c>
      <c r="AK2847" s="214">
        <f t="shared" si="1206"/>
        <v>159857.32166000002</v>
      </c>
      <c r="AL2847" s="214">
        <f t="shared" si="1206"/>
        <v>134910.05225000012</v>
      </c>
      <c r="AM2847" s="214">
        <f t="shared" si="1206"/>
        <v>133620.93217999989</v>
      </c>
      <c r="AN2847" s="214">
        <f t="shared" si="1206"/>
        <v>156680.96120999998</v>
      </c>
      <c r="AO2847" s="214">
        <f t="shared" si="1206"/>
        <v>234718.75040999998</v>
      </c>
    </row>
    <row r="2848" spans="1:43" ht="15">
      <c r="B2848" s="409"/>
      <c r="C2848" s="656" t="s">
        <v>17</v>
      </c>
      <c r="D2848" s="656" t="s">
        <v>2466</v>
      </c>
      <c r="E2848" s="406"/>
      <c r="F2848" s="406"/>
      <c r="G2848" s="406" t="s">
        <v>2528</v>
      </c>
      <c r="H2848" s="672"/>
      <c r="I2848" s="448"/>
      <c r="J2848" s="448"/>
      <c r="K2848" s="405"/>
      <c r="L2848" s="687"/>
      <c r="M2848" s="423"/>
      <c r="N2848" s="450"/>
      <c r="O2848" s="450"/>
      <c r="P2848" s="687"/>
      <c r="Q2848" s="450"/>
      <c r="R2848" s="487"/>
      <c r="S2848" s="487"/>
      <c r="T2848" s="487"/>
      <c r="U2848" s="215">
        <f t="shared" si="1205"/>
        <v>0</v>
      </c>
      <c r="V2848" s="215">
        <f t="shared" si="1205"/>
        <v>0</v>
      </c>
      <c r="W2848" s="215">
        <f t="shared" si="1205"/>
        <v>-391885.91044333292</v>
      </c>
      <c r="X2848" s="215">
        <f t="shared" si="1205"/>
        <v>-391885.91044333292</v>
      </c>
      <c r="Y2848" s="215">
        <f t="shared" si="1205"/>
        <v>0</v>
      </c>
      <c r="Z2848" s="215">
        <f t="shared" si="1205"/>
        <v>0</v>
      </c>
      <c r="AA2848" s="215">
        <f t="shared" si="1205"/>
        <v>-400835.24676000007</v>
      </c>
      <c r="AB2848" s="215">
        <f t="shared" si="1205"/>
        <v>-400835.24676000001</v>
      </c>
      <c r="AC2848" s="215">
        <f t="shared" si="1205"/>
        <v>-397327.33151999977</v>
      </c>
      <c r="AD2848" s="215">
        <f t="shared" si="1205"/>
        <v>-392964.66032000002</v>
      </c>
      <c r="AE2848" s="215">
        <f t="shared" si="1206"/>
        <v>-388637.95339999988</v>
      </c>
      <c r="AF2848" s="215">
        <f t="shared" si="1206"/>
        <v>-386972.60375999985</v>
      </c>
      <c r="AG2848" s="215">
        <f t="shared" si="1206"/>
        <v>-398231.28723000002</v>
      </c>
      <c r="AH2848" s="215">
        <f t="shared" si="1206"/>
        <v>-383895.54780000006</v>
      </c>
      <c r="AI2848" s="215">
        <f t="shared" si="1206"/>
        <v>-389010.50676999986</v>
      </c>
      <c r="AJ2848" s="215">
        <f t="shared" si="1206"/>
        <v>-389588.69258000003</v>
      </c>
      <c r="AK2848" s="215">
        <f t="shared" si="1206"/>
        <v>-393154.27063999989</v>
      </c>
      <c r="AL2848" s="215">
        <f t="shared" si="1206"/>
        <v>-385126.88704000012</v>
      </c>
      <c r="AM2848" s="215">
        <f t="shared" si="1206"/>
        <v>-401890.51459999982</v>
      </c>
      <c r="AN2848" s="215">
        <f t="shared" si="1206"/>
        <v>-394076.71203999995</v>
      </c>
      <c r="AO2848" s="215">
        <f t="shared" si="1206"/>
        <v>-400835.24676000001</v>
      </c>
    </row>
    <row r="2849" spans="1:91">
      <c r="B2849" s="409"/>
      <c r="C2849" s="656"/>
      <c r="D2849" s="656"/>
      <c r="E2849" s="406"/>
      <c r="F2849" s="406"/>
      <c r="G2849" s="406"/>
      <c r="H2849" s="672"/>
      <c r="I2849" s="448"/>
      <c r="J2849" s="448"/>
      <c r="K2849" s="405"/>
      <c r="L2849" s="655"/>
      <c r="M2849" s="405"/>
      <c r="N2849" s="449"/>
      <c r="O2849" s="449"/>
      <c r="P2849" s="655"/>
      <c r="Q2849" s="449"/>
      <c r="R2849" s="486"/>
      <c r="S2849" s="486"/>
      <c r="T2849" s="486"/>
      <c r="U2849" s="214"/>
      <c r="V2849" s="214"/>
      <c r="W2849" s="214"/>
      <c r="X2849" s="214"/>
      <c r="Y2849" s="214"/>
      <c r="Z2849" s="214"/>
      <c r="AA2849" s="214"/>
      <c r="AB2849" s="214"/>
      <c r="AC2849" s="214"/>
      <c r="AD2849" s="214"/>
      <c r="AE2849" s="214"/>
      <c r="AF2849" s="214"/>
      <c r="AG2849" s="214"/>
      <c r="AH2849" s="214"/>
      <c r="AI2849" s="214"/>
      <c r="AJ2849" s="214"/>
      <c r="AK2849" s="214"/>
      <c r="AL2849" s="214"/>
      <c r="AM2849" s="214"/>
      <c r="AN2849" s="214"/>
      <c r="AO2849" s="765"/>
    </row>
    <row r="2850" spans="1:91">
      <c r="B2850" s="409"/>
      <c r="C2850" s="656" t="s">
        <v>2475</v>
      </c>
      <c r="D2850" s="655"/>
      <c r="E2850" s="405"/>
      <c r="F2850" s="405"/>
      <c r="G2850" s="406"/>
      <c r="H2850" s="672"/>
      <c r="I2850" s="448"/>
      <c r="J2850" s="448"/>
      <c r="K2850" s="405"/>
      <c r="L2850" s="655"/>
      <c r="M2850" s="405"/>
      <c r="N2850" s="449"/>
      <c r="O2850" s="449"/>
      <c r="P2850" s="655"/>
      <c r="Q2850" s="449"/>
      <c r="R2850" s="486"/>
      <c r="S2850" s="486"/>
      <c r="T2850" s="486"/>
      <c r="U2850" s="216">
        <f t="shared" ref="U2850:AB2850" si="1207">SUM(U2842:U2849)</f>
        <v>1380696.8419985932</v>
      </c>
      <c r="V2850" s="216">
        <f t="shared" si="1207"/>
        <v>470261.16425015364</v>
      </c>
      <c r="W2850" s="216">
        <f t="shared" si="1207"/>
        <v>-1850970.0657395823</v>
      </c>
      <c r="X2850" s="216">
        <f t="shared" si="1207"/>
        <v>-2.1536834537982941E-9</v>
      </c>
      <c r="Y2850" s="216">
        <f t="shared" si="1207"/>
        <v>1374229.478119598</v>
      </c>
      <c r="Z2850" s="216">
        <f t="shared" si="1207"/>
        <v>464388.39935040189</v>
      </c>
      <c r="AA2850" s="216">
        <f t="shared" si="1207"/>
        <v>-1838907.3052500002</v>
      </c>
      <c r="AB2850" s="216">
        <f t="shared" si="1207"/>
        <v>0</v>
      </c>
      <c r="AC2850" s="216">
        <f t="shared" ref="AC2850" si="1208">SUM(AC2842:AC2849)</f>
        <v>5.8207660913467407E-10</v>
      </c>
      <c r="AD2850" s="216">
        <f t="shared" ref="AD2850:AE2850" si="1209">SUM(AD2842:AD2849)</f>
        <v>4.6566128730773926E-10</v>
      </c>
      <c r="AE2850" s="216">
        <f t="shared" si="1209"/>
        <v>-1.5133991837501526E-9</v>
      </c>
      <c r="AF2850" s="216">
        <f t="shared" ref="AF2850:AG2850" si="1210">SUM(AF2842:AF2849)</f>
        <v>-9.3132257461547852E-10</v>
      </c>
      <c r="AG2850" s="216">
        <f t="shared" si="1210"/>
        <v>4.6566128730773926E-10</v>
      </c>
      <c r="AH2850" s="216">
        <f t="shared" ref="AH2850:AI2850" si="1211">SUM(AH2842:AH2849)</f>
        <v>-1.2223608791828156E-9</v>
      </c>
      <c r="AI2850" s="216">
        <f t="shared" si="1211"/>
        <v>-5.2386894822120667E-10</v>
      </c>
      <c r="AJ2850" s="216">
        <f t="shared" ref="AJ2850:AK2850" si="1212">SUM(AJ2842:AJ2849)</f>
        <v>4.6566128730773926E-10</v>
      </c>
      <c r="AK2850" s="216">
        <f t="shared" si="1212"/>
        <v>-4.6566128730773926E-10</v>
      </c>
      <c r="AL2850" s="216">
        <f t="shared" ref="AL2850:AM2850" si="1213">SUM(AL2842:AL2849)</f>
        <v>-5.2386894822120667E-10</v>
      </c>
      <c r="AM2850" s="793">
        <f t="shared" si="1213"/>
        <v>1.1059455573558807E-9</v>
      </c>
      <c r="AN2850" s="800">
        <f t="shared" ref="AN2850:AO2850" si="1214">SUM(AN2842:AN2849)</f>
        <v>4.6566128730773926E-10</v>
      </c>
      <c r="AO2850" s="800">
        <f t="shared" si="1214"/>
        <v>0</v>
      </c>
    </row>
    <row r="2852" spans="1:91" customFormat="1" ht="15.75">
      <c r="A2852" s="451"/>
      <c r="B2852" s="451"/>
      <c r="C2852" s="657"/>
      <c r="D2852" s="657"/>
      <c r="E2852" s="407"/>
      <c r="F2852" s="407"/>
      <c r="G2852" s="410"/>
      <c r="H2852" s="673"/>
      <c r="I2852" s="452"/>
      <c r="J2852" s="452"/>
      <c r="K2852" s="407"/>
      <c r="L2852" s="657"/>
      <c r="M2852" s="407"/>
      <c r="N2852" s="453"/>
      <c r="O2852" s="453"/>
      <c r="P2852" s="657"/>
      <c r="Q2852" s="453"/>
      <c r="R2852" s="488"/>
      <c r="S2852" s="488"/>
      <c r="T2852" s="488"/>
      <c r="U2852" s="219"/>
      <c r="V2852" s="219"/>
      <c r="W2852" s="219"/>
      <c r="X2852" s="219"/>
      <c r="Y2852" s="219"/>
      <c r="Z2852" s="219"/>
      <c r="AA2852" s="219"/>
      <c r="AB2852" s="219"/>
      <c r="AC2852" s="219"/>
      <c r="AD2852" s="219"/>
      <c r="AE2852" s="219"/>
      <c r="AF2852" s="219"/>
      <c r="AG2852" s="219"/>
      <c r="AH2852" s="219"/>
      <c r="AI2852" s="219"/>
      <c r="AJ2852" s="219"/>
      <c r="AK2852" s="219"/>
      <c r="AL2852" s="219"/>
      <c r="AM2852" s="219"/>
      <c r="AN2852" s="219"/>
      <c r="AO2852" s="219"/>
      <c r="AP2852" s="219"/>
      <c r="AQ2852" s="219"/>
      <c r="AR2852" s="219"/>
      <c r="AS2852" s="219"/>
      <c r="AT2852" s="219"/>
      <c r="AU2852" s="219"/>
      <c r="AV2852" s="219"/>
      <c r="AW2852" s="219"/>
      <c r="AX2852" s="219"/>
      <c r="AY2852" s="219"/>
      <c r="AZ2852" s="219"/>
      <c r="BA2852" s="219"/>
      <c r="BB2852" s="219"/>
      <c r="BC2852" s="219"/>
      <c r="BD2852" s="219"/>
      <c r="BE2852" s="219"/>
      <c r="BF2852" s="219"/>
      <c r="BG2852" s="219"/>
      <c r="BH2852" s="219"/>
      <c r="BI2852" s="219"/>
      <c r="BJ2852" s="219"/>
      <c r="BK2852" s="219"/>
      <c r="BL2852" s="219"/>
      <c r="BM2852" s="219"/>
      <c r="BN2852" s="219"/>
      <c r="BO2852" s="219"/>
      <c r="BP2852" s="219"/>
      <c r="BQ2852" s="219"/>
      <c r="BR2852" s="219"/>
      <c r="BS2852" s="219"/>
      <c r="BT2852" s="219"/>
      <c r="BU2852" s="219"/>
      <c r="BV2852" s="219"/>
      <c r="BW2852" s="219"/>
      <c r="BX2852" s="219"/>
      <c r="BY2852" s="219"/>
      <c r="BZ2852" s="219"/>
      <c r="CA2852" s="219"/>
      <c r="CB2852" s="219"/>
      <c r="CC2852" s="219"/>
      <c r="CD2852" s="219"/>
      <c r="CE2852" s="217"/>
      <c r="CF2852" s="217"/>
      <c r="CG2852" s="217"/>
      <c r="CH2852" s="220"/>
      <c r="CI2852" s="217" t="s">
        <v>2679</v>
      </c>
      <c r="CJ2852" s="217"/>
      <c r="CK2852" s="217"/>
      <c r="CL2852" s="217"/>
      <c r="CM2852" s="218"/>
    </row>
    <row r="2853" spans="1:91" customFormat="1" ht="15.75">
      <c r="A2853" s="401"/>
      <c r="B2853" s="401"/>
      <c r="C2853" s="647"/>
      <c r="D2853" s="647"/>
      <c r="E2853" s="400"/>
      <c r="F2853" s="400"/>
      <c r="G2853" s="402"/>
      <c r="H2853" s="674"/>
      <c r="I2853" s="454"/>
      <c r="J2853" s="454"/>
      <c r="K2853" s="400"/>
      <c r="L2853" s="647"/>
      <c r="M2853" s="400"/>
      <c r="N2853" s="455"/>
      <c r="O2853" s="455"/>
      <c r="P2853" s="647"/>
      <c r="Q2853" s="455"/>
      <c r="R2853" s="489"/>
      <c r="S2853" s="489"/>
      <c r="T2853" s="489"/>
      <c r="U2853" s="208"/>
      <c r="V2853" s="208"/>
      <c r="W2853" s="208"/>
      <c r="X2853" s="208"/>
      <c r="Y2853" s="208"/>
      <c r="Z2853" s="208"/>
      <c r="AA2853" s="208"/>
      <c r="AB2853" s="208"/>
      <c r="AC2853" s="208"/>
      <c r="AD2853" s="208"/>
      <c r="AE2853" s="208"/>
      <c r="AF2853" s="208"/>
      <c r="AG2853" s="208"/>
      <c r="AH2853" s="208"/>
      <c r="AI2853" s="208"/>
      <c r="AJ2853" s="208"/>
      <c r="AK2853" s="208"/>
      <c r="AL2853" s="208"/>
      <c r="AM2853" s="208"/>
      <c r="AN2853" s="208"/>
      <c r="AO2853" s="208"/>
      <c r="AP2853" s="208"/>
      <c r="AQ2853" s="208"/>
      <c r="AR2853" s="208"/>
      <c r="AS2853" s="208"/>
      <c r="AT2853" s="208"/>
      <c r="AU2853" s="208"/>
      <c r="AV2853" s="208"/>
      <c r="AW2853" s="208"/>
      <c r="AX2853" s="208"/>
      <c r="AY2853" s="208"/>
      <c r="AZ2853" s="208"/>
      <c r="BA2853" s="208"/>
      <c r="BB2853" s="208"/>
      <c r="BC2853" s="208"/>
      <c r="BD2853" s="208"/>
      <c r="BE2853" s="208"/>
      <c r="BF2853" s="208"/>
      <c r="BG2853" s="208"/>
      <c r="BH2853" s="208"/>
      <c r="BI2853" s="208"/>
      <c r="BJ2853" s="208"/>
      <c r="BK2853" s="208"/>
      <c r="BL2853" s="208"/>
      <c r="BM2853" s="208"/>
      <c r="BN2853" s="208"/>
      <c r="BO2853" s="208"/>
      <c r="BP2853" s="208"/>
      <c r="BQ2853" s="208"/>
      <c r="BR2853" s="208"/>
      <c r="BS2853" s="208"/>
      <c r="BT2853" s="208"/>
      <c r="BU2853" s="208"/>
      <c r="BV2853" s="208"/>
      <c r="BW2853" s="208"/>
      <c r="BX2853" s="208"/>
      <c r="BY2853" s="208"/>
      <c r="BZ2853" s="208"/>
      <c r="CA2853" s="208"/>
      <c r="CB2853" s="208"/>
      <c r="CC2853" s="208"/>
      <c r="CD2853" s="208"/>
      <c r="CE2853" s="221"/>
      <c r="CF2853" s="221"/>
      <c r="CG2853" s="221"/>
      <c r="CH2853" s="220"/>
      <c r="CI2853" s="221" t="s">
        <v>2679</v>
      </c>
      <c r="CJ2853" s="221"/>
      <c r="CK2853" s="221"/>
      <c r="CL2853" s="221"/>
      <c r="CM2853" s="207"/>
    </row>
    <row r="2854" spans="1:91" s="77" customFormat="1">
      <c r="A2854" s="444"/>
      <c r="B2854" s="447" t="s">
        <v>2439</v>
      </c>
      <c r="C2854" s="655"/>
      <c r="D2854" s="655"/>
      <c r="E2854" s="405"/>
      <c r="F2854" s="405"/>
      <c r="G2854" s="406"/>
      <c r="H2854" s="672"/>
      <c r="I2854" s="448"/>
      <c r="J2854" s="448"/>
      <c r="K2854" s="405"/>
      <c r="L2854" s="655"/>
      <c r="M2854" s="405"/>
      <c r="N2854" s="449"/>
      <c r="O2854" s="449"/>
      <c r="P2854" s="655"/>
      <c r="Q2854" s="449"/>
      <c r="R2854" s="486"/>
      <c r="S2854" s="486"/>
      <c r="T2854" s="486"/>
      <c r="U2854" s="214"/>
      <c r="V2854" s="214"/>
      <c r="W2854" s="214"/>
      <c r="X2854" s="214"/>
      <c r="Y2854" s="214"/>
      <c r="Z2854" s="214"/>
      <c r="AA2854" s="214"/>
      <c r="AB2854" s="214"/>
      <c r="CI2854" s="77" t="s">
        <v>2679</v>
      </c>
    </row>
    <row r="2855" spans="1:91">
      <c r="A2855" s="421"/>
      <c r="B2855" s="421"/>
      <c r="C2855" s="658" t="s">
        <v>2438</v>
      </c>
      <c r="D2855" s="705" t="s">
        <v>2439</v>
      </c>
      <c r="E2855" s="421"/>
      <c r="F2855" s="421"/>
      <c r="G2855" s="421" t="s">
        <v>2440</v>
      </c>
      <c r="H2855" s="627"/>
      <c r="I2855" s="456"/>
      <c r="J2855" s="456"/>
      <c r="K2855" s="427"/>
      <c r="L2855" s="688"/>
      <c r="M2855" s="457"/>
      <c r="N2855" s="458"/>
      <c r="O2855" s="458"/>
      <c r="P2855" s="688"/>
      <c r="Q2855" s="458"/>
      <c r="R2855" s="490"/>
      <c r="S2855" s="490"/>
      <c r="T2855" s="490"/>
      <c r="U2855" s="214">
        <f t="shared" ref="U2855:AD2867" si="1215">SUMIF($L:$L,$C2855,U:U)</f>
        <v>2000338.8047041455</v>
      </c>
      <c r="V2855" s="214">
        <f t="shared" si="1215"/>
        <v>803381.53442001878</v>
      </c>
      <c r="W2855" s="214">
        <f t="shared" si="1215"/>
        <v>0</v>
      </c>
      <c r="X2855" s="214">
        <f t="shared" si="1215"/>
        <v>2803720.3391241636</v>
      </c>
      <c r="Y2855" s="214">
        <f t="shared" si="1215"/>
        <v>2022255.4486241918</v>
      </c>
      <c r="Z2855" s="214">
        <f t="shared" si="1215"/>
        <v>820123.81931580801</v>
      </c>
      <c r="AA2855" s="214">
        <f t="shared" si="1215"/>
        <v>0</v>
      </c>
      <c r="AB2855" s="214">
        <f t="shared" si="1215"/>
        <v>2842379.2679400002</v>
      </c>
      <c r="AC2855" s="214">
        <f t="shared" si="1215"/>
        <v>2755909.9479200002</v>
      </c>
      <c r="AD2855" s="214">
        <f t="shared" si="1215"/>
        <v>2767597.1347400001</v>
      </c>
      <c r="AE2855" s="214">
        <f t="shared" ref="AE2855:AO2867" si="1216">SUMIF($L:$L,$C2855,AE:AE)</f>
        <v>2774437.93762</v>
      </c>
      <c r="AF2855" s="214">
        <f t="shared" si="1216"/>
        <v>2789609.27556</v>
      </c>
      <c r="AG2855" s="214">
        <f t="shared" si="1216"/>
        <v>2796044.6749000004</v>
      </c>
      <c r="AH2855" s="214">
        <f t="shared" si="1216"/>
        <v>2800636.4763899995</v>
      </c>
      <c r="AI2855" s="214">
        <f t="shared" si="1216"/>
        <v>2800440.0587000004</v>
      </c>
      <c r="AJ2855" s="214">
        <f t="shared" si="1216"/>
        <v>2807578.6679600002</v>
      </c>
      <c r="AK2855" s="214">
        <f t="shared" si="1216"/>
        <v>2814585.1905400003</v>
      </c>
      <c r="AL2855" s="214">
        <f t="shared" si="1216"/>
        <v>2820549.4804699994</v>
      </c>
      <c r="AM2855" s="214">
        <f t="shared" si="1216"/>
        <v>2830722.3641400002</v>
      </c>
      <c r="AN2855" s="214">
        <f t="shared" si="1216"/>
        <v>2843298.2005400001</v>
      </c>
      <c r="AO2855" s="214">
        <f t="shared" si="1216"/>
        <v>2842379.2679400002</v>
      </c>
      <c r="AP2855" s="214"/>
      <c r="AQ2855" s="214"/>
      <c r="AR2855" s="214"/>
      <c r="AS2855" s="214"/>
      <c r="AT2855" s="214"/>
      <c r="AU2855" s="214"/>
      <c r="AV2855" s="214"/>
      <c r="AW2855" s="214"/>
      <c r="AX2855" s="214"/>
      <c r="AY2855" s="214"/>
      <c r="AZ2855" s="214"/>
      <c r="BA2855" s="214"/>
      <c r="BB2855" s="214"/>
      <c r="BC2855" s="214"/>
      <c r="BD2855" s="214"/>
      <c r="BE2855" s="214"/>
      <c r="BF2855" s="214"/>
      <c r="BG2855" s="214"/>
      <c r="BH2855" s="214"/>
      <c r="BI2855" s="214"/>
      <c r="BJ2855" s="214"/>
      <c r="BK2855" s="214"/>
      <c r="BL2855" s="214"/>
      <c r="BM2855" s="214"/>
      <c r="BN2855" s="214"/>
      <c r="BO2855" s="214"/>
      <c r="BP2855" s="214"/>
      <c r="BQ2855" s="214"/>
      <c r="BR2855" s="214"/>
      <c r="BS2855" s="214"/>
      <c r="BT2855" s="214"/>
      <c r="BU2855" s="214"/>
      <c r="BV2855" s="214"/>
      <c r="BW2855" s="214"/>
      <c r="BX2855" s="214"/>
      <c r="BY2855" s="214"/>
      <c r="BZ2855" s="214"/>
      <c r="CA2855" s="214"/>
      <c r="CB2855" s="214"/>
      <c r="CC2855" s="214"/>
      <c r="CD2855" s="214"/>
      <c r="CE2855" s="225"/>
      <c r="CF2855" s="225"/>
      <c r="CG2855" s="225"/>
      <c r="CH2855" s="165"/>
      <c r="CI2855" s="225" t="s">
        <v>2679</v>
      </c>
      <c r="CJ2855" s="225"/>
      <c r="CK2855" s="225" t="s">
        <v>2680</v>
      </c>
      <c r="CL2855" s="225"/>
      <c r="CM2855" s="224"/>
    </row>
    <row r="2856" spans="1:91">
      <c r="A2856" s="421"/>
      <c r="B2856" s="421"/>
      <c r="C2856" s="658" t="s">
        <v>2449</v>
      </c>
      <c r="D2856" s="705" t="s">
        <v>2439</v>
      </c>
      <c r="E2856" s="421"/>
      <c r="F2856" s="421"/>
      <c r="G2856" s="421" t="s">
        <v>2450</v>
      </c>
      <c r="H2856" s="675" t="s">
        <v>2680</v>
      </c>
      <c r="I2856" s="459"/>
      <c r="J2856" s="459"/>
      <c r="K2856" s="427"/>
      <c r="L2856" s="688"/>
      <c r="M2856" s="457"/>
      <c r="N2856" s="458"/>
      <c r="O2856" s="458"/>
      <c r="P2856" s="688"/>
      <c r="Q2856" s="458"/>
      <c r="R2856" s="490"/>
      <c r="S2856" s="490"/>
      <c r="T2856" s="490"/>
      <c r="U2856" s="214">
        <f t="shared" si="1215"/>
        <v>185497.85188753137</v>
      </c>
      <c r="V2856" s="214">
        <f t="shared" si="1215"/>
        <v>10217.41693413495</v>
      </c>
      <c r="W2856" s="214">
        <f t="shared" si="1215"/>
        <v>0</v>
      </c>
      <c r="X2856" s="214">
        <f t="shared" si="1215"/>
        <v>195715.26882166634</v>
      </c>
      <c r="Y2856" s="214">
        <f t="shared" si="1215"/>
        <v>221366.740849261</v>
      </c>
      <c r="Z2856" s="214">
        <f t="shared" si="1215"/>
        <v>12334.009240739</v>
      </c>
      <c r="AA2856" s="214">
        <f t="shared" si="1215"/>
        <v>0</v>
      </c>
      <c r="AB2856" s="214">
        <f t="shared" si="1215"/>
        <v>233700.75008999999</v>
      </c>
      <c r="AC2856" s="214">
        <f t="shared" si="1215"/>
        <v>191241.36577</v>
      </c>
      <c r="AD2856" s="214">
        <f t="shared" si="1215"/>
        <v>188238.68031000003</v>
      </c>
      <c r="AE2856" s="214">
        <f t="shared" si="1216"/>
        <v>185819.69177999999</v>
      </c>
      <c r="AF2856" s="214">
        <f t="shared" si="1216"/>
        <v>179345.70048</v>
      </c>
      <c r="AG2856" s="214">
        <f t="shared" si="1216"/>
        <v>187080.0551</v>
      </c>
      <c r="AH2856" s="214">
        <f t="shared" si="1216"/>
        <v>188522.82892999999</v>
      </c>
      <c r="AI2856" s="214">
        <f t="shared" si="1216"/>
        <v>187702.92796</v>
      </c>
      <c r="AJ2856" s="214">
        <f t="shared" si="1216"/>
        <v>193027.47112999999</v>
      </c>
      <c r="AK2856" s="214">
        <f t="shared" si="1216"/>
        <v>197411.66329999999</v>
      </c>
      <c r="AL2856" s="214">
        <f t="shared" si="1216"/>
        <v>205043.92665000001</v>
      </c>
      <c r="AM2856" s="214">
        <f t="shared" si="1216"/>
        <v>212346.26360000001</v>
      </c>
      <c r="AN2856" s="214">
        <f t="shared" si="1216"/>
        <v>211572.95869</v>
      </c>
      <c r="AO2856" s="214">
        <f t="shared" si="1216"/>
        <v>233700.75008999999</v>
      </c>
      <c r="AP2856" s="214"/>
      <c r="AQ2856" s="214"/>
      <c r="AR2856" s="214"/>
      <c r="AS2856" s="214"/>
      <c r="AT2856" s="214"/>
      <c r="AU2856" s="214"/>
      <c r="AV2856" s="214"/>
      <c r="AW2856" s="214"/>
      <c r="AX2856" s="214"/>
      <c r="AY2856" s="214"/>
      <c r="AZ2856" s="214"/>
      <c r="BA2856" s="214"/>
      <c r="BB2856" s="214"/>
      <c r="BC2856" s="214"/>
      <c r="BD2856" s="214"/>
      <c r="BE2856" s="214"/>
      <c r="BF2856" s="214"/>
      <c r="BG2856" s="214"/>
      <c r="BH2856" s="214"/>
      <c r="BI2856" s="214"/>
      <c r="BJ2856" s="214"/>
      <c r="BK2856" s="214"/>
      <c r="BL2856" s="214"/>
      <c r="BM2856" s="214"/>
      <c r="BN2856" s="214"/>
      <c r="BO2856" s="214"/>
      <c r="BP2856" s="214"/>
      <c r="BQ2856" s="214"/>
      <c r="BR2856" s="214"/>
      <c r="BS2856" s="214"/>
      <c r="BT2856" s="214"/>
      <c r="BU2856" s="214"/>
      <c r="BV2856" s="214"/>
      <c r="BW2856" s="214"/>
      <c r="BX2856" s="214"/>
      <c r="BY2856" s="214"/>
      <c r="BZ2856" s="214"/>
      <c r="CA2856" s="214"/>
      <c r="CB2856" s="214"/>
      <c r="CC2856" s="214"/>
      <c r="CD2856" s="214"/>
      <c r="CE2856" s="225"/>
      <c r="CF2856" s="225"/>
      <c r="CG2856" s="225"/>
      <c r="CH2856" s="165"/>
      <c r="CI2856" s="225" t="s">
        <v>2679</v>
      </c>
      <c r="CJ2856" s="225"/>
      <c r="CK2856" s="225"/>
      <c r="CL2856" s="225"/>
      <c r="CM2856" s="224"/>
    </row>
    <row r="2857" spans="1:91">
      <c r="A2857" s="421"/>
      <c r="B2857" s="421"/>
      <c r="C2857" s="658" t="s">
        <v>2451</v>
      </c>
      <c r="D2857" s="705" t="s">
        <v>2439</v>
      </c>
      <c r="E2857" s="421"/>
      <c r="F2857" s="421"/>
      <c r="G2857" s="421" t="s">
        <v>2452</v>
      </c>
      <c r="H2857" s="676"/>
      <c r="I2857" s="459"/>
      <c r="J2857" s="459"/>
      <c r="K2857" s="427"/>
      <c r="L2857" s="688"/>
      <c r="M2857" s="457"/>
      <c r="N2857" s="458"/>
      <c r="O2857" s="458"/>
      <c r="P2857" s="688"/>
      <c r="Q2857" s="458"/>
      <c r="R2857" s="490"/>
      <c r="S2857" s="490"/>
      <c r="T2857" s="490"/>
      <c r="U2857" s="214">
        <f t="shared" si="1215"/>
        <v>-643006.12014860217</v>
      </c>
      <c r="V2857" s="214">
        <f t="shared" si="1215"/>
        <v>-329899.52463848086</v>
      </c>
      <c r="W2857" s="214">
        <f t="shared" si="1215"/>
        <v>0</v>
      </c>
      <c r="X2857" s="214">
        <f t="shared" si="1215"/>
        <v>-972905.64478708303</v>
      </c>
      <c r="Y2857" s="214">
        <f t="shared" si="1215"/>
        <v>-638904.13389946613</v>
      </c>
      <c r="Z2857" s="214">
        <f t="shared" si="1215"/>
        <v>-336228.35606053396</v>
      </c>
      <c r="AA2857" s="214">
        <f t="shared" si="1215"/>
        <v>0</v>
      </c>
      <c r="AB2857" s="214">
        <f t="shared" si="1215"/>
        <v>-975132.48996000015</v>
      </c>
      <c r="AC2857" s="214">
        <f t="shared" si="1215"/>
        <v>-965614.63245000003</v>
      </c>
      <c r="AD2857" s="214">
        <f t="shared" si="1215"/>
        <v>-969721.71146999986</v>
      </c>
      <c r="AE2857" s="214">
        <f t="shared" si="1216"/>
        <v>-973281.47930000012</v>
      </c>
      <c r="AF2857" s="214">
        <f t="shared" si="1216"/>
        <v>-973937.1047799997</v>
      </c>
      <c r="AG2857" s="214">
        <f t="shared" si="1216"/>
        <v>-976457.29700000014</v>
      </c>
      <c r="AH2857" s="214">
        <f t="shared" si="1216"/>
        <v>-976928.4712700001</v>
      </c>
      <c r="AI2857" s="214">
        <f t="shared" si="1216"/>
        <v>-963895.80313999986</v>
      </c>
      <c r="AJ2857" s="214">
        <f t="shared" si="1216"/>
        <v>-967067.72659999982</v>
      </c>
      <c r="AK2857" s="214">
        <f t="shared" si="1216"/>
        <v>-971245.17768999992</v>
      </c>
      <c r="AL2857" s="214">
        <f t="shared" si="1216"/>
        <v>-974232.13168999983</v>
      </c>
      <c r="AM2857" s="214">
        <f t="shared" si="1216"/>
        <v>-977325.50306000013</v>
      </c>
      <c r="AN2857" s="214">
        <f t="shared" si="1216"/>
        <v>-980401.77023999998</v>
      </c>
      <c r="AO2857" s="214">
        <f t="shared" si="1216"/>
        <v>-975132.48996000015</v>
      </c>
      <c r="AP2857" s="214"/>
      <c r="AQ2857" s="214"/>
      <c r="AR2857" s="214"/>
      <c r="AS2857" s="214"/>
      <c r="AT2857" s="214"/>
      <c r="AU2857" s="214"/>
      <c r="AV2857" s="214"/>
      <c r="AW2857" s="214"/>
      <c r="AX2857" s="214"/>
      <c r="AY2857" s="214"/>
      <c r="AZ2857" s="214"/>
      <c r="BA2857" s="214"/>
      <c r="BB2857" s="214"/>
      <c r="BC2857" s="214"/>
      <c r="BD2857" s="214"/>
      <c r="BE2857" s="214"/>
      <c r="BF2857" s="214"/>
      <c r="BG2857" s="214"/>
      <c r="BH2857" s="214"/>
      <c r="BI2857" s="214"/>
      <c r="BJ2857" s="214"/>
      <c r="BK2857" s="214"/>
      <c r="BL2857" s="214"/>
      <c r="BM2857" s="214"/>
      <c r="BN2857" s="214"/>
      <c r="BO2857" s="214"/>
      <c r="BP2857" s="214"/>
      <c r="BQ2857" s="214"/>
      <c r="BR2857" s="214"/>
      <c r="BS2857" s="214"/>
      <c r="BT2857" s="214"/>
      <c r="BU2857" s="214"/>
      <c r="BV2857" s="214"/>
      <c r="BW2857" s="214"/>
      <c r="BX2857" s="214"/>
      <c r="BY2857" s="214"/>
      <c r="BZ2857" s="214"/>
      <c r="CA2857" s="214"/>
      <c r="CB2857" s="214"/>
      <c r="CC2857" s="214"/>
      <c r="CD2857" s="214"/>
      <c r="CE2857" s="225"/>
      <c r="CF2857" s="225"/>
      <c r="CG2857" s="225"/>
      <c r="CH2857" s="165"/>
      <c r="CI2857" s="225" t="s">
        <v>2679</v>
      </c>
      <c r="CJ2857" s="225"/>
      <c r="CK2857" s="225"/>
      <c r="CL2857" s="225"/>
      <c r="CM2857" s="224"/>
    </row>
    <row r="2858" spans="1:91">
      <c r="A2858" s="421"/>
      <c r="B2858" s="421"/>
      <c r="C2858" s="658" t="s">
        <v>2453</v>
      </c>
      <c r="D2858" s="705" t="s">
        <v>2439</v>
      </c>
      <c r="E2858" s="421"/>
      <c r="F2858" s="421"/>
      <c r="G2858" s="421" t="s">
        <v>2454</v>
      </c>
      <c r="H2858" s="676"/>
      <c r="I2858" s="459"/>
      <c r="J2858" s="459"/>
      <c r="K2858" s="427"/>
      <c r="L2858" s="688"/>
      <c r="M2858" s="457"/>
      <c r="N2858" s="458"/>
      <c r="O2858" s="458"/>
      <c r="P2858" s="688"/>
      <c r="Q2858" s="458"/>
      <c r="R2858" s="490"/>
      <c r="S2858" s="490"/>
      <c r="T2858" s="490"/>
      <c r="U2858" s="214">
        <f t="shared" si="1215"/>
        <v>0</v>
      </c>
      <c r="V2858" s="214">
        <f t="shared" si="1215"/>
        <v>0</v>
      </c>
      <c r="W2858" s="214">
        <f t="shared" si="1215"/>
        <v>0</v>
      </c>
      <c r="X2858" s="214">
        <f t="shared" si="1215"/>
        <v>0</v>
      </c>
      <c r="Y2858" s="214">
        <f t="shared" si="1215"/>
        <v>0</v>
      </c>
      <c r="Z2858" s="214">
        <f t="shared" si="1215"/>
        <v>0</v>
      </c>
      <c r="AA2858" s="214">
        <f t="shared" si="1215"/>
        <v>0</v>
      </c>
      <c r="AB2858" s="214">
        <f t="shared" si="1215"/>
        <v>0</v>
      </c>
      <c r="AC2858" s="214">
        <f t="shared" si="1215"/>
        <v>0</v>
      </c>
      <c r="AD2858" s="214">
        <f t="shared" si="1215"/>
        <v>0</v>
      </c>
      <c r="AE2858" s="214">
        <f t="shared" si="1216"/>
        <v>0</v>
      </c>
      <c r="AF2858" s="214">
        <f t="shared" si="1216"/>
        <v>0</v>
      </c>
      <c r="AG2858" s="214">
        <f t="shared" si="1216"/>
        <v>0</v>
      </c>
      <c r="AH2858" s="214">
        <f t="shared" si="1216"/>
        <v>0</v>
      </c>
      <c r="AI2858" s="214">
        <f t="shared" si="1216"/>
        <v>0</v>
      </c>
      <c r="AJ2858" s="214">
        <f t="shared" si="1216"/>
        <v>0</v>
      </c>
      <c r="AK2858" s="214">
        <f t="shared" si="1216"/>
        <v>0</v>
      </c>
      <c r="AL2858" s="214">
        <f t="shared" si="1216"/>
        <v>0</v>
      </c>
      <c r="AM2858" s="214">
        <f t="shared" si="1216"/>
        <v>0</v>
      </c>
      <c r="AN2858" s="214">
        <f t="shared" si="1216"/>
        <v>0</v>
      </c>
      <c r="AO2858" s="214">
        <f t="shared" si="1216"/>
        <v>0</v>
      </c>
      <c r="AP2858" s="214"/>
      <c r="AQ2858" s="214"/>
      <c r="AR2858" s="214"/>
      <c r="AS2858" s="214"/>
      <c r="AT2858" s="214"/>
      <c r="AU2858" s="214"/>
      <c r="AV2858" s="214"/>
      <c r="AW2858" s="214"/>
      <c r="AX2858" s="214"/>
      <c r="AY2858" s="214"/>
      <c r="AZ2858" s="214"/>
      <c r="BA2858" s="214"/>
      <c r="BB2858" s="214"/>
      <c r="BC2858" s="214"/>
      <c r="BD2858" s="214"/>
      <c r="BE2858" s="214"/>
      <c r="BF2858" s="214"/>
      <c r="BG2858" s="214"/>
      <c r="BH2858" s="214"/>
      <c r="BI2858" s="214"/>
      <c r="BJ2858" s="214"/>
      <c r="BK2858" s="214"/>
      <c r="BL2858" s="214"/>
      <c r="BM2858" s="214"/>
      <c r="BN2858" s="214"/>
      <c r="BO2858" s="214"/>
      <c r="BP2858" s="214"/>
      <c r="BQ2858" s="214"/>
      <c r="BR2858" s="214"/>
      <c r="BS2858" s="214"/>
      <c r="BT2858" s="214"/>
      <c r="BU2858" s="214"/>
      <c r="BV2858" s="214"/>
      <c r="BW2858" s="214"/>
      <c r="BX2858" s="214"/>
      <c r="BY2858" s="214"/>
      <c r="BZ2858" s="214"/>
      <c r="CA2858" s="214"/>
      <c r="CB2858" s="214"/>
      <c r="CC2858" s="214"/>
      <c r="CD2858" s="214"/>
      <c r="CE2858" s="225"/>
      <c r="CF2858" s="225"/>
      <c r="CG2858" s="225"/>
      <c r="CH2858" s="165"/>
      <c r="CI2858" s="225" t="s">
        <v>2679</v>
      </c>
      <c r="CJ2858" s="225"/>
      <c r="CK2858" s="225"/>
      <c r="CL2858" s="225"/>
      <c r="CM2858" s="224"/>
    </row>
    <row r="2859" spans="1:91">
      <c r="A2859" s="421"/>
      <c r="B2859" s="421"/>
      <c r="C2859" s="658" t="s">
        <v>2455</v>
      </c>
      <c r="D2859" s="705" t="s">
        <v>2439</v>
      </c>
      <c r="E2859" s="421"/>
      <c r="F2859" s="421"/>
      <c r="G2859" s="421" t="s">
        <v>2530</v>
      </c>
      <c r="H2859" s="676"/>
      <c r="I2859" s="459"/>
      <c r="J2859" s="459"/>
      <c r="K2859" s="427"/>
      <c r="L2859" s="688"/>
      <c r="M2859" s="457"/>
      <c r="N2859" s="458"/>
      <c r="O2859" s="458"/>
      <c r="P2859" s="688"/>
      <c r="Q2859" s="458"/>
      <c r="R2859" s="490"/>
      <c r="S2859" s="490"/>
      <c r="T2859" s="490"/>
      <c r="U2859" s="214">
        <f t="shared" si="1215"/>
        <v>0</v>
      </c>
      <c r="V2859" s="214">
        <f t="shared" si="1215"/>
        <v>14406.578406249999</v>
      </c>
      <c r="W2859" s="214">
        <f t="shared" si="1215"/>
        <v>0</v>
      </c>
      <c r="X2859" s="214">
        <f t="shared" si="1215"/>
        <v>14406.578406249999</v>
      </c>
      <c r="Y2859" s="214">
        <f t="shared" si="1215"/>
        <v>0</v>
      </c>
      <c r="Z2859" s="214">
        <f t="shared" si="1215"/>
        <v>19746.019410000001</v>
      </c>
      <c r="AA2859" s="214">
        <f t="shared" si="1215"/>
        <v>0</v>
      </c>
      <c r="AB2859" s="214">
        <f t="shared" si="1215"/>
        <v>19746.019410000001</v>
      </c>
      <c r="AC2859" s="214">
        <f t="shared" si="1215"/>
        <v>18497.791379999999</v>
      </c>
      <c r="AD2859" s="214">
        <f t="shared" si="1215"/>
        <v>10585.91562</v>
      </c>
      <c r="AE2859" s="214">
        <f t="shared" si="1216"/>
        <v>4783.5794999999998</v>
      </c>
      <c r="AF2859" s="214">
        <f t="shared" si="1216"/>
        <v>1384.5270799999998</v>
      </c>
      <c r="AG2859" s="214">
        <f t="shared" si="1216"/>
        <v>4300.1342299999997</v>
      </c>
      <c r="AH2859" s="214">
        <f t="shared" si="1216"/>
        <v>9339.9360099999994</v>
      </c>
      <c r="AI2859" s="214">
        <f t="shared" si="1216"/>
        <v>13740.822370000002</v>
      </c>
      <c r="AJ2859" s="214">
        <f t="shared" si="1216"/>
        <v>17507.166430000001</v>
      </c>
      <c r="AK2859" s="214">
        <f t="shared" si="1216"/>
        <v>20725.856940000001</v>
      </c>
      <c r="AL2859" s="214">
        <f t="shared" si="1216"/>
        <v>23439.086370000005</v>
      </c>
      <c r="AM2859" s="214">
        <f t="shared" si="1216"/>
        <v>25232.856390000001</v>
      </c>
      <c r="AN2859" s="214">
        <f t="shared" si="1216"/>
        <v>22717.15454</v>
      </c>
      <c r="AO2859" s="214">
        <f t="shared" si="1216"/>
        <v>19746.019410000001</v>
      </c>
      <c r="AP2859" s="214"/>
      <c r="AQ2859" s="214"/>
      <c r="AR2859" s="214"/>
      <c r="AS2859" s="214"/>
      <c r="AT2859" s="214"/>
      <c r="AU2859" s="214"/>
      <c r="AV2859" s="214"/>
      <c r="AW2859" s="214"/>
      <c r="AX2859" s="214"/>
      <c r="AY2859" s="214"/>
      <c r="AZ2859" s="214"/>
      <c r="BA2859" s="214"/>
      <c r="BB2859" s="214"/>
      <c r="BC2859" s="214"/>
      <c r="BD2859" s="214"/>
      <c r="BE2859" s="214"/>
      <c r="BF2859" s="214"/>
      <c r="BG2859" s="214"/>
      <c r="BH2859" s="214"/>
      <c r="BI2859" s="214"/>
      <c r="BJ2859" s="214"/>
      <c r="BK2859" s="214"/>
      <c r="BL2859" s="214"/>
      <c r="BM2859" s="214"/>
      <c r="BN2859" s="214"/>
      <c r="BO2859" s="214"/>
      <c r="BP2859" s="214"/>
      <c r="BQ2859" s="214"/>
      <c r="BR2859" s="214"/>
      <c r="BS2859" s="214"/>
      <c r="BT2859" s="214"/>
      <c r="BU2859" s="214"/>
      <c r="BV2859" s="214"/>
      <c r="BW2859" s="214"/>
      <c r="BX2859" s="214"/>
      <c r="BY2859" s="214"/>
      <c r="BZ2859" s="214"/>
      <c r="CA2859" s="214"/>
      <c r="CB2859" s="214"/>
      <c r="CC2859" s="214"/>
      <c r="CD2859" s="214"/>
      <c r="CE2859" s="225"/>
      <c r="CF2859" s="225"/>
      <c r="CG2859" s="225"/>
      <c r="CH2859" s="165"/>
      <c r="CI2859" s="225" t="s">
        <v>2679</v>
      </c>
      <c r="CJ2859" s="225"/>
      <c r="CK2859" s="225"/>
      <c r="CL2859" s="225"/>
      <c r="CM2859" s="224"/>
    </row>
    <row r="2860" spans="1:91">
      <c r="A2860" s="421"/>
      <c r="B2860" s="421"/>
      <c r="C2860" s="658" t="s">
        <v>2456</v>
      </c>
      <c r="D2860" s="705" t="s">
        <v>2439</v>
      </c>
      <c r="E2860" s="421"/>
      <c r="F2860" s="421"/>
      <c r="G2860" s="421" t="s">
        <v>2457</v>
      </c>
      <c r="H2860" s="676"/>
      <c r="I2860" s="459"/>
      <c r="J2860" s="459"/>
      <c r="K2860" s="427"/>
      <c r="L2860" s="688"/>
      <c r="M2860" s="457"/>
      <c r="N2860" s="458"/>
      <c r="O2860" s="458"/>
      <c r="P2860" s="688"/>
      <c r="Q2860" s="458"/>
      <c r="R2860" s="490"/>
      <c r="S2860" s="490"/>
      <c r="T2860" s="490"/>
      <c r="U2860" s="214">
        <f t="shared" si="1215"/>
        <v>7743.8344308377082</v>
      </c>
      <c r="V2860" s="214">
        <f t="shared" si="1215"/>
        <v>2700.9451220789583</v>
      </c>
      <c r="W2860" s="214">
        <f t="shared" si="1215"/>
        <v>0</v>
      </c>
      <c r="X2860" s="214">
        <f t="shared" si="1215"/>
        <v>10444.779552916667</v>
      </c>
      <c r="Y2860" s="214">
        <f t="shared" si="1215"/>
        <v>7741.1661705850001</v>
      </c>
      <c r="Z2860" s="214">
        <f t="shared" si="1215"/>
        <v>2700.0149194149999</v>
      </c>
      <c r="AA2860" s="214">
        <f t="shared" si="1215"/>
        <v>0</v>
      </c>
      <c r="AB2860" s="214">
        <f t="shared" si="1215"/>
        <v>10441.181090000002</v>
      </c>
      <c r="AC2860" s="214">
        <f t="shared" si="1215"/>
        <v>10218.283020000001</v>
      </c>
      <c r="AD2860" s="214">
        <f t="shared" si="1215"/>
        <v>10278.23503</v>
      </c>
      <c r="AE2860" s="214">
        <f t="shared" si="1216"/>
        <v>10016.178700000002</v>
      </c>
      <c r="AF2860" s="214">
        <f t="shared" si="1216"/>
        <v>10062.33761</v>
      </c>
      <c r="AG2860" s="214">
        <f t="shared" si="1216"/>
        <v>10576.31439</v>
      </c>
      <c r="AH2860" s="214">
        <f t="shared" si="1216"/>
        <v>10870.36447</v>
      </c>
      <c r="AI2860" s="214">
        <f t="shared" si="1216"/>
        <v>10937.94851</v>
      </c>
      <c r="AJ2860" s="214">
        <f t="shared" si="1216"/>
        <v>11047.911110000001</v>
      </c>
      <c r="AK2860" s="214">
        <f t="shared" si="1216"/>
        <v>10435.009610000001</v>
      </c>
      <c r="AL2860" s="214">
        <f t="shared" si="1216"/>
        <v>10462.236080000001</v>
      </c>
      <c r="AM2860" s="214">
        <f t="shared" si="1216"/>
        <v>10196.524850000002</v>
      </c>
      <c r="AN2860" s="214">
        <f t="shared" si="1216"/>
        <v>10124.56222</v>
      </c>
      <c r="AO2860" s="214">
        <f t="shared" si="1216"/>
        <v>10441.181090000002</v>
      </c>
      <c r="AP2860" s="214"/>
      <c r="AQ2860" s="214"/>
      <c r="AR2860" s="214"/>
      <c r="AS2860" s="214"/>
      <c r="AT2860" s="214"/>
      <c r="AU2860" s="214"/>
      <c r="AV2860" s="214"/>
      <c r="AW2860" s="214"/>
      <c r="AX2860" s="214"/>
      <c r="AY2860" s="214"/>
      <c r="AZ2860" s="214"/>
      <c r="BA2860" s="214"/>
      <c r="BB2860" s="214"/>
      <c r="BC2860" s="214"/>
      <c r="BD2860" s="214"/>
      <c r="BE2860" s="214"/>
      <c r="BF2860" s="214"/>
      <c r="BG2860" s="214"/>
      <c r="BH2860" s="214"/>
      <c r="BI2860" s="214"/>
      <c r="BJ2860" s="214"/>
      <c r="BK2860" s="214"/>
      <c r="BL2860" s="214"/>
      <c r="BM2860" s="214"/>
      <c r="BN2860" s="214"/>
      <c r="BO2860" s="214"/>
      <c r="BP2860" s="214"/>
      <c r="BQ2860" s="214"/>
      <c r="BR2860" s="214"/>
      <c r="BS2860" s="214"/>
      <c r="BT2860" s="214"/>
      <c r="BU2860" s="214"/>
      <c r="BV2860" s="214"/>
      <c r="BW2860" s="214"/>
      <c r="BX2860" s="214"/>
      <c r="BY2860" s="214"/>
      <c r="BZ2860" s="214"/>
      <c r="CA2860" s="214"/>
      <c r="CB2860" s="214"/>
      <c r="CC2860" s="214"/>
      <c r="CD2860" s="214"/>
      <c r="CE2860" s="225"/>
      <c r="CF2860" s="225"/>
      <c r="CG2860" s="225"/>
      <c r="CH2860" s="165"/>
      <c r="CI2860" s="225" t="s">
        <v>2679</v>
      </c>
      <c r="CJ2860" s="225"/>
      <c r="CK2860" s="225"/>
      <c r="CL2860" s="225"/>
      <c r="CM2860" s="224"/>
    </row>
    <row r="2861" spans="1:91">
      <c r="A2861" s="421"/>
      <c r="B2861" s="421"/>
      <c r="C2861" s="658" t="s">
        <v>2458</v>
      </c>
      <c r="D2861" s="705" t="s">
        <v>2439</v>
      </c>
      <c r="E2861" s="421"/>
      <c r="F2861" s="421"/>
      <c r="G2861" s="421" t="s">
        <v>2459</v>
      </c>
      <c r="H2861" s="676"/>
      <c r="I2861" s="459"/>
      <c r="J2861" s="459"/>
      <c r="K2861" s="427"/>
      <c r="L2861" s="688"/>
      <c r="M2861" s="457"/>
      <c r="N2861" s="458"/>
      <c r="O2861" s="458"/>
      <c r="P2861" s="688"/>
      <c r="Q2861" s="458"/>
      <c r="R2861" s="490"/>
      <c r="S2861" s="490"/>
      <c r="T2861" s="490"/>
      <c r="U2861" s="214">
        <f t="shared" si="1215"/>
        <v>28836.65900937044</v>
      </c>
      <c r="V2861" s="214">
        <f t="shared" si="1215"/>
        <v>11478.118161462866</v>
      </c>
      <c r="W2861" s="214">
        <f t="shared" si="1215"/>
        <v>0</v>
      </c>
      <c r="X2861" s="214">
        <f t="shared" si="1215"/>
        <v>40314.777170833338</v>
      </c>
      <c r="Y2861" s="214">
        <f t="shared" si="1215"/>
        <v>25289.745690359949</v>
      </c>
      <c r="Z2861" s="214">
        <f t="shared" si="1215"/>
        <v>9998.8060396400524</v>
      </c>
      <c r="AA2861" s="214">
        <f t="shared" si="1215"/>
        <v>0</v>
      </c>
      <c r="AB2861" s="214">
        <f t="shared" si="1215"/>
        <v>35288.551729999999</v>
      </c>
      <c r="AC2861" s="214">
        <f t="shared" si="1215"/>
        <v>33667.017270000004</v>
      </c>
      <c r="AD2861" s="214">
        <f t="shared" si="1215"/>
        <v>49295.093390000002</v>
      </c>
      <c r="AE2861" s="214">
        <f t="shared" si="1216"/>
        <v>40990.641880000003</v>
      </c>
      <c r="AF2861" s="214">
        <f t="shared" si="1216"/>
        <v>44438.982220000005</v>
      </c>
      <c r="AG2861" s="214">
        <f t="shared" si="1216"/>
        <v>36029.723700000002</v>
      </c>
      <c r="AH2861" s="214">
        <f t="shared" si="1216"/>
        <v>27400.487980000002</v>
      </c>
      <c r="AI2861" s="214">
        <f t="shared" si="1216"/>
        <v>19566.56321</v>
      </c>
      <c r="AJ2861" s="214">
        <f t="shared" si="1216"/>
        <v>40774.934740000004</v>
      </c>
      <c r="AK2861" s="214">
        <f t="shared" si="1216"/>
        <v>35311.647319999996</v>
      </c>
      <c r="AL2861" s="214">
        <f t="shared" si="1216"/>
        <v>59455.844429999997</v>
      </c>
      <c r="AM2861" s="214">
        <f t="shared" si="1216"/>
        <v>52329.983810000005</v>
      </c>
      <c r="AN2861" s="214">
        <f t="shared" si="1216"/>
        <v>43705.638870000002</v>
      </c>
      <c r="AO2861" s="214">
        <f t="shared" si="1216"/>
        <v>35288.551729999999</v>
      </c>
      <c r="AP2861" s="214"/>
      <c r="AQ2861" s="214"/>
      <c r="AR2861" s="214"/>
      <c r="AS2861" s="214"/>
      <c r="AT2861" s="214"/>
      <c r="AU2861" s="214"/>
      <c r="AV2861" s="214"/>
      <c r="AW2861" s="214"/>
      <c r="AX2861" s="214"/>
      <c r="AY2861" s="214"/>
      <c r="AZ2861" s="214"/>
      <c r="BA2861" s="214"/>
      <c r="BB2861" s="214"/>
      <c r="BC2861" s="214"/>
      <c r="BD2861" s="214"/>
      <c r="BE2861" s="214"/>
      <c r="BF2861" s="214"/>
      <c r="BG2861" s="214"/>
      <c r="BH2861" s="214"/>
      <c r="BI2861" s="214"/>
      <c r="BJ2861" s="214"/>
      <c r="BK2861" s="214"/>
      <c r="BL2861" s="214"/>
      <c r="BM2861" s="214"/>
      <c r="BN2861" s="214"/>
      <c r="BO2861" s="214"/>
      <c r="BP2861" s="214"/>
      <c r="BQ2861" s="214"/>
      <c r="BR2861" s="214"/>
      <c r="BS2861" s="214"/>
      <c r="BT2861" s="214"/>
      <c r="BU2861" s="214"/>
      <c r="BV2861" s="214"/>
      <c r="BW2861" s="214"/>
      <c r="BX2861" s="214"/>
      <c r="BY2861" s="214"/>
      <c r="BZ2861" s="214"/>
      <c r="CA2861" s="214"/>
      <c r="CB2861" s="214"/>
      <c r="CC2861" s="214"/>
      <c r="CD2861" s="214"/>
      <c r="CE2861" s="225"/>
      <c r="CF2861" s="225"/>
      <c r="CG2861" s="225"/>
      <c r="CH2861" s="165"/>
      <c r="CI2861" s="225" t="s">
        <v>2679</v>
      </c>
      <c r="CJ2861" s="225"/>
      <c r="CK2861" s="225"/>
      <c r="CL2861" s="225"/>
      <c r="CM2861" s="224"/>
    </row>
    <row r="2862" spans="1:91">
      <c r="A2862" s="421"/>
      <c r="B2862" s="421"/>
      <c r="C2862" s="658" t="s">
        <v>2460</v>
      </c>
      <c r="D2862" s="705" t="s">
        <v>2439</v>
      </c>
      <c r="E2862" s="421"/>
      <c r="F2862" s="421"/>
      <c r="G2862" s="421" t="s">
        <v>2461</v>
      </c>
      <c r="H2862" s="676"/>
      <c r="I2862" s="459"/>
      <c r="J2862" s="459"/>
      <c r="K2862" s="427"/>
      <c r="L2862" s="688"/>
      <c r="M2862" s="457"/>
      <c r="N2862" s="458"/>
      <c r="O2862" s="458"/>
      <c r="P2862" s="688"/>
      <c r="Q2862" s="458"/>
      <c r="R2862" s="490"/>
      <c r="S2862" s="490"/>
      <c r="T2862" s="490"/>
      <c r="U2862" s="214">
        <f t="shared" si="1215"/>
        <v>0</v>
      </c>
      <c r="V2862" s="214">
        <f t="shared" si="1215"/>
        <v>0</v>
      </c>
      <c r="W2862" s="214">
        <f t="shared" si="1215"/>
        <v>0</v>
      </c>
      <c r="X2862" s="214">
        <f t="shared" si="1215"/>
        <v>0</v>
      </c>
      <c r="Y2862" s="214">
        <f t="shared" si="1215"/>
        <v>0</v>
      </c>
      <c r="Z2862" s="214">
        <f t="shared" si="1215"/>
        <v>0</v>
      </c>
      <c r="AA2862" s="214">
        <f t="shared" si="1215"/>
        <v>0</v>
      </c>
      <c r="AB2862" s="214">
        <f t="shared" si="1215"/>
        <v>0</v>
      </c>
      <c r="AC2862" s="214">
        <f t="shared" si="1215"/>
        <v>0</v>
      </c>
      <c r="AD2862" s="214">
        <f t="shared" si="1215"/>
        <v>0</v>
      </c>
      <c r="AE2862" s="214">
        <f t="shared" si="1216"/>
        <v>0</v>
      </c>
      <c r="AF2862" s="214">
        <f t="shared" si="1216"/>
        <v>0</v>
      </c>
      <c r="AG2862" s="214">
        <f t="shared" si="1216"/>
        <v>0</v>
      </c>
      <c r="AH2862" s="214">
        <f t="shared" si="1216"/>
        <v>0</v>
      </c>
      <c r="AI2862" s="214">
        <f t="shared" si="1216"/>
        <v>0</v>
      </c>
      <c r="AJ2862" s="214">
        <f t="shared" si="1216"/>
        <v>0</v>
      </c>
      <c r="AK2862" s="214">
        <f t="shared" si="1216"/>
        <v>0</v>
      </c>
      <c r="AL2862" s="214">
        <f t="shared" si="1216"/>
        <v>0</v>
      </c>
      <c r="AM2862" s="214">
        <f t="shared" si="1216"/>
        <v>0</v>
      </c>
      <c r="AN2862" s="214">
        <f t="shared" si="1216"/>
        <v>0</v>
      </c>
      <c r="AO2862" s="214">
        <f t="shared" si="1216"/>
        <v>0</v>
      </c>
      <c r="AP2862" s="214"/>
      <c r="AQ2862" s="214"/>
      <c r="AR2862" s="214"/>
      <c r="AS2862" s="214"/>
      <c r="AT2862" s="214"/>
      <c r="AU2862" s="214"/>
      <c r="AV2862" s="214"/>
      <c r="AW2862" s="214"/>
      <c r="AX2862" s="214"/>
      <c r="AY2862" s="214"/>
      <c r="AZ2862" s="214"/>
      <c r="BA2862" s="214"/>
      <c r="BB2862" s="214"/>
      <c r="BC2862" s="214"/>
      <c r="BD2862" s="214"/>
      <c r="BE2862" s="214"/>
      <c r="BF2862" s="214"/>
      <c r="BG2862" s="214"/>
      <c r="BH2862" s="214"/>
      <c r="BI2862" s="214"/>
      <c r="BJ2862" s="214"/>
      <c r="BK2862" s="214"/>
      <c r="BL2862" s="214"/>
      <c r="BM2862" s="214"/>
      <c r="BN2862" s="214"/>
      <c r="BO2862" s="214"/>
      <c r="BP2862" s="214"/>
      <c r="BQ2862" s="214"/>
      <c r="BR2862" s="214"/>
      <c r="BS2862" s="214"/>
      <c r="BT2862" s="214"/>
      <c r="BU2862" s="214"/>
      <c r="BV2862" s="214"/>
      <c r="BW2862" s="214"/>
      <c r="BX2862" s="214"/>
      <c r="BY2862" s="214"/>
      <c r="BZ2862" s="214"/>
      <c r="CA2862" s="214"/>
      <c r="CB2862" s="214"/>
      <c r="CC2862" s="214"/>
      <c r="CD2862" s="214"/>
      <c r="CE2862" s="225"/>
      <c r="CF2862" s="225"/>
      <c r="CG2862" s="225"/>
      <c r="CH2862" s="165"/>
      <c r="CI2862" s="225" t="s">
        <v>2679</v>
      </c>
      <c r="CJ2862" s="225"/>
      <c r="CK2862" s="225"/>
      <c r="CL2862" s="225"/>
      <c r="CM2862" s="224"/>
    </row>
    <row r="2863" spans="1:91">
      <c r="A2863" s="421"/>
      <c r="B2863" s="421"/>
      <c r="C2863" s="658" t="s">
        <v>2462</v>
      </c>
      <c r="D2863" s="705" t="s">
        <v>2439</v>
      </c>
      <c r="E2863" s="421"/>
      <c r="F2863" s="421"/>
      <c r="G2863" s="421" t="s">
        <v>2463</v>
      </c>
      <c r="H2863" s="676"/>
      <c r="I2863" s="459"/>
      <c r="J2863" s="459"/>
      <c r="K2863" s="427"/>
      <c r="L2863" s="688"/>
      <c r="M2863" s="457"/>
      <c r="N2863" s="458"/>
      <c r="O2863" s="458"/>
      <c r="P2863" s="688"/>
      <c r="Q2863" s="458"/>
      <c r="R2863" s="490"/>
      <c r="S2863" s="490"/>
      <c r="T2863" s="490"/>
      <c r="U2863" s="214">
        <f t="shared" si="1215"/>
        <v>0</v>
      </c>
      <c r="V2863" s="214">
        <f t="shared" si="1215"/>
        <v>0</v>
      </c>
      <c r="W2863" s="214">
        <f t="shared" si="1215"/>
        <v>0</v>
      </c>
      <c r="X2863" s="214">
        <f t="shared" si="1215"/>
        <v>0</v>
      </c>
      <c r="Y2863" s="214">
        <f t="shared" si="1215"/>
        <v>0</v>
      </c>
      <c r="Z2863" s="214">
        <f t="shared" si="1215"/>
        <v>0</v>
      </c>
      <c r="AA2863" s="214">
        <f t="shared" si="1215"/>
        <v>0</v>
      </c>
      <c r="AB2863" s="214">
        <f t="shared" si="1215"/>
        <v>0</v>
      </c>
      <c r="AC2863" s="214">
        <f t="shared" si="1215"/>
        <v>0</v>
      </c>
      <c r="AD2863" s="214">
        <f t="shared" si="1215"/>
        <v>0</v>
      </c>
      <c r="AE2863" s="214">
        <f t="shared" si="1216"/>
        <v>0</v>
      </c>
      <c r="AF2863" s="214">
        <f t="shared" si="1216"/>
        <v>0</v>
      </c>
      <c r="AG2863" s="214">
        <f t="shared" si="1216"/>
        <v>0</v>
      </c>
      <c r="AH2863" s="214">
        <f t="shared" si="1216"/>
        <v>0</v>
      </c>
      <c r="AI2863" s="214">
        <f t="shared" si="1216"/>
        <v>0</v>
      </c>
      <c r="AJ2863" s="214">
        <f t="shared" si="1216"/>
        <v>0</v>
      </c>
      <c r="AK2863" s="214">
        <f t="shared" si="1216"/>
        <v>0</v>
      </c>
      <c r="AL2863" s="214">
        <f t="shared" si="1216"/>
        <v>0</v>
      </c>
      <c r="AM2863" s="214">
        <f t="shared" si="1216"/>
        <v>0</v>
      </c>
      <c r="AN2863" s="214">
        <f t="shared" si="1216"/>
        <v>0</v>
      </c>
      <c r="AO2863" s="214">
        <f t="shared" si="1216"/>
        <v>0</v>
      </c>
      <c r="AP2863" s="214"/>
      <c r="AQ2863" s="214"/>
      <c r="AR2863" s="214"/>
      <c r="AS2863" s="214"/>
      <c r="AT2863" s="214"/>
      <c r="AU2863" s="214"/>
      <c r="AV2863" s="214"/>
      <c r="AW2863" s="214"/>
      <c r="AX2863" s="214"/>
      <c r="AY2863" s="214"/>
      <c r="AZ2863" s="214"/>
      <c r="BA2863" s="214"/>
      <c r="BB2863" s="214"/>
      <c r="BC2863" s="214"/>
      <c r="BD2863" s="214"/>
      <c r="BE2863" s="214"/>
      <c r="BF2863" s="214"/>
      <c r="BG2863" s="214"/>
      <c r="BH2863" s="214"/>
      <c r="BI2863" s="214"/>
      <c r="BJ2863" s="214"/>
      <c r="BK2863" s="214"/>
      <c r="BL2863" s="214"/>
      <c r="BM2863" s="214"/>
      <c r="BN2863" s="214"/>
      <c r="BO2863" s="214"/>
      <c r="BP2863" s="214"/>
      <c r="BQ2863" s="214"/>
      <c r="BR2863" s="214"/>
      <c r="BS2863" s="214"/>
      <c r="BT2863" s="214"/>
      <c r="BU2863" s="214"/>
      <c r="BV2863" s="214"/>
      <c r="BW2863" s="214"/>
      <c r="BX2863" s="214"/>
      <c r="BY2863" s="214"/>
      <c r="BZ2863" s="214"/>
      <c r="CA2863" s="214"/>
      <c r="CB2863" s="214"/>
      <c r="CC2863" s="214"/>
      <c r="CD2863" s="214"/>
      <c r="CE2863" s="225"/>
      <c r="CF2863" s="225"/>
      <c r="CG2863" s="225"/>
      <c r="CH2863" s="165"/>
      <c r="CI2863" s="225" t="s">
        <v>2679</v>
      </c>
      <c r="CJ2863" s="225"/>
      <c r="CK2863" s="225"/>
      <c r="CL2863" s="225"/>
      <c r="CM2863" s="224"/>
    </row>
    <row r="2864" spans="1:91">
      <c r="A2864" s="421"/>
      <c r="B2864" s="421"/>
      <c r="C2864" s="658" t="s">
        <v>2441</v>
      </c>
      <c r="D2864" s="705" t="s">
        <v>2439</v>
      </c>
      <c r="E2864" s="421"/>
      <c r="F2864" s="421"/>
      <c r="G2864" s="421" t="s">
        <v>2442</v>
      </c>
      <c r="H2864" s="676"/>
      <c r="I2864" s="459"/>
      <c r="J2864" s="459"/>
      <c r="K2864" s="427"/>
      <c r="L2864" s="688"/>
      <c r="M2864" s="457"/>
      <c r="N2864" s="458"/>
      <c r="O2864" s="458"/>
      <c r="P2864" s="688"/>
      <c r="Q2864" s="458"/>
      <c r="R2864" s="490"/>
      <c r="S2864" s="490"/>
      <c r="T2864" s="490"/>
      <c r="U2864" s="214">
        <f t="shared" si="1215"/>
        <v>-129641.8174323335</v>
      </c>
      <c r="V2864" s="214">
        <f t="shared" si="1215"/>
        <v>40358.938613167338</v>
      </c>
      <c r="W2864" s="214">
        <f t="shared" si="1215"/>
        <v>0</v>
      </c>
      <c r="X2864" s="214">
        <f t="shared" si="1215"/>
        <v>-89282.878819166159</v>
      </c>
      <c r="Y2864" s="214">
        <f t="shared" si="1215"/>
        <v>-135305.11586301963</v>
      </c>
      <c r="Z2864" s="214">
        <f t="shared" si="1215"/>
        <v>51785.51520301964</v>
      </c>
      <c r="AA2864" s="214">
        <f t="shared" si="1215"/>
        <v>0</v>
      </c>
      <c r="AB2864" s="214">
        <f t="shared" si="1215"/>
        <v>-83519.600659999967</v>
      </c>
      <c r="AC2864" s="214">
        <f t="shared" si="1215"/>
        <v>-70303.588999999789</v>
      </c>
      <c r="AD2864" s="214">
        <f t="shared" si="1215"/>
        <v>-88273.080200000011</v>
      </c>
      <c r="AE2864" s="214">
        <f t="shared" si="1216"/>
        <v>-93758.617229999902</v>
      </c>
      <c r="AF2864" s="214">
        <f t="shared" si="1216"/>
        <v>-100574.94093999996</v>
      </c>
      <c r="AG2864" s="214">
        <f t="shared" si="1216"/>
        <v>-88139.154109999989</v>
      </c>
      <c r="AH2864" s="214">
        <f t="shared" si="1216"/>
        <v>-91574.635500000019</v>
      </c>
      <c r="AI2864" s="214">
        <f t="shared" si="1216"/>
        <v>-89890.84100999996</v>
      </c>
      <c r="AJ2864" s="214">
        <f t="shared" si="1216"/>
        <v>-82914.349229999934</v>
      </c>
      <c r="AK2864" s="214">
        <f t="shared" si="1216"/>
        <v>-85211.987269999925</v>
      </c>
      <c r="AL2864" s="214">
        <f t="shared" si="1216"/>
        <v>-91613.374709999975</v>
      </c>
      <c r="AM2864" s="214">
        <f t="shared" si="1216"/>
        <v>-88730.119419999945</v>
      </c>
      <c r="AN2864" s="214">
        <f t="shared" si="1216"/>
        <v>-93801.851380000066</v>
      </c>
      <c r="AO2864" s="214">
        <f t="shared" si="1216"/>
        <v>-83519.600659999967</v>
      </c>
      <c r="AP2864" s="214"/>
      <c r="AQ2864" s="214"/>
      <c r="AR2864" s="214"/>
      <c r="AS2864" s="214"/>
      <c r="AT2864" s="214"/>
      <c r="AU2864" s="214"/>
      <c r="AV2864" s="214"/>
      <c r="AW2864" s="214"/>
      <c r="AX2864" s="214"/>
      <c r="AY2864" s="214"/>
      <c r="AZ2864" s="214"/>
      <c r="BA2864" s="214"/>
      <c r="BB2864" s="214"/>
      <c r="BC2864" s="214"/>
      <c r="BD2864" s="214"/>
      <c r="BE2864" s="214"/>
      <c r="BF2864" s="214"/>
      <c r="BG2864" s="214"/>
      <c r="BH2864" s="214"/>
      <c r="BI2864" s="214"/>
      <c r="BJ2864" s="214"/>
      <c r="BK2864" s="214"/>
      <c r="BL2864" s="214"/>
      <c r="BM2864" s="214"/>
      <c r="BN2864" s="214"/>
      <c r="BO2864" s="214"/>
      <c r="BP2864" s="214"/>
      <c r="BQ2864" s="214"/>
      <c r="BR2864" s="214"/>
      <c r="BS2864" s="214"/>
      <c r="BT2864" s="214"/>
      <c r="BU2864" s="214"/>
      <c r="BV2864" s="214"/>
      <c r="BW2864" s="214"/>
      <c r="BX2864" s="214"/>
      <c r="BY2864" s="214"/>
      <c r="BZ2864" s="214"/>
      <c r="CA2864" s="214"/>
      <c r="CB2864" s="214"/>
      <c r="CC2864" s="214"/>
      <c r="CD2864" s="214"/>
      <c r="CE2864" s="225"/>
      <c r="CF2864" s="225"/>
      <c r="CG2864" s="225"/>
      <c r="CH2864" s="165"/>
      <c r="CI2864" s="225" t="s">
        <v>2679</v>
      </c>
      <c r="CJ2864" s="225"/>
      <c r="CK2864" s="225"/>
      <c r="CL2864" s="225"/>
      <c r="CM2864" s="224"/>
    </row>
    <row r="2865" spans="1:91">
      <c r="A2865" s="421"/>
      <c r="B2865" s="421"/>
      <c r="C2865" s="658" t="s">
        <v>2443</v>
      </c>
      <c r="D2865" s="705" t="s">
        <v>2439</v>
      </c>
      <c r="E2865" s="421"/>
      <c r="F2865" s="421"/>
      <c r="G2865" s="421" t="s">
        <v>2444</v>
      </c>
      <c r="H2865" s="676"/>
      <c r="I2865" s="459"/>
      <c r="J2865" s="459"/>
      <c r="K2865" s="427"/>
      <c r="L2865" s="688"/>
      <c r="M2865" s="457"/>
      <c r="N2865" s="458"/>
      <c r="O2865" s="458"/>
      <c r="P2865" s="688"/>
      <c r="Q2865" s="458"/>
      <c r="R2865" s="490"/>
      <c r="S2865" s="490"/>
      <c r="T2865" s="490"/>
      <c r="U2865" s="214">
        <f t="shared" si="1215"/>
        <v>-233484.5373112279</v>
      </c>
      <c r="V2865" s="214">
        <f t="shared" si="1215"/>
        <v>-101341.56931793877</v>
      </c>
      <c r="W2865" s="214">
        <f t="shared" si="1215"/>
        <v>0</v>
      </c>
      <c r="X2865" s="214">
        <f t="shared" si="1215"/>
        <v>-334826.10662916646</v>
      </c>
      <c r="Y2865" s="214">
        <f t="shared" si="1215"/>
        <v>-239559.26103068492</v>
      </c>
      <c r="Z2865" s="214">
        <f t="shared" si="1215"/>
        <v>-108603.50440931504</v>
      </c>
      <c r="AA2865" s="214">
        <f t="shared" si="1215"/>
        <v>0</v>
      </c>
      <c r="AB2865" s="214">
        <f t="shared" si="1215"/>
        <v>-348162.76543999993</v>
      </c>
      <c r="AC2865" s="214">
        <f t="shared" si="1215"/>
        <v>-336574.76487999957</v>
      </c>
      <c r="AD2865" s="214">
        <f t="shared" si="1215"/>
        <v>-332597.76011999976</v>
      </c>
      <c r="AE2865" s="214">
        <f t="shared" si="1216"/>
        <v>-330728.68157999974</v>
      </c>
      <c r="AF2865" s="214">
        <f t="shared" si="1216"/>
        <v>-329440.44097999984</v>
      </c>
      <c r="AG2865" s="214">
        <f t="shared" si="1216"/>
        <v>-331534.4009999999</v>
      </c>
      <c r="AH2865" s="214">
        <f t="shared" si="1216"/>
        <v>-333280.72300999949</v>
      </c>
      <c r="AI2865" s="214">
        <f t="shared" si="1216"/>
        <v>-334033.08146999992</v>
      </c>
      <c r="AJ2865" s="214">
        <f t="shared" si="1216"/>
        <v>-335191.63944999978</v>
      </c>
      <c r="AK2865" s="214">
        <f t="shared" si="1216"/>
        <v>-338574.12980000011</v>
      </c>
      <c r="AL2865" s="214">
        <f t="shared" si="1216"/>
        <v>-330995.06185999978</v>
      </c>
      <c r="AM2865" s="214">
        <f t="shared" si="1216"/>
        <v>-341706.43555999978</v>
      </c>
      <c r="AN2865" s="214">
        <f t="shared" si="1216"/>
        <v>-337462.15955999971</v>
      </c>
      <c r="AO2865" s="214">
        <f t="shared" si="1216"/>
        <v>-348162.76543999993</v>
      </c>
      <c r="AP2865" s="214"/>
      <c r="AQ2865" s="214"/>
      <c r="AR2865" s="214"/>
      <c r="AS2865" s="214"/>
      <c r="AT2865" s="214"/>
      <c r="AU2865" s="214"/>
      <c r="AV2865" s="214"/>
      <c r="AW2865" s="214"/>
      <c r="AX2865" s="214"/>
      <c r="AY2865" s="214"/>
      <c r="AZ2865" s="214"/>
      <c r="BA2865" s="214"/>
      <c r="BB2865" s="214"/>
      <c r="BC2865" s="214"/>
      <c r="BD2865" s="214"/>
      <c r="BE2865" s="214"/>
      <c r="BF2865" s="214"/>
      <c r="BG2865" s="214"/>
      <c r="BH2865" s="214"/>
      <c r="BI2865" s="214"/>
      <c r="BJ2865" s="214"/>
      <c r="BK2865" s="214"/>
      <c r="BL2865" s="214"/>
      <c r="BM2865" s="214"/>
      <c r="BN2865" s="214"/>
      <c r="BO2865" s="214"/>
      <c r="BP2865" s="214"/>
      <c r="BQ2865" s="214"/>
      <c r="BR2865" s="214"/>
      <c r="BS2865" s="214"/>
      <c r="BT2865" s="214"/>
      <c r="BU2865" s="214"/>
      <c r="BV2865" s="214"/>
      <c r="BW2865" s="214"/>
      <c r="BX2865" s="214"/>
      <c r="BY2865" s="214"/>
      <c r="BZ2865" s="214"/>
      <c r="CA2865" s="214"/>
      <c r="CB2865" s="214"/>
      <c r="CC2865" s="214"/>
      <c r="CD2865" s="214"/>
      <c r="CE2865" s="225"/>
      <c r="CF2865" s="225"/>
      <c r="CG2865" s="225"/>
      <c r="CH2865" s="165"/>
      <c r="CI2865" s="225" t="s">
        <v>2679</v>
      </c>
      <c r="CJ2865" s="225"/>
      <c r="CK2865" s="225"/>
      <c r="CL2865" s="225"/>
      <c r="CM2865" s="224"/>
    </row>
    <row r="2866" spans="1:91">
      <c r="A2866" s="421"/>
      <c r="B2866" s="421"/>
      <c r="C2866" s="658" t="s">
        <v>2445</v>
      </c>
      <c r="D2866" s="705" t="s">
        <v>2439</v>
      </c>
      <c r="E2866" s="421"/>
      <c r="F2866" s="421"/>
      <c r="G2866" s="421" t="s">
        <v>2446</v>
      </c>
      <c r="H2866" s="676"/>
      <c r="I2866" s="459"/>
      <c r="J2866" s="459"/>
      <c r="K2866" s="427"/>
      <c r="L2866" s="688"/>
      <c r="M2866" s="457"/>
      <c r="N2866" s="458"/>
      <c r="O2866" s="458"/>
      <c r="P2866" s="688"/>
      <c r="Q2866" s="458"/>
      <c r="R2866" s="490"/>
      <c r="S2866" s="490"/>
      <c r="T2866" s="490"/>
      <c r="U2866" s="214">
        <f t="shared" si="1215"/>
        <v>-133.22398125000001</v>
      </c>
      <c r="V2866" s="214">
        <f t="shared" si="1215"/>
        <v>-72.327220416666606</v>
      </c>
      <c r="W2866" s="214">
        <f t="shared" si="1215"/>
        <v>0</v>
      </c>
      <c r="X2866" s="214">
        <f t="shared" si="1215"/>
        <v>-205.5512016666666</v>
      </c>
      <c r="Y2866" s="214">
        <f t="shared" si="1215"/>
        <v>0</v>
      </c>
      <c r="Z2866" s="214">
        <f t="shared" si="1215"/>
        <v>0</v>
      </c>
      <c r="AA2866" s="214">
        <f t="shared" si="1215"/>
        <v>0</v>
      </c>
      <c r="AB2866" s="214">
        <f t="shared" si="1215"/>
        <v>0</v>
      </c>
      <c r="AC2866" s="214">
        <f t="shared" si="1215"/>
        <v>-537.53836000000001</v>
      </c>
      <c r="AD2866" s="214">
        <f t="shared" si="1215"/>
        <v>-478.87169000000006</v>
      </c>
      <c r="AE2866" s="214">
        <f t="shared" si="1216"/>
        <v>-420.20503000000002</v>
      </c>
      <c r="AF2866" s="214">
        <f t="shared" si="1216"/>
        <v>-361.53836000000001</v>
      </c>
      <c r="AG2866" s="214">
        <f t="shared" si="1216"/>
        <v>-302.87169</v>
      </c>
      <c r="AH2866" s="214">
        <f t="shared" si="1216"/>
        <v>-244.20503000000002</v>
      </c>
      <c r="AI2866" s="214">
        <f t="shared" si="1216"/>
        <v>-185.53836000000001</v>
      </c>
      <c r="AJ2866" s="214">
        <f t="shared" si="1216"/>
        <v>-126.87169</v>
      </c>
      <c r="AK2866" s="214">
        <f t="shared" si="1216"/>
        <v>-68.205029999999994</v>
      </c>
      <c r="AL2866" s="214">
        <f t="shared" si="1216"/>
        <v>-9.5383599999999991</v>
      </c>
      <c r="AM2866" s="214">
        <f t="shared" si="1216"/>
        <v>0</v>
      </c>
      <c r="AN2866" s="214">
        <f t="shared" si="1216"/>
        <v>0</v>
      </c>
      <c r="AO2866" s="214">
        <f t="shared" si="1216"/>
        <v>0</v>
      </c>
      <c r="AP2866" s="214"/>
      <c r="AQ2866" s="214"/>
      <c r="AR2866" s="214"/>
      <c r="AS2866" s="214"/>
      <c r="AT2866" s="214"/>
      <c r="AU2866" s="214"/>
      <c r="AV2866" s="214"/>
      <c r="AW2866" s="214"/>
      <c r="AX2866" s="214"/>
      <c r="AY2866" s="214"/>
      <c r="AZ2866" s="214"/>
      <c r="BA2866" s="214"/>
      <c r="BB2866" s="214"/>
      <c r="BC2866" s="214"/>
      <c r="BD2866" s="214"/>
      <c r="BE2866" s="214"/>
      <c r="BF2866" s="214"/>
      <c r="BG2866" s="214"/>
      <c r="BH2866" s="214"/>
      <c r="BI2866" s="214"/>
      <c r="BJ2866" s="214"/>
      <c r="BK2866" s="214"/>
      <c r="BL2866" s="214"/>
      <c r="BM2866" s="214"/>
      <c r="BN2866" s="214"/>
      <c r="BO2866" s="214"/>
      <c r="BP2866" s="214"/>
      <c r="BQ2866" s="214"/>
      <c r="BR2866" s="214"/>
      <c r="BS2866" s="214"/>
      <c r="BT2866" s="214"/>
      <c r="BU2866" s="214"/>
      <c r="BV2866" s="214"/>
      <c r="BW2866" s="214"/>
      <c r="BX2866" s="214"/>
      <c r="BY2866" s="214"/>
      <c r="BZ2866" s="214"/>
      <c r="CA2866" s="214"/>
      <c r="CB2866" s="214"/>
      <c r="CC2866" s="214"/>
      <c r="CD2866" s="214"/>
      <c r="CE2866" s="225"/>
      <c r="CF2866" s="225"/>
      <c r="CG2866" s="225"/>
      <c r="CH2866" s="165"/>
      <c r="CI2866" s="225" t="s">
        <v>2679</v>
      </c>
      <c r="CJ2866" s="225"/>
      <c r="CK2866" s="225"/>
      <c r="CL2866" s="225"/>
      <c r="CM2866" s="224"/>
    </row>
    <row r="2867" spans="1:91">
      <c r="A2867" s="421"/>
      <c r="B2867" s="421"/>
      <c r="C2867" s="658" t="s">
        <v>2447</v>
      </c>
      <c r="D2867" s="705" t="s">
        <v>2439</v>
      </c>
      <c r="E2867" s="421"/>
      <c r="F2867" s="421"/>
      <c r="G2867" s="421" t="s">
        <v>2448</v>
      </c>
      <c r="H2867" s="676"/>
      <c r="I2867" s="459"/>
      <c r="J2867" s="459"/>
      <c r="K2867" s="427"/>
      <c r="L2867" s="688"/>
      <c r="M2867" s="457"/>
      <c r="N2867" s="458"/>
      <c r="O2867" s="458"/>
      <c r="P2867" s="688"/>
      <c r="Q2867" s="458"/>
      <c r="R2867" s="490"/>
      <c r="S2867" s="490"/>
      <c r="T2867" s="490"/>
      <c r="U2867" s="214">
        <f t="shared" si="1215"/>
        <v>0</v>
      </c>
      <c r="V2867" s="214">
        <f t="shared" si="1215"/>
        <v>0</v>
      </c>
      <c r="W2867" s="214">
        <f t="shared" si="1215"/>
        <v>0</v>
      </c>
      <c r="X2867" s="214">
        <f t="shared" si="1215"/>
        <v>0</v>
      </c>
      <c r="Y2867" s="214">
        <f t="shared" si="1215"/>
        <v>0</v>
      </c>
      <c r="Z2867" s="214">
        <f t="shared" si="1215"/>
        <v>0</v>
      </c>
      <c r="AA2867" s="214">
        <f t="shared" si="1215"/>
        <v>0</v>
      </c>
      <c r="AB2867" s="214">
        <f t="shared" si="1215"/>
        <v>0</v>
      </c>
      <c r="AC2867" s="214">
        <f t="shared" si="1215"/>
        <v>0</v>
      </c>
      <c r="AD2867" s="214">
        <f t="shared" si="1215"/>
        <v>0</v>
      </c>
      <c r="AE2867" s="214">
        <f t="shared" si="1216"/>
        <v>0</v>
      </c>
      <c r="AF2867" s="214">
        <f t="shared" si="1216"/>
        <v>0</v>
      </c>
      <c r="AG2867" s="214">
        <f t="shared" si="1216"/>
        <v>0</v>
      </c>
      <c r="AH2867" s="214">
        <f t="shared" si="1216"/>
        <v>0</v>
      </c>
      <c r="AI2867" s="214">
        <f t="shared" si="1216"/>
        <v>0</v>
      </c>
      <c r="AJ2867" s="214">
        <f t="shared" si="1216"/>
        <v>0</v>
      </c>
      <c r="AK2867" s="214">
        <f t="shared" si="1216"/>
        <v>0</v>
      </c>
      <c r="AL2867" s="214">
        <f t="shared" si="1216"/>
        <v>0</v>
      </c>
      <c r="AM2867" s="214">
        <f t="shared" si="1216"/>
        <v>0</v>
      </c>
      <c r="AN2867" s="214">
        <f t="shared" si="1216"/>
        <v>0</v>
      </c>
      <c r="AO2867" s="214">
        <f t="shared" si="1216"/>
        <v>0</v>
      </c>
      <c r="AP2867" s="214"/>
      <c r="AQ2867" s="214"/>
      <c r="AR2867" s="214"/>
      <c r="AS2867" s="214"/>
      <c r="AT2867" s="214"/>
      <c r="AU2867" s="214"/>
      <c r="AV2867" s="214"/>
      <c r="AW2867" s="214"/>
      <c r="AX2867" s="214"/>
      <c r="AY2867" s="214"/>
      <c r="AZ2867" s="214"/>
      <c r="BA2867" s="214"/>
      <c r="BB2867" s="214"/>
      <c r="BC2867" s="214"/>
      <c r="BD2867" s="214"/>
      <c r="BE2867" s="214"/>
      <c r="BF2867" s="214"/>
      <c r="BG2867" s="214"/>
      <c r="BH2867" s="214"/>
      <c r="BI2867" s="214"/>
      <c r="BJ2867" s="214"/>
      <c r="BK2867" s="214"/>
      <c r="BL2867" s="214"/>
      <c r="BM2867" s="214"/>
      <c r="BN2867" s="214"/>
      <c r="BO2867" s="214"/>
      <c r="BP2867" s="214"/>
      <c r="BQ2867" s="214"/>
      <c r="BR2867" s="214"/>
      <c r="BS2867" s="214"/>
      <c r="BT2867" s="214"/>
      <c r="BU2867" s="214"/>
      <c r="BV2867" s="214"/>
      <c r="BW2867" s="214"/>
      <c r="BX2867" s="214"/>
      <c r="BY2867" s="214"/>
      <c r="BZ2867" s="214"/>
      <c r="CA2867" s="214"/>
      <c r="CB2867" s="214"/>
      <c r="CC2867" s="214"/>
      <c r="CD2867" s="214"/>
      <c r="CE2867" s="225"/>
      <c r="CF2867" s="225"/>
      <c r="CG2867" s="225"/>
      <c r="CH2867" s="165"/>
      <c r="CI2867" s="225" t="s">
        <v>2679</v>
      </c>
      <c r="CJ2867" s="225"/>
      <c r="CK2867" s="225"/>
      <c r="CL2867" s="225"/>
      <c r="CM2867" s="224"/>
    </row>
    <row r="2868" spans="1:91" ht="3.75" customHeight="1">
      <c r="A2868" s="421"/>
      <c r="B2868" s="421"/>
      <c r="C2868" s="658"/>
      <c r="D2868" s="705"/>
      <c r="E2868" s="421"/>
      <c r="F2868" s="421"/>
      <c r="G2868" s="421"/>
      <c r="H2868" s="676"/>
      <c r="I2868" s="459"/>
      <c r="J2868" s="459"/>
      <c r="K2868" s="427"/>
      <c r="L2868" s="688"/>
      <c r="M2868" s="457"/>
      <c r="N2868" s="458"/>
      <c r="O2868" s="458"/>
      <c r="P2868" s="688"/>
      <c r="Q2868" s="458"/>
      <c r="R2868" s="490"/>
      <c r="S2868" s="490"/>
      <c r="T2868" s="490"/>
      <c r="U2868" s="215">
        <v>0</v>
      </c>
      <c r="V2868" s="215">
        <v>0</v>
      </c>
      <c r="W2868" s="215">
        <v>0</v>
      </c>
      <c r="X2868" s="215">
        <v>0</v>
      </c>
      <c r="Y2868" s="215">
        <v>0</v>
      </c>
      <c r="Z2868" s="215">
        <v>0</v>
      </c>
      <c r="AA2868" s="215">
        <v>0</v>
      </c>
      <c r="AB2868" s="215">
        <v>0</v>
      </c>
      <c r="AC2868" s="215">
        <v>0</v>
      </c>
      <c r="AD2868" s="215">
        <v>0</v>
      </c>
      <c r="AE2868" s="215">
        <v>0</v>
      </c>
      <c r="AF2868" s="215">
        <v>0</v>
      </c>
      <c r="AG2868" s="215">
        <v>0</v>
      </c>
      <c r="AH2868" s="215">
        <v>0</v>
      </c>
      <c r="AI2868" s="215">
        <v>0</v>
      </c>
      <c r="AJ2868" s="215">
        <v>0</v>
      </c>
      <c r="AK2868" s="215">
        <v>0</v>
      </c>
      <c r="AL2868" s="215">
        <v>0</v>
      </c>
      <c r="AM2868" s="215">
        <v>0</v>
      </c>
      <c r="AN2868" s="215">
        <v>0</v>
      </c>
      <c r="AO2868" s="215">
        <v>0</v>
      </c>
      <c r="AP2868" s="215"/>
      <c r="AQ2868" s="215"/>
      <c r="AR2868" s="215"/>
      <c r="AS2868" s="215"/>
      <c r="AT2868" s="215"/>
      <c r="AU2868" s="215"/>
      <c r="AV2868" s="215"/>
      <c r="AW2868" s="215"/>
      <c r="AX2868" s="215"/>
      <c r="AY2868" s="215"/>
      <c r="AZ2868" s="215"/>
      <c r="BA2868" s="215"/>
      <c r="BB2868" s="215"/>
      <c r="BC2868" s="215"/>
      <c r="BD2868" s="215"/>
      <c r="BE2868" s="215"/>
      <c r="BF2868" s="215"/>
      <c r="BG2868" s="215"/>
      <c r="BH2868" s="215"/>
      <c r="BI2868" s="215"/>
      <c r="BJ2868" s="215"/>
      <c r="BK2868" s="215"/>
      <c r="BL2868" s="215"/>
      <c r="BM2868" s="215"/>
      <c r="BN2868" s="215"/>
      <c r="BO2868" s="215"/>
      <c r="BP2868" s="215"/>
      <c r="BQ2868" s="215"/>
      <c r="BR2868" s="215"/>
      <c r="BS2868" s="215"/>
      <c r="BT2868" s="215"/>
      <c r="BU2868" s="215"/>
      <c r="BV2868" s="215"/>
      <c r="BW2868" s="215"/>
      <c r="BX2868" s="215"/>
      <c r="BY2868" s="215"/>
      <c r="BZ2868" s="215"/>
      <c r="CA2868" s="215"/>
      <c r="CB2868" s="215"/>
      <c r="CC2868" s="215"/>
      <c r="CD2868" s="215"/>
      <c r="CE2868" s="225"/>
      <c r="CF2868" s="225"/>
      <c r="CG2868" s="225"/>
      <c r="CH2868" s="165"/>
      <c r="CI2868" s="225" t="s">
        <v>2679</v>
      </c>
      <c r="CJ2868" s="225"/>
      <c r="CK2868" s="225"/>
      <c r="CL2868" s="225"/>
      <c r="CM2868" s="224"/>
    </row>
    <row r="2869" spans="1:91">
      <c r="A2869" s="409"/>
      <c r="B2869" s="409"/>
      <c r="C2869" s="655"/>
      <c r="D2869" s="659"/>
      <c r="E2869" s="409"/>
      <c r="F2869" s="409"/>
      <c r="G2869" s="409"/>
      <c r="H2869" s="677"/>
      <c r="I2869" s="460"/>
      <c r="J2869" s="460"/>
      <c r="K2869" s="405"/>
      <c r="L2869" s="655"/>
      <c r="M2869" s="405"/>
      <c r="N2869" s="449"/>
      <c r="O2869" s="449"/>
      <c r="P2869" s="655"/>
      <c r="Q2869" s="449"/>
      <c r="R2869" s="486"/>
      <c r="S2869" s="486"/>
      <c r="T2869" s="486"/>
      <c r="U2869" s="214"/>
      <c r="V2869" s="214"/>
      <c r="W2869" s="214"/>
      <c r="X2869" s="214"/>
      <c r="Y2869" s="214"/>
      <c r="Z2869" s="214"/>
      <c r="AA2869" s="214"/>
      <c r="AB2869" s="214"/>
      <c r="AC2869" s="214"/>
      <c r="AD2869" s="214"/>
      <c r="AE2869" s="214"/>
      <c r="AF2869" s="214"/>
      <c r="AG2869" s="214"/>
      <c r="AH2869" s="214"/>
      <c r="AI2869" s="214"/>
      <c r="AJ2869" s="214"/>
      <c r="AK2869" s="214"/>
      <c r="AL2869" s="214"/>
      <c r="AM2869" s="214"/>
      <c r="AN2869" s="214"/>
      <c r="AO2869" s="214"/>
      <c r="AP2869" s="214"/>
      <c r="AQ2869" s="214"/>
      <c r="AR2869" s="214"/>
      <c r="AS2869" s="214"/>
      <c r="AT2869" s="214"/>
      <c r="AU2869" s="214"/>
      <c r="AV2869" s="214"/>
      <c r="AW2869" s="214"/>
      <c r="AX2869" s="214"/>
      <c r="AY2869" s="214"/>
      <c r="AZ2869" s="214"/>
      <c r="BA2869" s="214"/>
      <c r="BB2869" s="214"/>
      <c r="BC2869" s="214"/>
      <c r="BD2869" s="214"/>
      <c r="BE2869" s="214"/>
      <c r="BF2869" s="214"/>
      <c r="BG2869" s="214"/>
      <c r="BH2869" s="214"/>
      <c r="BI2869" s="214"/>
      <c r="BJ2869" s="214"/>
      <c r="BK2869" s="214"/>
      <c r="BL2869" s="214"/>
      <c r="BM2869" s="214"/>
      <c r="BN2869" s="214"/>
      <c r="BO2869" s="214"/>
      <c r="BP2869" s="214"/>
      <c r="BQ2869" s="214"/>
      <c r="BR2869" s="214"/>
      <c r="BS2869" s="214"/>
      <c r="BT2869" s="214"/>
      <c r="BU2869" s="214"/>
      <c r="BV2869" s="214"/>
      <c r="BW2869" s="214"/>
      <c r="BX2869" s="214"/>
      <c r="BY2869" s="214"/>
      <c r="BZ2869" s="214"/>
      <c r="CA2869" s="214"/>
      <c r="CB2869" s="214"/>
      <c r="CC2869" s="214"/>
      <c r="CD2869" s="214"/>
      <c r="CE2869" s="227"/>
      <c r="CF2869" s="227"/>
      <c r="CG2869" s="227"/>
      <c r="CH2869" s="76"/>
      <c r="CI2869" s="227" t="s">
        <v>2679</v>
      </c>
      <c r="CJ2869" s="227"/>
      <c r="CK2869" s="227"/>
      <c r="CL2869" s="227"/>
      <c r="CM2869" s="226"/>
    </row>
    <row r="2870" spans="1:91">
      <c r="A2870" s="409"/>
      <c r="B2870" s="409"/>
      <c r="C2870" s="659" t="s">
        <v>2475</v>
      </c>
      <c r="D2870" s="659"/>
      <c r="E2870" s="409"/>
      <c r="F2870" s="409"/>
      <c r="G2870" s="409"/>
      <c r="H2870" s="677"/>
      <c r="I2870" s="460"/>
      <c r="J2870" s="460"/>
      <c r="K2870" s="405"/>
      <c r="L2870" s="655"/>
      <c r="M2870" s="405"/>
      <c r="N2870" s="449"/>
      <c r="O2870" s="449"/>
      <c r="P2870" s="655"/>
      <c r="Q2870" s="449"/>
      <c r="R2870" s="486"/>
      <c r="S2870" s="486"/>
      <c r="T2870" s="486"/>
      <c r="U2870" s="214">
        <f t="shared" ref="U2870:AB2870" si="1217">SUM(U2854:U2869)</f>
        <v>1216151.4511584716</v>
      </c>
      <c r="V2870" s="214">
        <f t="shared" si="1217"/>
        <v>451230.11048027658</v>
      </c>
      <c r="W2870" s="214">
        <f t="shared" si="1217"/>
        <v>0</v>
      </c>
      <c r="X2870" s="214">
        <f t="shared" si="1217"/>
        <v>1667381.561638748</v>
      </c>
      <c r="Y2870" s="214">
        <f t="shared" si="1217"/>
        <v>1262884.5905412273</v>
      </c>
      <c r="Z2870" s="214">
        <f t="shared" si="1217"/>
        <v>471856.32365877274</v>
      </c>
      <c r="AA2870" s="214">
        <f t="shared" si="1217"/>
        <v>0</v>
      </c>
      <c r="AB2870" s="214">
        <f t="shared" si="1217"/>
        <v>1734740.9142000002</v>
      </c>
      <c r="AC2870" s="214">
        <f t="shared" ref="AC2870" si="1218">SUM(AC2854:AC2869)</f>
        <v>1636503.880670001</v>
      </c>
      <c r="AD2870" s="214">
        <f t="shared" ref="AD2870:AE2870" si="1219">SUM(AD2854:AD2869)</f>
        <v>1634923.6356100009</v>
      </c>
      <c r="AE2870" s="214">
        <f t="shared" si="1219"/>
        <v>1617859.0463400001</v>
      </c>
      <c r="AF2870" s="214">
        <f t="shared" ref="AF2870:AG2870" si="1220">SUM(AF2854:AF2869)</f>
        <v>1620526.7978900007</v>
      </c>
      <c r="AG2870" s="214">
        <f t="shared" si="1220"/>
        <v>1637597.1785200003</v>
      </c>
      <c r="AH2870" s="214">
        <f t="shared" ref="AH2870:AI2870" si="1221">SUM(AH2854:AH2869)</f>
        <v>1634742.0589699994</v>
      </c>
      <c r="AI2870" s="214">
        <f t="shared" si="1221"/>
        <v>1644383.0567700008</v>
      </c>
      <c r="AJ2870" s="214">
        <f t="shared" ref="AJ2870:AK2870" si="1222">SUM(AJ2854:AJ2869)</f>
        <v>1684635.564400001</v>
      </c>
      <c r="AK2870" s="214">
        <f t="shared" si="1222"/>
        <v>1683369.8679200008</v>
      </c>
      <c r="AL2870" s="214">
        <f t="shared" ref="AL2870:AM2870" si="1223">SUM(AL2854:AL2869)</f>
        <v>1722100.4673799998</v>
      </c>
      <c r="AM2870" s="214">
        <f t="shared" si="1223"/>
        <v>1723065.9347500009</v>
      </c>
      <c r="AN2870" s="214">
        <f t="shared" ref="AN2870:AO2870" si="1224">SUM(AN2854:AN2869)</f>
        <v>1719752.7336800005</v>
      </c>
      <c r="AO2870" s="214">
        <f t="shared" si="1224"/>
        <v>1734740.9142000002</v>
      </c>
      <c r="AP2870" s="214"/>
      <c r="AQ2870" s="214"/>
      <c r="AR2870" s="214"/>
      <c r="AS2870" s="214"/>
      <c r="AT2870" s="214"/>
      <c r="AU2870" s="214"/>
      <c r="AV2870" s="214"/>
      <c r="AW2870" s="214"/>
      <c r="AX2870" s="214"/>
      <c r="AY2870" s="214"/>
      <c r="AZ2870" s="214"/>
      <c r="BA2870" s="214"/>
      <c r="BB2870" s="214"/>
      <c r="BC2870" s="214"/>
      <c r="BD2870" s="214"/>
      <c r="BE2870" s="214"/>
      <c r="BF2870" s="214"/>
      <c r="BG2870" s="214"/>
      <c r="BH2870" s="214"/>
      <c r="BI2870" s="214"/>
      <c r="BJ2870" s="214"/>
      <c r="BK2870" s="214"/>
      <c r="BL2870" s="214"/>
      <c r="BM2870" s="214"/>
      <c r="BN2870" s="214"/>
      <c r="BO2870" s="214"/>
      <c r="BP2870" s="214"/>
      <c r="BQ2870" s="214"/>
      <c r="BR2870" s="214"/>
      <c r="BS2870" s="214"/>
      <c r="BT2870" s="214"/>
      <c r="BU2870" s="214"/>
      <c r="BV2870" s="214"/>
      <c r="BW2870" s="214"/>
      <c r="BX2870" s="214"/>
      <c r="BY2870" s="214"/>
      <c r="BZ2870" s="214"/>
      <c r="CA2870" s="214"/>
      <c r="CB2870" s="214"/>
      <c r="CC2870" s="214"/>
      <c r="CD2870" s="214"/>
      <c r="CE2870" s="227"/>
      <c r="CF2870" s="227"/>
      <c r="CG2870" s="227"/>
      <c r="CH2870" s="76"/>
      <c r="CI2870" s="227" t="s">
        <v>2679</v>
      </c>
      <c r="CJ2870" s="227"/>
      <c r="CK2870" s="227"/>
      <c r="CL2870" s="227"/>
      <c r="CM2870" s="226"/>
    </row>
    <row r="2871" spans="1:91" s="229" customFormat="1" ht="12.75" customHeight="1">
      <c r="A2871" s="448"/>
      <c r="B2871" s="409"/>
      <c r="C2871" s="656"/>
      <c r="D2871" s="655"/>
      <c r="E2871" s="405"/>
      <c r="F2871" s="405"/>
      <c r="G2871" s="406"/>
      <c r="H2871" s="672"/>
      <c r="I2871" s="448"/>
      <c r="J2871" s="448"/>
      <c r="K2871" s="405"/>
      <c r="L2871" s="655"/>
      <c r="M2871" s="405"/>
      <c r="N2871" s="449"/>
      <c r="O2871" s="449"/>
      <c r="P2871" s="655"/>
      <c r="Q2871" s="406"/>
      <c r="R2871" s="486"/>
      <c r="S2871" s="486"/>
      <c r="T2871" s="486"/>
      <c r="U2871" s="215"/>
      <c r="V2871" s="215"/>
      <c r="W2871" s="215"/>
      <c r="X2871" s="215"/>
      <c r="Y2871" s="215"/>
      <c r="Z2871" s="215"/>
      <c r="AA2871" s="215"/>
      <c r="AB2871" s="215"/>
      <c r="AC2871" s="215"/>
      <c r="AD2871" s="215"/>
      <c r="AE2871" s="215"/>
      <c r="AF2871" s="215"/>
      <c r="AG2871" s="215"/>
      <c r="AH2871" s="215"/>
      <c r="AI2871" s="215"/>
      <c r="AJ2871" s="215"/>
      <c r="AK2871" s="215"/>
      <c r="AL2871" s="215"/>
      <c r="AM2871" s="215"/>
      <c r="AN2871" s="215"/>
      <c r="AO2871" s="215"/>
      <c r="AP2871" s="228"/>
      <c r="AQ2871" s="228"/>
      <c r="AR2871" s="228"/>
      <c r="AS2871" s="228"/>
      <c r="AT2871" s="228"/>
      <c r="AU2871" s="228"/>
      <c r="AV2871" s="228"/>
      <c r="AW2871" s="228"/>
      <c r="AX2871" s="228"/>
      <c r="AY2871" s="228"/>
      <c r="AZ2871" s="228"/>
      <c r="BA2871" s="228"/>
      <c r="BB2871" s="228"/>
      <c r="BC2871" s="228"/>
      <c r="BD2871" s="228"/>
      <c r="BE2871" s="228"/>
      <c r="BF2871" s="228"/>
      <c r="BG2871" s="228"/>
      <c r="BH2871" s="228"/>
      <c r="BI2871" s="228"/>
      <c r="BJ2871" s="228"/>
      <c r="BK2871" s="228"/>
      <c r="BL2871" s="228"/>
      <c r="BM2871" s="228"/>
      <c r="BN2871" s="228"/>
      <c r="BO2871" s="228"/>
      <c r="BP2871" s="228"/>
      <c r="BQ2871" s="228"/>
      <c r="BR2871" s="228"/>
      <c r="BS2871" s="228"/>
      <c r="BT2871" s="228"/>
      <c r="BU2871" s="228"/>
      <c r="BV2871" s="228"/>
      <c r="BW2871" s="228"/>
      <c r="BX2871" s="228"/>
      <c r="BY2871" s="228"/>
      <c r="BZ2871" s="228"/>
      <c r="CA2871" s="228"/>
      <c r="CB2871" s="228"/>
      <c r="CC2871" s="228"/>
      <c r="CD2871" s="228"/>
      <c r="CH2871" s="76"/>
      <c r="CM2871" s="213"/>
    </row>
    <row r="2872" spans="1:91">
      <c r="A2872" s="409"/>
      <c r="B2872" s="409"/>
      <c r="C2872" s="656"/>
      <c r="D2872" s="655"/>
      <c r="E2872" s="405"/>
      <c r="F2872" s="405"/>
      <c r="G2872" s="406"/>
      <c r="H2872" s="672"/>
      <c r="I2872" s="448"/>
      <c r="J2872" s="448"/>
      <c r="K2872" s="405"/>
      <c r="L2872" s="655"/>
      <c r="M2872" s="405"/>
      <c r="N2872" s="449"/>
      <c r="O2872" s="449"/>
      <c r="P2872" s="655"/>
      <c r="Q2872" s="406"/>
      <c r="R2872" s="486"/>
      <c r="S2872" s="486"/>
      <c r="T2872" s="486"/>
      <c r="U2872" s="214"/>
      <c r="V2872" s="214"/>
      <c r="W2872" s="214"/>
      <c r="X2872" s="214"/>
      <c r="Y2872" s="214"/>
      <c r="Z2872" s="214"/>
      <c r="AA2872" s="214"/>
      <c r="AB2872" s="214"/>
      <c r="AC2872" s="214"/>
      <c r="AD2872" s="214"/>
      <c r="AE2872" s="214"/>
      <c r="AF2872" s="214"/>
      <c r="AG2872" s="214"/>
      <c r="AH2872" s="214"/>
      <c r="AI2872" s="214"/>
      <c r="AJ2872" s="214"/>
      <c r="AK2872" s="214"/>
      <c r="AL2872" s="214"/>
      <c r="AM2872" s="214"/>
      <c r="AN2872" s="214"/>
      <c r="AO2872" s="214"/>
      <c r="AP2872" s="214"/>
      <c r="AQ2872" s="214"/>
      <c r="AR2872" s="214"/>
      <c r="AS2872" s="214"/>
      <c r="AT2872" s="214"/>
      <c r="AU2872" s="214"/>
      <c r="AV2872" s="214"/>
      <c r="AW2872" s="214"/>
      <c r="AX2872" s="214"/>
      <c r="AY2872" s="214"/>
      <c r="AZ2872" s="214"/>
      <c r="BA2872" s="214"/>
      <c r="BB2872" s="214"/>
      <c r="BC2872" s="214"/>
      <c r="BD2872" s="214"/>
      <c r="BE2872" s="214"/>
      <c r="BF2872" s="214"/>
      <c r="BG2872" s="214"/>
      <c r="BH2872" s="214"/>
      <c r="BI2872" s="214"/>
      <c r="BJ2872" s="214"/>
      <c r="BK2872" s="214"/>
      <c r="BL2872" s="214"/>
      <c r="BM2872" s="214"/>
      <c r="BN2872" s="214"/>
      <c r="BO2872" s="214"/>
      <c r="BP2872" s="214"/>
      <c r="BQ2872" s="214"/>
      <c r="BR2872" s="214"/>
      <c r="BS2872" s="214"/>
      <c r="BT2872" s="214"/>
      <c r="BU2872" s="214"/>
      <c r="BV2872" s="214"/>
      <c r="BW2872" s="214"/>
      <c r="BX2872" s="214"/>
      <c r="BY2872" s="214"/>
      <c r="BZ2872" s="214"/>
      <c r="CA2872" s="214"/>
      <c r="CB2872" s="214"/>
      <c r="CC2872" s="214"/>
      <c r="CD2872" s="214"/>
      <c r="CE2872" s="227"/>
      <c r="CF2872" s="227"/>
      <c r="CG2872" s="227"/>
      <c r="CH2872" s="76"/>
      <c r="CI2872" s="227"/>
      <c r="CJ2872" s="227"/>
      <c r="CK2872" s="227"/>
      <c r="CL2872" s="227"/>
      <c r="CM2872" s="213"/>
    </row>
    <row r="2873" spans="1:91">
      <c r="A2873" s="409"/>
      <c r="B2873" s="409"/>
      <c r="C2873" s="656"/>
      <c r="D2873" s="655"/>
      <c r="E2873" s="405"/>
      <c r="F2873" s="405"/>
      <c r="G2873" s="406"/>
      <c r="H2873" s="672"/>
      <c r="I2873" s="448"/>
      <c r="J2873" s="448"/>
      <c r="K2873" s="405"/>
      <c r="L2873" s="655"/>
      <c r="M2873" s="405"/>
      <c r="N2873" s="449"/>
      <c r="O2873" s="449"/>
      <c r="P2873" s="655"/>
      <c r="Q2873" s="406"/>
      <c r="R2873" s="486"/>
      <c r="S2873" s="486"/>
      <c r="T2873" s="486"/>
      <c r="U2873" s="216"/>
      <c r="V2873" s="216"/>
      <c r="W2873" s="216"/>
      <c r="X2873" s="216"/>
      <c r="Y2873" s="216"/>
      <c r="Z2873" s="216"/>
      <c r="AA2873" s="216"/>
      <c r="AB2873" s="216"/>
      <c r="AC2873" s="216"/>
      <c r="AD2873" s="216"/>
      <c r="AE2873" s="216"/>
      <c r="AF2873" s="216"/>
      <c r="AG2873" s="216"/>
      <c r="AH2873" s="216"/>
      <c r="AI2873" s="216"/>
      <c r="AJ2873" s="216"/>
      <c r="AK2873" s="216"/>
      <c r="AL2873" s="216"/>
      <c r="AM2873" s="216"/>
      <c r="AN2873" s="216"/>
      <c r="AO2873" s="216"/>
      <c r="AP2873" s="216"/>
      <c r="AQ2873" s="216"/>
      <c r="AR2873" s="216"/>
      <c r="AS2873" s="216"/>
      <c r="AT2873" s="216"/>
      <c r="AU2873" s="216"/>
      <c r="AV2873" s="216"/>
      <c r="AW2873" s="216"/>
      <c r="AX2873" s="216"/>
      <c r="AY2873" s="216"/>
      <c r="AZ2873" s="216"/>
      <c r="BA2873" s="216"/>
      <c r="BB2873" s="216"/>
      <c r="BC2873" s="216"/>
      <c r="BD2873" s="216"/>
      <c r="BE2873" s="216"/>
      <c r="BF2873" s="216"/>
      <c r="BG2873" s="216"/>
      <c r="BH2873" s="216"/>
      <c r="BI2873" s="216"/>
      <c r="BJ2873" s="216"/>
      <c r="BK2873" s="216"/>
      <c r="BL2873" s="216"/>
      <c r="BM2873" s="216"/>
      <c r="BN2873" s="216"/>
      <c r="BO2873" s="216"/>
      <c r="BP2873" s="216"/>
      <c r="BQ2873" s="216"/>
      <c r="BR2873" s="216"/>
      <c r="BS2873" s="216"/>
      <c r="BT2873" s="216"/>
      <c r="BU2873" s="216"/>
      <c r="BV2873" s="216"/>
      <c r="BW2873" s="216"/>
      <c r="BX2873" s="216"/>
      <c r="BY2873" s="216"/>
      <c r="BZ2873" s="216"/>
      <c r="CA2873" s="216"/>
      <c r="CB2873" s="216"/>
      <c r="CC2873" s="216"/>
      <c r="CD2873" s="216"/>
      <c r="CE2873" s="230"/>
      <c r="CF2873" s="230"/>
      <c r="CG2873" s="230"/>
      <c r="CH2873" s="76"/>
      <c r="CI2873" s="230"/>
      <c r="CJ2873" s="230"/>
      <c r="CK2873" s="230"/>
      <c r="CL2873" s="230"/>
      <c r="CM2873" s="213"/>
    </row>
    <row r="2874" spans="1:91">
      <c r="A2874" s="409"/>
      <c r="B2874" s="409"/>
      <c r="C2874" s="656"/>
      <c r="D2874" s="655"/>
      <c r="E2874" s="405"/>
      <c r="F2874" s="405"/>
      <c r="G2874" s="406"/>
      <c r="H2874" s="672"/>
      <c r="I2874" s="448"/>
      <c r="J2874" s="448"/>
      <c r="K2874" s="405"/>
      <c r="L2874" s="655"/>
      <c r="M2874" s="405"/>
      <c r="N2874" s="449"/>
      <c r="O2874" s="449"/>
      <c r="P2874" s="655"/>
      <c r="Q2874" s="449"/>
      <c r="R2874" s="486"/>
      <c r="S2874" s="486"/>
      <c r="T2874" s="486"/>
      <c r="U2874" s="214"/>
      <c r="V2874" s="214"/>
      <c r="W2874" s="214"/>
      <c r="X2874" s="214"/>
      <c r="Y2874" s="214"/>
      <c r="Z2874" s="214"/>
      <c r="AA2874" s="214"/>
      <c r="AB2874" s="214"/>
      <c r="AC2874" s="214"/>
      <c r="AD2874" s="214"/>
      <c r="AE2874" s="214"/>
      <c r="AF2874" s="214"/>
      <c r="AG2874" s="214"/>
      <c r="AH2874" s="214"/>
      <c r="AI2874" s="214"/>
      <c r="AJ2874" s="214"/>
      <c r="AK2874" s="214"/>
      <c r="AL2874" s="214"/>
      <c r="AM2874" s="214"/>
      <c r="AN2874" s="214"/>
      <c r="AO2874" s="214"/>
      <c r="AP2874" s="214"/>
      <c r="AQ2874" s="214"/>
      <c r="AR2874" s="214"/>
      <c r="AS2874" s="214"/>
      <c r="AT2874" s="214"/>
      <c r="AU2874" s="214"/>
      <c r="AV2874" s="214"/>
      <c r="AW2874" s="214"/>
      <c r="AX2874" s="214"/>
      <c r="AY2874" s="214"/>
      <c r="AZ2874" s="214"/>
      <c r="BA2874" s="214"/>
      <c r="BB2874" s="214"/>
      <c r="BC2874" s="214"/>
      <c r="BD2874" s="214"/>
      <c r="BE2874" s="214"/>
      <c r="BF2874" s="214"/>
      <c r="BG2874" s="214"/>
      <c r="BH2874" s="214"/>
      <c r="BI2874" s="214"/>
      <c r="BJ2874" s="214"/>
      <c r="BK2874" s="214"/>
      <c r="BL2874" s="214"/>
      <c r="BM2874" s="214"/>
      <c r="BN2874" s="214"/>
      <c r="BO2874" s="214"/>
      <c r="BP2874" s="214"/>
      <c r="BQ2874" s="214"/>
      <c r="BR2874" s="214"/>
      <c r="BS2874" s="214"/>
      <c r="BT2874" s="214"/>
      <c r="BU2874" s="214"/>
      <c r="BV2874" s="214"/>
      <c r="BW2874" s="214"/>
      <c r="BX2874" s="214"/>
      <c r="BY2874" s="214"/>
      <c r="BZ2874" s="214"/>
      <c r="CA2874" s="214"/>
      <c r="CB2874" s="214"/>
      <c r="CC2874" s="214"/>
      <c r="CD2874" s="214"/>
      <c r="CE2874" s="227"/>
      <c r="CF2874" s="227"/>
      <c r="CG2874" s="227"/>
      <c r="CH2874" s="76"/>
      <c r="CI2874" s="227" t="s">
        <v>2679</v>
      </c>
      <c r="CJ2874" s="227"/>
      <c r="CK2874" s="227"/>
      <c r="CL2874" s="227"/>
      <c r="CM2874" s="213"/>
    </row>
    <row r="2875" spans="1:91" customFormat="1" ht="15.75">
      <c r="A2875" s="451"/>
      <c r="B2875" s="451"/>
      <c r="C2875" s="660"/>
      <c r="D2875" s="657"/>
      <c r="E2875" s="407"/>
      <c r="F2875" s="407"/>
      <c r="G2875" s="410"/>
      <c r="H2875" s="673"/>
      <c r="I2875" s="452"/>
      <c r="J2875" s="452"/>
      <c r="K2875" s="407"/>
      <c r="L2875" s="657"/>
      <c r="M2875" s="407"/>
      <c r="N2875" s="453"/>
      <c r="O2875" s="453"/>
      <c r="P2875" s="657"/>
      <c r="Q2875" s="410"/>
      <c r="R2875" s="488"/>
      <c r="S2875" s="488"/>
      <c r="T2875" s="488"/>
      <c r="U2875" s="219"/>
      <c r="V2875" s="219"/>
      <c r="W2875" s="219"/>
      <c r="X2875" s="219"/>
      <c r="Y2875" s="219"/>
      <c r="Z2875" s="219"/>
      <c r="AA2875" s="219"/>
      <c r="AB2875" s="219"/>
      <c r="AC2875" s="219"/>
      <c r="AD2875" s="219"/>
      <c r="AE2875" s="219"/>
      <c r="AF2875" s="219"/>
      <c r="AG2875" s="219"/>
      <c r="AH2875" s="219"/>
      <c r="AI2875" s="219"/>
      <c r="AJ2875" s="219"/>
      <c r="AK2875" s="219"/>
      <c r="AL2875" s="219"/>
      <c r="AM2875" s="219"/>
      <c r="AN2875" s="219"/>
      <c r="AO2875" s="219"/>
      <c r="AP2875" s="219"/>
      <c r="AQ2875" s="219"/>
      <c r="AR2875" s="219"/>
      <c r="AS2875" s="219"/>
      <c r="AT2875" s="219"/>
      <c r="AU2875" s="219"/>
      <c r="AV2875" s="219"/>
      <c r="AW2875" s="219"/>
      <c r="AX2875" s="219"/>
      <c r="AY2875" s="219"/>
      <c r="AZ2875" s="219"/>
      <c r="BA2875" s="219"/>
      <c r="BB2875" s="219"/>
      <c r="BC2875" s="219"/>
      <c r="BD2875" s="219"/>
      <c r="BE2875" s="219"/>
      <c r="BF2875" s="219"/>
      <c r="BG2875" s="219"/>
      <c r="BH2875" s="219"/>
      <c r="BI2875" s="219"/>
      <c r="BJ2875" s="219"/>
      <c r="BK2875" s="219"/>
      <c r="BL2875" s="219"/>
      <c r="BM2875" s="219"/>
      <c r="BN2875" s="219"/>
      <c r="BO2875" s="219"/>
      <c r="BP2875" s="219"/>
      <c r="BQ2875" s="219"/>
      <c r="BR2875" s="219"/>
      <c r="BS2875" s="219"/>
      <c r="BT2875" s="219"/>
      <c r="BU2875" s="219"/>
      <c r="BV2875" s="219"/>
      <c r="BW2875" s="219"/>
      <c r="BX2875" s="219"/>
      <c r="BY2875" s="219"/>
      <c r="BZ2875" s="219"/>
      <c r="CA2875" s="219"/>
      <c r="CB2875" s="219"/>
      <c r="CC2875" s="219"/>
      <c r="CD2875" s="219"/>
      <c r="CE2875" s="217"/>
      <c r="CF2875" s="217"/>
      <c r="CG2875" s="217"/>
      <c r="CH2875" s="220"/>
      <c r="CI2875" s="217" t="s">
        <v>2679</v>
      </c>
      <c r="CJ2875" s="217"/>
      <c r="CK2875" s="217"/>
      <c r="CL2875" s="217"/>
      <c r="CM2875" s="218"/>
    </row>
    <row r="2877" spans="1:91">
      <c r="A2877" s="447"/>
      <c r="B2877" s="447" t="s">
        <v>2395</v>
      </c>
      <c r="C2877" s="655"/>
      <c r="D2877" s="659"/>
      <c r="E2877" s="409"/>
      <c r="F2877" s="409"/>
      <c r="G2877" s="409"/>
      <c r="H2877" s="677"/>
      <c r="I2877" s="460"/>
      <c r="J2877" s="460"/>
      <c r="K2877" s="405"/>
      <c r="L2877" s="655"/>
      <c r="M2877" s="405"/>
      <c r="N2877" s="449"/>
      <c r="O2877" s="449"/>
      <c r="P2877" s="655"/>
      <c r="Q2877" s="406"/>
      <c r="R2877" s="486"/>
      <c r="S2877" s="486"/>
      <c r="T2877" s="486"/>
      <c r="U2877" s="214"/>
      <c r="V2877" s="214"/>
      <c r="W2877" s="214"/>
      <c r="X2877" s="214"/>
      <c r="Y2877" s="214"/>
      <c r="Z2877" s="214"/>
      <c r="AA2877" s="214"/>
      <c r="AB2877" s="214"/>
      <c r="AC2877" s="214"/>
      <c r="AD2877" s="214"/>
      <c r="AE2877" s="214"/>
      <c r="AF2877" s="214"/>
      <c r="AG2877" s="214"/>
      <c r="AH2877" s="214"/>
      <c r="AI2877" s="214"/>
      <c r="AJ2877" s="214"/>
      <c r="AK2877" s="214"/>
      <c r="AL2877" s="214"/>
      <c r="AM2877" s="214"/>
      <c r="AN2877" s="214"/>
      <c r="AO2877" s="214"/>
      <c r="AP2877" s="214"/>
      <c r="AQ2877" s="214"/>
      <c r="AR2877" s="214"/>
      <c r="AS2877" s="214"/>
      <c r="AT2877" s="214"/>
      <c r="AU2877" s="214"/>
      <c r="AV2877" s="214"/>
      <c r="AW2877" s="214"/>
      <c r="AX2877" s="214"/>
      <c r="AY2877" s="214"/>
      <c r="AZ2877" s="214"/>
      <c r="BA2877" s="214"/>
      <c r="BB2877" s="214"/>
      <c r="BC2877" s="214"/>
      <c r="BD2877" s="214"/>
      <c r="BE2877" s="214"/>
      <c r="BF2877" s="214"/>
      <c r="BG2877" s="214"/>
      <c r="BH2877" s="214"/>
      <c r="BI2877" s="214"/>
      <c r="BJ2877" s="214"/>
      <c r="BK2877" s="214"/>
      <c r="BL2877" s="214"/>
      <c r="BM2877" s="214"/>
      <c r="BN2877" s="214"/>
      <c r="BO2877" s="214"/>
      <c r="BP2877" s="214"/>
      <c r="BQ2877" s="214"/>
      <c r="BR2877" s="214"/>
      <c r="BS2877" s="214"/>
      <c r="BT2877" s="214"/>
      <c r="BU2877" s="214"/>
      <c r="BV2877" s="214"/>
      <c r="BW2877" s="214"/>
      <c r="BX2877" s="214"/>
      <c r="BY2877" s="214"/>
      <c r="BZ2877" s="214"/>
      <c r="CA2877" s="214"/>
      <c r="CB2877" s="214"/>
      <c r="CC2877" s="214"/>
      <c r="CD2877" s="214"/>
      <c r="CE2877" s="227"/>
      <c r="CF2877" s="227"/>
      <c r="CG2877" s="227"/>
      <c r="CH2877" s="76"/>
      <c r="CI2877" s="227" t="s">
        <v>2679</v>
      </c>
      <c r="CJ2877" s="227"/>
      <c r="CK2877" s="227"/>
      <c r="CL2877" s="227"/>
      <c r="CM2877" s="226"/>
    </row>
    <row r="2878" spans="1:91">
      <c r="A2878" s="421"/>
      <c r="B2878" s="421"/>
      <c r="C2878" s="658" t="s">
        <v>2394</v>
      </c>
      <c r="D2878" s="705" t="s">
        <v>2395</v>
      </c>
      <c r="E2878" s="421"/>
      <c r="F2878" s="421"/>
      <c r="G2878" s="421" t="s">
        <v>2396</v>
      </c>
      <c r="H2878" s="676"/>
      <c r="I2878" s="459"/>
      <c r="J2878" s="459"/>
      <c r="K2878" s="427"/>
      <c r="L2878" s="688"/>
      <c r="M2878" s="457"/>
      <c r="N2878" s="458"/>
      <c r="O2878" s="458"/>
      <c r="P2878" s="688"/>
      <c r="Q2878" s="408"/>
      <c r="R2878" s="490"/>
      <c r="S2878" s="490"/>
      <c r="T2878" s="490"/>
      <c r="U2878" s="214"/>
      <c r="V2878" s="214"/>
      <c r="W2878" s="214"/>
      <c r="X2878" s="214">
        <f t="shared" ref="X2878:X2888" si="1225">SUMIF($L:$L,$C2878,X:X)</f>
        <v>-707118.75</v>
      </c>
      <c r="Y2878" s="214"/>
      <c r="Z2878" s="214"/>
      <c r="AA2878" s="214"/>
      <c r="AB2878" s="214">
        <f t="shared" ref="AB2878:AO2888" si="1226">SUMIF($L:$L,$C2878,AB:AB)</f>
        <v>-702000</v>
      </c>
      <c r="AC2878" s="214">
        <f t="shared" si="1226"/>
        <v>-707850</v>
      </c>
      <c r="AD2878" s="214">
        <f t="shared" si="1226"/>
        <v>-707850</v>
      </c>
      <c r="AE2878" s="214">
        <f t="shared" si="1226"/>
        <v>-707850</v>
      </c>
      <c r="AF2878" s="214">
        <f t="shared" si="1226"/>
        <v>-707850</v>
      </c>
      <c r="AG2878" s="214">
        <f t="shared" si="1226"/>
        <v>-707850</v>
      </c>
      <c r="AH2878" s="214">
        <f t="shared" si="1226"/>
        <v>-707850</v>
      </c>
      <c r="AI2878" s="214">
        <f t="shared" si="1226"/>
        <v>-707850</v>
      </c>
      <c r="AJ2878" s="214">
        <f t="shared" si="1226"/>
        <v>-707850</v>
      </c>
      <c r="AK2878" s="214">
        <f t="shared" si="1226"/>
        <v>-707850</v>
      </c>
      <c r="AL2878" s="214">
        <f t="shared" si="1226"/>
        <v>-707850</v>
      </c>
      <c r="AM2878" s="214">
        <f t="shared" si="1226"/>
        <v>-707850</v>
      </c>
      <c r="AN2878" s="214">
        <f t="shared" si="1226"/>
        <v>-702000</v>
      </c>
      <c r="AO2878" s="214">
        <f t="shared" si="1226"/>
        <v>-702000</v>
      </c>
      <c r="AP2878" s="214"/>
      <c r="AQ2878" s="214"/>
      <c r="AR2878" s="214"/>
      <c r="AS2878" s="214"/>
      <c r="AT2878" s="214"/>
      <c r="AU2878" s="214"/>
      <c r="AV2878" s="214"/>
      <c r="AW2878" s="214"/>
      <c r="AX2878" s="214"/>
      <c r="AY2878" s="214"/>
      <c r="AZ2878" s="214"/>
      <c r="BA2878" s="214"/>
      <c r="BB2878" s="214"/>
      <c r="BC2878" s="214"/>
      <c r="BD2878" s="214"/>
      <c r="BE2878" s="214"/>
      <c r="BF2878" s="214"/>
      <c r="BG2878" s="214"/>
      <c r="BH2878" s="214"/>
      <c r="BI2878" s="214"/>
      <c r="BJ2878" s="214"/>
      <c r="BK2878" s="214"/>
      <c r="BL2878" s="214"/>
      <c r="BM2878" s="214"/>
      <c r="BN2878" s="214"/>
      <c r="BO2878" s="214"/>
      <c r="BP2878" s="214"/>
      <c r="BQ2878" s="214"/>
      <c r="BR2878" s="214"/>
      <c r="BS2878" s="214"/>
      <c r="BT2878" s="214"/>
      <c r="BU2878" s="214"/>
      <c r="BV2878" s="214"/>
      <c r="BW2878" s="214"/>
      <c r="BX2878" s="214"/>
      <c r="BY2878" s="214"/>
      <c r="BZ2878" s="214"/>
      <c r="CA2878" s="214"/>
      <c r="CB2878" s="214"/>
      <c r="CC2878" s="214"/>
      <c r="CD2878" s="214"/>
      <c r="CE2878" s="225"/>
      <c r="CF2878" s="225"/>
      <c r="CG2878" s="225"/>
      <c r="CH2878" s="165"/>
      <c r="CI2878" s="225" t="s">
        <v>2679</v>
      </c>
      <c r="CJ2878" s="225"/>
      <c r="CK2878" s="225"/>
      <c r="CL2878" s="225"/>
      <c r="CM2878" s="224"/>
    </row>
    <row r="2879" spans="1:91">
      <c r="A2879" s="421"/>
      <c r="B2879" s="421"/>
      <c r="C2879" s="658" t="s">
        <v>2411</v>
      </c>
      <c r="D2879" s="705" t="s">
        <v>2395</v>
      </c>
      <c r="E2879" s="421"/>
      <c r="F2879" s="421"/>
      <c r="G2879" s="421" t="s">
        <v>2412</v>
      </c>
      <c r="H2879" s="676"/>
      <c r="I2879" s="459"/>
      <c r="J2879" s="459"/>
      <c r="K2879" s="427"/>
      <c r="L2879" s="688"/>
      <c r="M2879" s="457"/>
      <c r="N2879" s="458"/>
      <c r="O2879" s="458"/>
      <c r="P2879" s="688"/>
      <c r="Q2879" s="408"/>
      <c r="R2879" s="490"/>
      <c r="S2879" s="490"/>
      <c r="T2879" s="490"/>
      <c r="U2879" s="214"/>
      <c r="V2879" s="214"/>
      <c r="W2879" s="214"/>
      <c r="X2879" s="214">
        <f t="shared" si="1225"/>
        <v>714.13432</v>
      </c>
      <c r="Y2879" s="214"/>
      <c r="Z2879" s="214"/>
      <c r="AA2879" s="214"/>
      <c r="AB2879" s="214">
        <f t="shared" si="1226"/>
        <v>687.80547999999999</v>
      </c>
      <c r="AC2879" s="214">
        <f t="shared" si="1226"/>
        <v>740.46316000000002</v>
      </c>
      <c r="AD2879" s="214">
        <f t="shared" si="1226"/>
        <v>736.07501999999999</v>
      </c>
      <c r="AE2879" s="214">
        <f t="shared" si="1226"/>
        <v>731.68687999999997</v>
      </c>
      <c r="AF2879" s="214">
        <f t="shared" si="1226"/>
        <v>727.29873999999995</v>
      </c>
      <c r="AG2879" s="214">
        <f t="shared" si="1226"/>
        <v>722.91059999999993</v>
      </c>
      <c r="AH2879" s="214">
        <f t="shared" si="1226"/>
        <v>718.52245999999991</v>
      </c>
      <c r="AI2879" s="214">
        <f t="shared" si="1226"/>
        <v>714.13432</v>
      </c>
      <c r="AJ2879" s="214">
        <f t="shared" si="1226"/>
        <v>709.74618000000009</v>
      </c>
      <c r="AK2879" s="214">
        <f t="shared" si="1226"/>
        <v>705.35804000000007</v>
      </c>
      <c r="AL2879" s="214">
        <f t="shared" si="1226"/>
        <v>700.96990000000005</v>
      </c>
      <c r="AM2879" s="214">
        <f t="shared" si="1226"/>
        <v>696.58176000000003</v>
      </c>
      <c r="AN2879" s="214">
        <f t="shared" si="1226"/>
        <v>692.19362000000001</v>
      </c>
      <c r="AO2879" s="214">
        <f t="shared" si="1226"/>
        <v>687.80547999999999</v>
      </c>
      <c r="AP2879" s="214"/>
      <c r="AQ2879" s="214"/>
      <c r="AR2879" s="214"/>
      <c r="AS2879" s="214"/>
      <c r="AT2879" s="214"/>
      <c r="AU2879" s="214"/>
      <c r="AV2879" s="214"/>
      <c r="AW2879" s="214"/>
      <c r="AX2879" s="214"/>
      <c r="AY2879" s="214"/>
      <c r="AZ2879" s="214"/>
      <c r="BA2879" s="214"/>
      <c r="BB2879" s="214"/>
      <c r="BC2879" s="214"/>
      <c r="BD2879" s="214"/>
      <c r="BE2879" s="214"/>
      <c r="BF2879" s="214"/>
      <c r="BG2879" s="214"/>
      <c r="BH2879" s="214"/>
      <c r="BI2879" s="214"/>
      <c r="BJ2879" s="214"/>
      <c r="BK2879" s="214"/>
      <c r="BL2879" s="214"/>
      <c r="BM2879" s="214"/>
      <c r="BN2879" s="214"/>
      <c r="BO2879" s="214"/>
      <c r="BP2879" s="214"/>
      <c r="BQ2879" s="214"/>
      <c r="BR2879" s="214"/>
      <c r="BS2879" s="214"/>
      <c r="BT2879" s="214"/>
      <c r="BU2879" s="214"/>
      <c r="BV2879" s="214"/>
      <c r="BW2879" s="214"/>
      <c r="BX2879" s="214"/>
      <c r="BY2879" s="214"/>
      <c r="BZ2879" s="214"/>
      <c r="CA2879" s="214"/>
      <c r="CB2879" s="214"/>
      <c r="CC2879" s="214"/>
      <c r="CD2879" s="214"/>
      <c r="CE2879" s="225"/>
      <c r="CF2879" s="225"/>
      <c r="CG2879" s="225"/>
      <c r="CH2879" s="165"/>
      <c r="CI2879" s="225" t="s">
        <v>2679</v>
      </c>
      <c r="CJ2879" s="225"/>
      <c r="CK2879" s="225"/>
      <c r="CL2879" s="225"/>
      <c r="CM2879" s="224"/>
    </row>
    <row r="2880" spans="1:91">
      <c r="A2880" s="421"/>
      <c r="B2880" s="421"/>
      <c r="C2880" s="658" t="s">
        <v>2413</v>
      </c>
      <c r="D2880" s="705" t="s">
        <v>2395</v>
      </c>
      <c r="E2880" s="421"/>
      <c r="F2880" s="421"/>
      <c r="G2880" s="421" t="s">
        <v>2414</v>
      </c>
      <c r="H2880" s="676"/>
      <c r="I2880" s="459"/>
      <c r="J2880" s="459"/>
      <c r="K2880" s="427"/>
      <c r="L2880" s="688"/>
      <c r="M2880" s="457"/>
      <c r="N2880" s="458"/>
      <c r="O2880" s="458"/>
      <c r="P2880" s="688"/>
      <c r="Q2880" s="408"/>
      <c r="R2880" s="490"/>
      <c r="S2880" s="490"/>
      <c r="T2880" s="490"/>
      <c r="U2880" s="214"/>
      <c r="V2880" s="214"/>
      <c r="W2880" s="214"/>
      <c r="X2880" s="214">
        <f t="shared" si="1225"/>
        <v>0</v>
      </c>
      <c r="Y2880" s="214"/>
      <c r="Z2880" s="214"/>
      <c r="AA2880" s="214"/>
      <c r="AB2880" s="214">
        <f t="shared" si="1226"/>
        <v>0</v>
      </c>
      <c r="AC2880" s="214">
        <f t="shared" si="1226"/>
        <v>0</v>
      </c>
      <c r="AD2880" s="214">
        <f t="shared" si="1226"/>
        <v>0</v>
      </c>
      <c r="AE2880" s="214">
        <f t="shared" si="1226"/>
        <v>0</v>
      </c>
      <c r="AF2880" s="214">
        <f t="shared" si="1226"/>
        <v>0</v>
      </c>
      <c r="AG2880" s="214">
        <f t="shared" si="1226"/>
        <v>0</v>
      </c>
      <c r="AH2880" s="214">
        <f t="shared" si="1226"/>
        <v>0</v>
      </c>
      <c r="AI2880" s="214">
        <f t="shared" si="1226"/>
        <v>0</v>
      </c>
      <c r="AJ2880" s="214">
        <f t="shared" si="1226"/>
        <v>0</v>
      </c>
      <c r="AK2880" s="214">
        <f t="shared" si="1226"/>
        <v>0</v>
      </c>
      <c r="AL2880" s="214">
        <f t="shared" si="1226"/>
        <v>0</v>
      </c>
      <c r="AM2880" s="214">
        <f t="shared" si="1226"/>
        <v>0</v>
      </c>
      <c r="AN2880" s="214">
        <f t="shared" si="1226"/>
        <v>0</v>
      </c>
      <c r="AO2880" s="214">
        <f t="shared" si="1226"/>
        <v>0</v>
      </c>
      <c r="AP2880" s="214"/>
      <c r="AQ2880" s="214"/>
      <c r="AR2880" s="214"/>
      <c r="AS2880" s="214"/>
      <c r="AT2880" s="214"/>
      <c r="AU2880" s="214"/>
      <c r="AV2880" s="214"/>
      <c r="AW2880" s="214"/>
      <c r="AX2880" s="214"/>
      <c r="AY2880" s="214"/>
      <c r="AZ2880" s="214"/>
      <c r="BA2880" s="214"/>
      <c r="BB2880" s="214"/>
      <c r="BC2880" s="214"/>
      <c r="BD2880" s="214"/>
      <c r="BE2880" s="214"/>
      <c r="BF2880" s="214"/>
      <c r="BG2880" s="214"/>
      <c r="BH2880" s="214"/>
      <c r="BI2880" s="214"/>
      <c r="BJ2880" s="214"/>
      <c r="BK2880" s="214"/>
      <c r="BL2880" s="214"/>
      <c r="BM2880" s="214"/>
      <c r="BN2880" s="214"/>
      <c r="BO2880" s="214"/>
      <c r="BP2880" s="214"/>
      <c r="BQ2880" s="214"/>
      <c r="BR2880" s="214"/>
      <c r="BS2880" s="214"/>
      <c r="BT2880" s="214"/>
      <c r="BU2880" s="214"/>
      <c r="BV2880" s="214"/>
      <c r="BW2880" s="214"/>
      <c r="BX2880" s="214"/>
      <c r="BY2880" s="214"/>
      <c r="BZ2880" s="214"/>
      <c r="CA2880" s="214"/>
      <c r="CB2880" s="214"/>
      <c r="CC2880" s="214"/>
      <c r="CD2880" s="214"/>
      <c r="CE2880" s="225"/>
      <c r="CF2880" s="225"/>
      <c r="CG2880" s="225"/>
      <c r="CH2880" s="165"/>
      <c r="CI2880" s="225" t="s">
        <v>2679</v>
      </c>
      <c r="CJ2880" s="225"/>
      <c r="CK2880" s="225"/>
      <c r="CL2880" s="225"/>
      <c r="CM2880" s="224"/>
    </row>
    <row r="2881" spans="1:91">
      <c r="A2881" s="421"/>
      <c r="B2881" s="421"/>
      <c r="C2881" s="658" t="s">
        <v>2415</v>
      </c>
      <c r="D2881" s="705" t="s">
        <v>2395</v>
      </c>
      <c r="E2881" s="421"/>
      <c r="F2881" s="421"/>
      <c r="G2881" s="421" t="s">
        <v>2416</v>
      </c>
      <c r="H2881" s="676"/>
      <c r="I2881" s="459"/>
      <c r="J2881" s="459"/>
      <c r="K2881" s="427"/>
      <c r="L2881" s="688"/>
      <c r="M2881" s="457"/>
      <c r="N2881" s="458"/>
      <c r="O2881" s="458"/>
      <c r="P2881" s="688"/>
      <c r="Q2881" s="408"/>
      <c r="R2881" s="490"/>
      <c r="S2881" s="490"/>
      <c r="T2881" s="490"/>
      <c r="U2881" s="214"/>
      <c r="V2881" s="214"/>
      <c r="W2881" s="214"/>
      <c r="X2881" s="214">
        <f t="shared" si="1225"/>
        <v>0</v>
      </c>
      <c r="Y2881" s="214"/>
      <c r="Z2881" s="214"/>
      <c r="AA2881" s="214"/>
      <c r="AB2881" s="214">
        <f t="shared" si="1226"/>
        <v>0</v>
      </c>
      <c r="AC2881" s="214">
        <f t="shared" si="1226"/>
        <v>0</v>
      </c>
      <c r="AD2881" s="214">
        <f t="shared" si="1226"/>
        <v>0</v>
      </c>
      <c r="AE2881" s="214">
        <f t="shared" si="1226"/>
        <v>0</v>
      </c>
      <c r="AF2881" s="214">
        <f t="shared" si="1226"/>
        <v>0</v>
      </c>
      <c r="AG2881" s="214">
        <f t="shared" si="1226"/>
        <v>0</v>
      </c>
      <c r="AH2881" s="214">
        <f t="shared" si="1226"/>
        <v>0</v>
      </c>
      <c r="AI2881" s="214">
        <f t="shared" si="1226"/>
        <v>0</v>
      </c>
      <c r="AJ2881" s="214">
        <f t="shared" si="1226"/>
        <v>0</v>
      </c>
      <c r="AK2881" s="214">
        <f t="shared" si="1226"/>
        <v>0</v>
      </c>
      <c r="AL2881" s="214">
        <f t="shared" si="1226"/>
        <v>0</v>
      </c>
      <c r="AM2881" s="214">
        <f t="shared" si="1226"/>
        <v>0</v>
      </c>
      <c r="AN2881" s="214">
        <f t="shared" si="1226"/>
        <v>0</v>
      </c>
      <c r="AO2881" s="214">
        <f t="shared" si="1226"/>
        <v>0</v>
      </c>
      <c r="AP2881" s="214"/>
      <c r="AQ2881" s="214"/>
      <c r="AR2881" s="214"/>
      <c r="AS2881" s="214"/>
      <c r="AT2881" s="214"/>
      <c r="AU2881" s="214"/>
      <c r="AV2881" s="214"/>
      <c r="AW2881" s="214"/>
      <c r="AX2881" s="214"/>
      <c r="AY2881" s="214"/>
      <c r="AZ2881" s="214"/>
      <c r="BA2881" s="214"/>
      <c r="BB2881" s="214"/>
      <c r="BC2881" s="214"/>
      <c r="BD2881" s="214"/>
      <c r="BE2881" s="214"/>
      <c r="BF2881" s="214"/>
      <c r="BG2881" s="214"/>
      <c r="BH2881" s="214"/>
      <c r="BI2881" s="214"/>
      <c r="BJ2881" s="214"/>
      <c r="BK2881" s="214"/>
      <c r="BL2881" s="214"/>
      <c r="BM2881" s="214"/>
      <c r="BN2881" s="214"/>
      <c r="BO2881" s="214"/>
      <c r="BP2881" s="214"/>
      <c r="BQ2881" s="214"/>
      <c r="BR2881" s="214"/>
      <c r="BS2881" s="214"/>
      <c r="BT2881" s="214"/>
      <c r="BU2881" s="214"/>
      <c r="BV2881" s="214"/>
      <c r="BW2881" s="214"/>
      <c r="BX2881" s="214"/>
      <c r="BY2881" s="214"/>
      <c r="BZ2881" s="214"/>
      <c r="CA2881" s="214"/>
      <c r="CB2881" s="214"/>
      <c r="CC2881" s="214"/>
      <c r="CD2881" s="214"/>
      <c r="CE2881" s="225"/>
      <c r="CF2881" s="225"/>
      <c r="CG2881" s="225"/>
      <c r="CH2881" s="165"/>
      <c r="CI2881" s="225" t="s">
        <v>2679</v>
      </c>
      <c r="CJ2881" s="225"/>
      <c r="CK2881" s="225"/>
      <c r="CL2881" s="225"/>
      <c r="CM2881" s="224"/>
    </row>
    <row r="2882" spans="1:91">
      <c r="A2882" s="421"/>
      <c r="B2882" s="421"/>
      <c r="C2882" s="658" t="s">
        <v>2417</v>
      </c>
      <c r="D2882" s="705" t="s">
        <v>2395</v>
      </c>
      <c r="E2882" s="421"/>
      <c r="F2882" s="421"/>
      <c r="G2882" s="421" t="s">
        <v>2418</v>
      </c>
      <c r="H2882" s="676"/>
      <c r="I2882" s="459"/>
      <c r="J2882" s="459"/>
      <c r="K2882" s="427"/>
      <c r="L2882" s="688"/>
      <c r="M2882" s="457"/>
      <c r="N2882" s="458"/>
      <c r="O2882" s="458"/>
      <c r="P2882" s="688"/>
      <c r="Q2882" s="408"/>
      <c r="R2882" s="490"/>
      <c r="S2882" s="490"/>
      <c r="T2882" s="490"/>
      <c r="U2882" s="214"/>
      <c r="V2882" s="214"/>
      <c r="W2882" s="214"/>
      <c r="X2882" s="214">
        <f t="shared" si="1225"/>
        <v>10848.393110416671</v>
      </c>
      <c r="Y2882" s="214"/>
      <c r="Z2882" s="214"/>
      <c r="AA2882" s="214"/>
      <c r="AB2882" s="214">
        <f t="shared" si="1226"/>
        <v>10256.50942</v>
      </c>
      <c r="AC2882" s="214">
        <f t="shared" si="1226"/>
        <v>11308.941829999998</v>
      </c>
      <c r="AD2882" s="214">
        <f t="shared" si="1226"/>
        <v>11231.50246</v>
      </c>
      <c r="AE2882" s="214">
        <f t="shared" si="1226"/>
        <v>11154.06309</v>
      </c>
      <c r="AF2882" s="214">
        <f t="shared" si="1226"/>
        <v>11076.62372</v>
      </c>
      <c r="AG2882" s="214">
        <f t="shared" si="1226"/>
        <v>10999.18435</v>
      </c>
      <c r="AH2882" s="214">
        <f t="shared" si="1226"/>
        <v>10921.744980000001</v>
      </c>
      <c r="AI2882" s="214">
        <f t="shared" si="1226"/>
        <v>10857.420610000001</v>
      </c>
      <c r="AJ2882" s="214">
        <f t="shared" si="1226"/>
        <v>10781.166839999998</v>
      </c>
      <c r="AK2882" s="214">
        <f t="shared" si="1226"/>
        <v>10733.72747</v>
      </c>
      <c r="AL2882" s="214">
        <f t="shared" si="1226"/>
        <v>10656.2881</v>
      </c>
      <c r="AM2882" s="214">
        <f t="shared" si="1226"/>
        <v>10585.61873</v>
      </c>
      <c r="AN2882" s="214">
        <f t="shared" si="1226"/>
        <v>10400.65135</v>
      </c>
      <c r="AO2882" s="214">
        <f t="shared" si="1226"/>
        <v>10256.50942</v>
      </c>
      <c r="AP2882" s="214"/>
      <c r="AQ2882" s="214"/>
      <c r="AR2882" s="214"/>
      <c r="AS2882" s="214"/>
      <c r="AT2882" s="214"/>
      <c r="AU2882" s="214"/>
      <c r="AV2882" s="214"/>
      <c r="AW2882" s="214"/>
      <c r="AX2882" s="214"/>
      <c r="AY2882" s="214"/>
      <c r="AZ2882" s="214"/>
      <c r="BA2882" s="214"/>
      <c r="BB2882" s="214"/>
      <c r="BC2882" s="214"/>
      <c r="BD2882" s="214"/>
      <c r="BE2882" s="214"/>
      <c r="BF2882" s="214"/>
      <c r="BG2882" s="214"/>
      <c r="BH2882" s="214"/>
      <c r="BI2882" s="214"/>
      <c r="BJ2882" s="214"/>
      <c r="BK2882" s="214"/>
      <c r="BL2882" s="214"/>
      <c r="BM2882" s="214"/>
      <c r="BN2882" s="214"/>
      <c r="BO2882" s="214"/>
      <c r="BP2882" s="214"/>
      <c r="BQ2882" s="214"/>
      <c r="BR2882" s="214"/>
      <c r="BS2882" s="214"/>
      <c r="BT2882" s="214"/>
      <c r="BU2882" s="214"/>
      <c r="BV2882" s="214"/>
      <c r="BW2882" s="214"/>
      <c r="BX2882" s="214"/>
      <c r="BY2882" s="214"/>
      <c r="BZ2882" s="214"/>
      <c r="CA2882" s="214"/>
      <c r="CB2882" s="214"/>
      <c r="CC2882" s="214"/>
      <c r="CD2882" s="214"/>
      <c r="CE2882" s="225"/>
      <c r="CF2882" s="225"/>
      <c r="CG2882" s="225"/>
      <c r="CH2882" s="165"/>
      <c r="CI2882" s="225" t="s">
        <v>2679</v>
      </c>
      <c r="CJ2882" s="225"/>
      <c r="CK2882" s="225"/>
      <c r="CL2882" s="225"/>
      <c r="CM2882" s="224"/>
    </row>
    <row r="2883" spans="1:91">
      <c r="A2883" s="421"/>
      <c r="B2883" s="421"/>
      <c r="C2883" s="658" t="s">
        <v>2397</v>
      </c>
      <c r="D2883" s="705" t="s">
        <v>2395</v>
      </c>
      <c r="E2883" s="421"/>
      <c r="F2883" s="421"/>
      <c r="G2883" s="421" t="s">
        <v>2398</v>
      </c>
      <c r="H2883" s="676"/>
      <c r="I2883" s="459"/>
      <c r="J2883" s="459"/>
      <c r="K2883" s="427"/>
      <c r="L2883" s="688"/>
      <c r="M2883" s="457"/>
      <c r="N2883" s="458"/>
      <c r="O2883" s="458"/>
      <c r="P2883" s="688"/>
      <c r="Q2883" s="408"/>
      <c r="R2883" s="490"/>
      <c r="S2883" s="490"/>
      <c r="T2883" s="490"/>
      <c r="U2883" s="214"/>
      <c r="V2883" s="214"/>
      <c r="W2883" s="214"/>
      <c r="X2883" s="214">
        <f t="shared" si="1225"/>
        <v>-4574.36796208333</v>
      </c>
      <c r="Y2883" s="214"/>
      <c r="Z2883" s="214"/>
      <c r="AA2883" s="214"/>
      <c r="AB2883" s="214">
        <f t="shared" si="1226"/>
        <v>-4435.6873900000001</v>
      </c>
      <c r="AC2883" s="214">
        <f t="shared" si="1226"/>
        <v>-4617.71054</v>
      </c>
      <c r="AD2883" s="214">
        <f t="shared" si="1226"/>
        <v>-4598.2344699999994</v>
      </c>
      <c r="AE2883" s="214">
        <f t="shared" si="1226"/>
        <v>-4657.3529100000005</v>
      </c>
      <c r="AF2883" s="214">
        <f t="shared" si="1226"/>
        <v>-4861.5326299999997</v>
      </c>
      <c r="AG2883" s="214">
        <f t="shared" si="1226"/>
        <v>-4863.9323299999996</v>
      </c>
      <c r="AH2883" s="214">
        <f t="shared" si="1226"/>
        <v>-4866.6291700000002</v>
      </c>
      <c r="AI2883" s="214">
        <f t="shared" si="1226"/>
        <v>-4468.4457899999998</v>
      </c>
      <c r="AJ2883" s="214">
        <f t="shared" si="1226"/>
        <v>-4415.2838000000002</v>
      </c>
      <c r="AK2883" s="214">
        <f t="shared" si="1226"/>
        <v>-4432.1991100000005</v>
      </c>
      <c r="AL2883" s="214">
        <f t="shared" si="1226"/>
        <v>-4379.4879099999998</v>
      </c>
      <c r="AM2883" s="214">
        <f t="shared" si="1226"/>
        <v>-4384.8143499999996</v>
      </c>
      <c r="AN2883" s="214">
        <f t="shared" si="1226"/>
        <v>-4437.80411</v>
      </c>
      <c r="AO2883" s="214">
        <f t="shared" si="1226"/>
        <v>-4435.6873900000001</v>
      </c>
      <c r="AP2883" s="214"/>
      <c r="AQ2883" s="214"/>
      <c r="AR2883" s="214"/>
      <c r="AS2883" s="214"/>
      <c r="AT2883" s="214"/>
      <c r="AU2883" s="214"/>
      <c r="AV2883" s="214"/>
      <c r="AW2883" s="214"/>
      <c r="AX2883" s="214"/>
      <c r="AY2883" s="214"/>
      <c r="AZ2883" s="214"/>
      <c r="BA2883" s="214"/>
      <c r="BB2883" s="214"/>
      <c r="BC2883" s="214"/>
      <c r="BD2883" s="214"/>
      <c r="BE2883" s="214"/>
      <c r="BF2883" s="214"/>
      <c r="BG2883" s="214"/>
      <c r="BH2883" s="214"/>
      <c r="BI2883" s="214"/>
      <c r="BJ2883" s="214"/>
      <c r="BK2883" s="214"/>
      <c r="BL2883" s="214"/>
      <c r="BM2883" s="214"/>
      <c r="BN2883" s="214"/>
      <c r="BO2883" s="214"/>
      <c r="BP2883" s="214"/>
      <c r="BQ2883" s="214"/>
      <c r="BR2883" s="214"/>
      <c r="BS2883" s="214"/>
      <c r="BT2883" s="214"/>
      <c r="BU2883" s="214"/>
      <c r="BV2883" s="214"/>
      <c r="BW2883" s="214"/>
      <c r="BX2883" s="214"/>
      <c r="BY2883" s="214"/>
      <c r="BZ2883" s="214"/>
      <c r="CA2883" s="214"/>
      <c r="CB2883" s="214"/>
      <c r="CC2883" s="214"/>
      <c r="CD2883" s="214"/>
      <c r="CE2883" s="225"/>
      <c r="CF2883" s="225"/>
      <c r="CG2883" s="225"/>
      <c r="CH2883" s="165"/>
      <c r="CI2883" s="225" t="s">
        <v>2679</v>
      </c>
      <c r="CJ2883" s="225"/>
      <c r="CK2883" s="225"/>
      <c r="CL2883" s="225"/>
      <c r="CM2883" s="224"/>
    </row>
    <row r="2884" spans="1:91">
      <c r="A2884" s="421"/>
      <c r="B2884" s="421"/>
      <c r="C2884" s="658" t="s">
        <v>2399</v>
      </c>
      <c r="D2884" s="705" t="s">
        <v>2395</v>
      </c>
      <c r="E2884" s="421"/>
      <c r="F2884" s="421"/>
      <c r="G2884" s="421" t="s">
        <v>1552</v>
      </c>
      <c r="H2884" s="676"/>
      <c r="I2884" s="459"/>
      <c r="J2884" s="459"/>
      <c r="K2884" s="427"/>
      <c r="L2884" s="688"/>
      <c r="M2884" s="457"/>
      <c r="N2884" s="458"/>
      <c r="O2884" s="458"/>
      <c r="P2884" s="688"/>
      <c r="Q2884" s="408"/>
      <c r="R2884" s="490"/>
      <c r="S2884" s="490"/>
      <c r="T2884" s="490"/>
      <c r="U2884" s="214"/>
      <c r="V2884" s="214"/>
      <c r="W2884" s="214"/>
      <c r="X2884" s="214">
        <f t="shared" si="1225"/>
        <v>0</v>
      </c>
      <c r="Y2884" s="214"/>
      <c r="Z2884" s="214"/>
      <c r="AA2884" s="214"/>
      <c r="AB2884" s="214">
        <f t="shared" si="1226"/>
        <v>0</v>
      </c>
      <c r="AC2884" s="214">
        <f t="shared" si="1226"/>
        <v>0</v>
      </c>
      <c r="AD2884" s="214">
        <f t="shared" si="1226"/>
        <v>0</v>
      </c>
      <c r="AE2884" s="214">
        <f t="shared" si="1226"/>
        <v>0</v>
      </c>
      <c r="AF2884" s="214">
        <f t="shared" si="1226"/>
        <v>0</v>
      </c>
      <c r="AG2884" s="214">
        <f t="shared" si="1226"/>
        <v>0</v>
      </c>
      <c r="AH2884" s="214">
        <f t="shared" si="1226"/>
        <v>0</v>
      </c>
      <c r="AI2884" s="214">
        <f t="shared" si="1226"/>
        <v>0</v>
      </c>
      <c r="AJ2884" s="214">
        <f t="shared" si="1226"/>
        <v>0</v>
      </c>
      <c r="AK2884" s="214">
        <f t="shared" si="1226"/>
        <v>0</v>
      </c>
      <c r="AL2884" s="214">
        <f t="shared" si="1226"/>
        <v>0</v>
      </c>
      <c r="AM2884" s="214">
        <f t="shared" si="1226"/>
        <v>0</v>
      </c>
      <c r="AN2884" s="214">
        <f t="shared" si="1226"/>
        <v>0</v>
      </c>
      <c r="AO2884" s="214">
        <f t="shared" si="1226"/>
        <v>0</v>
      </c>
      <c r="AP2884" s="214"/>
      <c r="AQ2884" s="214"/>
      <c r="AR2884" s="214"/>
      <c r="AS2884" s="214"/>
      <c r="AT2884" s="214"/>
      <c r="AU2884" s="214"/>
      <c r="AV2884" s="214"/>
      <c r="AW2884" s="214"/>
      <c r="AX2884" s="214"/>
      <c r="AY2884" s="214"/>
      <c r="AZ2884" s="214"/>
      <c r="BA2884" s="214"/>
      <c r="BB2884" s="214"/>
      <c r="BC2884" s="214"/>
      <c r="BD2884" s="214"/>
      <c r="BE2884" s="214"/>
      <c r="BF2884" s="214"/>
      <c r="BG2884" s="214"/>
      <c r="BH2884" s="214"/>
      <c r="BI2884" s="214"/>
      <c r="BJ2884" s="214"/>
      <c r="BK2884" s="214"/>
      <c r="BL2884" s="214"/>
      <c r="BM2884" s="214"/>
      <c r="BN2884" s="214"/>
      <c r="BO2884" s="214"/>
      <c r="BP2884" s="214"/>
      <c r="BQ2884" s="214"/>
      <c r="BR2884" s="214"/>
      <c r="BS2884" s="214"/>
      <c r="BT2884" s="214"/>
      <c r="BU2884" s="214"/>
      <c r="BV2884" s="214"/>
      <c r="BW2884" s="214"/>
      <c r="BX2884" s="214"/>
      <c r="BY2884" s="214"/>
      <c r="BZ2884" s="214"/>
      <c r="CA2884" s="214"/>
      <c r="CB2884" s="214"/>
      <c r="CC2884" s="214"/>
      <c r="CD2884" s="214"/>
      <c r="CE2884" s="225"/>
      <c r="CF2884" s="225"/>
      <c r="CG2884" s="225"/>
      <c r="CH2884" s="165"/>
      <c r="CI2884" s="225" t="s">
        <v>2679</v>
      </c>
      <c r="CJ2884" s="225"/>
      <c r="CK2884" s="225"/>
      <c r="CL2884" s="225"/>
      <c r="CM2884" s="224"/>
    </row>
    <row r="2885" spans="1:91">
      <c r="A2885" s="421"/>
      <c r="B2885" s="421"/>
      <c r="C2885" s="658" t="s">
        <v>2400</v>
      </c>
      <c r="D2885" s="705" t="s">
        <v>2395</v>
      </c>
      <c r="E2885" s="421"/>
      <c r="F2885" s="421"/>
      <c r="G2885" s="421" t="s">
        <v>2401</v>
      </c>
      <c r="H2885" s="676"/>
      <c r="I2885" s="459"/>
      <c r="J2885" s="459"/>
      <c r="K2885" s="427"/>
      <c r="L2885" s="688"/>
      <c r="M2885" s="457"/>
      <c r="N2885" s="458"/>
      <c r="O2885" s="458"/>
      <c r="P2885" s="688"/>
      <c r="Q2885" s="408"/>
      <c r="R2885" s="490"/>
      <c r="S2885" s="490"/>
      <c r="T2885" s="490"/>
      <c r="U2885" s="214"/>
      <c r="V2885" s="214"/>
      <c r="W2885" s="214"/>
      <c r="X2885" s="214">
        <f t="shared" si="1225"/>
        <v>0</v>
      </c>
      <c r="Y2885" s="214"/>
      <c r="Z2885" s="214"/>
      <c r="AA2885" s="214"/>
      <c r="AB2885" s="214">
        <f t="shared" si="1226"/>
        <v>0</v>
      </c>
      <c r="AC2885" s="214">
        <f t="shared" si="1226"/>
        <v>0</v>
      </c>
      <c r="AD2885" s="214">
        <f t="shared" si="1226"/>
        <v>0</v>
      </c>
      <c r="AE2885" s="214">
        <f t="shared" si="1226"/>
        <v>0</v>
      </c>
      <c r="AF2885" s="214">
        <f t="shared" si="1226"/>
        <v>0</v>
      </c>
      <c r="AG2885" s="214">
        <f t="shared" si="1226"/>
        <v>0</v>
      </c>
      <c r="AH2885" s="214">
        <f t="shared" si="1226"/>
        <v>0</v>
      </c>
      <c r="AI2885" s="214">
        <f t="shared" si="1226"/>
        <v>0</v>
      </c>
      <c r="AJ2885" s="214">
        <f t="shared" si="1226"/>
        <v>0</v>
      </c>
      <c r="AK2885" s="214">
        <f t="shared" si="1226"/>
        <v>0</v>
      </c>
      <c r="AL2885" s="214">
        <f t="shared" si="1226"/>
        <v>0</v>
      </c>
      <c r="AM2885" s="214">
        <f t="shared" si="1226"/>
        <v>0</v>
      </c>
      <c r="AN2885" s="214">
        <f t="shared" si="1226"/>
        <v>0</v>
      </c>
      <c r="AO2885" s="214">
        <f t="shared" si="1226"/>
        <v>0</v>
      </c>
      <c r="AP2885" s="214"/>
      <c r="AQ2885" s="214"/>
      <c r="AR2885" s="214"/>
      <c r="AS2885" s="214"/>
      <c r="AT2885" s="214"/>
      <c r="AU2885" s="214"/>
      <c r="AV2885" s="214"/>
      <c r="AW2885" s="214"/>
      <c r="AX2885" s="214"/>
      <c r="AY2885" s="214"/>
      <c r="AZ2885" s="214"/>
      <c r="BA2885" s="214"/>
      <c r="BB2885" s="214"/>
      <c r="BC2885" s="214"/>
      <c r="BD2885" s="214"/>
      <c r="BE2885" s="214"/>
      <c r="BF2885" s="214"/>
      <c r="BG2885" s="214"/>
      <c r="BH2885" s="214"/>
      <c r="BI2885" s="214"/>
      <c r="BJ2885" s="214"/>
      <c r="BK2885" s="214"/>
      <c r="BL2885" s="214"/>
      <c r="BM2885" s="214"/>
      <c r="BN2885" s="214"/>
      <c r="BO2885" s="214"/>
      <c r="BP2885" s="214"/>
      <c r="BQ2885" s="214"/>
      <c r="BR2885" s="214"/>
      <c r="BS2885" s="214"/>
      <c r="BT2885" s="214"/>
      <c r="BU2885" s="214"/>
      <c r="BV2885" s="214"/>
      <c r="BW2885" s="214"/>
      <c r="BX2885" s="214"/>
      <c r="BY2885" s="214"/>
      <c r="BZ2885" s="214"/>
      <c r="CA2885" s="214"/>
      <c r="CB2885" s="214"/>
      <c r="CC2885" s="214"/>
      <c r="CD2885" s="214"/>
      <c r="CE2885" s="225"/>
      <c r="CF2885" s="225"/>
      <c r="CG2885" s="225"/>
      <c r="CH2885" s="165"/>
      <c r="CI2885" s="225" t="s">
        <v>2679</v>
      </c>
      <c r="CJ2885" s="225"/>
      <c r="CK2885" s="225"/>
      <c r="CL2885" s="225"/>
      <c r="CM2885" s="224"/>
    </row>
    <row r="2886" spans="1:91">
      <c r="A2886" s="421"/>
      <c r="B2886" s="421"/>
      <c r="C2886" s="658" t="s">
        <v>2402</v>
      </c>
      <c r="D2886" s="705" t="s">
        <v>2395</v>
      </c>
      <c r="E2886" s="421"/>
      <c r="F2886" s="421"/>
      <c r="G2886" s="421" t="s">
        <v>2354</v>
      </c>
      <c r="H2886" s="676"/>
      <c r="I2886" s="459"/>
      <c r="J2886" s="459"/>
      <c r="K2886" s="427"/>
      <c r="L2886" s="688"/>
      <c r="M2886" s="457"/>
      <c r="N2886" s="458"/>
      <c r="O2886" s="458"/>
      <c r="P2886" s="688"/>
      <c r="Q2886" s="408"/>
      <c r="R2886" s="490"/>
      <c r="S2886" s="490"/>
      <c r="T2886" s="490"/>
      <c r="U2886" s="214"/>
      <c r="V2886" s="214"/>
      <c r="W2886" s="214"/>
      <c r="X2886" s="214">
        <f t="shared" si="1225"/>
        <v>0</v>
      </c>
      <c r="Y2886" s="214"/>
      <c r="Z2886" s="214"/>
      <c r="AA2886" s="214"/>
      <c r="AB2886" s="214">
        <f t="shared" si="1226"/>
        <v>0</v>
      </c>
      <c r="AC2886" s="214">
        <f t="shared" si="1226"/>
        <v>0</v>
      </c>
      <c r="AD2886" s="214">
        <f t="shared" si="1226"/>
        <v>0</v>
      </c>
      <c r="AE2886" s="214">
        <f t="shared" si="1226"/>
        <v>0</v>
      </c>
      <c r="AF2886" s="214">
        <f t="shared" si="1226"/>
        <v>0</v>
      </c>
      <c r="AG2886" s="214">
        <f t="shared" si="1226"/>
        <v>0</v>
      </c>
      <c r="AH2886" s="214">
        <f t="shared" si="1226"/>
        <v>0</v>
      </c>
      <c r="AI2886" s="214">
        <f t="shared" si="1226"/>
        <v>0</v>
      </c>
      <c r="AJ2886" s="214">
        <f t="shared" si="1226"/>
        <v>0</v>
      </c>
      <c r="AK2886" s="214">
        <f t="shared" si="1226"/>
        <v>0</v>
      </c>
      <c r="AL2886" s="214">
        <f t="shared" si="1226"/>
        <v>0</v>
      </c>
      <c r="AM2886" s="214">
        <f t="shared" si="1226"/>
        <v>0</v>
      </c>
      <c r="AN2886" s="214">
        <f t="shared" si="1226"/>
        <v>0</v>
      </c>
      <c r="AO2886" s="214">
        <f t="shared" si="1226"/>
        <v>0</v>
      </c>
      <c r="AP2886" s="214"/>
      <c r="AQ2886" s="214"/>
      <c r="AR2886" s="214"/>
      <c r="AS2886" s="214"/>
      <c r="AT2886" s="214"/>
      <c r="AU2886" s="214"/>
      <c r="AV2886" s="214"/>
      <c r="AW2886" s="214"/>
      <c r="AX2886" s="214"/>
      <c r="AY2886" s="214"/>
      <c r="AZ2886" s="214"/>
      <c r="BA2886" s="214"/>
      <c r="BB2886" s="214"/>
      <c r="BC2886" s="214"/>
      <c r="BD2886" s="214"/>
      <c r="BE2886" s="214"/>
      <c r="BF2886" s="214"/>
      <c r="BG2886" s="214"/>
      <c r="BH2886" s="214"/>
      <c r="BI2886" s="214"/>
      <c r="BJ2886" s="214"/>
      <c r="BK2886" s="214"/>
      <c r="BL2886" s="214"/>
      <c r="BM2886" s="214"/>
      <c r="BN2886" s="214"/>
      <c r="BO2886" s="214"/>
      <c r="BP2886" s="214"/>
      <c r="BQ2886" s="214"/>
      <c r="BR2886" s="214"/>
      <c r="BS2886" s="214"/>
      <c r="BT2886" s="214"/>
      <c r="BU2886" s="214"/>
      <c r="BV2886" s="214"/>
      <c r="BW2886" s="214"/>
      <c r="BX2886" s="214"/>
      <c r="BY2886" s="214"/>
      <c r="BZ2886" s="214"/>
      <c r="CA2886" s="214"/>
      <c r="CB2886" s="214"/>
      <c r="CC2886" s="214"/>
      <c r="CD2886" s="214"/>
      <c r="CE2886" s="225"/>
      <c r="CF2886" s="225"/>
      <c r="CG2886" s="225"/>
      <c r="CH2886" s="165"/>
      <c r="CI2886" s="225" t="s">
        <v>2679</v>
      </c>
      <c r="CJ2886" s="225"/>
      <c r="CK2886" s="225"/>
      <c r="CL2886" s="225"/>
      <c r="CM2886" s="224"/>
    </row>
    <row r="2887" spans="1:91">
      <c r="A2887" s="421"/>
      <c r="B2887" s="421"/>
      <c r="C2887" s="658" t="s">
        <v>2403</v>
      </c>
      <c r="D2887" s="705" t="s">
        <v>2395</v>
      </c>
      <c r="E2887" s="421"/>
      <c r="F2887" s="421"/>
      <c r="G2887" s="421" t="s">
        <v>2404</v>
      </c>
      <c r="H2887" s="676"/>
      <c r="I2887" s="459"/>
      <c r="J2887" s="459"/>
      <c r="K2887" s="427"/>
      <c r="L2887" s="688"/>
      <c r="M2887" s="457"/>
      <c r="N2887" s="458"/>
      <c r="O2887" s="458"/>
      <c r="P2887" s="688"/>
      <c r="Q2887" s="408"/>
      <c r="R2887" s="490"/>
      <c r="S2887" s="490"/>
      <c r="T2887" s="490"/>
      <c r="U2887" s="214"/>
      <c r="V2887" s="214"/>
      <c r="W2887" s="214"/>
      <c r="X2887" s="214">
        <f t="shared" si="1225"/>
        <v>-824684.74046166637</v>
      </c>
      <c r="Y2887" s="214"/>
      <c r="Z2887" s="214"/>
      <c r="AA2887" s="214"/>
      <c r="AB2887" s="214">
        <f t="shared" si="1226"/>
        <v>-760601.40977999999</v>
      </c>
      <c r="AC2887" s="214">
        <f t="shared" si="1226"/>
        <v>-787539.63792000001</v>
      </c>
      <c r="AD2887" s="214">
        <f t="shared" si="1226"/>
        <v>-797954.29636000004</v>
      </c>
      <c r="AE2887" s="214">
        <f t="shared" si="1226"/>
        <v>-809211.79910000006</v>
      </c>
      <c r="AF2887" s="214">
        <f t="shared" si="1226"/>
        <v>-820578.75723999995</v>
      </c>
      <c r="AG2887" s="214">
        <f t="shared" si="1226"/>
        <v>-820311.68137999997</v>
      </c>
      <c r="AH2887" s="214">
        <f t="shared" si="1226"/>
        <v>-824607.35621999996</v>
      </c>
      <c r="AI2887" s="214">
        <f t="shared" si="1226"/>
        <v>-830201.44759</v>
      </c>
      <c r="AJ2887" s="214">
        <f t="shared" si="1226"/>
        <v>-834621.85586999997</v>
      </c>
      <c r="AK2887" s="214">
        <f t="shared" si="1226"/>
        <v>-839763.83287000004</v>
      </c>
      <c r="AL2887" s="214">
        <f t="shared" si="1226"/>
        <v>-844167.06492999999</v>
      </c>
      <c r="AM2887" s="214">
        <f t="shared" si="1226"/>
        <v>-847596.38884000003</v>
      </c>
      <c r="AN2887" s="214">
        <f t="shared" si="1226"/>
        <v>-853131.88129000005</v>
      </c>
      <c r="AO2887" s="214">
        <f t="shared" si="1226"/>
        <v>-760601.40977999999</v>
      </c>
      <c r="AP2887" s="214"/>
      <c r="AQ2887" s="214"/>
      <c r="AR2887" s="214"/>
      <c r="AS2887" s="214"/>
      <c r="AT2887" s="214"/>
      <c r="AU2887" s="214"/>
      <c r="AV2887" s="214"/>
      <c r="AW2887" s="214"/>
      <c r="AX2887" s="214"/>
      <c r="AY2887" s="214"/>
      <c r="AZ2887" s="214"/>
      <c r="BA2887" s="214"/>
      <c r="BB2887" s="214"/>
      <c r="BC2887" s="214"/>
      <c r="BD2887" s="214"/>
      <c r="BE2887" s="214"/>
      <c r="BF2887" s="214"/>
      <c r="BG2887" s="214"/>
      <c r="BH2887" s="214"/>
      <c r="BI2887" s="214"/>
      <c r="BJ2887" s="214"/>
      <c r="BK2887" s="214"/>
      <c r="BL2887" s="214"/>
      <c r="BM2887" s="214"/>
      <c r="BN2887" s="214"/>
      <c r="BO2887" s="214"/>
      <c r="BP2887" s="214"/>
      <c r="BQ2887" s="214"/>
      <c r="BR2887" s="214"/>
      <c r="BS2887" s="214"/>
      <c r="BT2887" s="214"/>
      <c r="BU2887" s="214"/>
      <c r="BV2887" s="214"/>
      <c r="BW2887" s="214"/>
      <c r="BX2887" s="214"/>
      <c r="BY2887" s="214"/>
      <c r="BZ2887" s="214"/>
      <c r="CA2887" s="214"/>
      <c r="CB2887" s="214"/>
      <c r="CC2887" s="214"/>
      <c r="CD2887" s="214"/>
      <c r="CE2887" s="225"/>
      <c r="CF2887" s="225"/>
      <c r="CG2887" s="225"/>
      <c r="CH2887" s="165"/>
      <c r="CI2887" s="225" t="s">
        <v>2679</v>
      </c>
      <c r="CJ2887" s="225"/>
      <c r="CK2887" s="225"/>
      <c r="CL2887" s="225"/>
      <c r="CM2887" s="224"/>
    </row>
    <row r="2888" spans="1:91">
      <c r="A2888" s="421"/>
      <c r="B2888" s="421"/>
      <c r="C2888" s="658" t="s">
        <v>2405</v>
      </c>
      <c r="D2888" s="705" t="s">
        <v>2395</v>
      </c>
      <c r="E2888" s="421"/>
      <c r="F2888" s="421"/>
      <c r="G2888" s="421" t="s">
        <v>2406</v>
      </c>
      <c r="H2888" s="676"/>
      <c r="I2888" s="459"/>
      <c r="J2888" s="459"/>
      <c r="K2888" s="427"/>
      <c r="L2888" s="688"/>
      <c r="M2888" s="457"/>
      <c r="N2888" s="458"/>
      <c r="O2888" s="458"/>
      <c r="P2888" s="688"/>
      <c r="Q2888" s="408"/>
      <c r="R2888" s="490"/>
      <c r="S2888" s="490"/>
      <c r="T2888" s="490"/>
      <c r="U2888" s="214"/>
      <c r="V2888" s="214"/>
      <c r="W2888" s="214"/>
      <c r="X2888" s="214">
        <f t="shared" si="1225"/>
        <v>-59586.208333333299</v>
      </c>
      <c r="Y2888" s="214"/>
      <c r="Z2888" s="214"/>
      <c r="AA2888" s="214"/>
      <c r="AB2888" s="214">
        <f t="shared" si="1226"/>
        <v>-169737</v>
      </c>
      <c r="AC2888" s="214">
        <f t="shared" si="1226"/>
        <v>-55080</v>
      </c>
      <c r="AD2888" s="214">
        <f t="shared" si="1226"/>
        <v>-44930</v>
      </c>
      <c r="AE2888" s="214">
        <f t="shared" si="1226"/>
        <v>-45130</v>
      </c>
      <c r="AF2888" s="214">
        <f t="shared" si="1226"/>
        <v>-44780</v>
      </c>
      <c r="AG2888" s="214">
        <f t="shared" si="1226"/>
        <v>-25750</v>
      </c>
      <c r="AH2888" s="214">
        <f t="shared" si="1226"/>
        <v>-23200</v>
      </c>
      <c r="AI2888" s="214">
        <f t="shared" si="1226"/>
        <v>-21900</v>
      </c>
      <c r="AJ2888" s="214">
        <f t="shared" si="1226"/>
        <v>-76750</v>
      </c>
      <c r="AK2888" s="214">
        <f t="shared" si="1226"/>
        <v>-53394</v>
      </c>
      <c r="AL2888" s="214">
        <f t="shared" si="1226"/>
        <v>-94614</v>
      </c>
      <c r="AM2888" s="214">
        <f t="shared" si="1226"/>
        <v>-91314</v>
      </c>
      <c r="AN2888" s="214">
        <f t="shared" si="1226"/>
        <v>-80864</v>
      </c>
      <c r="AO2888" s="214">
        <f t="shared" si="1226"/>
        <v>-169737</v>
      </c>
      <c r="AP2888" s="214"/>
      <c r="AQ2888" s="214"/>
      <c r="AR2888" s="214"/>
      <c r="AS2888" s="214"/>
      <c r="AT2888" s="214"/>
      <c r="AU2888" s="214"/>
      <c r="AV2888" s="214"/>
      <c r="AW2888" s="214"/>
      <c r="AX2888" s="214"/>
      <c r="AY2888" s="214"/>
      <c r="AZ2888" s="214"/>
      <c r="BA2888" s="214"/>
      <c r="BB2888" s="214"/>
      <c r="BC2888" s="214"/>
      <c r="BD2888" s="214"/>
      <c r="BE2888" s="214"/>
      <c r="BF2888" s="214"/>
      <c r="BG2888" s="214"/>
      <c r="BH2888" s="214"/>
      <c r="BI2888" s="214"/>
      <c r="BJ2888" s="214"/>
      <c r="BK2888" s="214"/>
      <c r="BL2888" s="214"/>
      <c r="BM2888" s="214"/>
      <c r="BN2888" s="214"/>
      <c r="BO2888" s="214"/>
      <c r="BP2888" s="214"/>
      <c r="BQ2888" s="214"/>
      <c r="BR2888" s="214"/>
      <c r="BS2888" s="214"/>
      <c r="BT2888" s="214"/>
      <c r="BU2888" s="214"/>
      <c r="BV2888" s="214"/>
      <c r="BW2888" s="214"/>
      <c r="BX2888" s="214"/>
      <c r="BY2888" s="214"/>
      <c r="BZ2888" s="214"/>
      <c r="CA2888" s="214"/>
      <c r="CB2888" s="214"/>
      <c r="CC2888" s="214"/>
      <c r="CD2888" s="214"/>
      <c r="CE2888" s="225"/>
      <c r="CF2888" s="225"/>
      <c r="CG2888" s="225"/>
      <c r="CH2888" s="165"/>
      <c r="CI2888" s="225" t="s">
        <v>2679</v>
      </c>
      <c r="CJ2888" s="225"/>
      <c r="CK2888" s="225"/>
      <c r="CL2888" s="225"/>
      <c r="CM2888" s="224"/>
    </row>
    <row r="2889" spans="1:91" ht="5.25" customHeight="1">
      <c r="A2889" s="421"/>
      <c r="B2889" s="421"/>
      <c r="C2889" s="658"/>
      <c r="D2889" s="705"/>
      <c r="E2889" s="421"/>
      <c r="F2889" s="421"/>
      <c r="G2889" s="421"/>
      <c r="H2889" s="676"/>
      <c r="I2889" s="459"/>
      <c r="J2889" s="459"/>
      <c r="K2889" s="427"/>
      <c r="L2889" s="688"/>
      <c r="M2889" s="457"/>
      <c r="N2889" s="458"/>
      <c r="O2889" s="458"/>
      <c r="P2889" s="688"/>
      <c r="Q2889" s="408"/>
      <c r="R2889" s="490"/>
      <c r="S2889" s="490"/>
      <c r="T2889" s="490"/>
      <c r="U2889" s="215"/>
      <c r="V2889" s="215"/>
      <c r="W2889" s="215"/>
      <c r="X2889" s="215">
        <v>0</v>
      </c>
      <c r="Y2889" s="215"/>
      <c r="Z2889" s="215"/>
      <c r="AA2889" s="215"/>
      <c r="AB2889" s="215">
        <v>0</v>
      </c>
      <c r="AC2889" s="215">
        <v>0</v>
      </c>
      <c r="AD2889" s="215">
        <v>0</v>
      </c>
      <c r="AE2889" s="215">
        <v>0</v>
      </c>
      <c r="AF2889" s="215">
        <v>0</v>
      </c>
      <c r="AG2889" s="215">
        <v>0</v>
      </c>
      <c r="AH2889" s="215">
        <v>0</v>
      </c>
      <c r="AI2889" s="215">
        <v>0</v>
      </c>
      <c r="AJ2889" s="215">
        <v>0</v>
      </c>
      <c r="AK2889" s="215">
        <v>0</v>
      </c>
      <c r="AL2889" s="215">
        <v>0</v>
      </c>
      <c r="AM2889" s="215">
        <v>0</v>
      </c>
      <c r="AN2889" s="215">
        <v>0</v>
      </c>
      <c r="AO2889" s="215">
        <v>0</v>
      </c>
      <c r="AP2889" s="215"/>
      <c r="AQ2889" s="215"/>
      <c r="AR2889" s="215"/>
      <c r="AS2889" s="215"/>
      <c r="AT2889" s="215"/>
      <c r="AU2889" s="215"/>
      <c r="AV2889" s="215"/>
      <c r="AW2889" s="215"/>
      <c r="AX2889" s="215"/>
      <c r="AY2889" s="215"/>
      <c r="AZ2889" s="215"/>
      <c r="BA2889" s="215"/>
      <c r="BB2889" s="215"/>
      <c r="BC2889" s="215"/>
      <c r="BD2889" s="215"/>
      <c r="BE2889" s="215"/>
      <c r="BF2889" s="215"/>
      <c r="BG2889" s="215"/>
      <c r="BH2889" s="215"/>
      <c r="BI2889" s="215"/>
      <c r="BJ2889" s="215"/>
      <c r="BK2889" s="215"/>
      <c r="BL2889" s="215"/>
      <c r="BM2889" s="215"/>
      <c r="BN2889" s="215"/>
      <c r="BO2889" s="215"/>
      <c r="BP2889" s="215"/>
      <c r="BQ2889" s="215"/>
      <c r="BR2889" s="215"/>
      <c r="BS2889" s="215"/>
      <c r="BT2889" s="215"/>
      <c r="BU2889" s="215"/>
      <c r="BV2889" s="215"/>
      <c r="BW2889" s="215"/>
      <c r="BX2889" s="215"/>
      <c r="BY2889" s="215"/>
      <c r="BZ2889" s="215"/>
      <c r="CA2889" s="215"/>
      <c r="CB2889" s="215"/>
      <c r="CC2889" s="215"/>
      <c r="CD2889" s="215"/>
      <c r="CE2889" s="225"/>
      <c r="CF2889" s="225"/>
      <c r="CG2889" s="225"/>
      <c r="CH2889" s="165"/>
      <c r="CI2889" s="225" t="s">
        <v>2679</v>
      </c>
      <c r="CJ2889" s="225"/>
      <c r="CK2889" s="225"/>
      <c r="CL2889" s="225"/>
      <c r="CM2889" s="224"/>
    </row>
    <row r="2890" spans="1:91">
      <c r="A2890" s="409"/>
      <c r="B2890" s="409"/>
      <c r="C2890" s="655"/>
      <c r="D2890" s="659"/>
      <c r="E2890" s="409"/>
      <c r="F2890" s="409"/>
      <c r="G2890" s="409"/>
      <c r="H2890" s="677"/>
      <c r="I2890" s="460"/>
      <c r="J2890" s="460"/>
      <c r="K2890" s="405"/>
      <c r="L2890" s="655"/>
      <c r="M2890" s="405"/>
      <c r="N2890" s="449"/>
      <c r="O2890" s="449"/>
      <c r="P2890" s="655"/>
      <c r="Q2890" s="406"/>
      <c r="R2890" s="486"/>
      <c r="S2890" s="486"/>
      <c r="T2890" s="486"/>
      <c r="U2890" s="214"/>
      <c r="V2890" s="214"/>
      <c r="W2890" s="214"/>
      <c r="X2890" s="214"/>
      <c r="Y2890" s="214"/>
      <c r="Z2890" s="214"/>
      <c r="AA2890" s="214"/>
      <c r="AB2890" s="214"/>
      <c r="AC2890" s="214"/>
      <c r="AD2890" s="214"/>
      <c r="AE2890" s="214"/>
      <c r="AF2890" s="214"/>
      <c r="AG2890" s="214"/>
      <c r="AH2890" s="214"/>
      <c r="AI2890" s="214"/>
      <c r="AJ2890" s="214"/>
      <c r="AK2890" s="214"/>
      <c r="AL2890" s="214"/>
      <c r="AM2890" s="214"/>
      <c r="AN2890" s="214"/>
      <c r="AO2890" s="214"/>
      <c r="AP2890" s="214"/>
      <c r="AQ2890" s="214"/>
      <c r="AR2890" s="214"/>
      <c r="AS2890" s="214"/>
      <c r="AT2890" s="214"/>
      <c r="AU2890" s="214"/>
      <c r="AV2890" s="214"/>
      <c r="AW2890" s="214"/>
      <c r="AX2890" s="214"/>
      <c r="AY2890" s="214"/>
      <c r="AZ2890" s="214"/>
      <c r="BA2890" s="214"/>
      <c r="BB2890" s="214"/>
      <c r="BC2890" s="214"/>
      <c r="BD2890" s="214"/>
      <c r="BE2890" s="214"/>
      <c r="BF2890" s="214"/>
      <c r="BG2890" s="214"/>
      <c r="BH2890" s="214"/>
      <c r="BI2890" s="214"/>
      <c r="BJ2890" s="214"/>
      <c r="BK2890" s="214"/>
      <c r="BL2890" s="214"/>
      <c r="BM2890" s="214"/>
      <c r="BN2890" s="214"/>
      <c r="BO2890" s="214"/>
      <c r="BP2890" s="214"/>
      <c r="BQ2890" s="214"/>
      <c r="BR2890" s="214"/>
      <c r="BS2890" s="214"/>
      <c r="BT2890" s="214"/>
      <c r="BU2890" s="214"/>
      <c r="BV2890" s="214"/>
      <c r="BW2890" s="214"/>
      <c r="BX2890" s="214"/>
      <c r="BY2890" s="214"/>
      <c r="BZ2890" s="214"/>
      <c r="CA2890" s="214"/>
      <c r="CB2890" s="214"/>
      <c r="CC2890" s="214"/>
      <c r="CD2890" s="214"/>
      <c r="CE2890" s="227"/>
      <c r="CF2890" s="227"/>
      <c r="CG2890" s="227"/>
      <c r="CH2890" s="76"/>
      <c r="CI2890" s="227" t="s">
        <v>2679</v>
      </c>
      <c r="CJ2890" s="227"/>
      <c r="CK2890" s="227"/>
      <c r="CL2890" s="227"/>
      <c r="CM2890" s="226"/>
    </row>
    <row r="2891" spans="1:91">
      <c r="A2891" s="409"/>
      <c r="B2891" s="409"/>
      <c r="C2891" s="659" t="s">
        <v>2475</v>
      </c>
      <c r="D2891" s="659"/>
      <c r="E2891" s="409"/>
      <c r="F2891" s="409"/>
      <c r="G2891" s="409"/>
      <c r="H2891" s="677"/>
      <c r="I2891" s="460"/>
      <c r="J2891" s="460"/>
      <c r="K2891" s="405"/>
      <c r="L2891" s="655"/>
      <c r="M2891" s="405"/>
      <c r="N2891" s="449"/>
      <c r="O2891" s="449"/>
      <c r="P2891" s="655"/>
      <c r="Q2891" s="406"/>
      <c r="R2891" s="486"/>
      <c r="S2891" s="486"/>
      <c r="T2891" s="486"/>
      <c r="U2891" s="214"/>
      <c r="V2891" s="214"/>
      <c r="W2891" s="214"/>
      <c r="X2891" s="214">
        <f>SUM(X2877:X2890)</f>
        <v>-1584401.5393266662</v>
      </c>
      <c r="Y2891" s="214"/>
      <c r="Z2891" s="214"/>
      <c r="AA2891" s="214"/>
      <c r="AB2891" s="214">
        <f>SUM(AB2877:AB2890)</f>
        <v>-1625829.7822699999</v>
      </c>
      <c r="AC2891" s="214">
        <f t="shared" ref="AC2891" si="1227">SUM(AC2877:AC2890)</f>
        <v>-1543037.9434699998</v>
      </c>
      <c r="AD2891" s="214">
        <f t="shared" ref="AD2891:AE2891" si="1228">SUM(AD2877:AD2890)</f>
        <v>-1543364.9533500001</v>
      </c>
      <c r="AE2891" s="214">
        <f t="shared" si="1228"/>
        <v>-1554963.4020400001</v>
      </c>
      <c r="AF2891" s="214">
        <f t="shared" ref="AF2891:AG2891" si="1229">SUM(AF2877:AF2890)</f>
        <v>-1566266.3674099999</v>
      </c>
      <c r="AG2891" s="214">
        <f t="shared" si="1229"/>
        <v>-1547053.5187599999</v>
      </c>
      <c r="AH2891" s="214">
        <f t="shared" ref="AH2891:AI2891" si="1230">SUM(AH2877:AH2890)</f>
        <v>-1548883.71795</v>
      </c>
      <c r="AI2891" s="214">
        <f t="shared" si="1230"/>
        <v>-1552848.3384500002</v>
      </c>
      <c r="AJ2891" s="214">
        <f t="shared" ref="AJ2891:AK2891" si="1231">SUM(AJ2877:AJ2890)</f>
        <v>-1612146.2266500001</v>
      </c>
      <c r="AK2891" s="214">
        <f t="shared" si="1231"/>
        <v>-1594000.9464700001</v>
      </c>
      <c r="AL2891" s="214">
        <f t="shared" ref="AL2891:AM2891" si="1232">SUM(AL2877:AL2890)</f>
        <v>-1639653.2948400001</v>
      </c>
      <c r="AM2891" s="214">
        <f t="shared" si="1232"/>
        <v>-1639863.0027000001</v>
      </c>
      <c r="AN2891" s="214">
        <f t="shared" ref="AN2891:AO2891" si="1233">SUM(AN2877:AN2890)</f>
        <v>-1629340.8404300001</v>
      </c>
      <c r="AO2891" s="214">
        <f t="shared" si="1233"/>
        <v>-1625829.7822699999</v>
      </c>
      <c r="AP2891" s="214"/>
      <c r="AQ2891" s="214"/>
      <c r="AR2891" s="214"/>
      <c r="AS2891" s="214"/>
      <c r="AT2891" s="214"/>
      <c r="AU2891" s="214"/>
      <c r="AV2891" s="214"/>
      <c r="AW2891" s="214"/>
      <c r="AX2891" s="214"/>
      <c r="AY2891" s="214"/>
      <c r="AZ2891" s="214"/>
      <c r="BA2891" s="214"/>
      <c r="BB2891" s="214"/>
      <c r="BC2891" s="214"/>
      <c r="BD2891" s="214"/>
      <c r="BE2891" s="214"/>
      <c r="BF2891" s="214"/>
      <c r="BG2891" s="214"/>
      <c r="BH2891" s="214"/>
      <c r="BI2891" s="214"/>
      <c r="BJ2891" s="214"/>
      <c r="BK2891" s="214"/>
      <c r="BL2891" s="214"/>
      <c r="BM2891" s="214"/>
      <c r="BN2891" s="214"/>
      <c r="BO2891" s="214"/>
      <c r="BP2891" s="214"/>
      <c r="BQ2891" s="214"/>
      <c r="BR2891" s="214"/>
      <c r="BS2891" s="214"/>
      <c r="BT2891" s="214"/>
      <c r="BU2891" s="214"/>
      <c r="BV2891" s="214"/>
      <c r="BW2891" s="214"/>
      <c r="BX2891" s="214"/>
      <c r="BY2891" s="214"/>
      <c r="BZ2891" s="214"/>
      <c r="CA2891" s="214"/>
      <c r="CB2891" s="214"/>
      <c r="CC2891" s="214"/>
      <c r="CD2891" s="214"/>
      <c r="CE2891" s="227"/>
      <c r="CF2891" s="227"/>
      <c r="CG2891" s="227"/>
      <c r="CH2891" s="76"/>
      <c r="CI2891" s="227" t="s">
        <v>2679</v>
      </c>
      <c r="CJ2891" s="227"/>
      <c r="CK2891" s="227"/>
      <c r="CL2891" s="227"/>
      <c r="CM2891" s="226"/>
    </row>
    <row r="2892" spans="1:91" s="229" customFormat="1" ht="12.75" customHeight="1">
      <c r="A2892" s="448"/>
      <c r="B2892" s="409"/>
      <c r="C2892" s="656"/>
      <c r="D2892" s="655"/>
      <c r="E2892" s="405"/>
      <c r="F2892" s="405"/>
      <c r="G2892" s="406"/>
      <c r="H2892" s="672"/>
      <c r="I2892" s="448"/>
      <c r="J2892" s="448"/>
      <c r="K2892" s="405"/>
      <c r="L2892" s="655"/>
      <c r="M2892" s="405"/>
      <c r="N2892" s="449"/>
      <c r="O2892" s="449"/>
      <c r="P2892" s="655"/>
      <c r="Q2892" s="406"/>
      <c r="R2892" s="486"/>
      <c r="S2892" s="486"/>
      <c r="T2892" s="486"/>
      <c r="U2892" s="228"/>
      <c r="V2892" s="228"/>
      <c r="W2892" s="228"/>
      <c r="X2892" s="228"/>
      <c r="Y2892" s="228"/>
      <c r="Z2892" s="228"/>
      <c r="AA2892" s="228"/>
      <c r="AB2892" s="228"/>
      <c r="AC2892" s="228"/>
      <c r="AD2892" s="228"/>
      <c r="AE2892" s="228"/>
      <c r="AF2892" s="228"/>
      <c r="AG2892" s="228"/>
      <c r="AH2892" s="228"/>
      <c r="AI2892" s="228"/>
      <c r="AJ2892" s="228"/>
      <c r="AK2892" s="228"/>
      <c r="AL2892" s="228"/>
      <c r="AM2892" s="228"/>
      <c r="AN2892" s="228"/>
      <c r="AO2892" s="228"/>
      <c r="AP2892" s="228"/>
      <c r="AQ2892" s="228"/>
      <c r="AR2892" s="228"/>
      <c r="AS2892" s="228"/>
      <c r="AT2892" s="228"/>
      <c r="AU2892" s="228"/>
      <c r="AV2892" s="228"/>
      <c r="AW2892" s="228"/>
      <c r="AX2892" s="228"/>
      <c r="AY2892" s="228"/>
      <c r="AZ2892" s="228"/>
      <c r="BA2892" s="228"/>
      <c r="BB2892" s="228"/>
      <c r="BC2892" s="228"/>
      <c r="BD2892" s="228"/>
      <c r="BE2892" s="228"/>
      <c r="BF2892" s="228"/>
      <c r="BG2892" s="228"/>
      <c r="BH2892" s="228"/>
      <c r="BI2892" s="228"/>
      <c r="BJ2892" s="228"/>
      <c r="BK2892" s="228"/>
      <c r="BL2892" s="228"/>
      <c r="BM2892" s="228"/>
      <c r="BN2892" s="228"/>
      <c r="BO2892" s="228"/>
      <c r="BP2892" s="228"/>
      <c r="BQ2892" s="228"/>
      <c r="BR2892" s="228"/>
      <c r="BS2892" s="228"/>
      <c r="BT2892" s="228"/>
      <c r="BU2892" s="228"/>
      <c r="BV2892" s="228"/>
      <c r="BW2892" s="228"/>
      <c r="BX2892" s="228"/>
      <c r="BY2892" s="228"/>
      <c r="BZ2892" s="228"/>
      <c r="CA2892" s="228"/>
      <c r="CB2892" s="228"/>
      <c r="CC2892" s="228"/>
      <c r="CD2892" s="228"/>
      <c r="CH2892" s="76"/>
      <c r="CM2892" s="213"/>
    </row>
    <row r="2893" spans="1:91">
      <c r="A2893" s="409"/>
      <c r="B2893" s="409"/>
      <c r="C2893" s="656"/>
      <c r="D2893" s="655"/>
      <c r="E2893" s="405"/>
      <c r="F2893" s="405"/>
      <c r="G2893" s="406"/>
      <c r="H2893" s="672"/>
      <c r="I2893" s="448"/>
      <c r="J2893" s="448"/>
      <c r="K2893" s="405"/>
      <c r="L2893" s="655"/>
      <c r="M2893" s="405"/>
      <c r="N2893" s="449"/>
      <c r="O2893" s="449"/>
      <c r="P2893" s="655"/>
      <c r="Q2893" s="406"/>
      <c r="R2893" s="486"/>
      <c r="S2893" s="486"/>
      <c r="T2893" s="486"/>
      <c r="U2893" s="214"/>
      <c r="V2893" s="214"/>
      <c r="W2893" s="214"/>
      <c r="X2893" s="214"/>
      <c r="Y2893" s="214"/>
      <c r="Z2893" s="214"/>
      <c r="AA2893" s="214"/>
      <c r="AB2893" s="214"/>
      <c r="AC2893" s="214"/>
      <c r="AD2893" s="214"/>
      <c r="AE2893" s="214"/>
      <c r="AF2893" s="214"/>
      <c r="AG2893" s="214"/>
      <c r="AH2893" s="214"/>
      <c r="AI2893" s="214"/>
      <c r="AJ2893" s="214"/>
      <c r="AK2893" s="214"/>
      <c r="AL2893" s="214"/>
      <c r="AM2893" s="214"/>
      <c r="AN2893" s="214"/>
      <c r="AO2893" s="214"/>
      <c r="AP2893" s="214"/>
      <c r="AQ2893" s="214"/>
      <c r="AR2893" s="214"/>
      <c r="AS2893" s="214"/>
      <c r="AT2893" s="214"/>
      <c r="AU2893" s="214"/>
      <c r="AV2893" s="214"/>
      <c r="AW2893" s="214"/>
      <c r="AX2893" s="214"/>
      <c r="AY2893" s="214"/>
      <c r="AZ2893" s="214"/>
      <c r="BA2893" s="214"/>
      <c r="BB2893" s="214"/>
      <c r="BC2893" s="214"/>
      <c r="BD2893" s="214"/>
      <c r="BE2893" s="214"/>
      <c r="BF2893" s="214"/>
      <c r="BG2893" s="214"/>
      <c r="BH2893" s="214"/>
      <c r="BI2893" s="214"/>
      <c r="BJ2893" s="214"/>
      <c r="BK2893" s="214"/>
      <c r="BL2893" s="214"/>
      <c r="BM2893" s="214"/>
      <c r="BN2893" s="214"/>
      <c r="BO2893" s="214"/>
      <c r="BP2893" s="214"/>
      <c r="BQ2893" s="214"/>
      <c r="BR2893" s="214"/>
      <c r="BS2893" s="214"/>
      <c r="BT2893" s="214"/>
      <c r="BU2893" s="214"/>
      <c r="BV2893" s="214"/>
      <c r="BW2893" s="214"/>
      <c r="BX2893" s="214"/>
      <c r="BY2893" s="214"/>
      <c r="BZ2893" s="214"/>
      <c r="CA2893" s="214"/>
      <c r="CB2893" s="214"/>
      <c r="CC2893" s="214"/>
      <c r="CD2893" s="214"/>
      <c r="CE2893" s="227"/>
      <c r="CF2893" s="227"/>
      <c r="CG2893" s="227"/>
      <c r="CH2893" s="76"/>
      <c r="CI2893" s="227"/>
      <c r="CJ2893" s="227"/>
      <c r="CK2893" s="227"/>
      <c r="CL2893" s="227"/>
      <c r="CM2893" s="213"/>
    </row>
    <row r="2894" spans="1:91">
      <c r="A2894" s="409"/>
      <c r="B2894" s="409"/>
      <c r="C2894" s="656"/>
      <c r="D2894" s="655"/>
      <c r="E2894" s="405"/>
      <c r="F2894" s="405"/>
      <c r="G2894" s="406"/>
      <c r="H2894" s="672"/>
      <c r="I2894" s="448"/>
      <c r="J2894" s="448"/>
      <c r="K2894" s="405"/>
      <c r="L2894" s="655"/>
      <c r="M2894" s="405"/>
      <c r="N2894" s="449"/>
      <c r="O2894" s="449"/>
      <c r="P2894" s="655"/>
      <c r="Q2894" s="406"/>
      <c r="R2894" s="486"/>
      <c r="S2894" s="486"/>
      <c r="T2894" s="486"/>
      <c r="U2894" s="216"/>
      <c r="V2894" s="216"/>
      <c r="W2894" s="216"/>
      <c r="X2894" s="216"/>
      <c r="Y2894" s="216"/>
      <c r="Z2894" s="216"/>
      <c r="AA2894" s="216"/>
      <c r="AB2894" s="216"/>
      <c r="AC2894" s="216"/>
      <c r="AD2894" s="216"/>
      <c r="AE2894" s="216"/>
      <c r="AF2894" s="216"/>
      <c r="AG2894" s="216"/>
      <c r="AH2894" s="216"/>
      <c r="AI2894" s="216"/>
      <c r="AJ2894" s="216"/>
      <c r="AK2894" s="216"/>
      <c r="AL2894" s="216"/>
      <c r="AM2894" s="216"/>
      <c r="AN2894" s="216"/>
      <c r="AO2894" s="216"/>
      <c r="AP2894" s="216"/>
      <c r="AQ2894" s="216"/>
      <c r="AR2894" s="216"/>
      <c r="AS2894" s="216"/>
      <c r="AT2894" s="216"/>
      <c r="AU2894" s="216"/>
      <c r="AV2894" s="216"/>
      <c r="AW2894" s="216"/>
      <c r="AX2894" s="216"/>
      <c r="AY2894" s="216"/>
      <c r="AZ2894" s="216"/>
      <c r="BA2894" s="216"/>
      <c r="BB2894" s="216"/>
      <c r="BC2894" s="216"/>
      <c r="BD2894" s="216"/>
      <c r="BE2894" s="216"/>
      <c r="BF2894" s="216"/>
      <c r="BG2894" s="216"/>
      <c r="BH2894" s="216"/>
      <c r="BI2894" s="216"/>
      <c r="BJ2894" s="216"/>
      <c r="BK2894" s="216"/>
      <c r="BL2894" s="216"/>
      <c r="BM2894" s="216"/>
      <c r="BN2894" s="216"/>
      <c r="BO2894" s="216"/>
      <c r="BP2894" s="216"/>
      <c r="BQ2894" s="216"/>
      <c r="BR2894" s="216"/>
      <c r="BS2894" s="216"/>
      <c r="BT2894" s="216"/>
      <c r="BU2894" s="216"/>
      <c r="BV2894" s="216"/>
      <c r="BW2894" s="216"/>
      <c r="BX2894" s="216"/>
      <c r="BY2894" s="216"/>
      <c r="BZ2894" s="216"/>
      <c r="CA2894" s="216"/>
      <c r="CB2894" s="216"/>
      <c r="CC2894" s="216"/>
      <c r="CD2894" s="216"/>
      <c r="CE2894" s="230"/>
      <c r="CF2894" s="230"/>
      <c r="CG2894" s="230"/>
      <c r="CH2894" s="76"/>
      <c r="CI2894" s="230"/>
      <c r="CJ2894" s="230"/>
      <c r="CK2894" s="230"/>
      <c r="CL2894" s="230"/>
      <c r="CM2894" s="213"/>
    </row>
    <row r="2895" spans="1:91">
      <c r="A2895" s="409"/>
      <c r="B2895" s="409"/>
      <c r="C2895" s="656"/>
      <c r="D2895" s="655"/>
      <c r="E2895" s="405"/>
      <c r="F2895" s="405"/>
      <c r="G2895" s="406"/>
      <c r="H2895" s="672"/>
      <c r="I2895" s="448"/>
      <c r="J2895" s="448"/>
      <c r="K2895" s="405"/>
      <c r="L2895" s="655"/>
      <c r="M2895" s="405"/>
      <c r="N2895" s="449"/>
      <c r="O2895" s="449"/>
      <c r="P2895" s="655"/>
      <c r="Q2895" s="406"/>
      <c r="R2895" s="486"/>
      <c r="S2895" s="486"/>
      <c r="T2895" s="486"/>
      <c r="U2895" s="214"/>
      <c r="V2895" s="214"/>
      <c r="W2895" s="214"/>
      <c r="X2895" s="214"/>
      <c r="Y2895" s="214"/>
      <c r="Z2895" s="214"/>
      <c r="AA2895" s="214"/>
      <c r="AB2895" s="214"/>
      <c r="AC2895" s="214"/>
      <c r="AD2895" s="214"/>
      <c r="AE2895" s="214"/>
      <c r="AF2895" s="214"/>
      <c r="AG2895" s="214"/>
      <c r="AH2895" s="214"/>
      <c r="AI2895" s="214"/>
      <c r="AJ2895" s="214"/>
      <c r="AK2895" s="214"/>
      <c r="AL2895" s="214"/>
      <c r="AM2895" s="214"/>
      <c r="AN2895" s="214"/>
      <c r="AO2895" s="214"/>
      <c r="AP2895" s="214"/>
      <c r="AQ2895" s="214"/>
      <c r="AR2895" s="214"/>
      <c r="AS2895" s="214"/>
      <c r="AT2895" s="214"/>
      <c r="AU2895" s="214"/>
      <c r="AV2895" s="214"/>
      <c r="AW2895" s="214"/>
      <c r="AX2895" s="214"/>
      <c r="AY2895" s="214"/>
      <c r="AZ2895" s="214"/>
      <c r="BA2895" s="214"/>
      <c r="BB2895" s="214"/>
      <c r="BC2895" s="214"/>
      <c r="BD2895" s="214"/>
      <c r="BE2895" s="214"/>
      <c r="BF2895" s="214"/>
      <c r="BG2895" s="214"/>
      <c r="BH2895" s="214"/>
      <c r="BI2895" s="214"/>
      <c r="BJ2895" s="214"/>
      <c r="BK2895" s="214"/>
      <c r="BL2895" s="214"/>
      <c r="BM2895" s="214"/>
      <c r="BN2895" s="214"/>
      <c r="BO2895" s="214"/>
      <c r="BP2895" s="214"/>
      <c r="BQ2895" s="214"/>
      <c r="BR2895" s="214"/>
      <c r="BS2895" s="214"/>
      <c r="BT2895" s="214"/>
      <c r="BU2895" s="214"/>
      <c r="BV2895" s="214"/>
      <c r="BW2895" s="214"/>
      <c r="BX2895" s="214"/>
      <c r="BY2895" s="214"/>
      <c r="BZ2895" s="214"/>
      <c r="CA2895" s="214"/>
      <c r="CB2895" s="214"/>
      <c r="CC2895" s="214"/>
      <c r="CD2895" s="214"/>
      <c r="CE2895" s="227"/>
      <c r="CF2895" s="227"/>
      <c r="CG2895" s="227"/>
      <c r="CH2895" s="76"/>
      <c r="CI2895" s="227" t="s">
        <v>2679</v>
      </c>
      <c r="CJ2895" s="227"/>
      <c r="CK2895" s="227"/>
      <c r="CL2895" s="227"/>
      <c r="CM2895" s="213"/>
    </row>
    <row r="2896" spans="1:91" customFormat="1" ht="15.75">
      <c r="A2896" s="451"/>
      <c r="B2896" s="451"/>
      <c r="C2896" s="660"/>
      <c r="D2896" s="657"/>
      <c r="E2896" s="407"/>
      <c r="F2896" s="407"/>
      <c r="G2896" s="410"/>
      <c r="H2896" s="673"/>
      <c r="I2896" s="452"/>
      <c r="J2896" s="452"/>
      <c r="K2896" s="407"/>
      <c r="L2896" s="657"/>
      <c r="M2896" s="407"/>
      <c r="N2896" s="453"/>
      <c r="O2896" s="453"/>
      <c r="P2896" s="657"/>
      <c r="Q2896" s="410"/>
      <c r="R2896" s="488"/>
      <c r="S2896" s="488"/>
      <c r="T2896" s="488"/>
      <c r="U2896" s="219"/>
      <c r="V2896" s="219"/>
      <c r="W2896" s="219"/>
      <c r="X2896" s="219"/>
      <c r="Y2896" s="219"/>
      <c r="Z2896" s="219"/>
      <c r="AA2896" s="219"/>
      <c r="AB2896" s="219"/>
      <c r="AC2896" s="219"/>
      <c r="AD2896" s="219"/>
      <c r="AE2896" s="219"/>
      <c r="AF2896" s="219"/>
      <c r="AG2896" s="219"/>
      <c r="AH2896" s="219"/>
      <c r="AI2896" s="219"/>
      <c r="AJ2896" s="219"/>
      <c r="AK2896" s="219"/>
      <c r="AL2896" s="219"/>
      <c r="AM2896" s="219"/>
      <c r="AN2896" s="219"/>
      <c r="AO2896" s="219"/>
      <c r="AP2896" s="219"/>
      <c r="AQ2896" s="219"/>
      <c r="AR2896" s="219"/>
      <c r="AS2896" s="219"/>
      <c r="AT2896" s="219"/>
      <c r="AU2896" s="219"/>
      <c r="AV2896" s="219"/>
      <c r="AW2896" s="219"/>
      <c r="AX2896" s="219"/>
      <c r="AY2896" s="219"/>
      <c r="AZ2896" s="219"/>
      <c r="BA2896" s="219"/>
      <c r="BB2896" s="219"/>
      <c r="BC2896" s="219"/>
      <c r="BD2896" s="219"/>
      <c r="BE2896" s="219"/>
      <c r="BF2896" s="219"/>
      <c r="BG2896" s="219"/>
      <c r="BH2896" s="219"/>
      <c r="BI2896" s="219"/>
      <c r="BJ2896" s="219"/>
      <c r="BK2896" s="219"/>
      <c r="BL2896" s="219"/>
      <c r="BM2896" s="219"/>
      <c r="BN2896" s="219"/>
      <c r="BO2896" s="219"/>
      <c r="BP2896" s="219"/>
      <c r="BQ2896" s="219"/>
      <c r="BR2896" s="219"/>
      <c r="BS2896" s="219"/>
      <c r="BT2896" s="219"/>
      <c r="BU2896" s="219"/>
      <c r="BV2896" s="219"/>
      <c r="BW2896" s="219"/>
      <c r="BX2896" s="219"/>
      <c r="BY2896" s="219"/>
      <c r="BZ2896" s="219"/>
      <c r="CA2896" s="219"/>
      <c r="CB2896" s="219"/>
      <c r="CC2896" s="219"/>
      <c r="CD2896" s="219"/>
      <c r="CE2896" s="217"/>
      <c r="CF2896" s="217"/>
      <c r="CG2896" s="217"/>
      <c r="CH2896" s="220"/>
      <c r="CI2896" s="217" t="s">
        <v>2679</v>
      </c>
      <c r="CJ2896" s="217"/>
      <c r="CK2896" s="217"/>
      <c r="CL2896" s="217"/>
      <c r="CM2896" s="218"/>
    </row>
    <row r="2897" spans="1:91" customFormat="1" ht="15.75">
      <c r="A2897" s="401"/>
      <c r="B2897" s="401"/>
      <c r="C2897" s="650"/>
      <c r="D2897" s="647"/>
      <c r="E2897" s="400"/>
      <c r="F2897" s="400"/>
      <c r="G2897" s="402"/>
      <c r="H2897" s="674"/>
      <c r="I2897" s="454"/>
      <c r="J2897" s="454"/>
      <c r="K2897" s="400"/>
      <c r="L2897" s="647"/>
      <c r="M2897" s="400"/>
      <c r="N2897" s="455"/>
      <c r="O2897" s="455"/>
      <c r="P2897" s="647"/>
      <c r="Q2897" s="402"/>
      <c r="R2897" s="489"/>
      <c r="S2897" s="489"/>
      <c r="T2897" s="489"/>
      <c r="U2897" s="208"/>
      <c r="V2897" s="208"/>
      <c r="W2897" s="208"/>
      <c r="X2897" s="208"/>
      <c r="Y2897" s="208"/>
      <c r="Z2897" s="208"/>
      <c r="AA2897" s="208"/>
      <c r="AB2897" s="208"/>
      <c r="AC2897" s="208"/>
      <c r="AD2897" s="208"/>
      <c r="AE2897" s="208"/>
      <c r="AF2897" s="208"/>
      <c r="AG2897" s="208"/>
      <c r="AH2897" s="208"/>
      <c r="AI2897" s="208"/>
      <c r="AJ2897" s="208"/>
      <c r="AK2897" s="208"/>
      <c r="AL2897" s="208"/>
      <c r="AM2897" s="208"/>
      <c r="AN2897" s="208"/>
      <c r="AO2897" s="208"/>
      <c r="AP2897" s="208"/>
      <c r="AQ2897" s="208"/>
      <c r="AR2897" s="208"/>
      <c r="AS2897" s="208"/>
      <c r="AT2897" s="208"/>
      <c r="AU2897" s="208"/>
      <c r="AV2897" s="208"/>
      <c r="AW2897" s="208"/>
      <c r="AX2897" s="208"/>
      <c r="AY2897" s="208"/>
      <c r="AZ2897" s="208"/>
      <c r="BA2897" s="208"/>
      <c r="BB2897" s="208"/>
      <c r="BC2897" s="208"/>
      <c r="BD2897" s="208"/>
      <c r="BE2897" s="208"/>
      <c r="BF2897" s="208"/>
      <c r="BG2897" s="208"/>
      <c r="BH2897" s="208"/>
      <c r="BI2897" s="208"/>
      <c r="BJ2897" s="208"/>
      <c r="BK2897" s="208"/>
      <c r="BL2897" s="208"/>
      <c r="BM2897" s="208"/>
      <c r="BN2897" s="208"/>
      <c r="BO2897" s="208"/>
      <c r="BP2897" s="208"/>
      <c r="BQ2897" s="208"/>
      <c r="BR2897" s="208"/>
      <c r="BS2897" s="208"/>
      <c r="BT2897" s="208"/>
      <c r="BU2897" s="208"/>
      <c r="BV2897" s="208"/>
      <c r="BW2897" s="208"/>
      <c r="BX2897" s="208"/>
      <c r="BY2897" s="208"/>
      <c r="BZ2897" s="208"/>
      <c r="CA2897" s="208"/>
      <c r="CB2897" s="208"/>
      <c r="CC2897" s="208"/>
      <c r="CD2897" s="208"/>
      <c r="CE2897" s="221"/>
      <c r="CF2897" s="221"/>
      <c r="CG2897" s="221"/>
      <c r="CH2897" s="220"/>
      <c r="CI2897" s="221" t="s">
        <v>2679</v>
      </c>
      <c r="CJ2897" s="221"/>
      <c r="CK2897" s="221"/>
      <c r="CL2897" s="221"/>
      <c r="CM2897" s="207"/>
    </row>
    <row r="2898" spans="1:91">
      <c r="A2898" s="409"/>
      <c r="B2898" s="447" t="s">
        <v>2681</v>
      </c>
      <c r="C2898" s="656"/>
      <c r="D2898" s="655"/>
      <c r="E2898" s="405"/>
      <c r="F2898" s="405"/>
      <c r="G2898" s="406"/>
      <c r="H2898" s="672"/>
      <c r="I2898" s="448"/>
      <c r="J2898" s="448"/>
      <c r="K2898" s="405"/>
      <c r="L2898" s="655"/>
      <c r="M2898" s="405"/>
      <c r="N2898" s="449"/>
      <c r="O2898" s="449"/>
      <c r="P2898" s="655"/>
      <c r="Q2898" s="406"/>
      <c r="R2898" s="486"/>
      <c r="S2898" s="486"/>
      <c r="T2898" s="486"/>
      <c r="U2898" s="214"/>
      <c r="V2898" s="214"/>
      <c r="W2898" s="214"/>
      <c r="X2898" s="214"/>
      <c r="Y2898" s="214"/>
      <c r="Z2898" s="214"/>
      <c r="AA2898" s="214"/>
      <c r="AB2898" s="214"/>
      <c r="AC2898" s="214"/>
      <c r="AD2898" s="214"/>
      <c r="AE2898" s="214"/>
      <c r="AF2898" s="214"/>
      <c r="AG2898" s="214"/>
      <c r="AH2898" s="214"/>
      <c r="AI2898" s="214"/>
      <c r="AJ2898" s="214"/>
      <c r="AK2898" s="214"/>
      <c r="AL2898" s="214"/>
      <c r="AM2898" s="214"/>
      <c r="AN2898" s="214"/>
      <c r="AO2898" s="214"/>
      <c r="AP2898" s="214"/>
      <c r="AQ2898" s="214"/>
      <c r="AR2898" s="214"/>
      <c r="AS2898" s="214"/>
      <c r="AT2898" s="214"/>
      <c r="AU2898" s="214"/>
      <c r="AV2898" s="214"/>
      <c r="AW2898" s="214"/>
      <c r="AX2898" s="214"/>
      <c r="AY2898" s="214"/>
      <c r="AZ2898" s="214"/>
      <c r="BA2898" s="214"/>
      <c r="BB2898" s="214"/>
      <c r="BC2898" s="214"/>
      <c r="BD2898" s="214"/>
      <c r="BE2898" s="214"/>
      <c r="BF2898" s="214"/>
      <c r="BG2898" s="214"/>
      <c r="BH2898" s="214"/>
      <c r="BI2898" s="214"/>
      <c r="BJ2898" s="214"/>
      <c r="BK2898" s="214"/>
      <c r="BL2898" s="214"/>
      <c r="BM2898" s="214"/>
      <c r="BN2898" s="214"/>
      <c r="BO2898" s="214"/>
      <c r="BP2898" s="214"/>
      <c r="BQ2898" s="214"/>
      <c r="BR2898" s="214"/>
      <c r="BS2898" s="214"/>
      <c r="BT2898" s="214"/>
      <c r="BU2898" s="214"/>
      <c r="BV2898" s="214"/>
      <c r="BW2898" s="214"/>
      <c r="BX2898" s="214"/>
      <c r="BY2898" s="214"/>
      <c r="BZ2898" s="214"/>
      <c r="CA2898" s="214"/>
      <c r="CB2898" s="214"/>
      <c r="CC2898" s="214"/>
      <c r="CD2898" s="214"/>
      <c r="CE2898" s="227"/>
      <c r="CF2898" s="227"/>
      <c r="CG2898" s="227"/>
      <c r="CH2898" s="76"/>
      <c r="CI2898" s="227"/>
      <c r="CJ2898" s="227"/>
      <c r="CK2898" s="227"/>
      <c r="CL2898" s="227"/>
      <c r="CM2898" s="213"/>
    </row>
    <row r="2899" spans="1:91" ht="15">
      <c r="A2899" s="409"/>
      <c r="B2899" s="409"/>
      <c r="C2899" s="656" t="s">
        <v>2532</v>
      </c>
      <c r="D2899" s="655"/>
      <c r="E2899" s="405"/>
      <c r="F2899" s="405"/>
      <c r="G2899" s="406"/>
      <c r="H2899" s="672"/>
      <c r="I2899" s="448"/>
      <c r="J2899" s="448"/>
      <c r="K2899" s="405"/>
      <c r="L2899" s="655"/>
      <c r="M2899" s="405"/>
      <c r="N2899" s="449"/>
      <c r="O2899" s="449"/>
      <c r="P2899" s="655"/>
      <c r="Q2899" s="406"/>
      <c r="R2899" s="486"/>
      <c r="S2899" s="486"/>
      <c r="T2899" s="486"/>
      <c r="U2899" s="215">
        <f t="shared" ref="U2899:AO2899" si="1234">SUMIF($H:$H,$C2899,U:U)</f>
        <v>0</v>
      </c>
      <c r="V2899" s="215">
        <f t="shared" si="1234"/>
        <v>14406.578406249999</v>
      </c>
      <c r="W2899" s="215">
        <f t="shared" si="1234"/>
        <v>0</v>
      </c>
      <c r="X2899" s="215">
        <f t="shared" si="1234"/>
        <v>14406.578406249999</v>
      </c>
      <c r="Y2899" s="215">
        <f t="shared" si="1234"/>
        <v>0</v>
      </c>
      <c r="Z2899" s="215">
        <f t="shared" si="1234"/>
        <v>19746.019410000001</v>
      </c>
      <c r="AA2899" s="215">
        <f t="shared" si="1234"/>
        <v>0</v>
      </c>
      <c r="AB2899" s="215">
        <f t="shared" si="1234"/>
        <v>19746.019410000001</v>
      </c>
      <c r="AC2899" s="215">
        <f t="shared" si="1234"/>
        <v>18497.791379999999</v>
      </c>
      <c r="AD2899" s="215">
        <f t="shared" si="1234"/>
        <v>10585.91562</v>
      </c>
      <c r="AE2899" s="215">
        <f t="shared" si="1234"/>
        <v>4783.5794999999998</v>
      </c>
      <c r="AF2899" s="215">
        <f t="shared" si="1234"/>
        <v>1384.5270799999998</v>
      </c>
      <c r="AG2899" s="215">
        <f t="shared" si="1234"/>
        <v>4300.1342299999997</v>
      </c>
      <c r="AH2899" s="215">
        <f t="shared" si="1234"/>
        <v>9339.9360099999994</v>
      </c>
      <c r="AI2899" s="215">
        <f t="shared" si="1234"/>
        <v>13740.822370000002</v>
      </c>
      <c r="AJ2899" s="215">
        <f t="shared" si="1234"/>
        <v>17507.166430000001</v>
      </c>
      <c r="AK2899" s="215">
        <f t="shared" si="1234"/>
        <v>20725.856940000001</v>
      </c>
      <c r="AL2899" s="215">
        <f t="shared" si="1234"/>
        <v>23439.086370000005</v>
      </c>
      <c r="AM2899" s="215">
        <f t="shared" si="1234"/>
        <v>25232.856390000001</v>
      </c>
      <c r="AN2899" s="215">
        <f t="shared" si="1234"/>
        <v>22717.15454</v>
      </c>
      <c r="AO2899" s="215">
        <f t="shared" si="1234"/>
        <v>19746.019410000001</v>
      </c>
      <c r="AP2899" s="215"/>
      <c r="AQ2899" s="215"/>
      <c r="AR2899" s="215"/>
      <c r="AS2899" s="215"/>
      <c r="AT2899" s="215"/>
      <c r="AU2899" s="215"/>
      <c r="AV2899" s="215"/>
      <c r="AW2899" s="215"/>
      <c r="AX2899" s="215"/>
      <c r="AY2899" s="215"/>
      <c r="AZ2899" s="215"/>
      <c r="BA2899" s="215"/>
      <c r="BB2899" s="215"/>
      <c r="BC2899" s="215"/>
      <c r="BD2899" s="215"/>
      <c r="BE2899" s="215"/>
      <c r="BF2899" s="215"/>
      <c r="BG2899" s="215"/>
      <c r="BH2899" s="215"/>
      <c r="BI2899" s="215"/>
      <c r="BJ2899" s="215"/>
      <c r="BK2899" s="215"/>
      <c r="BL2899" s="215"/>
      <c r="BM2899" s="215"/>
      <c r="BN2899" s="215"/>
      <c r="BO2899" s="215"/>
      <c r="BP2899" s="215"/>
      <c r="BQ2899" s="215"/>
      <c r="BR2899" s="215"/>
      <c r="BS2899" s="215"/>
      <c r="BT2899" s="215"/>
      <c r="BU2899" s="215"/>
      <c r="BV2899" s="215"/>
      <c r="BW2899" s="215"/>
      <c r="BX2899" s="215"/>
      <c r="BY2899" s="215"/>
      <c r="BZ2899" s="215"/>
      <c r="CA2899" s="215"/>
      <c r="CB2899" s="215"/>
      <c r="CC2899" s="214"/>
      <c r="CD2899" s="214"/>
      <c r="CE2899" s="230"/>
      <c r="CF2899" s="230"/>
      <c r="CG2899" s="230"/>
      <c r="CH2899" s="76"/>
      <c r="CI2899" s="230" t="s">
        <v>2679</v>
      </c>
      <c r="CJ2899" s="230"/>
      <c r="CK2899" s="230"/>
      <c r="CL2899" s="230"/>
      <c r="CM2899" s="231"/>
    </row>
    <row r="2900" spans="1:91">
      <c r="A2900" s="409"/>
      <c r="B2900" s="409"/>
      <c r="C2900" s="656"/>
      <c r="D2900" s="655"/>
      <c r="E2900" s="405"/>
      <c r="F2900" s="405"/>
      <c r="G2900" s="406"/>
      <c r="H2900" s="672"/>
      <c r="I2900" s="448"/>
      <c r="J2900" s="448"/>
      <c r="K2900" s="405"/>
      <c r="L2900" s="655"/>
      <c r="M2900" s="405"/>
      <c r="N2900" s="449"/>
      <c r="O2900" s="449"/>
      <c r="P2900" s="655"/>
      <c r="Q2900" s="406"/>
      <c r="R2900" s="486"/>
      <c r="S2900" s="486"/>
      <c r="T2900" s="486"/>
      <c r="U2900" s="214"/>
      <c r="V2900" s="214"/>
      <c r="W2900" s="214"/>
      <c r="X2900" s="214"/>
      <c r="Y2900" s="214"/>
      <c r="Z2900" s="214"/>
      <c r="AA2900" s="214"/>
      <c r="AB2900" s="214"/>
      <c r="AC2900" s="214"/>
      <c r="AD2900" s="214"/>
      <c r="AE2900" s="214"/>
      <c r="AF2900" s="214"/>
      <c r="AG2900" s="214"/>
      <c r="AH2900" s="214"/>
      <c r="AI2900" s="214"/>
      <c r="AJ2900" s="214"/>
      <c r="AK2900" s="214"/>
      <c r="AL2900" s="214"/>
      <c r="AM2900" s="214"/>
      <c r="AN2900" s="214"/>
      <c r="AO2900" s="214"/>
      <c r="AP2900" s="214"/>
      <c r="AQ2900" s="214"/>
      <c r="AR2900" s="214"/>
      <c r="AS2900" s="214"/>
      <c r="AT2900" s="214"/>
      <c r="AU2900" s="214"/>
      <c r="AV2900" s="214"/>
      <c r="AW2900" s="214"/>
      <c r="AX2900" s="214"/>
      <c r="AY2900" s="214"/>
      <c r="AZ2900" s="214"/>
      <c r="BA2900" s="214"/>
      <c r="BB2900" s="214"/>
      <c r="BC2900" s="214"/>
      <c r="BD2900" s="214"/>
      <c r="BE2900" s="214"/>
      <c r="BF2900" s="214"/>
      <c r="BG2900" s="214"/>
      <c r="BH2900" s="214"/>
      <c r="BI2900" s="214"/>
      <c r="BJ2900" s="214"/>
      <c r="BK2900" s="214"/>
      <c r="BL2900" s="214"/>
      <c r="BM2900" s="214"/>
      <c r="BN2900" s="214"/>
      <c r="BO2900" s="214"/>
      <c r="BP2900" s="214"/>
      <c r="BQ2900" s="214"/>
      <c r="BR2900" s="214"/>
      <c r="BS2900" s="214"/>
      <c r="BT2900" s="214"/>
      <c r="BU2900" s="214"/>
      <c r="BV2900" s="214"/>
      <c r="BW2900" s="214"/>
      <c r="BX2900" s="214"/>
      <c r="BY2900" s="214"/>
      <c r="BZ2900" s="214"/>
      <c r="CA2900" s="214"/>
      <c r="CB2900" s="214"/>
      <c r="CC2900" s="214"/>
      <c r="CD2900" s="214"/>
      <c r="CE2900" s="227"/>
      <c r="CF2900" s="227"/>
      <c r="CG2900" s="227"/>
      <c r="CH2900" s="76"/>
      <c r="CI2900" s="227"/>
      <c r="CJ2900" s="227"/>
      <c r="CK2900" s="227"/>
      <c r="CL2900" s="227"/>
      <c r="CM2900" s="213"/>
    </row>
    <row r="2901" spans="1:91">
      <c r="A2901" s="409"/>
      <c r="B2901" s="409"/>
      <c r="C2901" s="656" t="s">
        <v>2475</v>
      </c>
      <c r="D2901" s="656" t="s">
        <v>2455</v>
      </c>
      <c r="E2901" s="405"/>
      <c r="F2901" s="405"/>
      <c r="G2901" s="406"/>
      <c r="H2901" s="672"/>
      <c r="I2901" s="448"/>
      <c r="J2901" s="448"/>
      <c r="K2901" s="405"/>
      <c r="L2901" s="655"/>
      <c r="M2901" s="405"/>
      <c r="N2901" s="449"/>
      <c r="O2901" s="449"/>
      <c r="P2901" s="655"/>
      <c r="Q2901" s="406"/>
      <c r="R2901" s="486"/>
      <c r="S2901" s="486"/>
      <c r="T2901" s="486"/>
      <c r="U2901" s="228">
        <f t="shared" ref="U2901:AO2901" si="1235">SUMIF($L:$L,$D2901,U:U)</f>
        <v>0</v>
      </c>
      <c r="V2901" s="228">
        <f t="shared" si="1235"/>
        <v>14406.578406249999</v>
      </c>
      <c r="W2901" s="228">
        <f t="shared" si="1235"/>
        <v>0</v>
      </c>
      <c r="X2901" s="228">
        <f t="shared" si="1235"/>
        <v>14406.578406249999</v>
      </c>
      <c r="Y2901" s="228">
        <f t="shared" si="1235"/>
        <v>0</v>
      </c>
      <c r="Z2901" s="228">
        <f t="shared" si="1235"/>
        <v>19746.019410000001</v>
      </c>
      <c r="AA2901" s="228">
        <f t="shared" si="1235"/>
        <v>0</v>
      </c>
      <c r="AB2901" s="228">
        <f t="shared" si="1235"/>
        <v>19746.019410000001</v>
      </c>
      <c r="AC2901" s="228">
        <f t="shared" si="1235"/>
        <v>18497.791379999999</v>
      </c>
      <c r="AD2901" s="228">
        <f t="shared" si="1235"/>
        <v>10585.91562</v>
      </c>
      <c r="AE2901" s="228">
        <f t="shared" si="1235"/>
        <v>4783.5794999999998</v>
      </c>
      <c r="AF2901" s="228">
        <f t="shared" si="1235"/>
        <v>1384.5270799999998</v>
      </c>
      <c r="AG2901" s="228">
        <f t="shared" si="1235"/>
        <v>4300.1342299999997</v>
      </c>
      <c r="AH2901" s="228">
        <f t="shared" si="1235"/>
        <v>9339.9360099999994</v>
      </c>
      <c r="AI2901" s="228">
        <f t="shared" si="1235"/>
        <v>13740.822370000002</v>
      </c>
      <c r="AJ2901" s="228">
        <f t="shared" si="1235"/>
        <v>17507.166430000001</v>
      </c>
      <c r="AK2901" s="228">
        <f t="shared" si="1235"/>
        <v>20725.856940000001</v>
      </c>
      <c r="AL2901" s="228">
        <f t="shared" si="1235"/>
        <v>23439.086370000005</v>
      </c>
      <c r="AM2901" s="228">
        <f t="shared" si="1235"/>
        <v>25232.856390000001</v>
      </c>
      <c r="AN2901" s="228">
        <f t="shared" si="1235"/>
        <v>22717.15454</v>
      </c>
      <c r="AO2901" s="228">
        <f t="shared" si="1235"/>
        <v>19746.019410000001</v>
      </c>
      <c r="AP2901" s="228"/>
      <c r="AQ2901" s="228"/>
      <c r="AR2901" s="228"/>
      <c r="AS2901" s="228"/>
      <c r="AT2901" s="228"/>
      <c r="AU2901" s="228"/>
      <c r="AV2901" s="228"/>
      <c r="AW2901" s="228"/>
      <c r="AX2901" s="228"/>
      <c r="AY2901" s="228"/>
      <c r="AZ2901" s="228"/>
      <c r="BA2901" s="228"/>
      <c r="BB2901" s="228"/>
      <c r="BC2901" s="228"/>
      <c r="BD2901" s="228"/>
      <c r="BE2901" s="228"/>
      <c r="BF2901" s="228"/>
      <c r="BG2901" s="228"/>
      <c r="BH2901" s="228"/>
      <c r="BI2901" s="228"/>
      <c r="BJ2901" s="228"/>
      <c r="BK2901" s="228"/>
      <c r="BL2901" s="228"/>
      <c r="BM2901" s="228"/>
      <c r="BN2901" s="228"/>
      <c r="BO2901" s="228"/>
      <c r="BP2901" s="228"/>
      <c r="BQ2901" s="228"/>
      <c r="BR2901" s="228"/>
      <c r="BS2901" s="228"/>
      <c r="BT2901" s="228"/>
      <c r="BU2901" s="228"/>
      <c r="BV2901" s="228"/>
      <c r="BW2901" s="228"/>
      <c r="BX2901" s="228"/>
      <c r="BY2901" s="228"/>
      <c r="BZ2901" s="228"/>
      <c r="CA2901" s="228"/>
      <c r="CB2901" s="228"/>
      <c r="CC2901" s="214"/>
      <c r="CD2901" s="214"/>
      <c r="CE2901" s="227"/>
      <c r="CF2901" s="227"/>
      <c r="CG2901" s="227"/>
      <c r="CH2901" s="76"/>
      <c r="CI2901" s="227"/>
      <c r="CJ2901" s="227"/>
      <c r="CK2901" s="227"/>
      <c r="CL2901" s="227"/>
      <c r="CM2901" s="213"/>
    </row>
    <row r="2902" spans="1:91">
      <c r="A2902" s="409"/>
      <c r="B2902" s="409"/>
      <c r="C2902" s="656"/>
      <c r="D2902" s="655"/>
      <c r="E2902" s="405"/>
      <c r="F2902" s="405"/>
      <c r="G2902" s="406"/>
      <c r="H2902" s="672"/>
      <c r="I2902" s="448"/>
      <c r="J2902" s="448"/>
      <c r="K2902" s="405"/>
      <c r="L2902" s="655"/>
      <c r="M2902" s="405"/>
      <c r="N2902" s="449"/>
      <c r="O2902" s="449"/>
      <c r="P2902" s="655"/>
      <c r="Q2902" s="406"/>
      <c r="R2902" s="486"/>
      <c r="S2902" s="486"/>
      <c r="T2902" s="486"/>
      <c r="U2902" s="214"/>
      <c r="V2902" s="214"/>
      <c r="W2902" s="214"/>
      <c r="X2902" s="214"/>
      <c r="Y2902" s="214"/>
      <c r="Z2902" s="214"/>
      <c r="AA2902" s="214"/>
      <c r="AB2902" s="214"/>
      <c r="AC2902" s="214"/>
      <c r="AD2902" s="214"/>
      <c r="AE2902" s="214"/>
      <c r="AF2902" s="214"/>
      <c r="AG2902" s="214"/>
      <c r="AH2902" s="214"/>
      <c r="AI2902" s="214"/>
      <c r="AJ2902" s="214"/>
      <c r="AK2902" s="214"/>
      <c r="AL2902" s="214"/>
      <c r="AM2902" s="214"/>
      <c r="AN2902" s="214"/>
      <c r="AO2902" s="214"/>
      <c r="AP2902" s="214"/>
      <c r="AQ2902" s="214"/>
      <c r="AR2902" s="214"/>
      <c r="AS2902" s="214"/>
      <c r="AT2902" s="214"/>
      <c r="AU2902" s="214"/>
      <c r="AV2902" s="214"/>
      <c r="AW2902" s="214"/>
      <c r="AX2902" s="214"/>
      <c r="AY2902" s="214"/>
      <c r="AZ2902" s="214"/>
      <c r="BA2902" s="214"/>
      <c r="BB2902" s="214"/>
      <c r="BC2902" s="214"/>
      <c r="BD2902" s="214"/>
      <c r="BE2902" s="214"/>
      <c r="BF2902" s="214"/>
      <c r="BG2902" s="214"/>
      <c r="BH2902" s="214"/>
      <c r="BI2902" s="214"/>
      <c r="BJ2902" s="214"/>
      <c r="BK2902" s="214"/>
      <c r="BL2902" s="214"/>
      <c r="BM2902" s="214"/>
      <c r="BN2902" s="214"/>
      <c r="BO2902" s="214"/>
      <c r="BP2902" s="214"/>
      <c r="BQ2902" s="214"/>
      <c r="BR2902" s="214"/>
      <c r="BS2902" s="214"/>
      <c r="BT2902" s="214"/>
      <c r="BU2902" s="214"/>
      <c r="BV2902" s="214"/>
      <c r="BW2902" s="214"/>
      <c r="BX2902" s="214"/>
      <c r="BY2902" s="214"/>
      <c r="BZ2902" s="214"/>
      <c r="CA2902" s="214"/>
      <c r="CB2902" s="214"/>
      <c r="CC2902" s="214"/>
      <c r="CD2902" s="214"/>
      <c r="CE2902" s="227"/>
      <c r="CF2902" s="227"/>
      <c r="CG2902" s="227"/>
      <c r="CH2902" s="76"/>
      <c r="CI2902" s="227"/>
      <c r="CJ2902" s="227"/>
      <c r="CK2902" s="227"/>
      <c r="CL2902" s="227"/>
      <c r="CM2902" s="213"/>
    </row>
    <row r="2903" spans="1:91">
      <c r="A2903" s="447"/>
      <c r="B2903" s="447" t="s">
        <v>2531</v>
      </c>
      <c r="C2903" s="656"/>
      <c r="D2903" s="689"/>
      <c r="E2903" s="422"/>
      <c r="F2903" s="422"/>
      <c r="G2903" s="461"/>
      <c r="H2903" s="678"/>
      <c r="I2903" s="462"/>
      <c r="J2903" s="462"/>
      <c r="K2903" s="422"/>
      <c r="L2903" s="689"/>
      <c r="M2903" s="422"/>
      <c r="N2903" s="463"/>
      <c r="O2903" s="463"/>
      <c r="P2903" s="689"/>
      <c r="Q2903" s="461"/>
      <c r="R2903" s="491"/>
      <c r="S2903" s="491"/>
      <c r="T2903" s="491"/>
      <c r="U2903" s="216"/>
      <c r="V2903" s="216"/>
      <c r="W2903" s="216"/>
      <c r="X2903" s="216"/>
      <c r="Y2903" s="216"/>
      <c r="Z2903" s="216"/>
      <c r="AA2903" s="216"/>
      <c r="AB2903" s="216"/>
      <c r="AC2903" s="216"/>
      <c r="AD2903" s="216"/>
      <c r="AE2903" s="216"/>
      <c r="AF2903" s="216"/>
      <c r="AG2903" s="216"/>
      <c r="AH2903" s="216"/>
      <c r="AI2903" s="216"/>
      <c r="AJ2903" s="216"/>
      <c r="AK2903" s="216"/>
      <c r="AL2903" s="216"/>
      <c r="AM2903" s="216"/>
      <c r="AN2903" s="216"/>
      <c r="AO2903" s="216"/>
      <c r="AP2903" s="216"/>
      <c r="AQ2903" s="216"/>
      <c r="AR2903" s="216"/>
      <c r="AS2903" s="216"/>
      <c r="AT2903" s="216"/>
      <c r="AU2903" s="216"/>
      <c r="AV2903" s="216"/>
      <c r="AW2903" s="216"/>
      <c r="AX2903" s="216"/>
      <c r="AY2903" s="216"/>
      <c r="AZ2903" s="216"/>
      <c r="BA2903" s="216"/>
      <c r="BB2903" s="216"/>
      <c r="BC2903" s="216"/>
      <c r="BD2903" s="216"/>
      <c r="BE2903" s="216"/>
      <c r="BF2903" s="216"/>
      <c r="BG2903" s="216"/>
      <c r="BH2903" s="216"/>
      <c r="BI2903" s="216"/>
      <c r="BJ2903" s="216"/>
      <c r="BK2903" s="216"/>
      <c r="BL2903" s="216"/>
      <c r="BM2903" s="216"/>
      <c r="BN2903" s="216"/>
      <c r="BO2903" s="216"/>
      <c r="BP2903" s="216"/>
      <c r="BQ2903" s="216"/>
      <c r="BR2903" s="216"/>
      <c r="BS2903" s="216"/>
      <c r="BT2903" s="216"/>
      <c r="BU2903" s="216"/>
      <c r="BV2903" s="216"/>
      <c r="BW2903" s="216"/>
      <c r="BX2903" s="216"/>
      <c r="BY2903" s="216"/>
      <c r="BZ2903" s="216"/>
      <c r="CA2903" s="216"/>
      <c r="CB2903" s="216"/>
      <c r="CC2903" s="216"/>
      <c r="CD2903" s="216"/>
      <c r="CE2903" s="230"/>
      <c r="CF2903" s="230"/>
      <c r="CG2903" s="230"/>
      <c r="CH2903" s="76"/>
      <c r="CI2903" s="230" t="s">
        <v>2679</v>
      </c>
      <c r="CJ2903" s="230"/>
      <c r="CK2903" s="230"/>
      <c r="CL2903" s="230"/>
      <c r="CM2903" s="231"/>
    </row>
    <row r="2904" spans="1:91" ht="15">
      <c r="A2904" s="464"/>
      <c r="B2904" s="464"/>
      <c r="C2904" s="656" t="s">
        <v>2533</v>
      </c>
      <c r="D2904" s="689"/>
      <c r="E2904" s="422"/>
      <c r="F2904" s="422"/>
      <c r="G2904" s="461"/>
      <c r="H2904" s="678"/>
      <c r="I2904" s="462"/>
      <c r="J2904" s="462"/>
      <c r="K2904" s="422"/>
      <c r="L2904" s="689"/>
      <c r="M2904" s="422"/>
      <c r="N2904" s="463"/>
      <c r="O2904" s="463"/>
      <c r="P2904" s="689"/>
      <c r="Q2904" s="461"/>
      <c r="R2904" s="491"/>
      <c r="S2904" s="491"/>
      <c r="T2904" s="491"/>
      <c r="U2904" s="215">
        <f t="shared" ref="U2904:AB2904" si="1236">+U2906-SUM(U2903:U2903)</f>
        <v>7743.8344308377082</v>
      </c>
      <c r="V2904" s="215">
        <f t="shared" si="1236"/>
        <v>2700.9451220789583</v>
      </c>
      <c r="W2904" s="215">
        <f t="shared" si="1236"/>
        <v>0</v>
      </c>
      <c r="X2904" s="215">
        <f t="shared" si="1236"/>
        <v>10444.779552916667</v>
      </c>
      <c r="Y2904" s="215">
        <f t="shared" si="1236"/>
        <v>7741.1661705850001</v>
      </c>
      <c r="Z2904" s="215">
        <f t="shared" si="1236"/>
        <v>2700.0149194149999</v>
      </c>
      <c r="AA2904" s="215">
        <f t="shared" si="1236"/>
        <v>0</v>
      </c>
      <c r="AB2904" s="215">
        <f t="shared" si="1236"/>
        <v>10441.181090000002</v>
      </c>
      <c r="AC2904" s="215">
        <f t="shared" ref="AC2904:AD2904" si="1237">+AC2906-SUM(AC2903:AC2903)</f>
        <v>10218.283020000001</v>
      </c>
      <c r="AD2904" s="215">
        <f t="shared" si="1237"/>
        <v>10278.23503</v>
      </c>
      <c r="AE2904" s="215">
        <f t="shared" ref="AE2904:AF2904" si="1238">+AE2906-SUM(AE2903:AE2903)</f>
        <v>10016.178700000002</v>
      </c>
      <c r="AF2904" s="215">
        <f t="shared" si="1238"/>
        <v>10062.33761</v>
      </c>
      <c r="AG2904" s="215">
        <f t="shared" ref="AG2904:AH2904" si="1239">+AG2906-SUM(AG2903:AG2903)</f>
        <v>10576.31439</v>
      </c>
      <c r="AH2904" s="215">
        <f t="shared" si="1239"/>
        <v>10870.36447</v>
      </c>
      <c r="AI2904" s="215">
        <f t="shared" ref="AI2904:AJ2904" si="1240">+AI2906-SUM(AI2903:AI2903)</f>
        <v>10937.94851</v>
      </c>
      <c r="AJ2904" s="215">
        <f t="shared" si="1240"/>
        <v>11047.911110000001</v>
      </c>
      <c r="AK2904" s="215">
        <f t="shared" ref="AK2904:AL2904" si="1241">+AK2906-SUM(AK2903:AK2903)</f>
        <v>10435.009610000001</v>
      </c>
      <c r="AL2904" s="215">
        <f t="shared" si="1241"/>
        <v>10462.236080000001</v>
      </c>
      <c r="AM2904" s="215">
        <f t="shared" ref="AM2904:AN2904" si="1242">+AM2906-SUM(AM2903:AM2903)</f>
        <v>10196.524850000002</v>
      </c>
      <c r="AN2904" s="215">
        <f t="shared" si="1242"/>
        <v>10124.56222</v>
      </c>
      <c r="AO2904" s="215">
        <f t="shared" ref="AO2904" si="1243">+AO2906-SUM(AO2903:AO2903)</f>
        <v>10441.181090000002</v>
      </c>
      <c r="AP2904" s="215"/>
      <c r="AQ2904" s="215"/>
      <c r="AR2904" s="215"/>
      <c r="AS2904" s="215"/>
      <c r="AT2904" s="215"/>
      <c r="AU2904" s="215"/>
      <c r="AV2904" s="215"/>
      <c r="AW2904" s="215"/>
      <c r="AX2904" s="215"/>
      <c r="AY2904" s="215"/>
      <c r="AZ2904" s="215"/>
      <c r="BA2904" s="215"/>
      <c r="BB2904" s="215"/>
      <c r="BC2904" s="215"/>
      <c r="BD2904" s="215"/>
      <c r="BE2904" s="215"/>
      <c r="BF2904" s="215"/>
      <c r="BG2904" s="215"/>
      <c r="BH2904" s="215"/>
      <c r="BI2904" s="215"/>
      <c r="BJ2904" s="215"/>
      <c r="BK2904" s="215"/>
      <c r="BL2904" s="215"/>
      <c r="BM2904" s="215"/>
      <c r="BN2904" s="215"/>
      <c r="BO2904" s="215"/>
      <c r="BP2904" s="215"/>
      <c r="BQ2904" s="215"/>
      <c r="BR2904" s="215"/>
      <c r="BS2904" s="215"/>
      <c r="BT2904" s="215"/>
      <c r="BU2904" s="215"/>
      <c r="BV2904" s="215"/>
      <c r="BW2904" s="215"/>
      <c r="BX2904" s="215"/>
      <c r="BY2904" s="215"/>
      <c r="BZ2904" s="215"/>
      <c r="CA2904" s="215"/>
      <c r="CB2904" s="215"/>
      <c r="CC2904" s="215"/>
      <c r="CD2904" s="215"/>
      <c r="CE2904" s="230"/>
      <c r="CF2904" s="230"/>
      <c r="CG2904" s="230"/>
      <c r="CH2904" s="76"/>
      <c r="CI2904" s="230" t="s">
        <v>2679</v>
      </c>
      <c r="CJ2904" s="230"/>
      <c r="CK2904" s="230"/>
      <c r="CL2904" s="230"/>
      <c r="CM2904" s="231"/>
    </row>
    <row r="2905" spans="1:91">
      <c r="A2905" s="464"/>
      <c r="B2905" s="464"/>
      <c r="C2905" s="656"/>
      <c r="D2905" s="689"/>
      <c r="E2905" s="422"/>
      <c r="F2905" s="422"/>
      <c r="G2905" s="461"/>
      <c r="H2905" s="678"/>
      <c r="I2905" s="462"/>
      <c r="J2905" s="462"/>
      <c r="K2905" s="422"/>
      <c r="L2905" s="689"/>
      <c r="M2905" s="422"/>
      <c r="N2905" s="463"/>
      <c r="O2905" s="463"/>
      <c r="P2905" s="689"/>
      <c r="Q2905" s="461"/>
      <c r="R2905" s="491"/>
      <c r="S2905" s="491"/>
      <c r="T2905" s="491"/>
      <c r="U2905" s="216"/>
      <c r="V2905" s="216"/>
      <c r="W2905" s="216"/>
      <c r="X2905" s="216"/>
      <c r="Y2905" s="216"/>
      <c r="Z2905" s="216"/>
      <c r="AA2905" s="216"/>
      <c r="AB2905" s="216"/>
      <c r="AC2905" s="216"/>
      <c r="AD2905" s="216"/>
      <c r="AE2905" s="216"/>
      <c r="AF2905" s="216"/>
      <c r="AG2905" s="216"/>
      <c r="AH2905" s="216"/>
      <c r="AI2905" s="216"/>
      <c r="AJ2905" s="216"/>
      <c r="AK2905" s="216"/>
      <c r="AL2905" s="216"/>
      <c r="AM2905" s="216"/>
      <c r="AN2905" s="216"/>
      <c r="AO2905" s="216"/>
      <c r="AP2905" s="216"/>
      <c r="AQ2905" s="216"/>
      <c r="AR2905" s="216"/>
      <c r="AS2905" s="216"/>
      <c r="AT2905" s="216"/>
      <c r="AU2905" s="216"/>
      <c r="AV2905" s="216"/>
      <c r="AW2905" s="216"/>
      <c r="AX2905" s="216"/>
      <c r="AY2905" s="216"/>
      <c r="AZ2905" s="216"/>
      <c r="BA2905" s="216"/>
      <c r="BB2905" s="216"/>
      <c r="BC2905" s="216"/>
      <c r="BD2905" s="216"/>
      <c r="BE2905" s="216"/>
      <c r="BF2905" s="216"/>
      <c r="BG2905" s="216"/>
      <c r="BH2905" s="216"/>
      <c r="BI2905" s="216"/>
      <c r="BJ2905" s="216"/>
      <c r="BK2905" s="216"/>
      <c r="BL2905" s="216"/>
      <c r="BM2905" s="216"/>
      <c r="BN2905" s="216"/>
      <c r="BO2905" s="216"/>
      <c r="BP2905" s="216"/>
      <c r="BQ2905" s="216"/>
      <c r="BR2905" s="216"/>
      <c r="BS2905" s="216"/>
      <c r="BT2905" s="216"/>
      <c r="BU2905" s="216"/>
      <c r="BV2905" s="216"/>
      <c r="BW2905" s="216"/>
      <c r="BX2905" s="216"/>
      <c r="BY2905" s="216"/>
      <c r="BZ2905" s="216"/>
      <c r="CA2905" s="216"/>
      <c r="CB2905" s="216"/>
      <c r="CC2905" s="216"/>
      <c r="CD2905" s="216"/>
      <c r="CE2905" s="230"/>
      <c r="CF2905" s="230"/>
      <c r="CG2905" s="230"/>
      <c r="CH2905" s="76"/>
      <c r="CI2905" s="230" t="s">
        <v>2679</v>
      </c>
      <c r="CJ2905" s="230"/>
      <c r="CK2905" s="230"/>
      <c r="CL2905" s="230"/>
      <c r="CM2905" s="231"/>
    </row>
    <row r="2906" spans="1:91">
      <c r="A2906" s="409"/>
      <c r="B2906" s="409"/>
      <c r="C2906" s="656" t="s">
        <v>2475</v>
      </c>
      <c r="D2906" s="656" t="s">
        <v>2456</v>
      </c>
      <c r="E2906" s="406"/>
      <c r="F2906" s="406"/>
      <c r="G2906" s="465"/>
      <c r="H2906" s="672"/>
      <c r="I2906" s="448"/>
      <c r="J2906" s="448"/>
      <c r="K2906" s="423"/>
      <c r="L2906" s="687"/>
      <c r="M2906" s="423"/>
      <c r="N2906" s="450"/>
      <c r="O2906" s="450"/>
      <c r="P2906" s="687"/>
      <c r="Q2906" s="465"/>
      <c r="R2906" s="487"/>
      <c r="S2906" s="487"/>
      <c r="T2906" s="487"/>
      <c r="U2906" s="228">
        <f t="shared" ref="U2906:AO2906" si="1244">SUMIF($L:$L,$D2906,U:U)</f>
        <v>7743.8344308377082</v>
      </c>
      <c r="V2906" s="228">
        <f t="shared" si="1244"/>
        <v>2700.9451220789583</v>
      </c>
      <c r="W2906" s="228">
        <f t="shared" si="1244"/>
        <v>0</v>
      </c>
      <c r="X2906" s="228">
        <f t="shared" si="1244"/>
        <v>10444.779552916667</v>
      </c>
      <c r="Y2906" s="228">
        <f t="shared" si="1244"/>
        <v>7741.1661705850001</v>
      </c>
      <c r="Z2906" s="228">
        <f t="shared" si="1244"/>
        <v>2700.0149194149999</v>
      </c>
      <c r="AA2906" s="228">
        <f t="shared" si="1244"/>
        <v>0</v>
      </c>
      <c r="AB2906" s="228">
        <f t="shared" si="1244"/>
        <v>10441.181090000002</v>
      </c>
      <c r="AC2906" s="228">
        <f t="shared" si="1244"/>
        <v>10218.283020000001</v>
      </c>
      <c r="AD2906" s="228">
        <f t="shared" si="1244"/>
        <v>10278.23503</v>
      </c>
      <c r="AE2906" s="228">
        <f t="shared" si="1244"/>
        <v>10016.178700000002</v>
      </c>
      <c r="AF2906" s="228">
        <f t="shared" si="1244"/>
        <v>10062.33761</v>
      </c>
      <c r="AG2906" s="228">
        <f t="shared" si="1244"/>
        <v>10576.31439</v>
      </c>
      <c r="AH2906" s="228">
        <f t="shared" si="1244"/>
        <v>10870.36447</v>
      </c>
      <c r="AI2906" s="228">
        <f t="shared" si="1244"/>
        <v>10937.94851</v>
      </c>
      <c r="AJ2906" s="228">
        <f t="shared" si="1244"/>
        <v>11047.911110000001</v>
      </c>
      <c r="AK2906" s="228">
        <f t="shared" si="1244"/>
        <v>10435.009610000001</v>
      </c>
      <c r="AL2906" s="228">
        <f t="shared" si="1244"/>
        <v>10462.236080000001</v>
      </c>
      <c r="AM2906" s="228">
        <f t="shared" si="1244"/>
        <v>10196.524850000002</v>
      </c>
      <c r="AN2906" s="228">
        <f t="shared" si="1244"/>
        <v>10124.56222</v>
      </c>
      <c r="AO2906" s="228">
        <f t="shared" si="1244"/>
        <v>10441.181090000002</v>
      </c>
      <c r="AP2906" s="228"/>
      <c r="AQ2906" s="228"/>
      <c r="AR2906" s="228"/>
      <c r="AS2906" s="228"/>
      <c r="AT2906" s="228"/>
      <c r="AU2906" s="228"/>
      <c r="AV2906" s="228"/>
      <c r="AW2906" s="228"/>
      <c r="AX2906" s="228"/>
      <c r="AY2906" s="228"/>
      <c r="AZ2906" s="228"/>
      <c r="BA2906" s="228"/>
      <c r="BB2906" s="228"/>
      <c r="BC2906" s="228"/>
      <c r="BD2906" s="228"/>
      <c r="BE2906" s="228"/>
      <c r="BF2906" s="228"/>
      <c r="BG2906" s="228"/>
      <c r="BH2906" s="228"/>
      <c r="BI2906" s="228"/>
      <c r="BJ2906" s="228"/>
      <c r="BK2906" s="228"/>
      <c r="BL2906" s="228"/>
      <c r="BM2906" s="228"/>
      <c r="BN2906" s="228"/>
      <c r="BO2906" s="228"/>
      <c r="BP2906" s="228"/>
      <c r="BQ2906" s="228"/>
      <c r="BR2906" s="228"/>
      <c r="BS2906" s="228"/>
      <c r="BT2906" s="228"/>
      <c r="BU2906" s="228"/>
      <c r="BV2906" s="228"/>
      <c r="BW2906" s="228"/>
      <c r="BX2906" s="228"/>
      <c r="BY2906" s="228"/>
      <c r="BZ2906" s="228"/>
      <c r="CA2906" s="228"/>
      <c r="CB2906" s="228"/>
      <c r="CC2906" s="228"/>
      <c r="CD2906" s="228"/>
      <c r="CE2906" s="230"/>
      <c r="CF2906" s="230"/>
      <c r="CG2906" s="230"/>
      <c r="CH2906" s="76"/>
      <c r="CI2906" s="230" t="s">
        <v>2679</v>
      </c>
      <c r="CJ2906" s="230"/>
      <c r="CK2906" s="230"/>
      <c r="CL2906" s="230"/>
      <c r="CM2906" s="232"/>
    </row>
    <row r="2907" spans="1:91">
      <c r="A2907" s="409"/>
      <c r="B2907" s="409"/>
      <c r="C2907" s="656"/>
      <c r="D2907" s="655"/>
      <c r="E2907" s="405"/>
      <c r="F2907" s="405"/>
      <c r="G2907" s="406"/>
      <c r="H2907" s="672"/>
      <c r="I2907" s="448"/>
      <c r="J2907" s="448"/>
      <c r="K2907" s="405"/>
      <c r="L2907" s="655"/>
      <c r="M2907" s="405"/>
      <c r="N2907" s="449"/>
      <c r="O2907" s="449"/>
      <c r="P2907" s="655"/>
      <c r="Q2907" s="406"/>
      <c r="R2907" s="486"/>
      <c r="S2907" s="486"/>
      <c r="T2907" s="486"/>
      <c r="U2907" s="214"/>
      <c r="V2907" s="214"/>
      <c r="W2907" s="214"/>
      <c r="X2907" s="214"/>
      <c r="Y2907" s="214"/>
      <c r="Z2907" s="214"/>
      <c r="AA2907" s="214"/>
      <c r="AB2907" s="214"/>
      <c r="AC2907" s="214"/>
      <c r="AD2907" s="214"/>
      <c r="AE2907" s="214"/>
      <c r="AF2907" s="214"/>
      <c r="AG2907" s="214"/>
      <c r="AH2907" s="214"/>
      <c r="AI2907" s="214"/>
      <c r="AJ2907" s="214"/>
      <c r="AK2907" s="214"/>
      <c r="AL2907" s="214"/>
      <c r="AM2907" s="214"/>
      <c r="AN2907" s="214"/>
      <c r="AO2907" s="214"/>
      <c r="AP2907" s="214"/>
      <c r="AQ2907" s="214"/>
      <c r="AR2907" s="214"/>
      <c r="AS2907" s="214"/>
      <c r="AT2907" s="214"/>
      <c r="AU2907" s="214"/>
      <c r="AV2907" s="214"/>
      <c r="AW2907" s="214"/>
      <c r="AX2907" s="214"/>
      <c r="AY2907" s="214"/>
      <c r="AZ2907" s="214"/>
      <c r="BA2907" s="214"/>
      <c r="BB2907" s="214"/>
      <c r="BC2907" s="214"/>
      <c r="BD2907" s="214"/>
      <c r="BE2907" s="214"/>
      <c r="BF2907" s="214"/>
      <c r="BG2907" s="214"/>
      <c r="BH2907" s="214"/>
      <c r="BI2907" s="214"/>
      <c r="BJ2907" s="214"/>
      <c r="BK2907" s="214"/>
      <c r="BL2907" s="214"/>
      <c r="BM2907" s="214"/>
      <c r="BN2907" s="214"/>
      <c r="BO2907" s="214"/>
      <c r="BP2907" s="214"/>
      <c r="BQ2907" s="214"/>
      <c r="BR2907" s="214"/>
      <c r="BS2907" s="214"/>
      <c r="BT2907" s="214"/>
      <c r="BU2907" s="214"/>
      <c r="BV2907" s="214"/>
      <c r="BW2907" s="214"/>
      <c r="BX2907" s="214"/>
      <c r="BY2907" s="214"/>
      <c r="BZ2907" s="214"/>
      <c r="CA2907" s="214"/>
      <c r="CB2907" s="214"/>
      <c r="CC2907" s="214"/>
      <c r="CD2907" s="214"/>
      <c r="CE2907" s="227"/>
      <c r="CF2907" s="227"/>
      <c r="CG2907" s="227"/>
      <c r="CH2907" s="76"/>
      <c r="CI2907" s="227" t="s">
        <v>2679</v>
      </c>
      <c r="CJ2907" s="227"/>
      <c r="CK2907" s="227"/>
      <c r="CL2907" s="227"/>
      <c r="CM2907" s="213"/>
    </row>
    <row r="2908" spans="1:91">
      <c r="A2908" s="447"/>
      <c r="B2908" s="447" t="s">
        <v>2534</v>
      </c>
      <c r="C2908" s="656"/>
      <c r="D2908" s="689"/>
      <c r="E2908" s="422"/>
      <c r="F2908" s="422"/>
      <c r="G2908" s="461"/>
      <c r="H2908" s="678"/>
      <c r="I2908" s="462"/>
      <c r="J2908" s="462"/>
      <c r="K2908" s="422"/>
      <c r="L2908" s="689"/>
      <c r="M2908" s="422"/>
      <c r="N2908" s="463"/>
      <c r="O2908" s="463"/>
      <c r="P2908" s="689"/>
      <c r="Q2908" s="461"/>
      <c r="R2908" s="491"/>
      <c r="S2908" s="491"/>
      <c r="T2908" s="491"/>
      <c r="U2908" s="216"/>
      <c r="V2908" s="216"/>
      <c r="W2908" s="216"/>
      <c r="X2908" s="216"/>
      <c r="Y2908" s="216"/>
      <c r="Z2908" s="216"/>
      <c r="AA2908" s="216"/>
      <c r="AB2908" s="216"/>
      <c r="AC2908" s="216"/>
      <c r="AD2908" s="216"/>
      <c r="AE2908" s="216"/>
      <c r="AF2908" s="216"/>
      <c r="AG2908" s="216"/>
      <c r="AH2908" s="216"/>
      <c r="AI2908" s="216"/>
      <c r="AJ2908" s="216"/>
      <c r="AK2908" s="216"/>
      <c r="AL2908" s="216"/>
      <c r="AM2908" s="216"/>
      <c r="AN2908" s="216"/>
      <c r="AO2908" s="216"/>
      <c r="AP2908" s="216"/>
      <c r="AQ2908" s="216"/>
      <c r="AR2908" s="216"/>
      <c r="AS2908" s="216"/>
      <c r="AT2908" s="216"/>
      <c r="AU2908" s="216"/>
      <c r="AV2908" s="216"/>
      <c r="AW2908" s="216"/>
      <c r="AX2908" s="216"/>
      <c r="AY2908" s="216"/>
      <c r="AZ2908" s="216"/>
      <c r="BA2908" s="216"/>
      <c r="BB2908" s="216"/>
      <c r="BC2908" s="216"/>
      <c r="BD2908" s="216"/>
      <c r="BE2908" s="216"/>
      <c r="BF2908" s="216"/>
      <c r="BG2908" s="216"/>
      <c r="BH2908" s="216"/>
      <c r="BI2908" s="216"/>
      <c r="BJ2908" s="216"/>
      <c r="BK2908" s="216"/>
      <c r="BL2908" s="216"/>
      <c r="BM2908" s="216"/>
      <c r="BN2908" s="216"/>
      <c r="BO2908" s="216"/>
      <c r="BP2908" s="216"/>
      <c r="BQ2908" s="216"/>
      <c r="BR2908" s="216"/>
      <c r="BS2908" s="216"/>
      <c r="BT2908" s="216"/>
      <c r="BU2908" s="216"/>
      <c r="BV2908" s="216"/>
      <c r="BW2908" s="216"/>
      <c r="BX2908" s="216"/>
      <c r="BY2908" s="216"/>
      <c r="BZ2908" s="216"/>
      <c r="CA2908" s="216"/>
      <c r="CB2908" s="216"/>
      <c r="CC2908" s="216"/>
      <c r="CD2908" s="216"/>
      <c r="CE2908" s="230"/>
      <c r="CF2908" s="230"/>
      <c r="CG2908" s="230"/>
      <c r="CH2908" s="76"/>
      <c r="CI2908" s="230" t="s">
        <v>2679</v>
      </c>
      <c r="CJ2908" s="230"/>
      <c r="CK2908" s="230"/>
      <c r="CL2908" s="230"/>
      <c r="CM2908" s="231"/>
    </row>
    <row r="2909" spans="1:91">
      <c r="A2909" s="464"/>
      <c r="B2909" s="464"/>
      <c r="C2909" s="661" t="s">
        <v>2221</v>
      </c>
      <c r="D2909" s="689"/>
      <c r="E2909" s="422"/>
      <c r="F2909" s="422"/>
      <c r="G2909" s="461"/>
      <c r="H2909" s="678"/>
      <c r="I2909" s="462"/>
      <c r="J2909" s="462"/>
      <c r="K2909" s="422"/>
      <c r="L2909" s="689"/>
      <c r="M2909" s="422"/>
      <c r="N2909" s="463"/>
      <c r="O2909" s="463"/>
      <c r="P2909" s="689"/>
      <c r="Q2909" s="461"/>
      <c r="R2909" s="491"/>
      <c r="S2909" s="491"/>
      <c r="T2909" s="491"/>
      <c r="U2909" s="214">
        <f t="shared" ref="U2909:AD2911" si="1245">SUMIF($AR:$AR,$CI2909,U:U)</f>
        <v>522.93543435645904</v>
      </c>
      <c r="V2909" s="214">
        <f t="shared" si="1245"/>
        <v>182.30453106020801</v>
      </c>
      <c r="W2909" s="214">
        <f t="shared" si="1245"/>
        <v>0</v>
      </c>
      <c r="X2909" s="214">
        <f t="shared" si="1245"/>
        <v>705.23996541666702</v>
      </c>
      <c r="Y2909" s="214">
        <f t="shared" si="1245"/>
        <v>760.11647716499999</v>
      </c>
      <c r="Z2909" s="214">
        <f t="shared" si="1245"/>
        <v>264.99003283500002</v>
      </c>
      <c r="AA2909" s="214">
        <f t="shared" si="1245"/>
        <v>0</v>
      </c>
      <c r="AB2909" s="214">
        <f t="shared" si="1245"/>
        <v>1025.1065100000001</v>
      </c>
      <c r="AC2909" s="214">
        <f t="shared" si="1245"/>
        <v>591.99585999999999</v>
      </c>
      <c r="AD2909" s="214">
        <f t="shared" si="1245"/>
        <v>403.46032000000002</v>
      </c>
      <c r="AE2909" s="214">
        <f t="shared" ref="AE2909:AO2911" si="1246">SUMIF($AR:$AR,$CI2909,AE:AE)</f>
        <v>365.03040000000004</v>
      </c>
      <c r="AF2909" s="214">
        <f t="shared" si="1246"/>
        <v>196.79879</v>
      </c>
      <c r="AG2909" s="214">
        <f t="shared" si="1246"/>
        <v>255.38773</v>
      </c>
      <c r="AH2909" s="214">
        <f t="shared" si="1246"/>
        <v>60.355080000000001</v>
      </c>
      <c r="AI2909" s="214">
        <f t="shared" si="1246"/>
        <v>-42.026849999999996</v>
      </c>
      <c r="AJ2909" s="214">
        <f t="shared" si="1246"/>
        <v>832.01492000000007</v>
      </c>
      <c r="AK2909" s="214">
        <f t="shared" si="1246"/>
        <v>1675.51929</v>
      </c>
      <c r="AL2909" s="214">
        <f t="shared" si="1246"/>
        <v>1485.9082800000001</v>
      </c>
      <c r="AM2909" s="214">
        <f t="shared" si="1246"/>
        <v>1265.53404</v>
      </c>
      <c r="AN2909" s="214">
        <f t="shared" si="1246"/>
        <v>1156.3463999999999</v>
      </c>
      <c r="AO2909" s="214">
        <f t="shared" si="1246"/>
        <v>1025.1065100000001</v>
      </c>
      <c r="AP2909" s="214"/>
      <c r="AQ2909" s="214"/>
      <c r="AR2909" s="214"/>
      <c r="AS2909" s="214"/>
      <c r="AT2909" s="214"/>
      <c r="AU2909" s="214"/>
      <c r="AV2909" s="214"/>
      <c r="AW2909" s="214"/>
      <c r="AX2909" s="214"/>
      <c r="AY2909" s="214"/>
      <c r="AZ2909" s="214"/>
      <c r="BA2909" s="214"/>
      <c r="BB2909" s="214"/>
      <c r="BC2909" s="214"/>
      <c r="BD2909" s="214"/>
      <c r="BE2909" s="214"/>
      <c r="BF2909" s="214"/>
      <c r="BG2909" s="214"/>
      <c r="BH2909" s="214"/>
      <c r="BI2909" s="214"/>
      <c r="BJ2909" s="214"/>
      <c r="BK2909" s="214"/>
      <c r="BL2909" s="214"/>
      <c r="BM2909" s="214"/>
      <c r="BN2909" s="214"/>
      <c r="BO2909" s="214"/>
      <c r="BP2909" s="214"/>
      <c r="BQ2909" s="214"/>
      <c r="BR2909" s="214"/>
      <c r="BS2909" s="214"/>
      <c r="BT2909" s="214"/>
      <c r="BU2909" s="214"/>
      <c r="BV2909" s="214"/>
      <c r="BW2909" s="214"/>
      <c r="BX2909" s="214"/>
      <c r="BY2909" s="214"/>
      <c r="BZ2909" s="214"/>
      <c r="CA2909" s="214"/>
      <c r="CB2909" s="214"/>
      <c r="CC2909" s="214"/>
      <c r="CD2909" s="214"/>
      <c r="CE2909" s="230"/>
      <c r="CF2909" s="230"/>
      <c r="CG2909" s="230"/>
      <c r="CH2909" s="26"/>
      <c r="CI2909" s="76" t="str">
        <f>CONCATENATE("R7",C2909)</f>
        <v>R7Prepaid Insurance</v>
      </c>
      <c r="CJ2909" s="230"/>
      <c r="CK2909" s="230"/>
      <c r="CL2909" s="230"/>
      <c r="CM2909" s="231"/>
    </row>
    <row r="2910" spans="1:91">
      <c r="A2910" s="464"/>
      <c r="B2910" s="464"/>
      <c r="C2910" s="661" t="s">
        <v>2535</v>
      </c>
      <c r="D2910" s="689"/>
      <c r="E2910" s="422"/>
      <c r="F2910" s="422"/>
      <c r="G2910" s="461"/>
      <c r="H2910" s="678"/>
      <c r="I2910" s="462"/>
      <c r="J2910" s="462"/>
      <c r="K2910" s="422"/>
      <c r="L2910" s="689"/>
      <c r="M2910" s="422"/>
      <c r="N2910" s="463"/>
      <c r="O2910" s="463"/>
      <c r="P2910" s="689"/>
      <c r="Q2910" s="461"/>
      <c r="R2910" s="491"/>
      <c r="S2910" s="491"/>
      <c r="T2910" s="491"/>
      <c r="U2910" s="214">
        <f t="shared" si="1245"/>
        <v>23601.406248669598</v>
      </c>
      <c r="V2910" s="214">
        <f t="shared" si="1245"/>
        <v>8610.1486150803703</v>
      </c>
      <c r="W2910" s="214">
        <f t="shared" si="1245"/>
        <v>0</v>
      </c>
      <c r="X2910" s="214">
        <f t="shared" si="1245"/>
        <v>32211.55486375</v>
      </c>
      <c r="Y2910" s="214">
        <f t="shared" si="1245"/>
        <v>20461.375049119</v>
      </c>
      <c r="Z2910" s="214">
        <f t="shared" si="1245"/>
        <v>7464.6179208809999</v>
      </c>
      <c r="AA2910" s="214">
        <f t="shared" si="1245"/>
        <v>0</v>
      </c>
      <c r="AB2910" s="214">
        <f t="shared" si="1245"/>
        <v>27925.992969999999</v>
      </c>
      <c r="AC2910" s="214">
        <f t="shared" si="1245"/>
        <v>26513.742100000003</v>
      </c>
      <c r="AD2910" s="214">
        <f t="shared" si="1245"/>
        <v>44289.112829999998</v>
      </c>
      <c r="AE2910" s="214">
        <f t="shared" si="1246"/>
        <v>37859.411780000002</v>
      </c>
      <c r="AF2910" s="214">
        <f t="shared" si="1246"/>
        <v>31418.133620000001</v>
      </c>
      <c r="AG2910" s="214">
        <f t="shared" si="1246"/>
        <v>24966.694050000002</v>
      </c>
      <c r="AH2910" s="214">
        <f t="shared" si="1246"/>
        <v>18555.200260000001</v>
      </c>
      <c r="AI2910" s="214">
        <f t="shared" si="1246"/>
        <v>12810.297410000001</v>
      </c>
      <c r="AJ2910" s="214">
        <f t="shared" si="1246"/>
        <v>35148.699110000001</v>
      </c>
      <c r="AK2910" s="214">
        <f t="shared" si="1246"/>
        <v>30850.629209999999</v>
      </c>
      <c r="AL2910" s="214">
        <f t="shared" si="1246"/>
        <v>47494.22939</v>
      </c>
      <c r="AM2910" s="214">
        <f t="shared" si="1246"/>
        <v>41308.925510000001</v>
      </c>
      <c r="AN2910" s="214">
        <f t="shared" si="1246"/>
        <v>34617.45766</v>
      </c>
      <c r="AO2910" s="214">
        <f t="shared" si="1246"/>
        <v>27925.992969999999</v>
      </c>
      <c r="AP2910" s="214"/>
      <c r="AQ2910" s="214"/>
      <c r="AR2910" s="214"/>
      <c r="AS2910" s="214"/>
      <c r="AT2910" s="214"/>
      <c r="AU2910" s="214"/>
      <c r="AV2910" s="214"/>
      <c r="AW2910" s="214"/>
      <c r="AX2910" s="214"/>
      <c r="AY2910" s="214"/>
      <c r="AZ2910" s="214"/>
      <c r="BA2910" s="214"/>
      <c r="BB2910" s="214"/>
      <c r="BC2910" s="214"/>
      <c r="BD2910" s="214"/>
      <c r="BE2910" s="214"/>
      <c r="BF2910" s="214"/>
      <c r="BG2910" s="214"/>
      <c r="BH2910" s="214"/>
      <c r="BI2910" s="214"/>
      <c r="BJ2910" s="214"/>
      <c r="BK2910" s="214"/>
      <c r="BL2910" s="214"/>
      <c r="BM2910" s="214"/>
      <c r="BN2910" s="214"/>
      <c r="BO2910" s="214"/>
      <c r="BP2910" s="214"/>
      <c r="BQ2910" s="214"/>
      <c r="BR2910" s="214"/>
      <c r="BS2910" s="214"/>
      <c r="BT2910" s="214"/>
      <c r="BU2910" s="214"/>
      <c r="BV2910" s="214"/>
      <c r="BW2910" s="214"/>
      <c r="BX2910" s="214"/>
      <c r="BY2910" s="214"/>
      <c r="BZ2910" s="214"/>
      <c r="CA2910" s="214"/>
      <c r="CB2910" s="214"/>
      <c r="CC2910" s="214"/>
      <c r="CD2910" s="214"/>
      <c r="CE2910" s="230"/>
      <c r="CF2910" s="230"/>
      <c r="CG2910" s="230"/>
      <c r="CH2910" s="26"/>
      <c r="CI2910" s="76" t="str">
        <f>CONCATENATE("R7",C2910)</f>
        <v>R7Prepaid Property Taxes</v>
      </c>
      <c r="CJ2910" s="230"/>
      <c r="CK2910" s="230"/>
      <c r="CL2910" s="230"/>
      <c r="CM2910" s="231"/>
    </row>
    <row r="2911" spans="1:91">
      <c r="A2911" s="464"/>
      <c r="B2911" s="464"/>
      <c r="C2911" s="661" t="s">
        <v>817</v>
      </c>
      <c r="D2911" s="689"/>
      <c r="E2911" s="422"/>
      <c r="F2911" s="422"/>
      <c r="G2911" s="461"/>
      <c r="H2911" s="678"/>
      <c r="I2911" s="462"/>
      <c r="J2911" s="462"/>
      <c r="K2911" s="422"/>
      <c r="L2911" s="689"/>
      <c r="M2911" s="422"/>
      <c r="N2911" s="463"/>
      <c r="O2911" s="463"/>
      <c r="P2911" s="689"/>
      <c r="Q2911" s="461"/>
      <c r="R2911" s="491"/>
      <c r="S2911" s="491"/>
      <c r="T2911" s="491"/>
      <c r="U2911" s="214">
        <f t="shared" si="1245"/>
        <v>4259.0698681836702</v>
      </c>
      <c r="V2911" s="214">
        <f t="shared" si="1245"/>
        <v>2452.3544434830001</v>
      </c>
      <c r="W2911" s="214">
        <f t="shared" si="1245"/>
        <v>0</v>
      </c>
      <c r="X2911" s="214">
        <f t="shared" si="1245"/>
        <v>6711.4243116666703</v>
      </c>
      <c r="Y2911" s="214">
        <f t="shared" si="1245"/>
        <v>3489.1519641780001</v>
      </c>
      <c r="Z2911" s="214">
        <f t="shared" si="1245"/>
        <v>2009.0389658219999</v>
      </c>
      <c r="AA2911" s="214">
        <f t="shared" si="1245"/>
        <v>0</v>
      </c>
      <c r="AB2911" s="214">
        <f t="shared" si="1245"/>
        <v>5498.1909299999998</v>
      </c>
      <c r="AC2911" s="214">
        <f t="shared" si="1245"/>
        <v>6025.7559499999998</v>
      </c>
      <c r="AD2911" s="214">
        <f t="shared" si="1245"/>
        <v>4017.1706300000001</v>
      </c>
      <c r="AE2911" s="214">
        <f t="shared" si="1246"/>
        <v>2008.5853100000002</v>
      </c>
      <c r="AF2911" s="214">
        <f t="shared" si="1246"/>
        <v>12104.810310000001</v>
      </c>
      <c r="AG2911" s="214">
        <f t="shared" si="1246"/>
        <v>10087.341920000001</v>
      </c>
      <c r="AH2911" s="214">
        <f t="shared" si="1246"/>
        <v>8069.8735299999998</v>
      </c>
      <c r="AI2911" s="214">
        <f t="shared" si="1246"/>
        <v>6052.4051399999998</v>
      </c>
      <c r="AJ2911" s="214">
        <f t="shared" si="1246"/>
        <v>4034.9367499999998</v>
      </c>
      <c r="AK2911" s="214">
        <f t="shared" si="1246"/>
        <v>2017.4683600000001</v>
      </c>
      <c r="AL2911" s="214">
        <f t="shared" si="1246"/>
        <v>9887.9535299999989</v>
      </c>
      <c r="AM2911" s="214">
        <f t="shared" si="1246"/>
        <v>9163.65157</v>
      </c>
      <c r="AN2911" s="214">
        <f t="shared" si="1246"/>
        <v>7330.9212500000003</v>
      </c>
      <c r="AO2911" s="214">
        <f t="shared" si="1246"/>
        <v>5498.1909299999998</v>
      </c>
      <c r="AP2911" s="214"/>
      <c r="AQ2911" s="214"/>
      <c r="AR2911" s="214"/>
      <c r="AS2911" s="214"/>
      <c r="AT2911" s="214"/>
      <c r="AU2911" s="214"/>
      <c r="AV2911" s="214"/>
      <c r="AW2911" s="214"/>
      <c r="AX2911" s="214"/>
      <c r="AY2911" s="214"/>
      <c r="AZ2911" s="214"/>
      <c r="BA2911" s="214"/>
      <c r="BB2911" s="214"/>
      <c r="BC2911" s="214"/>
      <c r="BD2911" s="214"/>
      <c r="BE2911" s="214"/>
      <c r="BF2911" s="214"/>
      <c r="BG2911" s="214"/>
      <c r="BH2911" s="214"/>
      <c r="BI2911" s="214"/>
      <c r="BJ2911" s="214"/>
      <c r="BK2911" s="214"/>
      <c r="BL2911" s="214"/>
      <c r="BM2911" s="214"/>
      <c r="BN2911" s="214"/>
      <c r="BO2911" s="214"/>
      <c r="BP2911" s="214"/>
      <c r="BQ2911" s="214"/>
      <c r="BR2911" s="214"/>
      <c r="BS2911" s="214"/>
      <c r="BT2911" s="214"/>
      <c r="BU2911" s="214"/>
      <c r="BV2911" s="214"/>
      <c r="BW2911" s="214"/>
      <c r="BX2911" s="214"/>
      <c r="BY2911" s="214"/>
      <c r="BZ2911" s="214"/>
      <c r="CA2911" s="214"/>
      <c r="CB2911" s="214"/>
      <c r="CC2911" s="214"/>
      <c r="CD2911" s="214"/>
      <c r="CE2911" s="230"/>
      <c r="CF2911" s="230"/>
      <c r="CG2911" s="230"/>
      <c r="CH2911" s="26"/>
      <c r="CI2911" s="76" t="str">
        <f>CONCATENATE("R7",C2911)</f>
        <v>R7PSC Assessment</v>
      </c>
      <c r="CJ2911" s="230"/>
      <c r="CK2911" s="230"/>
      <c r="CL2911" s="230"/>
      <c r="CM2911" s="231"/>
    </row>
    <row r="2912" spans="1:91">
      <c r="A2912" s="464"/>
      <c r="B2912" s="464"/>
      <c r="C2912" s="656"/>
      <c r="D2912" s="689"/>
      <c r="E2912" s="422"/>
      <c r="F2912" s="422"/>
      <c r="G2912" s="461"/>
      <c r="H2912" s="678"/>
      <c r="I2912" s="462"/>
      <c r="J2912" s="462"/>
      <c r="K2912" s="422"/>
      <c r="L2912" s="689"/>
      <c r="M2912" s="422"/>
      <c r="N2912" s="463"/>
      <c r="O2912" s="463"/>
      <c r="P2912" s="689"/>
      <c r="Q2912" s="461"/>
      <c r="R2912" s="491"/>
      <c r="S2912" s="491"/>
      <c r="T2912" s="491"/>
      <c r="U2912" s="214"/>
      <c r="V2912" s="214"/>
      <c r="W2912" s="214"/>
      <c r="X2912" s="214"/>
      <c r="Y2912" s="214"/>
      <c r="Z2912" s="214"/>
      <c r="AA2912" s="214"/>
      <c r="AB2912" s="214"/>
      <c r="AC2912" s="214"/>
      <c r="AD2912" s="214"/>
      <c r="AE2912" s="214"/>
      <c r="AF2912" s="214"/>
      <c r="AG2912" s="214"/>
      <c r="AH2912" s="214"/>
      <c r="AI2912" s="214"/>
      <c r="AJ2912" s="214"/>
      <c r="AK2912" s="214"/>
      <c r="AL2912" s="214"/>
      <c r="AM2912" s="214"/>
      <c r="AN2912" s="214"/>
      <c r="AO2912" s="214"/>
      <c r="AP2912" s="214"/>
      <c r="AQ2912" s="214"/>
      <c r="AR2912" s="214"/>
      <c r="AS2912" s="214"/>
      <c r="AT2912" s="214"/>
      <c r="AU2912" s="214"/>
      <c r="AV2912" s="214"/>
      <c r="AW2912" s="214"/>
      <c r="AX2912" s="214"/>
      <c r="AY2912" s="214"/>
      <c r="AZ2912" s="214"/>
      <c r="BA2912" s="214"/>
      <c r="BB2912" s="214"/>
      <c r="BC2912" s="214"/>
      <c r="BD2912" s="214"/>
      <c r="BE2912" s="214"/>
      <c r="BF2912" s="214"/>
      <c r="BG2912" s="214"/>
      <c r="BH2912" s="214"/>
      <c r="BI2912" s="214"/>
      <c r="BJ2912" s="214"/>
      <c r="BK2912" s="214"/>
      <c r="BL2912" s="214"/>
      <c r="BM2912" s="214"/>
      <c r="BN2912" s="214"/>
      <c r="BO2912" s="214"/>
      <c r="BP2912" s="214"/>
      <c r="BQ2912" s="214"/>
      <c r="BR2912" s="214"/>
      <c r="BS2912" s="214"/>
      <c r="BT2912" s="214"/>
      <c r="BU2912" s="214"/>
      <c r="BV2912" s="214"/>
      <c r="BW2912" s="214"/>
      <c r="BX2912" s="214"/>
      <c r="BY2912" s="214"/>
      <c r="BZ2912" s="214"/>
      <c r="CA2912" s="214"/>
      <c r="CB2912" s="214"/>
      <c r="CC2912" s="214"/>
      <c r="CD2912" s="214"/>
      <c r="CE2912" s="230"/>
      <c r="CF2912" s="230"/>
      <c r="CG2912" s="230"/>
      <c r="CH2912" s="76"/>
      <c r="CI2912" s="230" t="s">
        <v>2679</v>
      </c>
      <c r="CJ2912" s="230"/>
      <c r="CK2912" s="230"/>
      <c r="CL2912" s="230"/>
      <c r="CM2912" s="231"/>
    </row>
    <row r="2913" spans="1:91" ht="15">
      <c r="A2913" s="464"/>
      <c r="B2913" s="464"/>
      <c r="C2913" s="656" t="s">
        <v>2533</v>
      </c>
      <c r="D2913" s="689"/>
      <c r="E2913" s="422"/>
      <c r="F2913" s="422"/>
      <c r="G2913" s="461"/>
      <c r="H2913" s="678"/>
      <c r="I2913" s="462"/>
      <c r="J2913" s="462"/>
      <c r="K2913" s="422"/>
      <c r="L2913" s="689"/>
      <c r="M2913" s="422"/>
      <c r="N2913" s="463"/>
      <c r="O2913" s="463"/>
      <c r="P2913" s="689"/>
      <c r="Q2913" s="461"/>
      <c r="R2913" s="491"/>
      <c r="S2913" s="491"/>
      <c r="T2913" s="491"/>
      <c r="U2913" s="215">
        <f t="shared" ref="U2913:AB2913" si="1247">+U2915-SUM(U2908:U2912)</f>
        <v>453.24745816071299</v>
      </c>
      <c r="V2913" s="215">
        <f t="shared" si="1247"/>
        <v>233.31057183928715</v>
      </c>
      <c r="W2913" s="215">
        <f t="shared" si="1247"/>
        <v>0</v>
      </c>
      <c r="X2913" s="215">
        <f t="shared" si="1247"/>
        <v>686.55803000000014</v>
      </c>
      <c r="Y2913" s="215">
        <f t="shared" si="1247"/>
        <v>579.10219989794859</v>
      </c>
      <c r="Z2913" s="215">
        <f t="shared" si="1247"/>
        <v>260.15912010205284</v>
      </c>
      <c r="AA2913" s="215">
        <f t="shared" si="1247"/>
        <v>0</v>
      </c>
      <c r="AB2913" s="215">
        <f t="shared" si="1247"/>
        <v>839.2613199999978</v>
      </c>
      <c r="AC2913" s="215">
        <f t="shared" ref="AC2913" si="1248">+AC2915-SUM(AC2908:AC2912)</f>
        <v>535.52335999999923</v>
      </c>
      <c r="AD2913" s="215">
        <f t="shared" ref="AD2913:AE2913" si="1249">+AD2915-SUM(AD2908:AD2912)</f>
        <v>585.34961000000476</v>
      </c>
      <c r="AE2913" s="215">
        <f t="shared" si="1249"/>
        <v>757.61438999999518</v>
      </c>
      <c r="AF2913" s="215">
        <f t="shared" ref="AF2913:AG2913" si="1250">+AF2915-SUM(AF2908:AF2912)</f>
        <v>719.23950000000332</v>
      </c>
      <c r="AG2913" s="215">
        <f t="shared" si="1250"/>
        <v>720.30000000000291</v>
      </c>
      <c r="AH2913" s="215">
        <f t="shared" ref="AH2913:AI2913" si="1251">+AH2915-SUM(AH2908:AH2912)</f>
        <v>715.05910999999833</v>
      </c>
      <c r="AI2913" s="215">
        <f t="shared" si="1251"/>
        <v>745.88751000000047</v>
      </c>
      <c r="AJ2913" s="215">
        <f t="shared" ref="AJ2913:AK2913" si="1252">+AJ2915-SUM(AJ2908:AJ2912)</f>
        <v>759.28396000000066</v>
      </c>
      <c r="AK2913" s="215">
        <f t="shared" si="1252"/>
        <v>768.03045999999449</v>
      </c>
      <c r="AL2913" s="215">
        <f t="shared" ref="AL2913:AM2913" si="1253">+AL2915-SUM(AL2908:AL2912)</f>
        <v>587.7532299999948</v>
      </c>
      <c r="AM2913" s="215">
        <f t="shared" si="1253"/>
        <v>591.87269000000379</v>
      </c>
      <c r="AN2913" s="215">
        <f t="shared" ref="AN2913:AO2913" si="1254">+AN2915-SUM(AN2908:AN2912)</f>
        <v>600.91356000000087</v>
      </c>
      <c r="AO2913" s="215">
        <f t="shared" si="1254"/>
        <v>839.2613199999978</v>
      </c>
      <c r="AP2913" s="215"/>
      <c r="AQ2913" s="215"/>
      <c r="AR2913" s="215"/>
      <c r="AS2913" s="215"/>
      <c r="AT2913" s="215"/>
      <c r="AU2913" s="215"/>
      <c r="AV2913" s="215"/>
      <c r="AW2913" s="215"/>
      <c r="AX2913" s="215"/>
      <c r="AY2913" s="215"/>
      <c r="AZ2913" s="215"/>
      <c r="BA2913" s="215"/>
      <c r="BB2913" s="215"/>
      <c r="BC2913" s="215"/>
      <c r="BD2913" s="215"/>
      <c r="BE2913" s="215"/>
      <c r="BF2913" s="215"/>
      <c r="BG2913" s="215"/>
      <c r="BH2913" s="215"/>
      <c r="BI2913" s="215"/>
      <c r="BJ2913" s="215"/>
      <c r="BK2913" s="215"/>
      <c r="BL2913" s="215"/>
      <c r="BM2913" s="215"/>
      <c r="BN2913" s="215"/>
      <c r="BO2913" s="215"/>
      <c r="BP2913" s="215"/>
      <c r="BQ2913" s="215"/>
      <c r="BR2913" s="215"/>
      <c r="BS2913" s="215"/>
      <c r="BT2913" s="215"/>
      <c r="BU2913" s="215"/>
      <c r="BV2913" s="215"/>
      <c r="BW2913" s="215"/>
      <c r="BX2913" s="215"/>
      <c r="BY2913" s="215"/>
      <c r="BZ2913" s="215"/>
      <c r="CA2913" s="215"/>
      <c r="CB2913" s="215"/>
      <c r="CC2913" s="215"/>
      <c r="CD2913" s="215"/>
      <c r="CE2913" s="230"/>
      <c r="CF2913" s="230"/>
      <c r="CG2913" s="230"/>
      <c r="CH2913" s="76"/>
      <c r="CI2913" s="230" t="s">
        <v>2679</v>
      </c>
      <c r="CJ2913" s="230"/>
      <c r="CK2913" s="230"/>
      <c r="CL2913" s="230"/>
      <c r="CM2913" s="231"/>
    </row>
    <row r="2914" spans="1:91">
      <c r="A2914" s="464"/>
      <c r="B2914" s="464"/>
      <c r="C2914" s="656"/>
      <c r="D2914" s="689"/>
      <c r="E2914" s="422"/>
      <c r="F2914" s="422"/>
      <c r="G2914" s="461"/>
      <c r="H2914" s="678"/>
      <c r="I2914" s="462"/>
      <c r="J2914" s="462"/>
      <c r="K2914" s="422"/>
      <c r="L2914" s="689"/>
      <c r="M2914" s="422"/>
      <c r="N2914" s="463"/>
      <c r="O2914" s="463"/>
      <c r="P2914" s="689"/>
      <c r="Q2914" s="461"/>
      <c r="R2914" s="491"/>
      <c r="S2914" s="491"/>
      <c r="T2914" s="491"/>
      <c r="U2914" s="216"/>
      <c r="V2914" s="216"/>
      <c r="W2914" s="216"/>
      <c r="X2914" s="216"/>
      <c r="Y2914" s="216"/>
      <c r="Z2914" s="216"/>
      <c r="AA2914" s="216"/>
      <c r="AB2914" s="216"/>
      <c r="AC2914" s="216"/>
      <c r="AD2914" s="216"/>
      <c r="AE2914" s="216"/>
      <c r="AF2914" s="216"/>
      <c r="AG2914" s="216"/>
      <c r="AH2914" s="216"/>
      <c r="AI2914" s="216"/>
      <c r="AJ2914" s="216"/>
      <c r="AK2914" s="216"/>
      <c r="AL2914" s="216"/>
      <c r="AM2914" s="216"/>
      <c r="AN2914" s="216"/>
      <c r="AO2914" s="216"/>
      <c r="AP2914" s="216"/>
      <c r="AQ2914" s="216"/>
      <c r="AR2914" s="216"/>
      <c r="AS2914" s="216"/>
      <c r="AT2914" s="216"/>
      <c r="AU2914" s="216"/>
      <c r="AV2914" s="216"/>
      <c r="AW2914" s="216"/>
      <c r="AX2914" s="216"/>
      <c r="AY2914" s="216"/>
      <c r="AZ2914" s="216"/>
      <c r="BA2914" s="216"/>
      <c r="BB2914" s="216"/>
      <c r="BC2914" s="216"/>
      <c r="BD2914" s="216"/>
      <c r="BE2914" s="216"/>
      <c r="BF2914" s="216"/>
      <c r="BG2914" s="216"/>
      <c r="BH2914" s="216"/>
      <c r="BI2914" s="216"/>
      <c r="BJ2914" s="216"/>
      <c r="BK2914" s="216"/>
      <c r="BL2914" s="216"/>
      <c r="BM2914" s="216"/>
      <c r="BN2914" s="216"/>
      <c r="BO2914" s="216"/>
      <c r="BP2914" s="216"/>
      <c r="BQ2914" s="216"/>
      <c r="BR2914" s="216"/>
      <c r="BS2914" s="216"/>
      <c r="BT2914" s="216"/>
      <c r="BU2914" s="216"/>
      <c r="BV2914" s="216"/>
      <c r="BW2914" s="216"/>
      <c r="BX2914" s="216"/>
      <c r="BY2914" s="216"/>
      <c r="BZ2914" s="216"/>
      <c r="CA2914" s="216"/>
      <c r="CB2914" s="216"/>
      <c r="CC2914" s="216"/>
      <c r="CD2914" s="216"/>
      <c r="CE2914" s="230"/>
      <c r="CF2914" s="230"/>
      <c r="CG2914" s="230"/>
      <c r="CH2914" s="76"/>
      <c r="CI2914" s="230" t="s">
        <v>2679</v>
      </c>
      <c r="CJ2914" s="230"/>
      <c r="CK2914" s="230"/>
      <c r="CL2914" s="230"/>
      <c r="CM2914" s="231"/>
    </row>
    <row r="2915" spans="1:91">
      <c r="A2915" s="409"/>
      <c r="B2915" s="409"/>
      <c r="C2915" s="656" t="s">
        <v>2475</v>
      </c>
      <c r="D2915" s="661" t="s">
        <v>2458</v>
      </c>
      <c r="E2915" s="411"/>
      <c r="F2915" s="406"/>
      <c r="G2915" s="465"/>
      <c r="H2915" s="672"/>
      <c r="I2915" s="448"/>
      <c r="J2915" s="448"/>
      <c r="K2915" s="423"/>
      <c r="L2915" s="687"/>
      <c r="M2915" s="423"/>
      <c r="N2915" s="450"/>
      <c r="O2915" s="450"/>
      <c r="P2915" s="687"/>
      <c r="Q2915" s="465"/>
      <c r="R2915" s="487"/>
      <c r="S2915" s="487"/>
      <c r="T2915" s="487"/>
      <c r="U2915" s="214">
        <f t="shared" ref="U2915:AO2915" si="1255">SUMIF($L:$L,$D2915,U:U)</f>
        <v>28836.65900937044</v>
      </c>
      <c r="V2915" s="214">
        <f t="shared" si="1255"/>
        <v>11478.118161462866</v>
      </c>
      <c r="W2915" s="214">
        <f t="shared" si="1255"/>
        <v>0</v>
      </c>
      <c r="X2915" s="214">
        <f t="shared" si="1255"/>
        <v>40314.777170833338</v>
      </c>
      <c r="Y2915" s="214">
        <f t="shared" si="1255"/>
        <v>25289.745690359949</v>
      </c>
      <c r="Z2915" s="214">
        <f t="shared" si="1255"/>
        <v>9998.8060396400524</v>
      </c>
      <c r="AA2915" s="214">
        <f t="shared" si="1255"/>
        <v>0</v>
      </c>
      <c r="AB2915" s="214">
        <f t="shared" si="1255"/>
        <v>35288.551729999999</v>
      </c>
      <c r="AC2915" s="214">
        <f t="shared" si="1255"/>
        <v>33667.017270000004</v>
      </c>
      <c r="AD2915" s="214">
        <f t="shared" si="1255"/>
        <v>49295.093390000002</v>
      </c>
      <c r="AE2915" s="214">
        <f t="shared" si="1255"/>
        <v>40990.641880000003</v>
      </c>
      <c r="AF2915" s="214">
        <f t="shared" si="1255"/>
        <v>44438.982220000005</v>
      </c>
      <c r="AG2915" s="214">
        <f t="shared" si="1255"/>
        <v>36029.723700000002</v>
      </c>
      <c r="AH2915" s="214">
        <f t="shared" si="1255"/>
        <v>27400.487980000002</v>
      </c>
      <c r="AI2915" s="214">
        <f t="shared" si="1255"/>
        <v>19566.56321</v>
      </c>
      <c r="AJ2915" s="214">
        <f t="shared" si="1255"/>
        <v>40774.934740000004</v>
      </c>
      <c r="AK2915" s="214">
        <f t="shared" si="1255"/>
        <v>35311.647319999996</v>
      </c>
      <c r="AL2915" s="214">
        <f t="shared" si="1255"/>
        <v>59455.844429999997</v>
      </c>
      <c r="AM2915" s="214">
        <f t="shared" si="1255"/>
        <v>52329.983810000005</v>
      </c>
      <c r="AN2915" s="214">
        <f t="shared" si="1255"/>
        <v>43705.638870000002</v>
      </c>
      <c r="AO2915" s="214">
        <f t="shared" si="1255"/>
        <v>35288.551729999999</v>
      </c>
      <c r="AP2915" s="214"/>
      <c r="AQ2915" s="214"/>
      <c r="AR2915" s="214"/>
      <c r="AS2915" s="214"/>
      <c r="AT2915" s="214"/>
      <c r="AU2915" s="214"/>
      <c r="AV2915" s="214"/>
      <c r="AW2915" s="214"/>
      <c r="AX2915" s="214"/>
      <c r="AY2915" s="214"/>
      <c r="AZ2915" s="214"/>
      <c r="BA2915" s="214"/>
      <c r="BB2915" s="214"/>
      <c r="BC2915" s="214"/>
      <c r="BD2915" s="214"/>
      <c r="BE2915" s="214"/>
      <c r="BF2915" s="214"/>
      <c r="BG2915" s="214"/>
      <c r="BH2915" s="214"/>
      <c r="BI2915" s="214"/>
      <c r="BJ2915" s="214"/>
      <c r="BK2915" s="214"/>
      <c r="BL2915" s="214"/>
      <c r="BM2915" s="214"/>
      <c r="BN2915" s="214"/>
      <c r="BO2915" s="214"/>
      <c r="BP2915" s="214"/>
      <c r="BQ2915" s="214"/>
      <c r="BR2915" s="214"/>
      <c r="BS2915" s="214"/>
      <c r="BT2915" s="214"/>
      <c r="BU2915" s="214"/>
      <c r="BV2915" s="214"/>
      <c r="BW2915" s="214"/>
      <c r="BX2915" s="214"/>
      <c r="BY2915" s="214"/>
      <c r="BZ2915" s="214"/>
      <c r="CA2915" s="214"/>
      <c r="CB2915" s="214"/>
      <c r="CC2915" s="214"/>
      <c r="CD2915" s="214"/>
      <c r="CE2915" s="230"/>
      <c r="CF2915" s="230"/>
      <c r="CG2915" s="230"/>
      <c r="CH2915" s="76"/>
      <c r="CI2915" s="230" t="s">
        <v>2679</v>
      </c>
      <c r="CJ2915" s="230"/>
      <c r="CK2915" s="230"/>
      <c r="CL2915" s="230"/>
      <c r="CM2915" s="232"/>
    </row>
    <row r="2916" spans="1:91" s="41" customFormat="1" ht="12.75" customHeight="1">
      <c r="A2916" s="626"/>
      <c r="B2916" s="626"/>
      <c r="C2916" s="1021" t="s">
        <v>2536</v>
      </c>
      <c r="D2916" s="735"/>
      <c r="E2916" s="626"/>
      <c r="F2916" s="626"/>
      <c r="G2916" s="626"/>
      <c r="H2916" s="735"/>
      <c r="I2916" s="626"/>
      <c r="J2916" s="626"/>
      <c r="K2916" s="626"/>
      <c r="L2916" s="735"/>
      <c r="M2916" s="626"/>
      <c r="N2916" s="626"/>
      <c r="O2916" s="626"/>
      <c r="P2916" s="735"/>
      <c r="Q2916" s="626"/>
      <c r="R2916" s="1022"/>
      <c r="S2916" s="1022"/>
      <c r="T2916" s="1022"/>
      <c r="U2916" s="1023">
        <f>-'PSC Assess Liab'!U25/1000</f>
        <v>-3200.9908323554173</v>
      </c>
      <c r="V2916" s="1023">
        <f>-'PSC Assess Liab'!U26/1000</f>
        <v>-1843.1170030612498</v>
      </c>
      <c r="W2916" s="1024">
        <v>0</v>
      </c>
      <c r="X2916" s="1024">
        <f>SUBTOTAL(9,U2916:W2916)</f>
        <v>-5044.1078354166675</v>
      </c>
      <c r="Y2916" s="1023">
        <f>-('PSC Assess Liab'!U21*'PSC Assess Liab'!$H$25)/1000</f>
        <v>-3020.2519323039969</v>
      </c>
      <c r="Z2916" s="1023">
        <f>-('PSC Assess Liab'!U21)/1000-Y2916</f>
        <v>-1739.0483076959981</v>
      </c>
      <c r="AA2916" s="1024">
        <v>0</v>
      </c>
      <c r="AB2916" s="1024">
        <f>SUBTOTAL(9,Y2916:AA2916)</f>
        <v>-4759.300239999995</v>
      </c>
      <c r="AC2916" s="1023">
        <f>-'PSC Assess Liab'!I21/1000</f>
        <v>-5315.1025499999978</v>
      </c>
      <c r="AD2916" s="1023">
        <f>-'PSC Assess Liab'!J21/1000</f>
        <v>-3632.4096199999981</v>
      </c>
      <c r="AE2916" s="1023">
        <f>-'PSC Assess Liab'!K21/1000</f>
        <v>-1949.7166899999984</v>
      </c>
      <c r="AF2916" s="1023">
        <f>-'PSC Assess Liab'!L21/1000</f>
        <v>-10431.572569999997</v>
      </c>
      <c r="AG2916" s="1023">
        <f>-'PSC Assess Liab'!M21/1000</f>
        <v>-8737.4810999999954</v>
      </c>
      <c r="AH2916" s="1023">
        <f>-'PSC Assess Liab'!N21/1000</f>
        <v>-7043.3896299999951</v>
      </c>
      <c r="AI2916" s="1023">
        <f>-'PSC Assess Liab'!O21/1000</f>
        <v>-5349.2981599999948</v>
      </c>
      <c r="AJ2916" s="1023">
        <f>-'PSC Assess Liab'!P21/1000</f>
        <v>-3655.2066899999945</v>
      </c>
      <c r="AK2916" s="1023">
        <f>-'PSC Assess Liab'!Q21/1000</f>
        <v>-1961.1152199999942</v>
      </c>
      <c r="AL2916" s="1023">
        <f>-'PSC Assess Liab'!R21/1000</f>
        <v>-8072.2225599999938</v>
      </c>
      <c r="AM2916" s="1023">
        <f>-'PSC Assess Liab'!S21/1000</f>
        <v>-7754.2581799999944</v>
      </c>
      <c r="AN2916" s="1023">
        <f>-'PSC Assess Liab'!T21/1000</f>
        <v>-6256.7792099999942</v>
      </c>
      <c r="AO2916" s="1023">
        <f>-'PSC Assess Liab'!U21/1000</f>
        <v>-4759.300239999995</v>
      </c>
      <c r="AP2916" s="1024"/>
      <c r="AQ2916" s="1024"/>
      <c r="AR2916" s="1024"/>
      <c r="AS2916" s="1024"/>
      <c r="AT2916" s="1024"/>
      <c r="AU2916" s="1024"/>
      <c r="AV2916" s="1024"/>
      <c r="AW2916" s="1024"/>
      <c r="AX2916" s="1024"/>
      <c r="AY2916" s="1024"/>
      <c r="AZ2916" s="1024"/>
      <c r="BA2916" s="1024"/>
      <c r="BB2916" s="1024"/>
      <c r="BC2916" s="1024"/>
      <c r="BD2916" s="1024"/>
      <c r="BE2916" s="1024"/>
      <c r="BF2916" s="1024"/>
      <c r="BG2916" s="1024"/>
      <c r="BH2916" s="1024"/>
      <c r="BI2916" s="1024"/>
      <c r="BJ2916" s="1024"/>
      <c r="BK2916" s="1024"/>
      <c r="BL2916" s="1024"/>
      <c r="BM2916" s="1024"/>
      <c r="BN2916" s="1024"/>
      <c r="BO2916" s="1024"/>
      <c r="BP2916" s="1024"/>
      <c r="BQ2916" s="1024"/>
      <c r="BR2916" s="1024"/>
      <c r="BS2916" s="1024"/>
      <c r="BT2916" s="1024"/>
      <c r="BU2916" s="1024"/>
      <c r="BV2916" s="1024"/>
      <c r="BW2916" s="1024"/>
      <c r="BX2916" s="1024"/>
      <c r="BY2916" s="1024"/>
      <c r="BZ2916" s="1024"/>
      <c r="CA2916" s="1024"/>
      <c r="CB2916" s="1024"/>
      <c r="CC2916" s="1024"/>
      <c r="CD2916" s="1024"/>
    </row>
    <row r="2917" spans="1:91">
      <c r="A2917" s="409"/>
      <c r="B2917" s="466" t="s">
        <v>2458</v>
      </c>
      <c r="C2917" s="656" t="s">
        <v>2537</v>
      </c>
      <c r="E2917" s="405"/>
      <c r="F2917" s="405"/>
      <c r="G2917" s="406"/>
      <c r="H2917" s="672"/>
      <c r="I2917" s="448"/>
      <c r="J2917" s="448"/>
      <c r="K2917" s="405"/>
      <c r="L2917" s="655"/>
      <c r="M2917" s="405"/>
      <c r="N2917" s="449"/>
      <c r="O2917" s="449"/>
      <c r="P2917" s="655"/>
      <c r="Q2917" s="406"/>
      <c r="R2917" s="486"/>
      <c r="S2917" s="486"/>
      <c r="T2917" s="486"/>
      <c r="U2917" s="214">
        <f>SUBTOTAL(9,U2915:U2916)</f>
        <v>25635.668177015024</v>
      </c>
      <c r="V2917" s="214">
        <f t="shared" ref="V2917:AA2917" si="1256">SUBTOTAL(9,V2915:V2916)</f>
        <v>9635.0011584016156</v>
      </c>
      <c r="W2917" s="214">
        <f t="shared" si="1256"/>
        <v>0</v>
      </c>
      <c r="X2917" s="214">
        <f>X2915+X2916</f>
        <v>35270.669335416671</v>
      </c>
      <c r="Y2917" s="214">
        <f t="shared" si="1256"/>
        <v>22269.493758055953</v>
      </c>
      <c r="Z2917" s="214">
        <f t="shared" si="1256"/>
        <v>8259.7577319440534</v>
      </c>
      <c r="AA2917" s="214">
        <f t="shared" si="1256"/>
        <v>0</v>
      </c>
      <c r="AB2917" s="214">
        <f>AB2915+AB2916</f>
        <v>30529.251490000002</v>
      </c>
      <c r="AC2917" s="214">
        <f t="shared" ref="AC2917:AO2917" si="1257">AC2915+AC2916</f>
        <v>28351.914720000008</v>
      </c>
      <c r="AD2917" s="214">
        <f t="shared" si="1257"/>
        <v>45662.683770000003</v>
      </c>
      <c r="AE2917" s="214">
        <f t="shared" si="1257"/>
        <v>39040.925190000002</v>
      </c>
      <c r="AF2917" s="214">
        <f t="shared" si="1257"/>
        <v>34007.409650000009</v>
      </c>
      <c r="AG2917" s="214">
        <f t="shared" si="1257"/>
        <v>27292.242600000005</v>
      </c>
      <c r="AH2917" s="214">
        <f t="shared" si="1257"/>
        <v>20357.098350000007</v>
      </c>
      <c r="AI2917" s="214">
        <f t="shared" si="1257"/>
        <v>14217.265050000005</v>
      </c>
      <c r="AJ2917" s="214">
        <f t="shared" si="1257"/>
        <v>37119.728050000012</v>
      </c>
      <c r="AK2917" s="214">
        <f t="shared" si="1257"/>
        <v>33350.532100000004</v>
      </c>
      <c r="AL2917" s="214">
        <f t="shared" si="1257"/>
        <v>51383.621870000003</v>
      </c>
      <c r="AM2917" s="214">
        <f t="shared" si="1257"/>
        <v>44575.725630000008</v>
      </c>
      <c r="AN2917" s="214">
        <f t="shared" si="1257"/>
        <v>37448.859660000009</v>
      </c>
      <c r="AO2917" s="214">
        <f t="shared" si="1257"/>
        <v>30529.251490000002</v>
      </c>
      <c r="AP2917" s="214"/>
      <c r="AQ2917" s="214"/>
      <c r="AR2917" s="214"/>
      <c r="AS2917" s="214"/>
      <c r="AT2917" s="214"/>
      <c r="AU2917" s="214"/>
      <c r="AV2917" s="214"/>
      <c r="AW2917" s="214"/>
      <c r="AX2917" s="214"/>
      <c r="AY2917" s="214"/>
      <c r="AZ2917" s="214"/>
      <c r="BA2917" s="214"/>
      <c r="BB2917" s="214"/>
      <c r="BC2917" s="214"/>
      <c r="BD2917" s="214"/>
      <c r="BE2917" s="214"/>
      <c r="BF2917" s="214"/>
      <c r="BG2917" s="214"/>
      <c r="BH2917" s="214"/>
      <c r="BI2917" s="214"/>
      <c r="BJ2917" s="214"/>
      <c r="BK2917" s="214"/>
      <c r="BL2917" s="214"/>
      <c r="BM2917" s="214"/>
      <c r="BN2917" s="214"/>
      <c r="BO2917" s="214"/>
      <c r="BP2917" s="214"/>
      <c r="BQ2917" s="214"/>
      <c r="BR2917" s="214"/>
      <c r="BS2917" s="214"/>
      <c r="BT2917" s="214"/>
      <c r="BU2917" s="214"/>
      <c r="BV2917" s="214"/>
      <c r="BW2917" s="214"/>
      <c r="BX2917" s="214"/>
      <c r="BY2917" s="214"/>
      <c r="BZ2917" s="214"/>
      <c r="CA2917" s="214"/>
      <c r="CB2917" s="214"/>
      <c r="CC2917" s="214"/>
      <c r="CD2917" s="214"/>
      <c r="CE2917" s="227"/>
      <c r="CF2917" s="227"/>
      <c r="CG2917" s="227"/>
      <c r="CH2917" s="76"/>
      <c r="CI2917" s="227" t="s">
        <v>2679</v>
      </c>
      <c r="CJ2917" s="227"/>
      <c r="CK2917" s="227"/>
      <c r="CL2917" s="227"/>
      <c r="CM2917" s="213"/>
    </row>
    <row r="2918" spans="1:91" customFormat="1" ht="15.75">
      <c r="A2918" s="401"/>
      <c r="B2918" s="401"/>
      <c r="C2918" s="650"/>
      <c r="D2918" s="647"/>
      <c r="E2918" s="400"/>
      <c r="F2918" s="400"/>
      <c r="G2918" s="402"/>
      <c r="H2918" s="674"/>
      <c r="I2918" s="454"/>
      <c r="J2918" s="454"/>
      <c r="K2918" s="400"/>
      <c r="L2918" s="647"/>
      <c r="M2918" s="400"/>
      <c r="N2918" s="455"/>
      <c r="O2918" s="455"/>
      <c r="P2918" s="647"/>
      <c r="Q2918" s="402"/>
      <c r="R2918" s="489"/>
      <c r="S2918" s="489"/>
      <c r="T2918" s="489"/>
      <c r="U2918" s="209"/>
      <c r="V2918" s="209"/>
      <c r="W2918" s="209"/>
      <c r="X2918" s="209"/>
      <c r="Y2918" s="209"/>
      <c r="Z2918" s="209"/>
      <c r="AA2918" s="209"/>
      <c r="AB2918" s="209"/>
      <c r="AC2918" s="209"/>
      <c r="AD2918" s="209"/>
      <c r="AE2918" s="209"/>
      <c r="AF2918" s="209"/>
      <c r="AG2918" s="209"/>
      <c r="AH2918" s="209"/>
      <c r="AI2918" s="209"/>
      <c r="AJ2918" s="209"/>
      <c r="AK2918" s="209"/>
      <c r="AL2918" s="209"/>
      <c r="AM2918" s="209"/>
      <c r="AN2918" s="209"/>
      <c r="AO2918" s="209"/>
      <c r="AP2918" s="209"/>
      <c r="AQ2918" s="209"/>
      <c r="AR2918" s="209"/>
      <c r="AS2918" s="209"/>
      <c r="AT2918" s="209"/>
      <c r="AU2918" s="209"/>
      <c r="AV2918" s="209"/>
      <c r="AW2918" s="209"/>
      <c r="AX2918" s="209"/>
      <c r="AY2918" s="209"/>
      <c r="AZ2918" s="209"/>
      <c r="BA2918" s="209"/>
      <c r="BB2918" s="209"/>
      <c r="BC2918" s="209"/>
      <c r="BD2918" s="209"/>
      <c r="BE2918" s="209"/>
      <c r="BF2918" s="209"/>
      <c r="BG2918" s="209"/>
      <c r="BH2918" s="209"/>
      <c r="BI2918" s="209"/>
      <c r="BJ2918" s="209"/>
      <c r="BK2918" s="209"/>
      <c r="BL2918" s="209"/>
      <c r="BM2918" s="209"/>
      <c r="BN2918" s="209"/>
      <c r="BO2918" s="209"/>
      <c r="BP2918" s="209"/>
      <c r="BQ2918" s="209"/>
      <c r="BR2918" s="209"/>
      <c r="BS2918" s="209"/>
      <c r="BT2918" s="209"/>
      <c r="BU2918" s="209"/>
      <c r="BV2918" s="209"/>
      <c r="BW2918" s="209"/>
      <c r="BX2918" s="209"/>
      <c r="BY2918" s="209"/>
      <c r="BZ2918" s="209"/>
      <c r="CA2918" s="209"/>
      <c r="CB2918" s="209"/>
      <c r="CC2918" s="209"/>
      <c r="CD2918" s="209"/>
      <c r="CE2918" s="222"/>
      <c r="CF2918" s="222"/>
      <c r="CG2918" s="222"/>
      <c r="CH2918" s="220"/>
      <c r="CI2918" s="221"/>
      <c r="CJ2918" s="221"/>
      <c r="CK2918" s="221"/>
      <c r="CL2918" s="221"/>
      <c r="CM2918" s="207"/>
    </row>
    <row r="2919" spans="1:91" customFormat="1" ht="15.75">
      <c r="A2919" s="401"/>
      <c r="B2919" s="401"/>
      <c r="C2919" s="650"/>
      <c r="D2919" s="647"/>
      <c r="E2919" s="400"/>
      <c r="F2919" s="400"/>
      <c r="G2919" s="402"/>
      <c r="H2919" s="674"/>
      <c r="I2919" s="454"/>
      <c r="J2919" s="454"/>
      <c r="K2919" s="400"/>
      <c r="L2919" s="647"/>
      <c r="M2919" s="400"/>
      <c r="N2919" s="455"/>
      <c r="O2919" s="455"/>
      <c r="P2919" s="647"/>
      <c r="Q2919" s="402"/>
      <c r="R2919" s="489"/>
      <c r="S2919" s="489"/>
      <c r="T2919" s="489"/>
      <c r="U2919" s="208"/>
      <c r="V2919" s="208"/>
      <c r="W2919" s="208"/>
      <c r="X2919" s="208"/>
      <c r="Y2919" s="208"/>
      <c r="Z2919" s="208"/>
      <c r="AA2919" s="208"/>
      <c r="AB2919" s="208"/>
      <c r="AC2919" s="208"/>
      <c r="AD2919" s="208"/>
      <c r="AE2919" s="208"/>
      <c r="AF2919" s="208"/>
      <c r="AG2919" s="208"/>
      <c r="AH2919" s="208"/>
      <c r="AI2919" s="208"/>
      <c r="AJ2919" s="208"/>
      <c r="AK2919" s="208"/>
      <c r="AL2919" s="208"/>
      <c r="AM2919" s="208"/>
      <c r="AN2919" s="208"/>
      <c r="AO2919" s="208"/>
      <c r="AP2919" s="208"/>
      <c r="AQ2919" s="208"/>
      <c r="AR2919" s="208"/>
      <c r="AS2919" s="208"/>
      <c r="AT2919" s="208"/>
      <c r="AU2919" s="208"/>
      <c r="AV2919" s="208"/>
      <c r="AW2919" s="208"/>
      <c r="AX2919" s="208"/>
      <c r="AY2919" s="208"/>
      <c r="AZ2919" s="208"/>
      <c r="BA2919" s="208"/>
      <c r="BB2919" s="208"/>
      <c r="BC2919" s="208"/>
      <c r="BD2919" s="208"/>
      <c r="BE2919" s="208"/>
      <c r="BF2919" s="208"/>
      <c r="BG2919" s="208"/>
      <c r="BH2919" s="208"/>
      <c r="BI2919" s="208"/>
      <c r="BJ2919" s="208"/>
      <c r="BK2919" s="208"/>
      <c r="BL2919" s="208"/>
      <c r="BM2919" s="208"/>
      <c r="BN2919" s="208"/>
      <c r="BO2919" s="208"/>
      <c r="BP2919" s="208"/>
      <c r="BQ2919" s="208"/>
      <c r="BR2919" s="208"/>
      <c r="BS2919" s="208"/>
      <c r="BT2919" s="208"/>
      <c r="BU2919" s="208"/>
      <c r="BV2919" s="208"/>
      <c r="BW2919" s="208"/>
      <c r="BX2919" s="208"/>
      <c r="BY2919" s="208"/>
      <c r="BZ2919" s="208"/>
      <c r="CA2919" s="208"/>
      <c r="CB2919" s="208"/>
      <c r="CC2919" s="208"/>
      <c r="CD2919" s="208"/>
      <c r="CE2919" s="221"/>
      <c r="CF2919" s="221"/>
      <c r="CG2919" s="221"/>
      <c r="CH2919" s="220"/>
      <c r="CI2919" s="221" t="s">
        <v>2679</v>
      </c>
      <c r="CJ2919" s="221"/>
      <c r="CK2919" s="221"/>
      <c r="CL2919" s="221"/>
      <c r="CM2919" s="207"/>
    </row>
    <row r="2920" spans="1:91">
      <c r="A2920" s="447"/>
      <c r="B2920" s="447" t="s">
        <v>2538</v>
      </c>
      <c r="C2920" s="656"/>
      <c r="D2920" s="689"/>
      <c r="E2920" s="422"/>
      <c r="F2920" s="422"/>
      <c r="G2920" s="461"/>
      <c r="H2920" s="678"/>
      <c r="I2920" s="462"/>
      <c r="J2920" s="462"/>
      <c r="K2920" s="422"/>
      <c r="L2920" s="689"/>
      <c r="M2920" s="422"/>
      <c r="N2920" s="463"/>
      <c r="O2920" s="463"/>
      <c r="P2920" s="689"/>
      <c r="Q2920" s="461"/>
      <c r="R2920" s="491"/>
      <c r="S2920" s="491"/>
      <c r="T2920" s="491"/>
      <c r="U2920" s="216"/>
      <c r="V2920" s="216"/>
      <c r="W2920" s="216"/>
      <c r="X2920" s="216"/>
      <c r="Y2920" s="216"/>
      <c r="Z2920" s="216"/>
      <c r="AA2920" s="216"/>
      <c r="AB2920" s="216"/>
      <c r="AC2920" s="216"/>
      <c r="AD2920" s="216"/>
      <c r="AE2920" s="216"/>
      <c r="AF2920" s="216"/>
      <c r="AG2920" s="216"/>
      <c r="AH2920" s="216"/>
      <c r="AI2920" s="216"/>
      <c r="AJ2920" s="216"/>
      <c r="AK2920" s="216"/>
      <c r="AL2920" s="216"/>
      <c r="AM2920" s="216"/>
      <c r="AN2920" s="216"/>
      <c r="AO2920" s="216"/>
      <c r="AP2920" s="216"/>
      <c r="AQ2920" s="216"/>
      <c r="AR2920" s="216"/>
      <c r="AS2920" s="216"/>
      <c r="AT2920" s="216"/>
      <c r="AU2920" s="216"/>
      <c r="AV2920" s="216"/>
      <c r="AW2920" s="216"/>
      <c r="AX2920" s="216"/>
      <c r="AY2920" s="216"/>
      <c r="AZ2920" s="216"/>
      <c r="BA2920" s="216"/>
      <c r="BB2920" s="216"/>
      <c r="BC2920" s="216"/>
      <c r="BD2920" s="216"/>
      <c r="BE2920" s="216"/>
      <c r="BF2920" s="216"/>
      <c r="BG2920" s="216"/>
      <c r="BH2920" s="216"/>
      <c r="BI2920" s="216"/>
      <c r="BJ2920" s="216"/>
      <c r="BK2920" s="216"/>
      <c r="BL2920" s="216"/>
      <c r="BM2920" s="216"/>
      <c r="BN2920" s="216"/>
      <c r="BO2920" s="216"/>
      <c r="BP2920" s="216"/>
      <c r="BQ2920" s="216"/>
      <c r="BR2920" s="216"/>
      <c r="BS2920" s="216"/>
      <c r="BT2920" s="216"/>
      <c r="BU2920" s="216"/>
      <c r="BV2920" s="216"/>
      <c r="BW2920" s="216"/>
      <c r="BX2920" s="216"/>
      <c r="BY2920" s="216"/>
      <c r="BZ2920" s="216"/>
      <c r="CA2920" s="216"/>
      <c r="CB2920" s="216"/>
      <c r="CC2920" s="216"/>
      <c r="CD2920" s="216"/>
      <c r="CE2920" s="230"/>
      <c r="CF2920" s="230"/>
      <c r="CG2920" s="230"/>
      <c r="CH2920" s="76"/>
      <c r="CI2920" s="227" t="s">
        <v>2679</v>
      </c>
      <c r="CJ2920" s="230"/>
      <c r="CK2920" s="230"/>
      <c r="CL2920" s="230"/>
      <c r="CM2920" s="231"/>
    </row>
    <row r="2921" spans="1:91">
      <c r="A2921" s="464"/>
      <c r="B2921" s="464"/>
      <c r="C2921" s="662" t="s">
        <v>1468</v>
      </c>
      <c r="D2921" s="689"/>
      <c r="E2921" s="422"/>
      <c r="F2921" s="422"/>
      <c r="G2921" s="461"/>
      <c r="H2921" s="678"/>
      <c r="I2921" s="462"/>
      <c r="J2921" s="462"/>
      <c r="K2921" s="422"/>
      <c r="L2921" s="655"/>
      <c r="M2921" s="422"/>
      <c r="N2921" s="463"/>
      <c r="O2921" s="463"/>
      <c r="P2921" s="689"/>
      <c r="Q2921" s="461"/>
      <c r="R2921" s="491"/>
      <c r="S2921" s="491"/>
      <c r="T2921" s="491"/>
      <c r="U2921" s="214">
        <f t="shared" ref="U2921:AD2926" si="1258">SUMIF($AR:$AR,$CI2921,U:U)</f>
        <v>0</v>
      </c>
      <c r="V2921" s="214">
        <f t="shared" si="1258"/>
        <v>0</v>
      </c>
      <c r="W2921" s="214">
        <f t="shared" si="1258"/>
        <v>0</v>
      </c>
      <c r="X2921" s="214">
        <f t="shared" si="1258"/>
        <v>0</v>
      </c>
      <c r="Y2921" s="214">
        <f t="shared" si="1258"/>
        <v>0</v>
      </c>
      <c r="Z2921" s="214">
        <f t="shared" si="1258"/>
        <v>0</v>
      </c>
      <c r="AA2921" s="214">
        <f t="shared" si="1258"/>
        <v>0</v>
      </c>
      <c r="AB2921" s="214">
        <f t="shared" si="1258"/>
        <v>0</v>
      </c>
      <c r="AC2921" s="214">
        <f t="shared" si="1258"/>
        <v>0</v>
      </c>
      <c r="AD2921" s="214">
        <f t="shared" si="1258"/>
        <v>0</v>
      </c>
      <c r="AE2921" s="214">
        <f t="shared" ref="AE2921:AO2926" si="1259">SUMIF($AR:$AR,$CI2921,AE:AE)</f>
        <v>0</v>
      </c>
      <c r="AF2921" s="214">
        <f t="shared" si="1259"/>
        <v>0</v>
      </c>
      <c r="AG2921" s="214">
        <f t="shared" si="1259"/>
        <v>0</v>
      </c>
      <c r="AH2921" s="214">
        <f t="shared" si="1259"/>
        <v>0</v>
      </c>
      <c r="AI2921" s="214">
        <f t="shared" si="1259"/>
        <v>0</v>
      </c>
      <c r="AJ2921" s="214">
        <f t="shared" si="1259"/>
        <v>0</v>
      </c>
      <c r="AK2921" s="214">
        <f t="shared" si="1259"/>
        <v>0</v>
      </c>
      <c r="AL2921" s="214">
        <f t="shared" si="1259"/>
        <v>0</v>
      </c>
      <c r="AM2921" s="214">
        <f t="shared" si="1259"/>
        <v>0</v>
      </c>
      <c r="AN2921" s="214">
        <f t="shared" si="1259"/>
        <v>0</v>
      </c>
      <c r="AO2921" s="214">
        <f t="shared" si="1259"/>
        <v>0</v>
      </c>
      <c r="AP2921" s="214"/>
      <c r="AQ2921" s="214"/>
      <c r="AR2921" s="214"/>
      <c r="AS2921" s="214"/>
      <c r="AT2921" s="214"/>
      <c r="AU2921" s="214"/>
      <c r="AV2921" s="214"/>
      <c r="AW2921" s="214"/>
      <c r="AX2921" s="214"/>
      <c r="AY2921" s="214"/>
      <c r="AZ2921" s="214"/>
      <c r="BA2921" s="214"/>
      <c r="BB2921" s="214"/>
      <c r="BC2921" s="214"/>
      <c r="BD2921" s="214"/>
      <c r="BE2921" s="214"/>
      <c r="BF2921" s="214"/>
      <c r="BG2921" s="214"/>
      <c r="BH2921" s="214"/>
      <c r="BI2921" s="214"/>
      <c r="BJ2921" s="214"/>
      <c r="BK2921" s="214"/>
      <c r="BL2921" s="214"/>
      <c r="BM2921" s="214"/>
      <c r="BN2921" s="214"/>
      <c r="BO2921" s="214"/>
      <c r="BP2921" s="214"/>
      <c r="BQ2921" s="214"/>
      <c r="BR2921" s="214"/>
      <c r="BS2921" s="214"/>
      <c r="BT2921" s="214"/>
      <c r="BU2921" s="214"/>
      <c r="BV2921" s="214"/>
      <c r="BW2921" s="214"/>
      <c r="BX2921" s="214"/>
      <c r="BY2921" s="214"/>
      <c r="BZ2921" s="214"/>
      <c r="CA2921" s="214"/>
      <c r="CB2921" s="214"/>
      <c r="CC2921" s="214"/>
      <c r="CD2921" s="214"/>
      <c r="CE2921" s="230"/>
      <c r="CF2921" s="230"/>
      <c r="CG2921" s="230"/>
      <c r="CH2921" s="230"/>
      <c r="CI2921" s="76" t="str">
        <f t="shared" ref="CI2921:CI2974" si="1260">+CONCATENATE(D$2986,C2921)</f>
        <v>R10ACF</v>
      </c>
      <c r="CJ2921" s="230"/>
      <c r="CK2921" s="230"/>
      <c r="CL2921" s="230"/>
      <c r="CM2921" s="231"/>
    </row>
    <row r="2922" spans="1:91">
      <c r="A2922" s="464"/>
      <c r="B2922" s="464"/>
      <c r="C2922" s="662" t="s">
        <v>1140</v>
      </c>
      <c r="D2922" s="689"/>
      <c r="E2922" s="422"/>
      <c r="F2922" s="422"/>
      <c r="G2922" s="461"/>
      <c r="H2922" s="678"/>
      <c r="I2922" s="462"/>
      <c r="J2922" s="462"/>
      <c r="K2922" s="422"/>
      <c r="L2922" s="655"/>
      <c r="M2922" s="422"/>
      <c r="N2922" s="463"/>
      <c r="O2922" s="463"/>
      <c r="P2922" s="689"/>
      <c r="Q2922" s="461"/>
      <c r="R2922" s="491"/>
      <c r="S2922" s="491"/>
      <c r="T2922" s="491"/>
      <c r="U2922" s="214">
        <f t="shared" si="1258"/>
        <v>1.36E-13</v>
      </c>
      <c r="V2922" s="214">
        <f t="shared" si="1258"/>
        <v>0</v>
      </c>
      <c r="W2922" s="214">
        <f t="shared" si="1258"/>
        <v>0</v>
      </c>
      <c r="X2922" s="214">
        <f t="shared" si="1258"/>
        <v>1.36E-13</v>
      </c>
      <c r="Y2922" s="214">
        <f t="shared" si="1258"/>
        <v>0</v>
      </c>
      <c r="Z2922" s="214">
        <f t="shared" si="1258"/>
        <v>0</v>
      </c>
      <c r="AA2922" s="214">
        <f t="shared" si="1258"/>
        <v>0</v>
      </c>
      <c r="AB2922" s="214">
        <f t="shared" si="1258"/>
        <v>0</v>
      </c>
      <c r="AC2922" s="214">
        <f t="shared" si="1258"/>
        <v>3.2596290111541749E-12</v>
      </c>
      <c r="AD2922" s="214">
        <f t="shared" si="1258"/>
        <v>0</v>
      </c>
      <c r="AE2922" s="214">
        <f t="shared" si="1259"/>
        <v>0</v>
      </c>
      <c r="AF2922" s="214">
        <f t="shared" si="1259"/>
        <v>0</v>
      </c>
      <c r="AG2922" s="214">
        <f t="shared" si="1259"/>
        <v>0</v>
      </c>
      <c r="AH2922" s="214">
        <f t="shared" si="1259"/>
        <v>0</v>
      </c>
      <c r="AI2922" s="214">
        <f t="shared" si="1259"/>
        <v>0</v>
      </c>
      <c r="AJ2922" s="214">
        <f t="shared" si="1259"/>
        <v>0</v>
      </c>
      <c r="AK2922" s="214">
        <f t="shared" si="1259"/>
        <v>0</v>
      </c>
      <c r="AL2922" s="214">
        <f t="shared" si="1259"/>
        <v>0</v>
      </c>
      <c r="AM2922" s="214">
        <f t="shared" si="1259"/>
        <v>0</v>
      </c>
      <c r="AN2922" s="214">
        <f t="shared" si="1259"/>
        <v>0</v>
      </c>
      <c r="AO2922" s="214">
        <f t="shared" si="1259"/>
        <v>0</v>
      </c>
      <c r="AP2922" s="214"/>
      <c r="AQ2922" s="214"/>
      <c r="AR2922" s="214"/>
      <c r="AS2922" s="214"/>
      <c r="AT2922" s="214"/>
      <c r="AU2922" s="214"/>
      <c r="AV2922" s="214"/>
      <c r="AW2922" s="214"/>
      <c r="AX2922" s="214"/>
      <c r="AY2922" s="214"/>
      <c r="AZ2922" s="214"/>
      <c r="BA2922" s="214"/>
      <c r="BB2922" s="214"/>
      <c r="BC2922" s="214"/>
      <c r="BD2922" s="214"/>
      <c r="BE2922" s="214"/>
      <c r="BF2922" s="214"/>
      <c r="BG2922" s="214"/>
      <c r="BH2922" s="214"/>
      <c r="BI2922" s="214"/>
      <c r="BJ2922" s="214"/>
      <c r="BK2922" s="214"/>
      <c r="BL2922" s="214"/>
      <c r="BM2922" s="214"/>
      <c r="BN2922" s="214"/>
      <c r="BO2922" s="214"/>
      <c r="BP2922" s="214"/>
      <c r="BQ2922" s="214"/>
      <c r="BR2922" s="214"/>
      <c r="BS2922" s="214"/>
      <c r="BT2922" s="214"/>
      <c r="BU2922" s="214"/>
      <c r="BV2922" s="214"/>
      <c r="BW2922" s="214"/>
      <c r="BX2922" s="214"/>
      <c r="BY2922" s="214"/>
      <c r="BZ2922" s="214"/>
      <c r="CA2922" s="214"/>
      <c r="CB2922" s="214"/>
      <c r="CC2922" s="214"/>
      <c r="CD2922" s="214"/>
      <c r="CE2922" s="230"/>
      <c r="CF2922" s="230"/>
      <c r="CG2922" s="230"/>
      <c r="CH2922" s="230"/>
      <c r="CI2922" s="76" t="str">
        <f t="shared" si="1260"/>
        <v>R10Allegany</v>
      </c>
      <c r="CJ2922" s="230"/>
      <c r="CK2922" s="230"/>
      <c r="CL2922" s="230"/>
      <c r="CM2922" s="231"/>
    </row>
    <row r="2923" spans="1:91">
      <c r="A2923" s="464"/>
      <c r="B2923" s="464"/>
      <c r="C2923" s="662" t="s">
        <v>1330</v>
      </c>
      <c r="D2923" s="689"/>
      <c r="E2923" s="422"/>
      <c r="F2923" s="422"/>
      <c r="G2923" s="461"/>
      <c r="H2923" s="678"/>
      <c r="I2923" s="462"/>
      <c r="J2923" s="462"/>
      <c r="K2923" s="422"/>
      <c r="L2923" s="655"/>
      <c r="M2923" s="422"/>
      <c r="N2923" s="463"/>
      <c r="O2923" s="463"/>
      <c r="P2923" s="689"/>
      <c r="Q2923" s="461"/>
      <c r="R2923" s="491"/>
      <c r="S2923" s="491"/>
      <c r="T2923" s="491"/>
      <c r="U2923" s="214">
        <f t="shared" si="1258"/>
        <v>0</v>
      </c>
      <c r="V2923" s="214">
        <f t="shared" si="1258"/>
        <v>0</v>
      </c>
      <c r="W2923" s="214">
        <f t="shared" si="1258"/>
        <v>0</v>
      </c>
      <c r="X2923" s="214">
        <f t="shared" si="1258"/>
        <v>0</v>
      </c>
      <c r="Y2923" s="214">
        <f t="shared" si="1258"/>
        <v>0</v>
      </c>
      <c r="Z2923" s="214">
        <f t="shared" si="1258"/>
        <v>0</v>
      </c>
      <c r="AA2923" s="214">
        <f t="shared" si="1258"/>
        <v>0</v>
      </c>
      <c r="AB2923" s="214">
        <f t="shared" si="1258"/>
        <v>0</v>
      </c>
      <c r="AC2923" s="214">
        <f t="shared" si="1258"/>
        <v>0</v>
      </c>
      <c r="AD2923" s="214">
        <f t="shared" si="1258"/>
        <v>0</v>
      </c>
      <c r="AE2923" s="214">
        <f t="shared" si="1259"/>
        <v>0</v>
      </c>
      <c r="AF2923" s="214">
        <f t="shared" si="1259"/>
        <v>0</v>
      </c>
      <c r="AG2923" s="214">
        <f t="shared" si="1259"/>
        <v>0</v>
      </c>
      <c r="AH2923" s="214">
        <f t="shared" si="1259"/>
        <v>0</v>
      </c>
      <c r="AI2923" s="214">
        <f t="shared" si="1259"/>
        <v>0</v>
      </c>
      <c r="AJ2923" s="214">
        <f t="shared" si="1259"/>
        <v>0</v>
      </c>
      <c r="AK2923" s="214">
        <f t="shared" si="1259"/>
        <v>0</v>
      </c>
      <c r="AL2923" s="214">
        <f t="shared" si="1259"/>
        <v>0</v>
      </c>
      <c r="AM2923" s="214">
        <f t="shared" si="1259"/>
        <v>0</v>
      </c>
      <c r="AN2923" s="214">
        <f t="shared" si="1259"/>
        <v>0</v>
      </c>
      <c r="AO2923" s="214">
        <f t="shared" si="1259"/>
        <v>0</v>
      </c>
      <c r="AP2923" s="214"/>
      <c r="AR2923" s="214"/>
      <c r="AS2923" s="214"/>
      <c r="AT2923" s="214"/>
      <c r="AU2923" s="214"/>
      <c r="AV2923" s="214"/>
      <c r="AW2923" s="214"/>
      <c r="AX2923" s="214"/>
      <c r="AY2923" s="214"/>
      <c r="AZ2923" s="214"/>
      <c r="BA2923" s="214"/>
      <c r="BB2923" s="214"/>
      <c r="BC2923" s="214"/>
      <c r="BD2923" s="214"/>
      <c r="BE2923" s="214"/>
      <c r="BF2923" s="214"/>
      <c r="BG2923" s="214"/>
      <c r="BH2923" s="214"/>
      <c r="BI2923" s="214"/>
      <c r="BJ2923" s="214"/>
      <c r="BK2923" s="214"/>
      <c r="BL2923" s="214"/>
      <c r="BM2923" s="214"/>
      <c r="BN2923" s="214"/>
      <c r="BO2923" s="214"/>
      <c r="BP2923" s="214"/>
      <c r="BQ2923" s="214"/>
      <c r="BR2923" s="214"/>
      <c r="BS2923" s="214"/>
      <c r="BT2923" s="214"/>
      <c r="BU2923" s="214"/>
      <c r="BV2923" s="214"/>
      <c r="BW2923" s="214"/>
      <c r="BX2923" s="214"/>
      <c r="BY2923" s="214"/>
      <c r="BZ2923" s="214"/>
      <c r="CA2923" s="214"/>
      <c r="CB2923" s="214"/>
      <c r="CC2923" s="214"/>
      <c r="CD2923" s="214"/>
      <c r="CE2923" s="230"/>
      <c r="CF2923" s="230"/>
      <c r="CG2923" s="230"/>
      <c r="CH2923" s="230"/>
      <c r="CI2923" s="76" t="str">
        <f t="shared" si="1260"/>
        <v>R10ASGA</v>
      </c>
      <c r="CJ2923" s="230"/>
      <c r="CK2923" s="230"/>
      <c r="CL2923" s="230"/>
      <c r="CM2923" s="231"/>
    </row>
    <row r="2924" spans="1:91">
      <c r="A2924" s="464"/>
      <c r="B2924" s="464"/>
      <c r="C2924" s="662" t="s">
        <v>1332</v>
      </c>
      <c r="D2924" s="689"/>
      <c r="E2924" s="422"/>
      <c r="F2924" s="422"/>
      <c r="G2924" s="461"/>
      <c r="H2924" s="678"/>
      <c r="I2924" s="462"/>
      <c r="J2924" s="462"/>
      <c r="K2924" s="422"/>
      <c r="L2924" s="655"/>
      <c r="M2924" s="422"/>
      <c r="N2924" s="463"/>
      <c r="O2924" s="463"/>
      <c r="P2924" s="689"/>
      <c r="Q2924" s="461"/>
      <c r="R2924" s="491"/>
      <c r="S2924" s="491"/>
      <c r="T2924" s="491"/>
      <c r="U2924" s="214">
        <f t="shared" si="1258"/>
        <v>-6810.4008695833299</v>
      </c>
      <c r="V2924" s="214">
        <f t="shared" si="1258"/>
        <v>0</v>
      </c>
      <c r="W2924" s="214">
        <f t="shared" si="1258"/>
        <v>0</v>
      </c>
      <c r="X2924" s="214">
        <f t="shared" si="1258"/>
        <v>-6810.4008695833299</v>
      </c>
      <c r="Y2924" s="214">
        <f t="shared" si="1258"/>
        <v>-4977.3261400000001</v>
      </c>
      <c r="Z2924" s="214">
        <f t="shared" si="1258"/>
        <v>0</v>
      </c>
      <c r="AA2924" s="214">
        <f t="shared" si="1258"/>
        <v>0</v>
      </c>
      <c r="AB2924" s="214">
        <f t="shared" si="1258"/>
        <v>-4977.326140000001</v>
      </c>
      <c r="AC2924" s="214">
        <f t="shared" si="1258"/>
        <v>-7534.41255</v>
      </c>
      <c r="AD2924" s="214">
        <f t="shared" si="1258"/>
        <v>-7459.6866799999998</v>
      </c>
      <c r="AE2924" s="214">
        <f t="shared" si="1259"/>
        <v>-7326.73614</v>
      </c>
      <c r="AF2924" s="214">
        <f t="shared" si="1259"/>
        <v>-7149.2435099999993</v>
      </c>
      <c r="AG2924" s="214">
        <f t="shared" si="1259"/>
        <v>-7057.6528399999997</v>
      </c>
      <c r="AH2924" s="214">
        <f t="shared" si="1259"/>
        <v>-6849.6649299999999</v>
      </c>
      <c r="AI2924" s="214">
        <f t="shared" si="1259"/>
        <v>-6767.5591399999994</v>
      </c>
      <c r="AJ2924" s="214">
        <f t="shared" si="1259"/>
        <v>-6710.4997100000001</v>
      </c>
      <c r="AK2924" s="214">
        <f t="shared" si="1259"/>
        <v>-6656.00972</v>
      </c>
      <c r="AL2924" s="214">
        <f t="shared" si="1259"/>
        <v>-6569.2175800000005</v>
      </c>
      <c r="AM2924" s="214">
        <f t="shared" si="1259"/>
        <v>-6510.8670700000002</v>
      </c>
      <c r="AN2924" s="214">
        <f t="shared" si="1259"/>
        <v>-6411.8037700000004</v>
      </c>
      <c r="AO2924" s="214">
        <f t="shared" si="1259"/>
        <v>-4977.326140000001</v>
      </c>
      <c r="AP2924" s="214"/>
      <c r="AQ2924" s="214"/>
      <c r="AR2924" s="214"/>
      <c r="AS2924" s="214"/>
      <c r="AT2924" s="214"/>
      <c r="AU2924" s="214"/>
      <c r="AV2924" s="214"/>
      <c r="AW2924" s="214"/>
      <c r="AX2924" s="214"/>
      <c r="AY2924" s="214"/>
      <c r="AZ2924" s="214"/>
      <c r="BA2924" s="214"/>
      <c r="BB2924" s="214"/>
      <c r="BC2924" s="214"/>
      <c r="BD2924" s="214"/>
      <c r="BE2924" s="214"/>
      <c r="BF2924" s="214"/>
      <c r="BG2924" s="214"/>
      <c r="BH2924" s="214"/>
      <c r="BI2924" s="214"/>
      <c r="BJ2924" s="214"/>
      <c r="BK2924" s="214"/>
      <c r="BL2924" s="214"/>
      <c r="BM2924" s="214"/>
      <c r="BN2924" s="214"/>
      <c r="BO2924" s="214"/>
      <c r="BP2924" s="214"/>
      <c r="BQ2924" s="214"/>
      <c r="BR2924" s="214"/>
      <c r="BS2924" s="214"/>
      <c r="BT2924" s="214"/>
      <c r="BU2924" s="214"/>
      <c r="BV2924" s="214"/>
      <c r="BW2924" s="214"/>
      <c r="BX2924" s="214"/>
      <c r="BY2924" s="214"/>
      <c r="BZ2924" s="214"/>
      <c r="CA2924" s="214"/>
      <c r="CB2924" s="214"/>
      <c r="CC2924" s="214"/>
      <c r="CD2924" s="214"/>
      <c r="CE2924" s="230"/>
      <c r="CF2924" s="230"/>
      <c r="CG2924" s="230"/>
      <c r="CH2924" s="230"/>
      <c r="CI2924" s="76" t="str">
        <f t="shared" si="1260"/>
        <v>R10Beebee Decommissioning</v>
      </c>
      <c r="CJ2924" s="230"/>
      <c r="CK2924" s="230"/>
      <c r="CL2924" s="230"/>
      <c r="CM2924" s="231"/>
    </row>
    <row r="2925" spans="1:91">
      <c r="A2925" s="464"/>
      <c r="B2925" s="464"/>
      <c r="C2925" s="662" t="s">
        <v>819</v>
      </c>
      <c r="D2925" s="689"/>
      <c r="E2925" s="422"/>
      <c r="F2925" s="422"/>
      <c r="G2925" s="461"/>
      <c r="H2925" s="678"/>
      <c r="I2925" s="462"/>
      <c r="J2925" s="462"/>
      <c r="K2925" s="422"/>
      <c r="L2925" s="655"/>
      <c r="M2925" s="422"/>
      <c r="N2925" s="463"/>
      <c r="O2925" s="463"/>
      <c r="P2925" s="689"/>
      <c r="Q2925" s="461"/>
      <c r="R2925" s="491"/>
      <c r="S2925" s="491"/>
      <c r="T2925" s="491"/>
      <c r="U2925" s="214">
        <f t="shared" si="1258"/>
        <v>3400.8301999999999</v>
      </c>
      <c r="V2925" s="214">
        <f t="shared" si="1258"/>
        <v>646.01076</v>
      </c>
      <c r="W2925" s="214">
        <f t="shared" si="1258"/>
        <v>0</v>
      </c>
      <c r="X2925" s="214">
        <f t="shared" si="1258"/>
        <v>4046.84096</v>
      </c>
      <c r="Y2925" s="214">
        <f t="shared" si="1258"/>
        <v>3400.8301999999999</v>
      </c>
      <c r="Z2925" s="214">
        <f t="shared" si="1258"/>
        <v>646.01076</v>
      </c>
      <c r="AA2925" s="214">
        <f t="shared" si="1258"/>
        <v>0</v>
      </c>
      <c r="AB2925" s="214">
        <f t="shared" si="1258"/>
        <v>4046.8409600000005</v>
      </c>
      <c r="AC2925" s="214">
        <f t="shared" si="1258"/>
        <v>4046.8409600000005</v>
      </c>
      <c r="AD2925" s="214">
        <f t="shared" si="1258"/>
        <v>4046.8409600000005</v>
      </c>
      <c r="AE2925" s="214">
        <f t="shared" si="1259"/>
        <v>4046.8409600000005</v>
      </c>
      <c r="AF2925" s="214">
        <f t="shared" si="1259"/>
        <v>4046.8409600000005</v>
      </c>
      <c r="AG2925" s="214">
        <f t="shared" si="1259"/>
        <v>4046.8409600000005</v>
      </c>
      <c r="AH2925" s="214">
        <f t="shared" si="1259"/>
        <v>4046.8409600000005</v>
      </c>
      <c r="AI2925" s="214">
        <f t="shared" si="1259"/>
        <v>4046.8409600000005</v>
      </c>
      <c r="AJ2925" s="214">
        <f t="shared" si="1259"/>
        <v>4046.8409600000005</v>
      </c>
      <c r="AK2925" s="214">
        <f t="shared" si="1259"/>
        <v>4046.8409600000005</v>
      </c>
      <c r="AL2925" s="214">
        <f t="shared" si="1259"/>
        <v>4046.8409600000005</v>
      </c>
      <c r="AM2925" s="214">
        <f t="shared" si="1259"/>
        <v>4046.8409600000005</v>
      </c>
      <c r="AN2925" s="214">
        <f t="shared" si="1259"/>
        <v>4046.8409600000005</v>
      </c>
      <c r="AO2925" s="214">
        <f t="shared" si="1259"/>
        <v>4046.8409600000005</v>
      </c>
      <c r="AP2925" s="214"/>
      <c r="AQ2925" s="214"/>
      <c r="AR2925" s="214"/>
      <c r="AS2925" s="214"/>
      <c r="AT2925" s="214"/>
      <c r="AU2925" s="214"/>
      <c r="AV2925" s="214"/>
      <c r="AW2925" s="214"/>
      <c r="AX2925" s="214"/>
      <c r="AY2925" s="214"/>
      <c r="AZ2925" s="214"/>
      <c r="BA2925" s="214"/>
      <c r="BB2925" s="214"/>
      <c r="BC2925" s="214"/>
      <c r="BD2925" s="214"/>
      <c r="BE2925" s="214"/>
      <c r="BF2925" s="214"/>
      <c r="BG2925" s="214"/>
      <c r="BH2925" s="214"/>
      <c r="BI2925" s="214"/>
      <c r="BJ2925" s="214"/>
      <c r="BK2925" s="214"/>
      <c r="BL2925" s="214"/>
      <c r="BM2925" s="214"/>
      <c r="BN2925" s="214"/>
      <c r="BO2925" s="214"/>
      <c r="BP2925" s="214"/>
      <c r="BQ2925" s="214"/>
      <c r="BR2925" s="214"/>
      <c r="BS2925" s="214"/>
      <c r="BT2925" s="214"/>
      <c r="BU2925" s="214"/>
      <c r="BV2925" s="214"/>
      <c r="BW2925" s="214"/>
      <c r="BX2925" s="214"/>
      <c r="BY2925" s="214"/>
      <c r="BZ2925" s="214"/>
      <c r="CA2925" s="214"/>
      <c r="CB2925" s="214"/>
      <c r="CC2925" s="214"/>
      <c r="CD2925" s="214"/>
      <c r="CE2925" s="230"/>
      <c r="CF2925" s="230"/>
      <c r="CG2925" s="230"/>
      <c r="CH2925" s="230"/>
      <c r="CI2925" s="76" t="str">
        <f t="shared" si="1260"/>
        <v>R10Cap Ex Deferral</v>
      </c>
      <c r="CJ2925" s="230"/>
      <c r="CK2925" s="230"/>
      <c r="CL2925" s="230"/>
      <c r="CM2925" s="231"/>
    </row>
    <row r="2926" spans="1:91" ht="15">
      <c r="A2926" s="464"/>
      <c r="B2926" s="464"/>
      <c r="C2926" s="662" t="s">
        <v>1501</v>
      </c>
      <c r="D2926" s="689"/>
      <c r="E2926" s="422"/>
      <c r="F2926" s="422"/>
      <c r="G2926" s="461"/>
      <c r="H2926" s="678"/>
      <c r="I2926" s="462"/>
      <c r="J2926" s="462"/>
      <c r="K2926" s="422"/>
      <c r="L2926" s="655"/>
      <c r="M2926" s="422"/>
      <c r="N2926" s="463"/>
      <c r="O2926" s="463"/>
      <c r="P2926" s="689"/>
      <c r="Q2926" s="461"/>
      <c r="R2926" s="491"/>
      <c r="S2926" s="491"/>
      <c r="T2926" s="491"/>
      <c r="U2926" s="214">
        <f t="shared" si="1258"/>
        <v>0</v>
      </c>
      <c r="V2926" s="214">
        <f t="shared" si="1258"/>
        <v>3939.2135037500002</v>
      </c>
      <c r="W2926" s="214">
        <f t="shared" si="1258"/>
        <v>0</v>
      </c>
      <c r="X2926" s="214">
        <f t="shared" si="1258"/>
        <v>3939.2135037500002</v>
      </c>
      <c r="Y2926" s="214">
        <f t="shared" si="1258"/>
        <v>0</v>
      </c>
      <c r="Z2926" s="214">
        <f t="shared" si="1258"/>
        <v>15937.15409</v>
      </c>
      <c r="AA2926" s="214">
        <f t="shared" si="1258"/>
        <v>0</v>
      </c>
      <c r="AB2926" s="214">
        <f t="shared" si="1258"/>
        <v>15937.15409</v>
      </c>
      <c r="AC2926" s="214">
        <f t="shared" si="1258"/>
        <v>2222.1280000000002</v>
      </c>
      <c r="AD2926" s="214">
        <f t="shared" si="1258"/>
        <v>0</v>
      </c>
      <c r="AE2926" s="214">
        <f t="shared" si="1259"/>
        <v>104.498</v>
      </c>
      <c r="AF2926" s="214">
        <f t="shared" si="1259"/>
        <v>951.39499999999998</v>
      </c>
      <c r="AG2926" s="214">
        <f t="shared" si="1259"/>
        <v>0</v>
      </c>
      <c r="AH2926" s="214">
        <f t="shared" si="1259"/>
        <v>0</v>
      </c>
      <c r="AI2926" s="214">
        <f t="shared" si="1259"/>
        <v>3521.6869999999999</v>
      </c>
      <c r="AJ2926" s="214">
        <f t="shared" si="1259"/>
        <v>12212.053</v>
      </c>
      <c r="AK2926" s="214">
        <f t="shared" si="1259"/>
        <v>8002.951</v>
      </c>
      <c r="AL2926" s="214">
        <f t="shared" si="1259"/>
        <v>4112.75</v>
      </c>
      <c r="AM2926" s="214">
        <f t="shared" si="1259"/>
        <v>5373.1</v>
      </c>
      <c r="AN2926" s="214">
        <f t="shared" si="1259"/>
        <v>3912.4870000000001</v>
      </c>
      <c r="AO2926" s="214">
        <f t="shared" si="1259"/>
        <v>15937.15409</v>
      </c>
      <c r="AP2926" s="214"/>
      <c r="AQ2926" s="795"/>
      <c r="AR2926" s="214"/>
      <c r="AS2926" s="214"/>
      <c r="AT2926" s="214"/>
      <c r="AU2926" s="214"/>
      <c r="AV2926" s="214"/>
      <c r="AW2926" s="214"/>
      <c r="AX2926" s="214"/>
      <c r="AY2926" s="214"/>
      <c r="AZ2926" s="214"/>
      <c r="BA2926" s="214"/>
      <c r="BB2926" s="214"/>
      <c r="BC2926" s="214"/>
      <c r="BD2926" s="214"/>
      <c r="BE2926" s="214"/>
      <c r="BF2926" s="214"/>
      <c r="BG2926" s="214"/>
      <c r="BH2926" s="214"/>
      <c r="BI2926" s="214"/>
      <c r="BJ2926" s="214"/>
      <c r="BK2926" s="214"/>
      <c r="BL2926" s="214"/>
      <c r="BM2926" s="214"/>
      <c r="BN2926" s="214"/>
      <c r="BO2926" s="214"/>
      <c r="BP2926" s="214"/>
      <c r="BQ2926" s="214"/>
      <c r="BR2926" s="214"/>
      <c r="BS2926" s="214"/>
      <c r="BT2926" s="214"/>
      <c r="BU2926" s="214"/>
      <c r="BV2926" s="214"/>
      <c r="BW2926" s="214"/>
      <c r="BX2926" s="214"/>
      <c r="BY2926" s="214"/>
      <c r="BZ2926" s="214"/>
      <c r="CA2926" s="214"/>
      <c r="CB2926" s="214"/>
      <c r="CC2926" s="214"/>
      <c r="CD2926" s="214"/>
      <c r="CE2926" s="230"/>
      <c r="CF2926" s="230"/>
      <c r="CG2926" s="230"/>
      <c r="CH2926" s="230"/>
      <c r="CI2926" s="76" t="str">
        <f t="shared" si="1260"/>
        <v>R10Commodity Hedge Margin</v>
      </c>
      <c r="CJ2926" s="230"/>
      <c r="CK2926" s="230"/>
      <c r="CL2926" s="230"/>
      <c r="CM2926" s="231"/>
    </row>
    <row r="2927" spans="1:91" ht="15">
      <c r="A2927" s="464"/>
      <c r="B2927" s="464"/>
      <c r="C2927" s="662" t="s">
        <v>4342</v>
      </c>
      <c r="D2927" s="689"/>
      <c r="E2927" s="422"/>
      <c r="F2927" s="422"/>
      <c r="G2927" s="461"/>
      <c r="H2927" s="678"/>
      <c r="I2927" s="462"/>
      <c r="J2927" s="462"/>
      <c r="K2927" s="422"/>
      <c r="L2927" s="655"/>
      <c r="M2927" s="422"/>
      <c r="N2927" s="463"/>
      <c r="O2927" s="463"/>
      <c r="P2927" s="689"/>
      <c r="Q2927" s="461"/>
      <c r="R2927" s="491"/>
      <c r="S2927" s="491"/>
      <c r="T2927" s="491"/>
      <c r="U2927" s="214"/>
      <c r="V2927" s="214"/>
      <c r="W2927" s="214"/>
      <c r="X2927" s="214">
        <f t="shared" ref="X2927:AG2936" si="1261">SUMIF($AR:$AR,$CI2927,X:X)</f>
        <v>-8456.499960000001</v>
      </c>
      <c r="Y2927" s="214">
        <f t="shared" si="1261"/>
        <v>-18849.999960000001</v>
      </c>
      <c r="Z2927" s="214">
        <f t="shared" si="1261"/>
        <v>1937.0000399999999</v>
      </c>
      <c r="AA2927" s="214">
        <f t="shared" si="1261"/>
        <v>0</v>
      </c>
      <c r="AB2927" s="214">
        <f t="shared" si="1261"/>
        <v>-16912.999920000002</v>
      </c>
      <c r="AC2927" s="214">
        <f t="shared" si="1261"/>
        <v>0</v>
      </c>
      <c r="AD2927" s="214">
        <f t="shared" si="1261"/>
        <v>-1409.4166600000001</v>
      </c>
      <c r="AE2927" s="214">
        <f t="shared" si="1261"/>
        <v>-2818.8333200000002</v>
      </c>
      <c r="AF2927" s="214">
        <f t="shared" si="1261"/>
        <v>-4228.2499800000005</v>
      </c>
      <c r="AG2927" s="214">
        <f t="shared" si="1261"/>
        <v>-5637.6666400000004</v>
      </c>
      <c r="AH2927" s="214">
        <f t="shared" ref="AH2927:AO2936" si="1262">SUMIF($AR:$AR,$CI2927,AH:AH)</f>
        <v>-7047.0833000000002</v>
      </c>
      <c r="AI2927" s="214">
        <f t="shared" si="1262"/>
        <v>-8456.499960000001</v>
      </c>
      <c r="AJ2927" s="214">
        <f t="shared" si="1262"/>
        <v>-9865.91662</v>
      </c>
      <c r="AK2927" s="214">
        <f t="shared" si="1262"/>
        <v>-11275.333280000001</v>
      </c>
      <c r="AL2927" s="214">
        <f t="shared" si="1262"/>
        <v>-12684.749940000002</v>
      </c>
      <c r="AM2927" s="214">
        <f t="shared" si="1262"/>
        <v>-14094.1666</v>
      </c>
      <c r="AN2927" s="214">
        <f t="shared" si="1262"/>
        <v>-15503.583260000003</v>
      </c>
      <c r="AO2927" s="214">
        <f t="shared" si="1262"/>
        <v>-16912.999920000002</v>
      </c>
      <c r="AP2927" s="214"/>
      <c r="AQ2927" s="795"/>
      <c r="AR2927" s="214"/>
      <c r="AS2927" s="214"/>
      <c r="AT2927" s="214"/>
      <c r="AU2927" s="214"/>
      <c r="AV2927" s="214"/>
      <c r="AW2927" s="214"/>
      <c r="AX2927" s="214"/>
      <c r="AY2927" s="214"/>
      <c r="AZ2927" s="214"/>
      <c r="BA2927" s="214"/>
      <c r="BB2927" s="214"/>
      <c r="BC2927" s="214"/>
      <c r="BD2927" s="214"/>
      <c r="BE2927" s="214"/>
      <c r="BF2927" s="214"/>
      <c r="BG2927" s="214"/>
      <c r="BH2927" s="214"/>
      <c r="BI2927" s="214"/>
      <c r="BJ2927" s="214"/>
      <c r="BK2927" s="214"/>
      <c r="BL2927" s="214"/>
      <c r="BM2927" s="214"/>
      <c r="BN2927" s="214"/>
      <c r="BO2927" s="214"/>
      <c r="BP2927" s="214"/>
      <c r="BQ2927" s="214"/>
      <c r="BR2927" s="214"/>
      <c r="BS2927" s="214"/>
      <c r="BT2927" s="214"/>
      <c r="BU2927" s="214"/>
      <c r="BV2927" s="214"/>
      <c r="BW2927" s="214"/>
      <c r="BX2927" s="214"/>
      <c r="BY2927" s="214"/>
      <c r="BZ2927" s="214"/>
      <c r="CA2927" s="214"/>
      <c r="CB2927" s="214"/>
      <c r="CC2927" s="214"/>
      <c r="CD2927" s="214"/>
      <c r="CE2927" s="230"/>
      <c r="CF2927" s="230"/>
      <c r="CG2927" s="230"/>
      <c r="CH2927" s="230"/>
      <c r="CI2927" s="76" t="str">
        <f t="shared" ref="CI2927" si="1263">+CONCATENATE(D$2986,C2927)</f>
        <v>R10Continuation of Current Amorts (Until New Rates are Set)</v>
      </c>
      <c r="CJ2927" s="230"/>
      <c r="CK2927" s="230"/>
      <c r="CL2927" s="230"/>
      <c r="CM2927" s="231"/>
    </row>
    <row r="2928" spans="1:91">
      <c r="A2928" s="464"/>
      <c r="B2928" s="464"/>
      <c r="C2928" s="662" t="s">
        <v>820</v>
      </c>
      <c r="D2928" s="689"/>
      <c r="E2928" s="422"/>
      <c r="F2928" s="422"/>
      <c r="G2928" s="461"/>
      <c r="H2928" s="678"/>
      <c r="I2928" s="462"/>
      <c r="J2928" s="462"/>
      <c r="K2928" s="422"/>
      <c r="L2928" s="655"/>
      <c r="M2928" s="422"/>
      <c r="N2928" s="463"/>
      <c r="O2928" s="463"/>
      <c r="P2928" s="689"/>
      <c r="Q2928" s="461"/>
      <c r="R2928" s="491"/>
      <c r="S2928" s="491"/>
      <c r="T2928" s="491"/>
      <c r="U2928" s="214">
        <f t="shared" ref="U2928:W2947" si="1264">SUMIF($AR:$AR,$CI2928,U:U)</f>
        <v>104.59296999999999</v>
      </c>
      <c r="V2928" s="214">
        <f t="shared" si="1264"/>
        <v>113.52670999999999</v>
      </c>
      <c r="W2928" s="214">
        <f t="shared" si="1264"/>
        <v>0</v>
      </c>
      <c r="X2928" s="214">
        <f t="shared" si="1261"/>
        <v>218.11967999999999</v>
      </c>
      <c r="Y2928" s="214">
        <f t="shared" si="1261"/>
        <v>104.59296999999999</v>
      </c>
      <c r="Z2928" s="214">
        <f t="shared" si="1261"/>
        <v>113.52670999999999</v>
      </c>
      <c r="AA2928" s="214">
        <f t="shared" si="1261"/>
        <v>0</v>
      </c>
      <c r="AB2928" s="214">
        <f t="shared" si="1261"/>
        <v>218.11968000000002</v>
      </c>
      <c r="AC2928" s="214">
        <f t="shared" si="1261"/>
        <v>218.11968000000002</v>
      </c>
      <c r="AD2928" s="214">
        <f t="shared" si="1261"/>
        <v>218.11968000000002</v>
      </c>
      <c r="AE2928" s="214">
        <f t="shared" si="1261"/>
        <v>218.11968000000002</v>
      </c>
      <c r="AF2928" s="214">
        <f t="shared" si="1261"/>
        <v>218.11968000000002</v>
      </c>
      <c r="AG2928" s="214">
        <f t="shared" si="1261"/>
        <v>218.11968000000002</v>
      </c>
      <c r="AH2928" s="214">
        <f t="shared" si="1262"/>
        <v>218.11968000000002</v>
      </c>
      <c r="AI2928" s="214">
        <f t="shared" si="1262"/>
        <v>218.11968000000002</v>
      </c>
      <c r="AJ2928" s="214">
        <f t="shared" si="1262"/>
        <v>218.11968000000002</v>
      </c>
      <c r="AK2928" s="214">
        <f t="shared" si="1262"/>
        <v>218.11968000000002</v>
      </c>
      <c r="AL2928" s="214">
        <f t="shared" si="1262"/>
        <v>218.11968000000002</v>
      </c>
      <c r="AM2928" s="214">
        <f t="shared" si="1262"/>
        <v>218.11968000000002</v>
      </c>
      <c r="AN2928" s="214">
        <f t="shared" si="1262"/>
        <v>218.11968000000002</v>
      </c>
      <c r="AO2928" s="214">
        <f t="shared" si="1262"/>
        <v>218.11968000000002</v>
      </c>
      <c r="AP2928" s="214"/>
      <c r="AQ2928" s="214"/>
      <c r="AR2928" s="214"/>
      <c r="AS2928" s="214"/>
      <c r="AT2928" s="214"/>
      <c r="AU2928" s="214"/>
      <c r="AV2928" s="214"/>
      <c r="AW2928" s="214"/>
      <c r="AX2928" s="214"/>
      <c r="AY2928" s="214"/>
      <c r="AZ2928" s="214"/>
      <c r="BA2928" s="214"/>
      <c r="BB2928" s="214"/>
      <c r="BC2928" s="214"/>
      <c r="BD2928" s="214"/>
      <c r="BE2928" s="214"/>
      <c r="BF2928" s="214"/>
      <c r="BG2928" s="214"/>
      <c r="BH2928" s="214"/>
      <c r="BI2928" s="214"/>
      <c r="BJ2928" s="214"/>
      <c r="BK2928" s="214"/>
      <c r="BL2928" s="214"/>
      <c r="BM2928" s="214"/>
      <c r="BN2928" s="214"/>
      <c r="BO2928" s="214"/>
      <c r="BP2928" s="214"/>
      <c r="BQ2928" s="214"/>
      <c r="BR2928" s="214"/>
      <c r="BS2928" s="214"/>
      <c r="BT2928" s="214"/>
      <c r="BU2928" s="214"/>
      <c r="BV2928" s="214"/>
      <c r="BW2928" s="214"/>
      <c r="BX2928" s="214"/>
      <c r="BY2928" s="214"/>
      <c r="BZ2928" s="214"/>
      <c r="CA2928" s="214"/>
      <c r="CB2928" s="214"/>
      <c r="CC2928" s="214"/>
      <c r="CD2928" s="214"/>
      <c r="CE2928" s="230"/>
      <c r="CF2928" s="230"/>
      <c r="CG2928" s="230"/>
      <c r="CH2928" s="230"/>
      <c r="CI2928" s="76" t="str">
        <f t="shared" si="1260"/>
        <v>R10CTA Efficiency</v>
      </c>
      <c r="CJ2928" s="230"/>
      <c r="CK2928" s="230"/>
      <c r="CL2928" s="230"/>
      <c r="CM2928" s="231"/>
    </row>
    <row r="2929" spans="1:91">
      <c r="A2929" s="464"/>
      <c r="B2929" s="464"/>
      <c r="C2929" s="662" t="s">
        <v>1128</v>
      </c>
      <c r="D2929" s="689"/>
      <c r="E2929" s="422"/>
      <c r="F2929" s="422"/>
      <c r="G2929" s="461"/>
      <c r="H2929" s="678"/>
      <c r="I2929" s="462"/>
      <c r="J2929" s="462"/>
      <c r="K2929" s="422"/>
      <c r="L2929" s="655"/>
      <c r="M2929" s="422"/>
      <c r="N2929" s="463"/>
      <c r="O2929" s="463"/>
      <c r="P2929" s="689"/>
      <c r="Q2929" s="461"/>
      <c r="R2929" s="491"/>
      <c r="S2929" s="491"/>
      <c r="T2929" s="491"/>
      <c r="U2929" s="214">
        <f t="shared" si="1264"/>
        <v>0</v>
      </c>
      <c r="V2929" s="214">
        <f t="shared" si="1264"/>
        <v>0</v>
      </c>
      <c r="W2929" s="214">
        <f t="shared" si="1264"/>
        <v>0</v>
      </c>
      <c r="X2929" s="214">
        <f t="shared" si="1261"/>
        <v>0</v>
      </c>
      <c r="Y2929" s="214">
        <f t="shared" si="1261"/>
        <v>0</v>
      </c>
      <c r="Z2929" s="214">
        <f t="shared" si="1261"/>
        <v>0</v>
      </c>
      <c r="AA2929" s="214">
        <f t="shared" si="1261"/>
        <v>0</v>
      </c>
      <c r="AB2929" s="214">
        <f t="shared" si="1261"/>
        <v>0</v>
      </c>
      <c r="AC2929" s="214">
        <f t="shared" si="1261"/>
        <v>0</v>
      </c>
      <c r="AD2929" s="214">
        <f t="shared" si="1261"/>
        <v>0</v>
      </c>
      <c r="AE2929" s="214">
        <f t="shared" si="1261"/>
        <v>0</v>
      </c>
      <c r="AF2929" s="214">
        <f t="shared" si="1261"/>
        <v>0</v>
      </c>
      <c r="AG2929" s="214">
        <f t="shared" si="1261"/>
        <v>0</v>
      </c>
      <c r="AH2929" s="214">
        <f t="shared" si="1262"/>
        <v>0</v>
      </c>
      <c r="AI2929" s="214">
        <f t="shared" si="1262"/>
        <v>0</v>
      </c>
      <c r="AJ2929" s="214">
        <f t="shared" si="1262"/>
        <v>0</v>
      </c>
      <c r="AK2929" s="214">
        <f t="shared" si="1262"/>
        <v>0</v>
      </c>
      <c r="AL2929" s="214">
        <f t="shared" si="1262"/>
        <v>0</v>
      </c>
      <c r="AM2929" s="214">
        <f t="shared" si="1262"/>
        <v>0</v>
      </c>
      <c r="AN2929" s="214">
        <f t="shared" si="1262"/>
        <v>0</v>
      </c>
      <c r="AO2929" s="214">
        <f t="shared" si="1262"/>
        <v>0</v>
      </c>
      <c r="AP2929" s="214"/>
      <c r="AQ2929" s="214"/>
      <c r="AR2929" s="214"/>
      <c r="AS2929" s="214"/>
      <c r="AT2929" s="214"/>
      <c r="AU2929" s="214"/>
      <c r="AV2929" s="214"/>
      <c r="AW2929" s="214"/>
      <c r="AX2929" s="214"/>
      <c r="AY2929" s="214"/>
      <c r="AZ2929" s="214"/>
      <c r="BA2929" s="214"/>
      <c r="BB2929" s="214"/>
      <c r="BC2929" s="214"/>
      <c r="BD2929" s="214"/>
      <c r="BE2929" s="214"/>
      <c r="BF2929" s="214"/>
      <c r="BG2929" s="214"/>
      <c r="BH2929" s="214"/>
      <c r="BI2929" s="214"/>
      <c r="BJ2929" s="214"/>
      <c r="BK2929" s="214"/>
      <c r="BL2929" s="214"/>
      <c r="BM2929" s="214"/>
      <c r="BN2929" s="214"/>
      <c r="BO2929" s="214"/>
      <c r="BP2929" s="214"/>
      <c r="BQ2929" s="214"/>
      <c r="BR2929" s="214"/>
      <c r="BS2929" s="214"/>
      <c r="BT2929" s="214"/>
      <c r="BU2929" s="214"/>
      <c r="BV2929" s="214"/>
      <c r="BW2929" s="214"/>
      <c r="BX2929" s="214"/>
      <c r="BY2929" s="214"/>
      <c r="BZ2929" s="214"/>
      <c r="CA2929" s="214"/>
      <c r="CB2929" s="214"/>
      <c r="CC2929" s="214"/>
      <c r="CD2929" s="214"/>
      <c r="CE2929" s="230"/>
      <c r="CF2929" s="230"/>
      <c r="CG2929" s="230"/>
      <c r="CH2929" s="230"/>
      <c r="CI2929" s="76" t="str">
        <f t="shared" si="1260"/>
        <v>R10CTA Property Tax</v>
      </c>
      <c r="CJ2929" s="230"/>
      <c r="CK2929" s="230"/>
      <c r="CL2929" s="230"/>
      <c r="CM2929" s="231"/>
    </row>
    <row r="2930" spans="1:91">
      <c r="A2930" s="464"/>
      <c r="B2930" s="464"/>
      <c r="C2930" s="662" t="s">
        <v>2607</v>
      </c>
      <c r="D2930" s="689"/>
      <c r="E2930" s="422"/>
      <c r="F2930" s="422"/>
      <c r="G2930" s="461"/>
      <c r="H2930" s="678"/>
      <c r="I2930" s="462"/>
      <c r="J2930" s="462"/>
      <c r="K2930" s="422"/>
      <c r="L2930" s="655"/>
      <c r="M2930" s="422"/>
      <c r="N2930" s="463"/>
      <c r="O2930" s="463"/>
      <c r="P2930" s="689"/>
      <c r="Q2930" s="461"/>
      <c r="R2930" s="491"/>
      <c r="S2930" s="491"/>
      <c r="T2930" s="491"/>
      <c r="U2930" s="214">
        <f t="shared" si="1264"/>
        <v>-122222.08621749999</v>
      </c>
      <c r="V2930" s="214">
        <f t="shared" si="1264"/>
        <v>0</v>
      </c>
      <c r="W2930" s="214">
        <f t="shared" si="1264"/>
        <v>0</v>
      </c>
      <c r="X2930" s="214">
        <f t="shared" si="1261"/>
        <v>-122222.08621749999</v>
      </c>
      <c r="Y2930" s="214">
        <f t="shared" si="1261"/>
        <v>-122238.28006</v>
      </c>
      <c r="Z2930" s="214">
        <f t="shared" si="1261"/>
        <v>0</v>
      </c>
      <c r="AA2930" s="214">
        <f t="shared" si="1261"/>
        <v>0</v>
      </c>
      <c r="AB2930" s="214">
        <f t="shared" si="1261"/>
        <v>-122238.28006</v>
      </c>
      <c r="AC2930" s="214">
        <f t="shared" si="1261"/>
        <v>-122191.84120000001</v>
      </c>
      <c r="AD2930" s="214">
        <f t="shared" si="1261"/>
        <v>-122198.56174999999</v>
      </c>
      <c r="AE2930" s="214">
        <f t="shared" si="1261"/>
        <v>-122205.28229999999</v>
      </c>
      <c r="AF2930" s="214">
        <f t="shared" si="1261"/>
        <v>-122212.00284999999</v>
      </c>
      <c r="AG2930" s="214">
        <f t="shared" si="1261"/>
        <v>-122216.68764</v>
      </c>
      <c r="AH2930" s="214">
        <f t="shared" si="1262"/>
        <v>-122221.37243</v>
      </c>
      <c r="AI2930" s="214">
        <f t="shared" si="1262"/>
        <v>-122226.05722</v>
      </c>
      <c r="AJ2930" s="214">
        <f t="shared" si="1262"/>
        <v>-122229.11287000001</v>
      </c>
      <c r="AK2930" s="214">
        <f t="shared" si="1262"/>
        <v>-122232.16851999999</v>
      </c>
      <c r="AL2930" s="214">
        <f t="shared" si="1262"/>
        <v>-122235.22417</v>
      </c>
      <c r="AM2930" s="214">
        <f t="shared" si="1262"/>
        <v>-122236.24279999999</v>
      </c>
      <c r="AN2930" s="214">
        <f t="shared" si="1262"/>
        <v>-122237.26143000001</v>
      </c>
      <c r="AO2930" s="214">
        <f t="shared" si="1262"/>
        <v>-122238.28006</v>
      </c>
      <c r="AP2930" s="214"/>
      <c r="AQ2930" s="214"/>
      <c r="AR2930" s="214"/>
      <c r="AS2930" s="214"/>
      <c r="AT2930" s="214"/>
      <c r="AU2930" s="214"/>
      <c r="AV2930" s="214"/>
      <c r="AW2930" s="214"/>
      <c r="AX2930" s="214"/>
      <c r="AY2930" s="214"/>
      <c r="AZ2930" s="214"/>
      <c r="BA2930" s="214"/>
      <c r="BB2930" s="214"/>
      <c r="BC2930" s="214"/>
      <c r="BD2930" s="214"/>
      <c r="BE2930" s="214"/>
      <c r="BF2930" s="214"/>
      <c r="BG2930" s="214"/>
      <c r="BH2930" s="214"/>
      <c r="BI2930" s="214"/>
      <c r="BJ2930" s="214"/>
      <c r="BK2930" s="214"/>
      <c r="BL2930" s="214"/>
      <c r="BM2930" s="214"/>
      <c r="BN2930" s="214"/>
      <c r="BO2930" s="214"/>
      <c r="BP2930" s="214"/>
      <c r="BQ2930" s="214"/>
      <c r="BR2930" s="214"/>
      <c r="BS2930" s="214"/>
      <c r="BT2930" s="214"/>
      <c r="BU2930" s="214"/>
      <c r="BV2930" s="214"/>
      <c r="BW2930" s="214"/>
      <c r="BX2930" s="214"/>
      <c r="BY2930" s="214"/>
      <c r="BZ2930" s="214"/>
      <c r="CA2930" s="214"/>
      <c r="CB2930" s="214"/>
      <c r="CC2930" s="214"/>
      <c r="CD2930" s="214"/>
      <c r="CE2930" s="230"/>
      <c r="CF2930" s="230"/>
      <c r="CG2930" s="230"/>
      <c r="CH2930" s="230"/>
      <c r="CI2930" s="76" t="str">
        <f t="shared" si="1260"/>
        <v>R10DOE Liability</v>
      </c>
      <c r="CJ2930" s="230"/>
      <c r="CK2930" s="230"/>
      <c r="CL2930" s="230"/>
      <c r="CM2930" s="231"/>
    </row>
    <row r="2931" spans="1:91">
      <c r="A2931" s="464"/>
      <c r="B2931" s="464"/>
      <c r="C2931" s="662" t="s">
        <v>1174</v>
      </c>
      <c r="D2931" s="689"/>
      <c r="E2931" s="422"/>
      <c r="F2931" s="422"/>
      <c r="G2931" s="461"/>
      <c r="H2931" s="678"/>
      <c r="I2931" s="462"/>
      <c r="J2931" s="462"/>
      <c r="K2931" s="422"/>
      <c r="L2931" s="655"/>
      <c r="M2931" s="422"/>
      <c r="N2931" s="463"/>
      <c r="O2931" s="463"/>
      <c r="P2931" s="689"/>
      <c r="Q2931" s="461"/>
      <c r="R2931" s="491"/>
      <c r="S2931" s="491"/>
      <c r="T2931" s="491"/>
      <c r="U2931" s="214">
        <f t="shared" si="1264"/>
        <v>0</v>
      </c>
      <c r="V2931" s="214">
        <f t="shared" si="1264"/>
        <v>0</v>
      </c>
      <c r="W2931" s="214">
        <f t="shared" si="1264"/>
        <v>0</v>
      </c>
      <c r="X2931" s="214">
        <f t="shared" si="1261"/>
        <v>0</v>
      </c>
      <c r="Y2931" s="214">
        <f t="shared" si="1261"/>
        <v>0</v>
      </c>
      <c r="Z2931" s="214">
        <f t="shared" si="1261"/>
        <v>0</v>
      </c>
      <c r="AA2931" s="214">
        <f t="shared" si="1261"/>
        <v>0</v>
      </c>
      <c r="AB2931" s="214">
        <f t="shared" si="1261"/>
        <v>0</v>
      </c>
      <c r="AC2931" s="214">
        <f t="shared" si="1261"/>
        <v>0</v>
      </c>
      <c r="AD2931" s="214">
        <f t="shared" si="1261"/>
        <v>0</v>
      </c>
      <c r="AE2931" s="214">
        <f t="shared" si="1261"/>
        <v>0</v>
      </c>
      <c r="AF2931" s="214">
        <f t="shared" si="1261"/>
        <v>0</v>
      </c>
      <c r="AG2931" s="214">
        <f t="shared" si="1261"/>
        <v>0</v>
      </c>
      <c r="AH2931" s="214">
        <f t="shared" si="1262"/>
        <v>0</v>
      </c>
      <c r="AI2931" s="214">
        <f t="shared" si="1262"/>
        <v>0</v>
      </c>
      <c r="AJ2931" s="214">
        <f t="shared" si="1262"/>
        <v>0</v>
      </c>
      <c r="AK2931" s="214">
        <f t="shared" si="1262"/>
        <v>0</v>
      </c>
      <c r="AL2931" s="214">
        <f t="shared" si="1262"/>
        <v>0</v>
      </c>
      <c r="AM2931" s="214">
        <f t="shared" si="1262"/>
        <v>0</v>
      </c>
      <c r="AN2931" s="214">
        <f t="shared" si="1262"/>
        <v>0</v>
      </c>
      <c r="AO2931" s="214">
        <f t="shared" si="1262"/>
        <v>0</v>
      </c>
      <c r="AP2931" s="214"/>
      <c r="AQ2931" s="214"/>
      <c r="AR2931" s="214"/>
      <c r="AS2931" s="214"/>
      <c r="AT2931" s="214"/>
      <c r="AU2931" s="214"/>
      <c r="AV2931" s="214"/>
      <c r="AW2931" s="214"/>
      <c r="AX2931" s="214"/>
      <c r="AY2931" s="214"/>
      <c r="AZ2931" s="214"/>
      <c r="BA2931" s="214"/>
      <c r="BB2931" s="214"/>
      <c r="BC2931" s="214"/>
      <c r="BD2931" s="214"/>
      <c r="BE2931" s="214"/>
      <c r="BF2931" s="214"/>
      <c r="BG2931" s="214"/>
      <c r="BH2931" s="214"/>
      <c r="BI2931" s="214"/>
      <c r="BJ2931" s="214"/>
      <c r="BK2931" s="214"/>
      <c r="BL2931" s="214"/>
      <c r="BM2931" s="214"/>
      <c r="BN2931" s="214"/>
      <c r="BO2931" s="214"/>
      <c r="BP2931" s="214"/>
      <c r="BQ2931" s="214"/>
      <c r="BR2931" s="214"/>
      <c r="BS2931" s="214"/>
      <c r="BT2931" s="214"/>
      <c r="BU2931" s="214"/>
      <c r="BV2931" s="214"/>
      <c r="BW2931" s="214"/>
      <c r="BX2931" s="214"/>
      <c r="BY2931" s="214"/>
      <c r="BZ2931" s="214"/>
      <c r="CA2931" s="214"/>
      <c r="CB2931" s="214"/>
      <c r="CC2931" s="214"/>
      <c r="CD2931" s="214"/>
      <c r="CE2931" s="230"/>
      <c r="CF2931" s="230"/>
      <c r="CG2931" s="230"/>
      <c r="CH2931" s="230"/>
      <c r="CI2931" s="76" t="str">
        <f t="shared" si="1260"/>
        <v>R10DOE Liability - True-up</v>
      </c>
      <c r="CJ2931" s="230"/>
      <c r="CK2931" s="230"/>
      <c r="CL2931" s="230"/>
      <c r="CM2931" s="231"/>
    </row>
    <row r="2932" spans="1:91">
      <c r="A2932" s="464"/>
      <c r="B2932" s="464"/>
      <c r="C2932" s="662" t="s">
        <v>1120</v>
      </c>
      <c r="D2932" s="689"/>
      <c r="E2932" s="422"/>
      <c r="F2932" s="422"/>
      <c r="G2932" s="461"/>
      <c r="H2932" s="678"/>
      <c r="I2932" s="462"/>
      <c r="J2932" s="462"/>
      <c r="K2932" s="422"/>
      <c r="L2932" s="655"/>
      <c r="M2932" s="422"/>
      <c r="N2932" s="463"/>
      <c r="O2932" s="463"/>
      <c r="P2932" s="689"/>
      <c r="Q2932" s="461"/>
      <c r="R2932" s="491"/>
      <c r="S2932" s="491"/>
      <c r="T2932" s="491"/>
      <c r="U2932" s="214">
        <f t="shared" si="1264"/>
        <v>-2230.7696279166698</v>
      </c>
      <c r="V2932" s="214">
        <f t="shared" si="1264"/>
        <v>0</v>
      </c>
      <c r="W2932" s="214">
        <f t="shared" si="1264"/>
        <v>0</v>
      </c>
      <c r="X2932" s="214">
        <f t="shared" si="1261"/>
        <v>-2230.7696279166698</v>
      </c>
      <c r="Y2932" s="214">
        <f t="shared" si="1261"/>
        <v>-2230.6537199999998</v>
      </c>
      <c r="Z2932" s="214">
        <f t="shared" si="1261"/>
        <v>0</v>
      </c>
      <c r="AA2932" s="214">
        <f t="shared" si="1261"/>
        <v>0</v>
      </c>
      <c r="AB2932" s="214">
        <f t="shared" si="1261"/>
        <v>-2230.6537199999998</v>
      </c>
      <c r="AC2932" s="214">
        <f t="shared" si="1261"/>
        <v>-2230.90661</v>
      </c>
      <c r="AD2932" s="214">
        <f t="shared" si="1261"/>
        <v>-2230.90661</v>
      </c>
      <c r="AE2932" s="214">
        <f t="shared" si="1261"/>
        <v>-2230.90661</v>
      </c>
      <c r="AF2932" s="214">
        <f t="shared" si="1261"/>
        <v>-2230.90661</v>
      </c>
      <c r="AG2932" s="214">
        <f t="shared" si="1261"/>
        <v>-2230.90661</v>
      </c>
      <c r="AH2932" s="214">
        <f t="shared" si="1262"/>
        <v>-2230.90661</v>
      </c>
      <c r="AI2932" s="214">
        <f t="shared" si="1262"/>
        <v>-2230.6537199999998</v>
      </c>
      <c r="AJ2932" s="214">
        <f t="shared" si="1262"/>
        <v>-2230.6537199999998</v>
      </c>
      <c r="AK2932" s="214">
        <f t="shared" si="1262"/>
        <v>-2230.6537199999998</v>
      </c>
      <c r="AL2932" s="214">
        <f t="shared" si="1262"/>
        <v>-2230.6537199999998</v>
      </c>
      <c r="AM2932" s="214">
        <f t="shared" si="1262"/>
        <v>-2230.6537199999998</v>
      </c>
      <c r="AN2932" s="214">
        <f t="shared" si="1262"/>
        <v>-2230.6537199999998</v>
      </c>
      <c r="AO2932" s="214">
        <f t="shared" si="1262"/>
        <v>-2230.6537199999998</v>
      </c>
      <c r="AP2932" s="214"/>
      <c r="AQ2932" s="214"/>
      <c r="AR2932" s="214"/>
      <c r="AS2932" s="214"/>
      <c r="AT2932" s="214"/>
      <c r="AU2932" s="214"/>
      <c r="AV2932" s="214"/>
      <c r="AW2932" s="214"/>
      <c r="AX2932" s="214"/>
      <c r="AY2932" s="214"/>
      <c r="AZ2932" s="214"/>
      <c r="BA2932" s="214"/>
      <c r="BB2932" s="214"/>
      <c r="BC2932" s="214"/>
      <c r="BD2932" s="214"/>
      <c r="BE2932" s="214"/>
      <c r="BF2932" s="214"/>
      <c r="BG2932" s="214"/>
      <c r="BH2932" s="214"/>
      <c r="BI2932" s="214"/>
      <c r="BJ2932" s="214"/>
      <c r="BK2932" s="214"/>
      <c r="BL2932" s="214"/>
      <c r="BM2932" s="214"/>
      <c r="BN2932" s="214"/>
      <c r="BO2932" s="214"/>
      <c r="BP2932" s="214"/>
      <c r="BQ2932" s="214"/>
      <c r="BR2932" s="214"/>
      <c r="BS2932" s="214"/>
      <c r="BT2932" s="214"/>
      <c r="BU2932" s="214"/>
      <c r="BV2932" s="214"/>
      <c r="BW2932" s="214"/>
      <c r="BX2932" s="214"/>
      <c r="BY2932" s="214"/>
      <c r="BZ2932" s="214"/>
      <c r="CA2932" s="214"/>
      <c r="CB2932" s="214"/>
      <c r="CC2932" s="214"/>
      <c r="CD2932" s="214"/>
      <c r="CE2932" s="230"/>
      <c r="CF2932" s="230"/>
      <c r="CG2932" s="230"/>
      <c r="CH2932" s="230"/>
      <c r="CI2932" s="76" t="str">
        <f t="shared" si="1260"/>
        <v>R10DOE Liability - True-up-2004</v>
      </c>
      <c r="CJ2932" s="230"/>
      <c r="CK2932" s="230"/>
      <c r="CL2932" s="230"/>
      <c r="CM2932" s="231"/>
    </row>
    <row r="2933" spans="1:91">
      <c r="A2933" s="464"/>
      <c r="B2933" s="464"/>
      <c r="C2933" s="662" t="s">
        <v>1309</v>
      </c>
      <c r="D2933" s="689"/>
      <c r="E2933" s="422"/>
      <c r="F2933" s="422"/>
      <c r="G2933" s="461"/>
      <c r="H2933" s="678"/>
      <c r="I2933" s="462"/>
      <c r="J2933" s="462"/>
      <c r="K2933" s="422"/>
      <c r="L2933" s="655"/>
      <c r="M2933" s="422"/>
      <c r="N2933" s="463"/>
      <c r="O2933" s="463"/>
      <c r="P2933" s="689"/>
      <c r="Q2933" s="461"/>
      <c r="R2933" s="491"/>
      <c r="S2933" s="491"/>
      <c r="T2933" s="491"/>
      <c r="U2933" s="214">
        <f t="shared" si="1264"/>
        <v>1.09E-13</v>
      </c>
      <c r="V2933" s="214">
        <f t="shared" si="1264"/>
        <v>0</v>
      </c>
      <c r="W2933" s="214">
        <f t="shared" si="1264"/>
        <v>0</v>
      </c>
      <c r="X2933" s="214">
        <f t="shared" si="1261"/>
        <v>1.09E-13</v>
      </c>
      <c r="Y2933" s="214">
        <f t="shared" si="1261"/>
        <v>0</v>
      </c>
      <c r="Z2933" s="214">
        <f t="shared" si="1261"/>
        <v>0</v>
      </c>
      <c r="AA2933" s="214">
        <f t="shared" si="1261"/>
        <v>0</v>
      </c>
      <c r="AB2933" s="214">
        <f t="shared" si="1261"/>
        <v>0</v>
      </c>
      <c r="AC2933" s="214">
        <f t="shared" si="1261"/>
        <v>2.6193447411060332E-12</v>
      </c>
      <c r="AD2933" s="214">
        <f t="shared" si="1261"/>
        <v>0</v>
      </c>
      <c r="AE2933" s="214">
        <f t="shared" si="1261"/>
        <v>0</v>
      </c>
      <c r="AF2933" s="214">
        <f t="shared" si="1261"/>
        <v>0</v>
      </c>
      <c r="AG2933" s="214">
        <f t="shared" si="1261"/>
        <v>0</v>
      </c>
      <c r="AH2933" s="214">
        <f t="shared" si="1262"/>
        <v>0</v>
      </c>
      <c r="AI2933" s="214">
        <f t="shared" si="1262"/>
        <v>0</v>
      </c>
      <c r="AJ2933" s="214">
        <f t="shared" si="1262"/>
        <v>0</v>
      </c>
      <c r="AK2933" s="214">
        <f t="shared" si="1262"/>
        <v>0</v>
      </c>
      <c r="AL2933" s="214">
        <f t="shared" si="1262"/>
        <v>0</v>
      </c>
      <c r="AM2933" s="214">
        <f t="shared" si="1262"/>
        <v>0</v>
      </c>
      <c r="AN2933" s="214">
        <f t="shared" si="1262"/>
        <v>0</v>
      </c>
      <c r="AO2933" s="214">
        <f t="shared" si="1262"/>
        <v>0</v>
      </c>
      <c r="AP2933" s="214"/>
      <c r="AQ2933" s="214"/>
      <c r="AR2933" s="214"/>
      <c r="AS2933" s="214"/>
      <c r="AT2933" s="214"/>
      <c r="AU2933" s="214"/>
      <c r="AV2933" s="214"/>
      <c r="AW2933" s="214"/>
      <c r="AX2933" s="214"/>
      <c r="AY2933" s="214"/>
      <c r="AZ2933" s="214"/>
      <c r="BA2933" s="214"/>
      <c r="BB2933" s="214"/>
      <c r="BC2933" s="214"/>
      <c r="BD2933" s="214"/>
      <c r="BE2933" s="214"/>
      <c r="BF2933" s="214"/>
      <c r="BG2933" s="214"/>
      <c r="BH2933" s="214"/>
      <c r="BI2933" s="214"/>
      <c r="BJ2933" s="214"/>
      <c r="BK2933" s="214"/>
      <c r="BL2933" s="214"/>
      <c r="BM2933" s="214"/>
      <c r="BN2933" s="214"/>
      <c r="BO2933" s="214"/>
      <c r="BP2933" s="214"/>
      <c r="BQ2933" s="214"/>
      <c r="BR2933" s="214"/>
      <c r="BS2933" s="214"/>
      <c r="BT2933" s="214"/>
      <c r="BU2933" s="214"/>
      <c r="BV2933" s="214"/>
      <c r="BW2933" s="214"/>
      <c r="BX2933" s="214"/>
      <c r="BY2933" s="214"/>
      <c r="BZ2933" s="214"/>
      <c r="CA2933" s="214"/>
      <c r="CB2933" s="214"/>
      <c r="CC2933" s="214"/>
      <c r="CD2933" s="214"/>
      <c r="CE2933" s="230"/>
      <c r="CF2933" s="230"/>
      <c r="CG2933" s="230"/>
      <c r="CH2933" s="230"/>
      <c r="CI2933" s="76" t="str">
        <f t="shared" si="1260"/>
        <v>R10Economic Development</v>
      </c>
      <c r="CJ2933" s="230"/>
      <c r="CK2933" s="230"/>
      <c r="CL2933" s="230"/>
      <c r="CM2933" s="231"/>
    </row>
    <row r="2934" spans="1:91">
      <c r="A2934" s="464"/>
      <c r="B2934" s="464"/>
      <c r="C2934" s="662" t="s">
        <v>1127</v>
      </c>
      <c r="D2934" s="689"/>
      <c r="E2934" s="422"/>
      <c r="F2934" s="422"/>
      <c r="G2934" s="461"/>
      <c r="H2934" s="678"/>
      <c r="I2934" s="462"/>
      <c r="J2934" s="462"/>
      <c r="K2934" s="422"/>
      <c r="L2934" s="655"/>
      <c r="M2934" s="422"/>
      <c r="N2934" s="463"/>
      <c r="O2934" s="463"/>
      <c r="P2934" s="689"/>
      <c r="Q2934" s="461"/>
      <c r="R2934" s="491"/>
      <c r="S2934" s="491"/>
      <c r="T2934" s="491"/>
      <c r="U2934" s="214">
        <f t="shared" si="1264"/>
        <v>303.63474000000002</v>
      </c>
      <c r="V2934" s="214">
        <f t="shared" si="1264"/>
        <v>0</v>
      </c>
      <c r="W2934" s="214">
        <f t="shared" si="1264"/>
        <v>0</v>
      </c>
      <c r="X2934" s="214">
        <f t="shared" si="1261"/>
        <v>303.63474000000002</v>
      </c>
      <c r="Y2934" s="214">
        <f t="shared" si="1261"/>
        <v>303.63474000000002</v>
      </c>
      <c r="Z2934" s="214">
        <f t="shared" si="1261"/>
        <v>0</v>
      </c>
      <c r="AA2934" s="214">
        <f t="shared" si="1261"/>
        <v>0</v>
      </c>
      <c r="AB2934" s="214">
        <f t="shared" si="1261"/>
        <v>303.63473999999997</v>
      </c>
      <c r="AC2934" s="214">
        <f t="shared" si="1261"/>
        <v>303.63473999999997</v>
      </c>
      <c r="AD2934" s="214">
        <f t="shared" si="1261"/>
        <v>303.63473999999997</v>
      </c>
      <c r="AE2934" s="214">
        <f t="shared" si="1261"/>
        <v>303.63473999999997</v>
      </c>
      <c r="AF2934" s="214">
        <f t="shared" si="1261"/>
        <v>303.63473999999997</v>
      </c>
      <c r="AG2934" s="214">
        <f t="shared" si="1261"/>
        <v>303.63473999999997</v>
      </c>
      <c r="AH2934" s="214">
        <f t="shared" si="1262"/>
        <v>303.63473999999997</v>
      </c>
      <c r="AI2934" s="214">
        <f t="shared" si="1262"/>
        <v>303.63473999999997</v>
      </c>
      <c r="AJ2934" s="214">
        <f t="shared" si="1262"/>
        <v>303.63473999999997</v>
      </c>
      <c r="AK2934" s="214">
        <f t="shared" si="1262"/>
        <v>303.63473999999997</v>
      </c>
      <c r="AL2934" s="214">
        <f t="shared" si="1262"/>
        <v>303.63473999999997</v>
      </c>
      <c r="AM2934" s="214">
        <f t="shared" si="1262"/>
        <v>303.63473999999997</v>
      </c>
      <c r="AN2934" s="214">
        <f t="shared" si="1262"/>
        <v>303.63473999999997</v>
      </c>
      <c r="AO2934" s="214">
        <f t="shared" si="1262"/>
        <v>303.63473999999997</v>
      </c>
      <c r="AP2934" s="214"/>
      <c r="AQ2934" s="214"/>
      <c r="AR2934" s="214"/>
      <c r="AS2934" s="214"/>
      <c r="AT2934" s="214"/>
      <c r="AU2934" s="214"/>
      <c r="AV2934" s="214"/>
      <c r="AW2934" s="214"/>
      <c r="AX2934" s="214"/>
      <c r="AY2934" s="214"/>
      <c r="AZ2934" s="214"/>
      <c r="BA2934" s="214"/>
      <c r="BB2934" s="214"/>
      <c r="BC2934" s="214"/>
      <c r="BD2934" s="214"/>
      <c r="BE2934" s="214"/>
      <c r="BF2934" s="214"/>
      <c r="BG2934" s="214"/>
      <c r="BH2934" s="214"/>
      <c r="BI2934" s="214"/>
      <c r="BJ2934" s="214"/>
      <c r="BK2934" s="214"/>
      <c r="BL2934" s="214"/>
      <c r="BM2934" s="214"/>
      <c r="BN2934" s="214"/>
      <c r="BO2934" s="214"/>
      <c r="BP2934" s="214"/>
      <c r="BQ2934" s="214"/>
      <c r="BR2934" s="214"/>
      <c r="BS2934" s="214"/>
      <c r="BT2934" s="214"/>
      <c r="BU2934" s="214"/>
      <c r="BV2934" s="214"/>
      <c r="BW2934" s="214"/>
      <c r="BX2934" s="214"/>
      <c r="BY2934" s="214"/>
      <c r="BZ2934" s="214"/>
      <c r="CA2934" s="214"/>
      <c r="CB2934" s="214"/>
      <c r="CC2934" s="214"/>
      <c r="CD2934" s="214"/>
      <c r="CE2934" s="230"/>
      <c r="CF2934" s="230"/>
      <c r="CG2934" s="230"/>
      <c r="CH2934" s="230"/>
      <c r="CI2934" s="76" t="str">
        <f t="shared" si="1260"/>
        <v>R10Electric Reliability Organization</v>
      </c>
      <c r="CJ2934" s="230"/>
      <c r="CK2934" s="230"/>
      <c r="CL2934" s="230"/>
      <c r="CM2934" s="231"/>
    </row>
    <row r="2935" spans="1:91">
      <c r="A2935" s="464"/>
      <c r="B2935" s="464"/>
      <c r="C2935" s="662" t="s">
        <v>1134</v>
      </c>
      <c r="D2935" s="689"/>
      <c r="E2935" s="422"/>
      <c r="F2935" s="422"/>
      <c r="G2935" s="461"/>
      <c r="H2935" s="678"/>
      <c r="I2935" s="462"/>
      <c r="J2935" s="462"/>
      <c r="K2935" s="422"/>
      <c r="L2935" s="655"/>
      <c r="M2935" s="422"/>
      <c r="N2935" s="463"/>
      <c r="O2935" s="463"/>
      <c r="P2935" s="689"/>
      <c r="Q2935" s="461"/>
      <c r="R2935" s="491"/>
      <c r="S2935" s="491"/>
      <c r="T2935" s="491"/>
      <c r="U2935" s="214">
        <f t="shared" si="1264"/>
        <v>1084.8899857319384</v>
      </c>
      <c r="V2935" s="214">
        <f t="shared" si="1264"/>
        <v>561.83865426840293</v>
      </c>
      <c r="W2935" s="214">
        <f t="shared" si="1264"/>
        <v>0</v>
      </c>
      <c r="X2935" s="214">
        <f t="shared" si="1261"/>
        <v>1646.7286400003422</v>
      </c>
      <c r="Y2935" s="214">
        <f t="shared" si="1261"/>
        <v>1076.9236207949989</v>
      </c>
      <c r="Z2935" s="214">
        <f t="shared" si="1261"/>
        <v>569.77751920499986</v>
      </c>
      <c r="AA2935" s="214">
        <f t="shared" si="1261"/>
        <v>0</v>
      </c>
      <c r="AB2935" s="214">
        <f t="shared" si="1261"/>
        <v>1646.701139999996</v>
      </c>
      <c r="AC2935" s="214">
        <f t="shared" si="1261"/>
        <v>1647.3611399999977</v>
      </c>
      <c r="AD2935" s="214">
        <f t="shared" si="1261"/>
        <v>1646.701139999996</v>
      </c>
      <c r="AE2935" s="214">
        <f t="shared" si="1261"/>
        <v>1646.701139999996</v>
      </c>
      <c r="AF2935" s="214">
        <f t="shared" si="1261"/>
        <v>1646.701139999996</v>
      </c>
      <c r="AG2935" s="214">
        <f t="shared" si="1261"/>
        <v>1646.701139999996</v>
      </c>
      <c r="AH2935" s="214">
        <f t="shared" si="1262"/>
        <v>1646.701139999996</v>
      </c>
      <c r="AI2935" s="214">
        <f t="shared" si="1262"/>
        <v>1646.701139999996</v>
      </c>
      <c r="AJ2935" s="214">
        <f t="shared" si="1262"/>
        <v>1646.701139999996</v>
      </c>
      <c r="AK2935" s="214">
        <f t="shared" si="1262"/>
        <v>1646.701139999996</v>
      </c>
      <c r="AL2935" s="214">
        <f t="shared" si="1262"/>
        <v>1646.701139999996</v>
      </c>
      <c r="AM2935" s="214">
        <f t="shared" si="1262"/>
        <v>1646.701139999996</v>
      </c>
      <c r="AN2935" s="214">
        <f t="shared" si="1262"/>
        <v>1646.701139999996</v>
      </c>
      <c r="AO2935" s="214">
        <f t="shared" si="1262"/>
        <v>1646.701139999996</v>
      </c>
      <c r="AP2935" s="214"/>
      <c r="AQ2935" s="214"/>
      <c r="AR2935" s="214"/>
      <c r="AS2935" s="214"/>
      <c r="AT2935" s="214"/>
      <c r="AU2935" s="214"/>
      <c r="AV2935" s="214"/>
      <c r="AW2935" s="214"/>
      <c r="AX2935" s="214"/>
      <c r="AY2935" s="214"/>
      <c r="AZ2935" s="214"/>
      <c r="BA2935" s="214"/>
      <c r="BB2935" s="214"/>
      <c r="BC2935" s="214"/>
      <c r="BD2935" s="214"/>
      <c r="BE2935" s="214"/>
      <c r="BF2935" s="214"/>
      <c r="BG2935" s="214"/>
      <c r="BH2935" s="214"/>
      <c r="BI2935" s="214"/>
      <c r="BJ2935" s="214"/>
      <c r="BK2935" s="214"/>
      <c r="BL2935" s="214"/>
      <c r="BM2935" s="214"/>
      <c r="BN2935" s="214"/>
      <c r="BO2935" s="214"/>
      <c r="BP2935" s="214"/>
      <c r="BQ2935" s="214"/>
      <c r="BR2935" s="214"/>
      <c r="BS2935" s="214"/>
      <c r="BT2935" s="214"/>
      <c r="BU2935" s="214"/>
      <c r="BV2935" s="214"/>
      <c r="BW2935" s="214"/>
      <c r="BX2935" s="214"/>
      <c r="BY2935" s="214"/>
      <c r="BZ2935" s="214"/>
      <c r="CA2935" s="214"/>
      <c r="CB2935" s="214"/>
      <c r="CC2935" s="214"/>
      <c r="CD2935" s="214"/>
      <c r="CE2935" s="230"/>
      <c r="CF2935" s="230"/>
      <c r="CG2935" s="230"/>
      <c r="CH2935" s="230"/>
      <c r="CI2935" s="76" t="str">
        <f t="shared" si="1260"/>
        <v>R10Environmental</v>
      </c>
      <c r="CJ2935" s="230"/>
      <c r="CK2935" s="230"/>
      <c r="CL2935" s="230"/>
      <c r="CM2935" s="231"/>
    </row>
    <row r="2936" spans="1:91">
      <c r="A2936" s="464"/>
      <c r="B2936" s="464"/>
      <c r="C2936" s="662" t="s">
        <v>1487</v>
      </c>
      <c r="D2936" s="689"/>
      <c r="E2936" s="422"/>
      <c r="F2936" s="422"/>
      <c r="G2936" s="461"/>
      <c r="H2936" s="678"/>
      <c r="I2936" s="462"/>
      <c r="J2936" s="462"/>
      <c r="K2936" s="422"/>
      <c r="L2936" s="655"/>
      <c r="M2936" s="422"/>
      <c r="N2936" s="463"/>
      <c r="O2936" s="463"/>
      <c r="P2936" s="689"/>
      <c r="Q2936" s="461"/>
      <c r="R2936" s="491"/>
      <c r="S2936" s="491"/>
      <c r="T2936" s="491"/>
      <c r="U2936" s="214">
        <f t="shared" si="1264"/>
        <v>5E-15</v>
      </c>
      <c r="V2936" s="214">
        <f t="shared" si="1264"/>
        <v>1.0000000000000001E-15</v>
      </c>
      <c r="W2936" s="214">
        <f t="shared" si="1264"/>
        <v>0</v>
      </c>
      <c r="X2936" s="214">
        <f t="shared" si="1261"/>
        <v>5.9999999999999997E-15</v>
      </c>
      <c r="Y2936" s="214">
        <f t="shared" si="1261"/>
        <v>0</v>
      </c>
      <c r="Z2936" s="214">
        <f t="shared" si="1261"/>
        <v>0</v>
      </c>
      <c r="AA2936" s="214">
        <f t="shared" si="1261"/>
        <v>0</v>
      </c>
      <c r="AB2936" s="214">
        <f t="shared" si="1261"/>
        <v>0</v>
      </c>
      <c r="AC2936" s="214">
        <f t="shared" si="1261"/>
        <v>1.3824319466948511E-13</v>
      </c>
      <c r="AD2936" s="214">
        <f t="shared" si="1261"/>
        <v>0</v>
      </c>
      <c r="AE2936" s="214">
        <f t="shared" si="1261"/>
        <v>0</v>
      </c>
      <c r="AF2936" s="214">
        <f t="shared" si="1261"/>
        <v>0</v>
      </c>
      <c r="AG2936" s="214">
        <f t="shared" si="1261"/>
        <v>0</v>
      </c>
      <c r="AH2936" s="214">
        <f t="shared" si="1262"/>
        <v>0</v>
      </c>
      <c r="AI2936" s="214">
        <f t="shared" si="1262"/>
        <v>0</v>
      </c>
      <c r="AJ2936" s="214">
        <f t="shared" si="1262"/>
        <v>0</v>
      </c>
      <c r="AK2936" s="214">
        <f t="shared" si="1262"/>
        <v>0</v>
      </c>
      <c r="AL2936" s="214">
        <f t="shared" si="1262"/>
        <v>0</v>
      </c>
      <c r="AM2936" s="214">
        <f t="shared" si="1262"/>
        <v>0</v>
      </c>
      <c r="AN2936" s="214">
        <f t="shared" si="1262"/>
        <v>0</v>
      </c>
      <c r="AO2936" s="214">
        <f t="shared" si="1262"/>
        <v>0</v>
      </c>
      <c r="AP2936" s="214"/>
      <c r="AQ2936" s="214"/>
      <c r="AR2936" s="214"/>
      <c r="AS2936" s="214"/>
      <c r="AT2936" s="214"/>
      <c r="AU2936" s="214"/>
      <c r="AV2936" s="214"/>
      <c r="AW2936" s="214"/>
      <c r="AX2936" s="214"/>
      <c r="AY2936" s="214"/>
      <c r="AZ2936" s="214"/>
      <c r="BA2936" s="214"/>
      <c r="BB2936" s="214"/>
      <c r="BC2936" s="214"/>
      <c r="BD2936" s="214"/>
      <c r="BE2936" s="214"/>
      <c r="BF2936" s="214"/>
      <c r="BG2936" s="214"/>
      <c r="BH2936" s="214"/>
      <c r="BI2936" s="214"/>
      <c r="BJ2936" s="214"/>
      <c r="BK2936" s="214"/>
      <c r="BL2936" s="214"/>
      <c r="BM2936" s="214"/>
      <c r="BN2936" s="214"/>
      <c r="BO2936" s="214"/>
      <c r="BP2936" s="214"/>
      <c r="BQ2936" s="214"/>
      <c r="BR2936" s="214"/>
      <c r="BS2936" s="214"/>
      <c r="BT2936" s="214"/>
      <c r="BU2936" s="214"/>
      <c r="BV2936" s="214"/>
      <c r="BW2936" s="214"/>
      <c r="BX2936" s="214"/>
      <c r="BY2936" s="214"/>
      <c r="BZ2936" s="214"/>
      <c r="CA2936" s="214"/>
      <c r="CB2936" s="214"/>
      <c r="CC2936" s="214"/>
      <c r="CD2936" s="214"/>
      <c r="CE2936" s="230"/>
      <c r="CF2936" s="230"/>
      <c r="CG2936" s="230"/>
      <c r="CH2936" s="230"/>
      <c r="CI2936" s="76" t="str">
        <f t="shared" si="1260"/>
        <v>R10Excess NYS DIT (to 7.1%)</v>
      </c>
      <c r="CJ2936" s="230"/>
      <c r="CK2936" s="230"/>
      <c r="CL2936" s="230"/>
      <c r="CM2936" s="231"/>
    </row>
    <row r="2937" spans="1:91">
      <c r="A2937" s="464"/>
      <c r="B2937" s="464"/>
      <c r="C2937" s="662" t="s">
        <v>1586</v>
      </c>
      <c r="D2937" s="689"/>
      <c r="E2937" s="422"/>
      <c r="F2937" s="422"/>
      <c r="G2937" s="461"/>
      <c r="H2937" s="678"/>
      <c r="I2937" s="462"/>
      <c r="J2937" s="462"/>
      <c r="K2937" s="422"/>
      <c r="L2937" s="655"/>
      <c r="M2937" s="422"/>
      <c r="N2937" s="463"/>
      <c r="O2937" s="463"/>
      <c r="P2937" s="689"/>
      <c r="Q2937" s="461"/>
      <c r="R2937" s="491"/>
      <c r="S2937" s="491"/>
      <c r="T2937" s="491"/>
      <c r="U2937" s="214">
        <f t="shared" si="1264"/>
        <v>-1530.2184033771691</v>
      </c>
      <c r="V2937" s="214">
        <f t="shared" si="1264"/>
        <v>-946.66473578950104</v>
      </c>
      <c r="W2937" s="214">
        <f t="shared" si="1264"/>
        <v>0</v>
      </c>
      <c r="X2937" s="214">
        <f t="shared" ref="X2937:AG2946" si="1265">SUMIF($AR:$AR,$CI2937,X:X)</f>
        <v>-2476.8831391666699</v>
      </c>
      <c r="Y2937" s="214">
        <f t="shared" si="1265"/>
        <v>-1316.493273992</v>
      </c>
      <c r="Z2937" s="214">
        <f t="shared" si="1265"/>
        <v>-814.44436600799997</v>
      </c>
      <c r="AA2937" s="214">
        <f t="shared" si="1265"/>
        <v>0</v>
      </c>
      <c r="AB2937" s="214">
        <f t="shared" si="1265"/>
        <v>-2130.9376399999996</v>
      </c>
      <c r="AC2937" s="214">
        <f t="shared" si="1265"/>
        <v>-2460.1376399999999</v>
      </c>
      <c r="AD2937" s="214">
        <f t="shared" si="1265"/>
        <v>-2466.6813099999999</v>
      </c>
      <c r="AE2937" s="214">
        <f t="shared" si="1265"/>
        <v>-2471.8609900000001</v>
      </c>
      <c r="AF2937" s="214">
        <f t="shared" si="1265"/>
        <v>-2476.6909799999999</v>
      </c>
      <c r="AG2937" s="214">
        <f t="shared" si="1265"/>
        <v>-2482.3061099999995</v>
      </c>
      <c r="AH2937" s="214">
        <f t="shared" ref="AH2937:AO2946" si="1266">SUMIF($AR:$AR,$CI2937,AH:AH)</f>
        <v>-2487.8402499999997</v>
      </c>
      <c r="AI2937" s="214">
        <f t="shared" si="1266"/>
        <v>-2493.5281499999996</v>
      </c>
      <c r="AJ2937" s="214">
        <f t="shared" si="1266"/>
        <v>-2500.6047699999999</v>
      </c>
      <c r="AK2937" s="214">
        <f t="shared" si="1266"/>
        <v>-2505.4591299999997</v>
      </c>
      <c r="AL2937" s="214">
        <f t="shared" si="1266"/>
        <v>-2509.0167999999994</v>
      </c>
      <c r="AM2937" s="214">
        <f t="shared" si="1266"/>
        <v>-2515.9732999999997</v>
      </c>
      <c r="AN2937" s="214">
        <f t="shared" si="1266"/>
        <v>-2517.0982399999994</v>
      </c>
      <c r="AO2937" s="214">
        <f t="shared" si="1266"/>
        <v>-2130.9376399999996</v>
      </c>
      <c r="AP2937" s="214"/>
      <c r="AQ2937" s="214"/>
      <c r="AR2937" s="214"/>
      <c r="AS2937" s="214"/>
      <c r="AT2937" s="214"/>
      <c r="AU2937" s="214"/>
      <c r="AV2937" s="214"/>
      <c r="AW2937" s="214"/>
      <c r="AX2937" s="214"/>
      <c r="AY2937" s="214"/>
      <c r="AZ2937" s="214"/>
      <c r="BA2937" s="214"/>
      <c r="BB2937" s="214"/>
      <c r="BC2937" s="214"/>
      <c r="BD2937" s="214"/>
      <c r="BE2937" s="214"/>
      <c r="BF2937" s="214"/>
      <c r="BG2937" s="214"/>
      <c r="BH2937" s="214"/>
      <c r="BI2937" s="214"/>
      <c r="BJ2937" s="214"/>
      <c r="BK2937" s="214"/>
      <c r="BL2937" s="214"/>
      <c r="BM2937" s="214"/>
      <c r="BN2937" s="214"/>
      <c r="BO2937" s="214"/>
      <c r="BP2937" s="214"/>
      <c r="BQ2937" s="214"/>
      <c r="BR2937" s="214"/>
      <c r="BS2937" s="214"/>
      <c r="BT2937" s="214"/>
      <c r="BU2937" s="214"/>
      <c r="BV2937" s="214"/>
      <c r="BW2937" s="214"/>
      <c r="BX2937" s="214"/>
      <c r="BY2937" s="214"/>
      <c r="BZ2937" s="214"/>
      <c r="CA2937" s="214"/>
      <c r="CB2937" s="214"/>
      <c r="CC2937" s="214"/>
      <c r="CD2937" s="214"/>
      <c r="CE2937" s="230"/>
      <c r="CF2937" s="230"/>
      <c r="CG2937" s="230"/>
      <c r="CH2937" s="230"/>
      <c r="CI2937" s="76" t="str">
        <f t="shared" si="1260"/>
        <v>R10FAS 112</v>
      </c>
      <c r="CJ2937" s="230"/>
      <c r="CK2937" s="230"/>
      <c r="CL2937" s="230"/>
      <c r="CM2937" s="231"/>
    </row>
    <row r="2938" spans="1:91">
      <c r="A2938" s="464"/>
      <c r="B2938" s="464"/>
      <c r="C2938" s="662" t="s">
        <v>4377</v>
      </c>
      <c r="D2938" s="689"/>
      <c r="E2938" s="422"/>
      <c r="F2938" s="422"/>
      <c r="G2938" s="461"/>
      <c r="H2938" s="678"/>
      <c r="I2938" s="462"/>
      <c r="J2938" s="462"/>
      <c r="K2938" s="422"/>
      <c r="L2938" s="655"/>
      <c r="M2938" s="422"/>
      <c r="N2938" s="463"/>
      <c r="O2938" s="463"/>
      <c r="P2938" s="689"/>
      <c r="Q2938" s="461"/>
      <c r="R2938" s="491"/>
      <c r="S2938" s="491"/>
      <c r="T2938" s="491"/>
      <c r="U2938" s="214">
        <f t="shared" si="1264"/>
        <v>28775.137382916699</v>
      </c>
      <c r="V2938" s="214">
        <f t="shared" si="1264"/>
        <v>23417.679055416698</v>
      </c>
      <c r="W2938" s="214">
        <f t="shared" si="1264"/>
        <v>0</v>
      </c>
      <c r="X2938" s="214">
        <f t="shared" si="1265"/>
        <v>52192.816438333393</v>
      </c>
      <c r="Y2938" s="214">
        <f t="shared" si="1265"/>
        <v>33235.870929999903</v>
      </c>
      <c r="Z2938" s="214">
        <f t="shared" si="1265"/>
        <v>26349.941210000001</v>
      </c>
      <c r="AA2938" s="214">
        <f t="shared" si="1265"/>
        <v>0</v>
      </c>
      <c r="AB2938" s="214">
        <f t="shared" si="1265"/>
        <v>59585.812139999987</v>
      </c>
      <c r="AC2938" s="214">
        <f t="shared" si="1265"/>
        <v>44739.066819999993</v>
      </c>
      <c r="AD2938" s="214">
        <f t="shared" si="1265"/>
        <v>45981.818679999997</v>
      </c>
      <c r="AE2938" s="214">
        <f t="shared" si="1265"/>
        <v>47224.570539999993</v>
      </c>
      <c r="AF2938" s="214">
        <f t="shared" si="1265"/>
        <v>48467.322399999997</v>
      </c>
      <c r="AG2938" s="214">
        <f t="shared" si="1265"/>
        <v>49710.074259999994</v>
      </c>
      <c r="AH2938" s="214">
        <f t="shared" si="1266"/>
        <v>50952.826119999991</v>
      </c>
      <c r="AI2938" s="214">
        <f t="shared" si="1266"/>
        <v>52195.577979999995</v>
      </c>
      <c r="AJ2938" s="214">
        <f t="shared" si="1266"/>
        <v>53438.329839999991</v>
      </c>
      <c r="AK2938" s="214">
        <f t="shared" si="1266"/>
        <v>54681.081699999995</v>
      </c>
      <c r="AL2938" s="214">
        <f t="shared" si="1266"/>
        <v>55923.833559999992</v>
      </c>
      <c r="AM2938" s="214">
        <f t="shared" si="1266"/>
        <v>57166.585419999989</v>
      </c>
      <c r="AN2938" s="214">
        <f t="shared" si="1266"/>
        <v>58409.337279999992</v>
      </c>
      <c r="AO2938" s="214">
        <f t="shared" si="1266"/>
        <v>59585.812139999987</v>
      </c>
      <c r="AP2938" s="214"/>
      <c r="AQ2938" s="214"/>
      <c r="AR2938" s="214"/>
      <c r="AS2938" s="76" t="s">
        <v>3924</v>
      </c>
      <c r="AT2938" s="230"/>
      <c r="AU2938" s="230"/>
      <c r="AV2938" s="230"/>
      <c r="AW2938" s="231"/>
      <c r="CI2938" s="76" t="str">
        <f t="shared" si="1260"/>
        <v>R10Funded DIT Tax True-up Deferral</v>
      </c>
    </row>
    <row r="2939" spans="1:91">
      <c r="A2939" s="464"/>
      <c r="B2939" s="464"/>
      <c r="C2939" s="662" t="s">
        <v>1142</v>
      </c>
      <c r="D2939" s="689"/>
      <c r="E2939" s="422"/>
      <c r="F2939" s="422"/>
      <c r="G2939" s="461"/>
      <c r="H2939" s="678"/>
      <c r="I2939" s="462"/>
      <c r="J2939" s="462"/>
      <c r="K2939" s="422"/>
      <c r="L2939" s="655"/>
      <c r="M2939" s="422"/>
      <c r="N2939" s="463"/>
      <c r="O2939" s="463"/>
      <c r="P2939" s="689"/>
      <c r="Q2939" s="461"/>
      <c r="R2939" s="491"/>
      <c r="S2939" s="491"/>
      <c r="T2939" s="491"/>
      <c r="U2939" s="214">
        <f t="shared" si="1264"/>
        <v>0</v>
      </c>
      <c r="V2939" s="214">
        <f t="shared" si="1264"/>
        <v>0</v>
      </c>
      <c r="W2939" s="214">
        <f t="shared" si="1264"/>
        <v>0</v>
      </c>
      <c r="X2939" s="214">
        <f t="shared" si="1265"/>
        <v>0</v>
      </c>
      <c r="Y2939" s="214">
        <f t="shared" si="1265"/>
        <v>0</v>
      </c>
      <c r="Z2939" s="214">
        <f t="shared" si="1265"/>
        <v>0</v>
      </c>
      <c r="AA2939" s="214">
        <f t="shared" si="1265"/>
        <v>0</v>
      </c>
      <c r="AB2939" s="214">
        <f t="shared" si="1265"/>
        <v>0</v>
      </c>
      <c r="AC2939" s="214">
        <f t="shared" si="1265"/>
        <v>0</v>
      </c>
      <c r="AD2939" s="214">
        <f t="shared" si="1265"/>
        <v>0</v>
      </c>
      <c r="AE2939" s="214">
        <f t="shared" si="1265"/>
        <v>0</v>
      </c>
      <c r="AF2939" s="214">
        <f t="shared" si="1265"/>
        <v>0</v>
      </c>
      <c r="AG2939" s="214">
        <f t="shared" si="1265"/>
        <v>0</v>
      </c>
      <c r="AH2939" s="214">
        <f t="shared" si="1266"/>
        <v>0</v>
      </c>
      <c r="AI2939" s="214">
        <f t="shared" si="1266"/>
        <v>0</v>
      </c>
      <c r="AJ2939" s="214">
        <f t="shared" si="1266"/>
        <v>0</v>
      </c>
      <c r="AK2939" s="214">
        <f t="shared" si="1266"/>
        <v>0</v>
      </c>
      <c r="AL2939" s="214">
        <f t="shared" si="1266"/>
        <v>0</v>
      </c>
      <c r="AM2939" s="214">
        <f t="shared" si="1266"/>
        <v>0</v>
      </c>
      <c r="AN2939" s="214">
        <f t="shared" si="1266"/>
        <v>0</v>
      </c>
      <c r="AO2939" s="214">
        <f t="shared" si="1266"/>
        <v>0</v>
      </c>
      <c r="AP2939" s="214"/>
      <c r="AQ2939" s="794"/>
      <c r="AR2939" s="214"/>
      <c r="AS2939" s="214"/>
      <c r="AT2939" s="214"/>
      <c r="AU2939" s="214"/>
      <c r="AV2939" s="214"/>
      <c r="AW2939" s="214"/>
      <c r="AX2939" s="214"/>
      <c r="AY2939" s="214"/>
      <c r="AZ2939" s="214"/>
      <c r="BA2939" s="214"/>
      <c r="BB2939" s="214"/>
      <c r="BC2939" s="214"/>
      <c r="BD2939" s="214"/>
      <c r="BE2939" s="214"/>
      <c r="BF2939" s="214"/>
      <c r="BG2939" s="214"/>
      <c r="BH2939" s="214"/>
      <c r="BI2939" s="214"/>
      <c r="BJ2939" s="214"/>
      <c r="BK2939" s="214"/>
      <c r="BL2939" s="214"/>
      <c r="BM2939" s="214"/>
      <c r="BN2939" s="214"/>
      <c r="BO2939" s="214"/>
      <c r="BP2939" s="214"/>
      <c r="BQ2939" s="214"/>
      <c r="BR2939" s="214"/>
      <c r="BS2939" s="214"/>
      <c r="BT2939" s="214"/>
      <c r="BU2939" s="214"/>
      <c r="BV2939" s="214"/>
      <c r="BW2939" s="214"/>
      <c r="BX2939" s="214"/>
      <c r="BY2939" s="214"/>
      <c r="BZ2939" s="214"/>
      <c r="CA2939" s="214"/>
      <c r="CB2939" s="214"/>
      <c r="CC2939" s="214"/>
      <c r="CD2939" s="214"/>
      <c r="CE2939" s="230"/>
      <c r="CF2939" s="230"/>
      <c r="CG2939" s="230"/>
      <c r="CH2939" s="230"/>
      <c r="CI2939" s="76" t="str">
        <f t="shared" si="1260"/>
        <v>R10Gas Costs Deferred</v>
      </c>
      <c r="CJ2939" s="230"/>
      <c r="CK2939" s="230"/>
      <c r="CL2939" s="230"/>
      <c r="CM2939" s="231"/>
    </row>
    <row r="2940" spans="1:91">
      <c r="A2940" s="464"/>
      <c r="B2940" s="464"/>
      <c r="C2940" s="662" t="s">
        <v>1132</v>
      </c>
      <c r="D2940" s="689"/>
      <c r="E2940" s="422"/>
      <c r="F2940" s="422"/>
      <c r="G2940" s="461"/>
      <c r="H2940" s="678"/>
      <c r="I2940" s="462"/>
      <c r="J2940" s="462"/>
      <c r="K2940" s="422"/>
      <c r="L2940" s="655"/>
      <c r="M2940" s="422"/>
      <c r="N2940" s="463"/>
      <c r="O2940" s="463"/>
      <c r="P2940" s="689"/>
      <c r="Q2940" s="461"/>
      <c r="R2940" s="491"/>
      <c r="S2940" s="491"/>
      <c r="T2940" s="491"/>
      <c r="U2940" s="214">
        <f t="shared" si="1264"/>
        <v>0</v>
      </c>
      <c r="V2940" s="214">
        <f t="shared" si="1264"/>
        <v>0</v>
      </c>
      <c r="W2940" s="214">
        <f t="shared" si="1264"/>
        <v>0</v>
      </c>
      <c r="X2940" s="214">
        <f t="shared" si="1265"/>
        <v>0</v>
      </c>
      <c r="Y2940" s="214">
        <f t="shared" si="1265"/>
        <v>0</v>
      </c>
      <c r="Z2940" s="214">
        <f t="shared" si="1265"/>
        <v>0</v>
      </c>
      <c r="AA2940" s="214">
        <f t="shared" si="1265"/>
        <v>0</v>
      </c>
      <c r="AB2940" s="214">
        <f t="shared" si="1265"/>
        <v>0</v>
      </c>
      <c r="AC2940" s="214">
        <f t="shared" si="1265"/>
        <v>0</v>
      </c>
      <c r="AD2940" s="214">
        <f t="shared" si="1265"/>
        <v>0</v>
      </c>
      <c r="AE2940" s="214">
        <f t="shared" si="1265"/>
        <v>0</v>
      </c>
      <c r="AF2940" s="214">
        <f t="shared" si="1265"/>
        <v>0</v>
      </c>
      <c r="AG2940" s="214">
        <f t="shared" si="1265"/>
        <v>0</v>
      </c>
      <c r="AH2940" s="214">
        <f t="shared" si="1266"/>
        <v>0</v>
      </c>
      <c r="AI2940" s="214">
        <f t="shared" si="1266"/>
        <v>0</v>
      </c>
      <c r="AJ2940" s="214">
        <f t="shared" si="1266"/>
        <v>0</v>
      </c>
      <c r="AK2940" s="214">
        <f t="shared" si="1266"/>
        <v>0</v>
      </c>
      <c r="AL2940" s="214">
        <f t="shared" si="1266"/>
        <v>0</v>
      </c>
      <c r="AM2940" s="214">
        <f t="shared" si="1266"/>
        <v>0</v>
      </c>
      <c r="AN2940" s="214">
        <f t="shared" si="1266"/>
        <v>0</v>
      </c>
      <c r="AO2940" s="214">
        <f t="shared" si="1266"/>
        <v>0</v>
      </c>
      <c r="AP2940" s="214"/>
      <c r="AQ2940" s="214"/>
      <c r="AR2940" s="214"/>
      <c r="AS2940" s="214"/>
      <c r="AT2940" s="214"/>
      <c r="AU2940" s="214"/>
      <c r="AV2940" s="214"/>
      <c r="AW2940" s="214"/>
      <c r="AX2940" s="214"/>
      <c r="AY2940" s="214"/>
      <c r="AZ2940" s="214"/>
      <c r="BA2940" s="214"/>
      <c r="BB2940" s="214"/>
      <c r="BC2940" s="214"/>
      <c r="BD2940" s="214"/>
      <c r="BE2940" s="214"/>
      <c r="BF2940" s="214"/>
      <c r="BG2940" s="214"/>
      <c r="BH2940" s="214"/>
      <c r="BI2940" s="214"/>
      <c r="BJ2940" s="214"/>
      <c r="BK2940" s="214"/>
      <c r="BL2940" s="214"/>
      <c r="BM2940" s="214"/>
      <c r="BN2940" s="214"/>
      <c r="BO2940" s="214"/>
      <c r="BP2940" s="214"/>
      <c r="BQ2940" s="214"/>
      <c r="BR2940" s="214"/>
      <c r="BS2940" s="214"/>
      <c r="BT2940" s="214"/>
      <c r="BU2940" s="214"/>
      <c r="BV2940" s="214"/>
      <c r="BW2940" s="214"/>
      <c r="BX2940" s="214"/>
      <c r="BY2940" s="214"/>
      <c r="BZ2940" s="214"/>
      <c r="CA2940" s="214"/>
      <c r="CB2940" s="214"/>
      <c r="CC2940" s="214"/>
      <c r="CD2940" s="214"/>
      <c r="CE2940" s="230"/>
      <c r="CF2940" s="230"/>
      <c r="CG2940" s="230"/>
      <c r="CH2940" s="230"/>
      <c r="CI2940" s="76" t="str">
        <f t="shared" si="1260"/>
        <v>R10Gas Pipeline Integrity</v>
      </c>
      <c r="CJ2940" s="230"/>
      <c r="CK2940" s="230"/>
      <c r="CL2940" s="230"/>
      <c r="CM2940" s="231"/>
    </row>
    <row r="2941" spans="1:91">
      <c r="A2941" s="464"/>
      <c r="B2941" s="464"/>
      <c r="C2941" s="662" t="s">
        <v>2880</v>
      </c>
      <c r="D2941" s="689"/>
      <c r="E2941" s="422"/>
      <c r="F2941" s="422"/>
      <c r="G2941" s="461"/>
      <c r="H2941" s="678"/>
      <c r="I2941" s="462"/>
      <c r="J2941" s="462"/>
      <c r="K2941" s="422"/>
      <c r="L2941" s="655"/>
      <c r="M2941" s="422"/>
      <c r="N2941" s="463"/>
      <c r="O2941" s="463"/>
      <c r="P2941" s="689"/>
      <c r="Q2941" s="461"/>
      <c r="R2941" s="491"/>
      <c r="S2941" s="491"/>
      <c r="T2941" s="491"/>
      <c r="U2941" s="214">
        <f t="shared" si="1264"/>
        <v>0</v>
      </c>
      <c r="V2941" s="214">
        <f t="shared" si="1264"/>
        <v>0</v>
      </c>
      <c r="W2941" s="214">
        <f t="shared" si="1264"/>
        <v>0</v>
      </c>
      <c r="X2941" s="214">
        <f t="shared" si="1265"/>
        <v>0</v>
      </c>
      <c r="Y2941" s="214">
        <f t="shared" si="1265"/>
        <v>0</v>
      </c>
      <c r="Z2941" s="214">
        <f t="shared" si="1265"/>
        <v>0</v>
      </c>
      <c r="AA2941" s="214">
        <f t="shared" si="1265"/>
        <v>0</v>
      </c>
      <c r="AB2941" s="214">
        <f t="shared" si="1265"/>
        <v>0</v>
      </c>
      <c r="AC2941" s="214">
        <f t="shared" si="1265"/>
        <v>0</v>
      </c>
      <c r="AD2941" s="214">
        <f t="shared" si="1265"/>
        <v>0</v>
      </c>
      <c r="AE2941" s="214">
        <f t="shared" si="1265"/>
        <v>0</v>
      </c>
      <c r="AF2941" s="214">
        <f t="shared" si="1265"/>
        <v>0</v>
      </c>
      <c r="AG2941" s="214">
        <f t="shared" si="1265"/>
        <v>0</v>
      </c>
      <c r="AH2941" s="214">
        <f t="shared" si="1266"/>
        <v>0</v>
      </c>
      <c r="AI2941" s="214">
        <f t="shared" si="1266"/>
        <v>0</v>
      </c>
      <c r="AJ2941" s="214">
        <f t="shared" si="1266"/>
        <v>0</v>
      </c>
      <c r="AK2941" s="214">
        <f t="shared" si="1266"/>
        <v>0</v>
      </c>
      <c r="AL2941" s="214">
        <f t="shared" si="1266"/>
        <v>0</v>
      </c>
      <c r="AM2941" s="214">
        <f t="shared" si="1266"/>
        <v>0</v>
      </c>
      <c r="AN2941" s="214">
        <f t="shared" si="1266"/>
        <v>0</v>
      </c>
      <c r="AO2941" s="214">
        <f t="shared" si="1266"/>
        <v>0</v>
      </c>
      <c r="AP2941" s="214"/>
      <c r="AQ2941" s="214"/>
      <c r="AR2941" s="214"/>
      <c r="AS2941" s="76" t="s">
        <v>3926</v>
      </c>
      <c r="AT2941" s="230"/>
      <c r="AU2941" s="230"/>
      <c r="AV2941" s="230"/>
      <c r="AW2941" s="231"/>
      <c r="CI2941" s="76" t="str">
        <f t="shared" si="1260"/>
        <v>R10Hung Deferred Taxes</v>
      </c>
    </row>
    <row r="2942" spans="1:91">
      <c r="A2942" s="464"/>
      <c r="B2942" s="464"/>
      <c r="C2942" s="662" t="s">
        <v>1313</v>
      </c>
      <c r="D2942" s="689"/>
      <c r="E2942" s="422"/>
      <c r="F2942" s="422"/>
      <c r="G2942" s="461"/>
      <c r="H2942" s="678"/>
      <c r="I2942" s="462"/>
      <c r="J2942" s="462"/>
      <c r="K2942" s="422"/>
      <c r="L2942" s="655"/>
      <c r="M2942" s="422"/>
      <c r="N2942" s="463"/>
      <c r="O2942" s="463"/>
      <c r="P2942" s="689"/>
      <c r="Q2942" s="461"/>
      <c r="R2942" s="491"/>
      <c r="S2942" s="491"/>
      <c r="T2942" s="491"/>
      <c r="U2942" s="214">
        <f t="shared" si="1264"/>
        <v>1761.96039</v>
      </c>
      <c r="V2942" s="214">
        <f t="shared" si="1264"/>
        <v>0</v>
      </c>
      <c r="W2942" s="214">
        <f t="shared" si="1264"/>
        <v>0</v>
      </c>
      <c r="X2942" s="214">
        <f t="shared" si="1265"/>
        <v>1761.96039</v>
      </c>
      <c r="Y2942" s="214">
        <f t="shared" si="1265"/>
        <v>1761.96039</v>
      </c>
      <c r="Z2942" s="214">
        <f t="shared" si="1265"/>
        <v>0</v>
      </c>
      <c r="AA2942" s="214">
        <f t="shared" si="1265"/>
        <v>0</v>
      </c>
      <c r="AB2942" s="214">
        <f t="shared" si="1265"/>
        <v>1761.96039</v>
      </c>
      <c r="AC2942" s="214">
        <f t="shared" si="1265"/>
        <v>1761.96039</v>
      </c>
      <c r="AD2942" s="214">
        <f t="shared" si="1265"/>
        <v>1761.96039</v>
      </c>
      <c r="AE2942" s="214">
        <f t="shared" si="1265"/>
        <v>1761.96039</v>
      </c>
      <c r="AF2942" s="214">
        <f t="shared" si="1265"/>
        <v>1761.96039</v>
      </c>
      <c r="AG2942" s="214">
        <f t="shared" si="1265"/>
        <v>1761.96039</v>
      </c>
      <c r="AH2942" s="214">
        <f t="shared" si="1266"/>
        <v>1761.96039</v>
      </c>
      <c r="AI2942" s="214">
        <f t="shared" si="1266"/>
        <v>1761.96039</v>
      </c>
      <c r="AJ2942" s="214">
        <f t="shared" si="1266"/>
        <v>1761.96039</v>
      </c>
      <c r="AK2942" s="214">
        <f t="shared" si="1266"/>
        <v>1761.96039</v>
      </c>
      <c r="AL2942" s="214">
        <f t="shared" si="1266"/>
        <v>1761.96039</v>
      </c>
      <c r="AM2942" s="214">
        <f t="shared" si="1266"/>
        <v>1761.96039</v>
      </c>
      <c r="AN2942" s="214">
        <f t="shared" si="1266"/>
        <v>1761.96039</v>
      </c>
      <c r="AO2942" s="214">
        <f t="shared" si="1266"/>
        <v>1761.96039</v>
      </c>
      <c r="AP2942" s="214"/>
      <c r="AQ2942" s="214"/>
      <c r="AR2942" s="214"/>
      <c r="AS2942" s="214"/>
      <c r="AT2942" s="214"/>
      <c r="AU2942" s="214"/>
      <c r="AV2942" s="214"/>
      <c r="AW2942" s="214"/>
      <c r="AX2942" s="214"/>
      <c r="AY2942" s="214"/>
      <c r="AZ2942" s="214"/>
      <c r="BA2942" s="214"/>
      <c r="BB2942" s="214"/>
      <c r="BC2942" s="214"/>
      <c r="BD2942" s="214"/>
      <c r="BE2942" s="214"/>
      <c r="BF2942" s="214"/>
      <c r="BG2942" s="214"/>
      <c r="BH2942" s="214"/>
      <c r="BI2942" s="214"/>
      <c r="BJ2942" s="214"/>
      <c r="BK2942" s="214"/>
      <c r="BL2942" s="214"/>
      <c r="BM2942" s="214"/>
      <c r="BN2942" s="214"/>
      <c r="BO2942" s="214"/>
      <c r="BP2942" s="214"/>
      <c r="BQ2942" s="214"/>
      <c r="BR2942" s="214"/>
      <c r="BS2942" s="214"/>
      <c r="BT2942" s="214"/>
      <c r="BU2942" s="214"/>
      <c r="BV2942" s="214"/>
      <c r="BW2942" s="214"/>
      <c r="BX2942" s="214"/>
      <c r="BY2942" s="214"/>
      <c r="BZ2942" s="214"/>
      <c r="CA2942" s="214"/>
      <c r="CB2942" s="214"/>
      <c r="CC2942" s="214"/>
      <c r="CD2942" s="214"/>
      <c r="CE2942" s="230"/>
      <c r="CF2942" s="230"/>
      <c r="CG2942" s="230"/>
      <c r="CH2942" s="230"/>
      <c r="CI2942" s="76" t="str">
        <f t="shared" si="1260"/>
        <v>R10IMLR</v>
      </c>
      <c r="CJ2942" s="230"/>
      <c r="CK2942" s="230"/>
      <c r="CL2942" s="230"/>
      <c r="CM2942" s="231"/>
    </row>
    <row r="2943" spans="1:91">
      <c r="A2943" s="464"/>
      <c r="B2943" s="464"/>
      <c r="C2943" s="662" t="s">
        <v>814</v>
      </c>
      <c r="D2943" s="689"/>
      <c r="E2943" s="422"/>
      <c r="F2943" s="422"/>
      <c r="G2943" s="461"/>
      <c r="H2943" s="678"/>
      <c r="I2943" s="462"/>
      <c r="J2943" s="462"/>
      <c r="K2943" s="422"/>
      <c r="L2943" s="655"/>
      <c r="M2943" s="422"/>
      <c r="N2943" s="463"/>
      <c r="O2943" s="463"/>
      <c r="P2943" s="689"/>
      <c r="Q2943" s="461"/>
      <c r="R2943" s="491"/>
      <c r="S2943" s="491"/>
      <c r="T2943" s="491"/>
      <c r="U2943" s="214">
        <f t="shared" si="1264"/>
        <v>70.105860000000007</v>
      </c>
      <c r="V2943" s="214">
        <f t="shared" si="1264"/>
        <v>-199.10727</v>
      </c>
      <c r="W2943" s="214">
        <f t="shared" si="1264"/>
        <v>0</v>
      </c>
      <c r="X2943" s="214">
        <f t="shared" si="1265"/>
        <v>-129.00140999999999</v>
      </c>
      <c r="Y2943" s="214">
        <f t="shared" si="1265"/>
        <v>70.105860000000007</v>
      </c>
      <c r="Z2943" s="214">
        <f t="shared" si="1265"/>
        <v>-199.10727</v>
      </c>
      <c r="AA2943" s="214">
        <f t="shared" si="1265"/>
        <v>0</v>
      </c>
      <c r="AB2943" s="214">
        <f t="shared" si="1265"/>
        <v>-129.00140999999999</v>
      </c>
      <c r="AC2943" s="214">
        <f t="shared" si="1265"/>
        <v>-129.00140999999999</v>
      </c>
      <c r="AD2943" s="214">
        <f t="shared" si="1265"/>
        <v>-129.00140999999999</v>
      </c>
      <c r="AE2943" s="214">
        <f t="shared" si="1265"/>
        <v>-129.00140999999999</v>
      </c>
      <c r="AF2943" s="214">
        <f t="shared" si="1265"/>
        <v>-129.00140999999999</v>
      </c>
      <c r="AG2943" s="214">
        <f t="shared" si="1265"/>
        <v>-129.00140999999999</v>
      </c>
      <c r="AH2943" s="214">
        <f t="shared" si="1266"/>
        <v>-129.00140999999999</v>
      </c>
      <c r="AI2943" s="214">
        <f t="shared" si="1266"/>
        <v>-129.00140999999999</v>
      </c>
      <c r="AJ2943" s="214">
        <f t="shared" si="1266"/>
        <v>-129.00140999999999</v>
      </c>
      <c r="AK2943" s="214">
        <f t="shared" si="1266"/>
        <v>-129.00140999999999</v>
      </c>
      <c r="AL2943" s="214">
        <f t="shared" si="1266"/>
        <v>-129.00140999999999</v>
      </c>
      <c r="AM2943" s="214">
        <f t="shared" si="1266"/>
        <v>-129.00140999999999</v>
      </c>
      <c r="AN2943" s="214">
        <f t="shared" si="1266"/>
        <v>-129.00140999999999</v>
      </c>
      <c r="AO2943" s="214">
        <f t="shared" si="1266"/>
        <v>-129.00140999999999</v>
      </c>
      <c r="AP2943" s="214"/>
      <c r="AQ2943" s="214"/>
      <c r="AR2943" s="214"/>
      <c r="AS2943" s="214"/>
      <c r="AT2943" s="214"/>
      <c r="AU2943" s="214"/>
      <c r="AV2943" s="214"/>
      <c r="AW2943" s="214"/>
      <c r="AX2943" s="214"/>
      <c r="AY2943" s="214"/>
      <c r="AZ2943" s="214"/>
      <c r="BA2943" s="214"/>
      <c r="BB2943" s="214"/>
      <c r="BC2943" s="214"/>
      <c r="BD2943" s="214"/>
      <c r="BE2943" s="214"/>
      <c r="BF2943" s="214"/>
      <c r="BG2943" s="214"/>
      <c r="BH2943" s="214"/>
      <c r="BI2943" s="214"/>
      <c r="BJ2943" s="214"/>
      <c r="BK2943" s="214"/>
      <c r="BL2943" s="214"/>
      <c r="BM2943" s="214"/>
      <c r="BN2943" s="214"/>
      <c r="BO2943" s="214"/>
      <c r="BP2943" s="214"/>
      <c r="BQ2943" s="214"/>
      <c r="BR2943" s="214"/>
      <c r="BS2943" s="214"/>
      <c r="BT2943" s="214"/>
      <c r="BU2943" s="214"/>
      <c r="BV2943" s="214"/>
      <c r="BW2943" s="214"/>
      <c r="BX2943" s="214"/>
      <c r="BY2943" s="214"/>
      <c r="BZ2943" s="214"/>
      <c r="CA2943" s="214"/>
      <c r="CB2943" s="214"/>
      <c r="CC2943" s="214"/>
      <c r="CD2943" s="214"/>
      <c r="CE2943" s="230"/>
      <c r="CF2943" s="230"/>
      <c r="CG2943" s="230"/>
      <c r="CH2943" s="230"/>
      <c r="CI2943" s="76" t="str">
        <f t="shared" si="1260"/>
        <v>R10IRS Audit - 1998-2001</v>
      </c>
      <c r="CJ2943" s="230"/>
      <c r="CK2943" s="230"/>
      <c r="CL2943" s="230"/>
      <c r="CM2943" s="231"/>
    </row>
    <row r="2944" spans="1:91">
      <c r="A2944" s="464"/>
      <c r="B2944" s="464"/>
      <c r="C2944" s="662" t="s">
        <v>2661</v>
      </c>
      <c r="D2944" s="689"/>
      <c r="E2944" s="422"/>
      <c r="F2944" s="422"/>
      <c r="G2944" s="461"/>
      <c r="H2944" s="678"/>
      <c r="I2944" s="462"/>
      <c r="J2944" s="462"/>
      <c r="K2944" s="422"/>
      <c r="L2944" s="655"/>
      <c r="M2944" s="422"/>
      <c r="N2944" s="463"/>
      <c r="O2944" s="463"/>
      <c r="P2944" s="689"/>
      <c r="Q2944" s="461"/>
      <c r="R2944" s="491"/>
      <c r="S2944" s="491"/>
      <c r="T2944" s="491"/>
      <c r="U2944" s="214">
        <f t="shared" si="1264"/>
        <v>0</v>
      </c>
      <c r="V2944" s="214">
        <f t="shared" si="1264"/>
        <v>0</v>
      </c>
      <c r="W2944" s="214">
        <f t="shared" si="1264"/>
        <v>0</v>
      </c>
      <c r="X2944" s="214">
        <f t="shared" si="1265"/>
        <v>0</v>
      </c>
      <c r="Y2944" s="214">
        <f t="shared" si="1265"/>
        <v>0</v>
      </c>
      <c r="Z2944" s="214">
        <f t="shared" si="1265"/>
        <v>0</v>
      </c>
      <c r="AA2944" s="214">
        <f t="shared" si="1265"/>
        <v>0</v>
      </c>
      <c r="AB2944" s="214">
        <f t="shared" si="1265"/>
        <v>0</v>
      </c>
      <c r="AC2944" s="214">
        <f t="shared" si="1265"/>
        <v>0</v>
      </c>
      <c r="AD2944" s="214">
        <f t="shared" si="1265"/>
        <v>0</v>
      </c>
      <c r="AE2944" s="214">
        <f t="shared" si="1265"/>
        <v>0</v>
      </c>
      <c r="AF2944" s="214">
        <f t="shared" si="1265"/>
        <v>0</v>
      </c>
      <c r="AG2944" s="214">
        <f t="shared" si="1265"/>
        <v>0</v>
      </c>
      <c r="AH2944" s="214">
        <f t="shared" si="1266"/>
        <v>0</v>
      </c>
      <c r="AI2944" s="214">
        <f t="shared" si="1266"/>
        <v>0</v>
      </c>
      <c r="AJ2944" s="214">
        <f t="shared" si="1266"/>
        <v>0</v>
      </c>
      <c r="AK2944" s="214">
        <f t="shared" si="1266"/>
        <v>0</v>
      </c>
      <c r="AL2944" s="214">
        <f t="shared" si="1266"/>
        <v>0</v>
      </c>
      <c r="AM2944" s="214">
        <f t="shared" si="1266"/>
        <v>0</v>
      </c>
      <c r="AN2944" s="214">
        <f t="shared" si="1266"/>
        <v>0</v>
      </c>
      <c r="AO2944" s="214">
        <f t="shared" si="1266"/>
        <v>0</v>
      </c>
      <c r="AP2944" s="214"/>
      <c r="AQ2944" s="214"/>
      <c r="AR2944" s="214"/>
      <c r="AS2944" s="214"/>
      <c r="AT2944" s="214"/>
      <c r="AU2944" s="214"/>
      <c r="AV2944" s="214"/>
      <c r="AW2944" s="214"/>
      <c r="AX2944" s="214"/>
      <c r="AY2944" s="214"/>
      <c r="AZ2944" s="214"/>
      <c r="BA2944" s="214"/>
      <c r="BB2944" s="214"/>
      <c r="BC2944" s="214"/>
      <c r="BD2944" s="214"/>
      <c r="BE2944" s="214"/>
      <c r="BF2944" s="214"/>
      <c r="BG2944" s="214"/>
      <c r="BH2944" s="214"/>
      <c r="BI2944" s="214"/>
      <c r="BJ2944" s="214"/>
      <c r="BK2944" s="214"/>
      <c r="BL2944" s="214"/>
      <c r="BM2944" s="214"/>
      <c r="BN2944" s="214"/>
      <c r="BO2944" s="214"/>
      <c r="BP2944" s="214"/>
      <c r="BQ2944" s="214"/>
      <c r="BR2944" s="214"/>
      <c r="BS2944" s="214"/>
      <c r="BT2944" s="214"/>
      <c r="BU2944" s="214"/>
      <c r="BV2944" s="214"/>
      <c r="BW2944" s="214"/>
      <c r="BX2944" s="214"/>
      <c r="BY2944" s="214"/>
      <c r="BZ2944" s="214"/>
      <c r="CA2944" s="214"/>
      <c r="CB2944" s="214"/>
      <c r="CC2944" s="214"/>
      <c r="CD2944" s="214"/>
      <c r="CE2944" s="230"/>
      <c r="CF2944" s="230"/>
      <c r="CG2944" s="230"/>
      <c r="CH2944" s="230"/>
      <c r="CI2944" s="76" t="str">
        <f t="shared" si="1260"/>
        <v>R10Loss on Reacquired Debt</v>
      </c>
      <c r="CJ2944" s="230"/>
      <c r="CK2944" s="230"/>
      <c r="CL2944" s="230"/>
      <c r="CM2944" s="231"/>
    </row>
    <row r="2945" spans="1:91">
      <c r="A2945" s="464"/>
      <c r="B2945" s="464"/>
      <c r="C2945" s="662" t="s">
        <v>1325</v>
      </c>
      <c r="D2945" s="689"/>
      <c r="E2945" s="422"/>
      <c r="F2945" s="422"/>
      <c r="G2945" s="461"/>
      <c r="H2945" s="678"/>
      <c r="I2945" s="462"/>
      <c r="J2945" s="462"/>
      <c r="K2945" s="422"/>
      <c r="L2945" s="655"/>
      <c r="M2945" s="422"/>
      <c r="N2945" s="463"/>
      <c r="O2945" s="463"/>
      <c r="P2945" s="689"/>
      <c r="Q2945" s="461"/>
      <c r="R2945" s="491"/>
      <c r="S2945" s="491"/>
      <c r="T2945" s="491"/>
      <c r="U2945" s="214">
        <f t="shared" si="1264"/>
        <v>0</v>
      </c>
      <c r="V2945" s="214">
        <f t="shared" si="1264"/>
        <v>0</v>
      </c>
      <c r="W2945" s="214">
        <f t="shared" si="1264"/>
        <v>0</v>
      </c>
      <c r="X2945" s="214">
        <f t="shared" si="1265"/>
        <v>0</v>
      </c>
      <c r="Y2945" s="214">
        <f t="shared" si="1265"/>
        <v>0</v>
      </c>
      <c r="Z2945" s="214">
        <f t="shared" si="1265"/>
        <v>0</v>
      </c>
      <c r="AA2945" s="214">
        <f t="shared" si="1265"/>
        <v>0</v>
      </c>
      <c r="AB2945" s="214">
        <f t="shared" si="1265"/>
        <v>0</v>
      </c>
      <c r="AC2945" s="214">
        <f t="shared" si="1265"/>
        <v>0</v>
      </c>
      <c r="AD2945" s="214">
        <f t="shared" si="1265"/>
        <v>0</v>
      </c>
      <c r="AE2945" s="214">
        <f t="shared" si="1265"/>
        <v>0</v>
      </c>
      <c r="AF2945" s="214">
        <f t="shared" si="1265"/>
        <v>0</v>
      </c>
      <c r="AG2945" s="214">
        <f t="shared" si="1265"/>
        <v>0</v>
      </c>
      <c r="AH2945" s="214">
        <f t="shared" si="1266"/>
        <v>0</v>
      </c>
      <c r="AI2945" s="214">
        <f t="shared" si="1266"/>
        <v>0</v>
      </c>
      <c r="AJ2945" s="214">
        <f t="shared" si="1266"/>
        <v>0</v>
      </c>
      <c r="AK2945" s="214">
        <f t="shared" si="1266"/>
        <v>0</v>
      </c>
      <c r="AL2945" s="214">
        <f t="shared" si="1266"/>
        <v>0</v>
      </c>
      <c r="AM2945" s="214">
        <f t="shared" si="1266"/>
        <v>0</v>
      </c>
      <c r="AN2945" s="214">
        <f t="shared" si="1266"/>
        <v>0</v>
      </c>
      <c r="AO2945" s="214">
        <f t="shared" si="1266"/>
        <v>0</v>
      </c>
      <c r="AP2945" s="214"/>
      <c r="AR2945" s="214"/>
      <c r="AS2945" s="214"/>
      <c r="AT2945" s="214"/>
      <c r="AU2945" s="214"/>
      <c r="AV2945" s="214"/>
      <c r="AW2945" s="214"/>
      <c r="AX2945" s="214"/>
      <c r="AY2945" s="214"/>
      <c r="AZ2945" s="214"/>
      <c r="BA2945" s="214"/>
      <c r="BB2945" s="214"/>
      <c r="BC2945" s="214"/>
      <c r="BD2945" s="214"/>
      <c r="BE2945" s="214"/>
      <c r="BF2945" s="214"/>
      <c r="BG2945" s="214"/>
      <c r="BH2945" s="214"/>
      <c r="BI2945" s="214"/>
      <c r="BJ2945" s="214"/>
      <c r="BK2945" s="214"/>
      <c r="BL2945" s="214"/>
      <c r="BM2945" s="214"/>
      <c r="BN2945" s="214"/>
      <c r="BO2945" s="214"/>
      <c r="BP2945" s="214"/>
      <c r="BQ2945" s="214"/>
      <c r="BR2945" s="214"/>
      <c r="BS2945" s="214"/>
      <c r="BT2945" s="214"/>
      <c r="BU2945" s="214"/>
      <c r="BV2945" s="214"/>
      <c r="BW2945" s="214"/>
      <c r="BX2945" s="214"/>
      <c r="BY2945" s="214"/>
      <c r="BZ2945" s="214"/>
      <c r="CA2945" s="214"/>
      <c r="CB2945" s="214"/>
      <c r="CC2945" s="214"/>
      <c r="CD2945" s="214"/>
      <c r="CE2945" s="230"/>
      <c r="CF2945" s="230"/>
      <c r="CG2945" s="230"/>
      <c r="CH2945" s="230"/>
      <c r="CI2945" s="76" t="str">
        <f t="shared" si="1260"/>
        <v>R10Major Storm Reserve</v>
      </c>
      <c r="CJ2945" s="230"/>
      <c r="CK2945" s="230"/>
      <c r="CL2945" s="230"/>
      <c r="CM2945" s="231"/>
    </row>
    <row r="2946" spans="1:91">
      <c r="A2946" s="464"/>
      <c r="B2946" s="464"/>
      <c r="C2946" s="662" t="s">
        <v>1118</v>
      </c>
      <c r="D2946" s="689"/>
      <c r="E2946" s="422"/>
      <c r="F2946" s="422"/>
      <c r="G2946" s="461"/>
      <c r="H2946" s="678"/>
      <c r="I2946" s="462"/>
      <c r="J2946" s="462"/>
      <c r="K2946" s="422"/>
      <c r="L2946" s="655"/>
      <c r="M2946" s="422"/>
      <c r="N2946" s="463"/>
      <c r="O2946" s="463"/>
      <c r="P2946" s="689"/>
      <c r="Q2946" s="461"/>
      <c r="R2946" s="491"/>
      <c r="S2946" s="491"/>
      <c r="T2946" s="491"/>
      <c r="U2946" s="214">
        <f t="shared" si="1264"/>
        <v>-9.7719999999991994E-2</v>
      </c>
      <c r="V2946" s="214">
        <f t="shared" si="1264"/>
        <v>1.0000000000000001E-15</v>
      </c>
      <c r="W2946" s="214">
        <f t="shared" si="1264"/>
        <v>0</v>
      </c>
      <c r="X2946" s="214">
        <f t="shared" si="1265"/>
        <v>-9.7719999999990995E-2</v>
      </c>
      <c r="Y2946" s="214">
        <f t="shared" si="1265"/>
        <v>0</v>
      </c>
      <c r="Z2946" s="214">
        <f t="shared" si="1265"/>
        <v>0</v>
      </c>
      <c r="AA2946" s="214">
        <f t="shared" si="1265"/>
        <v>0</v>
      </c>
      <c r="AB2946" s="214">
        <f t="shared" si="1265"/>
        <v>0</v>
      </c>
      <c r="AC2946" s="214">
        <f t="shared" si="1265"/>
        <v>6.2755134422332054E-14</v>
      </c>
      <c r="AD2946" s="214">
        <f t="shared" si="1265"/>
        <v>5.8207660913467408E-14</v>
      </c>
      <c r="AE2946" s="214">
        <f t="shared" si="1265"/>
        <v>-1.172639999999971</v>
      </c>
      <c r="AF2946" s="214">
        <f t="shared" si="1265"/>
        <v>0</v>
      </c>
      <c r="AG2946" s="214">
        <f t="shared" si="1265"/>
        <v>0</v>
      </c>
      <c r="AH2946" s="214">
        <f t="shared" si="1266"/>
        <v>0</v>
      </c>
      <c r="AI2946" s="214">
        <f t="shared" si="1266"/>
        <v>0</v>
      </c>
      <c r="AJ2946" s="214">
        <f t="shared" si="1266"/>
        <v>0</v>
      </c>
      <c r="AK2946" s="214">
        <f t="shared" si="1266"/>
        <v>0</v>
      </c>
      <c r="AL2946" s="214">
        <f t="shared" si="1266"/>
        <v>0</v>
      </c>
      <c r="AM2946" s="214">
        <f t="shared" si="1266"/>
        <v>0</v>
      </c>
      <c r="AN2946" s="214">
        <f t="shared" si="1266"/>
        <v>0</v>
      </c>
      <c r="AO2946" s="214">
        <f t="shared" si="1266"/>
        <v>0</v>
      </c>
      <c r="AP2946" s="214"/>
      <c r="AQ2946" s="214"/>
      <c r="AR2946" s="214"/>
      <c r="AS2946" s="214"/>
      <c r="AT2946" s="214"/>
      <c r="AU2946" s="214"/>
      <c r="AV2946" s="214"/>
      <c r="AW2946" s="214"/>
      <c r="AX2946" s="214"/>
      <c r="AY2946" s="214"/>
      <c r="AZ2946" s="214"/>
      <c r="BA2946" s="214"/>
      <c r="BB2946" s="214"/>
      <c r="BC2946" s="214"/>
      <c r="BD2946" s="214"/>
      <c r="BE2946" s="214"/>
      <c r="BF2946" s="214"/>
      <c r="BG2946" s="214"/>
      <c r="BH2946" s="214"/>
      <c r="BI2946" s="214"/>
      <c r="BJ2946" s="214"/>
      <c r="BK2946" s="214"/>
      <c r="BL2946" s="214"/>
      <c r="BM2946" s="214"/>
      <c r="BN2946" s="214"/>
      <c r="BO2946" s="214"/>
      <c r="BP2946" s="214"/>
      <c r="BQ2946" s="214"/>
      <c r="BR2946" s="214"/>
      <c r="BS2946" s="214"/>
      <c r="BT2946" s="214"/>
      <c r="BU2946" s="214"/>
      <c r="BV2946" s="214"/>
      <c r="BW2946" s="214"/>
      <c r="BX2946" s="214"/>
      <c r="BY2946" s="214"/>
      <c r="BZ2946" s="214"/>
      <c r="CA2946" s="214"/>
      <c r="CB2946" s="214"/>
      <c r="CC2946" s="214"/>
      <c r="CD2946" s="214"/>
      <c r="CE2946" s="230"/>
      <c r="CF2946" s="230"/>
      <c r="CG2946" s="230"/>
      <c r="CH2946" s="230"/>
      <c r="CI2946" s="76" t="str">
        <f t="shared" si="1260"/>
        <v>R10Medicare Part D</v>
      </c>
      <c r="CJ2946" s="230"/>
      <c r="CK2946" s="230"/>
      <c r="CL2946" s="230"/>
      <c r="CM2946" s="231"/>
    </row>
    <row r="2947" spans="1:91">
      <c r="A2947" s="464"/>
      <c r="B2947" s="464"/>
      <c r="C2947" s="662" t="s">
        <v>999</v>
      </c>
      <c r="D2947" s="689"/>
      <c r="E2947" s="422"/>
      <c r="F2947" s="422"/>
      <c r="G2947" s="461"/>
      <c r="H2947" s="678"/>
      <c r="I2947" s="462"/>
      <c r="J2947" s="462"/>
      <c r="K2947" s="422"/>
      <c r="L2947" s="655"/>
      <c r="M2947" s="422"/>
      <c r="N2947" s="463"/>
      <c r="O2947" s="463"/>
      <c r="P2947" s="689"/>
      <c r="Q2947" s="461"/>
      <c r="R2947" s="491"/>
      <c r="S2947" s="491"/>
      <c r="T2947" s="491"/>
      <c r="U2947" s="214">
        <f t="shared" si="1264"/>
        <v>0</v>
      </c>
      <c r="V2947" s="214">
        <f t="shared" si="1264"/>
        <v>0</v>
      </c>
      <c r="W2947" s="214">
        <f t="shared" si="1264"/>
        <v>0</v>
      </c>
      <c r="X2947" s="214">
        <f t="shared" ref="X2947:AG2953" si="1267">SUMIF($AR:$AR,$CI2947,X:X)</f>
        <v>0</v>
      </c>
      <c r="Y2947" s="214">
        <f t="shared" si="1267"/>
        <v>0</v>
      </c>
      <c r="Z2947" s="214">
        <f t="shared" si="1267"/>
        <v>0</v>
      </c>
      <c r="AA2947" s="214">
        <f t="shared" si="1267"/>
        <v>0</v>
      </c>
      <c r="AB2947" s="214">
        <f t="shared" si="1267"/>
        <v>0</v>
      </c>
      <c r="AC2947" s="214">
        <f t="shared" si="1267"/>
        <v>0</v>
      </c>
      <c r="AD2947" s="214">
        <f t="shared" si="1267"/>
        <v>0</v>
      </c>
      <c r="AE2947" s="214">
        <f t="shared" si="1267"/>
        <v>0</v>
      </c>
      <c r="AF2947" s="214">
        <f t="shared" si="1267"/>
        <v>0</v>
      </c>
      <c r="AG2947" s="214">
        <f t="shared" si="1267"/>
        <v>0</v>
      </c>
      <c r="AH2947" s="214">
        <f t="shared" ref="AH2947:AO2953" si="1268">SUMIF($AR:$AR,$CI2947,AH:AH)</f>
        <v>0</v>
      </c>
      <c r="AI2947" s="214">
        <f t="shared" si="1268"/>
        <v>0</v>
      </c>
      <c r="AJ2947" s="214">
        <f t="shared" si="1268"/>
        <v>0</v>
      </c>
      <c r="AK2947" s="214">
        <f t="shared" si="1268"/>
        <v>0</v>
      </c>
      <c r="AL2947" s="214">
        <f t="shared" si="1268"/>
        <v>0</v>
      </c>
      <c r="AM2947" s="214">
        <f t="shared" si="1268"/>
        <v>0</v>
      </c>
      <c r="AN2947" s="214">
        <f t="shared" si="1268"/>
        <v>0</v>
      </c>
      <c r="AO2947" s="214">
        <f t="shared" si="1268"/>
        <v>0</v>
      </c>
      <c r="AP2947" s="214"/>
      <c r="AQ2947" s="214"/>
      <c r="AR2947" s="214"/>
      <c r="AS2947" s="214"/>
      <c r="AT2947" s="214"/>
      <c r="AU2947" s="214"/>
      <c r="AV2947" s="214"/>
      <c r="AW2947" s="214"/>
      <c r="AX2947" s="214"/>
      <c r="AY2947" s="214"/>
      <c r="AZ2947" s="214"/>
      <c r="BA2947" s="214"/>
      <c r="BB2947" s="214"/>
      <c r="BC2947" s="214"/>
      <c r="BD2947" s="214"/>
      <c r="BE2947" s="214"/>
      <c r="BF2947" s="214"/>
      <c r="BG2947" s="214"/>
      <c r="BH2947" s="214"/>
      <c r="BI2947" s="214"/>
      <c r="BJ2947" s="214"/>
      <c r="BK2947" s="214"/>
      <c r="BL2947" s="214"/>
      <c r="BM2947" s="214"/>
      <c r="BN2947" s="214"/>
      <c r="BO2947" s="214"/>
      <c r="BP2947" s="214"/>
      <c r="BQ2947" s="214"/>
      <c r="BR2947" s="214"/>
      <c r="BS2947" s="214"/>
      <c r="BT2947" s="214"/>
      <c r="BU2947" s="214"/>
      <c r="BV2947" s="214"/>
      <c r="BW2947" s="214"/>
      <c r="BX2947" s="214"/>
      <c r="BY2947" s="214"/>
      <c r="BZ2947" s="214"/>
      <c r="CA2947" s="214"/>
      <c r="CB2947" s="214"/>
      <c r="CC2947" s="214"/>
      <c r="CD2947" s="214"/>
      <c r="CE2947" s="230"/>
      <c r="CF2947" s="230"/>
      <c r="CG2947" s="230"/>
      <c r="CH2947" s="230"/>
      <c r="CI2947" s="76" t="str">
        <f t="shared" si="1260"/>
        <v>R10Mendon Heater</v>
      </c>
      <c r="CJ2947" s="230"/>
      <c r="CK2947" s="230"/>
      <c r="CL2947" s="230"/>
      <c r="CM2947" s="231"/>
    </row>
    <row r="2948" spans="1:91">
      <c r="A2948" s="464"/>
      <c r="B2948" s="464"/>
      <c r="C2948" s="662" t="s">
        <v>1234</v>
      </c>
      <c r="D2948" s="689"/>
      <c r="E2948" s="422"/>
      <c r="F2948" s="422"/>
      <c r="G2948" s="461"/>
      <c r="H2948" s="678"/>
      <c r="I2948" s="462"/>
      <c r="J2948" s="462"/>
      <c r="K2948" s="422"/>
      <c r="L2948" s="655"/>
      <c r="M2948" s="422"/>
      <c r="N2948" s="463"/>
      <c r="O2948" s="463"/>
      <c r="P2948" s="689"/>
      <c r="Q2948" s="461"/>
      <c r="R2948" s="491"/>
      <c r="S2948" s="491"/>
      <c r="T2948" s="491"/>
      <c r="U2948" s="214">
        <f t="shared" ref="U2948:W2967" si="1269">SUMIF($AR:$AR,$CI2948,U:U)</f>
        <v>0</v>
      </c>
      <c r="V2948" s="214">
        <f t="shared" si="1269"/>
        <v>-1613.4326600000034</v>
      </c>
      <c r="W2948" s="214">
        <f t="shared" si="1269"/>
        <v>0</v>
      </c>
      <c r="X2948" s="214">
        <f t="shared" si="1267"/>
        <v>-1613.4326600000034</v>
      </c>
      <c r="Y2948" s="214">
        <f t="shared" si="1267"/>
        <v>0</v>
      </c>
      <c r="Z2948" s="214">
        <f t="shared" si="1267"/>
        <v>-543.29597000000024</v>
      </c>
      <c r="AA2948" s="214">
        <f t="shared" si="1267"/>
        <v>0</v>
      </c>
      <c r="AB2948" s="214">
        <f t="shared" si="1267"/>
        <v>-543.29597000000001</v>
      </c>
      <c r="AC2948" s="214">
        <f t="shared" si="1267"/>
        <v>-1083.3912300000002</v>
      </c>
      <c r="AD2948" s="214">
        <f t="shared" si="1267"/>
        <v>-1788.5324200000002</v>
      </c>
      <c r="AE2948" s="214">
        <f t="shared" si="1267"/>
        <v>-2325.4352700000004</v>
      </c>
      <c r="AF2948" s="214">
        <f t="shared" si="1267"/>
        <v>-2827.2247300000004</v>
      </c>
      <c r="AG2948" s="214">
        <f t="shared" si="1267"/>
        <v>-2787.0518900000006</v>
      </c>
      <c r="AH2948" s="214">
        <f t="shared" si="1268"/>
        <v>-2472.2089600000004</v>
      </c>
      <c r="AI2948" s="214">
        <f t="shared" si="1268"/>
        <v>-2056.4605100000003</v>
      </c>
      <c r="AJ2948" s="214">
        <f t="shared" si="1268"/>
        <v>-1619.5865300000003</v>
      </c>
      <c r="AK2948" s="214">
        <f t="shared" si="1268"/>
        <v>-1132.8987500000003</v>
      </c>
      <c r="AL2948" s="214">
        <f t="shared" si="1268"/>
        <v>-700.05812000000026</v>
      </c>
      <c r="AM2948" s="214">
        <f t="shared" si="1268"/>
        <v>-382.27836000000002</v>
      </c>
      <c r="AN2948" s="214">
        <f t="shared" si="1268"/>
        <v>-456.11278000000004</v>
      </c>
      <c r="AO2948" s="214">
        <f t="shared" si="1268"/>
        <v>-543.29597000000001</v>
      </c>
      <c r="AP2948" s="214"/>
      <c r="AQ2948" s="214"/>
      <c r="AR2948" s="214"/>
      <c r="AS2948" s="214"/>
      <c r="AT2948" s="214"/>
      <c r="AU2948" s="214"/>
      <c r="AV2948" s="214"/>
      <c r="AW2948" s="214"/>
      <c r="AX2948" s="214"/>
      <c r="AY2948" s="214"/>
      <c r="AZ2948" s="214"/>
      <c r="BA2948" s="214"/>
      <c r="BB2948" s="214"/>
      <c r="BC2948" s="214"/>
      <c r="BD2948" s="214"/>
      <c r="BE2948" s="214"/>
      <c r="BF2948" s="214"/>
      <c r="BG2948" s="214"/>
      <c r="BH2948" s="214"/>
      <c r="BI2948" s="214"/>
      <c r="BJ2948" s="214"/>
      <c r="BK2948" s="214"/>
      <c r="BL2948" s="214"/>
      <c r="BM2948" s="214"/>
      <c r="BN2948" s="214"/>
      <c r="BO2948" s="214"/>
      <c r="BP2948" s="214"/>
      <c r="BQ2948" s="214"/>
      <c r="BR2948" s="214"/>
      <c r="BS2948" s="214"/>
      <c r="BT2948" s="214"/>
      <c r="BU2948" s="214"/>
      <c r="BV2948" s="214"/>
      <c r="BW2948" s="214"/>
      <c r="BX2948" s="214"/>
      <c r="BY2948" s="214"/>
      <c r="BZ2948" s="214"/>
      <c r="CA2948" s="214"/>
      <c r="CB2948" s="214"/>
      <c r="CC2948" s="214"/>
      <c r="CD2948" s="214"/>
      <c r="CE2948" s="230"/>
      <c r="CF2948" s="230"/>
      <c r="CG2948" s="230"/>
      <c r="CH2948" s="230"/>
      <c r="CI2948" s="76" t="str">
        <f t="shared" si="1260"/>
        <v>R10Merchant Function Charge-Gas</v>
      </c>
      <c r="CJ2948" s="230"/>
      <c r="CK2948" s="230"/>
      <c r="CL2948" s="230"/>
      <c r="CM2948" s="231"/>
    </row>
    <row r="2949" spans="1:91">
      <c r="A2949" s="464"/>
      <c r="B2949" s="464"/>
      <c r="C2949" s="662" t="s">
        <v>1141</v>
      </c>
      <c r="D2949" s="689"/>
      <c r="E2949" s="422"/>
      <c r="F2949" s="422"/>
      <c r="G2949" s="461"/>
      <c r="H2949" s="678"/>
      <c r="I2949" s="462"/>
      <c r="J2949" s="462"/>
      <c r="K2949" s="422"/>
      <c r="L2949" s="655"/>
      <c r="M2949" s="422"/>
      <c r="N2949" s="463"/>
      <c r="O2949" s="463"/>
      <c r="P2949" s="689"/>
      <c r="Q2949" s="461"/>
      <c r="R2949" s="491"/>
      <c r="S2949" s="491"/>
      <c r="T2949" s="491"/>
      <c r="U2949" s="214">
        <f t="shared" si="1269"/>
        <v>-4721.5901029166334</v>
      </c>
      <c r="V2949" s="214">
        <f t="shared" si="1269"/>
        <v>0</v>
      </c>
      <c r="W2949" s="214">
        <f t="shared" si="1269"/>
        <v>0</v>
      </c>
      <c r="X2949" s="214">
        <f t="shared" si="1267"/>
        <v>-4721.5901029166334</v>
      </c>
      <c r="Y2949" s="214">
        <f t="shared" si="1267"/>
        <v>-927.57555999999977</v>
      </c>
      <c r="Z2949" s="214">
        <f t="shared" si="1267"/>
        <v>0</v>
      </c>
      <c r="AA2949" s="214">
        <f t="shared" si="1267"/>
        <v>0</v>
      </c>
      <c r="AB2949" s="214">
        <f t="shared" si="1267"/>
        <v>-927.57555999999931</v>
      </c>
      <c r="AC2949" s="214">
        <f t="shared" si="1267"/>
        <v>589.35151000000064</v>
      </c>
      <c r="AD2949" s="214">
        <f t="shared" si="1267"/>
        <v>-11159.16678</v>
      </c>
      <c r="AE2949" s="214">
        <f t="shared" si="1267"/>
        <v>-13046.229649999994</v>
      </c>
      <c r="AF2949" s="214">
        <f t="shared" si="1267"/>
        <v>-18226.450100000002</v>
      </c>
      <c r="AG2949" s="214">
        <f t="shared" si="1267"/>
        <v>-2999.1529599999994</v>
      </c>
      <c r="AH2949" s="214">
        <f t="shared" si="1268"/>
        <v>-5366.1693400000022</v>
      </c>
      <c r="AI2949" s="214">
        <f t="shared" si="1268"/>
        <v>-2157.5265299999996</v>
      </c>
      <c r="AJ2949" s="214">
        <f t="shared" si="1268"/>
        <v>-2841.3483000000001</v>
      </c>
      <c r="AK2949" s="214">
        <f t="shared" si="1268"/>
        <v>-494.27363999999943</v>
      </c>
      <c r="AL2949" s="214">
        <f t="shared" si="1268"/>
        <v>-1566.4298399999996</v>
      </c>
      <c r="AM2949" s="214">
        <f t="shared" si="1268"/>
        <v>690.11232000000007</v>
      </c>
      <c r="AN2949" s="214">
        <f t="shared" si="1268"/>
        <v>676.66561000000115</v>
      </c>
      <c r="AO2949" s="214">
        <f t="shared" si="1268"/>
        <v>-927.57555999999931</v>
      </c>
      <c r="AP2949" s="214"/>
      <c r="AQ2949" s="796"/>
      <c r="AR2949" s="214"/>
      <c r="AS2949" s="214"/>
      <c r="AT2949" s="214"/>
      <c r="AU2949" s="214"/>
      <c r="AV2949" s="214"/>
      <c r="AW2949" s="214"/>
      <c r="AX2949" s="214"/>
      <c r="AY2949" s="214"/>
      <c r="AZ2949" s="214"/>
      <c r="BA2949" s="214"/>
      <c r="BB2949" s="214"/>
      <c r="BC2949" s="214"/>
      <c r="BD2949" s="214"/>
      <c r="BE2949" s="214"/>
      <c r="BF2949" s="214"/>
      <c r="BG2949" s="214"/>
      <c r="BH2949" s="214"/>
      <c r="BI2949" s="214"/>
      <c r="BJ2949" s="214"/>
      <c r="BK2949" s="214"/>
      <c r="BL2949" s="214"/>
      <c r="BM2949" s="214"/>
      <c r="BN2949" s="214"/>
      <c r="BO2949" s="214"/>
      <c r="BP2949" s="214"/>
      <c r="BQ2949" s="214"/>
      <c r="BR2949" s="214"/>
      <c r="BS2949" s="214"/>
      <c r="BT2949" s="214"/>
      <c r="BU2949" s="214"/>
      <c r="BV2949" s="214"/>
      <c r="BW2949" s="214"/>
      <c r="BX2949" s="214"/>
      <c r="BY2949" s="214"/>
      <c r="BZ2949" s="214"/>
      <c r="CA2949" s="214"/>
      <c r="CB2949" s="214"/>
      <c r="CC2949" s="214"/>
      <c r="CD2949" s="214"/>
      <c r="CE2949" s="230"/>
      <c r="CF2949" s="230"/>
      <c r="CG2949" s="230"/>
      <c r="CH2949" s="230"/>
      <c r="CI2949" s="76" t="str">
        <f t="shared" si="1260"/>
        <v>R10NBC True-up</v>
      </c>
      <c r="CJ2949" s="230"/>
      <c r="CK2949" s="230"/>
      <c r="CL2949" s="230"/>
      <c r="CM2949" s="231"/>
    </row>
    <row r="2950" spans="1:91">
      <c r="A2950" s="464"/>
      <c r="B2950" s="464"/>
      <c r="C2950" s="662" t="s">
        <v>2541</v>
      </c>
      <c r="D2950" s="689"/>
      <c r="E2950" s="422"/>
      <c r="F2950" s="422"/>
      <c r="G2950" s="461"/>
      <c r="H2950" s="678"/>
      <c r="I2950" s="462"/>
      <c r="J2950" s="462"/>
      <c r="K2950" s="422"/>
      <c r="L2950" s="655"/>
      <c r="M2950" s="422"/>
      <c r="N2950" s="463"/>
      <c r="O2950" s="463"/>
      <c r="P2950" s="689"/>
      <c r="Q2950" s="461"/>
      <c r="R2950" s="491"/>
      <c r="S2950" s="491"/>
      <c r="T2950" s="491"/>
      <c r="U2950" s="214">
        <f t="shared" si="1269"/>
        <v>61284.696218245001</v>
      </c>
      <c r="V2950" s="214">
        <f t="shared" si="1269"/>
        <v>21364.927811754998</v>
      </c>
      <c r="W2950" s="214">
        <f t="shared" si="1269"/>
        <v>0</v>
      </c>
      <c r="X2950" s="214">
        <f t="shared" si="1267"/>
        <v>82649.624029999992</v>
      </c>
      <c r="Y2950" s="214">
        <f t="shared" si="1267"/>
        <v>59146.343717905002</v>
      </c>
      <c r="Z2950" s="214">
        <f t="shared" si="1267"/>
        <v>20619.460352095</v>
      </c>
      <c r="AA2950" s="214">
        <f t="shared" si="1267"/>
        <v>0</v>
      </c>
      <c r="AB2950" s="214">
        <f t="shared" si="1267"/>
        <v>79765.804069999998</v>
      </c>
      <c r="AC2950" s="214">
        <f t="shared" si="1267"/>
        <v>85533.44399</v>
      </c>
      <c r="AD2950" s="214">
        <f t="shared" si="1267"/>
        <v>85052.807329999996</v>
      </c>
      <c r="AE2950" s="214">
        <f t="shared" si="1267"/>
        <v>84572.170670000007</v>
      </c>
      <c r="AF2950" s="214">
        <f t="shared" si="1267"/>
        <v>84091.534010000003</v>
      </c>
      <c r="AG2950" s="214">
        <f t="shared" si="1267"/>
        <v>83610.897349999999</v>
      </c>
      <c r="AH2950" s="214">
        <f t="shared" si="1268"/>
        <v>83130.260689999996</v>
      </c>
      <c r="AI2950" s="214">
        <f t="shared" si="1268"/>
        <v>82649.624030000006</v>
      </c>
      <c r="AJ2950" s="214">
        <f t="shared" si="1268"/>
        <v>82168.987370000003</v>
      </c>
      <c r="AK2950" s="214">
        <f t="shared" si="1268"/>
        <v>81688.350709999999</v>
      </c>
      <c r="AL2950" s="214">
        <f t="shared" si="1268"/>
        <v>81207.714049999995</v>
      </c>
      <c r="AM2950" s="214">
        <f t="shared" si="1268"/>
        <v>80727.077390000006</v>
      </c>
      <c r="AN2950" s="214">
        <f t="shared" si="1268"/>
        <v>80246.440730000002</v>
      </c>
      <c r="AO2950" s="214">
        <f t="shared" si="1268"/>
        <v>79765.804069999998</v>
      </c>
      <c r="AP2950" s="214"/>
      <c r="AR2950" s="214"/>
      <c r="AS2950" s="214"/>
      <c r="AT2950" s="214"/>
      <c r="AU2950" s="214"/>
      <c r="AV2950" s="214"/>
      <c r="AW2950" s="214"/>
      <c r="AX2950" s="214"/>
      <c r="AY2950" s="214"/>
      <c r="AZ2950" s="214"/>
      <c r="BA2950" s="214"/>
      <c r="BB2950" s="214"/>
      <c r="BC2950" s="214"/>
      <c r="BD2950" s="214"/>
      <c r="BE2950" s="214"/>
      <c r="BF2950" s="214"/>
      <c r="BG2950" s="214"/>
      <c r="BH2950" s="214"/>
      <c r="BI2950" s="214"/>
      <c r="BJ2950" s="214"/>
      <c r="BK2950" s="214"/>
      <c r="BL2950" s="214"/>
      <c r="BM2950" s="214"/>
      <c r="BN2950" s="214"/>
      <c r="BO2950" s="214"/>
      <c r="BP2950" s="214"/>
      <c r="BQ2950" s="214"/>
      <c r="BR2950" s="214"/>
      <c r="BS2950" s="214"/>
      <c r="BT2950" s="214"/>
      <c r="BU2950" s="214"/>
      <c r="BV2950" s="214"/>
      <c r="BW2950" s="214"/>
      <c r="BX2950" s="214"/>
      <c r="BY2950" s="214"/>
      <c r="BZ2950" s="214"/>
      <c r="CA2950" s="214"/>
      <c r="CB2950" s="214"/>
      <c r="CC2950" s="214"/>
      <c r="CD2950" s="214"/>
      <c r="CE2950" s="230"/>
      <c r="CF2950" s="230"/>
      <c r="CG2950" s="230"/>
      <c r="CH2950" s="230"/>
      <c r="CI2950" s="76" t="str">
        <f t="shared" si="1260"/>
        <v>R10Net (Gains) &amp; Losses on Hedges</v>
      </c>
      <c r="CJ2950" s="230"/>
      <c r="CK2950" s="230"/>
      <c r="CL2950" s="230"/>
      <c r="CM2950" s="231"/>
    </row>
    <row r="2951" spans="1:91">
      <c r="A2951" s="464"/>
      <c r="B2951" s="464"/>
      <c r="C2951" s="662" t="s">
        <v>4103</v>
      </c>
      <c r="D2951" s="689"/>
      <c r="E2951" s="422"/>
      <c r="F2951" s="422"/>
      <c r="G2951" s="461"/>
      <c r="H2951" s="678"/>
      <c r="I2951" s="462"/>
      <c r="J2951" s="462"/>
      <c r="K2951" s="422"/>
      <c r="L2951" s="655"/>
      <c r="M2951" s="422"/>
      <c r="N2951" s="463"/>
      <c r="O2951" s="463"/>
      <c r="P2951" s="689"/>
      <c r="Q2951" s="461"/>
      <c r="R2951" s="491"/>
      <c r="S2951" s="491"/>
      <c r="T2951" s="491"/>
      <c r="U2951" s="214">
        <f t="shared" si="1269"/>
        <v>-9653.4120000000003</v>
      </c>
      <c r="V2951" s="214">
        <f t="shared" si="1269"/>
        <v>-66.809010000000001</v>
      </c>
      <c r="W2951" s="214">
        <f t="shared" si="1269"/>
        <v>0</v>
      </c>
      <c r="X2951" s="214">
        <f t="shared" si="1267"/>
        <v>-9720.2210100000011</v>
      </c>
      <c r="Y2951" s="214">
        <f t="shared" si="1267"/>
        <v>-9653.4120000000003</v>
      </c>
      <c r="Z2951" s="214">
        <f t="shared" si="1267"/>
        <v>-66.809010000000001</v>
      </c>
      <c r="AA2951" s="214">
        <f t="shared" si="1267"/>
        <v>0</v>
      </c>
      <c r="AB2951" s="214">
        <f t="shared" si="1267"/>
        <v>-9720.2210100000011</v>
      </c>
      <c r="AC2951" s="214">
        <f t="shared" si="1267"/>
        <v>-9720.2210100000011</v>
      </c>
      <c r="AD2951" s="214">
        <f t="shared" si="1267"/>
        <v>-9720.2210100000011</v>
      </c>
      <c r="AE2951" s="214">
        <f t="shared" si="1267"/>
        <v>-9720.2210100000011</v>
      </c>
      <c r="AF2951" s="214">
        <f t="shared" si="1267"/>
        <v>-9720.2210100000011</v>
      </c>
      <c r="AG2951" s="214">
        <f t="shared" si="1267"/>
        <v>-9720.2210100000011</v>
      </c>
      <c r="AH2951" s="214">
        <f t="shared" si="1268"/>
        <v>-9720.2210100000011</v>
      </c>
      <c r="AI2951" s="214">
        <f t="shared" si="1268"/>
        <v>-9720.2210100000011</v>
      </c>
      <c r="AJ2951" s="214">
        <f t="shared" si="1268"/>
        <v>-9720.2210100000011</v>
      </c>
      <c r="AK2951" s="214">
        <f t="shared" si="1268"/>
        <v>-9720.2210100000011</v>
      </c>
      <c r="AL2951" s="214">
        <f t="shared" si="1268"/>
        <v>-9720.2210100000011</v>
      </c>
      <c r="AM2951" s="214">
        <f t="shared" si="1268"/>
        <v>-9720.2210100000011</v>
      </c>
      <c r="AN2951" s="214">
        <f t="shared" si="1268"/>
        <v>-9720.2210100000011</v>
      </c>
      <c r="AO2951" s="214">
        <f t="shared" si="1268"/>
        <v>-9720.2210100000011</v>
      </c>
      <c r="AP2951" s="214"/>
      <c r="AQ2951" s="214"/>
      <c r="AR2951" s="214"/>
      <c r="AS2951" s="214"/>
      <c r="AT2951" s="214"/>
      <c r="AU2951" s="214"/>
      <c r="AV2951" s="214"/>
      <c r="AW2951" s="214"/>
      <c r="AX2951" s="214"/>
      <c r="AY2951" s="214"/>
      <c r="AZ2951" s="214"/>
      <c r="BA2951" s="214"/>
      <c r="BB2951" s="214"/>
      <c r="BC2951" s="214"/>
      <c r="BD2951" s="214"/>
      <c r="BE2951" s="214"/>
      <c r="BF2951" s="214"/>
      <c r="BG2951" s="214"/>
      <c r="BH2951" s="214"/>
      <c r="BI2951" s="214"/>
      <c r="BJ2951" s="214"/>
      <c r="BK2951" s="214"/>
      <c r="BL2951" s="214"/>
      <c r="BM2951" s="214"/>
      <c r="BN2951" s="214"/>
      <c r="BO2951" s="214"/>
      <c r="BP2951" s="214"/>
      <c r="BQ2951" s="214"/>
      <c r="BR2951" s="214"/>
      <c r="BS2951" s="214"/>
      <c r="BT2951" s="214"/>
      <c r="BU2951" s="214"/>
      <c r="BV2951" s="214"/>
      <c r="BW2951" s="214"/>
      <c r="BX2951" s="214"/>
      <c r="BY2951" s="214"/>
      <c r="BZ2951" s="214"/>
      <c r="CA2951" s="214"/>
      <c r="CB2951" s="214"/>
      <c r="CC2951" s="214"/>
      <c r="CD2951" s="214"/>
      <c r="CE2951" s="230"/>
      <c r="CF2951" s="230"/>
      <c r="CG2951" s="230"/>
      <c r="CH2951" s="230"/>
      <c r="CI2951" s="76" t="str">
        <f t="shared" si="1260"/>
        <v>R10Net Plant Reconciliation</v>
      </c>
      <c r="CJ2951" s="230"/>
      <c r="CK2951" s="230"/>
      <c r="CL2951" s="230"/>
      <c r="CM2951" s="231"/>
    </row>
    <row r="2952" spans="1:91" s="41" customFormat="1">
      <c r="A2952" s="1009"/>
      <c r="B2952" s="1009"/>
      <c r="C2952" s="1010" t="s">
        <v>1144</v>
      </c>
      <c r="D2952" s="1011"/>
      <c r="E2952" s="1012"/>
      <c r="F2952" s="1012"/>
      <c r="G2952" s="1013"/>
      <c r="H2952" s="1014"/>
      <c r="I2952" s="1015"/>
      <c r="J2952" s="1015"/>
      <c r="K2952" s="1012"/>
      <c r="L2952" s="1016"/>
      <c r="M2952" s="1012"/>
      <c r="N2952" s="1017"/>
      <c r="O2952" s="1017"/>
      <c r="P2952" s="1011"/>
      <c r="Q2952" s="1013"/>
      <c r="R2952" s="1018"/>
      <c r="S2952" s="1018"/>
      <c r="T2952" s="1018"/>
      <c r="U2952" s="165">
        <f t="shared" si="1269"/>
        <v>1.72E-13</v>
      </c>
      <c r="V2952" s="165">
        <f t="shared" si="1269"/>
        <v>0</v>
      </c>
      <c r="W2952" s="165">
        <f t="shared" si="1269"/>
        <v>0</v>
      </c>
      <c r="X2952" s="165">
        <f t="shared" si="1267"/>
        <v>1.72E-13</v>
      </c>
      <c r="Y2952" s="165">
        <f t="shared" si="1267"/>
        <v>0</v>
      </c>
      <c r="Z2952" s="165">
        <f t="shared" si="1267"/>
        <v>0</v>
      </c>
      <c r="AA2952" s="165">
        <f t="shared" si="1267"/>
        <v>0</v>
      </c>
      <c r="AB2952" s="165">
        <f t="shared" si="1267"/>
        <v>0</v>
      </c>
      <c r="AC2952" s="165">
        <f t="shared" si="1267"/>
        <v>4.1327439248561855E-12</v>
      </c>
      <c r="AD2952" s="165">
        <f t="shared" si="1267"/>
        <v>0</v>
      </c>
      <c r="AE2952" s="165">
        <f t="shared" si="1267"/>
        <v>0</v>
      </c>
      <c r="AF2952" s="165">
        <f t="shared" si="1267"/>
        <v>0</v>
      </c>
      <c r="AG2952" s="165">
        <f t="shared" si="1267"/>
        <v>0</v>
      </c>
      <c r="AH2952" s="165">
        <f t="shared" si="1268"/>
        <v>0</v>
      </c>
      <c r="AI2952" s="165">
        <f t="shared" si="1268"/>
        <v>0</v>
      </c>
      <c r="AJ2952" s="165">
        <f t="shared" si="1268"/>
        <v>0</v>
      </c>
      <c r="AK2952" s="165">
        <f t="shared" si="1268"/>
        <v>0</v>
      </c>
      <c r="AL2952" s="165">
        <f t="shared" si="1268"/>
        <v>0</v>
      </c>
      <c r="AM2952" s="165">
        <f t="shared" si="1268"/>
        <v>0</v>
      </c>
      <c r="AN2952" s="165">
        <f t="shared" si="1268"/>
        <v>0</v>
      </c>
      <c r="AO2952" s="165">
        <f t="shared" si="1268"/>
        <v>0</v>
      </c>
      <c r="AP2952" s="165"/>
      <c r="AQ2952" s="165"/>
      <c r="AR2952" s="165"/>
      <c r="AS2952" s="165"/>
      <c r="AT2952" s="165"/>
      <c r="AU2952" s="165"/>
      <c r="AV2952" s="165"/>
      <c r="AW2952" s="165"/>
      <c r="AX2952" s="165"/>
      <c r="AY2952" s="165"/>
      <c r="AZ2952" s="165"/>
      <c r="BA2952" s="165"/>
      <c r="BB2952" s="165"/>
      <c r="BC2952" s="165"/>
      <c r="BD2952" s="165"/>
      <c r="BE2952" s="165"/>
      <c r="BF2952" s="165"/>
      <c r="BG2952" s="165"/>
      <c r="BH2952" s="165"/>
      <c r="BI2952" s="165"/>
      <c r="BJ2952" s="165"/>
      <c r="BK2952" s="165"/>
      <c r="BL2952" s="165"/>
      <c r="BM2952" s="165"/>
      <c r="BN2952" s="165"/>
      <c r="BO2952" s="165"/>
      <c r="BP2952" s="165"/>
      <c r="BQ2952" s="165"/>
      <c r="BR2952" s="165"/>
      <c r="BS2952" s="165"/>
      <c r="BT2952" s="165"/>
      <c r="BU2952" s="165"/>
      <c r="BV2952" s="165"/>
      <c r="BW2952" s="165"/>
      <c r="BX2952" s="165"/>
      <c r="BY2952" s="165"/>
      <c r="BZ2952" s="165"/>
      <c r="CA2952" s="165"/>
      <c r="CB2952" s="165"/>
      <c r="CC2952" s="165"/>
      <c r="CD2952" s="165"/>
      <c r="CE2952" s="1019"/>
      <c r="CF2952" s="1019"/>
      <c r="CG2952" s="1019"/>
      <c r="CH2952" s="1019"/>
      <c r="CI2952" s="76" t="str">
        <f t="shared" si="1260"/>
        <v>R10Nine Mile Mirror CWIP</v>
      </c>
      <c r="CJ2952" s="1019"/>
      <c r="CK2952" s="1019"/>
      <c r="CL2952" s="1019"/>
      <c r="CM2952" s="1020"/>
    </row>
    <row r="2953" spans="1:91" s="41" customFormat="1">
      <c r="A2953" s="1009"/>
      <c r="B2953" s="1009"/>
      <c r="C2953" s="1010" t="s">
        <v>1145</v>
      </c>
      <c r="D2953" s="1011"/>
      <c r="E2953" s="1012"/>
      <c r="F2953" s="1012"/>
      <c r="G2953" s="1013"/>
      <c r="H2953" s="1014"/>
      <c r="I2953" s="1015"/>
      <c r="J2953" s="1015"/>
      <c r="K2953" s="1012"/>
      <c r="L2953" s="1016"/>
      <c r="M2953" s="1012"/>
      <c r="N2953" s="1017"/>
      <c r="O2953" s="1017"/>
      <c r="P2953" s="1011"/>
      <c r="Q2953" s="1013"/>
      <c r="R2953" s="1018"/>
      <c r="S2953" s="1018"/>
      <c r="T2953" s="1018"/>
      <c r="U2953" s="165">
        <f t="shared" si="1269"/>
        <v>-4711.5450595833299</v>
      </c>
      <c r="V2953" s="165">
        <f t="shared" si="1269"/>
        <v>0</v>
      </c>
      <c r="W2953" s="165">
        <f t="shared" si="1269"/>
        <v>0</v>
      </c>
      <c r="X2953" s="165">
        <f t="shared" si="1267"/>
        <v>-4711.5450595833299</v>
      </c>
      <c r="Y2953" s="165">
        <f t="shared" si="1267"/>
        <v>0</v>
      </c>
      <c r="Z2953" s="165">
        <f t="shared" si="1267"/>
        <v>0</v>
      </c>
      <c r="AA2953" s="165">
        <f t="shared" si="1267"/>
        <v>0</v>
      </c>
      <c r="AB2953" s="165">
        <f t="shared" si="1267"/>
        <v>0</v>
      </c>
      <c r="AC2953" s="165">
        <f t="shared" si="1267"/>
        <v>-7650.0721299999996</v>
      </c>
      <c r="AD2953" s="165">
        <f t="shared" si="1267"/>
        <v>-9127.7577300000012</v>
      </c>
      <c r="AE2953" s="165">
        <f t="shared" si="1267"/>
        <v>-10484.842530000002</v>
      </c>
      <c r="AF2953" s="165">
        <f t="shared" si="1267"/>
        <v>-10922.802530000001</v>
      </c>
      <c r="AG2953" s="165">
        <f t="shared" si="1267"/>
        <v>-11077.606330000002</v>
      </c>
      <c r="AH2953" s="165">
        <f t="shared" si="1268"/>
        <v>-11100.495530000002</v>
      </c>
      <c r="AI2953" s="165">
        <f t="shared" si="1268"/>
        <v>0</v>
      </c>
      <c r="AJ2953" s="165">
        <f t="shared" si="1268"/>
        <v>0</v>
      </c>
      <c r="AK2953" s="165">
        <f t="shared" si="1268"/>
        <v>0</v>
      </c>
      <c r="AL2953" s="165">
        <f t="shared" si="1268"/>
        <v>0</v>
      </c>
      <c r="AM2953" s="165">
        <f t="shared" si="1268"/>
        <v>0</v>
      </c>
      <c r="AN2953" s="165">
        <f t="shared" si="1268"/>
        <v>0</v>
      </c>
      <c r="AO2953" s="165">
        <f t="shared" si="1268"/>
        <v>0</v>
      </c>
      <c r="AP2953" s="165"/>
      <c r="AQ2953" s="165"/>
      <c r="AR2953" s="165"/>
      <c r="AS2953" s="165"/>
      <c r="AT2953" s="165"/>
      <c r="AU2953" s="165"/>
      <c r="AV2953" s="165"/>
      <c r="AW2953" s="165"/>
      <c r="AX2953" s="165"/>
      <c r="AY2953" s="165"/>
      <c r="AZ2953" s="165"/>
      <c r="BA2953" s="165"/>
      <c r="BB2953" s="165"/>
      <c r="BC2953" s="165"/>
      <c r="BD2953" s="165"/>
      <c r="BE2953" s="165"/>
      <c r="BF2953" s="165"/>
      <c r="BG2953" s="165"/>
      <c r="BH2953" s="165"/>
      <c r="BI2953" s="165"/>
      <c r="BJ2953" s="165"/>
      <c r="BK2953" s="165"/>
      <c r="BL2953" s="165"/>
      <c r="BM2953" s="165"/>
      <c r="BN2953" s="165"/>
      <c r="BO2953" s="165"/>
      <c r="BP2953" s="165"/>
      <c r="BQ2953" s="165"/>
      <c r="BR2953" s="165"/>
      <c r="BS2953" s="165"/>
      <c r="BT2953" s="165"/>
      <c r="BU2953" s="165"/>
      <c r="BV2953" s="165"/>
      <c r="BW2953" s="165"/>
      <c r="BX2953" s="165"/>
      <c r="BY2953" s="165"/>
      <c r="BZ2953" s="165"/>
      <c r="CA2953" s="165"/>
      <c r="CB2953" s="165"/>
      <c r="CC2953" s="165"/>
      <c r="CD2953" s="165"/>
      <c r="CE2953" s="1019"/>
      <c r="CF2953" s="1019"/>
      <c r="CG2953" s="1019"/>
      <c r="CH2953" s="1019"/>
      <c r="CI2953" s="76" t="str">
        <f t="shared" si="1260"/>
        <v>R10NM2 Sale</v>
      </c>
      <c r="CJ2953" s="1019"/>
      <c r="CK2953" s="1019"/>
      <c r="CL2953" s="1019"/>
      <c r="CM2953" s="1020"/>
    </row>
    <row r="2954" spans="1:91" s="41" customFormat="1">
      <c r="A2954" s="1009"/>
      <c r="B2954" s="1009"/>
      <c r="C2954" s="1010" t="s">
        <v>4456</v>
      </c>
      <c r="D2954" s="1011"/>
      <c r="E2954" s="1012"/>
      <c r="F2954" s="1012"/>
      <c r="G2954" s="1013"/>
      <c r="H2954" s="1014"/>
      <c r="I2954" s="1015"/>
      <c r="J2954" s="1015"/>
      <c r="K2954" s="1012"/>
      <c r="L2954" s="1016"/>
      <c r="M2954" s="1012"/>
      <c r="N2954" s="1017"/>
      <c r="O2954" s="1017"/>
      <c r="P2954" s="1011"/>
      <c r="Q2954" s="1013"/>
      <c r="R2954" s="1018"/>
      <c r="S2954" s="1018"/>
      <c r="T2954" s="1018"/>
      <c r="U2954" s="165">
        <f t="shared" si="1269"/>
        <v>-6094.816808333333</v>
      </c>
      <c r="V2954" s="165">
        <f t="shared" si="1269"/>
        <v>0</v>
      </c>
      <c r="W2954" s="165">
        <f t="shared" si="1269"/>
        <v>0</v>
      </c>
      <c r="X2954" s="165">
        <f t="shared" ref="X2954:AB2963" si="1270">SUMIF($AR:$AR,$CI2954,X:X)</f>
        <v>-6094.816808333333</v>
      </c>
      <c r="Y2954" s="165">
        <f t="shared" si="1270"/>
        <v>-11472.261</v>
      </c>
      <c r="Z2954" s="165">
        <f t="shared" si="1270"/>
        <v>0</v>
      </c>
      <c r="AA2954" s="165">
        <f t="shared" si="1270"/>
        <v>0</v>
      </c>
      <c r="AB2954" s="165">
        <f t="shared" si="1270"/>
        <v>-11472.261</v>
      </c>
      <c r="AC2954" s="165"/>
      <c r="AD2954" s="165"/>
      <c r="AE2954" s="165"/>
      <c r="AF2954" s="165"/>
      <c r="AG2954" s="165"/>
      <c r="AH2954" s="165"/>
      <c r="AI2954" s="165">
        <f t="shared" ref="AI2954:AO2963" si="1271">SUMIF($AR:$AR,$CI2954,AI:AI)</f>
        <v>-11142.265800000001</v>
      </c>
      <c r="AJ2954" s="165">
        <f t="shared" si="1271"/>
        <v>-11163.251400000001</v>
      </c>
      <c r="AK2954" s="165">
        <f t="shared" si="1271"/>
        <v>-11167.0486</v>
      </c>
      <c r="AL2954" s="165">
        <f t="shared" si="1271"/>
        <v>-11248.7914</v>
      </c>
      <c r="AM2954" s="165">
        <f t="shared" si="1271"/>
        <v>-11277.934600000001</v>
      </c>
      <c r="AN2954" s="165">
        <f t="shared" si="1271"/>
        <v>-11402.3794</v>
      </c>
      <c r="AO2954" s="165">
        <f t="shared" si="1271"/>
        <v>-11472.261</v>
      </c>
      <c r="AP2954" s="165"/>
      <c r="AQ2954" s="165"/>
      <c r="AR2954" s="165"/>
      <c r="AS2954" s="165"/>
      <c r="AT2954" s="165"/>
      <c r="AU2954" s="165"/>
      <c r="AV2954" s="165"/>
      <c r="AW2954" s="165"/>
      <c r="AX2954" s="165"/>
      <c r="AY2954" s="165"/>
      <c r="AZ2954" s="165"/>
      <c r="BA2954" s="165"/>
      <c r="BB2954" s="165"/>
      <c r="BC2954" s="165"/>
      <c r="BD2954" s="165"/>
      <c r="BE2954" s="165"/>
      <c r="BF2954" s="165"/>
      <c r="BG2954" s="165"/>
      <c r="BH2954" s="165"/>
      <c r="BI2954" s="165"/>
      <c r="BJ2954" s="165"/>
      <c r="BK2954" s="165"/>
      <c r="BL2954" s="165"/>
      <c r="BM2954" s="165"/>
      <c r="BN2954" s="165"/>
      <c r="BO2954" s="165"/>
      <c r="BP2954" s="165"/>
      <c r="BQ2954" s="165"/>
      <c r="BR2954" s="165"/>
      <c r="BS2954" s="165"/>
      <c r="BT2954" s="165"/>
      <c r="BU2954" s="165"/>
      <c r="BV2954" s="165"/>
      <c r="BW2954" s="165"/>
      <c r="BX2954" s="165"/>
      <c r="BY2954" s="165"/>
      <c r="BZ2954" s="165"/>
      <c r="CA2954" s="165"/>
      <c r="CB2954" s="165"/>
      <c r="CC2954" s="165"/>
      <c r="CD2954" s="165"/>
      <c r="CE2954" s="1019"/>
      <c r="CF2954" s="1019"/>
      <c r="CG2954" s="1019"/>
      <c r="CH2954" s="1019"/>
      <c r="CI2954" s="76" t="str">
        <f t="shared" si="1260"/>
        <v>R10NM II - Related</v>
      </c>
      <c r="CJ2954" s="1019"/>
      <c r="CK2954" s="1019"/>
      <c r="CL2954" s="1019"/>
      <c r="CM2954" s="1020"/>
    </row>
    <row r="2955" spans="1:91" s="41" customFormat="1">
      <c r="A2955" s="1009"/>
      <c r="B2955" s="1009"/>
      <c r="C2955" s="1010" t="s">
        <v>1126</v>
      </c>
      <c r="D2955" s="1011"/>
      <c r="E2955" s="1012"/>
      <c r="F2955" s="1012"/>
      <c r="G2955" s="1013"/>
      <c r="H2955" s="1014"/>
      <c r="I2955" s="1015"/>
      <c r="J2955" s="1015"/>
      <c r="K2955" s="1012"/>
      <c r="L2955" s="1016"/>
      <c r="M2955" s="1012"/>
      <c r="N2955" s="1017"/>
      <c r="O2955" s="1017"/>
      <c r="P2955" s="1011"/>
      <c r="Q2955" s="1013"/>
      <c r="R2955" s="1018"/>
      <c r="S2955" s="1018"/>
      <c r="T2955" s="1018"/>
      <c r="U2955" s="165">
        <f t="shared" si="1269"/>
        <v>227.76737999999997</v>
      </c>
      <c r="V2955" s="165">
        <f t="shared" si="1269"/>
        <v>623.56858</v>
      </c>
      <c r="W2955" s="165">
        <f t="shared" si="1269"/>
        <v>0</v>
      </c>
      <c r="X2955" s="165">
        <f t="shared" si="1270"/>
        <v>851.33595999999989</v>
      </c>
      <c r="Y2955" s="165">
        <f t="shared" si="1270"/>
        <v>227.76737999999997</v>
      </c>
      <c r="Z2955" s="165">
        <f t="shared" si="1270"/>
        <v>623.56858</v>
      </c>
      <c r="AA2955" s="165">
        <f t="shared" si="1270"/>
        <v>0</v>
      </c>
      <c r="AB2955" s="165">
        <f t="shared" si="1270"/>
        <v>851.33595999999989</v>
      </c>
      <c r="AC2955" s="165">
        <f t="shared" ref="AC2955:AH2956" si="1272">SUMIF($AR:$AR,$CI2955,AC:AC)</f>
        <v>851.33595999999989</v>
      </c>
      <c r="AD2955" s="165">
        <f t="shared" si="1272"/>
        <v>851.33595999999989</v>
      </c>
      <c r="AE2955" s="165">
        <f t="shared" si="1272"/>
        <v>851.33595999999989</v>
      </c>
      <c r="AF2955" s="165">
        <f t="shared" si="1272"/>
        <v>851.33595999999989</v>
      </c>
      <c r="AG2955" s="165">
        <f t="shared" si="1272"/>
        <v>851.33595999999989</v>
      </c>
      <c r="AH2955" s="165">
        <f t="shared" si="1272"/>
        <v>851.33595999999989</v>
      </c>
      <c r="AI2955" s="165">
        <f t="shared" si="1271"/>
        <v>851.33595999999989</v>
      </c>
      <c r="AJ2955" s="165">
        <f t="shared" si="1271"/>
        <v>851.33595999999989</v>
      </c>
      <c r="AK2955" s="165">
        <f t="shared" si="1271"/>
        <v>851.33595999999989</v>
      </c>
      <c r="AL2955" s="165">
        <f t="shared" si="1271"/>
        <v>851.33595999999989</v>
      </c>
      <c r="AM2955" s="165">
        <f t="shared" si="1271"/>
        <v>851.33595999999989</v>
      </c>
      <c r="AN2955" s="165">
        <f t="shared" si="1271"/>
        <v>851.33595999999989</v>
      </c>
      <c r="AO2955" s="165">
        <f t="shared" si="1271"/>
        <v>851.33595999999989</v>
      </c>
      <c r="AP2955" s="165"/>
      <c r="AQ2955" s="165"/>
      <c r="AR2955" s="165"/>
      <c r="AS2955" s="165"/>
      <c r="AT2955" s="165"/>
      <c r="AU2955" s="165"/>
      <c r="AV2955" s="165"/>
      <c r="AW2955" s="165"/>
      <c r="AX2955" s="165"/>
      <c r="AY2955" s="165"/>
      <c r="AZ2955" s="165"/>
      <c r="BA2955" s="165"/>
      <c r="BB2955" s="165"/>
      <c r="BC2955" s="165"/>
      <c r="BD2955" s="165"/>
      <c r="BE2955" s="165"/>
      <c r="BF2955" s="165"/>
      <c r="BG2955" s="165"/>
      <c r="BH2955" s="165"/>
      <c r="BI2955" s="165"/>
      <c r="BJ2955" s="165"/>
      <c r="BK2955" s="165"/>
      <c r="BL2955" s="165"/>
      <c r="BM2955" s="165"/>
      <c r="BN2955" s="165"/>
      <c r="BO2955" s="165"/>
      <c r="BP2955" s="165"/>
      <c r="BQ2955" s="165"/>
      <c r="BR2955" s="165"/>
      <c r="BS2955" s="165"/>
      <c r="BT2955" s="165"/>
      <c r="BU2955" s="165"/>
      <c r="BV2955" s="165"/>
      <c r="BW2955" s="165"/>
      <c r="BX2955" s="165"/>
      <c r="BY2955" s="165"/>
      <c r="BZ2955" s="165"/>
      <c r="CA2955" s="165"/>
      <c r="CB2955" s="165"/>
      <c r="CC2955" s="165"/>
      <c r="CD2955" s="165"/>
      <c r="CE2955" s="1019"/>
      <c r="CF2955" s="1019"/>
      <c r="CG2955" s="1019"/>
      <c r="CH2955" s="1019"/>
      <c r="CI2955" s="76" t="str">
        <f t="shared" si="1260"/>
        <v>R10NYS Tax Audit</v>
      </c>
      <c r="CJ2955" s="1019"/>
      <c r="CK2955" s="1019"/>
      <c r="CL2955" s="1019"/>
      <c r="CM2955" s="1020"/>
    </row>
    <row r="2956" spans="1:91" s="41" customFormat="1">
      <c r="A2956" s="1009"/>
      <c r="B2956" s="1009"/>
      <c r="C2956" s="1010" t="s">
        <v>1125</v>
      </c>
      <c r="D2956" s="1011"/>
      <c r="E2956" s="1012"/>
      <c r="F2956" s="1012"/>
      <c r="G2956" s="1013"/>
      <c r="H2956" s="1014"/>
      <c r="I2956" s="1015"/>
      <c r="J2956" s="1015"/>
      <c r="K2956" s="1012"/>
      <c r="L2956" s="1016"/>
      <c r="M2956" s="1012"/>
      <c r="N2956" s="1017"/>
      <c r="O2956" s="1017"/>
      <c r="P2956" s="1011"/>
      <c r="Q2956" s="1013"/>
      <c r="R2956" s="1018"/>
      <c r="S2956" s="1018"/>
      <c r="T2956" s="1018"/>
      <c r="U2956" s="165">
        <f t="shared" si="1269"/>
        <v>-319.08900999999997</v>
      </c>
      <c r="V2956" s="165">
        <f t="shared" si="1269"/>
        <v>-515.71281999999997</v>
      </c>
      <c r="W2956" s="165">
        <f t="shared" si="1269"/>
        <v>0</v>
      </c>
      <c r="X2956" s="165">
        <f t="shared" si="1270"/>
        <v>-834.80182999999988</v>
      </c>
      <c r="Y2956" s="165">
        <f t="shared" si="1270"/>
        <v>-319.08900999999997</v>
      </c>
      <c r="Z2956" s="165">
        <f t="shared" si="1270"/>
        <v>-515.71281999999997</v>
      </c>
      <c r="AA2956" s="165">
        <f t="shared" si="1270"/>
        <v>0</v>
      </c>
      <c r="AB2956" s="165">
        <f t="shared" si="1270"/>
        <v>-834.80183</v>
      </c>
      <c r="AC2956" s="165">
        <f t="shared" si="1272"/>
        <v>-834.80183</v>
      </c>
      <c r="AD2956" s="165">
        <f t="shared" si="1272"/>
        <v>-834.80183</v>
      </c>
      <c r="AE2956" s="165">
        <f t="shared" si="1272"/>
        <v>-834.80183</v>
      </c>
      <c r="AF2956" s="165">
        <f t="shared" si="1272"/>
        <v>-834.80183</v>
      </c>
      <c r="AG2956" s="165">
        <f t="shared" si="1272"/>
        <v>-834.80183</v>
      </c>
      <c r="AH2956" s="165">
        <f t="shared" si="1272"/>
        <v>-834.80183</v>
      </c>
      <c r="AI2956" s="165">
        <f t="shared" si="1271"/>
        <v>-834.80183</v>
      </c>
      <c r="AJ2956" s="165">
        <f t="shared" si="1271"/>
        <v>-834.80183</v>
      </c>
      <c r="AK2956" s="165">
        <f t="shared" si="1271"/>
        <v>-834.80183</v>
      </c>
      <c r="AL2956" s="165">
        <f t="shared" si="1271"/>
        <v>-834.80183</v>
      </c>
      <c r="AM2956" s="165">
        <f t="shared" si="1271"/>
        <v>-834.80183</v>
      </c>
      <c r="AN2956" s="165">
        <f t="shared" si="1271"/>
        <v>-834.80183</v>
      </c>
      <c r="AO2956" s="165">
        <f t="shared" si="1271"/>
        <v>-834.80183</v>
      </c>
      <c r="AP2956" s="165"/>
      <c r="AQ2956" s="165"/>
      <c r="AR2956" s="165"/>
      <c r="AS2956" s="165"/>
      <c r="AT2956" s="165"/>
      <c r="AU2956" s="165"/>
      <c r="AV2956" s="165"/>
      <c r="AW2956" s="165"/>
      <c r="AX2956" s="165"/>
      <c r="AY2956" s="165"/>
      <c r="AZ2956" s="165"/>
      <c r="BA2956" s="165"/>
      <c r="BB2956" s="165"/>
      <c r="BC2956" s="165"/>
      <c r="BD2956" s="165"/>
      <c r="BE2956" s="165"/>
      <c r="BF2956" s="165"/>
      <c r="BG2956" s="165"/>
      <c r="BH2956" s="165"/>
      <c r="BI2956" s="165"/>
      <c r="BJ2956" s="165"/>
      <c r="BK2956" s="165"/>
      <c r="BL2956" s="165"/>
      <c r="BM2956" s="165"/>
      <c r="BN2956" s="165"/>
      <c r="BO2956" s="165"/>
      <c r="BP2956" s="165"/>
      <c r="BQ2956" s="165"/>
      <c r="BR2956" s="165"/>
      <c r="BS2956" s="165"/>
      <c r="BT2956" s="165"/>
      <c r="BU2956" s="165"/>
      <c r="BV2956" s="165"/>
      <c r="BW2956" s="165"/>
      <c r="BX2956" s="165"/>
      <c r="BY2956" s="165"/>
      <c r="BZ2956" s="165"/>
      <c r="CA2956" s="165"/>
      <c r="CB2956" s="165"/>
      <c r="CC2956" s="165"/>
      <c r="CD2956" s="165"/>
      <c r="CE2956" s="1019"/>
      <c r="CF2956" s="1019"/>
      <c r="CG2956" s="1019"/>
      <c r="CH2956" s="1019"/>
      <c r="CI2956" s="76" t="str">
        <f t="shared" si="1260"/>
        <v>R10NYS Tax Rate to 7.1%</v>
      </c>
      <c r="CJ2956" s="1019"/>
      <c r="CK2956" s="1019"/>
      <c r="CL2956" s="1019"/>
      <c r="CM2956" s="1020"/>
    </row>
    <row r="2957" spans="1:91" s="41" customFormat="1">
      <c r="A2957" s="1009"/>
      <c r="B2957" s="1009"/>
      <c r="C2957" s="1010" t="s">
        <v>4455</v>
      </c>
      <c r="D2957" s="1011"/>
      <c r="E2957" s="1012"/>
      <c r="F2957" s="1012"/>
      <c r="G2957" s="1013"/>
      <c r="H2957" s="1014"/>
      <c r="I2957" s="1015"/>
      <c r="J2957" s="1015"/>
      <c r="K2957" s="1012"/>
      <c r="L2957" s="1016"/>
      <c r="M2957" s="1012"/>
      <c r="N2957" s="1017"/>
      <c r="O2957" s="1017"/>
      <c r="P2957" s="1011"/>
      <c r="Q2957" s="1013"/>
      <c r="R2957" s="1018"/>
      <c r="S2957" s="1018"/>
      <c r="T2957" s="1018"/>
      <c r="U2957" s="165">
        <f t="shared" si="1269"/>
        <v>-1161.9583333333301</v>
      </c>
      <c r="V2957" s="165">
        <f t="shared" si="1269"/>
        <v>-496.20833333333297</v>
      </c>
      <c r="W2957" s="165">
        <f t="shared" si="1269"/>
        <v>0</v>
      </c>
      <c r="X2957" s="165">
        <f t="shared" si="1270"/>
        <v>-1658.1666666666631</v>
      </c>
      <c r="Y2957" s="165">
        <f t="shared" si="1270"/>
        <v>-1519</v>
      </c>
      <c r="Z2957" s="165">
        <f t="shared" si="1270"/>
        <v>-1193</v>
      </c>
      <c r="AA2957" s="165">
        <f t="shared" si="1270"/>
        <v>0</v>
      </c>
      <c r="AB2957" s="165">
        <f t="shared" si="1270"/>
        <v>-2712</v>
      </c>
      <c r="AC2957" s="165"/>
      <c r="AD2957" s="165"/>
      <c r="AE2957" s="165"/>
      <c r="AF2957" s="165"/>
      <c r="AG2957" s="165"/>
      <c r="AH2957" s="165"/>
      <c r="AI2957" s="165">
        <f t="shared" si="1271"/>
        <v>-3166</v>
      </c>
      <c r="AJ2957" s="165">
        <f t="shared" si="1271"/>
        <v>-3166</v>
      </c>
      <c r="AK2957" s="165">
        <f t="shared" si="1271"/>
        <v>-3166</v>
      </c>
      <c r="AL2957" s="165">
        <f t="shared" si="1271"/>
        <v>-3166</v>
      </c>
      <c r="AM2957" s="165">
        <f t="shared" si="1271"/>
        <v>-3166</v>
      </c>
      <c r="AN2957" s="165">
        <f t="shared" si="1271"/>
        <v>-2712</v>
      </c>
      <c r="AO2957" s="165">
        <f t="shared" si="1271"/>
        <v>-2712</v>
      </c>
      <c r="AP2957" s="165"/>
      <c r="AQ2957" s="165"/>
      <c r="AR2957" s="165"/>
      <c r="AS2957" s="165"/>
      <c r="AT2957" s="165"/>
      <c r="AU2957" s="165"/>
      <c r="AV2957" s="165"/>
      <c r="AW2957" s="165"/>
      <c r="AX2957" s="165"/>
      <c r="AY2957" s="165"/>
      <c r="AZ2957" s="165"/>
      <c r="BA2957" s="165"/>
      <c r="BB2957" s="165"/>
      <c r="BC2957" s="165"/>
      <c r="BD2957" s="165"/>
      <c r="BE2957" s="165"/>
      <c r="BF2957" s="165"/>
      <c r="BG2957" s="165"/>
      <c r="BH2957" s="165"/>
      <c r="BI2957" s="165"/>
      <c r="BJ2957" s="165"/>
      <c r="BK2957" s="165"/>
      <c r="BL2957" s="165"/>
      <c r="BM2957" s="165"/>
      <c r="BN2957" s="165"/>
      <c r="BO2957" s="165"/>
      <c r="BP2957" s="165"/>
      <c r="BQ2957" s="165"/>
      <c r="BR2957" s="165"/>
      <c r="BS2957" s="165"/>
      <c r="BT2957" s="165"/>
      <c r="BU2957" s="165"/>
      <c r="BV2957" s="165"/>
      <c r="BW2957" s="165"/>
      <c r="BX2957" s="165"/>
      <c r="BY2957" s="165"/>
      <c r="BZ2957" s="165"/>
      <c r="CA2957" s="165"/>
      <c r="CB2957" s="165"/>
      <c r="CC2957" s="165"/>
      <c r="CD2957" s="165"/>
      <c r="CE2957" s="1019"/>
      <c r="CF2957" s="1019"/>
      <c r="CG2957" s="1019"/>
      <c r="CH2957" s="1019"/>
      <c r="CI2957" s="76" t="str">
        <f t="shared" si="1260"/>
        <v>R10Excess DIT - New York State Tax Rate change</v>
      </c>
      <c r="CJ2957" s="1019"/>
      <c r="CK2957" s="1019"/>
      <c r="CL2957" s="1019"/>
      <c r="CM2957" s="1020"/>
    </row>
    <row r="2958" spans="1:91" s="41" customFormat="1">
      <c r="A2958" s="1009"/>
      <c r="B2958" s="1009"/>
      <c r="C2958" s="1010" t="s">
        <v>816</v>
      </c>
      <c r="D2958" s="1011"/>
      <c r="E2958" s="1012"/>
      <c r="F2958" s="1012"/>
      <c r="G2958" s="1013"/>
      <c r="H2958" s="1014"/>
      <c r="I2958" s="1015"/>
      <c r="J2958" s="1015"/>
      <c r="K2958" s="1012"/>
      <c r="L2958" s="1016"/>
      <c r="M2958" s="1012"/>
      <c r="N2958" s="1017"/>
      <c r="O2958" s="1017"/>
      <c r="P2958" s="1011"/>
      <c r="Q2958" s="1013"/>
      <c r="R2958" s="1018"/>
      <c r="S2958" s="1018"/>
      <c r="T2958" s="1018"/>
      <c r="U2958" s="165">
        <f t="shared" si="1269"/>
        <v>0</v>
      </c>
      <c r="V2958" s="165">
        <f t="shared" si="1269"/>
        <v>0</v>
      </c>
      <c r="W2958" s="165">
        <f t="shared" si="1269"/>
        <v>0</v>
      </c>
      <c r="X2958" s="165">
        <f t="shared" si="1270"/>
        <v>0</v>
      </c>
      <c r="Y2958" s="165">
        <f t="shared" si="1270"/>
        <v>0</v>
      </c>
      <c r="Z2958" s="165">
        <f t="shared" si="1270"/>
        <v>0</v>
      </c>
      <c r="AA2958" s="165">
        <f t="shared" si="1270"/>
        <v>0</v>
      </c>
      <c r="AB2958" s="165">
        <f t="shared" si="1270"/>
        <v>0</v>
      </c>
      <c r="AC2958" s="165">
        <f t="shared" ref="AC2958:AH2967" si="1273">SUMIF($AR:$AR,$CI2958,AC:AC)</f>
        <v>0</v>
      </c>
      <c r="AD2958" s="165">
        <f t="shared" si="1273"/>
        <v>0</v>
      </c>
      <c r="AE2958" s="165">
        <f t="shared" si="1273"/>
        <v>0</v>
      </c>
      <c r="AF2958" s="165">
        <f t="shared" si="1273"/>
        <v>0</v>
      </c>
      <c r="AG2958" s="165">
        <f t="shared" si="1273"/>
        <v>0</v>
      </c>
      <c r="AH2958" s="165">
        <f t="shared" si="1273"/>
        <v>0</v>
      </c>
      <c r="AI2958" s="165">
        <f t="shared" si="1271"/>
        <v>0</v>
      </c>
      <c r="AJ2958" s="165">
        <f t="shared" si="1271"/>
        <v>0</v>
      </c>
      <c r="AK2958" s="165">
        <f t="shared" si="1271"/>
        <v>0</v>
      </c>
      <c r="AL2958" s="165">
        <f t="shared" si="1271"/>
        <v>0</v>
      </c>
      <c r="AM2958" s="165">
        <f t="shared" si="1271"/>
        <v>0</v>
      </c>
      <c r="AN2958" s="165">
        <f t="shared" si="1271"/>
        <v>0</v>
      </c>
      <c r="AO2958" s="165">
        <f t="shared" si="1271"/>
        <v>0</v>
      </c>
      <c r="AP2958" s="165"/>
      <c r="AQ2958" s="165"/>
      <c r="AR2958" s="165"/>
      <c r="AS2958" s="165"/>
      <c r="AT2958" s="165"/>
      <c r="AU2958" s="165"/>
      <c r="AV2958" s="165"/>
      <c r="AW2958" s="165"/>
      <c r="AX2958" s="165"/>
      <c r="AY2958" s="165"/>
      <c r="AZ2958" s="165"/>
      <c r="BA2958" s="165"/>
      <c r="BB2958" s="165"/>
      <c r="BC2958" s="165"/>
      <c r="BD2958" s="165"/>
      <c r="BE2958" s="165"/>
      <c r="BF2958" s="165"/>
      <c r="BG2958" s="165"/>
      <c r="BH2958" s="165"/>
      <c r="BI2958" s="165"/>
      <c r="BJ2958" s="165"/>
      <c r="BK2958" s="165"/>
      <c r="BL2958" s="165"/>
      <c r="BM2958" s="165"/>
      <c r="BN2958" s="165"/>
      <c r="BO2958" s="165"/>
      <c r="BP2958" s="165"/>
      <c r="BQ2958" s="165"/>
      <c r="BR2958" s="165"/>
      <c r="BS2958" s="165"/>
      <c r="BT2958" s="165"/>
      <c r="BU2958" s="165"/>
      <c r="BV2958" s="165"/>
      <c r="BW2958" s="165"/>
      <c r="BX2958" s="165"/>
      <c r="BY2958" s="165"/>
      <c r="BZ2958" s="165"/>
      <c r="CA2958" s="165"/>
      <c r="CB2958" s="165"/>
      <c r="CC2958" s="165"/>
      <c r="CD2958" s="165"/>
      <c r="CE2958" s="1019"/>
      <c r="CF2958" s="1019"/>
      <c r="CG2958" s="1019"/>
      <c r="CH2958" s="1019"/>
      <c r="CI2958" s="76" t="str">
        <f t="shared" si="1260"/>
        <v>R10NYSIT - '02 Combined Filing Adj</v>
      </c>
      <c r="CJ2958" s="1019"/>
      <c r="CK2958" s="1019"/>
      <c r="CL2958" s="1019"/>
      <c r="CM2958" s="1020"/>
    </row>
    <row r="2959" spans="1:91" s="41" customFormat="1">
      <c r="A2959" s="1009"/>
      <c r="B2959" s="1009"/>
      <c r="C2959" s="1010" t="s">
        <v>1135</v>
      </c>
      <c r="D2959" s="1011"/>
      <c r="E2959" s="1012"/>
      <c r="F2959" s="1012"/>
      <c r="G2959" s="1013"/>
      <c r="H2959" s="1014"/>
      <c r="I2959" s="1015"/>
      <c r="J2959" s="1015"/>
      <c r="K2959" s="1012"/>
      <c r="L2959" s="1016"/>
      <c r="M2959" s="1012"/>
      <c r="N2959" s="1017"/>
      <c r="O2959" s="1017"/>
      <c r="P2959" s="1011"/>
      <c r="Q2959" s="1013"/>
      <c r="R2959" s="1018"/>
      <c r="S2959" s="1018"/>
      <c r="T2959" s="1018"/>
      <c r="U2959" s="165">
        <f t="shared" si="1269"/>
        <v>-50064.626314801666</v>
      </c>
      <c r="V2959" s="165">
        <f t="shared" si="1269"/>
        <v>-30972.321426864997</v>
      </c>
      <c r="W2959" s="165">
        <f t="shared" si="1269"/>
        <v>0</v>
      </c>
      <c r="X2959" s="165">
        <f t="shared" si="1270"/>
        <v>-81036.947741666663</v>
      </c>
      <c r="Y2959" s="165">
        <f t="shared" si="1270"/>
        <v>-49758.985369400005</v>
      </c>
      <c r="Z2959" s="165">
        <f t="shared" si="1270"/>
        <v>-30783.237630600001</v>
      </c>
      <c r="AA2959" s="165">
        <f t="shared" si="1270"/>
        <v>0</v>
      </c>
      <c r="AB2959" s="165">
        <f t="shared" si="1270"/>
        <v>-80542.223000000013</v>
      </c>
      <c r="AC2959" s="165">
        <f t="shared" si="1273"/>
        <v>-82979.591180000003</v>
      </c>
      <c r="AD2959" s="165">
        <f t="shared" si="1273"/>
        <v>-82740.446860000011</v>
      </c>
      <c r="AE2959" s="165">
        <f t="shared" si="1273"/>
        <v>-82371.23818</v>
      </c>
      <c r="AF2959" s="165">
        <f t="shared" si="1273"/>
        <v>-82025.566200000001</v>
      </c>
      <c r="AG2959" s="165">
        <f t="shared" si="1273"/>
        <v>-81588.273650000003</v>
      </c>
      <c r="AH2959" s="165">
        <f t="shared" si="1273"/>
        <v>-81237.483220000009</v>
      </c>
      <c r="AI2959" s="165">
        <f t="shared" si="1271"/>
        <v>-80516.642229999998</v>
      </c>
      <c r="AJ2959" s="165">
        <f t="shared" si="1271"/>
        <v>-80260.615090000007</v>
      </c>
      <c r="AK2959" s="165">
        <f t="shared" si="1271"/>
        <v>-79988.616309999998</v>
      </c>
      <c r="AL2959" s="165">
        <f t="shared" si="1271"/>
        <v>-79690.801160000017</v>
      </c>
      <c r="AM2959" s="165">
        <f t="shared" si="1271"/>
        <v>-79523.372480000005</v>
      </c>
      <c r="AN2959" s="165">
        <f t="shared" si="1271"/>
        <v>-80739.410430000004</v>
      </c>
      <c r="AO2959" s="165">
        <f t="shared" si="1271"/>
        <v>-80542.223000000013</v>
      </c>
      <c r="AP2959" s="165"/>
      <c r="AQ2959" s="165"/>
      <c r="AR2959" s="165"/>
      <c r="AS2959" s="165"/>
      <c r="AT2959" s="165"/>
      <c r="AU2959" s="165"/>
      <c r="AV2959" s="165"/>
      <c r="AW2959" s="165"/>
      <c r="AX2959" s="165"/>
      <c r="AY2959" s="165"/>
      <c r="AZ2959" s="165"/>
      <c r="BA2959" s="165"/>
      <c r="BB2959" s="165"/>
      <c r="BC2959" s="165"/>
      <c r="BD2959" s="165"/>
      <c r="BE2959" s="165"/>
      <c r="BF2959" s="165"/>
      <c r="BG2959" s="165"/>
      <c r="BH2959" s="165"/>
      <c r="BI2959" s="165"/>
      <c r="BJ2959" s="165"/>
      <c r="BK2959" s="165"/>
      <c r="BL2959" s="165"/>
      <c r="BM2959" s="165"/>
      <c r="BN2959" s="165"/>
      <c r="BO2959" s="165"/>
      <c r="BP2959" s="165"/>
      <c r="BQ2959" s="165"/>
      <c r="BR2959" s="165"/>
      <c r="BS2959" s="165"/>
      <c r="BT2959" s="165"/>
      <c r="BU2959" s="165"/>
      <c r="BV2959" s="165"/>
      <c r="BW2959" s="165"/>
      <c r="BX2959" s="165"/>
      <c r="BY2959" s="165"/>
      <c r="BZ2959" s="165"/>
      <c r="CA2959" s="165"/>
      <c r="CB2959" s="165"/>
      <c r="CC2959" s="165"/>
      <c r="CD2959" s="165"/>
      <c r="CE2959" s="1019"/>
      <c r="CF2959" s="1019"/>
      <c r="CG2959" s="1019"/>
      <c r="CH2959" s="1019"/>
      <c r="CI2959" s="76" t="str">
        <f t="shared" si="1260"/>
        <v>R10OPEB Reserve</v>
      </c>
      <c r="CJ2959" s="1019"/>
      <c r="CK2959" s="1019"/>
      <c r="CL2959" s="1019"/>
      <c r="CM2959" s="1020"/>
    </row>
    <row r="2960" spans="1:91" s="41" customFormat="1">
      <c r="A2960" s="1009"/>
      <c r="B2960" s="1009"/>
      <c r="C2960" s="1010" t="s">
        <v>812</v>
      </c>
      <c r="D2960" s="1011"/>
      <c r="E2960" s="1012"/>
      <c r="F2960" s="1012"/>
      <c r="G2960" s="1013"/>
      <c r="H2960" s="1014"/>
      <c r="I2960" s="1015"/>
      <c r="J2960" s="1015"/>
      <c r="K2960" s="1012"/>
      <c r="L2960" s="1016"/>
      <c r="M2960" s="1012"/>
      <c r="N2960" s="1017"/>
      <c r="O2960" s="1017"/>
      <c r="P2960" s="1011"/>
      <c r="Q2960" s="1013"/>
      <c r="R2960" s="1018"/>
      <c r="S2960" s="1018"/>
      <c r="T2960" s="1018"/>
      <c r="U2960" s="165">
        <f t="shared" si="1269"/>
        <v>-3.8999999999999998E-14</v>
      </c>
      <c r="V2960" s="165">
        <f t="shared" si="1269"/>
        <v>2.9999999999999998E-15</v>
      </c>
      <c r="W2960" s="165">
        <f t="shared" si="1269"/>
        <v>0</v>
      </c>
      <c r="X2960" s="165">
        <f t="shared" si="1270"/>
        <v>-3.5999999999999998E-14</v>
      </c>
      <c r="Y2960" s="165">
        <f t="shared" si="1270"/>
        <v>0</v>
      </c>
      <c r="Z2960" s="165">
        <f t="shared" si="1270"/>
        <v>0</v>
      </c>
      <c r="AA2960" s="165">
        <f t="shared" si="1270"/>
        <v>0</v>
      </c>
      <c r="AB2960" s="165">
        <f t="shared" si="1270"/>
        <v>0</v>
      </c>
      <c r="AC2960" s="165">
        <f t="shared" si="1273"/>
        <v>-8.5856299847364431E-13</v>
      </c>
      <c r="AD2960" s="165">
        <f t="shared" si="1273"/>
        <v>0</v>
      </c>
      <c r="AE2960" s="165">
        <f t="shared" si="1273"/>
        <v>0</v>
      </c>
      <c r="AF2960" s="165">
        <f t="shared" si="1273"/>
        <v>0</v>
      </c>
      <c r="AG2960" s="165">
        <f t="shared" si="1273"/>
        <v>0</v>
      </c>
      <c r="AH2960" s="165">
        <f t="shared" si="1273"/>
        <v>0</v>
      </c>
      <c r="AI2960" s="165">
        <f t="shared" si="1271"/>
        <v>0</v>
      </c>
      <c r="AJ2960" s="165">
        <f t="shared" si="1271"/>
        <v>0</v>
      </c>
      <c r="AK2960" s="165">
        <f t="shared" si="1271"/>
        <v>0</v>
      </c>
      <c r="AL2960" s="165">
        <f t="shared" si="1271"/>
        <v>0</v>
      </c>
      <c r="AM2960" s="165">
        <f t="shared" si="1271"/>
        <v>0</v>
      </c>
      <c r="AN2960" s="165">
        <f t="shared" si="1271"/>
        <v>0</v>
      </c>
      <c r="AO2960" s="165">
        <f t="shared" si="1271"/>
        <v>0</v>
      </c>
      <c r="AP2960" s="165"/>
      <c r="AQ2960" s="165"/>
      <c r="AR2960" s="165"/>
      <c r="AS2960" s="165"/>
      <c r="AT2960" s="165"/>
      <c r="AU2960" s="165"/>
      <c r="AV2960" s="165"/>
      <c r="AW2960" s="165"/>
      <c r="AX2960" s="165"/>
      <c r="AY2960" s="165"/>
      <c r="AZ2960" s="165"/>
      <c r="BA2960" s="165"/>
      <c r="BB2960" s="165"/>
      <c r="BC2960" s="165"/>
      <c r="BD2960" s="165"/>
      <c r="BE2960" s="165"/>
      <c r="BF2960" s="165"/>
      <c r="BG2960" s="165"/>
      <c r="BH2960" s="165"/>
      <c r="BI2960" s="165"/>
      <c r="BJ2960" s="165"/>
      <c r="BK2960" s="165"/>
      <c r="BL2960" s="165"/>
      <c r="BM2960" s="165"/>
      <c r="BN2960" s="165"/>
      <c r="BO2960" s="165"/>
      <c r="BP2960" s="165"/>
      <c r="BQ2960" s="165"/>
      <c r="BR2960" s="165"/>
      <c r="BS2960" s="165"/>
      <c r="BT2960" s="165"/>
      <c r="BU2960" s="165"/>
      <c r="BV2960" s="165"/>
      <c r="BW2960" s="165"/>
      <c r="BX2960" s="165"/>
      <c r="BY2960" s="165"/>
      <c r="BZ2960" s="165"/>
      <c r="CA2960" s="165"/>
      <c r="CB2960" s="165"/>
      <c r="CC2960" s="165"/>
      <c r="CD2960" s="165"/>
      <c r="CE2960" s="1019"/>
      <c r="CF2960" s="1019"/>
      <c r="CG2960" s="1019"/>
      <c r="CH2960" s="1019"/>
      <c r="CI2960" s="76" t="str">
        <f t="shared" si="1260"/>
        <v>R10OPEB True-up</v>
      </c>
      <c r="CJ2960" s="1019"/>
      <c r="CK2960" s="1019"/>
      <c r="CL2960" s="1019"/>
      <c r="CM2960" s="1020"/>
    </row>
    <row r="2961" spans="1:91" s="41" customFormat="1">
      <c r="A2961" s="1009"/>
      <c r="B2961" s="1009"/>
      <c r="C2961" s="1010" t="s">
        <v>1139</v>
      </c>
      <c r="D2961" s="1011"/>
      <c r="E2961" s="1012"/>
      <c r="F2961" s="1012"/>
      <c r="G2961" s="1013"/>
      <c r="H2961" s="1014"/>
      <c r="I2961" s="1015"/>
      <c r="J2961" s="1015"/>
      <c r="K2961" s="1012"/>
      <c r="L2961" s="1016"/>
      <c r="M2961" s="1012"/>
      <c r="N2961" s="1017"/>
      <c r="O2961" s="1017"/>
      <c r="P2961" s="1011"/>
      <c r="Q2961" s="1013"/>
      <c r="R2961" s="1018"/>
      <c r="S2961" s="1018"/>
      <c r="T2961" s="1018"/>
      <c r="U2961" s="165">
        <f t="shared" si="1269"/>
        <v>-9.7000000000000003E-14</v>
      </c>
      <c r="V2961" s="165">
        <f t="shared" si="1269"/>
        <v>0</v>
      </c>
      <c r="W2961" s="165">
        <f t="shared" si="1269"/>
        <v>0</v>
      </c>
      <c r="X2961" s="165">
        <f t="shared" si="1270"/>
        <v>-9.7000000000000003E-14</v>
      </c>
      <c r="Y2961" s="165">
        <f t="shared" si="1270"/>
        <v>0</v>
      </c>
      <c r="Z2961" s="165">
        <f t="shared" si="1270"/>
        <v>0</v>
      </c>
      <c r="AA2961" s="165">
        <f t="shared" si="1270"/>
        <v>0</v>
      </c>
      <c r="AB2961" s="165">
        <f t="shared" si="1270"/>
        <v>0</v>
      </c>
      <c r="AC2961" s="165">
        <f t="shared" si="1273"/>
        <v>-2.3283064365386963E-12</v>
      </c>
      <c r="AD2961" s="165">
        <f t="shared" si="1273"/>
        <v>0</v>
      </c>
      <c r="AE2961" s="165">
        <f t="shared" si="1273"/>
        <v>0</v>
      </c>
      <c r="AF2961" s="165">
        <f t="shared" si="1273"/>
        <v>0</v>
      </c>
      <c r="AG2961" s="165">
        <f t="shared" si="1273"/>
        <v>0</v>
      </c>
      <c r="AH2961" s="165">
        <f t="shared" si="1273"/>
        <v>0</v>
      </c>
      <c r="AI2961" s="165">
        <f t="shared" si="1271"/>
        <v>0</v>
      </c>
      <c r="AJ2961" s="165">
        <f t="shared" si="1271"/>
        <v>0</v>
      </c>
      <c r="AK2961" s="165">
        <f t="shared" si="1271"/>
        <v>0</v>
      </c>
      <c r="AL2961" s="165">
        <f t="shared" si="1271"/>
        <v>0</v>
      </c>
      <c r="AM2961" s="165">
        <f t="shared" si="1271"/>
        <v>0</v>
      </c>
      <c r="AN2961" s="165">
        <f t="shared" si="1271"/>
        <v>0</v>
      </c>
      <c r="AO2961" s="165">
        <f t="shared" si="1271"/>
        <v>0</v>
      </c>
      <c r="AP2961" s="165"/>
      <c r="AQ2961" s="165"/>
      <c r="AR2961" s="165"/>
      <c r="AS2961" s="165"/>
      <c r="AT2961" s="165"/>
      <c r="AU2961" s="165"/>
      <c r="AV2961" s="165"/>
      <c r="AW2961" s="165"/>
      <c r="AX2961" s="165"/>
      <c r="AY2961" s="165"/>
      <c r="AZ2961" s="165"/>
      <c r="BA2961" s="165"/>
      <c r="BB2961" s="165"/>
      <c r="BC2961" s="165"/>
      <c r="BD2961" s="165"/>
      <c r="BE2961" s="165"/>
      <c r="BF2961" s="165"/>
      <c r="BG2961" s="165"/>
      <c r="BH2961" s="165"/>
      <c r="BI2961" s="165"/>
      <c r="BJ2961" s="165"/>
      <c r="BK2961" s="165"/>
      <c r="BL2961" s="165"/>
      <c r="BM2961" s="165"/>
      <c r="BN2961" s="165"/>
      <c r="BO2961" s="165"/>
      <c r="BP2961" s="165"/>
      <c r="BQ2961" s="165"/>
      <c r="BR2961" s="165"/>
      <c r="BS2961" s="165"/>
      <c r="BT2961" s="165"/>
      <c r="BU2961" s="165"/>
      <c r="BV2961" s="165"/>
      <c r="BW2961" s="165"/>
      <c r="BX2961" s="165"/>
      <c r="BY2961" s="165"/>
      <c r="BZ2961" s="165"/>
      <c r="CA2961" s="165"/>
      <c r="CB2961" s="165"/>
      <c r="CC2961" s="165"/>
      <c r="CD2961" s="165"/>
      <c r="CE2961" s="1019"/>
      <c r="CF2961" s="1019"/>
      <c r="CG2961" s="1019"/>
      <c r="CH2961" s="1019"/>
      <c r="CI2961" s="76" t="str">
        <f t="shared" si="1260"/>
        <v>R10Oswego</v>
      </c>
      <c r="CJ2961" s="1019"/>
      <c r="CK2961" s="1019"/>
      <c r="CL2961" s="1019"/>
      <c r="CM2961" s="1020"/>
    </row>
    <row r="2962" spans="1:91" s="41" customFormat="1">
      <c r="A2962" s="1009"/>
      <c r="B2962" s="1009"/>
      <c r="C2962" s="1010" t="s">
        <v>2695</v>
      </c>
      <c r="D2962" s="1011"/>
      <c r="E2962" s="1012"/>
      <c r="F2962" s="1012"/>
      <c r="G2962" s="1013"/>
      <c r="H2962" s="1014"/>
      <c r="I2962" s="1015"/>
      <c r="J2962" s="1015"/>
      <c r="K2962" s="1012"/>
      <c r="L2962" s="1016"/>
      <c r="M2962" s="1012"/>
      <c r="N2962" s="1017"/>
      <c r="O2962" s="1017"/>
      <c r="P2962" s="1011"/>
      <c r="Q2962" s="1013"/>
      <c r="R2962" s="1018"/>
      <c r="S2962" s="1018"/>
      <c r="T2962" s="1018"/>
      <c r="U2962" s="165">
        <f t="shared" si="1269"/>
        <v>-2712.5</v>
      </c>
      <c r="V2962" s="165">
        <f t="shared" si="1269"/>
        <v>0</v>
      </c>
      <c r="W2962" s="165">
        <f t="shared" si="1269"/>
        <v>0</v>
      </c>
      <c r="X2962" s="165">
        <f t="shared" si="1270"/>
        <v>-2712.5</v>
      </c>
      <c r="Y2962" s="165">
        <f t="shared" si="1270"/>
        <v>-3000</v>
      </c>
      <c r="Z2962" s="165">
        <f t="shared" si="1270"/>
        <v>0</v>
      </c>
      <c r="AA2962" s="165">
        <f t="shared" si="1270"/>
        <v>0</v>
      </c>
      <c r="AB2962" s="165">
        <f t="shared" si="1270"/>
        <v>-3000</v>
      </c>
      <c r="AC2962" s="165">
        <f t="shared" si="1273"/>
        <v>-2500</v>
      </c>
      <c r="AD2962" s="165">
        <f t="shared" si="1273"/>
        <v>-2400</v>
      </c>
      <c r="AE2962" s="165">
        <f t="shared" si="1273"/>
        <v>-2400</v>
      </c>
      <c r="AF2962" s="165">
        <f t="shared" si="1273"/>
        <v>-2300</v>
      </c>
      <c r="AG2962" s="165">
        <f t="shared" si="1273"/>
        <v>-2400</v>
      </c>
      <c r="AH2962" s="165">
        <f t="shared" si="1273"/>
        <v>-2400</v>
      </c>
      <c r="AI2962" s="165">
        <f t="shared" si="1271"/>
        <v>-3200</v>
      </c>
      <c r="AJ2962" s="165">
        <f t="shared" si="1271"/>
        <v>-3000</v>
      </c>
      <c r="AK2962" s="165">
        <f t="shared" si="1271"/>
        <v>-2900</v>
      </c>
      <c r="AL2962" s="165">
        <f t="shared" si="1271"/>
        <v>-3000</v>
      </c>
      <c r="AM2962" s="165">
        <f t="shared" si="1271"/>
        <v>-2900</v>
      </c>
      <c r="AN2962" s="165">
        <f t="shared" si="1271"/>
        <v>-2900</v>
      </c>
      <c r="AO2962" s="165">
        <f t="shared" si="1271"/>
        <v>-3000</v>
      </c>
      <c r="AP2962" s="165"/>
      <c r="AQ2962" s="165"/>
      <c r="AR2962" s="165"/>
      <c r="AS2962" s="165"/>
      <c r="AT2962" s="165"/>
      <c r="AU2962" s="165"/>
      <c r="AV2962" s="165"/>
      <c r="AW2962" s="165"/>
      <c r="AX2962" s="165"/>
      <c r="AY2962" s="165"/>
      <c r="AZ2962" s="165"/>
      <c r="BA2962" s="165"/>
      <c r="BB2962" s="165"/>
      <c r="BC2962" s="165"/>
      <c r="BD2962" s="165"/>
      <c r="BE2962" s="165"/>
      <c r="BF2962" s="165"/>
      <c r="BG2962" s="165"/>
      <c r="BH2962" s="165"/>
      <c r="BI2962" s="165"/>
      <c r="BJ2962" s="165"/>
      <c r="BK2962" s="165"/>
      <c r="BL2962" s="165"/>
      <c r="BM2962" s="165"/>
      <c r="BN2962" s="165"/>
      <c r="BO2962" s="165"/>
      <c r="BP2962" s="165"/>
      <c r="BQ2962" s="165"/>
      <c r="BR2962" s="165"/>
      <c r="BS2962" s="165"/>
      <c r="BT2962" s="165"/>
      <c r="BU2962" s="165"/>
      <c r="BV2962" s="165"/>
      <c r="BW2962" s="165"/>
      <c r="BX2962" s="165"/>
      <c r="BY2962" s="165"/>
      <c r="BZ2962" s="165"/>
      <c r="CA2962" s="165"/>
      <c r="CB2962" s="165"/>
      <c r="CC2962" s="165"/>
      <c r="CD2962" s="165"/>
      <c r="CE2962" s="1019"/>
      <c r="CF2962" s="1019"/>
      <c r="CG2962" s="1019"/>
      <c r="CH2962" s="1019"/>
      <c r="CI2962" s="76" t="str">
        <f t="shared" si="1260"/>
        <v>R10Injury &amp; Damages Reserve</v>
      </c>
      <c r="CJ2962" s="1019"/>
      <c r="CK2962" s="1019"/>
      <c r="CL2962" s="1019"/>
      <c r="CM2962" s="1020"/>
    </row>
    <row r="2963" spans="1:91">
      <c r="A2963" s="464"/>
      <c r="B2963" s="464"/>
      <c r="C2963" s="662" t="s">
        <v>1724</v>
      </c>
      <c r="D2963" s="689"/>
      <c r="E2963" s="422"/>
      <c r="F2963" s="422"/>
      <c r="G2963" s="461"/>
      <c r="H2963" s="678"/>
      <c r="I2963" s="462"/>
      <c r="J2963" s="462"/>
      <c r="K2963" s="422"/>
      <c r="L2963" s="655"/>
      <c r="M2963" s="422"/>
      <c r="N2963" s="463"/>
      <c r="O2963" s="463"/>
      <c r="P2963" s="689"/>
      <c r="Q2963" s="461"/>
      <c r="R2963" s="491"/>
      <c r="S2963" s="491"/>
      <c r="T2963" s="491"/>
      <c r="U2963" s="214">
        <f t="shared" si="1269"/>
        <v>-2035.637897491667</v>
      </c>
      <c r="V2963" s="214">
        <f t="shared" si="1269"/>
        <v>-1259.3408941750001</v>
      </c>
      <c r="W2963" s="214">
        <f t="shared" si="1269"/>
        <v>0</v>
      </c>
      <c r="X2963" s="214">
        <f t="shared" si="1270"/>
        <v>-3294.9787916666669</v>
      </c>
      <c r="Y2963" s="214">
        <f t="shared" si="1270"/>
        <v>-2075.0271008</v>
      </c>
      <c r="Z2963" s="214">
        <f t="shared" si="1270"/>
        <v>-1283.7088992000001</v>
      </c>
      <c r="AA2963" s="214">
        <f t="shared" si="1270"/>
        <v>0</v>
      </c>
      <c r="AB2963" s="214">
        <f t="shared" si="1270"/>
        <v>-3358.7359999999999</v>
      </c>
      <c r="AC2963" s="214">
        <f t="shared" si="1273"/>
        <v>-3256.415</v>
      </c>
      <c r="AD2963" s="214">
        <f t="shared" si="1273"/>
        <v>-3256.415</v>
      </c>
      <c r="AE2963" s="214">
        <f t="shared" si="1273"/>
        <v>-3256.415</v>
      </c>
      <c r="AF2963" s="214">
        <f t="shared" si="1273"/>
        <v>-3256.415</v>
      </c>
      <c r="AG2963" s="214">
        <f t="shared" si="1273"/>
        <v>-3256.415</v>
      </c>
      <c r="AH2963" s="214">
        <f t="shared" si="1273"/>
        <v>-3256.415</v>
      </c>
      <c r="AI2963" s="214">
        <f t="shared" si="1271"/>
        <v>-3256.415</v>
      </c>
      <c r="AJ2963" s="214">
        <f t="shared" si="1271"/>
        <v>-3258.7359999999999</v>
      </c>
      <c r="AK2963" s="214">
        <f t="shared" si="1271"/>
        <v>-3358.7359999999999</v>
      </c>
      <c r="AL2963" s="214">
        <f t="shared" si="1271"/>
        <v>-3358.7359999999999</v>
      </c>
      <c r="AM2963" s="214">
        <f t="shared" si="1271"/>
        <v>-3358.7359999999999</v>
      </c>
      <c r="AN2963" s="214">
        <f t="shared" si="1271"/>
        <v>-3358.7359999999999</v>
      </c>
      <c r="AO2963" s="214">
        <f t="shared" si="1271"/>
        <v>-3358.7359999999999</v>
      </c>
      <c r="AP2963" s="214"/>
      <c r="AQ2963" s="214"/>
      <c r="AR2963" s="214"/>
      <c r="AS2963" s="214"/>
      <c r="AT2963" s="214"/>
      <c r="AU2963" s="214"/>
      <c r="AV2963" s="214"/>
      <c r="AW2963" s="214"/>
      <c r="AX2963" s="214"/>
      <c r="AY2963" s="214"/>
      <c r="AZ2963" s="214"/>
      <c r="BA2963" s="214"/>
      <c r="BB2963" s="214"/>
      <c r="BC2963" s="214"/>
      <c r="BD2963" s="214"/>
      <c r="BE2963" s="214"/>
      <c r="BF2963" s="214"/>
      <c r="BG2963" s="214"/>
      <c r="BH2963" s="214"/>
      <c r="BI2963" s="214"/>
      <c r="BJ2963" s="214"/>
      <c r="BK2963" s="214"/>
      <c r="BL2963" s="214"/>
      <c r="BM2963" s="214"/>
      <c r="BN2963" s="214"/>
      <c r="BO2963" s="214"/>
      <c r="BP2963" s="214"/>
      <c r="BQ2963" s="214"/>
      <c r="BR2963" s="214"/>
      <c r="BS2963" s="214"/>
      <c r="BT2963" s="214"/>
      <c r="BU2963" s="214"/>
      <c r="BV2963" s="214"/>
      <c r="BW2963" s="214"/>
      <c r="BX2963" s="214"/>
      <c r="BY2963" s="214"/>
      <c r="BZ2963" s="214"/>
      <c r="CA2963" s="214"/>
      <c r="CB2963" s="214"/>
      <c r="CC2963" s="214"/>
      <c r="CD2963" s="214"/>
      <c r="CE2963" s="230"/>
      <c r="CF2963" s="230"/>
      <c r="CG2963" s="230"/>
      <c r="CH2963" s="230"/>
      <c r="CI2963" s="76" t="str">
        <f t="shared" si="1260"/>
        <v>R10Workers Comp Reserve</v>
      </c>
      <c r="CJ2963" s="230"/>
      <c r="CK2963" s="230"/>
      <c r="CL2963" s="230"/>
      <c r="CM2963" s="231"/>
    </row>
    <row r="2964" spans="1:91">
      <c r="A2964" s="464"/>
      <c r="B2964" s="464"/>
      <c r="C2964" s="662" t="s">
        <v>815</v>
      </c>
      <c r="D2964" s="689"/>
      <c r="E2964" s="422"/>
      <c r="F2964" s="422"/>
      <c r="G2964" s="461"/>
      <c r="H2964" s="678"/>
      <c r="I2964" s="462"/>
      <c r="J2964" s="462"/>
      <c r="K2964" s="422"/>
      <c r="L2964" s="655"/>
      <c r="M2964" s="422"/>
      <c r="N2964" s="463"/>
      <c r="O2964" s="463"/>
      <c r="P2964" s="689"/>
      <c r="Q2964" s="461"/>
      <c r="R2964" s="491"/>
      <c r="S2964" s="491"/>
      <c r="T2964" s="491"/>
      <c r="U2964" s="214">
        <f t="shared" si="1269"/>
        <v>-2.3300000000000002E-13</v>
      </c>
      <c r="V2964" s="214">
        <f t="shared" si="1269"/>
        <v>0</v>
      </c>
      <c r="W2964" s="214">
        <f t="shared" si="1269"/>
        <v>0</v>
      </c>
      <c r="X2964" s="214">
        <f t="shared" ref="X2964:AB2973" si="1274">SUMIF($AR:$AR,$CI2964,X:X)</f>
        <v>-2.3300000000000002E-13</v>
      </c>
      <c r="Y2964" s="214">
        <f t="shared" si="1274"/>
        <v>-2.3300000000000002E-13</v>
      </c>
      <c r="Z2964" s="214">
        <f t="shared" si="1274"/>
        <v>0</v>
      </c>
      <c r="AA2964" s="214">
        <f t="shared" si="1274"/>
        <v>0</v>
      </c>
      <c r="AB2964" s="214">
        <f t="shared" si="1274"/>
        <v>-2.3283064365386963E-13</v>
      </c>
      <c r="AC2964" s="214">
        <f t="shared" si="1273"/>
        <v>-2.3283064365386963E-13</v>
      </c>
      <c r="AD2964" s="214">
        <f t="shared" si="1273"/>
        <v>-2.3283064365386963E-13</v>
      </c>
      <c r="AE2964" s="214">
        <f t="shared" si="1273"/>
        <v>-2.3283064365386963E-13</v>
      </c>
      <c r="AF2964" s="214">
        <f t="shared" si="1273"/>
        <v>-2.3283064365386963E-13</v>
      </c>
      <c r="AG2964" s="214">
        <f t="shared" si="1273"/>
        <v>-2.3283064365386963E-13</v>
      </c>
      <c r="AH2964" s="214">
        <f t="shared" si="1273"/>
        <v>-2.3283064365386963E-13</v>
      </c>
      <c r="AI2964" s="214">
        <f t="shared" ref="AI2964:AO2973" si="1275">SUMIF($AR:$AR,$CI2964,AI:AI)</f>
        <v>-2.3283064365386963E-13</v>
      </c>
      <c r="AJ2964" s="214">
        <f t="shared" si="1275"/>
        <v>-2.3283064365386963E-13</v>
      </c>
      <c r="AK2964" s="214">
        <f t="shared" si="1275"/>
        <v>-2.3283064365386963E-13</v>
      </c>
      <c r="AL2964" s="214">
        <f t="shared" si="1275"/>
        <v>-2.3283064365386963E-13</v>
      </c>
      <c r="AM2964" s="214">
        <f t="shared" si="1275"/>
        <v>-2.3283064365386963E-13</v>
      </c>
      <c r="AN2964" s="214">
        <f t="shared" si="1275"/>
        <v>-2.3283064365386963E-13</v>
      </c>
      <c r="AO2964" s="214">
        <f t="shared" si="1275"/>
        <v>-2.3283064365386963E-13</v>
      </c>
      <c r="AP2964" s="214"/>
      <c r="AQ2964" s="214"/>
      <c r="AR2964" s="214"/>
      <c r="AS2964" s="214"/>
      <c r="AT2964" s="214"/>
      <c r="AU2964" s="214"/>
      <c r="AV2964" s="214"/>
      <c r="AW2964" s="214"/>
      <c r="AX2964" s="214"/>
      <c r="AY2964" s="214"/>
      <c r="AZ2964" s="214"/>
      <c r="BA2964" s="214"/>
      <c r="BB2964" s="214"/>
      <c r="BC2964" s="214"/>
      <c r="BD2964" s="214"/>
      <c r="BE2964" s="214"/>
      <c r="BF2964" s="214"/>
      <c r="BG2964" s="214"/>
      <c r="BH2964" s="214"/>
      <c r="BI2964" s="214"/>
      <c r="BJ2964" s="214"/>
      <c r="BK2964" s="214"/>
      <c r="BL2964" s="214"/>
      <c r="BM2964" s="214"/>
      <c r="BN2964" s="214"/>
      <c r="BO2964" s="214"/>
      <c r="BP2964" s="214"/>
      <c r="BQ2964" s="214"/>
      <c r="BR2964" s="214"/>
      <c r="BS2964" s="214"/>
      <c r="BT2964" s="214"/>
      <c r="BU2964" s="214"/>
      <c r="BV2964" s="214"/>
      <c r="BW2964" s="214"/>
      <c r="BX2964" s="214"/>
      <c r="BY2964" s="214"/>
      <c r="BZ2964" s="214"/>
      <c r="CA2964" s="214"/>
      <c r="CB2964" s="214"/>
      <c r="CC2964" s="214"/>
      <c r="CD2964" s="214"/>
      <c r="CE2964" s="230"/>
      <c r="CF2964" s="230"/>
      <c r="CG2964" s="230"/>
      <c r="CH2964" s="230"/>
      <c r="CI2964" s="76" t="str">
        <f t="shared" si="1260"/>
        <v>R10Outreach &amp; Education</v>
      </c>
      <c r="CJ2964" s="230"/>
      <c r="CK2964" s="230"/>
      <c r="CL2964" s="230"/>
      <c r="CM2964" s="231"/>
    </row>
    <row r="2965" spans="1:91">
      <c r="A2965" s="464"/>
      <c r="B2965" s="464"/>
      <c r="C2965" s="662" t="s">
        <v>1136</v>
      </c>
      <c r="D2965" s="689"/>
      <c r="E2965" s="422"/>
      <c r="F2965" s="422"/>
      <c r="G2965" s="461"/>
      <c r="H2965" s="678"/>
      <c r="I2965" s="462"/>
      <c r="J2965" s="462"/>
      <c r="K2965" s="422"/>
      <c r="L2965" s="655"/>
      <c r="M2965" s="422"/>
      <c r="N2965" s="463"/>
      <c r="O2965" s="463"/>
      <c r="P2965" s="689"/>
      <c r="Q2965" s="461"/>
      <c r="R2965" s="491"/>
      <c r="S2965" s="491"/>
      <c r="T2965" s="491"/>
      <c r="U2965" s="214">
        <f t="shared" si="1269"/>
        <v>34845.205444103995</v>
      </c>
      <c r="V2965" s="214">
        <f t="shared" si="1269"/>
        <v>21556.875235895997</v>
      </c>
      <c r="W2965" s="214">
        <f t="shared" si="1269"/>
        <v>0</v>
      </c>
      <c r="X2965" s="214">
        <f t="shared" si="1274"/>
        <v>56402.080679999999</v>
      </c>
      <c r="Y2965" s="214">
        <f t="shared" si="1274"/>
        <v>29620.17678365999</v>
      </c>
      <c r="Z2965" s="214">
        <f t="shared" si="1274"/>
        <v>18324.427916340006</v>
      </c>
      <c r="AA2965" s="214">
        <f t="shared" si="1274"/>
        <v>0</v>
      </c>
      <c r="AB2965" s="214">
        <f t="shared" si="1274"/>
        <v>47944.604699999996</v>
      </c>
      <c r="AC2965" s="214">
        <f t="shared" si="1273"/>
        <v>64859.556660000148</v>
      </c>
      <c r="AD2965" s="214">
        <f t="shared" si="1273"/>
        <v>63449.977329999965</v>
      </c>
      <c r="AE2965" s="214">
        <f t="shared" si="1273"/>
        <v>62040.397999999965</v>
      </c>
      <c r="AF2965" s="214">
        <f t="shared" si="1273"/>
        <v>60630.818669999971</v>
      </c>
      <c r="AG2965" s="214">
        <f t="shared" si="1273"/>
        <v>59221.239339999964</v>
      </c>
      <c r="AH2965" s="214">
        <f t="shared" si="1273"/>
        <v>57811.660009999978</v>
      </c>
      <c r="AI2965" s="214">
        <f t="shared" si="1275"/>
        <v>56402.08067999997</v>
      </c>
      <c r="AJ2965" s="214">
        <f t="shared" si="1275"/>
        <v>54992.501349999977</v>
      </c>
      <c r="AK2965" s="214">
        <f t="shared" si="1275"/>
        <v>53582.922019999976</v>
      </c>
      <c r="AL2965" s="214">
        <f t="shared" si="1275"/>
        <v>52173.342689999983</v>
      </c>
      <c r="AM2965" s="214">
        <f t="shared" si="1275"/>
        <v>50763.763359999975</v>
      </c>
      <c r="AN2965" s="214">
        <f t="shared" si="1275"/>
        <v>49354.184029999989</v>
      </c>
      <c r="AO2965" s="214">
        <f t="shared" si="1275"/>
        <v>47944.604699999996</v>
      </c>
      <c r="AP2965" s="214"/>
      <c r="AQ2965" s="214"/>
      <c r="AR2965" s="214"/>
      <c r="AS2965" s="214"/>
      <c r="AT2965" s="214"/>
      <c r="AU2965" s="214"/>
      <c r="AV2965" s="214"/>
      <c r="AW2965" s="214"/>
      <c r="AX2965" s="214"/>
      <c r="AY2965" s="214"/>
      <c r="AZ2965" s="214"/>
      <c r="BA2965" s="214"/>
      <c r="BB2965" s="214"/>
      <c r="BC2965" s="214"/>
      <c r="BD2965" s="214"/>
      <c r="BE2965" s="214"/>
      <c r="BF2965" s="214"/>
      <c r="BG2965" s="214"/>
      <c r="BH2965" s="214"/>
      <c r="BI2965" s="214"/>
      <c r="BJ2965" s="214"/>
      <c r="BK2965" s="214"/>
      <c r="BL2965" s="214"/>
      <c r="BM2965" s="214"/>
      <c r="BN2965" s="214"/>
      <c r="BO2965" s="214"/>
      <c r="BP2965" s="214"/>
      <c r="BQ2965" s="214"/>
      <c r="BR2965" s="214"/>
      <c r="BS2965" s="214"/>
      <c r="BT2965" s="214"/>
      <c r="BU2965" s="214"/>
      <c r="BV2965" s="214"/>
      <c r="BW2965" s="214"/>
      <c r="BX2965" s="214"/>
      <c r="BY2965" s="214"/>
      <c r="BZ2965" s="214"/>
      <c r="CA2965" s="214"/>
      <c r="CB2965" s="214"/>
      <c r="CC2965" s="214"/>
      <c r="CD2965" s="214"/>
      <c r="CE2965" s="230"/>
      <c r="CF2965" s="230"/>
      <c r="CG2965" s="230"/>
      <c r="CH2965" s="230"/>
      <c r="CI2965" s="76" t="str">
        <f t="shared" si="1260"/>
        <v>R10Pension Asset</v>
      </c>
      <c r="CJ2965" s="230"/>
      <c r="CK2965" s="230"/>
      <c r="CL2965" s="230"/>
      <c r="CM2965" s="231"/>
    </row>
    <row r="2966" spans="1:91">
      <c r="A2966" s="464"/>
      <c r="B2966" s="464"/>
      <c r="C2966" s="662" t="s">
        <v>1159</v>
      </c>
      <c r="D2966" s="689"/>
      <c r="E2966" s="422"/>
      <c r="F2966" s="422"/>
      <c r="G2966" s="461"/>
      <c r="H2966" s="678"/>
      <c r="I2966" s="462"/>
      <c r="J2966" s="462"/>
      <c r="K2966" s="422"/>
      <c r="L2966" s="655"/>
      <c r="M2966" s="422"/>
      <c r="N2966" s="463"/>
      <c r="O2966" s="463"/>
      <c r="P2966" s="689"/>
      <c r="Q2966" s="461"/>
      <c r="R2966" s="491"/>
      <c r="S2966" s="491"/>
      <c r="T2966" s="491"/>
      <c r="U2966" s="214">
        <f t="shared" si="1269"/>
        <v>0</v>
      </c>
      <c r="V2966" s="214">
        <f t="shared" si="1269"/>
        <v>0</v>
      </c>
      <c r="W2966" s="214">
        <f t="shared" si="1269"/>
        <v>0</v>
      </c>
      <c r="X2966" s="214">
        <f t="shared" si="1274"/>
        <v>0</v>
      </c>
      <c r="Y2966" s="214">
        <f t="shared" si="1274"/>
        <v>0</v>
      </c>
      <c r="Z2966" s="214">
        <f t="shared" si="1274"/>
        <v>0</v>
      </c>
      <c r="AA2966" s="214">
        <f t="shared" si="1274"/>
        <v>0</v>
      </c>
      <c r="AB2966" s="214">
        <f t="shared" si="1274"/>
        <v>0</v>
      </c>
      <c r="AC2966" s="214">
        <f t="shared" si="1273"/>
        <v>0</v>
      </c>
      <c r="AD2966" s="214">
        <f t="shared" si="1273"/>
        <v>0</v>
      </c>
      <c r="AE2966" s="214">
        <f t="shared" si="1273"/>
        <v>0</v>
      </c>
      <c r="AF2966" s="214">
        <f t="shared" si="1273"/>
        <v>0</v>
      </c>
      <c r="AG2966" s="214">
        <f t="shared" si="1273"/>
        <v>0</v>
      </c>
      <c r="AH2966" s="214">
        <f t="shared" si="1273"/>
        <v>0</v>
      </c>
      <c r="AI2966" s="214">
        <f t="shared" si="1275"/>
        <v>0</v>
      </c>
      <c r="AJ2966" s="214">
        <f t="shared" si="1275"/>
        <v>0</v>
      </c>
      <c r="AK2966" s="214">
        <f t="shared" si="1275"/>
        <v>0</v>
      </c>
      <c r="AL2966" s="214">
        <f t="shared" si="1275"/>
        <v>0</v>
      </c>
      <c r="AM2966" s="214">
        <f t="shared" si="1275"/>
        <v>0</v>
      </c>
      <c r="AN2966" s="214">
        <f t="shared" si="1275"/>
        <v>0</v>
      </c>
      <c r="AO2966" s="214">
        <f t="shared" si="1275"/>
        <v>0</v>
      </c>
      <c r="AP2966" s="214"/>
      <c r="AQ2966" s="214"/>
      <c r="AR2966" s="214"/>
      <c r="AS2966" s="214"/>
      <c r="AT2966" s="214"/>
      <c r="AU2966" s="214"/>
      <c r="AV2966" s="214"/>
      <c r="AW2966" s="214"/>
      <c r="AX2966" s="214"/>
      <c r="AY2966" s="214"/>
      <c r="AZ2966" s="214"/>
      <c r="BA2966" s="214"/>
      <c r="BB2966" s="214"/>
      <c r="BC2966" s="214"/>
      <c r="BD2966" s="214"/>
      <c r="BE2966" s="214"/>
      <c r="BF2966" s="214"/>
      <c r="BG2966" s="214"/>
      <c r="BH2966" s="214"/>
      <c r="BI2966" s="214"/>
      <c r="BJ2966" s="214"/>
      <c r="BK2966" s="214"/>
      <c r="BL2966" s="214"/>
      <c r="BM2966" s="214"/>
      <c r="BN2966" s="214"/>
      <c r="BO2966" s="214"/>
      <c r="BP2966" s="214"/>
      <c r="BQ2966" s="214"/>
      <c r="BR2966" s="214"/>
      <c r="BS2966" s="214"/>
      <c r="BT2966" s="214"/>
      <c r="BU2966" s="214"/>
      <c r="BV2966" s="214"/>
      <c r="BW2966" s="214"/>
      <c r="BX2966" s="214"/>
      <c r="BY2966" s="214"/>
      <c r="BZ2966" s="214"/>
      <c r="CA2966" s="214"/>
      <c r="CB2966" s="214"/>
      <c r="CC2966" s="214"/>
      <c r="CD2966" s="214"/>
      <c r="CE2966" s="230"/>
      <c r="CF2966" s="230"/>
      <c r="CG2966" s="230"/>
      <c r="CH2966" s="230"/>
      <c r="CI2966" s="76" t="str">
        <f t="shared" si="1260"/>
        <v>R10Pension True-up</v>
      </c>
      <c r="CJ2966" s="230"/>
      <c r="CK2966" s="230"/>
      <c r="CL2966" s="230"/>
      <c r="CM2966" s="231"/>
    </row>
    <row r="2967" spans="1:91">
      <c r="A2967" s="464"/>
      <c r="B2967" s="464"/>
      <c r="C2967" s="662" t="s">
        <v>1481</v>
      </c>
      <c r="D2967" s="689"/>
      <c r="E2967" s="422"/>
      <c r="F2967" s="422"/>
      <c r="G2967" s="461"/>
      <c r="H2967" s="678"/>
      <c r="I2967" s="462"/>
      <c r="J2967" s="462"/>
      <c r="K2967" s="422"/>
      <c r="L2967" s="655"/>
      <c r="M2967" s="422"/>
      <c r="N2967" s="463"/>
      <c r="O2967" s="463"/>
      <c r="P2967" s="689"/>
      <c r="Q2967" s="461"/>
      <c r="R2967" s="491"/>
      <c r="S2967" s="491"/>
      <c r="T2967" s="491"/>
      <c r="U2967" s="214">
        <f t="shared" si="1269"/>
        <v>-37852.993609999998</v>
      </c>
      <c r="V2967" s="214">
        <f t="shared" si="1269"/>
        <v>348.34663999999998</v>
      </c>
      <c r="W2967" s="214">
        <f t="shared" si="1269"/>
        <v>0</v>
      </c>
      <c r="X2967" s="214">
        <f t="shared" si="1274"/>
        <v>-37504.646969999994</v>
      </c>
      <c r="Y2967" s="214">
        <f t="shared" si="1274"/>
        <v>-37852.993609999998</v>
      </c>
      <c r="Z2967" s="214">
        <f t="shared" si="1274"/>
        <v>348.34663999999998</v>
      </c>
      <c r="AA2967" s="214">
        <f t="shared" si="1274"/>
        <v>0</v>
      </c>
      <c r="AB2967" s="214">
        <f t="shared" si="1274"/>
        <v>-37504.646969999994</v>
      </c>
      <c r="AC2967" s="214">
        <f t="shared" si="1273"/>
        <v>-37504.646970000016</v>
      </c>
      <c r="AD2967" s="214">
        <f t="shared" si="1273"/>
        <v>-37504.646969999994</v>
      </c>
      <c r="AE2967" s="214">
        <f t="shared" si="1273"/>
        <v>-37504.646969999994</v>
      </c>
      <c r="AF2967" s="214">
        <f t="shared" si="1273"/>
        <v>-37504.646969999994</v>
      </c>
      <c r="AG2967" s="214">
        <f t="shared" si="1273"/>
        <v>-37504.646969999994</v>
      </c>
      <c r="AH2967" s="214">
        <f t="shared" si="1273"/>
        <v>-37504.646969999994</v>
      </c>
      <c r="AI2967" s="214">
        <f t="shared" si="1275"/>
        <v>-37504.646969999994</v>
      </c>
      <c r="AJ2967" s="214">
        <f t="shared" si="1275"/>
        <v>-37504.646969999994</v>
      </c>
      <c r="AK2967" s="214">
        <f t="shared" si="1275"/>
        <v>-37504.646969999994</v>
      </c>
      <c r="AL2967" s="214">
        <f t="shared" si="1275"/>
        <v>-37504.646969999994</v>
      </c>
      <c r="AM2967" s="214">
        <f t="shared" si="1275"/>
        <v>-37504.646969999994</v>
      </c>
      <c r="AN2967" s="214">
        <f t="shared" si="1275"/>
        <v>-37504.646969999994</v>
      </c>
      <c r="AO2967" s="214">
        <f t="shared" si="1275"/>
        <v>-37504.646969999994</v>
      </c>
      <c r="AP2967" s="214"/>
      <c r="AQ2967" s="214"/>
      <c r="AR2967" s="214"/>
      <c r="AS2967" s="214"/>
      <c r="AT2967" s="214"/>
      <c r="AU2967" s="214"/>
      <c r="AV2967" s="214"/>
      <c r="AW2967" s="214"/>
      <c r="AX2967" s="214"/>
      <c r="AY2967" s="214"/>
      <c r="AZ2967" s="214"/>
      <c r="BA2967" s="214"/>
      <c r="BB2967" s="214"/>
      <c r="BC2967" s="214"/>
      <c r="BD2967" s="214"/>
      <c r="BE2967" s="214"/>
      <c r="BF2967" s="214"/>
      <c r="BG2967" s="214"/>
      <c r="BH2967" s="214"/>
      <c r="BI2967" s="214"/>
      <c r="BJ2967" s="214"/>
      <c r="BK2967" s="214"/>
      <c r="BL2967" s="214"/>
      <c r="BM2967" s="214"/>
      <c r="BN2967" s="214"/>
      <c r="BO2967" s="214"/>
      <c r="BP2967" s="214"/>
      <c r="BQ2967" s="214"/>
      <c r="BR2967" s="214"/>
      <c r="BS2967" s="214"/>
      <c r="BT2967" s="214"/>
      <c r="BU2967" s="214"/>
      <c r="BV2967" s="214"/>
      <c r="BW2967" s="214"/>
      <c r="BX2967" s="214"/>
      <c r="BY2967" s="214"/>
      <c r="BZ2967" s="214"/>
      <c r="CA2967" s="214"/>
      <c r="CB2967" s="214"/>
      <c r="CC2967" s="214"/>
      <c r="CD2967" s="214"/>
      <c r="CE2967" s="230"/>
      <c r="CF2967" s="230"/>
      <c r="CG2967" s="230"/>
      <c r="CH2967" s="230"/>
      <c r="CI2967" s="76" t="str">
        <f t="shared" si="1260"/>
        <v>R10Positive Benefit Adjustment</v>
      </c>
      <c r="CJ2967" s="230"/>
      <c r="CK2967" s="230"/>
      <c r="CL2967" s="230"/>
      <c r="CM2967" s="231"/>
    </row>
    <row r="2968" spans="1:91">
      <c r="A2968" s="464"/>
      <c r="B2968" s="464"/>
      <c r="C2968" s="662" t="s">
        <v>1199</v>
      </c>
      <c r="D2968" s="689"/>
      <c r="E2968" s="422"/>
      <c r="F2968" s="422"/>
      <c r="G2968" s="461"/>
      <c r="H2968" s="678"/>
      <c r="I2968" s="462"/>
      <c r="J2968" s="462"/>
      <c r="K2968" s="422"/>
      <c r="L2968" s="655"/>
      <c r="M2968" s="422"/>
      <c r="N2968" s="463"/>
      <c r="O2968" s="463"/>
      <c r="P2968" s="689"/>
      <c r="Q2968" s="461"/>
      <c r="R2968" s="491"/>
      <c r="S2968" s="491"/>
      <c r="T2968" s="491"/>
      <c r="U2968" s="214">
        <f t="shared" ref="U2968:W2982" si="1276">SUMIF($AR:$AR,$CI2968,U:U)</f>
        <v>5E-15</v>
      </c>
      <c r="V2968" s="214">
        <f t="shared" si="1276"/>
        <v>2.0000000000000002E-15</v>
      </c>
      <c r="W2968" s="214">
        <f t="shared" si="1276"/>
        <v>0</v>
      </c>
      <c r="X2968" s="214">
        <f t="shared" si="1274"/>
        <v>7.0000000000000001E-15</v>
      </c>
      <c r="Y2968" s="214">
        <f t="shared" si="1274"/>
        <v>0</v>
      </c>
      <c r="Z2968" s="214">
        <f t="shared" si="1274"/>
        <v>0</v>
      </c>
      <c r="AA2968" s="214">
        <f t="shared" si="1274"/>
        <v>0</v>
      </c>
      <c r="AB2968" s="214">
        <f t="shared" si="1274"/>
        <v>0</v>
      </c>
      <c r="AC2968" s="214">
        <f t="shared" ref="AC2968:AH2982" si="1277">SUMIF($AR:$AR,$CI2968,AC:AC)</f>
        <v>1.5825207810848953E-13</v>
      </c>
      <c r="AD2968" s="214">
        <f t="shared" si="1277"/>
        <v>0</v>
      </c>
      <c r="AE2968" s="214">
        <f t="shared" si="1277"/>
        <v>0</v>
      </c>
      <c r="AF2968" s="214">
        <f t="shared" si="1277"/>
        <v>0</v>
      </c>
      <c r="AG2968" s="214">
        <f t="shared" si="1277"/>
        <v>0</v>
      </c>
      <c r="AH2968" s="214">
        <f t="shared" si="1277"/>
        <v>0</v>
      </c>
      <c r="AI2968" s="214">
        <f t="shared" si="1275"/>
        <v>0</v>
      </c>
      <c r="AJ2968" s="214">
        <f t="shared" si="1275"/>
        <v>0</v>
      </c>
      <c r="AK2968" s="214">
        <f t="shared" si="1275"/>
        <v>0</v>
      </c>
      <c r="AL2968" s="214">
        <f t="shared" si="1275"/>
        <v>0</v>
      </c>
      <c r="AM2968" s="214">
        <f t="shared" si="1275"/>
        <v>0</v>
      </c>
      <c r="AN2968" s="214">
        <f t="shared" si="1275"/>
        <v>0</v>
      </c>
      <c r="AO2968" s="214">
        <f t="shared" si="1275"/>
        <v>0</v>
      </c>
      <c r="AP2968" s="214"/>
      <c r="AQ2968" s="214"/>
      <c r="AR2968" s="214"/>
      <c r="AS2968" s="214"/>
      <c r="AT2968" s="214"/>
      <c r="AU2968" s="214"/>
      <c r="AV2968" s="214"/>
      <c r="AW2968" s="214"/>
      <c r="AX2968" s="214"/>
      <c r="AY2968" s="214"/>
      <c r="AZ2968" s="214"/>
      <c r="BA2968" s="214"/>
      <c r="BB2968" s="214"/>
      <c r="BC2968" s="214"/>
      <c r="BD2968" s="214"/>
      <c r="BE2968" s="214"/>
      <c r="BF2968" s="214"/>
      <c r="BG2968" s="214"/>
      <c r="BH2968" s="214"/>
      <c r="BI2968" s="214"/>
      <c r="BJ2968" s="214"/>
      <c r="BK2968" s="214"/>
      <c r="BL2968" s="214"/>
      <c r="BM2968" s="214"/>
      <c r="BN2968" s="214"/>
      <c r="BO2968" s="214"/>
      <c r="BP2968" s="214"/>
      <c r="BQ2968" s="214"/>
      <c r="BR2968" s="214"/>
      <c r="BS2968" s="214"/>
      <c r="BT2968" s="214"/>
      <c r="BU2968" s="214"/>
      <c r="BV2968" s="214"/>
      <c r="BW2968" s="214"/>
      <c r="BX2968" s="214"/>
      <c r="BY2968" s="214"/>
      <c r="BZ2968" s="214"/>
      <c r="CA2968" s="214"/>
      <c r="CB2968" s="214"/>
      <c r="CC2968" s="214"/>
      <c r="CD2968" s="214"/>
      <c r="CE2968" s="230"/>
      <c r="CF2968" s="230"/>
      <c r="CG2968" s="230"/>
      <c r="CH2968" s="230"/>
      <c r="CI2968" s="76" t="str">
        <f t="shared" si="1260"/>
        <v>R10Pre-Capitalized Installation Costs</v>
      </c>
      <c r="CJ2968" s="230"/>
      <c r="CK2968" s="230"/>
      <c r="CL2968" s="230"/>
      <c r="CM2968" s="231"/>
    </row>
    <row r="2969" spans="1:91">
      <c r="A2969" s="464"/>
      <c r="B2969" s="464"/>
      <c r="C2969" s="662" t="s">
        <v>2617</v>
      </c>
      <c r="D2969" s="689"/>
      <c r="E2969" s="422"/>
      <c r="F2969" s="422"/>
      <c r="G2969" s="461"/>
      <c r="H2969" s="678"/>
      <c r="I2969" s="462"/>
      <c r="J2969" s="462"/>
      <c r="K2969" s="422"/>
      <c r="L2969" s="655"/>
      <c r="M2969" s="422"/>
      <c r="N2969" s="463"/>
      <c r="O2969" s="463"/>
      <c r="P2969" s="689"/>
      <c r="Q2969" s="461"/>
      <c r="R2969" s="491"/>
      <c r="S2969" s="491"/>
      <c r="T2969" s="491"/>
      <c r="U2969" s="214">
        <f t="shared" si="1276"/>
        <v>1383.22251416667</v>
      </c>
      <c r="V2969" s="214">
        <f t="shared" si="1276"/>
        <v>0</v>
      </c>
      <c r="W2969" s="214">
        <f t="shared" si="1276"/>
        <v>0</v>
      </c>
      <c r="X2969" s="214">
        <f t="shared" si="1274"/>
        <v>1383.22251416667</v>
      </c>
      <c r="Y2969" s="214">
        <f t="shared" si="1274"/>
        <v>1753.9948999999999</v>
      </c>
      <c r="Z2969" s="214">
        <f t="shared" si="1274"/>
        <v>0</v>
      </c>
      <c r="AA2969" s="214">
        <f t="shared" si="1274"/>
        <v>0</v>
      </c>
      <c r="AB2969" s="214">
        <f t="shared" si="1274"/>
        <v>1753.9948999999999</v>
      </c>
      <c r="AC2969" s="214">
        <f t="shared" si="1277"/>
        <v>1195.4165800000001</v>
      </c>
      <c r="AD2969" s="214">
        <f t="shared" si="1277"/>
        <v>1180.7632699999999</v>
      </c>
      <c r="AE2969" s="214">
        <f t="shared" si="1277"/>
        <v>1208.5639099999999</v>
      </c>
      <c r="AF2969" s="214">
        <f t="shared" si="1277"/>
        <v>1217.05033</v>
      </c>
      <c r="AG2969" s="214">
        <f t="shared" si="1277"/>
        <v>1239.3900599999999</v>
      </c>
      <c r="AH2969" s="214">
        <f t="shared" si="1277"/>
        <v>1298.5561</v>
      </c>
      <c r="AI2969" s="214">
        <f t="shared" si="1275"/>
        <v>1113.6307199999999</v>
      </c>
      <c r="AJ2969" s="214">
        <f t="shared" si="1275"/>
        <v>1153.8295900000001</v>
      </c>
      <c r="AK2969" s="214">
        <f t="shared" si="1275"/>
        <v>1567.7543999999998</v>
      </c>
      <c r="AL2969" s="214">
        <f t="shared" si="1275"/>
        <v>1733.3052299999999</v>
      </c>
      <c r="AM2969" s="214">
        <f t="shared" si="1275"/>
        <v>1810.4819600000001</v>
      </c>
      <c r="AN2969" s="214">
        <f t="shared" si="1275"/>
        <v>1600.63886</v>
      </c>
      <c r="AO2969" s="214">
        <f t="shared" si="1275"/>
        <v>1753.9948999999999</v>
      </c>
      <c r="AP2969" s="214"/>
      <c r="AQ2969" s="214"/>
      <c r="AR2969" s="214"/>
      <c r="AS2969" s="214"/>
      <c r="AT2969" s="214"/>
      <c r="AU2969" s="214"/>
      <c r="AV2969" s="214"/>
      <c r="AW2969" s="214"/>
      <c r="AX2969" s="214"/>
      <c r="AY2969" s="214"/>
      <c r="AZ2969" s="214"/>
      <c r="BA2969" s="214"/>
      <c r="BB2969" s="214"/>
      <c r="BC2969" s="214"/>
      <c r="BD2969" s="214"/>
      <c r="BE2969" s="214"/>
      <c r="BF2969" s="214"/>
      <c r="BG2969" s="214"/>
      <c r="BH2969" s="214"/>
      <c r="BI2969" s="214"/>
      <c r="BJ2969" s="214"/>
      <c r="BK2969" s="214"/>
      <c r="BL2969" s="214"/>
      <c r="BM2969" s="214"/>
      <c r="BN2969" s="214"/>
      <c r="BO2969" s="214"/>
      <c r="BP2969" s="214"/>
      <c r="BQ2969" s="214"/>
      <c r="BR2969" s="214"/>
      <c r="BS2969" s="214"/>
      <c r="BT2969" s="214"/>
      <c r="BU2969" s="214"/>
      <c r="BV2969" s="214"/>
      <c r="BW2969" s="214"/>
      <c r="BX2969" s="214"/>
      <c r="BY2969" s="214"/>
      <c r="BZ2969" s="214"/>
      <c r="CA2969" s="214"/>
      <c r="CB2969" s="214"/>
      <c r="CC2969" s="214"/>
      <c r="CD2969" s="214"/>
      <c r="CE2969" s="230"/>
      <c r="CF2969" s="230"/>
      <c r="CG2969" s="230"/>
      <c r="CH2969" s="230"/>
      <c r="CI2969" s="76" t="str">
        <f t="shared" si="1260"/>
        <v>R10Preliminary Survey and Investigation</v>
      </c>
      <c r="CJ2969" s="230"/>
      <c r="CK2969" s="230"/>
      <c r="CL2969" s="230"/>
      <c r="CM2969" s="231"/>
    </row>
    <row r="2970" spans="1:91">
      <c r="A2970" s="464"/>
      <c r="B2970" s="464"/>
      <c r="C2970" s="662" t="s">
        <v>1181</v>
      </c>
      <c r="D2970" s="689"/>
      <c r="E2970" s="422"/>
      <c r="F2970" s="422"/>
      <c r="G2970" s="461"/>
      <c r="H2970" s="678"/>
      <c r="I2970" s="462"/>
      <c r="J2970" s="462"/>
      <c r="K2970" s="422"/>
      <c r="L2970" s="655"/>
      <c r="M2970" s="422"/>
      <c r="N2970" s="463"/>
      <c r="O2970" s="463"/>
      <c r="P2970" s="689"/>
      <c r="Q2970" s="461"/>
      <c r="R2970" s="491"/>
      <c r="S2970" s="491"/>
      <c r="T2970" s="491"/>
      <c r="U2970" s="214">
        <f t="shared" si="1276"/>
        <v>-345.96557999999999</v>
      </c>
      <c r="V2970" s="214">
        <f t="shared" si="1276"/>
        <v>-151.36189999999999</v>
      </c>
      <c r="W2970" s="214">
        <f t="shared" si="1276"/>
        <v>0</v>
      </c>
      <c r="X2970" s="214">
        <f t="shared" si="1274"/>
        <v>-497.32747999999998</v>
      </c>
      <c r="Y2970" s="214">
        <f t="shared" si="1274"/>
        <v>-345.96557999999999</v>
      </c>
      <c r="Z2970" s="214">
        <f t="shared" si="1274"/>
        <v>-151.36189999999999</v>
      </c>
      <c r="AA2970" s="214">
        <f t="shared" si="1274"/>
        <v>0</v>
      </c>
      <c r="AB2970" s="214">
        <f t="shared" si="1274"/>
        <v>-497.32747999999998</v>
      </c>
      <c r="AC2970" s="214">
        <f t="shared" si="1277"/>
        <v>-497.32747999999998</v>
      </c>
      <c r="AD2970" s="214">
        <f t="shared" si="1277"/>
        <v>-497.32747999999998</v>
      </c>
      <c r="AE2970" s="214">
        <f t="shared" si="1277"/>
        <v>-497.32747999999998</v>
      </c>
      <c r="AF2970" s="214">
        <f t="shared" si="1277"/>
        <v>-497.32747999999998</v>
      </c>
      <c r="AG2970" s="214">
        <f t="shared" si="1277"/>
        <v>-497.32747999999998</v>
      </c>
      <c r="AH2970" s="214">
        <f t="shared" si="1277"/>
        <v>-497.32747999999998</v>
      </c>
      <c r="AI2970" s="214">
        <f t="shared" si="1275"/>
        <v>-497.32747999999998</v>
      </c>
      <c r="AJ2970" s="214">
        <f t="shared" si="1275"/>
        <v>-497.32747999999998</v>
      </c>
      <c r="AK2970" s="214">
        <f t="shared" si="1275"/>
        <v>-497.32747999999998</v>
      </c>
      <c r="AL2970" s="214">
        <f t="shared" si="1275"/>
        <v>-497.32747999999998</v>
      </c>
      <c r="AM2970" s="214">
        <f t="shared" si="1275"/>
        <v>-497.32747999999998</v>
      </c>
      <c r="AN2970" s="214">
        <f t="shared" si="1275"/>
        <v>-497.32747999999998</v>
      </c>
      <c r="AO2970" s="214">
        <f t="shared" si="1275"/>
        <v>-497.32747999999998</v>
      </c>
      <c r="AP2970" s="214"/>
      <c r="AQ2970" s="214"/>
      <c r="AR2970" s="214"/>
      <c r="AS2970" s="214"/>
      <c r="AT2970" s="214"/>
      <c r="AU2970" s="214"/>
      <c r="AV2970" s="214"/>
      <c r="AW2970" s="214"/>
      <c r="AX2970" s="214"/>
      <c r="AY2970" s="214"/>
      <c r="AZ2970" s="214"/>
      <c r="BA2970" s="214"/>
      <c r="BB2970" s="214"/>
      <c r="BC2970" s="214"/>
      <c r="BD2970" s="214"/>
      <c r="BE2970" s="214"/>
      <c r="BF2970" s="214"/>
      <c r="BG2970" s="214"/>
      <c r="BH2970" s="214"/>
      <c r="BI2970" s="214"/>
      <c r="BJ2970" s="214"/>
      <c r="BK2970" s="214"/>
      <c r="BL2970" s="214"/>
      <c r="BM2970" s="214"/>
      <c r="BN2970" s="214"/>
      <c r="BO2970" s="214"/>
      <c r="BP2970" s="214"/>
      <c r="BQ2970" s="214"/>
      <c r="BR2970" s="214"/>
      <c r="BS2970" s="214"/>
      <c r="BT2970" s="214"/>
      <c r="BU2970" s="214"/>
      <c r="BV2970" s="214"/>
      <c r="BW2970" s="214"/>
      <c r="BX2970" s="214"/>
      <c r="BY2970" s="214"/>
      <c r="BZ2970" s="214"/>
      <c r="CA2970" s="214"/>
      <c r="CB2970" s="214"/>
      <c r="CC2970" s="214"/>
      <c r="CD2970" s="214"/>
      <c r="CE2970" s="230"/>
      <c r="CF2970" s="230"/>
      <c r="CG2970" s="230"/>
      <c r="CH2970" s="230"/>
      <c r="CI2970" s="76" t="str">
        <f t="shared" si="1260"/>
        <v>R10Property Tax 481(a)</v>
      </c>
      <c r="CJ2970" s="230"/>
      <c r="CK2970" s="230"/>
      <c r="CL2970" s="230"/>
      <c r="CM2970" s="231"/>
    </row>
    <row r="2971" spans="1:91">
      <c r="A2971" s="464"/>
      <c r="B2971" s="464"/>
      <c r="C2971" s="662" t="s">
        <v>1113</v>
      </c>
      <c r="D2971" s="689"/>
      <c r="E2971" s="422"/>
      <c r="F2971" s="422"/>
      <c r="G2971" s="461"/>
      <c r="H2971" s="678"/>
      <c r="I2971" s="462"/>
      <c r="J2971" s="462"/>
      <c r="K2971" s="422"/>
      <c r="L2971" s="655"/>
      <c r="M2971" s="422"/>
      <c r="N2971" s="463"/>
      <c r="O2971" s="463"/>
      <c r="P2971" s="689"/>
      <c r="Q2971" s="461"/>
      <c r="R2971" s="491"/>
      <c r="S2971" s="491"/>
      <c r="T2971" s="491"/>
      <c r="U2971" s="214">
        <f t="shared" si="1276"/>
        <v>1.1640000000000001E-12</v>
      </c>
      <c r="V2971" s="214">
        <f t="shared" si="1276"/>
        <v>0</v>
      </c>
      <c r="W2971" s="214">
        <f t="shared" si="1276"/>
        <v>0</v>
      </c>
      <c r="X2971" s="214">
        <f t="shared" si="1274"/>
        <v>1.1640000000000001E-12</v>
      </c>
      <c r="Y2971" s="214">
        <f t="shared" si="1274"/>
        <v>1.1640000000000001E-12</v>
      </c>
      <c r="Z2971" s="214">
        <f t="shared" si="1274"/>
        <v>0</v>
      </c>
      <c r="AA2971" s="214">
        <f t="shared" si="1274"/>
        <v>0</v>
      </c>
      <c r="AB2971" s="214">
        <f t="shared" si="1274"/>
        <v>1.1641532182693482E-12</v>
      </c>
      <c r="AC2971" s="214">
        <f t="shared" si="1277"/>
        <v>1.1641532182693482E-12</v>
      </c>
      <c r="AD2971" s="214">
        <f t="shared" si="1277"/>
        <v>1.1641532182693482E-12</v>
      </c>
      <c r="AE2971" s="214">
        <f t="shared" si="1277"/>
        <v>1.1641532182693482E-12</v>
      </c>
      <c r="AF2971" s="214">
        <f t="shared" si="1277"/>
        <v>1.1641532182693482E-12</v>
      </c>
      <c r="AG2971" s="214">
        <f t="shared" si="1277"/>
        <v>1.1641532182693482E-12</v>
      </c>
      <c r="AH2971" s="214">
        <f t="shared" si="1277"/>
        <v>1.1641532182693482E-12</v>
      </c>
      <c r="AI2971" s="214">
        <f t="shared" si="1275"/>
        <v>1.1641532182693482E-12</v>
      </c>
      <c r="AJ2971" s="214">
        <f t="shared" si="1275"/>
        <v>1.1641532182693482E-12</v>
      </c>
      <c r="AK2971" s="214">
        <f t="shared" si="1275"/>
        <v>1.1641532182693482E-12</v>
      </c>
      <c r="AL2971" s="214">
        <f t="shared" si="1275"/>
        <v>1.1641532182693482E-12</v>
      </c>
      <c r="AM2971" s="214">
        <f t="shared" si="1275"/>
        <v>1.1641532182693482E-12</v>
      </c>
      <c r="AN2971" s="214">
        <f t="shared" si="1275"/>
        <v>1.1641532182693482E-12</v>
      </c>
      <c r="AO2971" s="214">
        <f t="shared" si="1275"/>
        <v>1.1641532182693482E-12</v>
      </c>
      <c r="AP2971" s="214"/>
      <c r="AQ2971" s="214"/>
      <c r="AR2971" s="214"/>
      <c r="AS2971" s="214"/>
      <c r="AT2971" s="214"/>
      <c r="AU2971" s="214"/>
      <c r="AV2971" s="214"/>
      <c r="AW2971" s="214"/>
      <c r="AX2971" s="214"/>
      <c r="AY2971" s="214"/>
      <c r="AZ2971" s="214"/>
      <c r="BA2971" s="214"/>
      <c r="BB2971" s="214"/>
      <c r="BC2971" s="214"/>
      <c r="BD2971" s="214"/>
      <c r="BE2971" s="214"/>
      <c r="BF2971" s="214"/>
      <c r="BG2971" s="214"/>
      <c r="BH2971" s="214"/>
      <c r="BI2971" s="214"/>
      <c r="BJ2971" s="214"/>
      <c r="BK2971" s="214"/>
      <c r="BL2971" s="214"/>
      <c r="BM2971" s="214"/>
      <c r="BN2971" s="214"/>
      <c r="BO2971" s="214"/>
      <c r="BP2971" s="214"/>
      <c r="BQ2971" s="214"/>
      <c r="BR2971" s="214"/>
      <c r="BS2971" s="214"/>
      <c r="BT2971" s="214"/>
      <c r="BU2971" s="214"/>
      <c r="BV2971" s="214"/>
      <c r="BW2971" s="214"/>
      <c r="BX2971" s="214"/>
      <c r="BY2971" s="214"/>
      <c r="BZ2971" s="214"/>
      <c r="CA2971" s="214"/>
      <c r="CB2971" s="214"/>
      <c r="CC2971" s="214"/>
      <c r="CD2971" s="214"/>
      <c r="CE2971" s="230"/>
      <c r="CF2971" s="230"/>
      <c r="CG2971" s="230"/>
      <c r="CH2971" s="230"/>
      <c r="CI2971" s="76" t="str">
        <f t="shared" si="1260"/>
        <v>R10Property Tax Deferral</v>
      </c>
      <c r="CJ2971" s="230"/>
      <c r="CK2971" s="230"/>
      <c r="CL2971" s="230"/>
      <c r="CM2971" s="231"/>
    </row>
    <row r="2972" spans="1:91">
      <c r="A2972" s="464"/>
      <c r="B2972" s="464"/>
      <c r="C2972" s="662" t="s">
        <v>817</v>
      </c>
      <c r="D2972" s="689"/>
      <c r="E2972" s="422"/>
      <c r="F2972" s="422"/>
      <c r="G2972" s="461"/>
      <c r="H2972" s="678"/>
      <c r="I2972" s="462"/>
      <c r="J2972" s="462"/>
      <c r="K2972" s="422"/>
      <c r="L2972" s="655"/>
      <c r="M2972" s="422"/>
      <c r="N2972" s="463"/>
      <c r="O2972" s="463"/>
      <c r="P2972" s="689"/>
      <c r="Q2972" s="461"/>
      <c r="R2972" s="491"/>
      <c r="S2972" s="491"/>
      <c r="T2972" s="491"/>
      <c r="U2972" s="214">
        <f t="shared" si="1276"/>
        <v>18.686495000000001</v>
      </c>
      <c r="V2972" s="214">
        <f t="shared" si="1276"/>
        <v>-11.562606666666699</v>
      </c>
      <c r="W2972" s="214">
        <f t="shared" si="1276"/>
        <v>0</v>
      </c>
      <c r="X2972" s="214">
        <f t="shared" si="1274"/>
        <v>7.1238883333333014</v>
      </c>
      <c r="Y2972" s="214">
        <f t="shared" si="1274"/>
        <v>0</v>
      </c>
      <c r="Z2972" s="214">
        <f t="shared" si="1274"/>
        <v>-55.232500000000002</v>
      </c>
      <c r="AA2972" s="214">
        <f t="shared" si="1274"/>
        <v>0</v>
      </c>
      <c r="AB2972" s="214">
        <f t="shared" si="1274"/>
        <v>-55.232500000000009</v>
      </c>
      <c r="AC2972" s="214">
        <f t="shared" si="1277"/>
        <v>0</v>
      </c>
      <c r="AD2972" s="214">
        <f t="shared" si="1277"/>
        <v>0</v>
      </c>
      <c r="AE2972" s="214">
        <f t="shared" si="1277"/>
        <v>0</v>
      </c>
      <c r="AF2972" s="214">
        <f t="shared" si="1277"/>
        <v>0</v>
      </c>
      <c r="AG2972" s="214">
        <f t="shared" si="1277"/>
        <v>0</v>
      </c>
      <c r="AH2972" s="214">
        <f t="shared" si="1277"/>
        <v>0</v>
      </c>
      <c r="AI2972" s="214">
        <f t="shared" si="1275"/>
        <v>0</v>
      </c>
      <c r="AJ2972" s="214">
        <f t="shared" si="1275"/>
        <v>-6.22532</v>
      </c>
      <c r="AK2972" s="214">
        <f t="shared" si="1275"/>
        <v>-5.7293400000000005</v>
      </c>
      <c r="AL2972" s="214">
        <f t="shared" si="1275"/>
        <v>-5.2693400000000006</v>
      </c>
      <c r="AM2972" s="214">
        <f t="shared" si="1275"/>
        <v>67.889759999999995</v>
      </c>
      <c r="AN2972" s="214">
        <f t="shared" si="1275"/>
        <v>62.437149999999995</v>
      </c>
      <c r="AO2972" s="214">
        <f t="shared" si="1275"/>
        <v>-55.232500000000009</v>
      </c>
      <c r="AP2972" s="214"/>
      <c r="AQ2972" s="214"/>
      <c r="AR2972" s="214"/>
      <c r="AS2972" s="214"/>
      <c r="AT2972" s="214"/>
      <c r="AU2972" s="214"/>
      <c r="AV2972" s="214"/>
      <c r="AW2972" s="214"/>
      <c r="AX2972" s="214"/>
      <c r="AY2972" s="214"/>
      <c r="AZ2972" s="214"/>
      <c r="BA2972" s="214"/>
      <c r="BB2972" s="214"/>
      <c r="BC2972" s="214"/>
      <c r="BD2972" s="214"/>
      <c r="BE2972" s="214"/>
      <c r="BF2972" s="214"/>
      <c r="BG2972" s="214"/>
      <c r="BH2972" s="214"/>
      <c r="BI2972" s="214"/>
      <c r="BJ2972" s="214"/>
      <c r="BK2972" s="214"/>
      <c r="BL2972" s="214"/>
      <c r="BM2972" s="214"/>
      <c r="BN2972" s="214"/>
      <c r="BO2972" s="214"/>
      <c r="BP2972" s="214"/>
      <c r="BQ2972" s="214"/>
      <c r="BR2972" s="214"/>
      <c r="BS2972" s="214"/>
      <c r="BT2972" s="214"/>
      <c r="BU2972" s="214"/>
      <c r="BV2972" s="214"/>
      <c r="BW2972" s="214"/>
      <c r="BX2972" s="214"/>
      <c r="BY2972" s="214"/>
      <c r="BZ2972" s="214"/>
      <c r="CA2972" s="214"/>
      <c r="CB2972" s="214"/>
      <c r="CC2972" s="214"/>
      <c r="CD2972" s="214"/>
      <c r="CE2972" s="230"/>
      <c r="CF2972" s="230"/>
      <c r="CG2972" s="230"/>
      <c r="CH2972" s="230"/>
      <c r="CI2972" s="76" t="str">
        <f t="shared" si="1260"/>
        <v>R10PSC Assessment</v>
      </c>
      <c r="CJ2972" s="230"/>
      <c r="CK2972" s="230"/>
      <c r="CL2972" s="230"/>
      <c r="CM2972" s="231"/>
    </row>
    <row r="2973" spans="1:91">
      <c r="A2973" s="464"/>
      <c r="B2973" s="464"/>
      <c r="C2973" s="662" t="s">
        <v>1245</v>
      </c>
      <c r="D2973" s="689"/>
      <c r="E2973" s="422"/>
      <c r="F2973" s="422"/>
      <c r="G2973" s="461"/>
      <c r="H2973" s="678"/>
      <c r="I2973" s="462"/>
      <c r="J2973" s="462"/>
      <c r="K2973" s="422"/>
      <c r="L2973" s="655"/>
      <c r="M2973" s="422"/>
      <c r="N2973" s="463"/>
      <c r="O2973" s="463"/>
      <c r="P2973" s="689"/>
      <c r="Q2973" s="461"/>
      <c r="R2973" s="491"/>
      <c r="S2973" s="491"/>
      <c r="T2973" s="491"/>
      <c r="U2973" s="214">
        <f t="shared" si="1276"/>
        <v>0</v>
      </c>
      <c r="V2973" s="214">
        <f t="shared" si="1276"/>
        <v>1046.9082937499998</v>
      </c>
      <c r="W2973" s="214">
        <f t="shared" si="1276"/>
        <v>0</v>
      </c>
      <c r="X2973" s="214">
        <f t="shared" si="1274"/>
        <v>1046.9082937499998</v>
      </c>
      <c r="Y2973" s="214">
        <f t="shared" si="1274"/>
        <v>0</v>
      </c>
      <c r="Z2973" s="214">
        <f t="shared" si="1274"/>
        <v>1147.0616400000001</v>
      </c>
      <c r="AA2973" s="214">
        <f t="shared" si="1274"/>
        <v>0</v>
      </c>
      <c r="AB2973" s="214">
        <f t="shared" si="1274"/>
        <v>1147.0616399999999</v>
      </c>
      <c r="AC2973" s="214">
        <f t="shared" si="1277"/>
        <v>1323.70733</v>
      </c>
      <c r="AD2973" s="214">
        <f t="shared" si="1277"/>
        <v>1212.5301400000001</v>
      </c>
      <c r="AE2973" s="214">
        <f t="shared" si="1277"/>
        <v>1098.3678199999999</v>
      </c>
      <c r="AF2973" s="214">
        <f t="shared" si="1277"/>
        <v>951.21306000000004</v>
      </c>
      <c r="AG2973" s="214">
        <f t="shared" si="1277"/>
        <v>877.14571000000001</v>
      </c>
      <c r="AH2973" s="214">
        <f t="shared" si="1277"/>
        <v>871.84898999999996</v>
      </c>
      <c r="AI2973" s="214">
        <f t="shared" si="1275"/>
        <v>909.40358999999989</v>
      </c>
      <c r="AJ2973" s="214">
        <f t="shared" si="1275"/>
        <v>958.44430999999997</v>
      </c>
      <c r="AK2973" s="214">
        <f t="shared" si="1275"/>
        <v>1009.5920199999999</v>
      </c>
      <c r="AL2973" s="214">
        <f t="shared" si="1275"/>
        <v>1084.37545</v>
      </c>
      <c r="AM2973" s="214">
        <f t="shared" si="1275"/>
        <v>1150.4634900000001</v>
      </c>
      <c r="AN2973" s="214">
        <f t="shared" si="1275"/>
        <v>1204.1304599999999</v>
      </c>
      <c r="AO2973" s="214">
        <f t="shared" si="1275"/>
        <v>1147.0616399999999</v>
      </c>
      <c r="AP2973" s="214"/>
      <c r="AQ2973" s="214"/>
      <c r="AR2973" s="214"/>
      <c r="AS2973" s="214"/>
      <c r="AT2973" s="214"/>
      <c r="AU2973" s="214"/>
      <c r="AV2973" s="214"/>
      <c r="AW2973" s="214"/>
      <c r="AX2973" s="214"/>
      <c r="AY2973" s="214"/>
      <c r="AZ2973" s="214"/>
      <c r="BA2973" s="214"/>
      <c r="BB2973" s="214"/>
      <c r="BC2973" s="214"/>
      <c r="BD2973" s="214"/>
      <c r="BE2973" s="214"/>
      <c r="BF2973" s="214"/>
      <c r="BG2973" s="214"/>
      <c r="BH2973" s="214"/>
      <c r="BI2973" s="214"/>
      <c r="BJ2973" s="214"/>
      <c r="BK2973" s="214"/>
      <c r="BL2973" s="214"/>
      <c r="BM2973" s="214"/>
      <c r="BN2973" s="214"/>
      <c r="BO2973" s="214"/>
      <c r="BP2973" s="214"/>
      <c r="BQ2973" s="214"/>
      <c r="BR2973" s="214"/>
      <c r="BS2973" s="214"/>
      <c r="BT2973" s="214"/>
      <c r="BU2973" s="214"/>
      <c r="BV2973" s="214"/>
      <c r="BW2973" s="214"/>
      <c r="BX2973" s="214"/>
      <c r="BY2973" s="214"/>
      <c r="BZ2973" s="214"/>
      <c r="CA2973" s="214"/>
      <c r="CB2973" s="214"/>
      <c r="CC2973" s="214"/>
      <c r="CD2973" s="214"/>
      <c r="CE2973" s="230"/>
      <c r="CF2973" s="230"/>
      <c r="CG2973" s="230"/>
      <c r="CH2973" s="230"/>
      <c r="CI2973" s="76" t="str">
        <f t="shared" si="1260"/>
        <v>R10Purchase of Receivables</v>
      </c>
      <c r="CJ2973" s="230"/>
      <c r="CK2973" s="230"/>
      <c r="CL2973" s="230"/>
      <c r="CM2973" s="231"/>
    </row>
    <row r="2974" spans="1:91">
      <c r="A2974" s="464"/>
      <c r="B2974" s="464"/>
      <c r="C2974" s="662" t="s">
        <v>1124</v>
      </c>
      <c r="D2974" s="689"/>
      <c r="E2974" s="422"/>
      <c r="F2974" s="422"/>
      <c r="G2974" s="461"/>
      <c r="H2974" s="678"/>
      <c r="I2974" s="462"/>
      <c r="J2974" s="462"/>
      <c r="K2974" s="422"/>
      <c r="L2974" s="655"/>
      <c r="M2974" s="422"/>
      <c r="N2974" s="463"/>
      <c r="O2974" s="463"/>
      <c r="P2974" s="689"/>
      <c r="Q2974" s="461"/>
      <c r="R2974" s="491"/>
      <c r="S2974" s="491"/>
      <c r="T2974" s="491"/>
      <c r="U2974" s="214">
        <f t="shared" si="1276"/>
        <v>-0.21158083333333499</v>
      </c>
      <c r="V2974" s="214">
        <f t="shared" si="1276"/>
        <v>2.6220416666666999E-2</v>
      </c>
      <c r="W2974" s="214">
        <f t="shared" si="1276"/>
        <v>0</v>
      </c>
      <c r="X2974" s="214">
        <f t="shared" ref="X2974:AB2982" si="1278">SUMIF($AR:$AR,$CI2974,X:X)</f>
        <v>-0.185360416666668</v>
      </c>
      <c r="Y2974" s="214">
        <f t="shared" si="1278"/>
        <v>0</v>
      </c>
      <c r="Z2974" s="214">
        <f t="shared" si="1278"/>
        <v>0</v>
      </c>
      <c r="AA2974" s="214">
        <f t="shared" si="1278"/>
        <v>0</v>
      </c>
      <c r="AB2974" s="214">
        <f t="shared" si="1278"/>
        <v>0</v>
      </c>
      <c r="AC2974" s="214">
        <f t="shared" si="1277"/>
        <v>-4.4486500000000557</v>
      </c>
      <c r="AD2974" s="214">
        <f t="shared" si="1277"/>
        <v>0</v>
      </c>
      <c r="AE2974" s="214">
        <f t="shared" si="1277"/>
        <v>0</v>
      </c>
      <c r="AF2974" s="214">
        <f t="shared" si="1277"/>
        <v>0</v>
      </c>
      <c r="AG2974" s="214">
        <f t="shared" si="1277"/>
        <v>0</v>
      </c>
      <c r="AH2974" s="214">
        <f t="shared" si="1277"/>
        <v>0</v>
      </c>
      <c r="AI2974" s="214">
        <f t="shared" ref="AI2974:AO2982" si="1279">SUMIF($AR:$AR,$CI2974,AI:AI)</f>
        <v>0</v>
      </c>
      <c r="AJ2974" s="214">
        <f t="shared" si="1279"/>
        <v>0</v>
      </c>
      <c r="AK2974" s="214">
        <f t="shared" si="1279"/>
        <v>0</v>
      </c>
      <c r="AL2974" s="214">
        <f t="shared" si="1279"/>
        <v>0</v>
      </c>
      <c r="AM2974" s="214">
        <f t="shared" si="1279"/>
        <v>0</v>
      </c>
      <c r="AN2974" s="214">
        <f t="shared" si="1279"/>
        <v>0</v>
      </c>
      <c r="AO2974" s="214">
        <f t="shared" si="1279"/>
        <v>0</v>
      </c>
      <c r="AP2974" s="214"/>
      <c r="AQ2974" s="214"/>
      <c r="AR2974" s="214"/>
      <c r="AS2974" s="214"/>
      <c r="AT2974" s="214"/>
      <c r="AU2974" s="214"/>
      <c r="AV2974" s="214"/>
      <c r="AW2974" s="214"/>
      <c r="AX2974" s="214"/>
      <c r="AY2974" s="214"/>
      <c r="AZ2974" s="214"/>
      <c r="BA2974" s="214"/>
      <c r="BB2974" s="214"/>
      <c r="BC2974" s="214"/>
      <c r="BD2974" s="214"/>
      <c r="BE2974" s="214"/>
      <c r="BF2974" s="214"/>
      <c r="BG2974" s="214"/>
      <c r="BH2974" s="214"/>
      <c r="BI2974" s="214"/>
      <c r="BJ2974" s="214"/>
      <c r="BK2974" s="214"/>
      <c r="BL2974" s="214"/>
      <c r="BM2974" s="214"/>
      <c r="BN2974" s="214"/>
      <c r="BO2974" s="214"/>
      <c r="BP2974" s="214"/>
      <c r="BQ2974" s="214"/>
      <c r="BR2974" s="214"/>
      <c r="BS2974" s="214"/>
      <c r="BT2974" s="214"/>
      <c r="BU2974" s="214"/>
      <c r="BV2974" s="214"/>
      <c r="BW2974" s="214"/>
      <c r="BX2974" s="214"/>
      <c r="BY2974" s="214"/>
      <c r="BZ2974" s="214"/>
      <c r="CA2974" s="214"/>
      <c r="CB2974" s="214"/>
      <c r="CC2974" s="214"/>
      <c r="CD2974" s="214"/>
      <c r="CE2974" s="230"/>
      <c r="CF2974" s="230"/>
      <c r="CG2974" s="230"/>
      <c r="CH2974" s="230"/>
      <c r="CI2974" s="76" t="str">
        <f t="shared" si="1260"/>
        <v>R10R&amp;D Tax Credit Deferral</v>
      </c>
      <c r="CJ2974" s="230"/>
      <c r="CK2974" s="230"/>
      <c r="CL2974" s="230"/>
      <c r="CM2974" s="231"/>
    </row>
    <row r="2975" spans="1:91">
      <c r="A2975" s="464"/>
      <c r="B2975" s="464"/>
      <c r="C2975" s="662" t="s">
        <v>2584</v>
      </c>
      <c r="D2975" s="689"/>
      <c r="E2975" s="422"/>
      <c r="F2975" s="422"/>
      <c r="G2975" s="461"/>
      <c r="H2975" s="678"/>
      <c r="I2975" s="462"/>
      <c r="J2975" s="462"/>
      <c r="K2975" s="422"/>
      <c r="L2975" s="655"/>
      <c r="M2975" s="422"/>
      <c r="N2975" s="463"/>
      <c r="O2975" s="463"/>
      <c r="P2975" s="689"/>
      <c r="Q2975" s="461"/>
      <c r="R2975" s="491"/>
      <c r="S2975" s="491"/>
      <c r="T2975" s="491"/>
      <c r="U2975" s="214">
        <f t="shared" si="1276"/>
        <v>0</v>
      </c>
      <c r="V2975" s="214">
        <f t="shared" si="1276"/>
        <v>0</v>
      </c>
      <c r="W2975" s="214">
        <f t="shared" si="1276"/>
        <v>0</v>
      </c>
      <c r="X2975" s="214">
        <f t="shared" si="1278"/>
        <v>0</v>
      </c>
      <c r="Y2975" s="214">
        <f t="shared" si="1278"/>
        <v>0</v>
      </c>
      <c r="Z2975" s="214">
        <f t="shared" si="1278"/>
        <v>0</v>
      </c>
      <c r="AA2975" s="214">
        <f t="shared" si="1278"/>
        <v>0</v>
      </c>
      <c r="AB2975" s="214">
        <f t="shared" si="1278"/>
        <v>0</v>
      </c>
      <c r="AC2975" s="214">
        <f t="shared" si="1277"/>
        <v>0</v>
      </c>
      <c r="AD2975" s="214">
        <f t="shared" si="1277"/>
        <v>0</v>
      </c>
      <c r="AE2975" s="214">
        <f t="shared" si="1277"/>
        <v>0</v>
      </c>
      <c r="AF2975" s="214">
        <f t="shared" si="1277"/>
        <v>0</v>
      </c>
      <c r="AG2975" s="214">
        <f t="shared" si="1277"/>
        <v>0</v>
      </c>
      <c r="AH2975" s="214">
        <f t="shared" si="1277"/>
        <v>0</v>
      </c>
      <c r="AI2975" s="214">
        <f t="shared" si="1279"/>
        <v>0</v>
      </c>
      <c r="AJ2975" s="214">
        <f t="shared" si="1279"/>
        <v>0</v>
      </c>
      <c r="AK2975" s="214">
        <f t="shared" si="1279"/>
        <v>0</v>
      </c>
      <c r="AL2975" s="214">
        <f t="shared" si="1279"/>
        <v>0</v>
      </c>
      <c r="AM2975" s="214">
        <f t="shared" si="1279"/>
        <v>0</v>
      </c>
      <c r="AN2975" s="214">
        <f t="shared" si="1279"/>
        <v>0</v>
      </c>
      <c r="AO2975" s="214">
        <f t="shared" si="1279"/>
        <v>0</v>
      </c>
      <c r="AP2975" s="214"/>
      <c r="AR2975" s="214"/>
      <c r="AS2975" s="214"/>
      <c r="AT2975" s="214"/>
      <c r="AU2975" s="214"/>
      <c r="AV2975" s="214"/>
      <c r="AW2975" s="214"/>
      <c r="AX2975" s="214"/>
      <c r="AY2975" s="214"/>
      <c r="AZ2975" s="214"/>
      <c r="BA2975" s="214"/>
      <c r="BB2975" s="214"/>
      <c r="BC2975" s="214"/>
      <c r="BD2975" s="214"/>
      <c r="BE2975" s="214"/>
      <c r="BF2975" s="214"/>
      <c r="BG2975" s="214"/>
      <c r="BH2975" s="214"/>
      <c r="BI2975" s="214"/>
      <c r="BJ2975" s="214"/>
      <c r="BK2975" s="214"/>
      <c r="BL2975" s="214"/>
      <c r="BM2975" s="214"/>
      <c r="BN2975" s="214"/>
      <c r="BO2975" s="214"/>
      <c r="BP2975" s="214"/>
      <c r="BQ2975" s="214"/>
      <c r="BR2975" s="214"/>
      <c r="BS2975" s="214"/>
      <c r="BT2975" s="214"/>
      <c r="BU2975" s="214"/>
      <c r="BV2975" s="214"/>
      <c r="BW2975" s="214"/>
      <c r="BX2975" s="214"/>
      <c r="BY2975" s="214"/>
      <c r="BZ2975" s="214"/>
      <c r="CA2975" s="214"/>
      <c r="CB2975" s="214"/>
      <c r="CC2975" s="214"/>
      <c r="CD2975" s="214"/>
      <c r="CE2975" s="230"/>
      <c r="CF2975" s="230"/>
      <c r="CG2975" s="230"/>
      <c r="CH2975" s="230"/>
      <c r="CI2975" s="76" t="str">
        <f t="shared" ref="CI2975" si="1280">+CONCATENATE(D$2986,C2975)</f>
        <v>R10Research &amp; Development</v>
      </c>
      <c r="CJ2975" s="230"/>
      <c r="CK2975" s="230"/>
      <c r="CL2975" s="230"/>
      <c r="CM2975" s="231"/>
    </row>
    <row r="2976" spans="1:91">
      <c r="A2976" s="464"/>
      <c r="B2976" s="464"/>
      <c r="C2976" s="662" t="s">
        <v>2694</v>
      </c>
      <c r="D2976" s="689"/>
      <c r="E2976" s="422"/>
      <c r="F2976" s="422"/>
      <c r="G2976" s="461"/>
      <c r="H2976" s="678"/>
      <c r="I2976" s="462"/>
      <c r="J2976" s="462"/>
      <c r="K2976" s="422"/>
      <c r="L2976" s="655"/>
      <c r="M2976" s="422"/>
      <c r="N2976" s="463"/>
      <c r="O2976" s="463"/>
      <c r="P2976" s="689"/>
      <c r="Q2976" s="461"/>
      <c r="R2976" s="491"/>
      <c r="S2976" s="491"/>
      <c r="T2976" s="491"/>
      <c r="U2976" s="214">
        <f t="shared" si="1276"/>
        <v>-9103.3722849999995</v>
      </c>
      <c r="V2976" s="214">
        <f t="shared" si="1276"/>
        <v>0</v>
      </c>
      <c r="W2976" s="214">
        <f t="shared" si="1276"/>
        <v>0</v>
      </c>
      <c r="X2976" s="214">
        <f t="shared" si="1278"/>
        <v>-9103.3722849999995</v>
      </c>
      <c r="Y2976" s="214">
        <f t="shared" si="1278"/>
        <v>-7561.4567100000004</v>
      </c>
      <c r="Z2976" s="214">
        <f t="shared" si="1278"/>
        <v>0</v>
      </c>
      <c r="AA2976" s="214">
        <f t="shared" si="1278"/>
        <v>0</v>
      </c>
      <c r="AB2976" s="214">
        <f t="shared" si="1278"/>
        <v>-7561.4567099999986</v>
      </c>
      <c r="AC2976" s="214">
        <f t="shared" si="1277"/>
        <v>-9750.6271699999998</v>
      </c>
      <c r="AD2976" s="214">
        <f t="shared" si="1277"/>
        <v>-9705.1630799999984</v>
      </c>
      <c r="AE2976" s="214">
        <f t="shared" si="1277"/>
        <v>-9669.3287699999983</v>
      </c>
      <c r="AF2976" s="214">
        <f t="shared" si="1277"/>
        <v>-9546.651609999999</v>
      </c>
      <c r="AG2976" s="214">
        <f t="shared" si="1277"/>
        <v>-9498.9453099999992</v>
      </c>
      <c r="AH2976" s="214">
        <f t="shared" si="1277"/>
        <v>-9321.6830799999989</v>
      </c>
      <c r="AI2976" s="214">
        <f t="shared" si="1279"/>
        <v>-9281.6064499999993</v>
      </c>
      <c r="AJ2976" s="214">
        <f t="shared" si="1279"/>
        <v>-9171.0073399999983</v>
      </c>
      <c r="AK2976" s="214">
        <f t="shared" si="1279"/>
        <v>-8733.7507299999997</v>
      </c>
      <c r="AL2976" s="214">
        <f t="shared" si="1279"/>
        <v>-8620.8848199999993</v>
      </c>
      <c r="AM2976" s="214">
        <f t="shared" si="1279"/>
        <v>-8559.3835899999976</v>
      </c>
      <c r="AN2976" s="214">
        <f t="shared" si="1279"/>
        <v>-8476.0206999999973</v>
      </c>
      <c r="AO2976" s="214">
        <f t="shared" si="1279"/>
        <v>-7561.4567099999986</v>
      </c>
      <c r="AP2976" s="214"/>
      <c r="AQ2976" s="214"/>
      <c r="AR2976" s="214"/>
      <c r="AS2976" s="214"/>
      <c r="AT2976" s="214"/>
      <c r="AU2976" s="214"/>
      <c r="AV2976" s="214"/>
      <c r="AW2976" s="214"/>
      <c r="AX2976" s="214"/>
      <c r="AY2976" s="214"/>
      <c r="AZ2976" s="214"/>
      <c r="BA2976" s="214"/>
      <c r="BB2976" s="214"/>
      <c r="BC2976" s="214"/>
      <c r="BD2976" s="214"/>
      <c r="BE2976" s="214"/>
      <c r="BF2976" s="214"/>
      <c r="BG2976" s="214"/>
      <c r="BH2976" s="214"/>
      <c r="BI2976" s="214"/>
      <c r="BJ2976" s="214"/>
      <c r="BK2976" s="214"/>
      <c r="BL2976" s="214"/>
      <c r="BM2976" s="214"/>
      <c r="BN2976" s="214"/>
      <c r="BO2976" s="214"/>
      <c r="BP2976" s="214"/>
      <c r="BQ2976" s="214"/>
      <c r="BR2976" s="214"/>
      <c r="BS2976" s="214"/>
      <c r="BT2976" s="214"/>
      <c r="BU2976" s="214"/>
      <c r="BV2976" s="214"/>
      <c r="BW2976" s="214"/>
      <c r="BX2976" s="214"/>
      <c r="BY2976" s="214"/>
      <c r="BZ2976" s="214"/>
      <c r="CA2976" s="214"/>
      <c r="CB2976" s="214"/>
      <c r="CC2976" s="214"/>
      <c r="CD2976" s="214"/>
      <c r="CE2976" s="230"/>
      <c r="CF2976" s="230"/>
      <c r="CG2976" s="230"/>
      <c r="CH2976" s="230"/>
      <c r="CI2976" s="76" t="str">
        <f t="shared" ref="CI2976:CI2982" si="1281">+CONCATENATE(D$2986,C2976)</f>
        <v>R10Russell Decommissioning Reserve</v>
      </c>
      <c r="CJ2976" s="230"/>
      <c r="CK2976" s="230"/>
      <c r="CL2976" s="230"/>
      <c r="CM2976" s="231"/>
    </row>
    <row r="2977" spans="1:91">
      <c r="A2977" s="464"/>
      <c r="B2977" s="464"/>
      <c r="C2977" s="662" t="s">
        <v>1114</v>
      </c>
      <c r="D2977" s="689"/>
      <c r="E2977" s="422"/>
      <c r="F2977" s="422"/>
      <c r="G2977" s="461"/>
      <c r="H2977" s="678"/>
      <c r="I2977" s="462"/>
      <c r="J2977" s="462"/>
      <c r="K2977" s="422"/>
      <c r="L2977" s="655"/>
      <c r="M2977" s="422"/>
      <c r="N2977" s="463"/>
      <c r="O2977" s="463"/>
      <c r="P2977" s="689"/>
      <c r="Q2977" s="461"/>
      <c r="R2977" s="491"/>
      <c r="S2977" s="491"/>
      <c r="T2977" s="491"/>
      <c r="U2977" s="214">
        <f t="shared" si="1276"/>
        <v>386.43360999999999</v>
      </c>
      <c r="V2977" s="214">
        <f t="shared" si="1276"/>
        <v>193.91578999999999</v>
      </c>
      <c r="W2977" s="214">
        <f t="shared" si="1276"/>
        <v>0</v>
      </c>
      <c r="X2977" s="214">
        <f t="shared" si="1278"/>
        <v>580.34939999999995</v>
      </c>
      <c r="Y2977" s="214">
        <f t="shared" si="1278"/>
        <v>386.43360999999999</v>
      </c>
      <c r="Z2977" s="214">
        <f t="shared" si="1278"/>
        <v>193.91578999999999</v>
      </c>
      <c r="AA2977" s="214">
        <f t="shared" si="1278"/>
        <v>0</v>
      </c>
      <c r="AB2977" s="214">
        <f t="shared" si="1278"/>
        <v>580.34940000000006</v>
      </c>
      <c r="AC2977" s="214">
        <f t="shared" si="1277"/>
        <v>580.34940000000006</v>
      </c>
      <c r="AD2977" s="214">
        <f t="shared" si="1277"/>
        <v>580.34940000000006</v>
      </c>
      <c r="AE2977" s="214">
        <f t="shared" si="1277"/>
        <v>580.34940000000006</v>
      </c>
      <c r="AF2977" s="214">
        <f t="shared" si="1277"/>
        <v>580.34940000000006</v>
      </c>
      <c r="AG2977" s="214">
        <f t="shared" si="1277"/>
        <v>580.34940000000006</v>
      </c>
      <c r="AH2977" s="214">
        <f t="shared" si="1277"/>
        <v>580.34940000000006</v>
      </c>
      <c r="AI2977" s="214">
        <f t="shared" si="1279"/>
        <v>580.34940000000006</v>
      </c>
      <c r="AJ2977" s="214">
        <f t="shared" si="1279"/>
        <v>580.34940000000006</v>
      </c>
      <c r="AK2977" s="214">
        <f t="shared" si="1279"/>
        <v>580.34940000000006</v>
      </c>
      <c r="AL2977" s="214">
        <f t="shared" si="1279"/>
        <v>580.34940000000006</v>
      </c>
      <c r="AM2977" s="214">
        <f t="shared" si="1279"/>
        <v>580.34940000000006</v>
      </c>
      <c r="AN2977" s="214">
        <f t="shared" si="1279"/>
        <v>580.34940000000006</v>
      </c>
      <c r="AO2977" s="214">
        <f t="shared" si="1279"/>
        <v>580.34940000000006</v>
      </c>
      <c r="AP2977" s="214"/>
      <c r="AQ2977" s="214"/>
      <c r="AR2977" s="214"/>
      <c r="AS2977" s="214"/>
      <c r="AT2977" s="214"/>
      <c r="AU2977" s="214"/>
      <c r="AV2977" s="214"/>
      <c r="AW2977" s="214"/>
      <c r="AX2977" s="214"/>
      <c r="AY2977" s="214"/>
      <c r="AZ2977" s="214"/>
      <c r="BA2977" s="214"/>
      <c r="BB2977" s="214"/>
      <c r="BC2977" s="214"/>
      <c r="BD2977" s="214"/>
      <c r="BE2977" s="214"/>
      <c r="BF2977" s="214"/>
      <c r="BG2977" s="214"/>
      <c r="BH2977" s="214"/>
      <c r="BI2977" s="214"/>
      <c r="BJ2977" s="214"/>
      <c r="BK2977" s="214"/>
      <c r="BL2977" s="214"/>
      <c r="BM2977" s="214"/>
      <c r="BN2977" s="214"/>
      <c r="BO2977" s="214"/>
      <c r="BP2977" s="214"/>
      <c r="BQ2977" s="214"/>
      <c r="BR2977" s="214"/>
      <c r="BS2977" s="214"/>
      <c r="BT2977" s="214"/>
      <c r="BU2977" s="214"/>
      <c r="BV2977" s="214"/>
      <c r="BW2977" s="214"/>
      <c r="BX2977" s="214"/>
      <c r="BY2977" s="214"/>
      <c r="BZ2977" s="214"/>
      <c r="CA2977" s="214"/>
      <c r="CB2977" s="214"/>
      <c r="CC2977" s="214"/>
      <c r="CD2977" s="214"/>
      <c r="CE2977" s="230"/>
      <c r="CF2977" s="230"/>
      <c r="CG2977" s="230"/>
      <c r="CH2977" s="230"/>
      <c r="CI2977" s="76" t="str">
        <f t="shared" si="1281"/>
        <v>R10Sarbanes-Oxley</v>
      </c>
      <c r="CJ2977" s="230"/>
      <c r="CK2977" s="230"/>
      <c r="CL2977" s="230"/>
      <c r="CM2977" s="231"/>
    </row>
    <row r="2978" spans="1:91">
      <c r="A2978" s="464"/>
      <c r="B2978" s="464"/>
      <c r="C2978" s="662" t="s">
        <v>1117</v>
      </c>
      <c r="D2978" s="689"/>
      <c r="E2978" s="422"/>
      <c r="F2978" s="422"/>
      <c r="G2978" s="461"/>
      <c r="H2978" s="678"/>
      <c r="I2978" s="462"/>
      <c r="J2978" s="462"/>
      <c r="K2978" s="422"/>
      <c r="L2978" s="655"/>
      <c r="M2978" s="422"/>
      <c r="N2978" s="463"/>
      <c r="O2978" s="463"/>
      <c r="P2978" s="689"/>
      <c r="Q2978" s="461"/>
      <c r="R2978" s="491"/>
      <c r="S2978" s="491"/>
      <c r="T2978" s="491"/>
      <c r="U2978" s="214">
        <f t="shared" si="1276"/>
        <v>0</v>
      </c>
      <c r="V2978" s="214">
        <f t="shared" si="1276"/>
        <v>2.0000000000000002E-15</v>
      </c>
      <c r="W2978" s="214">
        <f t="shared" si="1276"/>
        <v>0</v>
      </c>
      <c r="X2978" s="214">
        <f t="shared" si="1278"/>
        <v>2.0000000000000002E-15</v>
      </c>
      <c r="Y2978" s="214">
        <f t="shared" si="1278"/>
        <v>0</v>
      </c>
      <c r="Z2978" s="214">
        <f t="shared" si="1278"/>
        <v>0</v>
      </c>
      <c r="AA2978" s="214">
        <f t="shared" si="1278"/>
        <v>0</v>
      </c>
      <c r="AB2978" s="214">
        <f t="shared" si="1278"/>
        <v>0</v>
      </c>
      <c r="AC2978" s="214">
        <f t="shared" si="1277"/>
        <v>3.7289282772690059E-14</v>
      </c>
      <c r="AD2978" s="214">
        <f t="shared" si="1277"/>
        <v>0</v>
      </c>
      <c r="AE2978" s="214">
        <f t="shared" si="1277"/>
        <v>0</v>
      </c>
      <c r="AF2978" s="214">
        <f t="shared" si="1277"/>
        <v>0</v>
      </c>
      <c r="AG2978" s="214">
        <f t="shared" si="1277"/>
        <v>0</v>
      </c>
      <c r="AH2978" s="214">
        <f t="shared" si="1277"/>
        <v>0</v>
      </c>
      <c r="AI2978" s="214">
        <f t="shared" si="1279"/>
        <v>0</v>
      </c>
      <c r="AJ2978" s="214">
        <f t="shared" si="1279"/>
        <v>0</v>
      </c>
      <c r="AK2978" s="214">
        <f t="shared" si="1279"/>
        <v>0</v>
      </c>
      <c r="AL2978" s="214">
        <f t="shared" si="1279"/>
        <v>0</v>
      </c>
      <c r="AM2978" s="214">
        <f t="shared" si="1279"/>
        <v>0</v>
      </c>
      <c r="AN2978" s="214">
        <f t="shared" si="1279"/>
        <v>0</v>
      </c>
      <c r="AO2978" s="214">
        <f t="shared" si="1279"/>
        <v>0</v>
      </c>
      <c r="AP2978" s="214"/>
      <c r="AQ2978" s="214"/>
      <c r="AR2978" s="214"/>
      <c r="AS2978" s="214"/>
      <c r="AT2978" s="214"/>
      <c r="AU2978" s="214"/>
      <c r="AV2978" s="214"/>
      <c r="AW2978" s="214"/>
      <c r="AX2978" s="214"/>
      <c r="AY2978" s="214"/>
      <c r="AZ2978" s="214"/>
      <c r="BA2978" s="214"/>
      <c r="BB2978" s="214"/>
      <c r="BC2978" s="214"/>
      <c r="BD2978" s="214"/>
      <c r="BE2978" s="214"/>
      <c r="BF2978" s="214"/>
      <c r="BG2978" s="214"/>
      <c r="BH2978" s="214"/>
      <c r="BI2978" s="214"/>
      <c r="BJ2978" s="214"/>
      <c r="BK2978" s="214"/>
      <c r="BL2978" s="214"/>
      <c r="BM2978" s="214"/>
      <c r="BN2978" s="214"/>
      <c r="BO2978" s="214"/>
      <c r="BP2978" s="214"/>
      <c r="BQ2978" s="214"/>
      <c r="BR2978" s="214"/>
      <c r="BS2978" s="214"/>
      <c r="BT2978" s="214"/>
      <c r="BU2978" s="214"/>
      <c r="BV2978" s="214"/>
      <c r="BW2978" s="214"/>
      <c r="BX2978" s="214"/>
      <c r="BY2978" s="214"/>
      <c r="BZ2978" s="214"/>
      <c r="CA2978" s="214"/>
      <c r="CB2978" s="214"/>
      <c r="CC2978" s="214"/>
      <c r="CD2978" s="214"/>
      <c r="CE2978" s="230"/>
      <c r="CF2978" s="230"/>
      <c r="CG2978" s="230"/>
      <c r="CH2978" s="230"/>
      <c r="CI2978" s="76" t="str">
        <f t="shared" si="1281"/>
        <v>R10Security Costs</v>
      </c>
      <c r="CJ2978" s="230"/>
      <c r="CK2978" s="230"/>
      <c r="CL2978" s="230"/>
      <c r="CM2978" s="231"/>
    </row>
    <row r="2979" spans="1:91">
      <c r="A2979" s="464"/>
      <c r="B2979" s="464"/>
      <c r="C2979" s="662" t="s">
        <v>1155</v>
      </c>
      <c r="D2979" s="689"/>
      <c r="E2979" s="422"/>
      <c r="F2979" s="422"/>
      <c r="G2979" s="461"/>
      <c r="H2979" s="678"/>
      <c r="I2979" s="462"/>
      <c r="J2979" s="462"/>
      <c r="K2979" s="422"/>
      <c r="L2979" s="655"/>
      <c r="M2979" s="422"/>
      <c r="N2979" s="463"/>
      <c r="O2979" s="463"/>
      <c r="P2979" s="689"/>
      <c r="Q2979" s="461"/>
      <c r="R2979" s="491"/>
      <c r="S2979" s="491"/>
      <c r="T2979" s="491"/>
      <c r="U2979" s="214">
        <f t="shared" si="1276"/>
        <v>-828.75132625000003</v>
      </c>
      <c r="V2979" s="214">
        <f t="shared" si="1276"/>
        <v>0</v>
      </c>
      <c r="W2979" s="214">
        <f t="shared" si="1276"/>
        <v>0</v>
      </c>
      <c r="X2979" s="214">
        <f t="shared" si="1278"/>
        <v>-828.75132625000003</v>
      </c>
      <c r="Y2979" s="214">
        <f t="shared" si="1278"/>
        <v>-828.77508999999998</v>
      </c>
      <c r="Z2979" s="214">
        <f t="shared" si="1278"/>
        <v>0</v>
      </c>
      <c r="AA2979" s="214">
        <f t="shared" si="1278"/>
        <v>0</v>
      </c>
      <c r="AB2979" s="214">
        <f t="shared" si="1278"/>
        <v>-828.77508999999998</v>
      </c>
      <c r="AC2979" s="214">
        <f t="shared" si="1277"/>
        <v>-828.71172000000001</v>
      </c>
      <c r="AD2979" s="214">
        <f t="shared" si="1277"/>
        <v>-828.71172000000001</v>
      </c>
      <c r="AE2979" s="214">
        <f t="shared" si="1277"/>
        <v>-828.71172000000001</v>
      </c>
      <c r="AF2979" s="214">
        <f t="shared" si="1277"/>
        <v>-828.71172000000001</v>
      </c>
      <c r="AG2979" s="214">
        <f t="shared" si="1277"/>
        <v>-828.71172000000001</v>
      </c>
      <c r="AH2979" s="214">
        <f t="shared" si="1277"/>
        <v>-828.77508999999998</v>
      </c>
      <c r="AI2979" s="214">
        <f t="shared" si="1279"/>
        <v>-828.77508999999998</v>
      </c>
      <c r="AJ2979" s="214">
        <f t="shared" si="1279"/>
        <v>-828.77508999999998</v>
      </c>
      <c r="AK2979" s="214">
        <f t="shared" si="1279"/>
        <v>-828.77508999999998</v>
      </c>
      <c r="AL2979" s="214">
        <f t="shared" si="1279"/>
        <v>-828.77508999999998</v>
      </c>
      <c r="AM2979" s="214">
        <f t="shared" si="1279"/>
        <v>-828.77508999999998</v>
      </c>
      <c r="AN2979" s="214">
        <f t="shared" si="1279"/>
        <v>-828.77508999999998</v>
      </c>
      <c r="AO2979" s="214">
        <f t="shared" si="1279"/>
        <v>-828.77508999999998</v>
      </c>
      <c r="AP2979" s="214"/>
      <c r="AQ2979" s="214"/>
      <c r="AR2979" s="214"/>
      <c r="AS2979" s="214"/>
      <c r="AT2979" s="214"/>
      <c r="AU2979" s="214"/>
      <c r="AV2979" s="214"/>
      <c r="AW2979" s="214"/>
      <c r="AX2979" s="214"/>
      <c r="AY2979" s="214"/>
      <c r="AZ2979" s="214"/>
      <c r="BA2979" s="214"/>
      <c r="BB2979" s="214"/>
      <c r="BC2979" s="214"/>
      <c r="BD2979" s="214"/>
      <c r="BE2979" s="214"/>
      <c r="BF2979" s="214"/>
      <c r="BG2979" s="214"/>
      <c r="BH2979" s="214"/>
      <c r="BI2979" s="214"/>
      <c r="BJ2979" s="214"/>
      <c r="BK2979" s="214"/>
      <c r="BL2979" s="214"/>
      <c r="BM2979" s="214"/>
      <c r="BN2979" s="214"/>
      <c r="BO2979" s="214"/>
      <c r="BP2979" s="214"/>
      <c r="BQ2979" s="214"/>
      <c r="BR2979" s="214"/>
      <c r="BS2979" s="214"/>
      <c r="BT2979" s="214"/>
      <c r="BU2979" s="214"/>
      <c r="BV2979" s="214"/>
      <c r="BW2979" s="214"/>
      <c r="BX2979" s="214"/>
      <c r="BY2979" s="214"/>
      <c r="BZ2979" s="214"/>
      <c r="CA2979" s="214"/>
      <c r="CB2979" s="214"/>
      <c r="CC2979" s="214"/>
      <c r="CD2979" s="214"/>
      <c r="CE2979" s="230"/>
      <c r="CF2979" s="230"/>
      <c r="CG2979" s="230"/>
      <c r="CH2979" s="230"/>
      <c r="CI2979" s="76" t="str">
        <f t="shared" si="1281"/>
        <v>R10SO2 Allowance</v>
      </c>
      <c r="CJ2979" s="230"/>
      <c r="CK2979" s="230"/>
      <c r="CL2979" s="230"/>
      <c r="CM2979" s="231"/>
    </row>
    <row r="2980" spans="1:91">
      <c r="A2980" s="464"/>
      <c r="B2980" s="464"/>
      <c r="C2980" s="662" t="s">
        <v>1115</v>
      </c>
      <c r="D2980" s="689"/>
      <c r="E2980" s="422"/>
      <c r="F2980" s="422"/>
      <c r="G2980" s="461"/>
      <c r="H2980" s="678"/>
      <c r="I2980" s="462"/>
      <c r="J2980" s="462"/>
      <c r="K2980" s="422"/>
      <c r="L2980" s="655"/>
      <c r="M2980" s="422"/>
      <c r="N2980" s="463"/>
      <c r="O2980" s="463"/>
      <c r="P2980" s="689"/>
      <c r="Q2980" s="461"/>
      <c r="R2980" s="491"/>
      <c r="S2980" s="491"/>
      <c r="T2980" s="491"/>
      <c r="U2980" s="214">
        <f t="shared" si="1276"/>
        <v>2966.2099699999999</v>
      </c>
      <c r="V2980" s="214">
        <f t="shared" si="1276"/>
        <v>0</v>
      </c>
      <c r="W2980" s="214">
        <f t="shared" si="1276"/>
        <v>0</v>
      </c>
      <c r="X2980" s="214">
        <f t="shared" si="1278"/>
        <v>2966.2099699999999</v>
      </c>
      <c r="Y2980" s="214">
        <f t="shared" si="1278"/>
        <v>2966.2099699999999</v>
      </c>
      <c r="Z2980" s="214">
        <f t="shared" si="1278"/>
        <v>0</v>
      </c>
      <c r="AA2980" s="214">
        <f t="shared" si="1278"/>
        <v>0</v>
      </c>
      <c r="AB2980" s="214">
        <f t="shared" si="1278"/>
        <v>2966.2099700000003</v>
      </c>
      <c r="AC2980" s="214">
        <f t="shared" si="1277"/>
        <v>2966.2099700000003</v>
      </c>
      <c r="AD2980" s="214">
        <f t="shared" si="1277"/>
        <v>2966.2099700000003</v>
      </c>
      <c r="AE2980" s="214">
        <f t="shared" si="1277"/>
        <v>2966.2099700000003</v>
      </c>
      <c r="AF2980" s="214">
        <f t="shared" si="1277"/>
        <v>2966.2099700000003</v>
      </c>
      <c r="AG2980" s="214">
        <f t="shared" si="1277"/>
        <v>2966.2099700000003</v>
      </c>
      <c r="AH2980" s="214">
        <f t="shared" si="1277"/>
        <v>2966.2099700000003</v>
      </c>
      <c r="AI2980" s="214">
        <f t="shared" si="1279"/>
        <v>2966.2099700000003</v>
      </c>
      <c r="AJ2980" s="214">
        <f t="shared" si="1279"/>
        <v>2966.2099700000003</v>
      </c>
      <c r="AK2980" s="214">
        <f t="shared" si="1279"/>
        <v>2966.2099700000003</v>
      </c>
      <c r="AL2980" s="214">
        <f t="shared" si="1279"/>
        <v>2966.2099700000003</v>
      </c>
      <c r="AM2980" s="214">
        <f t="shared" si="1279"/>
        <v>2966.2099700000003</v>
      </c>
      <c r="AN2980" s="214">
        <f t="shared" si="1279"/>
        <v>2966.2099700000003</v>
      </c>
      <c r="AO2980" s="214">
        <f t="shared" si="1279"/>
        <v>2966.2099700000003</v>
      </c>
      <c r="AP2980" s="214"/>
      <c r="AQ2980" s="214"/>
      <c r="AR2980" s="214"/>
      <c r="AS2980" s="214"/>
      <c r="AT2980" s="214"/>
      <c r="AU2980" s="214"/>
      <c r="AV2980" s="214"/>
      <c r="AW2980" s="214"/>
      <c r="AX2980" s="214"/>
      <c r="AY2980" s="214"/>
      <c r="AZ2980" s="214"/>
      <c r="BA2980" s="214"/>
      <c r="BB2980" s="214"/>
      <c r="BC2980" s="214"/>
      <c r="BD2980" s="214"/>
      <c r="BE2980" s="214"/>
      <c r="BF2980" s="214"/>
      <c r="BG2980" s="214"/>
      <c r="BH2980" s="214"/>
      <c r="BI2980" s="214"/>
      <c r="BJ2980" s="214"/>
      <c r="BK2980" s="214"/>
      <c r="BL2980" s="214"/>
      <c r="BM2980" s="214"/>
      <c r="BN2980" s="214"/>
      <c r="BO2980" s="214"/>
      <c r="BP2980" s="214"/>
      <c r="BQ2980" s="214"/>
      <c r="BR2980" s="214"/>
      <c r="BS2980" s="214"/>
      <c r="BT2980" s="214"/>
      <c r="BU2980" s="214"/>
      <c r="BV2980" s="214"/>
      <c r="BW2980" s="214"/>
      <c r="BX2980" s="214"/>
      <c r="BY2980" s="214"/>
      <c r="BZ2980" s="214"/>
      <c r="CA2980" s="214"/>
      <c r="CB2980" s="214"/>
      <c r="CC2980" s="214"/>
      <c r="CD2980" s="214"/>
      <c r="CE2980" s="230"/>
      <c r="CF2980" s="230"/>
      <c r="CG2980" s="230"/>
      <c r="CH2980" s="230"/>
      <c r="CI2980" s="76" t="str">
        <f t="shared" si="1281"/>
        <v>R10Stray Voltage</v>
      </c>
      <c r="CJ2980" s="230"/>
      <c r="CK2980" s="230"/>
      <c r="CL2980" s="230"/>
      <c r="CM2980" s="231"/>
    </row>
    <row r="2981" spans="1:91">
      <c r="A2981" s="464"/>
      <c r="B2981" s="464"/>
      <c r="C2981" s="662" t="s">
        <v>1168</v>
      </c>
      <c r="D2981" s="689"/>
      <c r="E2981" s="422"/>
      <c r="F2981" s="422"/>
      <c r="G2981" s="461"/>
      <c r="H2981" s="678"/>
      <c r="I2981" s="462"/>
      <c r="J2981" s="462"/>
      <c r="K2981" s="422"/>
      <c r="L2981" s="655"/>
      <c r="M2981" s="422"/>
      <c r="N2981" s="463"/>
      <c r="O2981" s="463"/>
      <c r="P2981" s="689"/>
      <c r="Q2981" s="461"/>
      <c r="R2981" s="491"/>
      <c r="S2981" s="491"/>
      <c r="T2981" s="491"/>
      <c r="U2981" s="214">
        <f t="shared" si="1276"/>
        <v>2.6999999999999999E-14</v>
      </c>
      <c r="V2981" s="214">
        <f t="shared" si="1276"/>
        <v>0</v>
      </c>
      <c r="W2981" s="214">
        <f t="shared" si="1276"/>
        <v>0</v>
      </c>
      <c r="X2981" s="214">
        <f t="shared" si="1278"/>
        <v>2.6999999999999999E-14</v>
      </c>
      <c r="Y2981" s="214">
        <f t="shared" si="1278"/>
        <v>0</v>
      </c>
      <c r="Z2981" s="214">
        <f t="shared" si="1278"/>
        <v>0</v>
      </c>
      <c r="AA2981" s="214">
        <f t="shared" si="1278"/>
        <v>0</v>
      </c>
      <c r="AB2981" s="214">
        <f t="shared" si="1278"/>
        <v>0</v>
      </c>
      <c r="AC2981" s="214">
        <f t="shared" si="1277"/>
        <v>6.5483618527650831E-13</v>
      </c>
      <c r="AD2981" s="214">
        <f t="shared" si="1277"/>
        <v>0</v>
      </c>
      <c r="AE2981" s="214">
        <f t="shared" si="1277"/>
        <v>0</v>
      </c>
      <c r="AF2981" s="214">
        <f t="shared" si="1277"/>
        <v>0</v>
      </c>
      <c r="AG2981" s="214">
        <f t="shared" si="1277"/>
        <v>0</v>
      </c>
      <c r="AH2981" s="214">
        <f t="shared" si="1277"/>
        <v>0</v>
      </c>
      <c r="AI2981" s="214">
        <f t="shared" si="1279"/>
        <v>0</v>
      </c>
      <c r="AJ2981" s="214">
        <f t="shared" si="1279"/>
        <v>0</v>
      </c>
      <c r="AK2981" s="214">
        <f t="shared" si="1279"/>
        <v>0</v>
      </c>
      <c r="AL2981" s="214">
        <f t="shared" si="1279"/>
        <v>0</v>
      </c>
      <c r="AM2981" s="214">
        <f t="shared" si="1279"/>
        <v>0</v>
      </c>
      <c r="AN2981" s="214">
        <f t="shared" si="1279"/>
        <v>0</v>
      </c>
      <c r="AO2981" s="214">
        <f t="shared" si="1279"/>
        <v>0</v>
      </c>
      <c r="AP2981" s="214"/>
      <c r="AQ2981" s="214"/>
      <c r="AR2981" s="214"/>
      <c r="AS2981" s="214"/>
      <c r="AT2981" s="214"/>
      <c r="AU2981" s="214"/>
      <c r="AV2981" s="214"/>
      <c r="AW2981" s="214"/>
      <c r="AX2981" s="214"/>
      <c r="AY2981" s="214"/>
      <c r="AZ2981" s="214"/>
      <c r="BA2981" s="214"/>
      <c r="BB2981" s="214"/>
      <c r="BC2981" s="214"/>
      <c r="BD2981" s="214"/>
      <c r="BE2981" s="214"/>
      <c r="BF2981" s="214"/>
      <c r="BG2981" s="214"/>
      <c r="BH2981" s="214"/>
      <c r="BI2981" s="214"/>
      <c r="BJ2981" s="214"/>
      <c r="BK2981" s="214"/>
      <c r="BL2981" s="214"/>
      <c r="BM2981" s="214"/>
      <c r="BN2981" s="214"/>
      <c r="BO2981" s="214"/>
      <c r="BP2981" s="214"/>
      <c r="BQ2981" s="214"/>
      <c r="BR2981" s="214"/>
      <c r="BS2981" s="214"/>
      <c r="BT2981" s="214"/>
      <c r="BU2981" s="214"/>
      <c r="BV2981" s="214"/>
      <c r="BW2981" s="214"/>
      <c r="BX2981" s="214"/>
      <c r="BY2981" s="214"/>
      <c r="BZ2981" s="214"/>
      <c r="CA2981" s="214"/>
      <c r="CB2981" s="214"/>
      <c r="CC2981" s="214"/>
      <c r="CD2981" s="214"/>
      <c r="CE2981" s="230"/>
      <c r="CF2981" s="230"/>
      <c r="CG2981" s="230"/>
      <c r="CH2981" s="230"/>
      <c r="CI2981" s="76" t="str">
        <f t="shared" si="1281"/>
        <v>R10Variable Rate Debt - Pre-2004</v>
      </c>
      <c r="CJ2981" s="230"/>
      <c r="CK2981" s="230"/>
      <c r="CL2981" s="230"/>
      <c r="CM2981" s="231"/>
    </row>
    <row r="2982" spans="1:91">
      <c r="A2982" s="464"/>
      <c r="B2982" s="464"/>
      <c r="C2982" s="662" t="s">
        <v>822</v>
      </c>
      <c r="D2982" s="689"/>
      <c r="E2982" s="422"/>
      <c r="F2982" s="422"/>
      <c r="G2982" s="461"/>
      <c r="H2982" s="678"/>
      <c r="I2982" s="462"/>
      <c r="J2982" s="462"/>
      <c r="K2982" s="422"/>
      <c r="L2982" s="655"/>
      <c r="M2982" s="422"/>
      <c r="N2982" s="463"/>
      <c r="O2982" s="463"/>
      <c r="P2982" s="689"/>
      <c r="Q2982" s="461"/>
      <c r="R2982" s="491"/>
      <c r="S2982" s="491"/>
      <c r="T2982" s="491"/>
      <c r="U2982" s="214">
        <f t="shared" si="1276"/>
        <v>0</v>
      </c>
      <c r="V2982" s="214">
        <f t="shared" si="1276"/>
        <v>0</v>
      </c>
      <c r="W2982" s="214">
        <f t="shared" si="1276"/>
        <v>0</v>
      </c>
      <c r="X2982" s="214">
        <f t="shared" si="1278"/>
        <v>0</v>
      </c>
      <c r="Y2982" s="214">
        <f t="shared" si="1278"/>
        <v>0</v>
      </c>
      <c r="Z2982" s="214">
        <f t="shared" si="1278"/>
        <v>0</v>
      </c>
      <c r="AA2982" s="214">
        <f t="shared" si="1278"/>
        <v>0</v>
      </c>
      <c r="AB2982" s="214">
        <f t="shared" si="1278"/>
        <v>0</v>
      </c>
      <c r="AC2982" s="214">
        <f t="shared" si="1277"/>
        <v>0</v>
      </c>
      <c r="AD2982" s="214">
        <f t="shared" si="1277"/>
        <v>0</v>
      </c>
      <c r="AE2982" s="214">
        <f t="shared" si="1277"/>
        <v>0</v>
      </c>
      <c r="AF2982" s="214">
        <f t="shared" si="1277"/>
        <v>0</v>
      </c>
      <c r="AG2982" s="214">
        <f t="shared" si="1277"/>
        <v>0</v>
      </c>
      <c r="AH2982" s="214">
        <f t="shared" si="1277"/>
        <v>0</v>
      </c>
      <c r="AI2982" s="214">
        <f t="shared" si="1279"/>
        <v>0</v>
      </c>
      <c r="AJ2982" s="214">
        <f t="shared" si="1279"/>
        <v>0</v>
      </c>
      <c r="AK2982" s="214">
        <f t="shared" si="1279"/>
        <v>0</v>
      </c>
      <c r="AL2982" s="214">
        <f t="shared" si="1279"/>
        <v>0</v>
      </c>
      <c r="AM2982" s="214">
        <f t="shared" si="1279"/>
        <v>0</v>
      </c>
      <c r="AN2982" s="214">
        <f t="shared" si="1279"/>
        <v>0</v>
      </c>
      <c r="AO2982" s="214">
        <f t="shared" si="1279"/>
        <v>0</v>
      </c>
      <c r="AP2982" s="214"/>
      <c r="AQ2982" s="214"/>
      <c r="AR2982" s="214"/>
      <c r="AS2982" s="214"/>
      <c r="AT2982" s="214"/>
      <c r="AU2982" s="214"/>
      <c r="AV2982" s="214"/>
      <c r="AW2982" s="214"/>
      <c r="AX2982" s="214"/>
      <c r="AY2982" s="214"/>
      <c r="AZ2982" s="214"/>
      <c r="BA2982" s="214"/>
      <c r="BB2982" s="214"/>
      <c r="BC2982" s="214"/>
      <c r="BD2982" s="214"/>
      <c r="BE2982" s="214"/>
      <c r="BF2982" s="214"/>
      <c r="BG2982" s="214"/>
      <c r="BH2982" s="214"/>
      <c r="BI2982" s="214"/>
      <c r="BJ2982" s="214"/>
      <c r="BK2982" s="214"/>
      <c r="BL2982" s="214"/>
      <c r="BM2982" s="214"/>
      <c r="BN2982" s="214"/>
      <c r="BO2982" s="214"/>
      <c r="BP2982" s="214"/>
      <c r="BQ2982" s="214"/>
      <c r="BR2982" s="214"/>
      <c r="BS2982" s="214"/>
      <c r="BT2982" s="214"/>
      <c r="BU2982" s="214"/>
      <c r="BV2982" s="214"/>
      <c r="BW2982" s="214"/>
      <c r="BX2982" s="214"/>
      <c r="BY2982" s="214"/>
      <c r="BZ2982" s="214"/>
      <c r="CA2982" s="214"/>
      <c r="CB2982" s="214"/>
      <c r="CC2982" s="214"/>
      <c r="CD2982" s="214"/>
      <c r="CE2982" s="230"/>
      <c r="CF2982" s="230"/>
      <c r="CG2982" s="230"/>
      <c r="CH2982" s="230"/>
      <c r="CI2982" s="76" t="str">
        <f t="shared" si="1281"/>
        <v>R10Variable Rate Debt</v>
      </c>
      <c r="CJ2982" s="230"/>
      <c r="CK2982" s="230"/>
      <c r="CL2982" s="230"/>
      <c r="CM2982" s="231"/>
    </row>
    <row r="2983" spans="1:91">
      <c r="A2983" s="464"/>
      <c r="B2983" s="464"/>
      <c r="C2983" s="656"/>
      <c r="D2983" s="689"/>
      <c r="E2983" s="422"/>
      <c r="F2983" s="422"/>
      <c r="G2983" s="461"/>
      <c r="H2983" s="678"/>
      <c r="I2983" s="462"/>
      <c r="J2983" s="462"/>
      <c r="K2983" s="422"/>
      <c r="L2983" s="689"/>
      <c r="M2983" s="422"/>
      <c r="N2983" s="463"/>
      <c r="O2983" s="463"/>
      <c r="P2983" s="689"/>
      <c r="Q2983" s="461"/>
      <c r="R2983" s="491"/>
      <c r="S2983" s="491"/>
      <c r="T2983" s="491"/>
      <c r="U2983" s="214"/>
      <c r="V2983" s="214"/>
      <c r="W2983" s="214"/>
      <c r="X2983" s="214"/>
      <c r="Y2983" s="214"/>
      <c r="Z2983" s="214"/>
      <c r="AA2983" s="214"/>
      <c r="AB2983" s="214"/>
      <c r="AC2983" s="214"/>
      <c r="AD2983" s="214"/>
      <c r="AE2983" s="214"/>
      <c r="AF2983" s="214"/>
      <c r="AG2983" s="214"/>
      <c r="AH2983" s="214"/>
      <c r="AI2983" s="214"/>
      <c r="AJ2983" s="214"/>
      <c r="AK2983" s="214"/>
      <c r="AL2983" s="214"/>
      <c r="AM2983" s="214"/>
      <c r="AN2983" s="214"/>
      <c r="AO2983" s="214"/>
      <c r="AP2983" s="214"/>
      <c r="AQ2983" s="214"/>
      <c r="AR2983" s="214"/>
      <c r="AS2983" s="214"/>
      <c r="AT2983" s="214"/>
      <c r="AU2983" s="214"/>
      <c r="AV2983" s="214"/>
      <c r="AW2983" s="214"/>
      <c r="AX2983" s="214"/>
      <c r="AY2983" s="214"/>
      <c r="AZ2983" s="214"/>
      <c r="BA2983" s="214"/>
      <c r="BB2983" s="214"/>
      <c r="BC2983" s="214"/>
      <c r="BD2983" s="214"/>
      <c r="BE2983" s="214"/>
      <c r="BF2983" s="214"/>
      <c r="BG2983" s="214"/>
      <c r="BH2983" s="214"/>
      <c r="BI2983" s="214"/>
      <c r="BJ2983" s="214"/>
      <c r="BK2983" s="214"/>
      <c r="BL2983" s="214"/>
      <c r="BM2983" s="214"/>
      <c r="BN2983" s="214"/>
      <c r="BO2983" s="214"/>
      <c r="BP2983" s="214"/>
      <c r="BQ2983" s="214"/>
      <c r="BR2983" s="214"/>
      <c r="BS2983" s="214"/>
      <c r="BT2983" s="214"/>
      <c r="BU2983" s="214"/>
      <c r="BV2983" s="214"/>
      <c r="BW2983" s="214"/>
      <c r="BX2983" s="214"/>
      <c r="BY2983" s="214"/>
      <c r="BZ2983" s="214"/>
      <c r="CA2983" s="214"/>
      <c r="CB2983" s="214"/>
      <c r="CC2983" s="214"/>
      <c r="CD2983" s="214"/>
      <c r="CE2983" s="230"/>
      <c r="CF2983" s="230"/>
      <c r="CG2983" s="230"/>
      <c r="CH2983" s="76"/>
      <c r="CI2983" s="76" t="str">
        <f>+CONCATENATE(D$4432,C2983)</f>
        <v/>
      </c>
      <c r="CJ2983" s="230"/>
      <c r="CK2983" s="230"/>
      <c r="CL2983" s="230"/>
      <c r="CM2983" s="231"/>
    </row>
    <row r="2984" spans="1:91" ht="15">
      <c r="A2984" s="464"/>
      <c r="B2984" s="464"/>
      <c r="C2984" s="656" t="s">
        <v>2391</v>
      </c>
      <c r="D2984" s="689"/>
      <c r="E2984" s="422"/>
      <c r="F2984" s="422"/>
      <c r="G2984" s="461"/>
      <c r="H2984" s="678"/>
      <c r="I2984" s="462"/>
      <c r="J2984" s="462"/>
      <c r="K2984" s="422"/>
      <c r="L2984" s="689"/>
      <c r="M2984" s="422"/>
      <c r="N2984" s="463"/>
      <c r="O2984" s="463"/>
      <c r="P2984" s="689"/>
      <c r="Q2984" s="461"/>
      <c r="R2984" s="491"/>
      <c r="S2984" s="491"/>
      <c r="T2984" s="491"/>
      <c r="U2984" s="215">
        <f>+U2986-SUM(U2920:U2983)</f>
        <v>-3855.1478455773031</v>
      </c>
      <c r="V2984" s="215">
        <f t="shared" ref="V2984:AC2984" si="1282">+V2986-SUM(V2920:V2983)</f>
        <v>2778.6230147440874</v>
      </c>
      <c r="W2984" s="215">
        <f t="shared" si="1282"/>
        <v>0</v>
      </c>
      <c r="X2984" s="215">
        <f t="shared" si="1282"/>
        <v>7379.975129166749</v>
      </c>
      <c r="Y2984" s="215">
        <f t="shared" si="1282"/>
        <v>5567.3332488125016</v>
      </c>
      <c r="Z2984" s="215">
        <f t="shared" si="1282"/>
        <v>581.23432118762867</v>
      </c>
      <c r="AA2984" s="215">
        <f t="shared" si="1282"/>
        <v>0</v>
      </c>
      <c r="AB2984" s="215">
        <f t="shared" si="1282"/>
        <v>6148.5675700000866</v>
      </c>
      <c r="AC2984" s="215">
        <f t="shared" si="1282"/>
        <v>8014.4816500000888</v>
      </c>
      <c r="AD2984" s="215">
        <f t="shared" ref="AD2984:AE2984" si="1283">+AD2986-SUM(AD2920:AD2983)</f>
        <v>7931.316110000058</v>
      </c>
      <c r="AE2984" s="215">
        <f t="shared" si="1283"/>
        <v>7740.6534100001591</v>
      </c>
      <c r="AF2984" s="215">
        <f t="shared" ref="AF2984:AG2984" si="1284">+AF2986-SUM(AF2920:AF2983)</f>
        <v>7657.4878700001136</v>
      </c>
      <c r="AG2984" s="215">
        <f t="shared" si="1284"/>
        <v>7574.3223300000682</v>
      </c>
      <c r="AH2984" s="215">
        <f t="shared" ref="AH2984:AI2984" si="1285">+AH2986-SUM(AH2920:AH2983)</f>
        <v>7491.1567900000664</v>
      </c>
      <c r="AI2984" s="215">
        <f t="shared" si="1285"/>
        <v>7407.9912500000501</v>
      </c>
      <c r="AJ2984" s="215">
        <f t="shared" ref="AJ2984:AK2984" si="1286">+AJ2986-SUM(AJ2920:AJ2983)</f>
        <v>7324.6845300001442</v>
      </c>
      <c r="AK2984" s="215">
        <f t="shared" si="1286"/>
        <v>7241.6601700001193</v>
      </c>
      <c r="AL2984" s="215">
        <f t="shared" ref="AL2984:AM2984" si="1287">+AL2986-SUM(AL2920:AL2983)</f>
        <v>6876.7587500000809</v>
      </c>
      <c r="AM2984" s="215">
        <f t="shared" si="1287"/>
        <v>7415.6369500001019</v>
      </c>
      <c r="AN2984" s="215">
        <f t="shared" ref="AN2984:AO2984" si="1288">+AN2986-SUM(AN2920:AN2983)</f>
        <v>6816.5087799999601</v>
      </c>
      <c r="AO2984" s="215">
        <f t="shared" si="1288"/>
        <v>6148.5675700000866</v>
      </c>
      <c r="AP2984" s="214"/>
      <c r="AQ2984" s="214"/>
      <c r="AR2984" s="215"/>
      <c r="AS2984" s="215"/>
      <c r="AT2984" s="215"/>
      <c r="AU2984" s="215"/>
      <c r="AV2984" s="215"/>
      <c r="AW2984" s="215"/>
      <c r="AX2984" s="215"/>
      <c r="AY2984" s="215"/>
      <c r="AZ2984" s="215"/>
      <c r="BA2984" s="215"/>
      <c r="BB2984" s="215"/>
      <c r="BC2984" s="215"/>
      <c r="BD2984" s="215"/>
      <c r="BE2984" s="215"/>
      <c r="BF2984" s="215"/>
      <c r="BG2984" s="215"/>
      <c r="BH2984" s="215"/>
      <c r="BI2984" s="215"/>
      <c r="BJ2984" s="215"/>
      <c r="BK2984" s="215"/>
      <c r="BL2984" s="215"/>
      <c r="BM2984" s="215"/>
      <c r="BN2984" s="215"/>
      <c r="BO2984" s="215"/>
      <c r="BP2984" s="215"/>
      <c r="BQ2984" s="215"/>
      <c r="BR2984" s="215"/>
      <c r="BS2984" s="215"/>
      <c r="BT2984" s="215"/>
      <c r="BU2984" s="215"/>
      <c r="BV2984" s="215"/>
      <c r="BW2984" s="215"/>
      <c r="BX2984" s="215"/>
      <c r="BY2984" s="215"/>
      <c r="BZ2984" s="215"/>
      <c r="CA2984" s="215"/>
      <c r="CB2984" s="215"/>
      <c r="CC2984" s="215"/>
      <c r="CD2984" s="215"/>
      <c r="CE2984" s="230"/>
      <c r="CF2984" s="230"/>
      <c r="CG2984" s="230"/>
      <c r="CH2984" s="76"/>
      <c r="CI2984" s="230"/>
      <c r="CJ2984" s="230"/>
      <c r="CK2984" s="230"/>
      <c r="CL2984" s="230"/>
      <c r="CM2984" s="231"/>
    </row>
    <row r="2985" spans="1:91">
      <c r="A2985" s="464"/>
      <c r="B2985" s="464"/>
      <c r="C2985" s="656"/>
      <c r="D2985" s="689"/>
      <c r="E2985" s="422"/>
      <c r="F2985" s="422"/>
      <c r="G2985" s="461"/>
      <c r="H2985" s="678"/>
      <c r="I2985" s="462"/>
      <c r="J2985" s="462"/>
      <c r="K2985" s="422"/>
      <c r="L2985" s="689"/>
      <c r="M2985" s="422"/>
      <c r="N2985" s="463"/>
      <c r="O2985" s="463"/>
      <c r="P2985" s="689"/>
      <c r="Q2985" s="461"/>
      <c r="R2985" s="491"/>
      <c r="S2985" s="491"/>
      <c r="T2985" s="491"/>
      <c r="U2985" s="216"/>
      <c r="V2985" s="216"/>
      <c r="W2985" s="216"/>
      <c r="X2985" s="216"/>
      <c r="Y2985" s="216"/>
      <c r="Z2985" s="216"/>
      <c r="AA2985" s="216"/>
      <c r="AB2985" s="216"/>
      <c r="AC2985" s="216"/>
      <c r="AD2985" s="216"/>
      <c r="AE2985" s="216"/>
      <c r="AF2985" s="216"/>
      <c r="AG2985" s="216"/>
      <c r="AH2985" s="216"/>
      <c r="AI2985" s="216"/>
      <c r="AJ2985" s="216"/>
      <c r="AK2985" s="216"/>
      <c r="AL2985" s="216"/>
      <c r="AM2985" s="216"/>
      <c r="AN2985" s="216"/>
      <c r="AO2985" s="216"/>
      <c r="AP2985" s="216"/>
      <c r="AQ2985" s="216"/>
      <c r="AR2985" s="216"/>
      <c r="AS2985" s="216"/>
      <c r="AT2985" s="216"/>
      <c r="AU2985" s="216"/>
      <c r="AV2985" s="216"/>
      <c r="AW2985" s="216"/>
      <c r="AX2985" s="216"/>
      <c r="AY2985" s="216"/>
      <c r="AZ2985" s="216"/>
      <c r="BA2985" s="216"/>
      <c r="BB2985" s="216"/>
      <c r="BC2985" s="216"/>
      <c r="BD2985" s="216"/>
      <c r="BE2985" s="216"/>
      <c r="BF2985" s="216"/>
      <c r="BG2985" s="216"/>
      <c r="BH2985" s="216"/>
      <c r="BI2985" s="216"/>
      <c r="BJ2985" s="216"/>
      <c r="BK2985" s="216"/>
      <c r="BL2985" s="216"/>
      <c r="BM2985" s="216"/>
      <c r="BN2985" s="216"/>
      <c r="BO2985" s="216"/>
      <c r="BP2985" s="216"/>
      <c r="BQ2985" s="216"/>
      <c r="BR2985" s="216"/>
      <c r="BS2985" s="216"/>
      <c r="BT2985" s="216"/>
      <c r="BU2985" s="216"/>
      <c r="BV2985" s="216"/>
      <c r="BW2985" s="216"/>
      <c r="BX2985" s="216"/>
      <c r="BY2985" s="216"/>
      <c r="BZ2985" s="216"/>
      <c r="CA2985" s="216"/>
      <c r="CB2985" s="216"/>
      <c r="CC2985" s="216"/>
      <c r="CD2985" s="216"/>
      <c r="CE2985" s="230"/>
      <c r="CF2985" s="230"/>
      <c r="CG2985" s="230"/>
      <c r="CH2985" s="76"/>
      <c r="CI2985" s="230"/>
      <c r="CJ2985" s="230"/>
      <c r="CK2985" s="230"/>
      <c r="CL2985" s="230"/>
      <c r="CM2985" s="231"/>
    </row>
    <row r="2986" spans="1:91">
      <c r="A2986" s="409"/>
      <c r="B2986" s="409"/>
      <c r="C2986" s="656" t="s">
        <v>2475</v>
      </c>
      <c r="D2986" s="656" t="s">
        <v>2441</v>
      </c>
      <c r="E2986" s="406"/>
      <c r="F2986" s="406"/>
      <c r="G2986" s="406"/>
      <c r="H2986" s="672"/>
      <c r="I2986" s="448"/>
      <c r="J2986" s="448"/>
      <c r="K2986" s="405"/>
      <c r="L2986" s="655"/>
      <c r="M2986" s="405"/>
      <c r="N2986" s="449"/>
      <c r="O2986" s="449"/>
      <c r="P2986" s="655"/>
      <c r="Q2986" s="406"/>
      <c r="R2986" s="486"/>
      <c r="S2986" s="486"/>
      <c r="T2986" s="486"/>
      <c r="U2986" s="214">
        <f t="shared" ref="U2986:AO2986" si="1289">SUMIF($L:$L,$D2986,U:U)</f>
        <v>-129641.8174323335</v>
      </c>
      <c r="V2986" s="214">
        <f t="shared" si="1289"/>
        <v>40358.938613167338</v>
      </c>
      <c r="W2986" s="214">
        <f t="shared" si="1289"/>
        <v>0</v>
      </c>
      <c r="X2986" s="214">
        <f t="shared" si="1289"/>
        <v>-89282.878819166159</v>
      </c>
      <c r="Y2986" s="214">
        <f t="shared" si="1289"/>
        <v>-135305.11586301963</v>
      </c>
      <c r="Z2986" s="214">
        <f t="shared" si="1289"/>
        <v>51785.51520301964</v>
      </c>
      <c r="AA2986" s="214">
        <f t="shared" si="1289"/>
        <v>0</v>
      </c>
      <c r="AB2986" s="214">
        <f t="shared" si="1289"/>
        <v>-83519.600659999967</v>
      </c>
      <c r="AC2986" s="214">
        <f t="shared" si="1289"/>
        <v>-70303.588999999789</v>
      </c>
      <c r="AD2986" s="214">
        <f t="shared" si="1289"/>
        <v>-88273.080200000011</v>
      </c>
      <c r="AE2986" s="214">
        <f t="shared" si="1289"/>
        <v>-93758.617229999902</v>
      </c>
      <c r="AF2986" s="214">
        <f t="shared" si="1289"/>
        <v>-100574.94093999996</v>
      </c>
      <c r="AG2986" s="214">
        <f t="shared" si="1289"/>
        <v>-88139.154109999989</v>
      </c>
      <c r="AH2986" s="214">
        <f t="shared" si="1289"/>
        <v>-91574.635500000019</v>
      </c>
      <c r="AI2986" s="214">
        <f t="shared" si="1289"/>
        <v>-89890.84100999996</v>
      </c>
      <c r="AJ2986" s="214">
        <f t="shared" si="1289"/>
        <v>-82914.349229999934</v>
      </c>
      <c r="AK2986" s="214">
        <f t="shared" si="1289"/>
        <v>-85211.987269999925</v>
      </c>
      <c r="AL2986" s="214">
        <f t="shared" si="1289"/>
        <v>-91613.374709999975</v>
      </c>
      <c r="AM2986" s="214">
        <f t="shared" si="1289"/>
        <v>-88730.119419999945</v>
      </c>
      <c r="AN2986" s="214">
        <f t="shared" si="1289"/>
        <v>-93801.851380000066</v>
      </c>
      <c r="AO2986" s="214">
        <f t="shared" si="1289"/>
        <v>-83519.600659999967</v>
      </c>
      <c r="AP2986" s="214"/>
      <c r="AR2986" s="794"/>
      <c r="AS2986" s="214"/>
      <c r="AT2986" s="214"/>
      <c r="AU2986" s="214"/>
      <c r="AV2986" s="214"/>
      <c r="AW2986" s="214"/>
      <c r="AX2986" s="214"/>
      <c r="AY2986" s="214"/>
      <c r="AZ2986" s="214"/>
      <c r="BA2986" s="214"/>
      <c r="BB2986" s="214"/>
      <c r="BC2986" s="214"/>
      <c r="BD2986" s="214"/>
      <c r="BE2986" s="214"/>
      <c r="BF2986" s="214"/>
      <c r="BG2986" s="214"/>
      <c r="BH2986" s="214"/>
      <c r="BI2986" s="214"/>
      <c r="BJ2986" s="214"/>
      <c r="BK2986" s="214"/>
      <c r="BL2986" s="214"/>
      <c r="BM2986" s="214"/>
      <c r="BN2986" s="214"/>
      <c r="BO2986" s="214"/>
      <c r="BP2986" s="214"/>
      <c r="BQ2986" s="214"/>
      <c r="BR2986" s="214"/>
      <c r="BS2986" s="214"/>
      <c r="BT2986" s="214"/>
      <c r="BU2986" s="214"/>
      <c r="BV2986" s="214"/>
      <c r="BW2986" s="214"/>
      <c r="BX2986" s="214"/>
      <c r="BY2986" s="214"/>
      <c r="BZ2986" s="214"/>
      <c r="CA2986" s="214"/>
      <c r="CB2986" s="214"/>
      <c r="CC2986" s="214"/>
      <c r="CD2986" s="214"/>
      <c r="CE2986" s="227"/>
      <c r="CF2986" s="227"/>
      <c r="CG2986" s="227"/>
      <c r="CH2986" s="76"/>
      <c r="CI2986" s="230"/>
      <c r="CJ2986" s="227"/>
      <c r="CK2986" s="227"/>
      <c r="CL2986" s="227"/>
      <c r="CM2986" s="213"/>
    </row>
    <row r="2987" spans="1:91" s="227" customFormat="1" ht="12.75" customHeight="1">
      <c r="A2987" s="447"/>
      <c r="B2987" s="409"/>
      <c r="C2987" s="656"/>
      <c r="D2987" s="655"/>
      <c r="E2987" s="405"/>
      <c r="F2987" s="405"/>
      <c r="G2987" s="406"/>
      <c r="H2987" s="672"/>
      <c r="I2987" s="448"/>
      <c r="J2987" s="448"/>
      <c r="K2987" s="405"/>
      <c r="L2987" s="655"/>
      <c r="M2987" s="405"/>
      <c r="N2987" s="449"/>
      <c r="O2987" s="449"/>
      <c r="P2987" s="655"/>
      <c r="Q2987" s="406"/>
      <c r="R2987" s="486"/>
      <c r="S2987" s="486"/>
      <c r="T2987" s="486"/>
      <c r="U2987" s="215"/>
      <c r="V2987" s="215"/>
      <c r="W2987" s="215"/>
      <c r="X2987" s="215"/>
      <c r="Y2987" s="215"/>
      <c r="Z2987" s="215"/>
      <c r="AA2987" s="215"/>
      <c r="AB2987" s="215"/>
      <c r="AC2987" s="215"/>
      <c r="AD2987" s="215"/>
      <c r="AE2987" s="215"/>
      <c r="AF2987" s="215"/>
      <c r="AG2987" s="215"/>
      <c r="AH2987" s="215"/>
      <c r="AI2987" s="215"/>
      <c r="AJ2987" s="215"/>
      <c r="AK2987" s="215"/>
      <c r="AL2987" s="215"/>
      <c r="AM2987" s="215"/>
      <c r="AN2987" s="215"/>
      <c r="AO2987" s="215"/>
      <c r="AP2987" s="215"/>
      <c r="AQ2987" s="76"/>
      <c r="AR2987" s="76"/>
      <c r="AS2987" s="215"/>
      <c r="AT2987" s="215"/>
      <c r="AU2987" s="215"/>
      <c r="AV2987" s="215"/>
      <c r="AW2987" s="215"/>
      <c r="AX2987" s="215"/>
      <c r="AY2987" s="215"/>
      <c r="AZ2987" s="215"/>
      <c r="BA2987" s="215"/>
      <c r="BB2987" s="215"/>
      <c r="BC2987" s="215"/>
      <c r="BD2987" s="215"/>
      <c r="BE2987" s="215"/>
      <c r="BF2987" s="215"/>
      <c r="BG2987" s="215"/>
      <c r="BH2987" s="215"/>
      <c r="BI2987" s="215"/>
      <c r="BJ2987" s="215"/>
      <c r="BK2987" s="215"/>
      <c r="BL2987" s="215"/>
      <c r="BM2987" s="215"/>
      <c r="BN2987" s="215"/>
      <c r="BO2987" s="215"/>
      <c r="BP2987" s="215"/>
      <c r="BQ2987" s="215"/>
      <c r="BR2987" s="215"/>
      <c r="BS2987" s="215"/>
      <c r="BT2987" s="215"/>
      <c r="BU2987" s="215"/>
      <c r="BV2987" s="215"/>
      <c r="BW2987" s="215"/>
      <c r="BX2987" s="215"/>
      <c r="BY2987" s="215"/>
      <c r="BZ2987" s="215"/>
      <c r="CA2987" s="215"/>
      <c r="CB2987" s="215"/>
      <c r="CC2987" s="215"/>
      <c r="CD2987" s="215"/>
      <c r="CE2987" s="252"/>
      <c r="CF2987" s="252"/>
      <c r="CG2987" s="252"/>
      <c r="CH2987" s="76"/>
      <c r="CI2987" s="230"/>
      <c r="CM2987" s="213"/>
    </row>
    <row r="2988" spans="1:91">
      <c r="A2988" s="409"/>
      <c r="B2988" s="409"/>
      <c r="C2988" s="656"/>
      <c r="D2988" s="655"/>
      <c r="E2988" s="405"/>
      <c r="F2988" s="405"/>
      <c r="G2988" s="406"/>
      <c r="H2988" s="672"/>
      <c r="I2988" s="448"/>
      <c r="J2988" s="448"/>
      <c r="K2988" s="405"/>
      <c r="L2988" s="655"/>
      <c r="M2988" s="405"/>
      <c r="N2988" s="449"/>
      <c r="O2988" s="449"/>
      <c r="P2988" s="655"/>
      <c r="Q2988" s="406"/>
      <c r="R2988" s="486"/>
      <c r="S2988" s="486"/>
      <c r="T2988" s="486"/>
      <c r="U2988" s="214"/>
      <c r="V2988" s="214"/>
      <c r="W2988" s="214"/>
      <c r="X2988" s="214"/>
      <c r="Y2988" s="214"/>
      <c r="Z2988" s="214"/>
      <c r="AA2988" s="214"/>
      <c r="AB2988" s="214"/>
      <c r="AC2988" s="214"/>
      <c r="AD2988" s="214"/>
      <c r="AE2988" s="214"/>
      <c r="AF2988" s="214"/>
      <c r="AG2988" s="214"/>
      <c r="AH2988" s="214"/>
      <c r="AI2988" s="214"/>
      <c r="AJ2988" s="214"/>
      <c r="AK2988" s="214"/>
      <c r="AL2988" s="214"/>
      <c r="AM2988" s="214"/>
      <c r="AN2988" s="214"/>
      <c r="AO2988" s="214"/>
      <c r="AP2988" s="214"/>
      <c r="AR2988" s="794"/>
      <c r="AS2988" s="214"/>
      <c r="AT2988" s="214"/>
      <c r="AU2988" s="214"/>
      <c r="AV2988" s="214"/>
      <c r="AW2988" s="214"/>
      <c r="AX2988" s="214"/>
      <c r="AY2988" s="214"/>
      <c r="AZ2988" s="214"/>
      <c r="BA2988" s="214"/>
      <c r="BB2988" s="214"/>
      <c r="BC2988" s="214"/>
      <c r="BD2988" s="214"/>
      <c r="BE2988" s="214"/>
      <c r="BF2988" s="214"/>
      <c r="BG2988" s="214"/>
      <c r="BH2988" s="214"/>
      <c r="BI2988" s="214"/>
      <c r="BJ2988" s="214"/>
      <c r="BK2988" s="214"/>
      <c r="BL2988" s="214"/>
      <c r="BM2988" s="214"/>
      <c r="BN2988" s="214"/>
      <c r="BO2988" s="214"/>
      <c r="BP2988" s="214"/>
      <c r="BQ2988" s="214"/>
      <c r="BR2988" s="214"/>
      <c r="BS2988" s="214"/>
      <c r="BT2988" s="214"/>
      <c r="BU2988" s="214"/>
      <c r="BV2988" s="214"/>
      <c r="BW2988" s="214"/>
      <c r="BX2988" s="214"/>
      <c r="BY2988" s="214"/>
      <c r="BZ2988" s="214"/>
      <c r="CA2988" s="214"/>
      <c r="CB2988" s="214"/>
      <c r="CC2988" s="214"/>
      <c r="CD2988" s="214"/>
      <c r="CE2988" s="227"/>
      <c r="CF2988" s="227"/>
      <c r="CG2988" s="227"/>
      <c r="CH2988" s="76"/>
      <c r="CI2988" s="230"/>
      <c r="CJ2988" s="227"/>
      <c r="CK2988" s="227"/>
      <c r="CL2988" s="227"/>
      <c r="CM2988" s="213"/>
    </row>
    <row r="2989" spans="1:91">
      <c r="A2989" s="409"/>
      <c r="B2989" s="409"/>
      <c r="C2989" s="656"/>
      <c r="D2989" s="655"/>
      <c r="E2989" s="405"/>
      <c r="F2989" s="405"/>
      <c r="G2989" s="406"/>
      <c r="H2989" s="672"/>
      <c r="I2989" s="448"/>
      <c r="J2989" s="448"/>
      <c r="K2989" s="405"/>
      <c r="L2989" s="655"/>
      <c r="M2989" s="405"/>
      <c r="N2989" s="449"/>
      <c r="O2989" s="449"/>
      <c r="P2989" s="655"/>
      <c r="Q2989" s="406"/>
      <c r="R2989" s="486"/>
      <c r="S2989" s="486"/>
      <c r="T2989" s="486"/>
      <c r="U2989" s="216"/>
      <c r="V2989" s="216"/>
      <c r="W2989" s="216"/>
      <c r="X2989" s="216"/>
      <c r="Y2989" s="216"/>
      <c r="Z2989" s="216"/>
      <c r="AA2989" s="216"/>
      <c r="AB2989" s="216"/>
      <c r="AC2989" s="216"/>
      <c r="AD2989" s="216"/>
      <c r="AE2989" s="216"/>
      <c r="AF2989" s="216"/>
      <c r="AG2989" s="216"/>
      <c r="AH2989" s="216"/>
      <c r="AI2989" s="216"/>
      <c r="AJ2989" s="216"/>
      <c r="AK2989" s="216"/>
      <c r="AL2989" s="216"/>
      <c r="AM2989" s="216"/>
      <c r="AN2989" s="216"/>
      <c r="AO2989" s="216"/>
      <c r="AP2989" s="216"/>
      <c r="AS2989" s="216"/>
      <c r="AT2989" s="216"/>
      <c r="AU2989" s="216"/>
      <c r="AV2989" s="216"/>
      <c r="AW2989" s="216"/>
      <c r="AX2989" s="216"/>
      <c r="AY2989" s="216"/>
      <c r="AZ2989" s="216"/>
      <c r="BA2989" s="216"/>
      <c r="BB2989" s="216"/>
      <c r="BC2989" s="216"/>
      <c r="BD2989" s="216"/>
      <c r="BE2989" s="216"/>
      <c r="BF2989" s="216"/>
      <c r="BG2989" s="216"/>
      <c r="BH2989" s="216"/>
      <c r="BI2989" s="216"/>
      <c r="BJ2989" s="216"/>
      <c r="BK2989" s="216"/>
      <c r="BL2989" s="216"/>
      <c r="BM2989" s="216"/>
      <c r="BN2989" s="216"/>
      <c r="BO2989" s="216"/>
      <c r="BP2989" s="216"/>
      <c r="BQ2989" s="216"/>
      <c r="BR2989" s="216"/>
      <c r="BS2989" s="216"/>
      <c r="BT2989" s="216"/>
      <c r="BU2989" s="216"/>
      <c r="BV2989" s="216"/>
      <c r="BW2989" s="216"/>
      <c r="BX2989" s="216"/>
      <c r="BY2989" s="216"/>
      <c r="BZ2989" s="216"/>
      <c r="CA2989" s="216"/>
      <c r="CB2989" s="216"/>
      <c r="CC2989" s="216"/>
      <c r="CD2989" s="216"/>
      <c r="CE2989" s="230"/>
      <c r="CF2989" s="230"/>
      <c r="CG2989" s="230"/>
      <c r="CH2989" s="76"/>
      <c r="CI2989" s="230"/>
      <c r="CJ2989" s="227"/>
      <c r="CK2989" s="227"/>
      <c r="CL2989" s="227"/>
      <c r="CM2989" s="213"/>
    </row>
    <row r="2990" spans="1:91">
      <c r="A2990" s="409"/>
      <c r="B2990" s="409"/>
      <c r="C2990" s="656"/>
      <c r="D2990" s="655"/>
      <c r="E2990" s="405"/>
      <c r="F2990" s="405"/>
      <c r="G2990" s="406"/>
      <c r="H2990" s="672"/>
      <c r="I2990" s="448"/>
      <c r="J2990" s="448"/>
      <c r="K2990" s="405"/>
      <c r="L2990" s="655"/>
      <c r="M2990" s="405"/>
      <c r="N2990" s="449"/>
      <c r="O2990" s="449"/>
      <c r="P2990" s="655"/>
      <c r="Q2990" s="406"/>
      <c r="R2990" s="486"/>
      <c r="S2990" s="486"/>
      <c r="T2990" s="486"/>
      <c r="U2990" s="214"/>
      <c r="V2990" s="214"/>
      <c r="W2990" s="214"/>
      <c r="X2990" s="214"/>
      <c r="Y2990" s="214"/>
      <c r="Z2990" s="214"/>
      <c r="AA2990" s="214"/>
      <c r="AB2990" s="214"/>
      <c r="AC2990" s="214"/>
      <c r="AD2990" s="214"/>
      <c r="AE2990" s="214"/>
      <c r="AF2990" s="214"/>
      <c r="AG2990" s="214"/>
      <c r="AH2990" s="214"/>
      <c r="AI2990" s="214"/>
      <c r="AJ2990" s="214"/>
      <c r="AK2990" s="214"/>
      <c r="AL2990" s="214"/>
      <c r="AM2990" s="214"/>
      <c r="AN2990" s="214"/>
      <c r="AO2990" s="214"/>
      <c r="AP2990" s="214"/>
      <c r="AS2990" s="214"/>
      <c r="AT2990" s="214"/>
      <c r="AU2990" s="214"/>
      <c r="AV2990" s="214"/>
      <c r="AW2990" s="214"/>
      <c r="AX2990" s="214"/>
      <c r="AY2990" s="214"/>
      <c r="AZ2990" s="214"/>
      <c r="BA2990" s="214"/>
      <c r="BB2990" s="214"/>
      <c r="BC2990" s="214"/>
      <c r="BD2990" s="214"/>
      <c r="BE2990" s="214"/>
      <c r="BF2990" s="214"/>
      <c r="BG2990" s="214"/>
      <c r="BH2990" s="214"/>
      <c r="BI2990" s="214"/>
      <c r="BJ2990" s="214"/>
      <c r="BK2990" s="214"/>
      <c r="BL2990" s="214"/>
      <c r="BM2990" s="214"/>
      <c r="BN2990" s="214"/>
      <c r="BO2990" s="214"/>
      <c r="BP2990" s="214"/>
      <c r="BQ2990" s="214"/>
      <c r="BR2990" s="214"/>
      <c r="BS2990" s="214"/>
      <c r="BT2990" s="214"/>
      <c r="BU2990" s="214"/>
      <c r="BV2990" s="214"/>
      <c r="BW2990" s="214"/>
      <c r="BX2990" s="214"/>
      <c r="BY2990" s="214"/>
      <c r="BZ2990" s="214"/>
      <c r="CA2990" s="214"/>
      <c r="CB2990" s="214"/>
      <c r="CC2990" s="214"/>
      <c r="CD2990" s="214"/>
      <c r="CE2990" s="227"/>
      <c r="CF2990" s="227"/>
      <c r="CG2990" s="227"/>
      <c r="CH2990" s="76"/>
      <c r="CI2990" s="230"/>
      <c r="CJ2990" s="227"/>
      <c r="CK2990" s="227"/>
      <c r="CL2990" s="227"/>
      <c r="CM2990" s="213"/>
    </row>
    <row r="2991" spans="1:91">
      <c r="A2991" s="447"/>
      <c r="B2991" s="447" t="s">
        <v>2542</v>
      </c>
      <c r="C2991" s="656"/>
      <c r="D2991" s="655"/>
      <c r="E2991" s="405"/>
      <c r="F2991" s="405"/>
      <c r="G2991" s="406"/>
      <c r="H2991" s="672"/>
      <c r="I2991" s="448"/>
      <c r="J2991" s="448"/>
      <c r="K2991" s="405"/>
      <c r="L2991" s="655"/>
      <c r="M2991" s="405"/>
      <c r="N2991" s="449"/>
      <c r="O2991" s="449"/>
      <c r="P2991" s="655"/>
      <c r="Q2991" s="406"/>
      <c r="R2991" s="486"/>
      <c r="S2991" s="486"/>
      <c r="T2991" s="486"/>
      <c r="U2991" s="214"/>
      <c r="V2991" s="214"/>
      <c r="W2991" s="214"/>
      <c r="X2991" s="214"/>
      <c r="Y2991" s="214"/>
      <c r="Z2991" s="214"/>
      <c r="AA2991" s="214"/>
      <c r="AB2991" s="214"/>
      <c r="AC2991" s="214"/>
      <c r="AD2991" s="214"/>
      <c r="AE2991" s="214"/>
      <c r="AF2991" s="214"/>
      <c r="AG2991" s="214"/>
      <c r="AH2991" s="214"/>
      <c r="AI2991" s="214"/>
      <c r="AJ2991" s="214"/>
      <c r="AK2991" s="214"/>
      <c r="AL2991" s="214"/>
      <c r="AM2991" s="214"/>
      <c r="AN2991" s="214"/>
      <c r="AO2991" s="214"/>
      <c r="AP2991" s="214"/>
      <c r="AQ2991" s="214"/>
      <c r="AR2991" s="214"/>
      <c r="AS2991" s="214"/>
      <c r="AT2991" s="214"/>
      <c r="AU2991" s="214"/>
      <c r="AV2991" s="214"/>
      <c r="AW2991" s="214"/>
      <c r="AX2991" s="214"/>
      <c r="AY2991" s="214"/>
      <c r="AZ2991" s="214"/>
      <c r="BA2991" s="214"/>
      <c r="BB2991" s="214"/>
      <c r="BC2991" s="214"/>
      <c r="BD2991" s="214"/>
      <c r="BE2991" s="214"/>
      <c r="BF2991" s="214"/>
      <c r="BG2991" s="214"/>
      <c r="BH2991" s="214"/>
      <c r="BI2991" s="214"/>
      <c r="BJ2991" s="214"/>
      <c r="BK2991" s="214"/>
      <c r="BL2991" s="214"/>
      <c r="BM2991" s="214"/>
      <c r="BN2991" s="214"/>
      <c r="BO2991" s="214"/>
      <c r="BP2991" s="214"/>
      <c r="BQ2991" s="214"/>
      <c r="BR2991" s="214"/>
      <c r="BS2991" s="214"/>
      <c r="BT2991" s="214"/>
      <c r="BU2991" s="214"/>
      <c r="BV2991" s="214"/>
      <c r="BW2991" s="214"/>
      <c r="BX2991" s="214"/>
      <c r="BY2991" s="214"/>
      <c r="BZ2991" s="214"/>
      <c r="CA2991" s="214"/>
      <c r="CB2991" s="214"/>
      <c r="CC2991" s="214"/>
      <c r="CD2991" s="214"/>
      <c r="CE2991" s="227"/>
      <c r="CF2991" s="227"/>
      <c r="CG2991" s="227"/>
      <c r="CH2991" s="76"/>
      <c r="CI2991" s="227"/>
      <c r="CJ2991" s="227"/>
      <c r="CK2991" s="227"/>
      <c r="CL2991" s="227"/>
      <c r="CM2991" s="213"/>
    </row>
    <row r="2992" spans="1:91">
      <c r="A2992" s="409"/>
      <c r="B2992" s="409"/>
      <c r="C2992" s="656" t="s">
        <v>746</v>
      </c>
      <c r="D2992" s="655"/>
      <c r="E2992" s="405"/>
      <c r="F2992" s="405"/>
      <c r="G2992" s="406"/>
      <c r="H2992" s="672"/>
      <c r="I2992" s="448"/>
      <c r="J2992" s="448"/>
      <c r="K2992" s="405"/>
      <c r="L2992" s="655"/>
      <c r="M2992" s="405"/>
      <c r="N2992" s="449"/>
      <c r="O2992" s="449"/>
      <c r="P2992" s="655"/>
      <c r="Q2992" s="406"/>
      <c r="R2992" s="486"/>
      <c r="S2992" s="486"/>
      <c r="T2992" s="486"/>
      <c r="U2992" s="214">
        <f t="shared" ref="U2992:AO2992" si="1290">SUMIF($A:$A,$C2992,U:U)</f>
        <v>82088.593334194302</v>
      </c>
      <c r="V2992" s="214">
        <f t="shared" si="1290"/>
        <v>87714.833703722863</v>
      </c>
      <c r="W2992" s="214">
        <f t="shared" si="1290"/>
        <v>-11369.548982541768</v>
      </c>
      <c r="X2992" s="214">
        <f t="shared" si="1290"/>
        <v>158848.79315787528</v>
      </c>
      <c r="Y2992" s="214">
        <f t="shared" si="1290"/>
        <v>146229.47848872826</v>
      </c>
      <c r="Z2992" s="214">
        <f t="shared" si="1290"/>
        <v>123451.17149127163</v>
      </c>
      <c r="AA2992" s="214">
        <f t="shared" si="1290"/>
        <v>-34961.899563000014</v>
      </c>
      <c r="AB2992" s="214">
        <f t="shared" si="1290"/>
        <v>234718.75041700012</v>
      </c>
      <c r="AC2992" s="214">
        <f t="shared" si="1290"/>
        <v>198522.63491799991</v>
      </c>
      <c r="AD2992" s="214">
        <f t="shared" si="1290"/>
        <v>176077.80384699968</v>
      </c>
      <c r="AE2992" s="214">
        <f t="shared" si="1290"/>
        <v>165531.94856699961</v>
      </c>
      <c r="AF2992" s="214">
        <f t="shared" si="1290"/>
        <v>151400.01244699984</v>
      </c>
      <c r="AG2992" s="214">
        <f t="shared" si="1290"/>
        <v>154292.70482699978</v>
      </c>
      <c r="AH2992" s="765">
        <f t="shared" si="1290"/>
        <v>146822.0658069996</v>
      </c>
      <c r="AI2992" s="214">
        <f t="shared" si="1290"/>
        <v>149042.30251699954</v>
      </c>
      <c r="AJ2992" s="214">
        <f t="shared" si="1290"/>
        <v>161328.71992699968</v>
      </c>
      <c r="AK2992" s="214">
        <f t="shared" si="1290"/>
        <v>159857.32165699979</v>
      </c>
      <c r="AL2992" s="214">
        <f t="shared" si="1290"/>
        <v>134910.05224700004</v>
      </c>
      <c r="AM2992" s="214">
        <f t="shared" si="1290"/>
        <v>133620.93217699978</v>
      </c>
      <c r="AN2992" s="214">
        <f t="shared" si="1290"/>
        <v>156680.9612069999</v>
      </c>
      <c r="AO2992" s="214">
        <f t="shared" si="1290"/>
        <v>234718.75041700012</v>
      </c>
      <c r="AP2992" s="214"/>
      <c r="AQ2992" s="214"/>
      <c r="AR2992" s="214"/>
      <c r="AS2992" s="214"/>
      <c r="AT2992" s="214"/>
      <c r="AU2992" s="214"/>
      <c r="AV2992" s="214"/>
      <c r="AW2992" s="214"/>
      <c r="AX2992" s="214"/>
      <c r="AY2992" s="214"/>
      <c r="AZ2992" s="214"/>
      <c r="BA2992" s="214"/>
      <c r="BB2992" s="214"/>
      <c r="BC2992" s="214"/>
      <c r="BD2992" s="214"/>
      <c r="BE2992" s="214"/>
      <c r="BF2992" s="214"/>
      <c r="BG2992" s="214"/>
      <c r="BH2992" s="214"/>
      <c r="BI2992" s="214"/>
      <c r="BJ2992" s="214"/>
      <c r="BK2992" s="214"/>
      <c r="BL2992" s="214"/>
      <c r="BM2992" s="214"/>
      <c r="BN2992" s="214"/>
      <c r="BO2992" s="214"/>
      <c r="BP2992" s="214"/>
      <c r="BQ2992" s="214"/>
      <c r="BR2992" s="214"/>
      <c r="BS2992" s="214"/>
      <c r="BT2992" s="214"/>
      <c r="BU2992" s="214"/>
      <c r="BV2992" s="214"/>
      <c r="BW2992" s="214"/>
      <c r="BX2992" s="214"/>
      <c r="BY2992" s="214"/>
      <c r="BZ2992" s="214"/>
      <c r="CA2992" s="214"/>
      <c r="CB2992" s="214"/>
      <c r="CC2992" s="214"/>
      <c r="CD2992" s="214"/>
      <c r="CE2992" s="227"/>
      <c r="CF2992" s="227"/>
      <c r="CG2992" s="227"/>
      <c r="CH2992" s="76"/>
      <c r="CI2992" s="227"/>
      <c r="CJ2992" s="227"/>
      <c r="CK2992" s="227"/>
      <c r="CL2992" s="227"/>
      <c r="CM2992" s="213"/>
    </row>
    <row r="2993" spans="1:91">
      <c r="A2993" s="467"/>
      <c r="B2993" s="467"/>
      <c r="C2993" s="656" t="s">
        <v>2464</v>
      </c>
      <c r="D2993" s="687"/>
      <c r="E2993" s="423"/>
      <c r="F2993" s="423"/>
      <c r="G2993" s="465"/>
      <c r="H2993" s="680"/>
      <c r="I2993" s="447"/>
      <c r="J2993" s="447"/>
      <c r="K2993" s="423"/>
      <c r="L2993" s="687"/>
      <c r="M2993" s="423"/>
      <c r="N2993" s="450"/>
      <c r="O2993" s="450"/>
      <c r="P2993" s="687"/>
      <c r="Q2993" s="465"/>
      <c r="R2993" s="487"/>
      <c r="S2993" s="487"/>
      <c r="T2993" s="487"/>
      <c r="U2993" s="228"/>
      <c r="V2993" s="228"/>
      <c r="W2993" s="228"/>
      <c r="X2993" s="228">
        <f>SUMIF($M:$M,$C2993,X:X)</f>
        <v>158848.79316041688</v>
      </c>
      <c r="Y2993" s="228"/>
      <c r="Z2993" s="228"/>
      <c r="AA2993" s="228"/>
      <c r="AB2993" s="228">
        <f t="shared" ref="AB2993:AO2993" si="1291">SUMIF($M:$M,$C2993,AB:AB)</f>
        <v>234718.75040999998</v>
      </c>
      <c r="AC2993" s="228">
        <f t="shared" si="1291"/>
        <v>198522.63492000007</v>
      </c>
      <c r="AD2993" s="228">
        <f t="shared" si="1291"/>
        <v>176077.80384999994</v>
      </c>
      <c r="AE2993" s="228">
        <f t="shared" si="1291"/>
        <v>165531.94856999998</v>
      </c>
      <c r="AF2993" s="228">
        <f t="shared" si="1291"/>
        <v>151400.01244999986</v>
      </c>
      <c r="AG2993" s="228">
        <f t="shared" si="1291"/>
        <v>154292.70482999992</v>
      </c>
      <c r="AH2993" s="228">
        <f t="shared" si="1291"/>
        <v>146822.06580999994</v>
      </c>
      <c r="AI2993" s="228">
        <f t="shared" si="1291"/>
        <v>149042.30251999988</v>
      </c>
      <c r="AJ2993" s="228">
        <f t="shared" si="1291"/>
        <v>161328.71992999993</v>
      </c>
      <c r="AK2993" s="228">
        <f t="shared" si="1291"/>
        <v>159857.32166000002</v>
      </c>
      <c r="AL2993" s="228">
        <f t="shared" si="1291"/>
        <v>134910.05225000012</v>
      </c>
      <c r="AM2993" s="228">
        <f t="shared" si="1291"/>
        <v>133620.93217999989</v>
      </c>
      <c r="AN2993" s="228">
        <f t="shared" si="1291"/>
        <v>156680.96120999998</v>
      </c>
      <c r="AO2993" s="228">
        <f t="shared" si="1291"/>
        <v>234718.75040999998</v>
      </c>
      <c r="AP2993" s="228"/>
      <c r="AQ2993" s="228"/>
      <c r="AR2993" s="228"/>
      <c r="AS2993" s="228"/>
      <c r="AT2993" s="228"/>
      <c r="AU2993" s="228"/>
      <c r="AV2993" s="228"/>
      <c r="AW2993" s="228"/>
      <c r="AX2993" s="228"/>
      <c r="AY2993" s="228"/>
      <c r="AZ2993" s="228"/>
      <c r="BA2993" s="228"/>
      <c r="BB2993" s="228"/>
      <c r="BC2993" s="228"/>
      <c r="BD2993" s="228"/>
      <c r="BE2993" s="228"/>
      <c r="BF2993" s="228"/>
      <c r="BG2993" s="228"/>
      <c r="BH2993" s="228"/>
      <c r="BI2993" s="228"/>
      <c r="BJ2993" s="228"/>
      <c r="BK2993" s="228"/>
      <c r="BL2993" s="228"/>
      <c r="BM2993" s="228"/>
      <c r="BN2993" s="228"/>
      <c r="BO2993" s="228"/>
      <c r="BP2993" s="228"/>
      <c r="BQ2993" s="228"/>
      <c r="BR2993" s="228"/>
      <c r="BS2993" s="228"/>
      <c r="BT2993" s="228"/>
      <c r="BU2993" s="228"/>
      <c r="BV2993" s="228"/>
      <c r="BW2993" s="228"/>
      <c r="BX2993" s="228"/>
      <c r="BY2993" s="228"/>
      <c r="BZ2993" s="228"/>
      <c r="CA2993" s="228"/>
      <c r="CB2993" s="228"/>
      <c r="CC2993" s="228"/>
      <c r="CD2993" s="228"/>
      <c r="CE2993" s="229"/>
      <c r="CF2993" s="229"/>
      <c r="CG2993" s="229"/>
      <c r="CH2993" s="76"/>
      <c r="CI2993" s="229"/>
      <c r="CJ2993" s="229"/>
      <c r="CK2993" s="229"/>
      <c r="CL2993" s="229"/>
      <c r="CM2993" s="232"/>
    </row>
    <row r="2994" spans="1:91">
      <c r="A2994" s="409"/>
      <c r="B2994" s="409"/>
      <c r="C2994" s="656"/>
      <c r="D2994" s="655"/>
      <c r="E2994" s="405"/>
      <c r="F2994" s="405"/>
      <c r="G2994" s="406"/>
      <c r="H2994" s="672"/>
      <c r="I2994" s="448"/>
      <c r="J2994" s="448"/>
      <c r="K2994" s="405"/>
      <c r="L2994" s="655"/>
      <c r="M2994" s="405"/>
      <c r="N2994" s="449"/>
      <c r="O2994" s="449"/>
      <c r="P2994" s="655"/>
      <c r="Q2994" s="406"/>
      <c r="R2994" s="486"/>
      <c r="S2994" s="486"/>
      <c r="T2994" s="486"/>
      <c r="U2994" s="214"/>
      <c r="V2994" s="214"/>
      <c r="W2994" s="214"/>
      <c r="X2994" s="214"/>
      <c r="Y2994" s="214"/>
      <c r="Z2994" s="214"/>
      <c r="AA2994" s="214"/>
      <c r="AB2994" s="214"/>
      <c r="AC2994" s="214"/>
      <c r="AD2994" s="214"/>
      <c r="AE2994" s="214"/>
      <c r="AF2994" s="214"/>
      <c r="AG2994" s="214"/>
      <c r="AH2994" s="214"/>
      <c r="AI2994" s="214"/>
      <c r="AJ2994" s="214"/>
      <c r="AK2994" s="214"/>
      <c r="AL2994" s="214"/>
      <c r="AM2994" s="214"/>
      <c r="AN2994" s="214"/>
      <c r="AO2994" s="214"/>
      <c r="AP2994" s="214"/>
      <c r="AQ2994" s="214"/>
      <c r="AR2994" s="214"/>
      <c r="AS2994" s="214"/>
      <c r="AT2994" s="214"/>
      <c r="AU2994" s="214"/>
      <c r="AV2994" s="214"/>
      <c r="AW2994" s="214"/>
      <c r="AX2994" s="214"/>
      <c r="AY2994" s="214"/>
      <c r="AZ2994" s="214"/>
      <c r="BA2994" s="214"/>
      <c r="BB2994" s="214"/>
      <c r="BC2994" s="214"/>
      <c r="BD2994" s="214"/>
      <c r="BE2994" s="214"/>
      <c r="BF2994" s="214"/>
      <c r="BG2994" s="214"/>
      <c r="BH2994" s="214"/>
      <c r="BI2994" s="214"/>
      <c r="BJ2994" s="214"/>
      <c r="BK2994" s="214"/>
      <c r="BL2994" s="214"/>
      <c r="BM2994" s="214"/>
      <c r="BN2994" s="214"/>
      <c r="BO2994" s="214"/>
      <c r="BP2994" s="214"/>
      <c r="BQ2994" s="214"/>
      <c r="BR2994" s="214"/>
      <c r="BS2994" s="214"/>
      <c r="BT2994" s="214"/>
      <c r="BU2994" s="214"/>
      <c r="BV2994" s="214"/>
      <c r="BW2994" s="214"/>
      <c r="BX2994" s="214"/>
      <c r="BY2994" s="214"/>
      <c r="BZ2994" s="214"/>
      <c r="CA2994" s="214"/>
      <c r="CB2994" s="214"/>
      <c r="CC2994" s="214"/>
      <c r="CD2994" s="214"/>
      <c r="CE2994" s="227"/>
      <c r="CF2994" s="227"/>
      <c r="CG2994" s="227"/>
      <c r="CH2994" s="76"/>
      <c r="CI2994" s="227"/>
      <c r="CJ2994" s="227"/>
      <c r="CK2994" s="227"/>
      <c r="CL2994" s="227"/>
      <c r="CM2994" s="213"/>
    </row>
    <row r="2995" spans="1:91">
      <c r="A2995" s="464"/>
      <c r="B2995" s="464"/>
      <c r="C2995" s="656" t="s">
        <v>2543</v>
      </c>
      <c r="D2995" s="689"/>
      <c r="E2995" s="422"/>
      <c r="F2995" s="422"/>
      <c r="G2995" s="461"/>
      <c r="H2995" s="678"/>
      <c r="I2995" s="462"/>
      <c r="J2995" s="462"/>
      <c r="K2995" s="422"/>
      <c r="L2995" s="689"/>
      <c r="M2995" s="422"/>
      <c r="N2995" s="463"/>
      <c r="O2995" s="463"/>
      <c r="P2995" s="689"/>
      <c r="Q2995" s="461"/>
      <c r="R2995" s="491"/>
      <c r="S2995" s="491"/>
      <c r="T2995" s="491"/>
      <c r="U2995" s="216"/>
      <c r="V2995" s="216"/>
      <c r="W2995" s="216"/>
      <c r="X2995" s="216">
        <f>+X2992-X2993</f>
        <v>-2.5416084099560976E-6</v>
      </c>
      <c r="Y2995" s="216"/>
      <c r="Z2995" s="216"/>
      <c r="AA2995" s="216"/>
      <c r="AB2995" s="216">
        <f>+AB2992-AB2993</f>
        <v>7.0001406129449606E-6</v>
      </c>
      <c r="AC2995" s="216">
        <f t="shared" ref="AC2995" si="1292">+AC2992-AC2993</f>
        <v>-2.0001607481390238E-6</v>
      </c>
      <c r="AD2995" s="216">
        <f t="shared" ref="AD2995:AE2995" si="1293">+AD2992-AD2993</f>
        <v>-3.000255674123764E-6</v>
      </c>
      <c r="AE2995" s="216">
        <f t="shared" si="1293"/>
        <v>-3.000372089445591E-6</v>
      </c>
      <c r="AF2995" s="216">
        <f t="shared" ref="AF2995:AG2995" si="1294">+AF2992-AF2993</f>
        <v>-3.0000228434801102E-6</v>
      </c>
      <c r="AG2995" s="216">
        <f t="shared" si="1294"/>
        <v>-3.0001392588019371E-6</v>
      </c>
      <c r="AH2995" s="216">
        <f t="shared" ref="AH2995:AI2995" si="1295">+AH2992-AH2993</f>
        <v>-3.0003429856151342E-6</v>
      </c>
      <c r="AI2995" s="216">
        <f t="shared" si="1295"/>
        <v>-3.0003429856151342E-6</v>
      </c>
      <c r="AJ2995" s="216">
        <f t="shared" ref="AJ2995" si="1296">+AJ2992-AJ2993</f>
        <v>-3.000255674123764E-6</v>
      </c>
      <c r="AK2995" s="216">
        <f>+AK2992-AK2993</f>
        <v>-3.0002265702933073E-6</v>
      </c>
      <c r="AL2995" s="216">
        <f>+AL2992-AL2993</f>
        <v>-3.0000810511410236E-6</v>
      </c>
      <c r="AM2995" s="216">
        <f>+AM2992-AM2993</f>
        <v>-3.0001101549714804E-6</v>
      </c>
      <c r="AN2995" s="216">
        <f>+AN2992-AN2993</f>
        <v>-3.0000810511410236E-6</v>
      </c>
      <c r="AO2995" s="216">
        <f>+AO2992-AO2993</f>
        <v>7.0001406129449606E-6</v>
      </c>
      <c r="AP2995" s="216"/>
      <c r="AQ2995" s="216"/>
      <c r="AR2995" s="216"/>
      <c r="AS2995" s="216"/>
      <c r="AT2995" s="216"/>
      <c r="AU2995" s="216"/>
      <c r="AV2995" s="216"/>
      <c r="AW2995" s="216"/>
      <c r="AX2995" s="216"/>
      <c r="AY2995" s="216"/>
      <c r="AZ2995" s="216"/>
      <c r="BA2995" s="216"/>
      <c r="BB2995" s="216"/>
      <c r="BC2995" s="216"/>
      <c r="BD2995" s="216"/>
      <c r="BE2995" s="216"/>
      <c r="BF2995" s="216"/>
      <c r="BG2995" s="216"/>
      <c r="BH2995" s="216"/>
      <c r="BI2995" s="216"/>
      <c r="BJ2995" s="216"/>
      <c r="BK2995" s="216"/>
      <c r="BL2995" s="216"/>
      <c r="BM2995" s="216"/>
      <c r="BN2995" s="216"/>
      <c r="BO2995" s="216"/>
      <c r="BP2995" s="216"/>
      <c r="BQ2995" s="216"/>
      <c r="BR2995" s="216"/>
      <c r="BS2995" s="216"/>
      <c r="BT2995" s="216"/>
      <c r="BU2995" s="216"/>
      <c r="BV2995" s="216"/>
      <c r="BW2995" s="216"/>
      <c r="BX2995" s="216"/>
      <c r="BY2995" s="216"/>
      <c r="BZ2995" s="216"/>
      <c r="CA2995" s="216"/>
      <c r="CB2995" s="216"/>
      <c r="CC2995" s="216"/>
      <c r="CD2995" s="216"/>
      <c r="CE2995" s="230"/>
      <c r="CF2995" s="230"/>
      <c r="CG2995" s="230"/>
      <c r="CH2995" s="76"/>
      <c r="CI2995" s="230"/>
      <c r="CJ2995" s="230"/>
      <c r="CK2995" s="230"/>
      <c r="CL2995" s="230"/>
      <c r="CM2995" s="231"/>
    </row>
    <row r="2996" spans="1:91">
      <c r="A2996" s="464"/>
      <c r="B2996" s="464"/>
      <c r="C2996" s="656"/>
      <c r="D2996" s="689"/>
      <c r="E2996" s="422"/>
      <c r="F2996" s="422"/>
      <c r="G2996" s="461"/>
      <c r="H2996" s="678"/>
      <c r="I2996" s="462"/>
      <c r="J2996" s="462"/>
      <c r="K2996" s="422"/>
      <c r="L2996" s="689"/>
      <c r="M2996" s="422"/>
      <c r="N2996" s="463"/>
      <c r="O2996" s="463"/>
      <c r="P2996" s="689"/>
      <c r="Q2996" s="461"/>
      <c r="R2996" s="491"/>
      <c r="S2996" s="491"/>
      <c r="T2996" s="491"/>
      <c r="U2996" s="216"/>
      <c r="V2996" s="216"/>
      <c r="W2996" s="216"/>
      <c r="X2996" s="216"/>
      <c r="Y2996" s="216"/>
      <c r="Z2996" s="216"/>
      <c r="AA2996" s="216"/>
      <c r="AB2996" s="216"/>
      <c r="AC2996" s="216"/>
      <c r="AD2996" s="216"/>
      <c r="AE2996" s="216"/>
      <c r="AF2996" s="216"/>
      <c r="AG2996" s="216"/>
      <c r="AH2996" s="216"/>
      <c r="AI2996" s="216"/>
      <c r="AJ2996" s="216"/>
      <c r="AK2996" s="216"/>
      <c r="AL2996" s="216"/>
      <c r="AM2996" s="216"/>
      <c r="AN2996" s="216"/>
      <c r="AO2996" s="216"/>
      <c r="AP2996" s="216"/>
      <c r="AQ2996" s="216"/>
      <c r="AR2996" s="216"/>
      <c r="AS2996" s="216"/>
      <c r="AT2996" s="216"/>
      <c r="AU2996" s="216"/>
      <c r="AV2996" s="216"/>
      <c r="AW2996" s="216"/>
      <c r="AX2996" s="216"/>
      <c r="AY2996" s="216"/>
      <c r="AZ2996" s="216"/>
      <c r="BA2996" s="216"/>
      <c r="BB2996" s="216"/>
      <c r="BC2996" s="216"/>
      <c r="BD2996" s="216"/>
      <c r="BE2996" s="216"/>
      <c r="BF2996" s="216"/>
      <c r="BG2996" s="216"/>
      <c r="BH2996" s="216"/>
      <c r="BI2996" s="216"/>
      <c r="BJ2996" s="216"/>
      <c r="BK2996" s="216"/>
      <c r="BL2996" s="216"/>
      <c r="BM2996" s="216"/>
      <c r="BN2996" s="216"/>
      <c r="BO2996" s="216"/>
      <c r="BP2996" s="216"/>
      <c r="BQ2996" s="216"/>
      <c r="BR2996" s="216"/>
      <c r="BS2996" s="216"/>
      <c r="BT2996" s="216"/>
      <c r="BU2996" s="216"/>
      <c r="BV2996" s="216"/>
      <c r="BW2996" s="216"/>
      <c r="BX2996" s="216"/>
      <c r="BY2996" s="216"/>
      <c r="BZ2996" s="216"/>
      <c r="CA2996" s="216"/>
      <c r="CB2996" s="216"/>
      <c r="CC2996" s="216"/>
      <c r="CD2996" s="216"/>
      <c r="CE2996" s="230"/>
      <c r="CF2996" s="230"/>
      <c r="CG2996" s="230"/>
      <c r="CH2996" s="253" t="str">
        <f t="shared" ref="CH2996:CH3004" si="1297">CONCATENATE(L2996,H2996)</f>
        <v/>
      </c>
      <c r="CI2996" s="230"/>
      <c r="CJ2996" s="230"/>
      <c r="CK2996" s="230"/>
      <c r="CL2996" s="230"/>
      <c r="CM2996" s="231"/>
    </row>
    <row r="2997" spans="1:91" customFormat="1" ht="15.75">
      <c r="A2997" s="468"/>
      <c r="B2997" s="468"/>
      <c r="C2997" s="660"/>
      <c r="D2997" s="690"/>
      <c r="E2997" s="424"/>
      <c r="F2997" s="424"/>
      <c r="G2997" s="469"/>
      <c r="H2997" s="681"/>
      <c r="I2997" s="470"/>
      <c r="J2997" s="470"/>
      <c r="K2997" s="424"/>
      <c r="L2997" s="690"/>
      <c r="M2997" s="424"/>
      <c r="N2997" s="471"/>
      <c r="O2997" s="471"/>
      <c r="P2997" s="690"/>
      <c r="Q2997" s="469"/>
      <c r="R2997" s="492"/>
      <c r="S2997" s="492"/>
      <c r="T2997" s="492"/>
      <c r="U2997" s="251"/>
      <c r="V2997" s="251"/>
      <c r="W2997" s="251"/>
      <c r="X2997" s="251"/>
      <c r="Y2997" s="251"/>
      <c r="Z2997" s="251"/>
      <c r="AA2997" s="251"/>
      <c r="AB2997" s="251"/>
      <c r="AC2997" s="251"/>
      <c r="AD2997" s="251"/>
      <c r="AE2997" s="251"/>
      <c r="AF2997" s="251"/>
      <c r="AG2997" s="251"/>
      <c r="AH2997" s="251"/>
      <c r="AI2997" s="251"/>
      <c r="AJ2997" s="251"/>
      <c r="AK2997" s="251"/>
      <c r="AL2997" s="251"/>
      <c r="AM2997" s="251"/>
      <c r="AN2997" s="251"/>
      <c r="AO2997" s="251"/>
      <c r="AP2997" s="251"/>
      <c r="AQ2997" s="251"/>
      <c r="AR2997" s="251"/>
      <c r="AS2997" s="251"/>
      <c r="AT2997" s="251"/>
      <c r="AU2997" s="251"/>
      <c r="AV2997" s="251"/>
      <c r="AW2997" s="251"/>
      <c r="AX2997" s="251"/>
      <c r="AY2997" s="251"/>
      <c r="AZ2997" s="251"/>
      <c r="BA2997" s="251"/>
      <c r="BB2997" s="251"/>
      <c r="BC2997" s="251"/>
      <c r="BD2997" s="251"/>
      <c r="BE2997" s="251"/>
      <c r="BF2997" s="251"/>
      <c r="BG2997" s="251"/>
      <c r="BH2997" s="251"/>
      <c r="BI2997" s="251"/>
      <c r="BJ2997" s="251"/>
      <c r="BK2997" s="251"/>
      <c r="BL2997" s="251"/>
      <c r="BM2997" s="251"/>
      <c r="BN2997" s="251"/>
      <c r="BO2997" s="251"/>
      <c r="BP2997" s="251"/>
      <c r="BQ2997" s="251"/>
      <c r="BR2997" s="251"/>
      <c r="BS2997" s="251"/>
      <c r="BT2997" s="251"/>
      <c r="BU2997" s="251"/>
      <c r="BV2997" s="251"/>
      <c r="BW2997" s="251"/>
      <c r="BX2997" s="251"/>
      <c r="BY2997" s="251"/>
      <c r="BZ2997" s="251"/>
      <c r="CA2997" s="251"/>
      <c r="CB2997" s="251"/>
      <c r="CC2997" s="251"/>
      <c r="CD2997" s="251"/>
      <c r="CE2997" s="249"/>
      <c r="CF2997" s="249"/>
      <c r="CG2997" s="249"/>
      <c r="CH2997" s="248" t="str">
        <f t="shared" si="1297"/>
        <v/>
      </c>
      <c r="CI2997" s="249"/>
      <c r="CJ2997" s="249"/>
      <c r="CK2997" s="249"/>
      <c r="CL2997" s="249"/>
      <c r="CM2997" s="250"/>
    </row>
    <row r="2998" spans="1:91">
      <c r="A2998" s="464"/>
      <c r="B2998" s="464"/>
      <c r="C2998" s="656"/>
      <c r="D2998" s="689"/>
      <c r="E2998" s="422"/>
      <c r="F2998" s="422"/>
      <c r="G2998" s="461"/>
      <c r="H2998" s="678"/>
      <c r="I2998" s="462"/>
      <c r="J2998" s="462"/>
      <c r="K2998" s="422"/>
      <c r="L2998" s="689"/>
      <c r="M2998" s="422"/>
      <c r="N2998" s="463"/>
      <c r="O2998" s="463"/>
      <c r="P2998" s="689"/>
      <c r="Q2998" s="461"/>
      <c r="R2998" s="491"/>
      <c r="S2998" s="491"/>
      <c r="T2998" s="491"/>
      <c r="U2998" s="216"/>
      <c r="V2998" s="216"/>
      <c r="W2998" s="216"/>
      <c r="X2998" s="216"/>
      <c r="Y2998" s="216"/>
      <c r="Z2998" s="216"/>
      <c r="AA2998" s="216"/>
      <c r="AB2998" s="216"/>
      <c r="AC2998" s="216"/>
      <c r="AD2998" s="216"/>
      <c r="AE2998" s="216"/>
      <c r="AF2998" s="216"/>
      <c r="AG2998" s="216"/>
      <c r="AH2998" s="216"/>
      <c r="AI2998" s="216"/>
      <c r="AJ2998" s="216"/>
      <c r="AK2998" s="216"/>
      <c r="AL2998" s="216"/>
      <c r="AM2998" s="216"/>
      <c r="AN2998" s="216"/>
      <c r="AO2998" s="216"/>
      <c r="AP2998" s="216"/>
      <c r="AQ2998" s="216"/>
      <c r="AR2998" s="216"/>
      <c r="AS2998" s="216"/>
      <c r="AT2998" s="216"/>
      <c r="AU2998" s="216"/>
      <c r="AV2998" s="216"/>
      <c r="AW2998" s="216"/>
      <c r="AX2998" s="216"/>
      <c r="AY2998" s="216"/>
      <c r="AZ2998" s="216"/>
      <c r="BA2998" s="216"/>
      <c r="BB2998" s="216"/>
      <c r="BC2998" s="216"/>
      <c r="BD2998" s="216"/>
      <c r="BE2998" s="216"/>
      <c r="BF2998" s="216"/>
      <c r="BG2998" s="216"/>
      <c r="BH2998" s="216"/>
      <c r="BI2998" s="216"/>
      <c r="BJ2998" s="216"/>
      <c r="BK2998" s="216"/>
      <c r="BL2998" s="216"/>
      <c r="BM2998" s="216"/>
      <c r="BN2998" s="216"/>
      <c r="BO2998" s="216"/>
      <c r="BP2998" s="216"/>
      <c r="BQ2998" s="216"/>
      <c r="BR2998" s="216"/>
      <c r="BS2998" s="216"/>
      <c r="BT2998" s="216"/>
      <c r="BU2998" s="216"/>
      <c r="BV2998" s="216"/>
      <c r="BW2998" s="216"/>
      <c r="BX2998" s="216"/>
      <c r="BY2998" s="216"/>
      <c r="BZ2998" s="216"/>
      <c r="CA2998" s="216"/>
      <c r="CB2998" s="216"/>
      <c r="CC2998" s="216"/>
      <c r="CD2998" s="216"/>
      <c r="CE2998" s="230"/>
      <c r="CF2998" s="230"/>
      <c r="CG2998" s="230"/>
      <c r="CH2998" s="253" t="str">
        <f t="shared" si="1297"/>
        <v/>
      </c>
      <c r="CI2998" s="230"/>
      <c r="CJ2998" s="230"/>
      <c r="CK2998" s="230"/>
      <c r="CL2998" s="230"/>
      <c r="CM2998" s="231"/>
    </row>
    <row r="2999" spans="1:91">
      <c r="A2999" s="447"/>
      <c r="B2999" s="447" t="s">
        <v>2567</v>
      </c>
      <c r="C2999" s="656"/>
      <c r="D2999" s="689"/>
      <c r="E2999" s="422"/>
      <c r="F2999" s="422"/>
      <c r="G2999" s="461"/>
      <c r="H2999" s="678"/>
      <c r="I2999" s="462"/>
      <c r="J2999" s="462"/>
      <c r="K2999" s="422"/>
      <c r="L2999" s="689"/>
      <c r="M2999" s="422"/>
      <c r="N2999" s="463"/>
      <c r="O2999" s="463"/>
      <c r="P2999" s="689"/>
      <c r="Q2999" s="461"/>
      <c r="R2999" s="491"/>
      <c r="S2999" s="491"/>
      <c r="T2999" s="491"/>
      <c r="U2999" s="216"/>
      <c r="V2999" s="216"/>
      <c r="W2999" s="216"/>
      <c r="X2999" s="216"/>
      <c r="Y2999" s="216"/>
      <c r="Z2999" s="216"/>
      <c r="AA2999" s="216"/>
      <c r="AB2999" s="216"/>
      <c r="AC2999" s="216"/>
      <c r="AD2999" s="216"/>
      <c r="AE2999" s="216"/>
      <c r="AF2999" s="216"/>
      <c r="AG2999" s="216"/>
      <c r="AH2999" s="216"/>
      <c r="AI2999" s="216"/>
      <c r="AJ2999" s="216"/>
      <c r="AK2999" s="216"/>
      <c r="AL2999" s="216"/>
      <c r="AM2999" s="216"/>
      <c r="AN2999" s="216"/>
      <c r="AO2999" s="216"/>
      <c r="AP2999" s="216"/>
      <c r="AQ2999" s="216"/>
      <c r="AR2999" s="216"/>
      <c r="AS2999" s="216"/>
      <c r="AT2999" s="216"/>
      <c r="AU2999" s="216"/>
      <c r="AV2999" s="216"/>
      <c r="AW2999" s="216"/>
      <c r="AX2999" s="216"/>
      <c r="AY2999" s="216"/>
      <c r="AZ2999" s="216"/>
      <c r="BA2999" s="216"/>
      <c r="BB2999" s="216"/>
      <c r="BC2999" s="216"/>
      <c r="BD2999" s="216"/>
      <c r="BE2999" s="216"/>
      <c r="BF2999" s="216"/>
      <c r="BG2999" s="216"/>
      <c r="BH2999" s="216"/>
      <c r="BI2999" s="216"/>
      <c r="BJ2999" s="216"/>
      <c r="BK2999" s="216"/>
      <c r="BL2999" s="216"/>
      <c r="BM2999" s="216"/>
      <c r="BN2999" s="216"/>
      <c r="BO2999" s="216"/>
      <c r="BP2999" s="216"/>
      <c r="BQ2999" s="216"/>
      <c r="BR2999" s="216"/>
      <c r="BS2999" s="216"/>
      <c r="BT2999" s="216"/>
      <c r="BU2999" s="216"/>
      <c r="BV2999" s="216"/>
      <c r="BW2999" s="216"/>
      <c r="BX2999" s="216"/>
      <c r="BY2999" s="216"/>
      <c r="BZ2999" s="216"/>
      <c r="CA2999" s="216"/>
      <c r="CB2999" s="216"/>
      <c r="CC2999" s="216"/>
      <c r="CD2999" s="216"/>
      <c r="CE2999" s="230"/>
      <c r="CF2999" s="230"/>
      <c r="CG2999" s="230"/>
      <c r="CH2999" s="253" t="str">
        <f t="shared" si="1297"/>
        <v/>
      </c>
      <c r="CI2999" s="227" t="s">
        <v>2679</v>
      </c>
      <c r="CJ2999" s="230"/>
      <c r="CK2999" s="230"/>
      <c r="CL2999" s="230"/>
      <c r="CM2999" s="231"/>
    </row>
    <row r="3000" spans="1:91">
      <c r="A3000" s="464"/>
      <c r="B3000" s="464"/>
      <c r="C3000" s="661"/>
      <c r="D3000" s="689"/>
      <c r="E3000" s="422"/>
      <c r="F3000" s="422"/>
      <c r="G3000" s="461"/>
      <c r="H3000" s="678"/>
      <c r="I3000" s="462"/>
      <c r="J3000" s="462"/>
      <c r="K3000" s="422"/>
      <c r="L3000" s="655"/>
      <c r="M3000" s="422"/>
      <c r="N3000" s="463"/>
      <c r="O3000" s="463"/>
      <c r="P3000" s="689"/>
      <c r="Q3000" s="461"/>
      <c r="R3000" s="491"/>
      <c r="S3000" s="491"/>
      <c r="T3000" s="491"/>
      <c r="U3000" s="214"/>
      <c r="V3000" s="214"/>
      <c r="W3000" s="214"/>
      <c r="X3000" s="214"/>
      <c r="Y3000" s="214"/>
      <c r="Z3000" s="214"/>
      <c r="AA3000" s="214"/>
      <c r="AB3000" s="214"/>
      <c r="AC3000" s="214"/>
      <c r="AD3000" s="214"/>
      <c r="AE3000" s="214"/>
      <c r="AF3000" s="214"/>
      <c r="AG3000" s="214"/>
      <c r="AH3000" s="214"/>
      <c r="AI3000" s="214"/>
      <c r="AJ3000" s="214"/>
      <c r="AK3000" s="214"/>
      <c r="AL3000" s="214"/>
      <c r="AM3000" s="214"/>
      <c r="AN3000" s="214"/>
      <c r="AO3000" s="214"/>
      <c r="AP3000" s="214"/>
      <c r="AQ3000" s="214"/>
      <c r="AR3000" s="214"/>
      <c r="AS3000" s="214"/>
      <c r="AT3000" s="214"/>
      <c r="AU3000" s="214"/>
      <c r="AV3000" s="214"/>
      <c r="AW3000" s="214"/>
      <c r="AX3000" s="214"/>
      <c r="AY3000" s="214"/>
      <c r="AZ3000" s="214"/>
      <c r="BA3000" s="214"/>
      <c r="BB3000" s="214"/>
      <c r="BC3000" s="214"/>
      <c r="BD3000" s="214"/>
      <c r="BE3000" s="214"/>
      <c r="BF3000" s="214"/>
      <c r="BG3000" s="214"/>
      <c r="BH3000" s="214"/>
      <c r="BI3000" s="214"/>
      <c r="BJ3000" s="214"/>
      <c r="BK3000" s="214"/>
      <c r="BL3000" s="214"/>
      <c r="BM3000" s="214"/>
      <c r="BN3000" s="214"/>
      <c r="BO3000" s="214"/>
      <c r="BP3000" s="214"/>
      <c r="BQ3000" s="214"/>
      <c r="BR3000" s="214"/>
      <c r="BS3000" s="214"/>
      <c r="BT3000" s="214"/>
      <c r="BU3000" s="214"/>
      <c r="BV3000" s="214"/>
      <c r="BW3000" s="214"/>
      <c r="BX3000" s="214"/>
      <c r="BY3000" s="214"/>
      <c r="BZ3000" s="214"/>
      <c r="CA3000" s="214"/>
      <c r="CB3000" s="214"/>
      <c r="CC3000" s="214"/>
      <c r="CD3000" s="214"/>
      <c r="CE3000" s="214"/>
      <c r="CF3000" s="230"/>
      <c r="CG3000" s="230"/>
      <c r="CH3000" s="253" t="str">
        <f t="shared" si="1297"/>
        <v/>
      </c>
      <c r="CI3000" s="76"/>
      <c r="CJ3000" s="230"/>
      <c r="CK3000" s="230"/>
      <c r="CL3000" s="230"/>
      <c r="CM3000" s="231"/>
    </row>
    <row r="3001" spans="1:91">
      <c r="A3001" s="464"/>
      <c r="B3001" s="464"/>
      <c r="C3001" s="662" t="s">
        <v>2065</v>
      </c>
      <c r="D3001" s="689"/>
      <c r="E3001" s="422"/>
      <c r="F3001" s="422"/>
      <c r="G3001" s="461"/>
      <c r="H3001" s="678"/>
      <c r="I3001" s="462"/>
      <c r="J3001" s="462"/>
      <c r="K3001" s="422"/>
      <c r="L3001" s="655"/>
      <c r="M3001" s="422"/>
      <c r="N3001" s="463"/>
      <c r="O3001" s="463"/>
      <c r="P3001" s="689"/>
      <c r="Q3001" s="461"/>
      <c r="R3001" s="491"/>
      <c r="S3001" s="491"/>
      <c r="T3001" s="491"/>
      <c r="U3001" s="214">
        <f t="shared" ref="U3001:AD3010" si="1298">SUMIF($AR:$AR,$CI3001,U:U)</f>
        <v>-265060.26557124994</v>
      </c>
      <c r="V3001" s="214">
        <f t="shared" si="1298"/>
        <v>-104256.51445458333</v>
      </c>
      <c r="W3001" s="214">
        <f t="shared" si="1298"/>
        <v>0</v>
      </c>
      <c r="X3001" s="214">
        <f t="shared" si="1298"/>
        <v>-369316.78002583329</v>
      </c>
      <c r="Y3001" s="214">
        <f t="shared" si="1298"/>
        <v>-279095.93002999993</v>
      </c>
      <c r="Z3001" s="214">
        <f t="shared" si="1298"/>
        <v>-110853.43787000001</v>
      </c>
      <c r="AA3001" s="214">
        <f t="shared" si="1298"/>
        <v>0</v>
      </c>
      <c r="AB3001" s="214">
        <f t="shared" si="1298"/>
        <v>-389949.36790000007</v>
      </c>
      <c r="AC3001" s="214">
        <f t="shared" si="1298"/>
        <v>-359196.06724</v>
      </c>
      <c r="AD3001" s="214">
        <f t="shared" si="1298"/>
        <v>-361738.45468000002</v>
      </c>
      <c r="AE3001" s="214">
        <f t="shared" ref="AE3001:AO3010" si="1299">SUMIF($AR:$AR,$CI3001,AE:AE)</f>
        <v>-364281.06541000004</v>
      </c>
      <c r="AF3001" s="214">
        <f t="shared" si="1299"/>
        <v>-366823.67128000001</v>
      </c>
      <c r="AG3001" s="214">
        <f t="shared" si="1299"/>
        <v>-363430.70481999998</v>
      </c>
      <c r="AH3001" s="214">
        <f t="shared" si="1299"/>
        <v>-366199.72513999994</v>
      </c>
      <c r="AI3001" s="214">
        <f t="shared" si="1299"/>
        <v>-367394.22635000001</v>
      </c>
      <c r="AJ3001" s="214">
        <f t="shared" si="1299"/>
        <v>-368785.67459000007</v>
      </c>
      <c r="AK3001" s="214">
        <f t="shared" si="1299"/>
        <v>-370150.64224000002</v>
      </c>
      <c r="AL3001" s="214">
        <f t="shared" si="1299"/>
        <v>-369717.85197000002</v>
      </c>
      <c r="AM3001" s="214">
        <f t="shared" si="1299"/>
        <v>-378300.22668999992</v>
      </c>
      <c r="AN3001" s="214">
        <f t="shared" si="1299"/>
        <v>-380406.39957000001</v>
      </c>
      <c r="AO3001" s="214">
        <f t="shared" si="1299"/>
        <v>-389949.36790000007</v>
      </c>
      <c r="AP3001" s="214"/>
      <c r="AQ3001" s="214"/>
      <c r="AR3001" s="214"/>
      <c r="AS3001" s="214"/>
      <c r="AT3001" s="214"/>
      <c r="AU3001" s="214"/>
      <c r="AV3001" s="214"/>
      <c r="AW3001" s="214"/>
      <c r="AX3001" s="214"/>
      <c r="AY3001" s="214"/>
      <c r="AZ3001" s="214"/>
      <c r="BA3001" s="214"/>
      <c r="BB3001" s="214"/>
      <c r="BC3001" s="214"/>
      <c r="BD3001" s="214"/>
      <c r="BE3001" s="214"/>
      <c r="BF3001" s="214"/>
      <c r="BG3001" s="214"/>
      <c r="BH3001" s="214"/>
      <c r="BI3001" s="214"/>
      <c r="BJ3001" s="214"/>
      <c r="BK3001" s="214"/>
      <c r="BL3001" s="214"/>
      <c r="BM3001" s="214"/>
      <c r="BN3001" s="214"/>
      <c r="BO3001" s="214"/>
      <c r="BP3001" s="214"/>
      <c r="BQ3001" s="214"/>
      <c r="BR3001" s="214"/>
      <c r="BS3001" s="214"/>
      <c r="BT3001" s="214"/>
      <c r="BU3001" s="214"/>
      <c r="BV3001" s="214"/>
      <c r="BW3001" s="214"/>
      <c r="BX3001" s="214"/>
      <c r="BY3001" s="214"/>
      <c r="BZ3001" s="214"/>
      <c r="CA3001" s="214"/>
      <c r="CB3001" s="214"/>
      <c r="CC3001" s="214"/>
      <c r="CD3001" s="214"/>
      <c r="CE3001" s="230"/>
      <c r="CF3001" s="230"/>
      <c r="CG3001" s="230"/>
      <c r="CH3001" s="253" t="str">
        <f t="shared" si="1297"/>
        <v/>
      </c>
      <c r="CI3001" s="76" t="str">
        <f t="shared" ref="CI3001:CI3026" si="1300">+CONCATENATE(D$3082,C3001)</f>
        <v>R11Accelerated Depreciation</v>
      </c>
      <c r="CJ3001" s="230"/>
      <c r="CK3001" s="230"/>
      <c r="CL3001" s="230"/>
      <c r="CM3001" s="231"/>
    </row>
    <row r="3002" spans="1:91">
      <c r="A3002" s="464"/>
      <c r="B3002" s="464"/>
      <c r="C3002" s="662" t="s">
        <v>2083</v>
      </c>
      <c r="D3002" s="689"/>
      <c r="E3002" s="422"/>
      <c r="F3002" s="422"/>
      <c r="G3002" s="461"/>
      <c r="H3002" s="678"/>
      <c r="I3002" s="462"/>
      <c r="J3002" s="462"/>
      <c r="K3002" s="422"/>
      <c r="L3002" s="655"/>
      <c r="M3002" s="422"/>
      <c r="N3002" s="463"/>
      <c r="O3002" s="463"/>
      <c r="P3002" s="689"/>
      <c r="Q3002" s="461"/>
      <c r="R3002" s="491"/>
      <c r="S3002" s="491"/>
      <c r="T3002" s="491"/>
      <c r="U3002" s="214">
        <f t="shared" si="1298"/>
        <v>9858.7664766666603</v>
      </c>
      <c r="V3002" s="214">
        <f t="shared" si="1298"/>
        <v>385.50134958333371</v>
      </c>
      <c r="W3002" s="214">
        <f t="shared" si="1298"/>
        <v>0</v>
      </c>
      <c r="X3002" s="214">
        <f t="shared" si="1298"/>
        <v>10244.267826249994</v>
      </c>
      <c r="Y3002" s="214">
        <f t="shared" si="1298"/>
        <v>11271.07159</v>
      </c>
      <c r="Z3002" s="214">
        <f t="shared" si="1298"/>
        <v>458.96714000000003</v>
      </c>
      <c r="AA3002" s="214">
        <f t="shared" si="1298"/>
        <v>0</v>
      </c>
      <c r="AB3002" s="214">
        <f t="shared" si="1298"/>
        <v>11730.038730000002</v>
      </c>
      <c r="AC3002" s="214">
        <f t="shared" si="1298"/>
        <v>8995.1438600000001</v>
      </c>
      <c r="AD3002" s="214">
        <f t="shared" si="1298"/>
        <v>9214.0646300000008</v>
      </c>
      <c r="AE3002" s="214">
        <f t="shared" si="1299"/>
        <v>9410.35563</v>
      </c>
      <c r="AF3002" s="214">
        <f t="shared" si="1299"/>
        <v>9574.4313500000007</v>
      </c>
      <c r="AG3002" s="214">
        <f t="shared" si="1299"/>
        <v>9726.5323900000003</v>
      </c>
      <c r="AH3002" s="214">
        <f t="shared" si="1299"/>
        <v>9864.6044700000002</v>
      </c>
      <c r="AI3002" s="214">
        <f t="shared" si="1299"/>
        <v>10264.738790000001</v>
      </c>
      <c r="AJ3002" s="214">
        <f t="shared" si="1299"/>
        <v>10453.550259999998</v>
      </c>
      <c r="AK3002" s="214">
        <f t="shared" si="1299"/>
        <v>10639.926700000002</v>
      </c>
      <c r="AL3002" s="214">
        <f t="shared" si="1299"/>
        <v>10866.494290000001</v>
      </c>
      <c r="AM3002" s="214">
        <f t="shared" si="1299"/>
        <v>11139.639030000002</v>
      </c>
      <c r="AN3002" s="214">
        <f t="shared" si="1299"/>
        <v>11414.28508</v>
      </c>
      <c r="AO3002" s="214">
        <f t="shared" si="1299"/>
        <v>11730.038730000002</v>
      </c>
      <c r="AP3002" s="214"/>
      <c r="AQ3002" s="214"/>
      <c r="AR3002" s="214"/>
      <c r="AS3002" s="214"/>
      <c r="AT3002" s="214"/>
      <c r="AU3002" s="214"/>
      <c r="AV3002" s="214"/>
      <c r="AW3002" s="214"/>
      <c r="AX3002" s="214"/>
      <c r="AY3002" s="214"/>
      <c r="AZ3002" s="214"/>
      <c r="BA3002" s="214"/>
      <c r="BB3002" s="214"/>
      <c r="BC3002" s="214"/>
      <c r="BD3002" s="214"/>
      <c r="BE3002" s="214"/>
      <c r="BF3002" s="214"/>
      <c r="BG3002" s="214"/>
      <c r="BH3002" s="214"/>
      <c r="BI3002" s="214"/>
      <c r="BJ3002" s="214"/>
      <c r="BK3002" s="214"/>
      <c r="BL3002" s="214"/>
      <c r="BM3002" s="214"/>
      <c r="BN3002" s="214"/>
      <c r="BO3002" s="214"/>
      <c r="BP3002" s="214"/>
      <c r="BQ3002" s="214"/>
      <c r="BR3002" s="214"/>
      <c r="BS3002" s="214"/>
      <c r="BT3002" s="214"/>
      <c r="BU3002" s="214"/>
      <c r="BV3002" s="214"/>
      <c r="BW3002" s="214"/>
      <c r="BX3002" s="214"/>
      <c r="BY3002" s="214"/>
      <c r="BZ3002" s="214"/>
      <c r="CA3002" s="214"/>
      <c r="CB3002" s="214"/>
      <c r="CC3002" s="214"/>
      <c r="CD3002" s="214"/>
      <c r="CE3002" s="230"/>
      <c r="CF3002" s="230"/>
      <c r="CG3002" s="230"/>
      <c r="CH3002" s="253" t="str">
        <f t="shared" si="1297"/>
        <v/>
      </c>
      <c r="CI3002" s="76" t="str">
        <f t="shared" si="1300"/>
        <v>R11Capitalized Interest</v>
      </c>
      <c r="CJ3002" s="230"/>
      <c r="CK3002" s="230"/>
      <c r="CL3002" s="230"/>
      <c r="CM3002" s="231"/>
    </row>
    <row r="3003" spans="1:91">
      <c r="A3003" s="464"/>
      <c r="B3003" s="464"/>
      <c r="C3003" s="662" t="s">
        <v>2141</v>
      </c>
      <c r="D3003" s="689"/>
      <c r="E3003" s="422"/>
      <c r="F3003" s="422"/>
      <c r="G3003" s="461"/>
      <c r="H3003" s="678"/>
      <c r="I3003" s="462"/>
      <c r="J3003" s="462"/>
      <c r="K3003" s="422"/>
      <c r="L3003" s="655"/>
      <c r="M3003" s="422"/>
      <c r="N3003" s="463"/>
      <c r="O3003" s="463"/>
      <c r="P3003" s="689"/>
      <c r="Q3003" s="461"/>
      <c r="R3003" s="491"/>
      <c r="S3003" s="491"/>
      <c r="T3003" s="491"/>
      <c r="U3003" s="214">
        <f t="shared" si="1298"/>
        <v>-1973.741171666667</v>
      </c>
      <c r="V3003" s="214">
        <f t="shared" si="1298"/>
        <v>0</v>
      </c>
      <c r="W3003" s="214">
        <f t="shared" si="1298"/>
        <v>0</v>
      </c>
      <c r="X3003" s="214">
        <f t="shared" si="1298"/>
        <v>-1973.741171666667</v>
      </c>
      <c r="Y3003" s="214">
        <f t="shared" si="1298"/>
        <v>-1732.7300599999999</v>
      </c>
      <c r="Z3003" s="214">
        <f t="shared" si="1298"/>
        <v>0</v>
      </c>
      <c r="AA3003" s="214">
        <f t="shared" si="1298"/>
        <v>0</v>
      </c>
      <c r="AB3003" s="214">
        <f t="shared" si="1298"/>
        <v>-1732.7300599999999</v>
      </c>
      <c r="AC3003" s="214">
        <f t="shared" si="1298"/>
        <v>-2199.78006</v>
      </c>
      <c r="AD3003" s="214">
        <f t="shared" si="1298"/>
        <v>-2167.2758899999999</v>
      </c>
      <c r="AE3003" s="214">
        <f t="shared" si="1299"/>
        <v>-2134.7717299999999</v>
      </c>
      <c r="AF3003" s="214">
        <f t="shared" si="1299"/>
        <v>-2102.2675600000002</v>
      </c>
      <c r="AG3003" s="214">
        <f t="shared" si="1299"/>
        <v>-2069.7633900000001</v>
      </c>
      <c r="AH3003" s="214">
        <f t="shared" si="1299"/>
        <v>-2030.84257</v>
      </c>
      <c r="AI3003" s="214">
        <f t="shared" si="1299"/>
        <v>-1966.25506</v>
      </c>
      <c r="AJ3003" s="214">
        <f t="shared" si="1299"/>
        <v>-1927.33422</v>
      </c>
      <c r="AK3003" s="214">
        <f t="shared" si="1299"/>
        <v>-1888.4133999999999</v>
      </c>
      <c r="AL3003" s="214">
        <f t="shared" si="1299"/>
        <v>-1849.4925600000001</v>
      </c>
      <c r="AM3003" s="214">
        <f t="shared" si="1299"/>
        <v>-1810.5717199999999</v>
      </c>
      <c r="AN3003" s="214">
        <f t="shared" si="1299"/>
        <v>-1771.6508999999999</v>
      </c>
      <c r="AO3003" s="214">
        <f t="shared" si="1299"/>
        <v>-1732.7300599999999</v>
      </c>
      <c r="AP3003" s="214"/>
      <c r="AQ3003" s="214"/>
      <c r="AR3003" s="214"/>
      <c r="AS3003" s="214"/>
      <c r="AT3003" s="214"/>
      <c r="AU3003" s="214"/>
      <c r="AV3003" s="214"/>
      <c r="AW3003" s="214"/>
      <c r="AX3003" s="214"/>
      <c r="AY3003" s="214"/>
      <c r="AZ3003" s="214"/>
      <c r="BA3003" s="214"/>
      <c r="BB3003" s="214"/>
      <c r="BC3003" s="214"/>
      <c r="BD3003" s="214"/>
      <c r="BE3003" s="214"/>
      <c r="BF3003" s="214"/>
      <c r="BG3003" s="214"/>
      <c r="BH3003" s="214"/>
      <c r="BI3003" s="214"/>
      <c r="BJ3003" s="214"/>
      <c r="BK3003" s="214"/>
      <c r="BL3003" s="214"/>
      <c r="BM3003" s="214"/>
      <c r="BN3003" s="214"/>
      <c r="BO3003" s="214"/>
      <c r="BP3003" s="214"/>
      <c r="BQ3003" s="214"/>
      <c r="BR3003" s="214"/>
      <c r="BS3003" s="214"/>
      <c r="BT3003" s="214"/>
      <c r="BU3003" s="214"/>
      <c r="BV3003" s="214"/>
      <c r="BW3003" s="214"/>
      <c r="BX3003" s="214"/>
      <c r="BY3003" s="214"/>
      <c r="BZ3003" s="214"/>
      <c r="CA3003" s="214"/>
      <c r="CB3003" s="214"/>
      <c r="CC3003" s="214"/>
      <c r="CD3003" s="214"/>
      <c r="CE3003" s="230"/>
      <c r="CF3003" s="230"/>
      <c r="CG3003" s="230"/>
      <c r="CH3003" s="253" t="str">
        <f t="shared" si="1297"/>
        <v/>
      </c>
      <c r="CI3003" s="76" t="str">
        <f t="shared" si="1300"/>
        <v>R11Casualty Loss</v>
      </c>
      <c r="CJ3003" s="230"/>
      <c r="CK3003" s="230"/>
      <c r="CL3003" s="230"/>
      <c r="CM3003" s="231"/>
    </row>
    <row r="3004" spans="1:91">
      <c r="A3004" s="464"/>
      <c r="B3004" s="464"/>
      <c r="C3004" s="662" t="s">
        <v>1632</v>
      </c>
      <c r="D3004" s="689"/>
      <c r="E3004" s="422"/>
      <c r="F3004" s="422"/>
      <c r="G3004" s="461"/>
      <c r="H3004" s="678"/>
      <c r="I3004" s="462"/>
      <c r="J3004" s="462"/>
      <c r="K3004" s="422"/>
      <c r="L3004" s="655"/>
      <c r="M3004" s="422"/>
      <c r="N3004" s="463"/>
      <c r="O3004" s="463"/>
      <c r="P3004" s="689"/>
      <c r="Q3004" s="461"/>
      <c r="R3004" s="491"/>
      <c r="S3004" s="491"/>
      <c r="T3004" s="491"/>
      <c r="U3004" s="214">
        <f t="shared" si="1298"/>
        <v>14110.50304083333</v>
      </c>
      <c r="V3004" s="214">
        <f t="shared" si="1298"/>
        <v>3306.820791249997</v>
      </c>
      <c r="W3004" s="214">
        <f t="shared" si="1298"/>
        <v>0</v>
      </c>
      <c r="X3004" s="214">
        <f t="shared" si="1298"/>
        <v>17417.323832083326</v>
      </c>
      <c r="Y3004" s="214">
        <f t="shared" si="1298"/>
        <v>15600.65178</v>
      </c>
      <c r="Z3004" s="214">
        <f t="shared" si="1298"/>
        <v>3646.2974399999998</v>
      </c>
      <c r="AA3004" s="214">
        <f t="shared" si="1298"/>
        <v>0</v>
      </c>
      <c r="AB3004" s="214">
        <f t="shared" si="1298"/>
        <v>19246.949219999999</v>
      </c>
      <c r="AC3004" s="214">
        <f t="shared" si="1298"/>
        <v>16340.96399</v>
      </c>
      <c r="AD3004" s="214">
        <f t="shared" si="1298"/>
        <v>16373.84432</v>
      </c>
      <c r="AE3004" s="214">
        <f t="shared" si="1299"/>
        <v>16666.393199999999</v>
      </c>
      <c r="AF3004" s="214">
        <f t="shared" si="1299"/>
        <v>16743.013289999999</v>
      </c>
      <c r="AG3004" s="214">
        <f t="shared" si="1299"/>
        <v>16805.556709999997</v>
      </c>
      <c r="AH3004" s="214">
        <f t="shared" si="1299"/>
        <v>16860.25028</v>
      </c>
      <c r="AI3004" s="214">
        <f t="shared" si="1299"/>
        <v>17032.92986</v>
      </c>
      <c r="AJ3004" s="214">
        <f t="shared" si="1299"/>
        <v>17508.078030000001</v>
      </c>
      <c r="AK3004" s="214">
        <f t="shared" si="1299"/>
        <v>17581.536350000002</v>
      </c>
      <c r="AL3004" s="214">
        <f t="shared" si="1299"/>
        <v>18148.535400000001</v>
      </c>
      <c r="AM3004" s="214">
        <f t="shared" si="1299"/>
        <v>18264.08581</v>
      </c>
      <c r="AN3004" s="214">
        <f t="shared" si="1299"/>
        <v>19229.706130000002</v>
      </c>
      <c r="AO3004" s="214">
        <f t="shared" si="1299"/>
        <v>19246.949219999999</v>
      </c>
      <c r="AP3004" s="214"/>
      <c r="AQ3004" s="214"/>
      <c r="AR3004" s="214"/>
      <c r="AS3004" s="214"/>
      <c r="AT3004" s="214"/>
      <c r="AU3004" s="214"/>
      <c r="AV3004" s="214"/>
      <c r="AW3004" s="214"/>
      <c r="AX3004" s="214"/>
      <c r="AY3004" s="214"/>
      <c r="AZ3004" s="214"/>
      <c r="BA3004" s="214"/>
      <c r="BB3004" s="214"/>
      <c r="BC3004" s="214"/>
      <c r="BD3004" s="214"/>
      <c r="BE3004" s="214"/>
      <c r="BF3004" s="214"/>
      <c r="BG3004" s="214"/>
      <c r="BH3004" s="214"/>
      <c r="BI3004" s="214"/>
      <c r="BJ3004" s="214"/>
      <c r="BK3004" s="214"/>
      <c r="BL3004" s="214"/>
      <c r="BM3004" s="214"/>
      <c r="BN3004" s="214"/>
      <c r="BO3004" s="214"/>
      <c r="BP3004" s="214"/>
      <c r="BQ3004" s="214"/>
      <c r="BR3004" s="214"/>
      <c r="BS3004" s="214"/>
      <c r="BT3004" s="214"/>
      <c r="BU3004" s="214"/>
      <c r="BV3004" s="214"/>
      <c r="BW3004" s="214"/>
      <c r="BX3004" s="214"/>
      <c r="BY3004" s="214"/>
      <c r="BZ3004" s="214"/>
      <c r="CA3004" s="214"/>
      <c r="CB3004" s="214"/>
      <c r="CC3004" s="214"/>
      <c r="CD3004" s="214"/>
      <c r="CE3004" s="230"/>
      <c r="CF3004" s="230"/>
      <c r="CG3004" s="230"/>
      <c r="CH3004" s="253" t="str">
        <f t="shared" si="1297"/>
        <v/>
      </c>
      <c r="CI3004" s="76" t="str">
        <f t="shared" si="1300"/>
        <v>R11CIAC</v>
      </c>
      <c r="CJ3004" s="230"/>
      <c r="CK3004" s="230"/>
      <c r="CL3004" s="230"/>
      <c r="CM3004" s="231"/>
    </row>
    <row r="3005" spans="1:91">
      <c r="A3005" s="464"/>
      <c r="B3005" s="464"/>
      <c r="C3005" s="662" t="s">
        <v>2079</v>
      </c>
      <c r="D3005" s="689"/>
      <c r="E3005" s="422"/>
      <c r="F3005" s="422"/>
      <c r="G3005" s="461"/>
      <c r="H3005" s="678"/>
      <c r="I3005" s="462"/>
      <c r="J3005" s="462"/>
      <c r="K3005" s="422"/>
      <c r="L3005" s="655"/>
      <c r="M3005" s="422"/>
      <c r="N3005" s="463"/>
      <c r="O3005" s="463"/>
      <c r="P3005" s="689"/>
      <c r="Q3005" s="461"/>
      <c r="R3005" s="491"/>
      <c r="S3005" s="491"/>
      <c r="T3005" s="491"/>
      <c r="U3005" s="214">
        <f t="shared" si="1298"/>
        <v>1987.3838616666671</v>
      </c>
      <c r="V3005" s="214">
        <f t="shared" si="1298"/>
        <v>1291.0984000000001</v>
      </c>
      <c r="W3005" s="214">
        <f t="shared" si="1298"/>
        <v>0</v>
      </c>
      <c r="X3005" s="214">
        <f t="shared" si="1298"/>
        <v>3278.482261666667</v>
      </c>
      <c r="Y3005" s="214">
        <f t="shared" si="1298"/>
        <v>1662.7102499999999</v>
      </c>
      <c r="Z3005" s="214">
        <f t="shared" si="1298"/>
        <v>1120.4734000000001</v>
      </c>
      <c r="AA3005" s="214">
        <f t="shared" si="1298"/>
        <v>0</v>
      </c>
      <c r="AB3005" s="214">
        <f t="shared" si="1298"/>
        <v>2783.1836499999999</v>
      </c>
      <c r="AC3005" s="214">
        <f t="shared" si="1298"/>
        <v>2783.1836499999999</v>
      </c>
      <c r="AD3005" s="214">
        <f t="shared" si="1298"/>
        <v>2919.6836499999995</v>
      </c>
      <c r="AE3005" s="214">
        <f t="shared" si="1299"/>
        <v>3056.1836499999995</v>
      </c>
      <c r="AF3005" s="214">
        <f t="shared" si="1299"/>
        <v>3192.6836499999995</v>
      </c>
      <c r="AG3005" s="214">
        <f t="shared" si="1299"/>
        <v>3329.1836499999999</v>
      </c>
      <c r="AH3005" s="214">
        <f t="shared" si="1299"/>
        <v>3459.2669899999996</v>
      </c>
      <c r="AI3005" s="214">
        <f t="shared" si="1299"/>
        <v>3563.6836499999995</v>
      </c>
      <c r="AJ3005" s="214">
        <f t="shared" si="1299"/>
        <v>3693.7669799999999</v>
      </c>
      <c r="AK3005" s="214">
        <f t="shared" si="1299"/>
        <v>3823.8503199999996</v>
      </c>
      <c r="AL3005" s="214">
        <f t="shared" si="1299"/>
        <v>3953.9336499999999</v>
      </c>
      <c r="AM3005" s="214">
        <f t="shared" si="1299"/>
        <v>2783.1836499999999</v>
      </c>
      <c r="AN3005" s="214">
        <f t="shared" si="1299"/>
        <v>2783.1836499999999</v>
      </c>
      <c r="AO3005" s="214">
        <f t="shared" si="1299"/>
        <v>2783.1836499999999</v>
      </c>
      <c r="AP3005" s="214"/>
      <c r="AQ3005" s="214"/>
      <c r="AR3005" s="214"/>
      <c r="AS3005" s="214"/>
      <c r="AT3005" s="214"/>
      <c r="AU3005" s="214"/>
      <c r="AV3005" s="214"/>
      <c r="AW3005" s="214"/>
      <c r="AX3005" s="214"/>
      <c r="AY3005" s="214"/>
      <c r="AZ3005" s="214"/>
      <c r="BA3005" s="214"/>
      <c r="BB3005" s="214"/>
      <c r="BC3005" s="214"/>
      <c r="BD3005" s="214"/>
      <c r="BE3005" s="214"/>
      <c r="BF3005" s="214"/>
      <c r="BG3005" s="214"/>
      <c r="BH3005" s="214"/>
      <c r="BI3005" s="214"/>
      <c r="BJ3005" s="214"/>
      <c r="BK3005" s="214"/>
      <c r="BL3005" s="214"/>
      <c r="BM3005" s="214"/>
      <c r="BN3005" s="214"/>
      <c r="BO3005" s="214"/>
      <c r="BP3005" s="214"/>
      <c r="BQ3005" s="214"/>
      <c r="BR3005" s="214"/>
      <c r="BS3005" s="214"/>
      <c r="BT3005" s="214"/>
      <c r="BU3005" s="214"/>
      <c r="BV3005" s="214"/>
      <c r="BW3005" s="214"/>
      <c r="BX3005" s="214"/>
      <c r="BY3005" s="214"/>
      <c r="BZ3005" s="214"/>
      <c r="CA3005" s="214"/>
      <c r="CB3005" s="214"/>
      <c r="CC3005" s="214"/>
      <c r="CD3005" s="214"/>
      <c r="CE3005" s="230"/>
      <c r="CF3005" s="230"/>
      <c r="CG3005" s="230"/>
      <c r="CH3005" s="253"/>
      <c r="CI3005" s="76" t="str">
        <f t="shared" si="1300"/>
        <v>R11Cost of Removal</v>
      </c>
      <c r="CJ3005" s="230"/>
      <c r="CK3005" s="230"/>
      <c r="CL3005" s="230"/>
      <c r="CM3005" s="231"/>
    </row>
    <row r="3006" spans="1:91">
      <c r="A3006" s="464"/>
      <c r="B3006" s="464"/>
      <c r="C3006" s="662" t="s">
        <v>2086</v>
      </c>
      <c r="D3006" s="689"/>
      <c r="E3006" s="422"/>
      <c r="F3006" s="422"/>
      <c r="G3006" s="461"/>
      <c r="H3006" s="678"/>
      <c r="I3006" s="462"/>
      <c r="J3006" s="462"/>
      <c r="K3006" s="422"/>
      <c r="L3006" s="655"/>
      <c r="M3006" s="422"/>
      <c r="N3006" s="463"/>
      <c r="O3006" s="463"/>
      <c r="P3006" s="689"/>
      <c r="Q3006" s="461"/>
      <c r="R3006" s="491"/>
      <c r="S3006" s="491"/>
      <c r="T3006" s="491"/>
      <c r="U3006" s="214">
        <f t="shared" si="1298"/>
        <v>11549.73086708333</v>
      </c>
      <c r="V3006" s="214">
        <f t="shared" si="1298"/>
        <v>3723.8307354166673</v>
      </c>
      <c r="W3006" s="214">
        <f t="shared" si="1298"/>
        <v>0</v>
      </c>
      <c r="X3006" s="214">
        <f t="shared" si="1298"/>
        <v>15273.561602499996</v>
      </c>
      <c r="Y3006" s="214">
        <f t="shared" si="1298"/>
        <v>11915.882669999999</v>
      </c>
      <c r="Z3006" s="214">
        <f t="shared" si="1298"/>
        <v>3765.6866600000003</v>
      </c>
      <c r="AA3006" s="214">
        <f t="shared" si="1298"/>
        <v>0</v>
      </c>
      <c r="AB3006" s="214">
        <f t="shared" si="1298"/>
        <v>15681.56933</v>
      </c>
      <c r="AC3006" s="214">
        <f t="shared" si="1298"/>
        <v>14836.76757</v>
      </c>
      <c r="AD3006" s="214">
        <f t="shared" si="1298"/>
        <v>15379.527939999998</v>
      </c>
      <c r="AE3006" s="214">
        <f t="shared" si="1299"/>
        <v>14965.839970000001</v>
      </c>
      <c r="AF3006" s="214">
        <f t="shared" si="1299"/>
        <v>15040.82404</v>
      </c>
      <c r="AG3006" s="214">
        <f t="shared" si="1299"/>
        <v>15074.9377</v>
      </c>
      <c r="AH3006" s="214">
        <f t="shared" si="1299"/>
        <v>15142.22813</v>
      </c>
      <c r="AI3006" s="214">
        <f t="shared" si="1299"/>
        <v>15202.442930000001</v>
      </c>
      <c r="AJ3006" s="214">
        <f t="shared" si="1299"/>
        <v>15304.524460000002</v>
      </c>
      <c r="AK3006" s="214">
        <f t="shared" si="1299"/>
        <v>15384.749590000001</v>
      </c>
      <c r="AL3006" s="214">
        <f t="shared" si="1299"/>
        <v>15462.470649999997</v>
      </c>
      <c r="AM3006" s="214">
        <f t="shared" si="1299"/>
        <v>15503.89566</v>
      </c>
      <c r="AN3006" s="214">
        <f t="shared" si="1299"/>
        <v>15562.129709999999</v>
      </c>
      <c r="AO3006" s="214">
        <f t="shared" si="1299"/>
        <v>15681.56933</v>
      </c>
      <c r="AP3006" s="214"/>
      <c r="AQ3006" s="214"/>
      <c r="AR3006" s="214"/>
      <c r="AS3006" s="214"/>
      <c r="AT3006" s="214"/>
      <c r="AU3006" s="214"/>
      <c r="AV3006" s="214"/>
      <c r="AW3006" s="214"/>
      <c r="AX3006" s="214"/>
      <c r="AY3006" s="214"/>
      <c r="AZ3006" s="214"/>
      <c r="BA3006" s="214"/>
      <c r="BB3006" s="214"/>
      <c r="BC3006" s="214"/>
      <c r="BD3006" s="214"/>
      <c r="BE3006" s="214"/>
      <c r="BF3006" s="214"/>
      <c r="BG3006" s="214"/>
      <c r="BH3006" s="214"/>
      <c r="BI3006" s="214"/>
      <c r="BJ3006" s="214"/>
      <c r="BK3006" s="214"/>
      <c r="BL3006" s="214"/>
      <c r="BM3006" s="214"/>
      <c r="BN3006" s="214"/>
      <c r="BO3006" s="214"/>
      <c r="BP3006" s="214"/>
      <c r="BQ3006" s="214"/>
      <c r="BR3006" s="214"/>
      <c r="BS3006" s="214"/>
      <c r="BT3006" s="214"/>
      <c r="BU3006" s="214"/>
      <c r="BV3006" s="214"/>
      <c r="BW3006" s="214"/>
      <c r="BX3006" s="214"/>
      <c r="BY3006" s="214"/>
      <c r="BZ3006" s="214"/>
      <c r="CA3006" s="214"/>
      <c r="CB3006" s="214"/>
      <c r="CC3006" s="214"/>
      <c r="CD3006" s="214"/>
      <c r="CE3006" s="230"/>
      <c r="CF3006" s="230"/>
      <c r="CG3006" s="230"/>
      <c r="CH3006" s="253"/>
      <c r="CI3006" s="76" t="str">
        <f t="shared" si="1300"/>
        <v>R11Excess Salvage</v>
      </c>
      <c r="CJ3006" s="230"/>
      <c r="CK3006" s="230"/>
      <c r="CL3006" s="230"/>
      <c r="CM3006" s="231"/>
    </row>
    <row r="3007" spans="1:91">
      <c r="A3007" s="464"/>
      <c r="B3007" s="464"/>
      <c r="C3007" s="662" t="s">
        <v>2112</v>
      </c>
      <c r="D3007" s="689"/>
      <c r="E3007" s="422"/>
      <c r="F3007" s="422"/>
      <c r="G3007" s="461"/>
      <c r="H3007" s="678"/>
      <c r="I3007" s="462"/>
      <c r="J3007" s="462"/>
      <c r="K3007" s="422"/>
      <c r="L3007" s="655"/>
      <c r="M3007" s="422"/>
      <c r="N3007" s="463"/>
      <c r="O3007" s="463"/>
      <c r="P3007" s="689"/>
      <c r="Q3007" s="461"/>
      <c r="R3007" s="491"/>
      <c r="S3007" s="491"/>
      <c r="T3007" s="491"/>
      <c r="U3007" s="214">
        <f t="shared" si="1298"/>
        <v>1077.644</v>
      </c>
      <c r="V3007" s="214">
        <f t="shared" si="1298"/>
        <v>0</v>
      </c>
      <c r="W3007" s="214">
        <f t="shared" si="1298"/>
        <v>0</v>
      </c>
      <c r="X3007" s="214">
        <f t="shared" si="1298"/>
        <v>1077.644</v>
      </c>
      <c r="Y3007" s="214">
        <f t="shared" si="1298"/>
        <v>1077.644</v>
      </c>
      <c r="Z3007" s="214">
        <f t="shared" si="1298"/>
        <v>0</v>
      </c>
      <c r="AA3007" s="214">
        <f t="shared" si="1298"/>
        <v>0</v>
      </c>
      <c r="AB3007" s="214">
        <f t="shared" si="1298"/>
        <v>1077.644</v>
      </c>
      <c r="AC3007" s="214">
        <f t="shared" si="1298"/>
        <v>1077.644</v>
      </c>
      <c r="AD3007" s="214">
        <f t="shared" si="1298"/>
        <v>1077.644</v>
      </c>
      <c r="AE3007" s="214">
        <f t="shared" si="1299"/>
        <v>1077.644</v>
      </c>
      <c r="AF3007" s="214">
        <f t="shared" si="1299"/>
        <v>1077.644</v>
      </c>
      <c r="AG3007" s="214">
        <f t="shared" si="1299"/>
        <v>1077.644</v>
      </c>
      <c r="AH3007" s="214">
        <f t="shared" si="1299"/>
        <v>1077.644</v>
      </c>
      <c r="AI3007" s="214">
        <f t="shared" si="1299"/>
        <v>1077.644</v>
      </c>
      <c r="AJ3007" s="214">
        <f t="shared" si="1299"/>
        <v>1077.644</v>
      </c>
      <c r="AK3007" s="214">
        <f t="shared" si="1299"/>
        <v>1077.644</v>
      </c>
      <c r="AL3007" s="214">
        <f t="shared" si="1299"/>
        <v>1077.644</v>
      </c>
      <c r="AM3007" s="214">
        <f t="shared" si="1299"/>
        <v>1077.644</v>
      </c>
      <c r="AN3007" s="214">
        <f t="shared" si="1299"/>
        <v>1077.644</v>
      </c>
      <c r="AO3007" s="214">
        <f t="shared" si="1299"/>
        <v>1077.644</v>
      </c>
      <c r="AP3007" s="214"/>
      <c r="AQ3007" s="214"/>
      <c r="AR3007" s="214"/>
      <c r="AS3007" s="214"/>
      <c r="AT3007" s="214"/>
      <c r="AU3007" s="214"/>
      <c r="AV3007" s="214"/>
      <c r="AW3007" s="214"/>
      <c r="AX3007" s="214"/>
      <c r="AY3007" s="214"/>
      <c r="AZ3007" s="214"/>
      <c r="BA3007" s="214"/>
      <c r="BB3007" s="214"/>
      <c r="BC3007" s="214"/>
      <c r="BD3007" s="214"/>
      <c r="BE3007" s="214"/>
      <c r="BF3007" s="214"/>
      <c r="BG3007" s="214"/>
      <c r="BH3007" s="214"/>
      <c r="BI3007" s="214"/>
      <c r="BJ3007" s="214"/>
      <c r="BK3007" s="214"/>
      <c r="BL3007" s="214"/>
      <c r="BM3007" s="214"/>
      <c r="BN3007" s="214"/>
      <c r="BO3007" s="214"/>
      <c r="BP3007" s="214"/>
      <c r="BQ3007" s="214"/>
      <c r="BR3007" s="214"/>
      <c r="BS3007" s="214"/>
      <c r="BT3007" s="214"/>
      <c r="BU3007" s="214"/>
      <c r="BV3007" s="214"/>
      <c r="BW3007" s="214"/>
      <c r="BX3007" s="214"/>
      <c r="BY3007" s="214"/>
      <c r="BZ3007" s="214"/>
      <c r="CA3007" s="214"/>
      <c r="CB3007" s="214"/>
      <c r="CC3007" s="214"/>
      <c r="CD3007" s="214"/>
      <c r="CE3007" s="230"/>
      <c r="CF3007" s="230"/>
      <c r="CG3007" s="230"/>
      <c r="CH3007" s="253"/>
      <c r="CI3007" s="76" t="str">
        <f t="shared" si="1300"/>
        <v>R11Fossil Inventory</v>
      </c>
      <c r="CJ3007" s="230"/>
      <c r="CK3007" s="230"/>
      <c r="CL3007" s="230"/>
      <c r="CM3007" s="231"/>
    </row>
    <row r="3008" spans="1:91">
      <c r="A3008" s="464"/>
      <c r="B3008" s="464"/>
      <c r="C3008" s="662" t="s">
        <v>2115</v>
      </c>
      <c r="D3008" s="689"/>
      <c r="E3008" s="422"/>
      <c r="F3008" s="422"/>
      <c r="G3008" s="461"/>
      <c r="H3008" s="678"/>
      <c r="I3008" s="462"/>
      <c r="J3008" s="462"/>
      <c r="K3008" s="422"/>
      <c r="L3008" s="655"/>
      <c r="M3008" s="422"/>
      <c r="N3008" s="463"/>
      <c r="O3008" s="463"/>
      <c r="P3008" s="689"/>
      <c r="Q3008" s="461"/>
      <c r="R3008" s="491"/>
      <c r="S3008" s="491"/>
      <c r="T3008" s="491"/>
      <c r="U3008" s="214">
        <f t="shared" si="1298"/>
        <v>0</v>
      </c>
      <c r="V3008" s="214">
        <f t="shared" si="1298"/>
        <v>0</v>
      </c>
      <c r="W3008" s="214">
        <f t="shared" si="1298"/>
        <v>0</v>
      </c>
      <c r="X3008" s="214">
        <f t="shared" si="1298"/>
        <v>0</v>
      </c>
      <c r="Y3008" s="214">
        <f t="shared" si="1298"/>
        <v>0</v>
      </c>
      <c r="Z3008" s="214">
        <f t="shared" si="1298"/>
        <v>0</v>
      </c>
      <c r="AA3008" s="214">
        <f t="shared" si="1298"/>
        <v>0</v>
      </c>
      <c r="AB3008" s="214">
        <f t="shared" si="1298"/>
        <v>0</v>
      </c>
      <c r="AC3008" s="214">
        <f t="shared" si="1298"/>
        <v>0</v>
      </c>
      <c r="AD3008" s="214">
        <f t="shared" si="1298"/>
        <v>0</v>
      </c>
      <c r="AE3008" s="214">
        <f t="shared" si="1299"/>
        <v>0</v>
      </c>
      <c r="AF3008" s="214">
        <f t="shared" si="1299"/>
        <v>0</v>
      </c>
      <c r="AG3008" s="214">
        <f t="shared" si="1299"/>
        <v>0</v>
      </c>
      <c r="AH3008" s="214">
        <f t="shared" si="1299"/>
        <v>0</v>
      </c>
      <c r="AI3008" s="214">
        <f t="shared" si="1299"/>
        <v>0</v>
      </c>
      <c r="AJ3008" s="214">
        <f t="shared" si="1299"/>
        <v>0</v>
      </c>
      <c r="AK3008" s="214">
        <f t="shared" si="1299"/>
        <v>0</v>
      </c>
      <c r="AL3008" s="214">
        <f t="shared" si="1299"/>
        <v>0</v>
      </c>
      <c r="AM3008" s="214">
        <f t="shared" si="1299"/>
        <v>0</v>
      </c>
      <c r="AN3008" s="214">
        <f t="shared" si="1299"/>
        <v>0</v>
      </c>
      <c r="AO3008" s="214">
        <f t="shared" si="1299"/>
        <v>0</v>
      </c>
      <c r="AP3008" s="214"/>
      <c r="AQ3008" s="214"/>
      <c r="AR3008" s="214"/>
      <c r="AS3008" s="214"/>
      <c r="AT3008" s="214"/>
      <c r="AU3008" s="214"/>
      <c r="AV3008" s="214"/>
      <c r="AW3008" s="214"/>
      <c r="AX3008" s="214"/>
      <c r="AY3008" s="214"/>
      <c r="AZ3008" s="214"/>
      <c r="BA3008" s="214"/>
      <c r="BB3008" s="214"/>
      <c r="BC3008" s="214"/>
      <c r="BD3008" s="214"/>
      <c r="BE3008" s="214"/>
      <c r="BF3008" s="214"/>
      <c r="BG3008" s="214"/>
      <c r="BH3008" s="214"/>
      <c r="BI3008" s="214"/>
      <c r="BJ3008" s="214"/>
      <c r="BK3008" s="214"/>
      <c r="BL3008" s="214"/>
      <c r="BM3008" s="214"/>
      <c r="BN3008" s="214"/>
      <c r="BO3008" s="214"/>
      <c r="BP3008" s="214"/>
      <c r="BQ3008" s="214"/>
      <c r="BR3008" s="214"/>
      <c r="BS3008" s="214"/>
      <c r="BT3008" s="214"/>
      <c r="BU3008" s="214"/>
      <c r="BV3008" s="214"/>
      <c r="BW3008" s="214"/>
      <c r="BX3008" s="214"/>
      <c r="BY3008" s="214"/>
      <c r="BZ3008" s="214"/>
      <c r="CA3008" s="214"/>
      <c r="CB3008" s="214"/>
      <c r="CC3008" s="214"/>
      <c r="CD3008" s="214"/>
      <c r="CE3008" s="230"/>
      <c r="CF3008" s="230"/>
      <c r="CG3008" s="230"/>
      <c r="CH3008" s="253"/>
      <c r="CI3008" s="76" t="str">
        <f t="shared" si="1300"/>
        <v>R11Internal Software - IBO</v>
      </c>
      <c r="CJ3008" s="230"/>
      <c r="CK3008" s="230"/>
      <c r="CL3008" s="230"/>
      <c r="CM3008" s="231"/>
    </row>
    <row r="3009" spans="1:91">
      <c r="A3009" s="464"/>
      <c r="B3009" s="464"/>
      <c r="C3009" s="662" t="s">
        <v>2121</v>
      </c>
      <c r="D3009" s="689"/>
      <c r="E3009" s="422"/>
      <c r="F3009" s="422"/>
      <c r="G3009" s="461"/>
      <c r="H3009" s="678"/>
      <c r="I3009" s="462"/>
      <c r="J3009" s="462"/>
      <c r="K3009" s="422"/>
      <c r="L3009" s="655"/>
      <c r="M3009" s="422"/>
      <c r="N3009" s="463"/>
      <c r="O3009" s="463"/>
      <c r="P3009" s="689"/>
      <c r="Q3009" s="461"/>
      <c r="R3009" s="491"/>
      <c r="S3009" s="491"/>
      <c r="T3009" s="491"/>
      <c r="U3009" s="214">
        <f t="shared" si="1298"/>
        <v>0</v>
      </c>
      <c r="V3009" s="214">
        <f t="shared" si="1298"/>
        <v>0</v>
      </c>
      <c r="W3009" s="214">
        <f t="shared" si="1298"/>
        <v>0</v>
      </c>
      <c r="X3009" s="214">
        <f t="shared" si="1298"/>
        <v>0</v>
      </c>
      <c r="Y3009" s="214">
        <f t="shared" si="1298"/>
        <v>0</v>
      </c>
      <c r="Z3009" s="214">
        <f t="shared" si="1298"/>
        <v>0</v>
      </c>
      <c r="AA3009" s="214">
        <f t="shared" si="1298"/>
        <v>0</v>
      </c>
      <c r="AB3009" s="214">
        <f t="shared" si="1298"/>
        <v>0</v>
      </c>
      <c r="AC3009" s="214">
        <f t="shared" si="1298"/>
        <v>0</v>
      </c>
      <c r="AD3009" s="214">
        <f t="shared" si="1298"/>
        <v>0</v>
      </c>
      <c r="AE3009" s="214">
        <f t="shared" si="1299"/>
        <v>0</v>
      </c>
      <c r="AF3009" s="214">
        <f t="shared" si="1299"/>
        <v>0</v>
      </c>
      <c r="AG3009" s="214">
        <f t="shared" si="1299"/>
        <v>0</v>
      </c>
      <c r="AH3009" s="214">
        <f t="shared" si="1299"/>
        <v>0</v>
      </c>
      <c r="AI3009" s="214">
        <f t="shared" si="1299"/>
        <v>0</v>
      </c>
      <c r="AJ3009" s="214">
        <f t="shared" si="1299"/>
        <v>0</v>
      </c>
      <c r="AK3009" s="214">
        <f t="shared" si="1299"/>
        <v>0</v>
      </c>
      <c r="AL3009" s="214">
        <f t="shared" si="1299"/>
        <v>0</v>
      </c>
      <c r="AM3009" s="214">
        <f t="shared" si="1299"/>
        <v>0</v>
      </c>
      <c r="AN3009" s="214">
        <f t="shared" si="1299"/>
        <v>0</v>
      </c>
      <c r="AO3009" s="214">
        <f t="shared" si="1299"/>
        <v>0</v>
      </c>
      <c r="AP3009" s="214"/>
      <c r="AQ3009" s="214"/>
      <c r="AR3009" s="214"/>
      <c r="AS3009" s="214"/>
      <c r="AT3009" s="214"/>
      <c r="AU3009" s="214"/>
      <c r="AV3009" s="214"/>
      <c r="AW3009" s="214"/>
      <c r="AX3009" s="214"/>
      <c r="AY3009" s="214"/>
      <c r="AZ3009" s="214"/>
      <c r="BA3009" s="214"/>
      <c r="BB3009" s="214"/>
      <c r="BC3009" s="214"/>
      <c r="BD3009" s="214"/>
      <c r="BE3009" s="214"/>
      <c r="BF3009" s="214"/>
      <c r="BG3009" s="214"/>
      <c r="BH3009" s="214"/>
      <c r="BI3009" s="214"/>
      <c r="BJ3009" s="214"/>
      <c r="BK3009" s="214"/>
      <c r="BL3009" s="214"/>
      <c r="BM3009" s="214"/>
      <c r="BN3009" s="214"/>
      <c r="BO3009" s="214"/>
      <c r="BP3009" s="214"/>
      <c r="BQ3009" s="214"/>
      <c r="BR3009" s="214"/>
      <c r="BS3009" s="214"/>
      <c r="BT3009" s="214"/>
      <c r="BU3009" s="214"/>
      <c r="BV3009" s="214"/>
      <c r="BW3009" s="214"/>
      <c r="BX3009" s="214"/>
      <c r="BY3009" s="214"/>
      <c r="BZ3009" s="214"/>
      <c r="CA3009" s="214"/>
      <c r="CB3009" s="214"/>
      <c r="CC3009" s="214"/>
      <c r="CD3009" s="214"/>
      <c r="CE3009" s="230"/>
      <c r="CF3009" s="230"/>
      <c r="CG3009" s="230"/>
      <c r="CH3009" s="253" t="str">
        <f>CONCATENATE(L3009,H3009)</f>
        <v/>
      </c>
      <c r="CI3009" s="76" t="str">
        <f t="shared" si="1300"/>
        <v>R11Internal Software - NIRP</v>
      </c>
      <c r="CJ3009" s="230"/>
      <c r="CK3009" s="230"/>
      <c r="CL3009" s="230"/>
      <c r="CM3009" s="231"/>
    </row>
    <row r="3010" spans="1:91">
      <c r="A3010" s="464"/>
      <c r="B3010" s="464"/>
      <c r="C3010" s="662" t="s">
        <v>2118</v>
      </c>
      <c r="D3010" s="689"/>
      <c r="E3010" s="422"/>
      <c r="F3010" s="422"/>
      <c r="G3010" s="461"/>
      <c r="H3010" s="678"/>
      <c r="I3010" s="462"/>
      <c r="J3010" s="462"/>
      <c r="K3010" s="422"/>
      <c r="L3010" s="655"/>
      <c r="M3010" s="422"/>
      <c r="N3010" s="463"/>
      <c r="O3010" s="463"/>
      <c r="P3010" s="689"/>
      <c r="Q3010" s="461"/>
      <c r="R3010" s="491"/>
      <c r="S3010" s="491"/>
      <c r="T3010" s="491"/>
      <c r="U3010" s="214">
        <f t="shared" si="1298"/>
        <v>0</v>
      </c>
      <c r="V3010" s="214">
        <f t="shared" si="1298"/>
        <v>0</v>
      </c>
      <c r="W3010" s="214">
        <f t="shared" si="1298"/>
        <v>0</v>
      </c>
      <c r="X3010" s="214">
        <f t="shared" si="1298"/>
        <v>0</v>
      </c>
      <c r="Y3010" s="214">
        <f t="shared" si="1298"/>
        <v>0</v>
      </c>
      <c r="Z3010" s="214">
        <f t="shared" si="1298"/>
        <v>0</v>
      </c>
      <c r="AA3010" s="214">
        <f t="shared" si="1298"/>
        <v>0</v>
      </c>
      <c r="AB3010" s="214">
        <f t="shared" si="1298"/>
        <v>0</v>
      </c>
      <c r="AC3010" s="214">
        <f t="shared" si="1298"/>
        <v>0</v>
      </c>
      <c r="AD3010" s="214">
        <f t="shared" si="1298"/>
        <v>0</v>
      </c>
      <c r="AE3010" s="214">
        <f t="shared" si="1299"/>
        <v>0</v>
      </c>
      <c r="AF3010" s="214">
        <f t="shared" si="1299"/>
        <v>0</v>
      </c>
      <c r="AG3010" s="214">
        <f t="shared" si="1299"/>
        <v>0</v>
      </c>
      <c r="AH3010" s="214">
        <f t="shared" si="1299"/>
        <v>0</v>
      </c>
      <c r="AI3010" s="214">
        <f t="shared" si="1299"/>
        <v>0</v>
      </c>
      <c r="AJ3010" s="214">
        <f t="shared" si="1299"/>
        <v>0</v>
      </c>
      <c r="AK3010" s="214">
        <f t="shared" si="1299"/>
        <v>0</v>
      </c>
      <c r="AL3010" s="214">
        <f t="shared" si="1299"/>
        <v>0</v>
      </c>
      <c r="AM3010" s="214">
        <f t="shared" si="1299"/>
        <v>0</v>
      </c>
      <c r="AN3010" s="214">
        <f t="shared" si="1299"/>
        <v>0</v>
      </c>
      <c r="AO3010" s="214">
        <f t="shared" si="1299"/>
        <v>0</v>
      </c>
      <c r="AP3010" s="214"/>
      <c r="AQ3010" s="214"/>
      <c r="AR3010" s="214"/>
      <c r="AS3010" s="214"/>
      <c r="AT3010" s="214"/>
      <c r="AU3010" s="214"/>
      <c r="AV3010" s="214"/>
      <c r="AW3010" s="214"/>
      <c r="AX3010" s="214"/>
      <c r="AY3010" s="214"/>
      <c r="AZ3010" s="214"/>
      <c r="BA3010" s="214"/>
      <c r="BB3010" s="214"/>
      <c r="BC3010" s="214"/>
      <c r="BD3010" s="214"/>
      <c r="BE3010" s="214"/>
      <c r="BF3010" s="214"/>
      <c r="BG3010" s="214"/>
      <c r="BH3010" s="214"/>
      <c r="BI3010" s="214"/>
      <c r="BJ3010" s="214"/>
      <c r="BK3010" s="214"/>
      <c r="BL3010" s="214"/>
      <c r="BM3010" s="214"/>
      <c r="BN3010" s="214"/>
      <c r="BO3010" s="214"/>
      <c r="BP3010" s="214"/>
      <c r="BQ3010" s="214"/>
      <c r="BR3010" s="214"/>
      <c r="BS3010" s="214"/>
      <c r="BT3010" s="214"/>
      <c r="BU3010" s="214"/>
      <c r="BV3010" s="214"/>
      <c r="BW3010" s="214"/>
      <c r="BX3010" s="214"/>
      <c r="BY3010" s="214"/>
      <c r="BZ3010" s="214"/>
      <c r="CA3010" s="214"/>
      <c r="CB3010" s="214"/>
      <c r="CC3010" s="214"/>
      <c r="CD3010" s="214"/>
      <c r="CE3010" s="230"/>
      <c r="CF3010" s="230"/>
      <c r="CG3010" s="230"/>
      <c r="CH3010" s="253"/>
      <c r="CI3010" s="76" t="str">
        <f t="shared" si="1300"/>
        <v>R11Internal Software - WMS</v>
      </c>
      <c r="CJ3010" s="230"/>
      <c r="CK3010" s="230"/>
      <c r="CL3010" s="230"/>
      <c r="CM3010" s="231"/>
    </row>
    <row r="3011" spans="1:91">
      <c r="A3011" s="464"/>
      <c r="B3011" s="464"/>
      <c r="C3011" s="662" t="s">
        <v>2125</v>
      </c>
      <c r="D3011" s="689"/>
      <c r="E3011" s="422"/>
      <c r="F3011" s="422"/>
      <c r="G3011" s="461"/>
      <c r="H3011" s="678"/>
      <c r="I3011" s="462"/>
      <c r="J3011" s="462"/>
      <c r="K3011" s="422"/>
      <c r="L3011" s="655"/>
      <c r="M3011" s="422"/>
      <c r="N3011" s="463"/>
      <c r="O3011" s="463"/>
      <c r="P3011" s="689"/>
      <c r="Q3011" s="461"/>
      <c r="R3011" s="491"/>
      <c r="S3011" s="491"/>
      <c r="T3011" s="491"/>
      <c r="U3011" s="214">
        <f t="shared" ref="U3011:AD3020" si="1301">SUMIF($AR:$AR,$CI3011,U:U)</f>
        <v>0</v>
      </c>
      <c r="V3011" s="214">
        <f t="shared" si="1301"/>
        <v>0</v>
      </c>
      <c r="W3011" s="214">
        <f t="shared" si="1301"/>
        <v>0</v>
      </c>
      <c r="X3011" s="214">
        <f t="shared" si="1301"/>
        <v>0</v>
      </c>
      <c r="Y3011" s="214">
        <f t="shared" si="1301"/>
        <v>0</v>
      </c>
      <c r="Z3011" s="214">
        <f t="shared" si="1301"/>
        <v>0</v>
      </c>
      <c r="AA3011" s="214">
        <f t="shared" si="1301"/>
        <v>0</v>
      </c>
      <c r="AB3011" s="214">
        <f t="shared" si="1301"/>
        <v>0</v>
      </c>
      <c r="AC3011" s="214">
        <f t="shared" si="1301"/>
        <v>0</v>
      </c>
      <c r="AD3011" s="214">
        <f t="shared" si="1301"/>
        <v>0</v>
      </c>
      <c r="AE3011" s="214">
        <f t="shared" ref="AE3011:AO3020" si="1302">SUMIF($AR:$AR,$CI3011,AE:AE)</f>
        <v>0</v>
      </c>
      <c r="AF3011" s="214">
        <f t="shared" si="1302"/>
        <v>0</v>
      </c>
      <c r="AG3011" s="214">
        <f t="shared" si="1302"/>
        <v>0</v>
      </c>
      <c r="AH3011" s="214">
        <f t="shared" si="1302"/>
        <v>0</v>
      </c>
      <c r="AI3011" s="214">
        <f t="shared" si="1302"/>
        <v>0</v>
      </c>
      <c r="AJ3011" s="214">
        <f t="shared" si="1302"/>
        <v>0</v>
      </c>
      <c r="AK3011" s="214">
        <f t="shared" si="1302"/>
        <v>0</v>
      </c>
      <c r="AL3011" s="214">
        <f t="shared" si="1302"/>
        <v>0</v>
      </c>
      <c r="AM3011" s="214">
        <f t="shared" si="1302"/>
        <v>0</v>
      </c>
      <c r="AN3011" s="214">
        <f t="shared" si="1302"/>
        <v>0</v>
      </c>
      <c r="AO3011" s="214">
        <f t="shared" si="1302"/>
        <v>0</v>
      </c>
      <c r="AP3011" s="214"/>
      <c r="AQ3011" s="214"/>
      <c r="AR3011" s="214"/>
      <c r="AS3011" s="214"/>
      <c r="AT3011" s="214"/>
      <c r="AU3011" s="214"/>
      <c r="AV3011" s="214"/>
      <c r="AW3011" s="214"/>
      <c r="AX3011" s="214"/>
      <c r="AY3011" s="214"/>
      <c r="AZ3011" s="214"/>
      <c r="BA3011" s="214"/>
      <c r="BB3011" s="214"/>
      <c r="BC3011" s="214"/>
      <c r="BD3011" s="214"/>
      <c r="BE3011" s="214"/>
      <c r="BF3011" s="214"/>
      <c r="BG3011" s="214"/>
      <c r="BH3011" s="214"/>
      <c r="BI3011" s="214"/>
      <c r="BJ3011" s="214"/>
      <c r="BK3011" s="214"/>
      <c r="BL3011" s="214"/>
      <c r="BM3011" s="214"/>
      <c r="BN3011" s="214"/>
      <c r="BO3011" s="214"/>
      <c r="BP3011" s="214"/>
      <c r="BQ3011" s="214"/>
      <c r="BR3011" s="214"/>
      <c r="BS3011" s="214"/>
      <c r="BT3011" s="214"/>
      <c r="BU3011" s="214"/>
      <c r="BV3011" s="214"/>
      <c r="BW3011" s="214"/>
      <c r="BX3011" s="214"/>
      <c r="BY3011" s="214"/>
      <c r="BZ3011" s="214"/>
      <c r="CA3011" s="214"/>
      <c r="CB3011" s="214"/>
      <c r="CC3011" s="214"/>
      <c r="CD3011" s="214"/>
      <c r="CE3011" s="230"/>
      <c r="CF3011" s="230"/>
      <c r="CG3011" s="230"/>
      <c r="CH3011" s="253" t="str">
        <f t="shared" ref="CH3011:CH3016" si="1303">CONCATENATE(L3011,H3011)</f>
        <v/>
      </c>
      <c r="CI3011" s="76" t="str">
        <f t="shared" si="1300"/>
        <v>R11Mixed Use 263(a)</v>
      </c>
      <c r="CJ3011" s="230"/>
      <c r="CK3011" s="230"/>
      <c r="CL3011" s="230"/>
      <c r="CM3011" s="231"/>
    </row>
    <row r="3012" spans="1:91">
      <c r="A3012" s="464"/>
      <c r="B3012" s="464"/>
      <c r="C3012" s="662" t="s">
        <v>2233</v>
      </c>
      <c r="D3012" s="689"/>
      <c r="E3012" s="422"/>
      <c r="F3012" s="422"/>
      <c r="G3012" s="461"/>
      <c r="H3012" s="678"/>
      <c r="I3012" s="462"/>
      <c r="J3012" s="462"/>
      <c r="K3012" s="422"/>
      <c r="L3012" s="655"/>
      <c r="M3012" s="422"/>
      <c r="N3012" s="463"/>
      <c r="O3012" s="463"/>
      <c r="P3012" s="689"/>
      <c r="Q3012" s="461"/>
      <c r="R3012" s="491"/>
      <c r="S3012" s="491"/>
      <c r="T3012" s="491"/>
      <c r="U3012" s="214">
        <f t="shared" si="1301"/>
        <v>-11869.6053875</v>
      </c>
      <c r="V3012" s="214">
        <f t="shared" si="1301"/>
        <v>-1163.3285629166701</v>
      </c>
      <c r="W3012" s="214">
        <f t="shared" si="1301"/>
        <v>0</v>
      </c>
      <c r="X3012" s="214">
        <f t="shared" si="1301"/>
        <v>-13032.933950416669</v>
      </c>
      <c r="Y3012" s="214">
        <f t="shared" si="1301"/>
        <v>-11342.56511</v>
      </c>
      <c r="Z3012" s="214">
        <f t="shared" si="1301"/>
        <v>-1126.6539499999999</v>
      </c>
      <c r="AA3012" s="214">
        <f t="shared" si="1301"/>
        <v>0</v>
      </c>
      <c r="AB3012" s="214">
        <f t="shared" si="1301"/>
        <v>-12469.219059999999</v>
      </c>
      <c r="AC3012" s="214">
        <f t="shared" si="1301"/>
        <v>-12730.655629999999</v>
      </c>
      <c r="AD3012" s="214">
        <f t="shared" si="1301"/>
        <v>-12710.482330000001</v>
      </c>
      <c r="AE3012" s="214">
        <f t="shared" si="1302"/>
        <v>-12690.30905</v>
      </c>
      <c r="AF3012" s="214">
        <f t="shared" si="1302"/>
        <v>-12670.135750000001</v>
      </c>
      <c r="AG3012" s="214">
        <f t="shared" si="1302"/>
        <v>-13581.662439999998</v>
      </c>
      <c r="AH3012" s="214">
        <f t="shared" si="1302"/>
        <v>-13794.41417</v>
      </c>
      <c r="AI3012" s="214">
        <f t="shared" si="1302"/>
        <v>-14007.165859999999</v>
      </c>
      <c r="AJ3012" s="214">
        <f t="shared" si="1302"/>
        <v>-14219.917559999998</v>
      </c>
      <c r="AK3012" s="214">
        <f t="shared" si="1302"/>
        <v>-12574.135939999998</v>
      </c>
      <c r="AL3012" s="214">
        <f t="shared" si="1302"/>
        <v>-12537.088949999999</v>
      </c>
      <c r="AM3012" s="214">
        <f t="shared" si="1302"/>
        <v>-12519.348979999999</v>
      </c>
      <c r="AN3012" s="214">
        <f t="shared" si="1302"/>
        <v>-12490.60903</v>
      </c>
      <c r="AO3012" s="214">
        <f t="shared" si="1302"/>
        <v>-12469.219059999999</v>
      </c>
      <c r="AP3012" s="214"/>
      <c r="AQ3012" s="214"/>
      <c r="AR3012" s="214"/>
      <c r="AS3012" s="214"/>
      <c r="AT3012" s="214"/>
      <c r="AU3012" s="214"/>
      <c r="AV3012" s="214"/>
      <c r="AW3012" s="214"/>
      <c r="AX3012" s="214"/>
      <c r="AY3012" s="214"/>
      <c r="AZ3012" s="214"/>
      <c r="BA3012" s="214"/>
      <c r="BB3012" s="214"/>
      <c r="BC3012" s="214"/>
      <c r="BD3012" s="214"/>
      <c r="BE3012" s="214"/>
      <c r="BF3012" s="214"/>
      <c r="BG3012" s="214"/>
      <c r="BH3012" s="214"/>
      <c r="BI3012" s="214"/>
      <c r="BJ3012" s="214"/>
      <c r="BK3012" s="214"/>
      <c r="BL3012" s="214"/>
      <c r="BM3012" s="214"/>
      <c r="BN3012" s="214"/>
      <c r="BO3012" s="214"/>
      <c r="BP3012" s="214"/>
      <c r="BQ3012" s="214"/>
      <c r="BR3012" s="214"/>
      <c r="BS3012" s="214"/>
      <c r="BT3012" s="214"/>
      <c r="BU3012" s="214"/>
      <c r="BV3012" s="214"/>
      <c r="BW3012" s="214"/>
      <c r="BX3012" s="214"/>
      <c r="BY3012" s="214"/>
      <c r="BZ3012" s="214"/>
      <c r="CA3012" s="214"/>
      <c r="CB3012" s="214"/>
      <c r="CC3012" s="214"/>
      <c r="CD3012" s="214"/>
      <c r="CE3012" s="230"/>
      <c r="CF3012" s="230"/>
      <c r="CG3012" s="230"/>
      <c r="CH3012" s="253" t="str">
        <f t="shared" si="1303"/>
        <v/>
      </c>
      <c r="CI3012" s="76" t="str">
        <f t="shared" si="1300"/>
        <v>R11Repair Allowance</v>
      </c>
      <c r="CJ3012" s="230"/>
      <c r="CK3012" s="230"/>
      <c r="CL3012" s="230"/>
      <c r="CM3012" s="231"/>
    </row>
    <row r="3013" spans="1:91">
      <c r="A3013" s="464"/>
      <c r="B3013" s="464"/>
      <c r="C3013" s="662" t="s">
        <v>2103</v>
      </c>
      <c r="D3013" s="689"/>
      <c r="E3013" s="422"/>
      <c r="F3013" s="422"/>
      <c r="G3013" s="461"/>
      <c r="H3013" s="678"/>
      <c r="I3013" s="462"/>
      <c r="J3013" s="462"/>
      <c r="K3013" s="422"/>
      <c r="L3013" s="655"/>
      <c r="M3013" s="422"/>
      <c r="N3013" s="463"/>
      <c r="O3013" s="463"/>
      <c r="P3013" s="689"/>
      <c r="Q3013" s="461"/>
      <c r="R3013" s="491"/>
      <c r="S3013" s="491"/>
      <c r="T3013" s="491"/>
      <c r="U3013" s="214">
        <f t="shared" si="1301"/>
        <v>-6377.8862254166697</v>
      </c>
      <c r="V3013" s="214">
        <f t="shared" si="1301"/>
        <v>0</v>
      </c>
      <c r="W3013" s="214">
        <f t="shared" si="1301"/>
        <v>0</v>
      </c>
      <c r="X3013" s="214">
        <f t="shared" si="1301"/>
        <v>-6377.8862254166697</v>
      </c>
      <c r="Y3013" s="214">
        <f t="shared" si="1301"/>
        <v>-6419.2785699999995</v>
      </c>
      <c r="Z3013" s="214">
        <f t="shared" si="1301"/>
        <v>0</v>
      </c>
      <c r="AA3013" s="214">
        <f t="shared" si="1301"/>
        <v>0</v>
      </c>
      <c r="AB3013" s="214">
        <f t="shared" si="1301"/>
        <v>-6419.2785699999995</v>
      </c>
      <c r="AC3013" s="214">
        <f t="shared" si="1301"/>
        <v>-6328.9679999999998</v>
      </c>
      <c r="AD3013" s="214">
        <f t="shared" si="1301"/>
        <v>-6328.9679999999998</v>
      </c>
      <c r="AE3013" s="214">
        <f t="shared" si="1302"/>
        <v>-6328.9679999999998</v>
      </c>
      <c r="AF3013" s="214">
        <f t="shared" si="1302"/>
        <v>-6328.9679999999998</v>
      </c>
      <c r="AG3013" s="214">
        <f t="shared" si="1302"/>
        <v>-6328.9679999999998</v>
      </c>
      <c r="AH3013" s="214">
        <f t="shared" si="1302"/>
        <v>-6328.9679999999998</v>
      </c>
      <c r="AI3013" s="214">
        <f t="shared" si="1302"/>
        <v>-6419.2785699999995</v>
      </c>
      <c r="AJ3013" s="214">
        <f t="shared" si="1302"/>
        <v>-6419.2785699999995</v>
      </c>
      <c r="AK3013" s="214">
        <f t="shared" si="1302"/>
        <v>-6419.2785699999995</v>
      </c>
      <c r="AL3013" s="214">
        <f t="shared" si="1302"/>
        <v>-6419.2785699999995</v>
      </c>
      <c r="AM3013" s="214">
        <f t="shared" si="1302"/>
        <v>-6419.2785699999995</v>
      </c>
      <c r="AN3013" s="214">
        <f t="shared" si="1302"/>
        <v>-6419.2785699999995</v>
      </c>
      <c r="AO3013" s="214">
        <f t="shared" si="1302"/>
        <v>-6419.2785699999995</v>
      </c>
      <c r="AP3013" s="214"/>
      <c r="AQ3013" s="214"/>
      <c r="AR3013" s="214"/>
      <c r="AS3013" s="214"/>
      <c r="AT3013" s="214"/>
      <c r="AU3013" s="214"/>
      <c r="AV3013" s="214"/>
      <c r="AW3013" s="214"/>
      <c r="AX3013" s="214"/>
      <c r="AY3013" s="214"/>
      <c r="AZ3013" s="214"/>
      <c r="BA3013" s="214"/>
      <c r="BB3013" s="214"/>
      <c r="BC3013" s="214"/>
      <c r="BD3013" s="214"/>
      <c r="BE3013" s="214"/>
      <c r="BF3013" s="214"/>
      <c r="BG3013" s="214"/>
      <c r="BH3013" s="214"/>
      <c r="BI3013" s="214"/>
      <c r="BJ3013" s="214"/>
      <c r="BK3013" s="214"/>
      <c r="BL3013" s="214"/>
      <c r="BM3013" s="214"/>
      <c r="BN3013" s="214"/>
      <c r="BO3013" s="214"/>
      <c r="BP3013" s="214"/>
      <c r="BQ3013" s="214"/>
      <c r="BR3013" s="214"/>
      <c r="BS3013" s="214"/>
      <c r="BT3013" s="214"/>
      <c r="BU3013" s="214"/>
      <c r="BV3013" s="214"/>
      <c r="BW3013" s="214"/>
      <c r="BX3013" s="214"/>
      <c r="BY3013" s="214"/>
      <c r="BZ3013" s="214"/>
      <c r="CA3013" s="214"/>
      <c r="CB3013" s="214"/>
      <c r="CC3013" s="214"/>
      <c r="CD3013" s="214"/>
      <c r="CE3013" s="230"/>
      <c r="CF3013" s="230"/>
      <c r="CG3013" s="230"/>
      <c r="CH3013" s="253" t="str">
        <f t="shared" si="1303"/>
        <v/>
      </c>
      <c r="CI3013" s="76" t="str">
        <f t="shared" si="1300"/>
        <v>R11Russell Retirement</v>
      </c>
      <c r="CJ3013" s="230"/>
      <c r="CK3013" s="230"/>
      <c r="CL3013" s="230"/>
      <c r="CM3013" s="231"/>
    </row>
    <row r="3014" spans="1:91">
      <c r="A3014" s="416"/>
      <c r="B3014" s="416"/>
      <c r="C3014" s="662" t="s">
        <v>2092</v>
      </c>
      <c r="D3014" s="689"/>
      <c r="E3014" s="422"/>
      <c r="F3014" s="422"/>
      <c r="G3014" s="461"/>
      <c r="H3014" s="678"/>
      <c r="I3014" s="462"/>
      <c r="J3014" s="462"/>
      <c r="K3014" s="422"/>
      <c r="L3014" s="655"/>
      <c r="M3014" s="422"/>
      <c r="N3014" s="463"/>
      <c r="O3014" s="463"/>
      <c r="P3014" s="689"/>
      <c r="Q3014" s="461"/>
      <c r="R3014" s="491"/>
      <c r="S3014" s="491"/>
      <c r="T3014" s="491"/>
      <c r="U3014" s="214">
        <f t="shared" si="1301"/>
        <v>-13893.752963333331</v>
      </c>
      <c r="V3014" s="214">
        <f t="shared" si="1301"/>
        <v>-5279.5231541666699</v>
      </c>
      <c r="W3014" s="214">
        <f t="shared" si="1301"/>
        <v>0</v>
      </c>
      <c r="X3014" s="214">
        <f t="shared" si="1301"/>
        <v>-19173.276117500001</v>
      </c>
      <c r="Y3014" s="214">
        <f t="shared" si="1301"/>
        <v>-13795.367920000001</v>
      </c>
      <c r="Z3014" s="214">
        <f t="shared" si="1301"/>
        <v>-5437.6181099999994</v>
      </c>
      <c r="AA3014" s="214">
        <f t="shared" si="1301"/>
        <v>0</v>
      </c>
      <c r="AB3014" s="214">
        <f t="shared" si="1301"/>
        <v>-19232.98603</v>
      </c>
      <c r="AC3014" s="214">
        <f t="shared" si="1301"/>
        <v>-18272.825509999999</v>
      </c>
      <c r="AD3014" s="214">
        <f t="shared" si="1301"/>
        <v>-18520.98703</v>
      </c>
      <c r="AE3014" s="214">
        <f t="shared" si="1302"/>
        <v>-18769.148539999998</v>
      </c>
      <c r="AF3014" s="214">
        <f t="shared" si="1302"/>
        <v>-19017.310049999996</v>
      </c>
      <c r="AG3014" s="214">
        <f t="shared" si="1302"/>
        <v>-19265.471570000002</v>
      </c>
      <c r="AH3014" s="214">
        <f t="shared" si="1302"/>
        <v>-19513.63308</v>
      </c>
      <c r="AI3014" s="214">
        <f t="shared" si="1302"/>
        <v>-19761.794609999997</v>
      </c>
      <c r="AJ3014" s="214">
        <f t="shared" si="1302"/>
        <v>-20009.956129999999</v>
      </c>
      <c r="AK3014" s="214">
        <f t="shared" si="1302"/>
        <v>-20258.11764</v>
      </c>
      <c r="AL3014" s="214">
        <f t="shared" si="1302"/>
        <v>-18488.501479999999</v>
      </c>
      <c r="AM3014" s="214">
        <f t="shared" si="1302"/>
        <v>-18736.663000000004</v>
      </c>
      <c r="AN3014" s="214">
        <f t="shared" si="1302"/>
        <v>-18984.824510000002</v>
      </c>
      <c r="AO3014" s="214">
        <f t="shared" si="1302"/>
        <v>-19232.98603</v>
      </c>
      <c r="AP3014" s="214"/>
      <c r="AQ3014" s="214"/>
      <c r="AR3014" s="214"/>
      <c r="AS3014" s="214"/>
      <c r="AT3014" s="214"/>
      <c r="AU3014" s="214"/>
      <c r="AV3014" s="214"/>
      <c r="AW3014" s="214"/>
      <c r="AX3014" s="214"/>
      <c r="AY3014" s="214"/>
      <c r="AZ3014" s="214"/>
      <c r="BA3014" s="214"/>
      <c r="BB3014" s="214"/>
      <c r="BC3014" s="214"/>
      <c r="BD3014" s="214"/>
      <c r="BE3014" s="214"/>
      <c r="BF3014" s="214"/>
      <c r="BG3014" s="214"/>
      <c r="BH3014" s="214"/>
      <c r="BI3014" s="214"/>
      <c r="BJ3014" s="214"/>
      <c r="BK3014" s="214"/>
      <c r="BL3014" s="214"/>
      <c r="BM3014" s="214"/>
      <c r="BN3014" s="214"/>
      <c r="BO3014" s="214"/>
      <c r="BP3014" s="214"/>
      <c r="BQ3014" s="214"/>
      <c r="BR3014" s="214"/>
      <c r="BS3014" s="214"/>
      <c r="BT3014" s="214"/>
      <c r="BU3014" s="214"/>
      <c r="BV3014" s="214"/>
      <c r="BW3014" s="214"/>
      <c r="BX3014" s="214"/>
      <c r="BY3014" s="214"/>
      <c r="BZ3014" s="214"/>
      <c r="CA3014" s="214"/>
      <c r="CB3014" s="214"/>
      <c r="CC3014" s="214"/>
      <c r="CD3014" s="214"/>
      <c r="CE3014" s="230"/>
      <c r="CF3014" s="230"/>
      <c r="CG3014" s="230"/>
      <c r="CH3014" s="253" t="str">
        <f t="shared" si="1303"/>
        <v/>
      </c>
      <c r="CI3014" s="76" t="str">
        <f t="shared" si="1300"/>
        <v>R11Tax Gain / Loss on Retirement</v>
      </c>
      <c r="CJ3014" s="230"/>
      <c r="CK3014" s="230"/>
      <c r="CL3014" s="230"/>
      <c r="CM3014" s="231"/>
    </row>
    <row r="3015" spans="1:91">
      <c r="A3015" s="416"/>
      <c r="B3015" s="416"/>
      <c r="C3015" s="662" t="s">
        <v>2249</v>
      </c>
      <c r="D3015" s="689"/>
      <c r="E3015" s="422"/>
      <c r="F3015" s="422"/>
      <c r="G3015" s="461"/>
      <c r="H3015" s="678"/>
      <c r="I3015" s="462"/>
      <c r="J3015" s="462"/>
      <c r="K3015" s="422"/>
      <c r="L3015" s="655"/>
      <c r="M3015" s="422"/>
      <c r="N3015" s="463"/>
      <c r="O3015" s="463"/>
      <c r="P3015" s="689"/>
      <c r="Q3015" s="461"/>
      <c r="R3015" s="491"/>
      <c r="S3015" s="491"/>
      <c r="T3015" s="491"/>
      <c r="U3015" s="214">
        <f t="shared" si="1301"/>
        <v>-13801.777978749971</v>
      </c>
      <c r="V3015" s="214">
        <f t="shared" si="1301"/>
        <v>-1367.8963462499992</v>
      </c>
      <c r="W3015" s="214">
        <f t="shared" si="1301"/>
        <v>0</v>
      </c>
      <c r="X3015" s="214">
        <f t="shared" si="1301"/>
        <v>-15169.674324999971</v>
      </c>
      <c r="Y3015" s="214">
        <f t="shared" si="1301"/>
        <v>-12675.87664</v>
      </c>
      <c r="Z3015" s="214">
        <f t="shared" si="1301"/>
        <v>-1277.2385899999999</v>
      </c>
      <c r="AA3015" s="214">
        <f t="shared" si="1301"/>
        <v>0</v>
      </c>
      <c r="AB3015" s="214">
        <f t="shared" si="1301"/>
        <v>-13953.115229999999</v>
      </c>
      <c r="AC3015" s="214">
        <f t="shared" si="1301"/>
        <v>-15754.569450000001</v>
      </c>
      <c r="AD3015" s="214">
        <f t="shared" si="1301"/>
        <v>-15682.873619999998</v>
      </c>
      <c r="AE3015" s="214">
        <f t="shared" si="1302"/>
        <v>-15611.17778</v>
      </c>
      <c r="AF3015" s="214">
        <f t="shared" si="1302"/>
        <v>-15539.481950000001</v>
      </c>
      <c r="AG3015" s="214">
        <f t="shared" si="1302"/>
        <v>-15467.786119999999</v>
      </c>
      <c r="AH3015" s="214">
        <f t="shared" si="1302"/>
        <v>-15396.090279999999</v>
      </c>
      <c r="AI3015" s="214">
        <f t="shared" si="1302"/>
        <v>-15324.39445</v>
      </c>
      <c r="AJ3015" s="214">
        <f t="shared" si="1302"/>
        <v>-15252.698619999999</v>
      </c>
      <c r="AK3015" s="214">
        <f t="shared" si="1302"/>
        <v>-17092.822679999997</v>
      </c>
      <c r="AL3015" s="214">
        <f t="shared" si="1302"/>
        <v>-14218.6849</v>
      </c>
      <c r="AM3015" s="214">
        <f t="shared" si="1302"/>
        <v>-13746.454369999999</v>
      </c>
      <c r="AN3015" s="214">
        <f t="shared" si="1302"/>
        <v>-13849.78479</v>
      </c>
      <c r="AO3015" s="214">
        <f t="shared" si="1302"/>
        <v>-13953.115229999999</v>
      </c>
      <c r="AP3015" s="214"/>
      <c r="AQ3015" s="214"/>
      <c r="AR3015" s="214"/>
      <c r="AS3015" s="214"/>
      <c r="AT3015" s="214"/>
      <c r="AU3015" s="214"/>
      <c r="AV3015" s="214"/>
      <c r="AW3015" s="214"/>
      <c r="AX3015" s="214"/>
      <c r="AY3015" s="214"/>
      <c r="AZ3015" s="214"/>
      <c r="BA3015" s="214"/>
      <c r="BB3015" s="214"/>
      <c r="BC3015" s="214"/>
      <c r="BD3015" s="214"/>
      <c r="BE3015" s="214"/>
      <c r="BF3015" s="214"/>
      <c r="BG3015" s="214"/>
      <c r="BH3015" s="214"/>
      <c r="BI3015" s="214"/>
      <c r="BJ3015" s="214"/>
      <c r="BK3015" s="214"/>
      <c r="BL3015" s="214"/>
      <c r="BM3015" s="214"/>
      <c r="BN3015" s="214"/>
      <c r="BO3015" s="214"/>
      <c r="BP3015" s="214"/>
      <c r="BQ3015" s="214"/>
      <c r="BR3015" s="214"/>
      <c r="BS3015" s="214"/>
      <c r="BT3015" s="214"/>
      <c r="BU3015" s="214"/>
      <c r="BV3015" s="214"/>
      <c r="BW3015" s="214"/>
      <c r="BX3015" s="214"/>
      <c r="BY3015" s="214"/>
      <c r="BZ3015" s="214"/>
      <c r="CA3015" s="214"/>
      <c r="CB3015" s="214"/>
      <c r="CC3015" s="214"/>
      <c r="CD3015" s="214"/>
      <c r="CE3015" s="230"/>
      <c r="CF3015" s="230"/>
      <c r="CG3015" s="230"/>
      <c r="CH3015" s="253" t="str">
        <f t="shared" si="1303"/>
        <v/>
      </c>
      <c r="CI3015" s="76" t="str">
        <f t="shared" si="1300"/>
        <v>R11Unit of Property - 481Adj</v>
      </c>
      <c r="CJ3015" s="230"/>
      <c r="CK3015" s="230"/>
      <c r="CL3015" s="230"/>
      <c r="CM3015" s="231"/>
    </row>
    <row r="3016" spans="1:91">
      <c r="A3016" s="464"/>
      <c r="B3016" s="464"/>
      <c r="C3016" s="662" t="s">
        <v>814</v>
      </c>
      <c r="D3016" s="689"/>
      <c r="E3016" s="422"/>
      <c r="F3016" s="422"/>
      <c r="G3016" s="461"/>
      <c r="H3016" s="678"/>
      <c r="I3016" s="462"/>
      <c r="J3016" s="462"/>
      <c r="K3016" s="422"/>
      <c r="L3016" s="655"/>
      <c r="M3016" s="422"/>
      <c r="N3016" s="463"/>
      <c r="O3016" s="463"/>
      <c r="P3016" s="689"/>
      <c r="Q3016" s="461"/>
      <c r="R3016" s="491"/>
      <c r="S3016" s="491"/>
      <c r="T3016" s="491"/>
      <c r="U3016" s="214">
        <f t="shared" si="1301"/>
        <v>32.540520000000001</v>
      </c>
      <c r="V3016" s="214">
        <f t="shared" si="1301"/>
        <v>19.972229999999996</v>
      </c>
      <c r="W3016" s="214">
        <f t="shared" si="1301"/>
        <v>0</v>
      </c>
      <c r="X3016" s="214">
        <f t="shared" si="1301"/>
        <v>52.512749999999997</v>
      </c>
      <c r="Y3016" s="214">
        <f t="shared" si="1301"/>
        <v>32.540520000000001</v>
      </c>
      <c r="Z3016" s="214">
        <f t="shared" si="1301"/>
        <v>19.972229999999996</v>
      </c>
      <c r="AA3016" s="214">
        <f t="shared" si="1301"/>
        <v>0</v>
      </c>
      <c r="AB3016" s="214">
        <f t="shared" si="1301"/>
        <v>52.512749999999997</v>
      </c>
      <c r="AC3016" s="214">
        <f t="shared" si="1301"/>
        <v>52.512749999999997</v>
      </c>
      <c r="AD3016" s="214">
        <f t="shared" si="1301"/>
        <v>52.512749999999997</v>
      </c>
      <c r="AE3016" s="214">
        <f t="shared" si="1302"/>
        <v>52.512749999999997</v>
      </c>
      <c r="AF3016" s="214">
        <f t="shared" si="1302"/>
        <v>52.512749999999997</v>
      </c>
      <c r="AG3016" s="214">
        <f t="shared" si="1302"/>
        <v>52.512749999999997</v>
      </c>
      <c r="AH3016" s="214">
        <f t="shared" si="1302"/>
        <v>52.512749999999997</v>
      </c>
      <c r="AI3016" s="214">
        <f t="shared" si="1302"/>
        <v>52.512749999999997</v>
      </c>
      <c r="AJ3016" s="214">
        <f t="shared" si="1302"/>
        <v>52.512749999999997</v>
      </c>
      <c r="AK3016" s="214">
        <f t="shared" si="1302"/>
        <v>52.512749999999997</v>
      </c>
      <c r="AL3016" s="214">
        <f t="shared" si="1302"/>
        <v>52.512749999999997</v>
      </c>
      <c r="AM3016" s="214">
        <f t="shared" si="1302"/>
        <v>52.512749999999997</v>
      </c>
      <c r="AN3016" s="214">
        <f t="shared" si="1302"/>
        <v>52.512749999999997</v>
      </c>
      <c r="AO3016" s="214">
        <f t="shared" si="1302"/>
        <v>52.512749999999997</v>
      </c>
      <c r="AP3016" s="214"/>
      <c r="AQ3016" s="214"/>
      <c r="AR3016" s="214"/>
      <c r="AS3016" s="214"/>
      <c r="AT3016" s="214"/>
      <c r="AU3016" s="214"/>
      <c r="AV3016" s="214"/>
      <c r="AW3016" s="214"/>
      <c r="AX3016" s="214"/>
      <c r="AY3016" s="214"/>
      <c r="AZ3016" s="214"/>
      <c r="BA3016" s="214"/>
      <c r="BB3016" s="214"/>
      <c r="BC3016" s="214"/>
      <c r="BD3016" s="214"/>
      <c r="BE3016" s="214"/>
      <c r="BF3016" s="214"/>
      <c r="BG3016" s="214"/>
      <c r="BH3016" s="214"/>
      <c r="BI3016" s="214"/>
      <c r="BJ3016" s="214"/>
      <c r="BK3016" s="214"/>
      <c r="BL3016" s="214"/>
      <c r="BM3016" s="214"/>
      <c r="BN3016" s="214"/>
      <c r="BO3016" s="214"/>
      <c r="BP3016" s="214"/>
      <c r="BQ3016" s="214"/>
      <c r="BR3016" s="214"/>
      <c r="BS3016" s="214"/>
      <c r="BT3016" s="214"/>
      <c r="BU3016" s="214"/>
      <c r="BV3016" s="214"/>
      <c r="BW3016" s="214"/>
      <c r="BX3016" s="214"/>
      <c r="BY3016" s="214"/>
      <c r="BZ3016" s="214"/>
      <c r="CA3016" s="214"/>
      <c r="CB3016" s="214"/>
      <c r="CC3016" s="214"/>
      <c r="CD3016" s="214"/>
      <c r="CE3016" s="230"/>
      <c r="CF3016" s="230"/>
      <c r="CG3016" s="230"/>
      <c r="CH3016" s="253" t="str">
        <f t="shared" si="1303"/>
        <v/>
      </c>
      <c r="CI3016" s="76" t="str">
        <f>+CONCATENATE(D$3082,C3016)</f>
        <v>R11IRS Audit - 1998-2001</v>
      </c>
      <c r="CJ3016" s="230"/>
      <c r="CK3016" s="230"/>
      <c r="CL3016" s="230"/>
      <c r="CM3016" s="231"/>
    </row>
    <row r="3017" spans="1:91">
      <c r="A3017" s="464"/>
      <c r="B3017" s="464"/>
      <c r="C3017" s="662" t="s">
        <v>2009</v>
      </c>
      <c r="D3017" s="689"/>
      <c r="E3017" s="422"/>
      <c r="F3017" s="422"/>
      <c r="G3017" s="461"/>
      <c r="H3017" s="678"/>
      <c r="I3017" s="462"/>
      <c r="J3017" s="462"/>
      <c r="K3017" s="422"/>
      <c r="L3017" s="655"/>
      <c r="M3017" s="422"/>
      <c r="N3017" s="463"/>
      <c r="O3017" s="463"/>
      <c r="P3017" s="689"/>
      <c r="Q3017" s="461"/>
      <c r="R3017" s="491"/>
      <c r="S3017" s="491"/>
      <c r="T3017" s="491"/>
      <c r="U3017" s="214">
        <f t="shared" si="1301"/>
        <v>0</v>
      </c>
      <c r="V3017" s="214">
        <f t="shared" si="1301"/>
        <v>0</v>
      </c>
      <c r="W3017" s="214">
        <f t="shared" si="1301"/>
        <v>0</v>
      </c>
      <c r="X3017" s="214">
        <f t="shared" si="1301"/>
        <v>0</v>
      </c>
      <c r="Y3017" s="214">
        <f t="shared" si="1301"/>
        <v>0</v>
      </c>
      <c r="Z3017" s="214">
        <f t="shared" si="1301"/>
        <v>0</v>
      </c>
      <c r="AA3017" s="214">
        <f t="shared" si="1301"/>
        <v>0</v>
      </c>
      <c r="AB3017" s="214">
        <f t="shared" si="1301"/>
        <v>0</v>
      </c>
      <c r="AC3017" s="214">
        <f t="shared" si="1301"/>
        <v>0</v>
      </c>
      <c r="AD3017" s="214">
        <f t="shared" si="1301"/>
        <v>0</v>
      </c>
      <c r="AE3017" s="214">
        <f t="shared" si="1302"/>
        <v>0</v>
      </c>
      <c r="AF3017" s="214">
        <f t="shared" si="1302"/>
        <v>0</v>
      </c>
      <c r="AG3017" s="214">
        <f t="shared" si="1302"/>
        <v>0</v>
      </c>
      <c r="AH3017" s="214">
        <f t="shared" si="1302"/>
        <v>0</v>
      </c>
      <c r="AI3017" s="214">
        <f t="shared" si="1302"/>
        <v>0</v>
      </c>
      <c r="AJ3017" s="214">
        <f t="shared" si="1302"/>
        <v>0</v>
      </c>
      <c r="AK3017" s="214">
        <f t="shared" si="1302"/>
        <v>0</v>
      </c>
      <c r="AL3017" s="214">
        <f t="shared" si="1302"/>
        <v>0</v>
      </c>
      <c r="AM3017" s="214">
        <f t="shared" si="1302"/>
        <v>0</v>
      </c>
      <c r="AN3017" s="214">
        <f t="shared" si="1302"/>
        <v>0</v>
      </c>
      <c r="AO3017" s="214">
        <f t="shared" si="1302"/>
        <v>0</v>
      </c>
      <c r="AP3017" s="214"/>
      <c r="AQ3017" s="214"/>
      <c r="AR3017" s="214"/>
      <c r="AS3017" s="214"/>
      <c r="AT3017" s="214"/>
      <c r="AU3017" s="214"/>
      <c r="AV3017" s="214"/>
      <c r="AW3017" s="214"/>
      <c r="AX3017" s="214"/>
      <c r="AY3017" s="214"/>
      <c r="AZ3017" s="214"/>
      <c r="BA3017" s="214"/>
      <c r="BB3017" s="214"/>
      <c r="BC3017" s="214"/>
      <c r="BD3017" s="214"/>
      <c r="BE3017" s="214"/>
      <c r="BF3017" s="214"/>
      <c r="BG3017" s="214"/>
      <c r="BH3017" s="214"/>
      <c r="BI3017" s="214"/>
      <c r="BJ3017" s="214"/>
      <c r="BK3017" s="214"/>
      <c r="BL3017" s="214"/>
      <c r="BM3017" s="214"/>
      <c r="BN3017" s="214"/>
      <c r="BO3017" s="214"/>
      <c r="BP3017" s="214"/>
      <c r="BQ3017" s="214"/>
      <c r="BR3017" s="214"/>
      <c r="BS3017" s="214"/>
      <c r="BT3017" s="214"/>
      <c r="BU3017" s="214"/>
      <c r="BV3017" s="214"/>
      <c r="BW3017" s="214"/>
      <c r="BX3017" s="214"/>
      <c r="BY3017" s="214"/>
      <c r="BZ3017" s="214"/>
      <c r="CA3017" s="214"/>
      <c r="CB3017" s="214"/>
      <c r="CC3017" s="214"/>
      <c r="CD3017" s="214"/>
      <c r="CE3017" s="230"/>
      <c r="CF3017" s="230"/>
      <c r="CG3017" s="230"/>
      <c r="CH3017" s="253"/>
      <c r="CI3017" s="76" t="str">
        <f t="shared" ref="CI3017" si="1304">+CONCATENATE(D$3082,C3017)</f>
        <v>R111998 Wind Storm</v>
      </c>
      <c r="CJ3017" s="230"/>
      <c r="CK3017" s="230"/>
      <c r="CL3017" s="230"/>
      <c r="CM3017" s="231"/>
    </row>
    <row r="3018" spans="1:91">
      <c r="A3018" s="464"/>
      <c r="B3018" s="464"/>
      <c r="C3018" s="662" t="s">
        <v>1140</v>
      </c>
      <c r="D3018" s="689"/>
      <c r="E3018" s="422"/>
      <c r="F3018" s="422"/>
      <c r="G3018" s="461"/>
      <c r="H3018" s="678"/>
      <c r="I3018" s="462"/>
      <c r="J3018" s="462"/>
      <c r="K3018" s="422"/>
      <c r="L3018" s="655"/>
      <c r="M3018" s="422"/>
      <c r="N3018" s="463"/>
      <c r="O3018" s="463"/>
      <c r="P3018" s="689"/>
      <c r="Q3018" s="461"/>
      <c r="R3018" s="491"/>
      <c r="S3018" s="491"/>
      <c r="T3018" s="491"/>
      <c r="U3018" s="214">
        <f t="shared" si="1301"/>
        <v>2325.67904</v>
      </c>
      <c r="V3018" s="214">
        <f t="shared" si="1301"/>
        <v>0</v>
      </c>
      <c r="W3018" s="214">
        <f t="shared" si="1301"/>
        <v>0</v>
      </c>
      <c r="X3018" s="214">
        <f t="shared" si="1301"/>
        <v>2325.67904</v>
      </c>
      <c r="Y3018" s="214">
        <f t="shared" si="1301"/>
        <v>2325.67904</v>
      </c>
      <c r="Z3018" s="214">
        <f t="shared" si="1301"/>
        <v>0</v>
      </c>
      <c r="AA3018" s="214">
        <f t="shared" si="1301"/>
        <v>0</v>
      </c>
      <c r="AB3018" s="214">
        <f t="shared" si="1301"/>
        <v>2325.67904</v>
      </c>
      <c r="AC3018" s="214">
        <f t="shared" si="1301"/>
        <v>2325.67904</v>
      </c>
      <c r="AD3018" s="214">
        <f t="shared" si="1301"/>
        <v>2325.67904</v>
      </c>
      <c r="AE3018" s="214">
        <f t="shared" si="1302"/>
        <v>2325.67904</v>
      </c>
      <c r="AF3018" s="214">
        <f t="shared" si="1302"/>
        <v>2325.67904</v>
      </c>
      <c r="AG3018" s="214">
        <f t="shared" si="1302"/>
        <v>2325.67904</v>
      </c>
      <c r="AH3018" s="214">
        <f t="shared" si="1302"/>
        <v>2325.67904</v>
      </c>
      <c r="AI3018" s="214">
        <f t="shared" si="1302"/>
        <v>2325.67904</v>
      </c>
      <c r="AJ3018" s="214">
        <f t="shared" si="1302"/>
        <v>2325.67904</v>
      </c>
      <c r="AK3018" s="214">
        <f t="shared" si="1302"/>
        <v>2325.67904</v>
      </c>
      <c r="AL3018" s="214">
        <f t="shared" si="1302"/>
        <v>2325.67904</v>
      </c>
      <c r="AM3018" s="214">
        <f t="shared" si="1302"/>
        <v>2325.67904</v>
      </c>
      <c r="AN3018" s="214">
        <f t="shared" si="1302"/>
        <v>2325.67904</v>
      </c>
      <c r="AO3018" s="214">
        <f t="shared" si="1302"/>
        <v>2325.67904</v>
      </c>
      <c r="AP3018" s="214"/>
      <c r="AQ3018" s="214"/>
      <c r="AR3018" s="214"/>
      <c r="AS3018" s="214"/>
      <c r="AT3018" s="214"/>
      <c r="AU3018" s="214"/>
      <c r="AV3018" s="214"/>
      <c r="AW3018" s="214"/>
      <c r="AX3018" s="214"/>
      <c r="AY3018" s="214"/>
      <c r="AZ3018" s="214"/>
      <c r="BA3018" s="214"/>
      <c r="BB3018" s="214"/>
      <c r="BC3018" s="214"/>
      <c r="BD3018" s="214"/>
      <c r="BE3018" s="214"/>
      <c r="BF3018" s="214"/>
      <c r="BG3018" s="214"/>
      <c r="BH3018" s="214"/>
      <c r="BI3018" s="214"/>
      <c r="BJ3018" s="214"/>
      <c r="BK3018" s="214"/>
      <c r="BL3018" s="214"/>
      <c r="BM3018" s="214"/>
      <c r="BN3018" s="214"/>
      <c r="BO3018" s="214"/>
      <c r="BP3018" s="214"/>
      <c r="BQ3018" s="214"/>
      <c r="BR3018" s="214"/>
      <c r="BS3018" s="214"/>
      <c r="BT3018" s="214"/>
      <c r="BU3018" s="214"/>
      <c r="BV3018" s="214"/>
      <c r="BW3018" s="214"/>
      <c r="BX3018" s="214"/>
      <c r="BY3018" s="214"/>
      <c r="BZ3018" s="214"/>
      <c r="CA3018" s="214"/>
      <c r="CB3018" s="214"/>
      <c r="CC3018" s="214"/>
      <c r="CD3018" s="214"/>
      <c r="CE3018" s="230"/>
      <c r="CF3018" s="230"/>
      <c r="CG3018" s="230"/>
      <c r="CH3018" s="253" t="str">
        <f>CONCATENATE(L3018,H3018)</f>
        <v/>
      </c>
      <c r="CI3018" s="76" t="str">
        <f t="shared" si="1300"/>
        <v>R11Allegany</v>
      </c>
      <c r="CJ3018" s="230"/>
      <c r="CK3018" s="230"/>
      <c r="CL3018" s="230"/>
      <c r="CM3018" s="231"/>
    </row>
    <row r="3019" spans="1:91">
      <c r="A3019" s="464"/>
      <c r="B3019" s="464"/>
      <c r="C3019" s="662" t="s">
        <v>1330</v>
      </c>
      <c r="D3019" s="689"/>
      <c r="E3019" s="422"/>
      <c r="F3019" s="422"/>
      <c r="G3019" s="461"/>
      <c r="H3019" s="678"/>
      <c r="I3019" s="462"/>
      <c r="J3019" s="462"/>
      <c r="K3019" s="422"/>
      <c r="L3019" s="655"/>
      <c r="M3019" s="422"/>
      <c r="N3019" s="463"/>
      <c r="O3019" s="463"/>
      <c r="P3019" s="689"/>
      <c r="Q3019" s="461"/>
      <c r="R3019" s="491"/>
      <c r="S3019" s="491"/>
      <c r="T3019" s="491"/>
      <c r="U3019" s="214">
        <f t="shared" si="1301"/>
        <v>0</v>
      </c>
      <c r="V3019" s="214">
        <f t="shared" si="1301"/>
        <v>0</v>
      </c>
      <c r="W3019" s="214">
        <f t="shared" si="1301"/>
        <v>0</v>
      </c>
      <c r="X3019" s="214">
        <f t="shared" si="1301"/>
        <v>0</v>
      </c>
      <c r="Y3019" s="214">
        <f t="shared" si="1301"/>
        <v>0</v>
      </c>
      <c r="Z3019" s="214">
        <f t="shared" si="1301"/>
        <v>0</v>
      </c>
      <c r="AA3019" s="214">
        <f t="shared" si="1301"/>
        <v>0</v>
      </c>
      <c r="AB3019" s="214">
        <f t="shared" si="1301"/>
        <v>0</v>
      </c>
      <c r="AC3019" s="214">
        <f t="shared" si="1301"/>
        <v>0</v>
      </c>
      <c r="AD3019" s="214">
        <f t="shared" si="1301"/>
        <v>0</v>
      </c>
      <c r="AE3019" s="214">
        <f t="shared" si="1302"/>
        <v>0</v>
      </c>
      <c r="AF3019" s="214">
        <f t="shared" si="1302"/>
        <v>0</v>
      </c>
      <c r="AG3019" s="214">
        <f t="shared" si="1302"/>
        <v>0</v>
      </c>
      <c r="AH3019" s="214">
        <f t="shared" si="1302"/>
        <v>0</v>
      </c>
      <c r="AI3019" s="214">
        <f t="shared" si="1302"/>
        <v>0</v>
      </c>
      <c r="AJ3019" s="214">
        <f t="shared" si="1302"/>
        <v>0</v>
      </c>
      <c r="AK3019" s="214">
        <f t="shared" si="1302"/>
        <v>0</v>
      </c>
      <c r="AL3019" s="214">
        <f t="shared" si="1302"/>
        <v>0</v>
      </c>
      <c r="AM3019" s="214">
        <f t="shared" si="1302"/>
        <v>0</v>
      </c>
      <c r="AN3019" s="214">
        <f t="shared" si="1302"/>
        <v>0</v>
      </c>
      <c r="AO3019" s="214">
        <f t="shared" si="1302"/>
        <v>0</v>
      </c>
      <c r="AP3019" s="214"/>
      <c r="AQ3019" s="214"/>
      <c r="AR3019" s="214"/>
      <c r="AS3019" s="214"/>
      <c r="AT3019" s="214"/>
      <c r="AU3019" s="214"/>
      <c r="AV3019" s="214"/>
      <c r="AW3019" s="214"/>
      <c r="AX3019" s="214"/>
      <c r="AY3019" s="214"/>
      <c r="AZ3019" s="214"/>
      <c r="BA3019" s="214"/>
      <c r="BB3019" s="214"/>
      <c r="BC3019" s="214"/>
      <c r="BD3019" s="214"/>
      <c r="BE3019" s="214"/>
      <c r="BF3019" s="214"/>
      <c r="BG3019" s="214"/>
      <c r="BH3019" s="214"/>
      <c r="BI3019" s="214"/>
      <c r="BJ3019" s="214"/>
      <c r="BK3019" s="214"/>
      <c r="BL3019" s="214"/>
      <c r="BM3019" s="214"/>
      <c r="BN3019" s="214"/>
      <c r="BO3019" s="214"/>
      <c r="BP3019" s="214"/>
      <c r="BQ3019" s="214"/>
      <c r="BR3019" s="214"/>
      <c r="BS3019" s="214"/>
      <c r="BT3019" s="214"/>
      <c r="BU3019" s="214"/>
      <c r="BV3019" s="214"/>
      <c r="BW3019" s="214"/>
      <c r="BX3019" s="214"/>
      <c r="BY3019" s="214"/>
      <c r="BZ3019" s="214"/>
      <c r="CA3019" s="214"/>
      <c r="CB3019" s="214"/>
      <c r="CC3019" s="214"/>
      <c r="CD3019" s="214"/>
      <c r="CE3019" s="230"/>
      <c r="CF3019" s="230"/>
      <c r="CG3019" s="230"/>
      <c r="CH3019" s="253" t="str">
        <f>CONCATENATE(L3019,H3019)</f>
        <v/>
      </c>
      <c r="CI3019" s="76" t="str">
        <f t="shared" si="1300"/>
        <v>R11ASGA</v>
      </c>
      <c r="CJ3019" s="230"/>
      <c r="CK3019" s="230"/>
      <c r="CL3019" s="230"/>
      <c r="CM3019" s="231"/>
    </row>
    <row r="3020" spans="1:91">
      <c r="A3020" s="464"/>
      <c r="B3020" s="464"/>
      <c r="C3020" s="662" t="s">
        <v>1890</v>
      </c>
      <c r="D3020" s="689"/>
      <c r="E3020" s="422"/>
      <c r="F3020" s="422"/>
      <c r="G3020" s="461"/>
      <c r="H3020" s="678"/>
      <c r="I3020" s="462"/>
      <c r="J3020" s="462"/>
      <c r="K3020" s="422"/>
      <c r="L3020" s="655"/>
      <c r="M3020" s="422"/>
      <c r="N3020" s="463"/>
      <c r="O3020" s="463"/>
      <c r="P3020" s="689"/>
      <c r="Q3020" s="461"/>
      <c r="R3020" s="491"/>
      <c r="S3020" s="491"/>
      <c r="T3020" s="491"/>
      <c r="U3020" s="214">
        <f t="shared" si="1301"/>
        <v>4531.0083699999996</v>
      </c>
      <c r="V3020" s="214">
        <f t="shared" si="1301"/>
        <v>0</v>
      </c>
      <c r="W3020" s="214">
        <f t="shared" si="1301"/>
        <v>0</v>
      </c>
      <c r="X3020" s="214">
        <f t="shared" si="1301"/>
        <v>4531.0083699999996</v>
      </c>
      <c r="Y3020" s="214">
        <f t="shared" si="1301"/>
        <v>4531.0083699999996</v>
      </c>
      <c r="Z3020" s="214">
        <f t="shared" si="1301"/>
        <v>0</v>
      </c>
      <c r="AA3020" s="214">
        <f t="shared" si="1301"/>
        <v>0</v>
      </c>
      <c r="AB3020" s="214">
        <f t="shared" si="1301"/>
        <v>4531.0083700000005</v>
      </c>
      <c r="AC3020" s="214">
        <f t="shared" si="1301"/>
        <v>4531.0083700000005</v>
      </c>
      <c r="AD3020" s="214">
        <f t="shared" si="1301"/>
        <v>4531.0083700000005</v>
      </c>
      <c r="AE3020" s="214">
        <f t="shared" si="1302"/>
        <v>4531.0083700000005</v>
      </c>
      <c r="AF3020" s="214">
        <f t="shared" si="1302"/>
        <v>4531.0083700000005</v>
      </c>
      <c r="AG3020" s="214">
        <f t="shared" si="1302"/>
        <v>4531.0083700000005</v>
      </c>
      <c r="AH3020" s="214">
        <f t="shared" si="1302"/>
        <v>4531.0083700000005</v>
      </c>
      <c r="AI3020" s="214">
        <f t="shared" si="1302"/>
        <v>4531.0083700000005</v>
      </c>
      <c r="AJ3020" s="214">
        <f t="shared" si="1302"/>
        <v>4531.0083700000005</v>
      </c>
      <c r="AK3020" s="214">
        <f t="shared" si="1302"/>
        <v>4531.0083700000005</v>
      </c>
      <c r="AL3020" s="214">
        <f t="shared" si="1302"/>
        <v>4531.0083700000005</v>
      </c>
      <c r="AM3020" s="214">
        <f t="shared" si="1302"/>
        <v>4531.0083700000005</v>
      </c>
      <c r="AN3020" s="214">
        <f t="shared" si="1302"/>
        <v>4531.0083700000005</v>
      </c>
      <c r="AO3020" s="214">
        <f t="shared" si="1302"/>
        <v>4531.0083700000005</v>
      </c>
      <c r="AP3020" s="214"/>
      <c r="AQ3020" s="214"/>
      <c r="AR3020" s="214"/>
      <c r="AS3020" s="214"/>
      <c r="AT3020" s="214"/>
      <c r="AU3020" s="214"/>
      <c r="AV3020" s="214"/>
      <c r="AW3020" s="214"/>
      <c r="AX3020" s="214"/>
      <c r="AY3020" s="214"/>
      <c r="AZ3020" s="214"/>
      <c r="BA3020" s="214"/>
      <c r="BB3020" s="214"/>
      <c r="BC3020" s="214"/>
      <c r="BD3020" s="214"/>
      <c r="BE3020" s="214"/>
      <c r="BF3020" s="214"/>
      <c r="BG3020" s="214"/>
      <c r="BH3020" s="214"/>
      <c r="BI3020" s="214"/>
      <c r="BJ3020" s="214"/>
      <c r="BK3020" s="214"/>
      <c r="BL3020" s="214"/>
      <c r="BM3020" s="214"/>
      <c r="BN3020" s="214"/>
      <c r="BO3020" s="214"/>
      <c r="BP3020" s="214"/>
      <c r="BQ3020" s="214"/>
      <c r="BR3020" s="214"/>
      <c r="BS3020" s="214"/>
      <c r="BT3020" s="214"/>
      <c r="BU3020" s="214"/>
      <c r="BV3020" s="214"/>
      <c r="BW3020" s="214"/>
      <c r="BX3020" s="214"/>
      <c r="BY3020" s="214"/>
      <c r="BZ3020" s="214"/>
      <c r="CA3020" s="214"/>
      <c r="CB3020" s="214"/>
      <c r="CC3020" s="214"/>
      <c r="CD3020" s="214"/>
      <c r="CE3020" s="230"/>
      <c r="CF3020" s="230"/>
      <c r="CG3020" s="230"/>
      <c r="CH3020" s="253" t="str">
        <f>CONCATENATE(L3020,H3020)</f>
        <v/>
      </c>
      <c r="CI3020" s="76" t="str">
        <f t="shared" si="1300"/>
        <v>R11Beebee</v>
      </c>
      <c r="CJ3020" s="230"/>
      <c r="CK3020" s="230"/>
      <c r="CL3020" s="230"/>
      <c r="CM3020" s="231"/>
    </row>
    <row r="3021" spans="1:91">
      <c r="A3021" s="464"/>
      <c r="B3021" s="464"/>
      <c r="C3021" s="662" t="s">
        <v>1186</v>
      </c>
      <c r="D3021" s="689"/>
      <c r="E3021" s="422"/>
      <c r="F3021" s="422"/>
      <c r="G3021" s="461"/>
      <c r="H3021" s="678"/>
      <c r="I3021" s="462"/>
      <c r="J3021" s="462"/>
      <c r="K3021" s="422"/>
      <c r="L3021" s="655"/>
      <c r="M3021" s="422"/>
      <c r="N3021" s="463"/>
      <c r="O3021" s="463"/>
      <c r="P3021" s="689"/>
      <c r="Q3021" s="461"/>
      <c r="R3021" s="491"/>
      <c r="S3021" s="491"/>
      <c r="T3021" s="491"/>
      <c r="U3021" s="214">
        <f t="shared" ref="U3021:AD3030" si="1305">SUMIF($AR:$AR,$CI3021,U:U)</f>
        <v>0</v>
      </c>
      <c r="V3021" s="214">
        <f t="shared" si="1305"/>
        <v>0</v>
      </c>
      <c r="W3021" s="214">
        <f t="shared" si="1305"/>
        <v>0</v>
      </c>
      <c r="X3021" s="214">
        <f t="shared" si="1305"/>
        <v>0</v>
      </c>
      <c r="Y3021" s="214">
        <f t="shared" si="1305"/>
        <v>0</v>
      </c>
      <c r="Z3021" s="214">
        <f t="shared" si="1305"/>
        <v>0</v>
      </c>
      <c r="AA3021" s="214">
        <f t="shared" si="1305"/>
        <v>0</v>
      </c>
      <c r="AB3021" s="214">
        <f t="shared" si="1305"/>
        <v>0</v>
      </c>
      <c r="AC3021" s="214">
        <f t="shared" si="1305"/>
        <v>0</v>
      </c>
      <c r="AD3021" s="214">
        <f t="shared" si="1305"/>
        <v>0</v>
      </c>
      <c r="AE3021" s="214">
        <f t="shared" ref="AE3021:AO3030" si="1306">SUMIF($AR:$AR,$CI3021,AE:AE)</f>
        <v>0</v>
      </c>
      <c r="AF3021" s="214">
        <f t="shared" si="1306"/>
        <v>0</v>
      </c>
      <c r="AG3021" s="214">
        <f t="shared" si="1306"/>
        <v>0</v>
      </c>
      <c r="AH3021" s="214">
        <f t="shared" si="1306"/>
        <v>0</v>
      </c>
      <c r="AI3021" s="214">
        <f t="shared" si="1306"/>
        <v>0</v>
      </c>
      <c r="AJ3021" s="214">
        <f t="shared" si="1306"/>
        <v>0</v>
      </c>
      <c r="AK3021" s="214">
        <f t="shared" si="1306"/>
        <v>0</v>
      </c>
      <c r="AL3021" s="214">
        <f t="shared" si="1306"/>
        <v>0</v>
      </c>
      <c r="AM3021" s="214">
        <f t="shared" si="1306"/>
        <v>0</v>
      </c>
      <c r="AN3021" s="214">
        <f t="shared" si="1306"/>
        <v>0</v>
      </c>
      <c r="AO3021" s="214">
        <f t="shared" si="1306"/>
        <v>0</v>
      </c>
      <c r="AP3021" s="214"/>
      <c r="AQ3021" s="214"/>
      <c r="AR3021" s="214"/>
      <c r="AS3021" s="214"/>
      <c r="AT3021" s="214"/>
      <c r="AU3021" s="214"/>
      <c r="AV3021" s="214"/>
      <c r="AW3021" s="214"/>
      <c r="AX3021" s="214"/>
      <c r="AY3021" s="214"/>
      <c r="AZ3021" s="214"/>
      <c r="BA3021" s="214"/>
      <c r="BB3021" s="214"/>
      <c r="BC3021" s="214"/>
      <c r="BD3021" s="214"/>
      <c r="BE3021" s="214"/>
      <c r="BF3021" s="214"/>
      <c r="BG3021" s="214"/>
      <c r="BH3021" s="214"/>
      <c r="BI3021" s="214"/>
      <c r="BJ3021" s="214"/>
      <c r="BK3021" s="214"/>
      <c r="BL3021" s="214"/>
      <c r="BM3021" s="214"/>
      <c r="BN3021" s="214"/>
      <c r="BO3021" s="214"/>
      <c r="BP3021" s="214"/>
      <c r="BQ3021" s="214"/>
      <c r="BR3021" s="214"/>
      <c r="BS3021" s="214"/>
      <c r="BT3021" s="214"/>
      <c r="BU3021" s="214"/>
      <c r="BV3021" s="214"/>
      <c r="BW3021" s="214"/>
      <c r="BX3021" s="214"/>
      <c r="BY3021" s="214"/>
      <c r="BZ3021" s="214"/>
      <c r="CA3021" s="214"/>
      <c r="CB3021" s="214"/>
      <c r="CC3021" s="214"/>
      <c r="CD3021" s="214"/>
      <c r="CE3021" s="230"/>
      <c r="CF3021" s="230"/>
      <c r="CG3021" s="230"/>
      <c r="CH3021" s="253" t="str">
        <f>CONCATENATE(L3021,H3021)</f>
        <v/>
      </c>
      <c r="CI3021" s="76" t="str">
        <f t="shared" si="1300"/>
        <v>R11Bonus Depreciation Deferral</v>
      </c>
      <c r="CJ3021" s="230"/>
      <c r="CK3021" s="230"/>
      <c r="CL3021" s="230"/>
      <c r="CM3021" s="231"/>
    </row>
    <row r="3022" spans="1:91">
      <c r="A3022" s="464"/>
      <c r="B3022" s="464"/>
      <c r="C3022" s="662" t="s">
        <v>819</v>
      </c>
      <c r="D3022" s="689"/>
      <c r="E3022" s="422"/>
      <c r="F3022" s="422"/>
      <c r="G3022" s="461"/>
      <c r="H3022" s="678"/>
      <c r="I3022" s="462"/>
      <c r="J3022" s="462"/>
      <c r="K3022" s="422"/>
      <c r="L3022" s="655"/>
      <c r="M3022" s="422"/>
      <c r="N3022" s="463"/>
      <c r="O3022" s="463"/>
      <c r="P3022" s="689"/>
      <c r="Q3022" s="461"/>
      <c r="R3022" s="491"/>
      <c r="S3022" s="491"/>
      <c r="T3022" s="491"/>
      <c r="U3022" s="214">
        <f t="shared" si="1305"/>
        <v>-1347.23893</v>
      </c>
      <c r="V3022" s="214">
        <f t="shared" si="1305"/>
        <v>-305.40353999999996</v>
      </c>
      <c r="W3022" s="214">
        <f t="shared" si="1305"/>
        <v>0</v>
      </c>
      <c r="X3022" s="214">
        <f t="shared" si="1305"/>
        <v>-1652.64247</v>
      </c>
      <c r="Y3022" s="214">
        <f t="shared" si="1305"/>
        <v>-1347.23893</v>
      </c>
      <c r="Z3022" s="214">
        <f t="shared" si="1305"/>
        <v>-305.40353999999996</v>
      </c>
      <c r="AA3022" s="214">
        <f t="shared" si="1305"/>
        <v>0</v>
      </c>
      <c r="AB3022" s="214">
        <f t="shared" si="1305"/>
        <v>-1652.64247</v>
      </c>
      <c r="AC3022" s="214">
        <f t="shared" si="1305"/>
        <v>-1652.64247</v>
      </c>
      <c r="AD3022" s="214">
        <f t="shared" si="1305"/>
        <v>-1652.64247</v>
      </c>
      <c r="AE3022" s="214">
        <f t="shared" si="1306"/>
        <v>-1652.64247</v>
      </c>
      <c r="AF3022" s="214">
        <f t="shared" si="1306"/>
        <v>-1652.64247</v>
      </c>
      <c r="AG3022" s="214">
        <f t="shared" si="1306"/>
        <v>-1652.64247</v>
      </c>
      <c r="AH3022" s="214">
        <f t="shared" si="1306"/>
        <v>-1652.64247</v>
      </c>
      <c r="AI3022" s="214">
        <f t="shared" si="1306"/>
        <v>-1652.64247</v>
      </c>
      <c r="AJ3022" s="214">
        <f t="shared" si="1306"/>
        <v>-1652.64247</v>
      </c>
      <c r="AK3022" s="214">
        <f t="shared" si="1306"/>
        <v>-1652.64247</v>
      </c>
      <c r="AL3022" s="214">
        <f t="shared" si="1306"/>
        <v>-1652.64247</v>
      </c>
      <c r="AM3022" s="214">
        <f t="shared" si="1306"/>
        <v>-1652.64247</v>
      </c>
      <c r="AN3022" s="214">
        <f t="shared" si="1306"/>
        <v>-1652.64247</v>
      </c>
      <c r="AO3022" s="214">
        <f t="shared" si="1306"/>
        <v>-1652.64247</v>
      </c>
      <c r="AP3022" s="214"/>
      <c r="AQ3022" s="214"/>
      <c r="AR3022" s="214"/>
      <c r="AS3022" s="214"/>
      <c r="AT3022" s="214"/>
      <c r="AU3022" s="214"/>
      <c r="AV3022" s="214"/>
      <c r="AW3022" s="214"/>
      <c r="AX3022" s="214"/>
      <c r="AY3022" s="214"/>
      <c r="AZ3022" s="214"/>
      <c r="BA3022" s="214"/>
      <c r="BB3022" s="214"/>
      <c r="BC3022" s="214"/>
      <c r="BD3022" s="214"/>
      <c r="BE3022" s="214"/>
      <c r="BF3022" s="214"/>
      <c r="BG3022" s="214"/>
      <c r="BH3022" s="214"/>
      <c r="BI3022" s="214"/>
      <c r="BJ3022" s="214"/>
      <c r="BK3022" s="214"/>
      <c r="BL3022" s="214"/>
      <c r="BM3022" s="214"/>
      <c r="BN3022" s="214"/>
      <c r="BO3022" s="214"/>
      <c r="BP3022" s="214"/>
      <c r="BQ3022" s="214"/>
      <c r="BR3022" s="214"/>
      <c r="BS3022" s="214"/>
      <c r="BT3022" s="214"/>
      <c r="BU3022" s="214"/>
      <c r="BV3022" s="214"/>
      <c r="BW3022" s="214"/>
      <c r="BX3022" s="214"/>
      <c r="BY3022" s="214"/>
      <c r="BZ3022" s="214"/>
      <c r="CA3022" s="214"/>
      <c r="CB3022" s="214"/>
      <c r="CC3022" s="214"/>
      <c r="CD3022" s="214"/>
      <c r="CE3022" s="230"/>
      <c r="CF3022" s="230"/>
      <c r="CG3022" s="230"/>
      <c r="CH3022" s="253"/>
      <c r="CI3022" s="76" t="str">
        <f t="shared" si="1300"/>
        <v>R11Cap Ex Deferral</v>
      </c>
      <c r="CJ3022" s="230"/>
      <c r="CK3022" s="230"/>
      <c r="CL3022" s="230"/>
      <c r="CM3022" s="231"/>
    </row>
    <row r="3023" spans="1:91">
      <c r="A3023" s="464"/>
      <c r="B3023" s="464"/>
      <c r="C3023" s="662" t="s">
        <v>820</v>
      </c>
      <c r="D3023" s="689"/>
      <c r="E3023" s="422"/>
      <c r="F3023" s="422"/>
      <c r="G3023" s="461"/>
      <c r="H3023" s="678"/>
      <c r="I3023" s="462"/>
      <c r="J3023" s="462"/>
      <c r="K3023" s="422"/>
      <c r="L3023" s="655"/>
      <c r="M3023" s="422"/>
      <c r="N3023" s="463"/>
      <c r="O3023" s="463"/>
      <c r="P3023" s="689"/>
      <c r="Q3023" s="461"/>
      <c r="R3023" s="491"/>
      <c r="S3023" s="491"/>
      <c r="T3023" s="491"/>
      <c r="U3023" s="214">
        <f t="shared" si="1305"/>
        <v>-41.4345</v>
      </c>
      <c r="V3023" s="214">
        <f t="shared" si="1305"/>
        <v>-44.973610000000001</v>
      </c>
      <c r="W3023" s="214">
        <f t="shared" si="1305"/>
        <v>0</v>
      </c>
      <c r="X3023" s="214">
        <f t="shared" si="1305"/>
        <v>-86.408110000000008</v>
      </c>
      <c r="Y3023" s="214">
        <f t="shared" si="1305"/>
        <v>-41.4345</v>
      </c>
      <c r="Z3023" s="214">
        <f t="shared" si="1305"/>
        <v>-44.973610000000001</v>
      </c>
      <c r="AA3023" s="214">
        <f t="shared" si="1305"/>
        <v>0</v>
      </c>
      <c r="AB3023" s="214">
        <f t="shared" si="1305"/>
        <v>-86.408110000000008</v>
      </c>
      <c r="AC3023" s="214">
        <f t="shared" si="1305"/>
        <v>-86.408110000000008</v>
      </c>
      <c r="AD3023" s="214">
        <f t="shared" si="1305"/>
        <v>-86.408110000000008</v>
      </c>
      <c r="AE3023" s="214">
        <f t="shared" si="1306"/>
        <v>-86.408110000000008</v>
      </c>
      <c r="AF3023" s="214">
        <f t="shared" si="1306"/>
        <v>-86.408110000000008</v>
      </c>
      <c r="AG3023" s="214">
        <f t="shared" si="1306"/>
        <v>-86.408110000000008</v>
      </c>
      <c r="AH3023" s="214">
        <f t="shared" si="1306"/>
        <v>-86.408110000000008</v>
      </c>
      <c r="AI3023" s="214">
        <f t="shared" si="1306"/>
        <v>-86.408110000000008</v>
      </c>
      <c r="AJ3023" s="214">
        <f t="shared" si="1306"/>
        <v>-86.408110000000008</v>
      </c>
      <c r="AK3023" s="214">
        <f t="shared" si="1306"/>
        <v>-86.408110000000008</v>
      </c>
      <c r="AL3023" s="214">
        <f t="shared" si="1306"/>
        <v>-86.408110000000008</v>
      </c>
      <c r="AM3023" s="214">
        <f t="shared" si="1306"/>
        <v>-86.408110000000008</v>
      </c>
      <c r="AN3023" s="214">
        <f t="shared" si="1306"/>
        <v>-86.408110000000008</v>
      </c>
      <c r="AO3023" s="214">
        <f t="shared" si="1306"/>
        <v>-86.408110000000008</v>
      </c>
      <c r="AP3023" s="214"/>
      <c r="AQ3023" s="214"/>
      <c r="AR3023" s="214"/>
      <c r="AS3023" s="214"/>
      <c r="AT3023" s="214"/>
      <c r="AU3023" s="214"/>
      <c r="AV3023" s="214"/>
      <c r="AW3023" s="214"/>
      <c r="AX3023" s="214"/>
      <c r="AY3023" s="214"/>
      <c r="AZ3023" s="214"/>
      <c r="BA3023" s="214"/>
      <c r="BB3023" s="214"/>
      <c r="BC3023" s="214"/>
      <c r="BD3023" s="214"/>
      <c r="BE3023" s="214"/>
      <c r="BF3023" s="214"/>
      <c r="BG3023" s="214"/>
      <c r="BH3023" s="214"/>
      <c r="BI3023" s="214"/>
      <c r="BJ3023" s="214"/>
      <c r="BK3023" s="214"/>
      <c r="BL3023" s="214"/>
      <c r="BM3023" s="214"/>
      <c r="BN3023" s="214"/>
      <c r="BO3023" s="214"/>
      <c r="BP3023" s="214"/>
      <c r="BQ3023" s="214"/>
      <c r="BR3023" s="214"/>
      <c r="BS3023" s="214"/>
      <c r="BT3023" s="214"/>
      <c r="BU3023" s="214"/>
      <c r="BV3023" s="214"/>
      <c r="BW3023" s="214"/>
      <c r="BX3023" s="214"/>
      <c r="BY3023" s="214"/>
      <c r="BZ3023" s="214"/>
      <c r="CA3023" s="214"/>
      <c r="CB3023" s="214"/>
      <c r="CC3023" s="214"/>
      <c r="CD3023" s="214"/>
      <c r="CE3023" s="230"/>
      <c r="CF3023" s="230"/>
      <c r="CG3023" s="230"/>
      <c r="CH3023" s="253"/>
      <c r="CI3023" s="76" t="str">
        <f t="shared" si="1300"/>
        <v>R11CTA Efficiency</v>
      </c>
      <c r="CJ3023" s="230"/>
      <c r="CK3023" s="230"/>
      <c r="CL3023" s="230"/>
      <c r="CM3023" s="231"/>
    </row>
    <row r="3024" spans="1:91">
      <c r="A3024" s="464"/>
      <c r="B3024" s="464"/>
      <c r="C3024" s="662" t="s">
        <v>1174</v>
      </c>
      <c r="D3024" s="689"/>
      <c r="E3024" s="422"/>
      <c r="F3024" s="422"/>
      <c r="G3024" s="461"/>
      <c r="H3024" s="678"/>
      <c r="I3024" s="462"/>
      <c r="J3024" s="462"/>
      <c r="K3024" s="422"/>
      <c r="L3024" s="655"/>
      <c r="M3024" s="422"/>
      <c r="N3024" s="463"/>
      <c r="O3024" s="463"/>
      <c r="P3024" s="689"/>
      <c r="Q3024" s="461"/>
      <c r="R3024" s="491"/>
      <c r="S3024" s="491"/>
      <c r="T3024" s="491"/>
      <c r="U3024" s="214">
        <f t="shared" si="1305"/>
        <v>0</v>
      </c>
      <c r="V3024" s="214">
        <f t="shared" si="1305"/>
        <v>0</v>
      </c>
      <c r="W3024" s="214">
        <f t="shared" si="1305"/>
        <v>0</v>
      </c>
      <c r="X3024" s="214">
        <f t="shared" si="1305"/>
        <v>0</v>
      </c>
      <c r="Y3024" s="214">
        <f t="shared" si="1305"/>
        <v>0</v>
      </c>
      <c r="Z3024" s="214">
        <f t="shared" si="1305"/>
        <v>0</v>
      </c>
      <c r="AA3024" s="214">
        <f t="shared" si="1305"/>
        <v>0</v>
      </c>
      <c r="AB3024" s="214">
        <f t="shared" si="1305"/>
        <v>0</v>
      </c>
      <c r="AC3024" s="214">
        <f t="shared" si="1305"/>
        <v>0</v>
      </c>
      <c r="AD3024" s="214">
        <f t="shared" si="1305"/>
        <v>0</v>
      </c>
      <c r="AE3024" s="214">
        <f t="shared" si="1306"/>
        <v>0</v>
      </c>
      <c r="AF3024" s="214">
        <f t="shared" si="1306"/>
        <v>0</v>
      </c>
      <c r="AG3024" s="214">
        <f t="shared" si="1306"/>
        <v>0</v>
      </c>
      <c r="AH3024" s="214">
        <f t="shared" si="1306"/>
        <v>0</v>
      </c>
      <c r="AI3024" s="214">
        <f t="shared" si="1306"/>
        <v>0</v>
      </c>
      <c r="AJ3024" s="214">
        <f t="shared" si="1306"/>
        <v>0</v>
      </c>
      <c r="AK3024" s="214">
        <f t="shared" si="1306"/>
        <v>0</v>
      </c>
      <c r="AL3024" s="214">
        <f t="shared" si="1306"/>
        <v>0</v>
      </c>
      <c r="AM3024" s="214">
        <f t="shared" si="1306"/>
        <v>0</v>
      </c>
      <c r="AN3024" s="214">
        <f t="shared" si="1306"/>
        <v>0</v>
      </c>
      <c r="AO3024" s="214">
        <f t="shared" si="1306"/>
        <v>0</v>
      </c>
      <c r="AP3024" s="214"/>
      <c r="AQ3024" s="214"/>
      <c r="AR3024" s="214"/>
      <c r="AS3024" s="214"/>
      <c r="AT3024" s="214"/>
      <c r="AU3024" s="214"/>
      <c r="AV3024" s="214"/>
      <c r="AW3024" s="214"/>
      <c r="AX3024" s="214"/>
      <c r="AY3024" s="214"/>
      <c r="AZ3024" s="214"/>
      <c r="BA3024" s="214"/>
      <c r="BB3024" s="214"/>
      <c r="BC3024" s="214"/>
      <c r="BD3024" s="214"/>
      <c r="BE3024" s="214"/>
      <c r="BF3024" s="214"/>
      <c r="BG3024" s="214"/>
      <c r="BH3024" s="214"/>
      <c r="BI3024" s="214"/>
      <c r="BJ3024" s="214"/>
      <c r="BK3024" s="214"/>
      <c r="BL3024" s="214"/>
      <c r="BM3024" s="214"/>
      <c r="BN3024" s="214"/>
      <c r="BO3024" s="214"/>
      <c r="BP3024" s="214"/>
      <c r="BQ3024" s="214"/>
      <c r="BR3024" s="214"/>
      <c r="BS3024" s="214"/>
      <c r="BT3024" s="214"/>
      <c r="BU3024" s="214"/>
      <c r="BV3024" s="214"/>
      <c r="BW3024" s="214"/>
      <c r="BX3024" s="214"/>
      <c r="BY3024" s="214"/>
      <c r="BZ3024" s="214"/>
      <c r="CA3024" s="214"/>
      <c r="CB3024" s="214"/>
      <c r="CC3024" s="214"/>
      <c r="CD3024" s="214"/>
      <c r="CE3024" s="230"/>
      <c r="CF3024" s="230"/>
      <c r="CG3024" s="230"/>
      <c r="CH3024" s="253"/>
      <c r="CI3024" s="76" t="str">
        <f t="shared" si="1300"/>
        <v>R11DOE Liability - True-up</v>
      </c>
      <c r="CJ3024" s="230"/>
      <c r="CK3024" s="230"/>
      <c r="CL3024" s="230"/>
      <c r="CM3024" s="231"/>
    </row>
    <row r="3025" spans="1:91">
      <c r="A3025" s="464"/>
      <c r="B3025" s="464"/>
      <c r="C3025" s="662" t="s">
        <v>1309</v>
      </c>
      <c r="D3025" s="689"/>
      <c r="E3025" s="422"/>
      <c r="F3025" s="422"/>
      <c r="G3025" s="461"/>
      <c r="H3025" s="678"/>
      <c r="I3025" s="462"/>
      <c r="J3025" s="462"/>
      <c r="K3025" s="422"/>
      <c r="L3025" s="655"/>
      <c r="M3025" s="422"/>
      <c r="N3025" s="463"/>
      <c r="O3025" s="463"/>
      <c r="P3025" s="689"/>
      <c r="Q3025" s="461"/>
      <c r="R3025" s="491"/>
      <c r="S3025" s="491"/>
      <c r="T3025" s="491"/>
      <c r="U3025" s="214">
        <f t="shared" si="1305"/>
        <v>0</v>
      </c>
      <c r="V3025" s="214">
        <f t="shared" si="1305"/>
        <v>0</v>
      </c>
      <c r="W3025" s="214">
        <f t="shared" si="1305"/>
        <v>0</v>
      </c>
      <c r="X3025" s="214">
        <f t="shared" si="1305"/>
        <v>0</v>
      </c>
      <c r="Y3025" s="214">
        <f t="shared" si="1305"/>
        <v>0</v>
      </c>
      <c r="Z3025" s="214">
        <f t="shared" si="1305"/>
        <v>0</v>
      </c>
      <c r="AA3025" s="214">
        <f t="shared" si="1305"/>
        <v>0</v>
      </c>
      <c r="AB3025" s="214">
        <f t="shared" si="1305"/>
        <v>0</v>
      </c>
      <c r="AC3025" s="214">
        <f t="shared" si="1305"/>
        <v>0</v>
      </c>
      <c r="AD3025" s="214">
        <f t="shared" si="1305"/>
        <v>0</v>
      </c>
      <c r="AE3025" s="214">
        <f t="shared" si="1306"/>
        <v>0</v>
      </c>
      <c r="AF3025" s="214">
        <f t="shared" si="1306"/>
        <v>0</v>
      </c>
      <c r="AG3025" s="214">
        <f t="shared" si="1306"/>
        <v>0</v>
      </c>
      <c r="AH3025" s="214">
        <f t="shared" si="1306"/>
        <v>0</v>
      </c>
      <c r="AI3025" s="214">
        <f t="shared" si="1306"/>
        <v>0</v>
      </c>
      <c r="AJ3025" s="214">
        <f t="shared" si="1306"/>
        <v>0</v>
      </c>
      <c r="AK3025" s="214">
        <f t="shared" si="1306"/>
        <v>0</v>
      </c>
      <c r="AL3025" s="214">
        <f t="shared" si="1306"/>
        <v>0</v>
      </c>
      <c r="AM3025" s="214">
        <f t="shared" si="1306"/>
        <v>0</v>
      </c>
      <c r="AN3025" s="214">
        <f t="shared" si="1306"/>
        <v>0</v>
      </c>
      <c r="AO3025" s="214">
        <f t="shared" si="1306"/>
        <v>0</v>
      </c>
      <c r="AP3025" s="214"/>
      <c r="AQ3025" s="214"/>
      <c r="AR3025" s="214"/>
      <c r="AS3025" s="214"/>
      <c r="AT3025" s="214"/>
      <c r="AU3025" s="214"/>
      <c r="AV3025" s="214"/>
      <c r="AW3025" s="214"/>
      <c r="AX3025" s="214"/>
      <c r="AY3025" s="214"/>
      <c r="AZ3025" s="214"/>
      <c r="BA3025" s="214"/>
      <c r="BB3025" s="214"/>
      <c r="BC3025" s="214"/>
      <c r="BD3025" s="214"/>
      <c r="BE3025" s="214"/>
      <c r="BF3025" s="214"/>
      <c r="BG3025" s="214"/>
      <c r="BH3025" s="214"/>
      <c r="BI3025" s="214"/>
      <c r="BJ3025" s="214"/>
      <c r="BK3025" s="214"/>
      <c r="BL3025" s="214"/>
      <c r="BM3025" s="214"/>
      <c r="BN3025" s="214"/>
      <c r="BO3025" s="214"/>
      <c r="BP3025" s="214"/>
      <c r="BQ3025" s="214"/>
      <c r="BR3025" s="214"/>
      <c r="BS3025" s="214"/>
      <c r="BT3025" s="214"/>
      <c r="BU3025" s="214"/>
      <c r="BV3025" s="214"/>
      <c r="BW3025" s="214"/>
      <c r="BX3025" s="214"/>
      <c r="BY3025" s="214"/>
      <c r="BZ3025" s="214"/>
      <c r="CA3025" s="214"/>
      <c r="CB3025" s="214"/>
      <c r="CC3025" s="214"/>
      <c r="CD3025" s="214"/>
      <c r="CE3025" s="230"/>
      <c r="CF3025" s="230"/>
      <c r="CG3025" s="230"/>
      <c r="CH3025" s="253" t="str">
        <f>CONCATENATE(L3025,H3025)</f>
        <v/>
      </c>
      <c r="CI3025" s="76" t="str">
        <f t="shared" si="1300"/>
        <v>R11Economic Development</v>
      </c>
      <c r="CJ3025" s="230"/>
      <c r="CK3025" s="230"/>
      <c r="CL3025" s="230"/>
      <c r="CM3025" s="231"/>
    </row>
    <row r="3026" spans="1:91">
      <c r="A3026" s="464"/>
      <c r="B3026" s="464"/>
      <c r="C3026" s="662" t="s">
        <v>1127</v>
      </c>
      <c r="D3026" s="689"/>
      <c r="E3026" s="422"/>
      <c r="F3026" s="422"/>
      <c r="G3026" s="461"/>
      <c r="H3026" s="678"/>
      <c r="I3026" s="462"/>
      <c r="J3026" s="462"/>
      <c r="K3026" s="422"/>
      <c r="L3026" s="655"/>
      <c r="M3026" s="422"/>
      <c r="N3026" s="463"/>
      <c r="O3026" s="463"/>
      <c r="P3026" s="689"/>
      <c r="Q3026" s="461"/>
      <c r="R3026" s="491"/>
      <c r="S3026" s="491"/>
      <c r="T3026" s="491"/>
      <c r="U3026" s="214">
        <f t="shared" si="1305"/>
        <v>-143.44158833333302</v>
      </c>
      <c r="V3026" s="214">
        <f t="shared" si="1305"/>
        <v>0</v>
      </c>
      <c r="W3026" s="214">
        <f t="shared" si="1305"/>
        <v>0</v>
      </c>
      <c r="X3026" s="214">
        <f t="shared" si="1305"/>
        <v>-143.44158833333302</v>
      </c>
      <c r="Y3026" s="214">
        <f t="shared" si="1305"/>
        <v>-120.28464</v>
      </c>
      <c r="Z3026" s="214">
        <f t="shared" si="1305"/>
        <v>0</v>
      </c>
      <c r="AA3026" s="214">
        <f t="shared" si="1305"/>
        <v>0</v>
      </c>
      <c r="AB3026" s="214">
        <f t="shared" si="1305"/>
        <v>-120.28464</v>
      </c>
      <c r="AC3026" s="214">
        <f t="shared" si="1305"/>
        <v>-120.28464</v>
      </c>
      <c r="AD3026" s="214">
        <f t="shared" si="1305"/>
        <v>-120.28464</v>
      </c>
      <c r="AE3026" s="214">
        <f t="shared" si="1306"/>
        <v>-120.28464</v>
      </c>
      <c r="AF3026" s="214">
        <f t="shared" si="1306"/>
        <v>-120.28464</v>
      </c>
      <c r="AG3026" s="214">
        <f t="shared" si="1306"/>
        <v>-120.28464</v>
      </c>
      <c r="AH3026" s="214">
        <f t="shared" si="1306"/>
        <v>-120.28464</v>
      </c>
      <c r="AI3026" s="214">
        <f t="shared" si="1306"/>
        <v>-120.28464</v>
      </c>
      <c r="AJ3026" s="214">
        <f t="shared" si="1306"/>
        <v>-120.28464</v>
      </c>
      <c r="AK3026" s="214">
        <f t="shared" si="1306"/>
        <v>-120.28464</v>
      </c>
      <c r="AL3026" s="214">
        <f t="shared" si="1306"/>
        <v>-259.22632999999996</v>
      </c>
      <c r="AM3026" s="214">
        <f t="shared" si="1306"/>
        <v>-259.22632999999996</v>
      </c>
      <c r="AN3026" s="214">
        <f t="shared" si="1306"/>
        <v>-120.28464</v>
      </c>
      <c r="AO3026" s="214">
        <f t="shared" si="1306"/>
        <v>-120.28464</v>
      </c>
      <c r="AP3026" s="214"/>
      <c r="AQ3026" s="214"/>
      <c r="AR3026" s="214"/>
      <c r="AS3026" s="214"/>
      <c r="AT3026" s="214"/>
      <c r="AU3026" s="214"/>
      <c r="AV3026" s="214"/>
      <c r="AW3026" s="214"/>
      <c r="AX3026" s="214"/>
      <c r="AY3026" s="214"/>
      <c r="AZ3026" s="214"/>
      <c r="BA3026" s="214"/>
      <c r="BB3026" s="214"/>
      <c r="BC3026" s="214"/>
      <c r="BD3026" s="214"/>
      <c r="BE3026" s="214"/>
      <c r="BF3026" s="214"/>
      <c r="BG3026" s="214"/>
      <c r="BH3026" s="214"/>
      <c r="BI3026" s="214"/>
      <c r="BJ3026" s="214"/>
      <c r="BK3026" s="214"/>
      <c r="BL3026" s="214"/>
      <c r="BM3026" s="214"/>
      <c r="BN3026" s="214"/>
      <c r="BO3026" s="214"/>
      <c r="BP3026" s="214"/>
      <c r="BQ3026" s="214"/>
      <c r="BR3026" s="214"/>
      <c r="BS3026" s="214"/>
      <c r="BT3026" s="214"/>
      <c r="BU3026" s="214"/>
      <c r="BV3026" s="214"/>
      <c r="BW3026" s="214"/>
      <c r="BX3026" s="214"/>
      <c r="BY3026" s="214"/>
      <c r="BZ3026" s="214"/>
      <c r="CA3026" s="214"/>
      <c r="CB3026" s="214"/>
      <c r="CC3026" s="214"/>
      <c r="CD3026" s="214"/>
      <c r="CE3026" s="230"/>
      <c r="CF3026" s="230"/>
      <c r="CG3026" s="230"/>
      <c r="CH3026" s="253" t="str">
        <f>CONCATENATE(L3026,H3026)</f>
        <v/>
      </c>
      <c r="CI3026" s="76" t="str">
        <f t="shared" si="1300"/>
        <v>R11Electric Reliability Organization</v>
      </c>
      <c r="CJ3026" s="230"/>
      <c r="CK3026" s="230"/>
      <c r="CL3026" s="230"/>
      <c r="CM3026" s="231"/>
    </row>
    <row r="3027" spans="1:91">
      <c r="A3027" s="464"/>
      <c r="B3027" s="464"/>
      <c r="C3027" s="662" t="s">
        <v>1134</v>
      </c>
      <c r="D3027" s="689"/>
      <c r="E3027" s="422"/>
      <c r="F3027" s="422"/>
      <c r="G3027" s="461"/>
      <c r="H3027" s="678"/>
      <c r="I3027" s="462"/>
      <c r="J3027" s="462"/>
      <c r="K3027" s="422"/>
      <c r="L3027" s="655"/>
      <c r="M3027" s="422"/>
      <c r="N3027" s="463"/>
      <c r="O3027" s="463"/>
      <c r="P3027" s="689"/>
      <c r="Q3027" s="461"/>
      <c r="R3027" s="491"/>
      <c r="S3027" s="491"/>
      <c r="T3027" s="491"/>
      <c r="U3027" s="214">
        <f t="shared" si="1305"/>
        <v>0</v>
      </c>
      <c r="V3027" s="214">
        <f t="shared" si="1305"/>
        <v>0</v>
      </c>
      <c r="W3027" s="214">
        <f t="shared" si="1305"/>
        <v>0</v>
      </c>
      <c r="X3027" s="214">
        <f t="shared" si="1305"/>
        <v>0</v>
      </c>
      <c r="Y3027" s="214">
        <f t="shared" si="1305"/>
        <v>0</v>
      </c>
      <c r="Z3027" s="214">
        <f t="shared" si="1305"/>
        <v>0</v>
      </c>
      <c r="AA3027" s="214">
        <f t="shared" si="1305"/>
        <v>0</v>
      </c>
      <c r="AB3027" s="214">
        <f t="shared" si="1305"/>
        <v>0</v>
      </c>
      <c r="AC3027" s="214">
        <f t="shared" si="1305"/>
        <v>0</v>
      </c>
      <c r="AD3027" s="214">
        <f t="shared" si="1305"/>
        <v>0</v>
      </c>
      <c r="AE3027" s="214">
        <f t="shared" si="1306"/>
        <v>0</v>
      </c>
      <c r="AF3027" s="214">
        <f t="shared" si="1306"/>
        <v>0</v>
      </c>
      <c r="AG3027" s="214">
        <f t="shared" si="1306"/>
        <v>0</v>
      </c>
      <c r="AH3027" s="214">
        <f t="shared" si="1306"/>
        <v>0</v>
      </c>
      <c r="AI3027" s="214">
        <f t="shared" si="1306"/>
        <v>0</v>
      </c>
      <c r="AJ3027" s="214">
        <f t="shared" si="1306"/>
        <v>0</v>
      </c>
      <c r="AK3027" s="214">
        <f t="shared" si="1306"/>
        <v>0</v>
      </c>
      <c r="AL3027" s="214">
        <f t="shared" si="1306"/>
        <v>0</v>
      </c>
      <c r="AM3027" s="214">
        <f t="shared" si="1306"/>
        <v>0</v>
      </c>
      <c r="AN3027" s="214">
        <f t="shared" si="1306"/>
        <v>0</v>
      </c>
      <c r="AO3027" s="214">
        <f t="shared" si="1306"/>
        <v>0</v>
      </c>
      <c r="AP3027" s="214"/>
      <c r="AQ3027" s="214"/>
      <c r="AR3027" s="214"/>
      <c r="AS3027" s="214"/>
      <c r="AT3027" s="214"/>
      <c r="AU3027" s="214"/>
      <c r="AV3027" s="214"/>
      <c r="AW3027" s="214"/>
      <c r="AX3027" s="214"/>
      <c r="AY3027" s="214"/>
      <c r="AZ3027" s="214"/>
      <c r="BA3027" s="214"/>
      <c r="BB3027" s="214"/>
      <c r="BC3027" s="214"/>
      <c r="BD3027" s="214"/>
      <c r="BE3027" s="214"/>
      <c r="BF3027" s="214"/>
      <c r="BG3027" s="214"/>
      <c r="BH3027" s="214"/>
      <c r="BI3027" s="214"/>
      <c r="BJ3027" s="214"/>
      <c r="BK3027" s="214"/>
      <c r="BL3027" s="214"/>
      <c r="BM3027" s="214"/>
      <c r="BN3027" s="214"/>
      <c r="BO3027" s="214"/>
      <c r="BP3027" s="214"/>
      <c r="BQ3027" s="214"/>
      <c r="BR3027" s="214"/>
      <c r="BS3027" s="214"/>
      <c r="BT3027" s="214"/>
      <c r="BU3027" s="214"/>
      <c r="BV3027" s="214"/>
      <c r="BW3027" s="214"/>
      <c r="BX3027" s="214"/>
      <c r="BY3027" s="214"/>
      <c r="BZ3027" s="214"/>
      <c r="CA3027" s="214"/>
      <c r="CB3027" s="214"/>
      <c r="CC3027" s="214"/>
      <c r="CD3027" s="214"/>
      <c r="CE3027" s="230"/>
      <c r="CF3027" s="230"/>
      <c r="CG3027" s="230"/>
      <c r="CH3027" s="253"/>
      <c r="CI3027" s="76" t="str">
        <f t="shared" ref="CI3027:CI3054" si="1307">+CONCATENATE(D$3082,C3027)</f>
        <v>R11Environmental</v>
      </c>
      <c r="CJ3027" s="230"/>
      <c r="CK3027" s="230"/>
      <c r="CL3027" s="230"/>
      <c r="CM3027" s="231"/>
    </row>
    <row r="3028" spans="1:91">
      <c r="A3028" s="464"/>
      <c r="B3028" s="464"/>
      <c r="C3028" s="662" t="s">
        <v>1487</v>
      </c>
      <c r="D3028" s="689"/>
      <c r="E3028" s="422"/>
      <c r="F3028" s="422"/>
      <c r="G3028" s="461"/>
      <c r="H3028" s="678"/>
      <c r="I3028" s="462"/>
      <c r="J3028" s="462"/>
      <c r="K3028" s="422"/>
      <c r="L3028" s="655"/>
      <c r="M3028" s="422"/>
      <c r="N3028" s="463"/>
      <c r="O3028" s="463"/>
      <c r="P3028" s="689"/>
      <c r="Q3028" s="461"/>
      <c r="R3028" s="491"/>
      <c r="S3028" s="491"/>
      <c r="T3028" s="491"/>
      <c r="U3028" s="214">
        <f t="shared" si="1305"/>
        <v>509.85547000000003</v>
      </c>
      <c r="V3028" s="214">
        <f t="shared" si="1305"/>
        <v>-140.52269125000001</v>
      </c>
      <c r="W3028" s="214">
        <f t="shared" si="1305"/>
        <v>0</v>
      </c>
      <c r="X3028" s="214">
        <f t="shared" si="1305"/>
        <v>369.33277875000005</v>
      </c>
      <c r="Y3028" s="214">
        <f t="shared" si="1305"/>
        <v>509.85547000000003</v>
      </c>
      <c r="Z3028" s="214">
        <f t="shared" si="1305"/>
        <v>-140.52269999999999</v>
      </c>
      <c r="AA3028" s="214">
        <f t="shared" si="1305"/>
        <v>0</v>
      </c>
      <c r="AB3028" s="214">
        <f t="shared" si="1305"/>
        <v>369.33276999999998</v>
      </c>
      <c r="AC3028" s="214">
        <f t="shared" si="1305"/>
        <v>369.33278000000001</v>
      </c>
      <c r="AD3028" s="214">
        <f t="shared" si="1305"/>
        <v>369.33278000000001</v>
      </c>
      <c r="AE3028" s="214">
        <f t="shared" si="1306"/>
        <v>369.33278000000001</v>
      </c>
      <c r="AF3028" s="214">
        <f t="shared" si="1306"/>
        <v>369.33278000000001</v>
      </c>
      <c r="AG3028" s="214">
        <f t="shared" si="1306"/>
        <v>369.33278000000001</v>
      </c>
      <c r="AH3028" s="214">
        <f t="shared" si="1306"/>
        <v>369.33278000000001</v>
      </c>
      <c r="AI3028" s="214">
        <f t="shared" si="1306"/>
        <v>369.33278000000001</v>
      </c>
      <c r="AJ3028" s="214">
        <f t="shared" si="1306"/>
        <v>369.33278000000001</v>
      </c>
      <c r="AK3028" s="214">
        <f t="shared" si="1306"/>
        <v>369.33278000000001</v>
      </c>
      <c r="AL3028" s="214">
        <f t="shared" si="1306"/>
        <v>369.33278000000001</v>
      </c>
      <c r="AM3028" s="214">
        <f t="shared" si="1306"/>
        <v>369.33278000000001</v>
      </c>
      <c r="AN3028" s="214">
        <f t="shared" si="1306"/>
        <v>369.33276999999998</v>
      </c>
      <c r="AO3028" s="214">
        <f t="shared" si="1306"/>
        <v>369.33276999999998</v>
      </c>
      <c r="AP3028" s="214"/>
      <c r="AQ3028" s="214"/>
      <c r="AR3028" s="214"/>
      <c r="AS3028" s="214"/>
      <c r="AT3028" s="214"/>
      <c r="AU3028" s="214"/>
      <c r="AV3028" s="214"/>
      <c r="AW3028" s="214"/>
      <c r="AX3028" s="214"/>
      <c r="AY3028" s="214"/>
      <c r="AZ3028" s="214"/>
      <c r="BA3028" s="214"/>
      <c r="BB3028" s="214"/>
      <c r="BC3028" s="214"/>
      <c r="BD3028" s="214"/>
      <c r="BE3028" s="214"/>
      <c r="BF3028" s="214"/>
      <c r="BG3028" s="214"/>
      <c r="BH3028" s="214"/>
      <c r="BI3028" s="214"/>
      <c r="BJ3028" s="214"/>
      <c r="BK3028" s="214"/>
      <c r="BL3028" s="214"/>
      <c r="BM3028" s="214"/>
      <c r="BN3028" s="214"/>
      <c r="BO3028" s="214"/>
      <c r="BP3028" s="214"/>
      <c r="BQ3028" s="214"/>
      <c r="BR3028" s="214"/>
      <c r="BS3028" s="214"/>
      <c r="BT3028" s="214"/>
      <c r="BU3028" s="214"/>
      <c r="BV3028" s="214"/>
      <c r="BW3028" s="214"/>
      <c r="BX3028" s="214"/>
      <c r="BY3028" s="214"/>
      <c r="BZ3028" s="214"/>
      <c r="CA3028" s="214"/>
      <c r="CB3028" s="214"/>
      <c r="CC3028" s="214"/>
      <c r="CD3028" s="214"/>
      <c r="CE3028" s="230"/>
      <c r="CF3028" s="230"/>
      <c r="CG3028" s="230"/>
      <c r="CH3028" s="253"/>
      <c r="CI3028" s="76" t="str">
        <f t="shared" si="1307"/>
        <v>R11Excess NYS DIT (to 7.1%)</v>
      </c>
      <c r="CJ3028" s="230"/>
      <c r="CK3028" s="230"/>
      <c r="CL3028" s="230"/>
      <c r="CM3028" s="231"/>
    </row>
    <row r="3029" spans="1:91">
      <c r="A3029" s="464"/>
      <c r="B3029" s="464"/>
      <c r="C3029" s="662" t="s">
        <v>1586</v>
      </c>
      <c r="D3029" s="689"/>
      <c r="E3029" s="422"/>
      <c r="F3029" s="422"/>
      <c r="G3029" s="461"/>
      <c r="H3029" s="678"/>
      <c r="I3029" s="462"/>
      <c r="J3029" s="462"/>
      <c r="K3029" s="422"/>
      <c r="L3029" s="655"/>
      <c r="M3029" s="422"/>
      <c r="N3029" s="463"/>
      <c r="O3029" s="463"/>
      <c r="P3029" s="689"/>
      <c r="Q3029" s="461"/>
      <c r="R3029" s="491"/>
      <c r="S3029" s="491"/>
      <c r="T3029" s="491"/>
      <c r="U3029" s="214">
        <f t="shared" si="1305"/>
        <v>2692.4832558333333</v>
      </c>
      <c r="V3029" s="214">
        <f t="shared" si="1305"/>
        <v>603.13767749999965</v>
      </c>
      <c r="W3029" s="214">
        <f t="shared" si="1305"/>
        <v>0</v>
      </c>
      <c r="X3029" s="214">
        <f t="shared" si="1305"/>
        <v>3295.6209333333327</v>
      </c>
      <c r="Y3029" s="214">
        <f t="shared" si="1305"/>
        <v>2601.4845100000002</v>
      </c>
      <c r="Z3029" s="214">
        <f t="shared" si="1305"/>
        <v>557.09010999999998</v>
      </c>
      <c r="AA3029" s="214">
        <f t="shared" si="1305"/>
        <v>0</v>
      </c>
      <c r="AB3029" s="214">
        <f t="shared" si="1305"/>
        <v>3158.5746200000003</v>
      </c>
      <c r="AC3029" s="214">
        <f t="shared" si="1305"/>
        <v>3288.9872</v>
      </c>
      <c r="AD3029" s="214">
        <f t="shared" si="1305"/>
        <v>3291.5794900000001</v>
      </c>
      <c r="AE3029" s="214">
        <f t="shared" si="1306"/>
        <v>3293.63141</v>
      </c>
      <c r="AF3029" s="214">
        <f t="shared" si="1306"/>
        <v>3295.5448199999996</v>
      </c>
      <c r="AG3029" s="214">
        <f t="shared" si="1306"/>
        <v>3297.7692400000001</v>
      </c>
      <c r="AH3029" s="214">
        <f t="shared" si="1306"/>
        <v>3299.9615899999994</v>
      </c>
      <c r="AI3029" s="214">
        <f t="shared" si="1306"/>
        <v>3302.2148499999998</v>
      </c>
      <c r="AJ3029" s="214">
        <f t="shared" si="1306"/>
        <v>3305.0182600000007</v>
      </c>
      <c r="AK3029" s="214">
        <f t="shared" si="1306"/>
        <v>3306.9413099999997</v>
      </c>
      <c r="AL3029" s="214">
        <f t="shared" si="1306"/>
        <v>3308.3506800000005</v>
      </c>
      <c r="AM3029" s="214">
        <f t="shared" si="1306"/>
        <v>3311.1065000000003</v>
      </c>
      <c r="AN3029" s="214">
        <f t="shared" si="1306"/>
        <v>3311.5521399999998</v>
      </c>
      <c r="AO3029" s="214">
        <f t="shared" si="1306"/>
        <v>3158.5746200000003</v>
      </c>
      <c r="AP3029" s="214"/>
      <c r="AQ3029" s="214"/>
      <c r="AR3029" s="214"/>
      <c r="AS3029" s="214"/>
      <c r="AT3029" s="214"/>
      <c r="AU3029" s="214"/>
      <c r="AV3029" s="214"/>
      <c r="AW3029" s="214"/>
      <c r="AX3029" s="214"/>
      <c r="AY3029" s="214"/>
      <c r="AZ3029" s="214"/>
      <c r="BA3029" s="214"/>
      <c r="BB3029" s="214"/>
      <c r="BC3029" s="214"/>
      <c r="BD3029" s="214"/>
      <c r="BE3029" s="214"/>
      <c r="BF3029" s="214"/>
      <c r="BG3029" s="214"/>
      <c r="BH3029" s="214"/>
      <c r="BI3029" s="214"/>
      <c r="BJ3029" s="214"/>
      <c r="BK3029" s="214"/>
      <c r="BL3029" s="214"/>
      <c r="BM3029" s="214"/>
      <c r="BN3029" s="214"/>
      <c r="BO3029" s="214"/>
      <c r="BP3029" s="214"/>
      <c r="BQ3029" s="214"/>
      <c r="BR3029" s="214"/>
      <c r="BS3029" s="214"/>
      <c r="BT3029" s="214"/>
      <c r="BU3029" s="214"/>
      <c r="BV3029" s="214"/>
      <c r="BW3029" s="214"/>
      <c r="BX3029" s="214"/>
      <c r="BY3029" s="214"/>
      <c r="BZ3029" s="214"/>
      <c r="CA3029" s="214"/>
      <c r="CB3029" s="214"/>
      <c r="CC3029" s="214"/>
      <c r="CD3029" s="214"/>
      <c r="CE3029" s="230"/>
      <c r="CF3029" s="230"/>
      <c r="CG3029" s="230"/>
      <c r="CH3029" s="253"/>
      <c r="CI3029" s="76" t="str">
        <f t="shared" si="1307"/>
        <v>R11FAS 112</v>
      </c>
      <c r="CJ3029" s="230"/>
      <c r="CK3029" s="230"/>
      <c r="CL3029" s="230"/>
      <c r="CM3029" s="231"/>
    </row>
    <row r="3030" spans="1:91">
      <c r="A3030" s="464"/>
      <c r="B3030" s="464"/>
      <c r="C3030" s="662" t="s">
        <v>4377</v>
      </c>
      <c r="D3030" s="689"/>
      <c r="E3030" s="422"/>
      <c r="F3030" s="422"/>
      <c r="G3030" s="461"/>
      <c r="H3030" s="678"/>
      <c r="I3030" s="462"/>
      <c r="J3030" s="462"/>
      <c r="K3030" s="422"/>
      <c r="L3030" s="655"/>
      <c r="M3030" s="422"/>
      <c r="N3030" s="463"/>
      <c r="O3030" s="463"/>
      <c r="P3030" s="689"/>
      <c r="Q3030" s="461"/>
      <c r="R3030" s="491"/>
      <c r="S3030" s="491"/>
      <c r="T3030" s="491"/>
      <c r="U3030" s="214">
        <f t="shared" si="1305"/>
        <v>-11399.270673749999</v>
      </c>
      <c r="V3030" s="214">
        <f t="shared" si="1305"/>
        <v>-9276.9135595833395</v>
      </c>
      <c r="W3030" s="214">
        <f t="shared" si="1305"/>
        <v>0</v>
      </c>
      <c r="X3030" s="214">
        <f t="shared" si="1305"/>
        <v>-20676.184233333337</v>
      </c>
      <c r="Y3030" s="214">
        <f t="shared" si="1305"/>
        <v>-13166.39027</v>
      </c>
      <c r="Z3030" s="214">
        <f t="shared" si="1305"/>
        <v>-10438.529210000001</v>
      </c>
      <c r="AA3030" s="214">
        <f t="shared" si="1305"/>
        <v>0</v>
      </c>
      <c r="AB3030" s="214">
        <f t="shared" si="1305"/>
        <v>-23604.919479999997</v>
      </c>
      <c r="AC3030" s="214">
        <f t="shared" si="1305"/>
        <v>-17723.38132</v>
      </c>
      <c r="AD3030" s="214">
        <f t="shared" si="1305"/>
        <v>-18215.697469999999</v>
      </c>
      <c r="AE3030" s="214">
        <f t="shared" si="1306"/>
        <v>-18708.013630000001</v>
      </c>
      <c r="AF3030" s="214">
        <f t="shared" si="1306"/>
        <v>-19200.32977</v>
      </c>
      <c r="AG3030" s="214">
        <f t="shared" si="1306"/>
        <v>-19692.645919999999</v>
      </c>
      <c r="AH3030" s="214">
        <f t="shared" si="1306"/>
        <v>-20184.962069999998</v>
      </c>
      <c r="AI3030" s="214">
        <f t="shared" si="1306"/>
        <v>-20677.27822</v>
      </c>
      <c r="AJ3030" s="214">
        <f t="shared" si="1306"/>
        <v>-21169.594369999999</v>
      </c>
      <c r="AK3030" s="214">
        <f t="shared" si="1306"/>
        <v>-21661.910510000002</v>
      </c>
      <c r="AL3030" s="214">
        <f t="shared" si="1306"/>
        <v>-22154.22666</v>
      </c>
      <c r="AM3030" s="214">
        <f t="shared" si="1306"/>
        <v>-22646.542820000002</v>
      </c>
      <c r="AN3030" s="214">
        <f t="shared" si="1306"/>
        <v>-23138.858960000001</v>
      </c>
      <c r="AO3030" s="214">
        <f t="shared" si="1306"/>
        <v>-23604.919479999997</v>
      </c>
      <c r="AP3030" s="214"/>
      <c r="AQ3030" s="214"/>
      <c r="AR3030" s="214"/>
      <c r="AS3030" s="214"/>
      <c r="AT3030" s="214"/>
      <c r="AU3030" s="214"/>
      <c r="AV3030" s="214"/>
      <c r="AW3030" s="214"/>
      <c r="AX3030" s="214"/>
      <c r="AY3030" s="214"/>
      <c r="AZ3030" s="214"/>
      <c r="BA3030" s="214"/>
      <c r="BB3030" s="214"/>
      <c r="BC3030" s="214"/>
      <c r="BD3030" s="214"/>
      <c r="BE3030" s="214"/>
      <c r="BF3030" s="214"/>
      <c r="BG3030" s="214"/>
      <c r="BH3030" s="214"/>
      <c r="BI3030" s="214"/>
      <c r="BJ3030" s="214"/>
      <c r="BK3030" s="214"/>
      <c r="BL3030" s="214"/>
      <c r="BM3030" s="214"/>
      <c r="BN3030" s="214"/>
      <c r="BO3030" s="214"/>
      <c r="BP3030" s="214"/>
      <c r="BQ3030" s="214"/>
      <c r="BR3030" s="214"/>
      <c r="BS3030" s="214"/>
      <c r="BT3030" s="214"/>
      <c r="BU3030" s="214"/>
      <c r="BV3030" s="214"/>
      <c r="BW3030" s="214"/>
      <c r="BX3030" s="214"/>
      <c r="BY3030" s="214"/>
      <c r="BZ3030" s="214"/>
      <c r="CA3030" s="214"/>
      <c r="CB3030" s="214"/>
      <c r="CC3030" s="214"/>
      <c r="CD3030" s="214"/>
      <c r="CE3030" s="230"/>
      <c r="CF3030" s="230"/>
      <c r="CG3030" s="230"/>
      <c r="CH3030" s="253"/>
      <c r="CI3030" s="76" t="str">
        <f t="shared" ref="CI3030" si="1308">+CONCATENATE(D$3082,C3030)</f>
        <v>R11Funded DIT Tax True-up Deferral</v>
      </c>
      <c r="CJ3030" s="230"/>
      <c r="CK3030" s="230"/>
      <c r="CL3030" s="230"/>
      <c r="CM3030" s="231"/>
    </row>
    <row r="3031" spans="1:91">
      <c r="A3031" s="464"/>
      <c r="B3031" s="464"/>
      <c r="C3031" s="662" t="s">
        <v>1142</v>
      </c>
      <c r="D3031" s="689"/>
      <c r="E3031" s="422"/>
      <c r="F3031" s="422"/>
      <c r="G3031" s="461"/>
      <c r="H3031" s="678"/>
      <c r="I3031" s="462"/>
      <c r="J3031" s="462"/>
      <c r="K3031" s="422"/>
      <c r="L3031" s="655"/>
      <c r="M3031" s="422"/>
      <c r="N3031" s="463"/>
      <c r="O3031" s="463"/>
      <c r="P3031" s="689"/>
      <c r="Q3031" s="461"/>
      <c r="R3031" s="491"/>
      <c r="S3031" s="491"/>
      <c r="T3031" s="491"/>
      <c r="U3031" s="214">
        <f t="shared" ref="U3031:AD3043" si="1309">SUMIF($AR:$AR,$CI3031,U:U)</f>
        <v>0</v>
      </c>
      <c r="V3031" s="214">
        <f t="shared" si="1309"/>
        <v>0</v>
      </c>
      <c r="W3031" s="214">
        <f t="shared" si="1309"/>
        <v>0</v>
      </c>
      <c r="X3031" s="214">
        <f t="shared" si="1309"/>
        <v>0</v>
      </c>
      <c r="Y3031" s="214">
        <f t="shared" si="1309"/>
        <v>0</v>
      </c>
      <c r="Z3031" s="214">
        <f t="shared" si="1309"/>
        <v>0</v>
      </c>
      <c r="AA3031" s="214">
        <f t="shared" si="1309"/>
        <v>0</v>
      </c>
      <c r="AB3031" s="214">
        <f t="shared" si="1309"/>
        <v>0</v>
      </c>
      <c r="AC3031" s="214">
        <f t="shared" si="1309"/>
        <v>0</v>
      </c>
      <c r="AD3031" s="214">
        <f t="shared" si="1309"/>
        <v>0</v>
      </c>
      <c r="AE3031" s="214">
        <f t="shared" ref="AE3031:AO3043" si="1310">SUMIF($AR:$AR,$CI3031,AE:AE)</f>
        <v>0</v>
      </c>
      <c r="AF3031" s="214">
        <f t="shared" si="1310"/>
        <v>0</v>
      </c>
      <c r="AG3031" s="214">
        <f t="shared" si="1310"/>
        <v>0</v>
      </c>
      <c r="AH3031" s="214">
        <f t="shared" si="1310"/>
        <v>0</v>
      </c>
      <c r="AI3031" s="214">
        <f t="shared" si="1310"/>
        <v>0</v>
      </c>
      <c r="AJ3031" s="214">
        <f t="shared" si="1310"/>
        <v>0</v>
      </c>
      <c r="AK3031" s="214">
        <f t="shared" si="1310"/>
        <v>0</v>
      </c>
      <c r="AL3031" s="214">
        <f t="shared" si="1310"/>
        <v>0</v>
      </c>
      <c r="AM3031" s="214">
        <f t="shared" si="1310"/>
        <v>0</v>
      </c>
      <c r="AN3031" s="214">
        <f t="shared" si="1310"/>
        <v>0</v>
      </c>
      <c r="AO3031" s="214">
        <f t="shared" si="1310"/>
        <v>0</v>
      </c>
      <c r="AP3031" s="214"/>
      <c r="AQ3031" s="214"/>
      <c r="AR3031" s="214"/>
      <c r="AS3031" s="214"/>
      <c r="AT3031" s="214"/>
      <c r="AU3031" s="214"/>
      <c r="AV3031" s="214"/>
      <c r="AW3031" s="214"/>
      <c r="AX3031" s="214"/>
      <c r="AY3031" s="214"/>
      <c r="AZ3031" s="214"/>
      <c r="BA3031" s="214"/>
      <c r="BB3031" s="214"/>
      <c r="BC3031" s="214"/>
      <c r="BD3031" s="214"/>
      <c r="BE3031" s="214"/>
      <c r="BF3031" s="214"/>
      <c r="BG3031" s="214"/>
      <c r="BH3031" s="214"/>
      <c r="BI3031" s="214"/>
      <c r="BJ3031" s="214"/>
      <c r="BK3031" s="214"/>
      <c r="BL3031" s="214"/>
      <c r="BM3031" s="214"/>
      <c r="BN3031" s="214"/>
      <c r="BO3031" s="214"/>
      <c r="BP3031" s="214"/>
      <c r="BQ3031" s="214"/>
      <c r="BR3031" s="214"/>
      <c r="BS3031" s="214"/>
      <c r="BT3031" s="214"/>
      <c r="BU3031" s="214"/>
      <c r="BV3031" s="214"/>
      <c r="BW3031" s="214"/>
      <c r="BX3031" s="214"/>
      <c r="BY3031" s="214"/>
      <c r="BZ3031" s="214"/>
      <c r="CA3031" s="214"/>
      <c r="CB3031" s="214"/>
      <c r="CC3031" s="214"/>
      <c r="CD3031" s="214"/>
      <c r="CE3031" s="230"/>
      <c r="CF3031" s="230"/>
      <c r="CG3031" s="230"/>
      <c r="CH3031" s="253"/>
      <c r="CI3031" s="76" t="str">
        <f t="shared" si="1307"/>
        <v>R11Gas Costs Deferred</v>
      </c>
      <c r="CJ3031" s="230"/>
      <c r="CK3031" s="230"/>
      <c r="CL3031" s="230"/>
      <c r="CM3031" s="231"/>
    </row>
    <row r="3032" spans="1:91">
      <c r="A3032" s="464"/>
      <c r="B3032" s="464"/>
      <c r="C3032" s="662" t="s">
        <v>1132</v>
      </c>
      <c r="D3032" s="689"/>
      <c r="E3032" s="422"/>
      <c r="F3032" s="422"/>
      <c r="G3032" s="461"/>
      <c r="H3032" s="678"/>
      <c r="I3032" s="462"/>
      <c r="J3032" s="462"/>
      <c r="K3032" s="422"/>
      <c r="L3032" s="655"/>
      <c r="M3032" s="422"/>
      <c r="N3032" s="463"/>
      <c r="O3032" s="463"/>
      <c r="P3032" s="689"/>
      <c r="Q3032" s="461"/>
      <c r="R3032" s="491"/>
      <c r="S3032" s="491"/>
      <c r="T3032" s="491"/>
      <c r="U3032" s="214">
        <f t="shared" si="1309"/>
        <v>0</v>
      </c>
      <c r="V3032" s="214">
        <f t="shared" si="1309"/>
        <v>119.8196283333333</v>
      </c>
      <c r="W3032" s="214">
        <f t="shared" si="1309"/>
        <v>0</v>
      </c>
      <c r="X3032" s="214">
        <f t="shared" si="1309"/>
        <v>119.8196283333333</v>
      </c>
      <c r="Y3032" s="214">
        <f t="shared" si="1309"/>
        <v>0</v>
      </c>
      <c r="Z3032" s="214">
        <f t="shared" si="1309"/>
        <v>93.136930000000007</v>
      </c>
      <c r="AA3032" s="214">
        <f t="shared" si="1309"/>
        <v>0</v>
      </c>
      <c r="AB3032" s="214">
        <f t="shared" si="1309"/>
        <v>93.136930000000007</v>
      </c>
      <c r="AC3032" s="214">
        <f t="shared" si="1309"/>
        <v>28.902090000000001</v>
      </c>
      <c r="AD3032" s="214">
        <f t="shared" si="1309"/>
        <v>84.87209</v>
      </c>
      <c r="AE3032" s="214">
        <f t="shared" si="1310"/>
        <v>125.79259999999999</v>
      </c>
      <c r="AF3032" s="214">
        <f t="shared" si="1310"/>
        <v>146.12833000000001</v>
      </c>
      <c r="AG3032" s="214">
        <f t="shared" si="1310"/>
        <v>159.46534000000003</v>
      </c>
      <c r="AH3032" s="214">
        <f t="shared" si="1310"/>
        <v>151.74103000000002</v>
      </c>
      <c r="AI3032" s="214">
        <f t="shared" si="1310"/>
        <v>139.10566</v>
      </c>
      <c r="AJ3032" s="214">
        <f t="shared" si="1310"/>
        <v>126.52146999999999</v>
      </c>
      <c r="AK3032" s="214">
        <f t="shared" si="1310"/>
        <v>137.28182000000001</v>
      </c>
      <c r="AL3032" s="214">
        <f t="shared" si="1310"/>
        <v>129.45084</v>
      </c>
      <c r="AM3032" s="214">
        <f t="shared" si="1310"/>
        <v>82.742010000000008</v>
      </c>
      <c r="AN3032" s="214">
        <f t="shared" si="1310"/>
        <v>93.714839999999981</v>
      </c>
      <c r="AO3032" s="214">
        <f t="shared" si="1310"/>
        <v>93.136930000000007</v>
      </c>
      <c r="AP3032" s="214"/>
      <c r="AQ3032" s="214"/>
      <c r="AR3032" s="214"/>
      <c r="AS3032" s="214"/>
      <c r="AT3032" s="214"/>
      <c r="AU3032" s="214"/>
      <c r="AV3032" s="214"/>
      <c r="AW3032" s="214"/>
      <c r="AX3032" s="214"/>
      <c r="AY3032" s="214"/>
      <c r="AZ3032" s="214"/>
      <c r="BA3032" s="214"/>
      <c r="BB3032" s="214"/>
      <c r="BC3032" s="214"/>
      <c r="BD3032" s="214"/>
      <c r="BE3032" s="214"/>
      <c r="BF3032" s="214"/>
      <c r="BG3032" s="214"/>
      <c r="BH3032" s="214"/>
      <c r="BI3032" s="214"/>
      <c r="BJ3032" s="214"/>
      <c r="BK3032" s="214"/>
      <c r="BL3032" s="214"/>
      <c r="BM3032" s="214"/>
      <c r="BN3032" s="214"/>
      <c r="BO3032" s="214"/>
      <c r="BP3032" s="214"/>
      <c r="BQ3032" s="214"/>
      <c r="BR3032" s="214"/>
      <c r="BS3032" s="214"/>
      <c r="BT3032" s="214"/>
      <c r="BU3032" s="214"/>
      <c r="BV3032" s="214"/>
      <c r="BW3032" s="214"/>
      <c r="BX3032" s="214"/>
      <c r="BY3032" s="214"/>
      <c r="BZ3032" s="214"/>
      <c r="CA3032" s="214"/>
      <c r="CB3032" s="214"/>
      <c r="CC3032" s="214"/>
      <c r="CD3032" s="214"/>
      <c r="CE3032" s="230"/>
      <c r="CF3032" s="230"/>
      <c r="CG3032" s="230"/>
      <c r="CH3032" s="253"/>
      <c r="CI3032" s="76" t="str">
        <f t="shared" si="1307"/>
        <v>R11Gas Pipeline Integrity</v>
      </c>
      <c r="CJ3032" s="230"/>
      <c r="CK3032" s="230"/>
      <c r="CL3032" s="230"/>
      <c r="CM3032" s="231"/>
    </row>
    <row r="3033" spans="1:91">
      <c r="A3033" s="464"/>
      <c r="B3033" s="464"/>
      <c r="C3033" s="662" t="s">
        <v>2880</v>
      </c>
      <c r="D3033" s="689"/>
      <c r="E3033" s="422"/>
      <c r="F3033" s="422"/>
      <c r="G3033" s="461"/>
      <c r="H3033" s="678"/>
      <c r="I3033" s="462"/>
      <c r="J3033" s="462"/>
      <c r="K3033" s="422"/>
      <c r="L3033" s="655"/>
      <c r="M3033" s="422"/>
      <c r="N3033" s="463"/>
      <c r="O3033" s="463"/>
      <c r="P3033" s="689"/>
      <c r="Q3033" s="461"/>
      <c r="R3033" s="491"/>
      <c r="S3033" s="491"/>
      <c r="T3033" s="491"/>
      <c r="U3033" s="214">
        <f t="shared" si="1309"/>
        <v>0</v>
      </c>
      <c r="V3033" s="214">
        <f t="shared" si="1309"/>
        <v>0</v>
      </c>
      <c r="W3033" s="214">
        <f t="shared" si="1309"/>
        <v>0</v>
      </c>
      <c r="X3033" s="214">
        <f t="shared" si="1309"/>
        <v>0</v>
      </c>
      <c r="Y3033" s="214">
        <f t="shared" si="1309"/>
        <v>0</v>
      </c>
      <c r="Z3033" s="214">
        <f t="shared" si="1309"/>
        <v>0</v>
      </c>
      <c r="AA3033" s="214">
        <f t="shared" si="1309"/>
        <v>0</v>
      </c>
      <c r="AB3033" s="214">
        <f t="shared" si="1309"/>
        <v>0</v>
      </c>
      <c r="AC3033" s="214">
        <f t="shared" si="1309"/>
        <v>0</v>
      </c>
      <c r="AD3033" s="214">
        <f t="shared" si="1309"/>
        <v>0</v>
      </c>
      <c r="AE3033" s="214">
        <f t="shared" si="1310"/>
        <v>0</v>
      </c>
      <c r="AF3033" s="214">
        <f t="shared" si="1310"/>
        <v>0</v>
      </c>
      <c r="AG3033" s="214">
        <f t="shared" si="1310"/>
        <v>0</v>
      </c>
      <c r="AH3033" s="214">
        <f t="shared" si="1310"/>
        <v>0</v>
      </c>
      <c r="AI3033" s="214">
        <f t="shared" si="1310"/>
        <v>0</v>
      </c>
      <c r="AJ3033" s="214">
        <f t="shared" si="1310"/>
        <v>0</v>
      </c>
      <c r="AK3033" s="214">
        <f t="shared" si="1310"/>
        <v>0</v>
      </c>
      <c r="AL3033" s="214">
        <f t="shared" si="1310"/>
        <v>0</v>
      </c>
      <c r="AM3033" s="214">
        <f t="shared" si="1310"/>
        <v>0</v>
      </c>
      <c r="AN3033" s="214">
        <f t="shared" si="1310"/>
        <v>0</v>
      </c>
      <c r="AO3033" s="214">
        <f t="shared" si="1310"/>
        <v>0</v>
      </c>
      <c r="AP3033" s="214"/>
      <c r="AQ3033" s="214"/>
      <c r="AR3033" s="214"/>
      <c r="AS3033" s="214"/>
      <c r="AT3033" s="214"/>
      <c r="AU3033" s="214"/>
      <c r="AV3033" s="214"/>
      <c r="AW3033" s="214"/>
      <c r="AX3033" s="214"/>
      <c r="AY3033" s="214"/>
      <c r="AZ3033" s="214"/>
      <c r="BA3033" s="214"/>
      <c r="BB3033" s="214"/>
      <c r="BC3033" s="214"/>
      <c r="BD3033" s="214"/>
      <c r="BE3033" s="214"/>
      <c r="BF3033" s="214"/>
      <c r="BG3033" s="214"/>
      <c r="BH3033" s="214"/>
      <c r="BI3033" s="214"/>
      <c r="BJ3033" s="214"/>
      <c r="BK3033" s="214"/>
      <c r="BL3033" s="214"/>
      <c r="BM3033" s="214"/>
      <c r="BN3033" s="214"/>
      <c r="BO3033" s="214"/>
      <c r="BP3033" s="214"/>
      <c r="BQ3033" s="214"/>
      <c r="BR3033" s="214"/>
      <c r="BS3033" s="214"/>
      <c r="BT3033" s="214"/>
      <c r="BU3033" s="214"/>
      <c r="BV3033" s="214"/>
      <c r="BW3033" s="214"/>
      <c r="BX3033" s="214"/>
      <c r="BY3033" s="214"/>
      <c r="BZ3033" s="214"/>
      <c r="CA3033" s="214"/>
      <c r="CB3033" s="214"/>
      <c r="CC3033" s="214"/>
      <c r="CD3033" s="214"/>
      <c r="CE3033" s="230"/>
      <c r="CF3033" s="230"/>
      <c r="CG3033" s="230"/>
      <c r="CH3033" s="253"/>
      <c r="CI3033" s="76" t="str">
        <f t="shared" ref="CI3033" si="1311">+CONCATENATE(D$3082,C3033)</f>
        <v>R11Hung Deferred Taxes</v>
      </c>
      <c r="CJ3033" s="230"/>
      <c r="CK3033" s="230"/>
      <c r="CL3033" s="230"/>
      <c r="CM3033" s="231"/>
    </row>
    <row r="3034" spans="1:91">
      <c r="A3034" s="464"/>
      <c r="B3034" s="464"/>
      <c r="C3034" s="662" t="s">
        <v>2173</v>
      </c>
      <c r="D3034" s="689"/>
      <c r="E3034" s="422"/>
      <c r="F3034" s="422"/>
      <c r="G3034" s="461"/>
      <c r="H3034" s="678"/>
      <c r="I3034" s="462"/>
      <c r="J3034" s="462"/>
      <c r="K3034" s="422"/>
      <c r="L3034" s="655"/>
      <c r="M3034" s="422"/>
      <c r="N3034" s="463"/>
      <c r="O3034" s="463"/>
      <c r="P3034" s="689"/>
      <c r="Q3034" s="461"/>
      <c r="R3034" s="491"/>
      <c r="S3034" s="491"/>
      <c r="T3034" s="491"/>
      <c r="U3034" s="214">
        <f t="shared" si="1309"/>
        <v>891.97393999999997</v>
      </c>
      <c r="V3034" s="214">
        <f t="shared" si="1309"/>
        <v>0</v>
      </c>
      <c r="W3034" s="214">
        <f t="shared" si="1309"/>
        <v>0</v>
      </c>
      <c r="X3034" s="214">
        <f t="shared" si="1309"/>
        <v>891.97393999999997</v>
      </c>
      <c r="Y3034" s="214">
        <f t="shared" si="1309"/>
        <v>891.97393999999997</v>
      </c>
      <c r="Z3034" s="214">
        <f t="shared" si="1309"/>
        <v>0</v>
      </c>
      <c r="AA3034" s="214">
        <f t="shared" si="1309"/>
        <v>0</v>
      </c>
      <c r="AB3034" s="214">
        <f t="shared" si="1309"/>
        <v>891.97393999999997</v>
      </c>
      <c r="AC3034" s="214">
        <f t="shared" si="1309"/>
        <v>891.97393999999997</v>
      </c>
      <c r="AD3034" s="214">
        <f t="shared" si="1309"/>
        <v>891.97393999999997</v>
      </c>
      <c r="AE3034" s="214">
        <f t="shared" si="1310"/>
        <v>891.97393999999997</v>
      </c>
      <c r="AF3034" s="214">
        <f t="shared" si="1310"/>
        <v>891.97393999999997</v>
      </c>
      <c r="AG3034" s="214">
        <f t="shared" si="1310"/>
        <v>891.97393999999997</v>
      </c>
      <c r="AH3034" s="214">
        <f t="shared" si="1310"/>
        <v>891.97393999999997</v>
      </c>
      <c r="AI3034" s="214">
        <f t="shared" si="1310"/>
        <v>891.97393999999997</v>
      </c>
      <c r="AJ3034" s="214">
        <f t="shared" si="1310"/>
        <v>891.97393999999997</v>
      </c>
      <c r="AK3034" s="214">
        <f t="shared" si="1310"/>
        <v>891.97393999999997</v>
      </c>
      <c r="AL3034" s="214">
        <f t="shared" si="1310"/>
        <v>891.97393999999997</v>
      </c>
      <c r="AM3034" s="214">
        <f t="shared" si="1310"/>
        <v>891.97393999999997</v>
      </c>
      <c r="AN3034" s="214">
        <f t="shared" si="1310"/>
        <v>891.97393999999997</v>
      </c>
      <c r="AO3034" s="214">
        <f t="shared" si="1310"/>
        <v>891.97393999999997</v>
      </c>
      <c r="AP3034" s="214"/>
      <c r="AQ3034" s="214"/>
      <c r="AR3034" s="214"/>
      <c r="AS3034" s="214"/>
      <c r="AT3034" s="214"/>
      <c r="AU3034" s="214"/>
      <c r="AV3034" s="214"/>
      <c r="AW3034" s="214"/>
      <c r="AX3034" s="214"/>
      <c r="AY3034" s="214"/>
      <c r="AZ3034" s="214"/>
      <c r="BA3034" s="214"/>
      <c r="BB3034" s="214"/>
      <c r="BC3034" s="214"/>
      <c r="BD3034" s="214"/>
      <c r="BE3034" s="214"/>
      <c r="BF3034" s="214"/>
      <c r="BG3034" s="214"/>
      <c r="BH3034" s="214"/>
      <c r="BI3034" s="214"/>
      <c r="BJ3034" s="214"/>
      <c r="BK3034" s="214"/>
      <c r="BL3034" s="214"/>
      <c r="BM3034" s="214"/>
      <c r="BN3034" s="214"/>
      <c r="BO3034" s="214"/>
      <c r="BP3034" s="214"/>
      <c r="BQ3034" s="214"/>
      <c r="BR3034" s="214"/>
      <c r="BS3034" s="214"/>
      <c r="BT3034" s="214"/>
      <c r="BU3034" s="214"/>
      <c r="BV3034" s="214"/>
      <c r="BW3034" s="214"/>
      <c r="BX3034" s="214"/>
      <c r="BY3034" s="214"/>
      <c r="BZ3034" s="214"/>
      <c r="CA3034" s="214"/>
      <c r="CB3034" s="214"/>
      <c r="CC3034" s="214"/>
      <c r="CD3034" s="214"/>
      <c r="CE3034" s="230"/>
      <c r="CF3034" s="230"/>
      <c r="CG3034" s="230"/>
      <c r="CH3034" s="253"/>
      <c r="CI3034" s="76" t="str">
        <f t="shared" si="1307"/>
        <v>R11Ice Storm</v>
      </c>
      <c r="CJ3034" s="230"/>
      <c r="CK3034" s="230"/>
      <c r="CL3034" s="230"/>
      <c r="CM3034" s="231"/>
    </row>
    <row r="3035" spans="1:91">
      <c r="A3035" s="464"/>
      <c r="B3035" s="464"/>
      <c r="C3035" s="662" t="s">
        <v>1313</v>
      </c>
      <c r="D3035" s="689"/>
      <c r="E3035" s="422"/>
      <c r="F3035" s="422"/>
      <c r="G3035" s="461"/>
      <c r="H3035" s="678"/>
      <c r="I3035" s="462"/>
      <c r="J3035" s="462"/>
      <c r="K3035" s="422"/>
      <c r="L3035" s="655"/>
      <c r="M3035" s="422"/>
      <c r="N3035" s="463"/>
      <c r="O3035" s="463"/>
      <c r="P3035" s="689"/>
      <c r="Q3035" s="461"/>
      <c r="R3035" s="491"/>
      <c r="S3035" s="491"/>
      <c r="T3035" s="491"/>
      <c r="U3035" s="214">
        <f t="shared" si="1309"/>
        <v>-95.347999999999999</v>
      </c>
      <c r="V3035" s="214">
        <f t="shared" si="1309"/>
        <v>0</v>
      </c>
      <c r="W3035" s="214">
        <f t="shared" si="1309"/>
        <v>0</v>
      </c>
      <c r="X3035" s="214">
        <f t="shared" si="1309"/>
        <v>-95.347999999999999</v>
      </c>
      <c r="Y3035" s="214">
        <f t="shared" si="1309"/>
        <v>-95.347999999999999</v>
      </c>
      <c r="Z3035" s="214">
        <f t="shared" si="1309"/>
        <v>0</v>
      </c>
      <c r="AA3035" s="214">
        <f t="shared" si="1309"/>
        <v>0</v>
      </c>
      <c r="AB3035" s="214">
        <f t="shared" si="1309"/>
        <v>-95.347999999999999</v>
      </c>
      <c r="AC3035" s="214">
        <f t="shared" si="1309"/>
        <v>-95.347999999999999</v>
      </c>
      <c r="AD3035" s="214">
        <f t="shared" si="1309"/>
        <v>-95.347999999999999</v>
      </c>
      <c r="AE3035" s="214">
        <f t="shared" si="1310"/>
        <v>-95.347999999999999</v>
      </c>
      <c r="AF3035" s="214">
        <f t="shared" si="1310"/>
        <v>-95.347999999999999</v>
      </c>
      <c r="AG3035" s="214">
        <f t="shared" si="1310"/>
        <v>-95.347999999999999</v>
      </c>
      <c r="AH3035" s="214">
        <f t="shared" si="1310"/>
        <v>-95.347999999999999</v>
      </c>
      <c r="AI3035" s="214">
        <f t="shared" si="1310"/>
        <v>-95.347999999999999</v>
      </c>
      <c r="AJ3035" s="214">
        <f t="shared" si="1310"/>
        <v>-95.347999999999999</v>
      </c>
      <c r="AK3035" s="214">
        <f t="shared" si="1310"/>
        <v>-95.347999999999999</v>
      </c>
      <c r="AL3035" s="214">
        <f t="shared" si="1310"/>
        <v>-95.347999999999999</v>
      </c>
      <c r="AM3035" s="214">
        <f t="shared" si="1310"/>
        <v>-95.347999999999999</v>
      </c>
      <c r="AN3035" s="214">
        <f t="shared" si="1310"/>
        <v>-95.347999999999999</v>
      </c>
      <c r="AO3035" s="214">
        <f t="shared" si="1310"/>
        <v>-95.347999999999999</v>
      </c>
      <c r="AP3035" s="214"/>
      <c r="AQ3035" s="214"/>
      <c r="AR3035" s="214"/>
      <c r="AS3035" s="214"/>
      <c r="AT3035" s="214"/>
      <c r="AU3035" s="214"/>
      <c r="AV3035" s="214"/>
      <c r="AW3035" s="214"/>
      <c r="AX3035" s="214"/>
      <c r="AY3035" s="214"/>
      <c r="AZ3035" s="214"/>
      <c r="BA3035" s="214"/>
      <c r="BB3035" s="214"/>
      <c r="BC3035" s="214"/>
      <c r="BD3035" s="214"/>
      <c r="BE3035" s="214"/>
      <c r="BF3035" s="214"/>
      <c r="BG3035" s="214"/>
      <c r="BH3035" s="214"/>
      <c r="BI3035" s="214"/>
      <c r="BJ3035" s="214"/>
      <c r="BK3035" s="214"/>
      <c r="BL3035" s="214"/>
      <c r="BM3035" s="214"/>
      <c r="BN3035" s="214"/>
      <c r="BO3035" s="214"/>
      <c r="BP3035" s="214"/>
      <c r="BQ3035" s="214"/>
      <c r="BR3035" s="214"/>
      <c r="BS3035" s="214"/>
      <c r="BT3035" s="214"/>
      <c r="BU3035" s="214"/>
      <c r="BV3035" s="214"/>
      <c r="BW3035" s="214"/>
      <c r="BX3035" s="214"/>
      <c r="BY3035" s="214"/>
      <c r="BZ3035" s="214"/>
      <c r="CA3035" s="214"/>
      <c r="CB3035" s="214"/>
      <c r="CC3035" s="214"/>
      <c r="CD3035" s="214"/>
      <c r="CE3035" s="230"/>
      <c r="CF3035" s="230"/>
      <c r="CG3035" s="230"/>
      <c r="CH3035" s="253"/>
      <c r="CI3035" s="76" t="str">
        <f t="shared" si="1307"/>
        <v>R11IMLR</v>
      </c>
      <c r="CJ3035" s="230"/>
      <c r="CK3035" s="230"/>
      <c r="CL3035" s="230"/>
      <c r="CM3035" s="231"/>
    </row>
    <row r="3036" spans="1:91">
      <c r="A3036" s="464"/>
      <c r="B3036" s="464"/>
      <c r="C3036" s="662" t="s">
        <v>1325</v>
      </c>
      <c r="D3036" s="689"/>
      <c r="E3036" s="422"/>
      <c r="F3036" s="422"/>
      <c r="G3036" s="461"/>
      <c r="H3036" s="678"/>
      <c r="I3036" s="462"/>
      <c r="J3036" s="462"/>
      <c r="K3036" s="422"/>
      <c r="L3036" s="655"/>
      <c r="M3036" s="422"/>
      <c r="N3036" s="463"/>
      <c r="O3036" s="463"/>
      <c r="P3036" s="689"/>
      <c r="Q3036" s="461"/>
      <c r="R3036" s="491"/>
      <c r="S3036" s="491"/>
      <c r="T3036" s="491"/>
      <c r="U3036" s="214">
        <f t="shared" si="1309"/>
        <v>0</v>
      </c>
      <c r="V3036" s="214">
        <f t="shared" si="1309"/>
        <v>0</v>
      </c>
      <c r="W3036" s="214">
        <f t="shared" si="1309"/>
        <v>0</v>
      </c>
      <c r="X3036" s="214">
        <f t="shared" si="1309"/>
        <v>0</v>
      </c>
      <c r="Y3036" s="214">
        <f t="shared" si="1309"/>
        <v>0</v>
      </c>
      <c r="Z3036" s="214">
        <f t="shared" si="1309"/>
        <v>0</v>
      </c>
      <c r="AA3036" s="214">
        <f t="shared" si="1309"/>
        <v>0</v>
      </c>
      <c r="AB3036" s="214">
        <f t="shared" si="1309"/>
        <v>0</v>
      </c>
      <c r="AC3036" s="214">
        <f t="shared" si="1309"/>
        <v>0</v>
      </c>
      <c r="AD3036" s="214">
        <f t="shared" si="1309"/>
        <v>0</v>
      </c>
      <c r="AE3036" s="214">
        <f t="shared" si="1310"/>
        <v>0</v>
      </c>
      <c r="AF3036" s="214">
        <f t="shared" si="1310"/>
        <v>0</v>
      </c>
      <c r="AG3036" s="214">
        <f t="shared" si="1310"/>
        <v>0</v>
      </c>
      <c r="AH3036" s="214">
        <f t="shared" si="1310"/>
        <v>0</v>
      </c>
      <c r="AI3036" s="214">
        <f t="shared" si="1310"/>
        <v>0</v>
      </c>
      <c r="AJ3036" s="214">
        <f t="shared" si="1310"/>
        <v>0</v>
      </c>
      <c r="AK3036" s="214">
        <f t="shared" si="1310"/>
        <v>0</v>
      </c>
      <c r="AL3036" s="214">
        <f t="shared" si="1310"/>
        <v>0</v>
      </c>
      <c r="AM3036" s="214">
        <f t="shared" si="1310"/>
        <v>0</v>
      </c>
      <c r="AN3036" s="214">
        <f t="shared" si="1310"/>
        <v>0</v>
      </c>
      <c r="AO3036" s="214">
        <f t="shared" si="1310"/>
        <v>0</v>
      </c>
      <c r="AP3036" s="214"/>
      <c r="AQ3036" s="214"/>
      <c r="AR3036" s="214"/>
      <c r="AS3036" s="214"/>
      <c r="AT3036" s="214"/>
      <c r="AU3036" s="214"/>
      <c r="AV3036" s="214"/>
      <c r="AW3036" s="214"/>
      <c r="AX3036" s="214"/>
      <c r="AY3036" s="214"/>
      <c r="AZ3036" s="214"/>
      <c r="BA3036" s="214"/>
      <c r="BB3036" s="214"/>
      <c r="BC3036" s="214"/>
      <c r="BD3036" s="214"/>
      <c r="BE3036" s="214"/>
      <c r="BF3036" s="214"/>
      <c r="BG3036" s="214"/>
      <c r="BH3036" s="214"/>
      <c r="BI3036" s="214"/>
      <c r="BJ3036" s="214"/>
      <c r="BK3036" s="214"/>
      <c r="BL3036" s="214"/>
      <c r="BM3036" s="214"/>
      <c r="BN3036" s="214"/>
      <c r="BO3036" s="214"/>
      <c r="BP3036" s="214"/>
      <c r="BQ3036" s="214"/>
      <c r="BR3036" s="214"/>
      <c r="BS3036" s="214"/>
      <c r="BT3036" s="214"/>
      <c r="BU3036" s="214"/>
      <c r="BV3036" s="214"/>
      <c r="BW3036" s="214"/>
      <c r="BX3036" s="214"/>
      <c r="BY3036" s="214"/>
      <c r="BZ3036" s="214"/>
      <c r="CA3036" s="214"/>
      <c r="CB3036" s="214"/>
      <c r="CC3036" s="214"/>
      <c r="CD3036" s="214"/>
      <c r="CE3036" s="230"/>
      <c r="CF3036" s="230"/>
      <c r="CG3036" s="230"/>
      <c r="CH3036" s="253"/>
      <c r="CI3036" s="76" t="str">
        <f t="shared" si="1307"/>
        <v>R11Major Storm Reserve</v>
      </c>
      <c r="CJ3036" s="230"/>
      <c r="CK3036" s="230"/>
      <c r="CL3036" s="230"/>
      <c r="CM3036" s="231"/>
    </row>
    <row r="3037" spans="1:91">
      <c r="A3037" s="464"/>
      <c r="B3037" s="464"/>
      <c r="C3037" s="662" t="s">
        <v>1118</v>
      </c>
      <c r="D3037" s="689"/>
      <c r="E3037" s="422"/>
      <c r="F3037" s="422"/>
      <c r="G3037" s="461"/>
      <c r="H3037" s="678"/>
      <c r="I3037" s="462"/>
      <c r="J3037" s="462"/>
      <c r="K3037" s="422"/>
      <c r="L3037" s="655"/>
      <c r="M3037" s="422"/>
      <c r="N3037" s="463"/>
      <c r="O3037" s="463"/>
      <c r="P3037" s="689"/>
      <c r="Q3037" s="461"/>
      <c r="R3037" s="491"/>
      <c r="S3037" s="491"/>
      <c r="T3037" s="491"/>
      <c r="U3037" s="214">
        <f t="shared" si="1309"/>
        <v>51.383085416666738</v>
      </c>
      <c r="V3037" s="214">
        <f t="shared" si="1309"/>
        <v>114.6893454166667</v>
      </c>
      <c r="W3037" s="214">
        <f t="shared" si="1309"/>
        <v>0</v>
      </c>
      <c r="X3037" s="214">
        <f t="shared" si="1309"/>
        <v>166.07243083333341</v>
      </c>
      <c r="Y3037" s="214">
        <f t="shared" si="1309"/>
        <v>49.343100000000007</v>
      </c>
      <c r="Z3037" s="214">
        <f t="shared" si="1309"/>
        <v>119.03595999999999</v>
      </c>
      <c r="AA3037" s="214">
        <f t="shared" si="1309"/>
        <v>0</v>
      </c>
      <c r="AB3037" s="214">
        <f t="shared" si="1309"/>
        <v>168.37906000000001</v>
      </c>
      <c r="AC3037" s="214">
        <f t="shared" si="1309"/>
        <v>164.83563999999998</v>
      </c>
      <c r="AD3037" s="214">
        <f t="shared" si="1309"/>
        <v>165.99189999999996</v>
      </c>
      <c r="AE3037" s="214">
        <f t="shared" si="1310"/>
        <v>167.15472</v>
      </c>
      <c r="AF3037" s="214">
        <f t="shared" si="1310"/>
        <v>168.32411999999999</v>
      </c>
      <c r="AG3037" s="214">
        <f t="shared" si="1310"/>
        <v>169.61552999999995</v>
      </c>
      <c r="AH3037" s="214">
        <f t="shared" si="1310"/>
        <v>170.49874999999997</v>
      </c>
      <c r="AI3037" s="214">
        <f t="shared" si="1310"/>
        <v>161.09974999999997</v>
      </c>
      <c r="AJ3037" s="214">
        <f t="shared" si="1310"/>
        <v>162.29589999999996</v>
      </c>
      <c r="AK3037" s="214">
        <f t="shared" si="1310"/>
        <v>163.49881999999997</v>
      </c>
      <c r="AL3037" s="214">
        <f t="shared" si="1310"/>
        <v>164.70855</v>
      </c>
      <c r="AM3037" s="214">
        <f t="shared" si="1310"/>
        <v>165.92514999999997</v>
      </c>
      <c r="AN3037" s="214">
        <f t="shared" si="1310"/>
        <v>167.14862999999997</v>
      </c>
      <c r="AO3037" s="214">
        <f t="shared" si="1310"/>
        <v>168.37906000000001</v>
      </c>
      <c r="AP3037" s="214"/>
      <c r="AQ3037" s="214"/>
      <c r="AR3037" s="214"/>
      <c r="AS3037" s="214"/>
      <c r="AT3037" s="214"/>
      <c r="AU3037" s="214"/>
      <c r="AV3037" s="214"/>
      <c r="AW3037" s="214"/>
      <c r="AX3037" s="214"/>
      <c r="AY3037" s="214"/>
      <c r="AZ3037" s="214"/>
      <c r="BA3037" s="214"/>
      <c r="BB3037" s="214"/>
      <c r="BC3037" s="214"/>
      <c r="BD3037" s="214"/>
      <c r="BE3037" s="214"/>
      <c r="BF3037" s="214"/>
      <c r="BG3037" s="214"/>
      <c r="BH3037" s="214"/>
      <c r="BI3037" s="214"/>
      <c r="BJ3037" s="214"/>
      <c r="BK3037" s="214"/>
      <c r="BL3037" s="214"/>
      <c r="BM3037" s="214"/>
      <c r="BN3037" s="214"/>
      <c r="BO3037" s="214"/>
      <c r="BP3037" s="214"/>
      <c r="BQ3037" s="214"/>
      <c r="BR3037" s="214"/>
      <c r="BS3037" s="214"/>
      <c r="BT3037" s="214"/>
      <c r="BU3037" s="214"/>
      <c r="BV3037" s="214"/>
      <c r="BW3037" s="214"/>
      <c r="BX3037" s="214"/>
      <c r="BY3037" s="214"/>
      <c r="BZ3037" s="214"/>
      <c r="CA3037" s="214"/>
      <c r="CB3037" s="214"/>
      <c r="CC3037" s="214"/>
      <c r="CD3037" s="214"/>
      <c r="CE3037" s="230"/>
      <c r="CF3037" s="230"/>
      <c r="CG3037" s="230"/>
      <c r="CH3037" s="253"/>
      <c r="CI3037" s="76" t="str">
        <f t="shared" si="1307"/>
        <v>R11Medicare Part D</v>
      </c>
      <c r="CJ3037" s="230"/>
      <c r="CK3037" s="230"/>
      <c r="CL3037" s="230"/>
      <c r="CM3037" s="231"/>
    </row>
    <row r="3038" spans="1:91">
      <c r="A3038" s="464"/>
      <c r="B3038" s="464"/>
      <c r="C3038" s="662" t="s">
        <v>999</v>
      </c>
      <c r="D3038" s="689"/>
      <c r="E3038" s="422"/>
      <c r="F3038" s="422"/>
      <c r="G3038" s="461"/>
      <c r="H3038" s="678"/>
      <c r="I3038" s="462"/>
      <c r="J3038" s="462"/>
      <c r="K3038" s="422"/>
      <c r="L3038" s="655"/>
      <c r="M3038" s="422"/>
      <c r="N3038" s="463"/>
      <c r="O3038" s="463"/>
      <c r="P3038" s="689"/>
      <c r="Q3038" s="461"/>
      <c r="R3038" s="491"/>
      <c r="S3038" s="491"/>
      <c r="T3038" s="491"/>
      <c r="U3038" s="214">
        <f t="shared" si="1309"/>
        <v>0</v>
      </c>
      <c r="V3038" s="214">
        <f t="shared" si="1309"/>
        <v>0</v>
      </c>
      <c r="W3038" s="214">
        <f t="shared" si="1309"/>
        <v>0</v>
      </c>
      <c r="X3038" s="214">
        <f t="shared" si="1309"/>
        <v>0</v>
      </c>
      <c r="Y3038" s="214">
        <f t="shared" si="1309"/>
        <v>0</v>
      </c>
      <c r="Z3038" s="214">
        <f t="shared" si="1309"/>
        <v>0</v>
      </c>
      <c r="AA3038" s="214">
        <f t="shared" si="1309"/>
        <v>0</v>
      </c>
      <c r="AB3038" s="214">
        <f t="shared" si="1309"/>
        <v>0</v>
      </c>
      <c r="AC3038" s="214">
        <f t="shared" si="1309"/>
        <v>0</v>
      </c>
      <c r="AD3038" s="214">
        <f t="shared" si="1309"/>
        <v>0</v>
      </c>
      <c r="AE3038" s="214">
        <f t="shared" si="1310"/>
        <v>0</v>
      </c>
      <c r="AF3038" s="214">
        <f t="shared" si="1310"/>
        <v>0</v>
      </c>
      <c r="AG3038" s="214">
        <f t="shared" si="1310"/>
        <v>0</v>
      </c>
      <c r="AH3038" s="214">
        <f t="shared" si="1310"/>
        <v>0</v>
      </c>
      <c r="AI3038" s="214">
        <f t="shared" si="1310"/>
        <v>0</v>
      </c>
      <c r="AJ3038" s="214">
        <f t="shared" si="1310"/>
        <v>0</v>
      </c>
      <c r="AK3038" s="214">
        <f t="shared" si="1310"/>
        <v>0</v>
      </c>
      <c r="AL3038" s="214">
        <f t="shared" si="1310"/>
        <v>0</v>
      </c>
      <c r="AM3038" s="214">
        <f t="shared" si="1310"/>
        <v>0</v>
      </c>
      <c r="AN3038" s="214">
        <f t="shared" si="1310"/>
        <v>0</v>
      </c>
      <c r="AO3038" s="214">
        <f t="shared" si="1310"/>
        <v>0</v>
      </c>
      <c r="AP3038" s="214"/>
      <c r="AQ3038" s="214"/>
      <c r="AR3038" s="214"/>
      <c r="AS3038" s="214"/>
      <c r="AT3038" s="214"/>
      <c r="AU3038" s="214"/>
      <c r="AV3038" s="214"/>
      <c r="AW3038" s="214"/>
      <c r="AX3038" s="214"/>
      <c r="AY3038" s="214"/>
      <c r="AZ3038" s="214"/>
      <c r="BA3038" s="214"/>
      <c r="BB3038" s="214"/>
      <c r="BC3038" s="214"/>
      <c r="BD3038" s="214"/>
      <c r="BE3038" s="214"/>
      <c r="BF3038" s="214"/>
      <c r="BG3038" s="214"/>
      <c r="BH3038" s="214"/>
      <c r="BI3038" s="214"/>
      <c r="BJ3038" s="214"/>
      <c r="BK3038" s="214"/>
      <c r="BL3038" s="214"/>
      <c r="BM3038" s="214"/>
      <c r="BN3038" s="214"/>
      <c r="BO3038" s="214"/>
      <c r="BP3038" s="214"/>
      <c r="BQ3038" s="214"/>
      <c r="BR3038" s="214"/>
      <c r="BS3038" s="214"/>
      <c r="BT3038" s="214"/>
      <c r="BU3038" s="214"/>
      <c r="BV3038" s="214"/>
      <c r="BW3038" s="214"/>
      <c r="BX3038" s="214"/>
      <c r="BY3038" s="214"/>
      <c r="BZ3038" s="214"/>
      <c r="CA3038" s="214"/>
      <c r="CB3038" s="214"/>
      <c r="CC3038" s="214"/>
      <c r="CD3038" s="214"/>
      <c r="CE3038" s="230"/>
      <c r="CF3038" s="230"/>
      <c r="CG3038" s="230"/>
      <c r="CH3038" s="253"/>
      <c r="CI3038" s="76" t="str">
        <f t="shared" si="1307"/>
        <v>R11Mendon Heater</v>
      </c>
      <c r="CJ3038" s="230"/>
      <c r="CK3038" s="230"/>
      <c r="CL3038" s="230"/>
      <c r="CM3038" s="231"/>
    </row>
    <row r="3039" spans="1:91">
      <c r="A3039" s="464"/>
      <c r="B3039" s="464"/>
      <c r="C3039" s="662" t="s">
        <v>1234</v>
      </c>
      <c r="D3039" s="689"/>
      <c r="E3039" s="422"/>
      <c r="F3039" s="422"/>
      <c r="G3039" s="461"/>
      <c r="H3039" s="678"/>
      <c r="I3039" s="462"/>
      <c r="J3039" s="462"/>
      <c r="K3039" s="422"/>
      <c r="L3039" s="655"/>
      <c r="M3039" s="422"/>
      <c r="N3039" s="463"/>
      <c r="O3039" s="463"/>
      <c r="P3039" s="689"/>
      <c r="Q3039" s="461"/>
      <c r="R3039" s="491"/>
      <c r="S3039" s="491"/>
      <c r="T3039" s="491"/>
      <c r="U3039" s="214">
        <f t="shared" si="1309"/>
        <v>0</v>
      </c>
      <c r="V3039" s="214">
        <f t="shared" si="1309"/>
        <v>1300.3759229166701</v>
      </c>
      <c r="W3039" s="214">
        <f t="shared" si="1309"/>
        <v>0</v>
      </c>
      <c r="X3039" s="214">
        <f t="shared" si="1309"/>
        <v>1300.3759229166701</v>
      </c>
      <c r="Y3039" s="214">
        <f t="shared" si="1309"/>
        <v>0</v>
      </c>
      <c r="Z3039" s="214">
        <f t="shared" si="1309"/>
        <v>876.44128000000001</v>
      </c>
      <c r="AA3039" s="214">
        <f t="shared" si="1309"/>
        <v>0</v>
      </c>
      <c r="AB3039" s="214">
        <f t="shared" si="1309"/>
        <v>876.44128000000001</v>
      </c>
      <c r="AC3039" s="214">
        <f t="shared" si="1309"/>
        <v>1090.4000100000001</v>
      </c>
      <c r="AD3039" s="214">
        <f t="shared" si="1309"/>
        <v>1369.7416899999998</v>
      </c>
      <c r="AE3039" s="214">
        <f t="shared" si="1310"/>
        <v>1582.4357599999998</v>
      </c>
      <c r="AF3039" s="214">
        <f t="shared" si="1310"/>
        <v>1781.21965</v>
      </c>
      <c r="AG3039" s="214">
        <f t="shared" si="1310"/>
        <v>1765.3051800000001</v>
      </c>
      <c r="AH3039" s="214">
        <f t="shared" si="1310"/>
        <v>1640.58015</v>
      </c>
      <c r="AI3039" s="214">
        <f t="shared" si="1310"/>
        <v>1475.88141</v>
      </c>
      <c r="AJ3039" s="214">
        <f t="shared" si="1310"/>
        <v>1302.81378</v>
      </c>
      <c r="AK3039" s="214">
        <f t="shared" si="1310"/>
        <v>1110.01241</v>
      </c>
      <c r="AL3039" s="214">
        <f t="shared" si="1310"/>
        <v>938.54259999999999</v>
      </c>
      <c r="AM3039" s="214">
        <f t="shared" si="1310"/>
        <v>812.65415000000007</v>
      </c>
      <c r="AN3039" s="214">
        <f t="shared" si="1310"/>
        <v>841.90364999999997</v>
      </c>
      <c r="AO3039" s="214">
        <f t="shared" si="1310"/>
        <v>876.44128000000001</v>
      </c>
      <c r="AP3039" s="214"/>
      <c r="AQ3039" s="214"/>
      <c r="AR3039" s="214"/>
      <c r="AS3039" s="214"/>
      <c r="AT3039" s="214"/>
      <c r="AU3039" s="214"/>
      <c r="AV3039" s="214"/>
      <c r="AW3039" s="214"/>
      <c r="AX3039" s="214"/>
      <c r="AY3039" s="214"/>
      <c r="AZ3039" s="214"/>
      <c r="BA3039" s="214"/>
      <c r="BB3039" s="214"/>
      <c r="BC3039" s="214"/>
      <c r="BD3039" s="214"/>
      <c r="BE3039" s="214"/>
      <c r="BF3039" s="214"/>
      <c r="BG3039" s="214"/>
      <c r="BH3039" s="214"/>
      <c r="BI3039" s="214"/>
      <c r="BJ3039" s="214"/>
      <c r="BK3039" s="214"/>
      <c r="BL3039" s="214"/>
      <c r="BM3039" s="214"/>
      <c r="BN3039" s="214"/>
      <c r="BO3039" s="214"/>
      <c r="BP3039" s="214"/>
      <c r="BQ3039" s="214"/>
      <c r="BR3039" s="214"/>
      <c r="BS3039" s="214"/>
      <c r="BT3039" s="214"/>
      <c r="BU3039" s="214"/>
      <c r="BV3039" s="214"/>
      <c r="BW3039" s="214"/>
      <c r="BX3039" s="214"/>
      <c r="BY3039" s="214"/>
      <c r="BZ3039" s="214"/>
      <c r="CA3039" s="214"/>
      <c r="CB3039" s="214"/>
      <c r="CC3039" s="214"/>
      <c r="CD3039" s="214"/>
      <c r="CE3039" s="230"/>
      <c r="CF3039" s="230"/>
      <c r="CG3039" s="230"/>
      <c r="CH3039" s="253"/>
      <c r="CI3039" s="76" t="str">
        <f t="shared" si="1307"/>
        <v>R11Merchant Function Charge-Gas</v>
      </c>
      <c r="CJ3039" s="230"/>
      <c r="CK3039" s="230"/>
      <c r="CL3039" s="230"/>
      <c r="CM3039" s="231"/>
    </row>
    <row r="3040" spans="1:91">
      <c r="A3040" s="464"/>
      <c r="B3040" s="464"/>
      <c r="C3040" s="662" t="s">
        <v>2201</v>
      </c>
      <c r="D3040" s="689"/>
      <c r="E3040" s="422"/>
      <c r="F3040" s="422"/>
      <c r="G3040" s="461"/>
      <c r="H3040" s="678"/>
      <c r="I3040" s="462"/>
      <c r="J3040" s="462"/>
      <c r="K3040" s="422"/>
      <c r="L3040" s="655"/>
      <c r="M3040" s="422"/>
      <c r="N3040" s="463"/>
      <c r="O3040" s="463"/>
      <c r="P3040" s="689"/>
      <c r="Q3040" s="461"/>
      <c r="R3040" s="491"/>
      <c r="S3040" s="491"/>
      <c r="T3040" s="491"/>
      <c r="U3040" s="214">
        <f t="shared" si="1309"/>
        <v>-1397.0022179166699</v>
      </c>
      <c r="V3040" s="214">
        <f t="shared" si="1309"/>
        <v>-254.11084541666668</v>
      </c>
      <c r="W3040" s="214">
        <f t="shared" si="1309"/>
        <v>0</v>
      </c>
      <c r="X3040" s="214">
        <f t="shared" si="1309"/>
        <v>-1651.1130633333366</v>
      </c>
      <c r="Y3040" s="214">
        <f t="shared" si="1309"/>
        <v>-1445.1616000000001</v>
      </c>
      <c r="Z3040" s="214">
        <f t="shared" si="1309"/>
        <v>-262.62896000000001</v>
      </c>
      <c r="AA3040" s="214">
        <f t="shared" si="1309"/>
        <v>0</v>
      </c>
      <c r="AB3040" s="214">
        <f t="shared" si="1309"/>
        <v>-1707.7905600000001</v>
      </c>
      <c r="AC3040" s="214">
        <f t="shared" si="1309"/>
        <v>-1535.9616799999999</v>
      </c>
      <c r="AD3040" s="214">
        <f t="shared" si="1309"/>
        <v>-1561.9755400000001</v>
      </c>
      <c r="AE3040" s="214">
        <f t="shared" si="1310"/>
        <v>-1587.9893800000002</v>
      </c>
      <c r="AF3040" s="214">
        <f t="shared" si="1310"/>
        <v>-1614.0032400000002</v>
      </c>
      <c r="AG3040" s="214">
        <f t="shared" si="1310"/>
        <v>-1640.0170799999999</v>
      </c>
      <c r="AH3040" s="214">
        <f t="shared" si="1310"/>
        <v>-1666.0309199999997</v>
      </c>
      <c r="AI3040" s="214">
        <f t="shared" si="1310"/>
        <v>-1692.0447799999999</v>
      </c>
      <c r="AJ3040" s="214">
        <f t="shared" si="1310"/>
        <v>-1718.05864</v>
      </c>
      <c r="AK3040" s="214">
        <f t="shared" si="1310"/>
        <v>-1744.07248</v>
      </c>
      <c r="AL3040" s="214">
        <f t="shared" si="1310"/>
        <v>-1629.74902</v>
      </c>
      <c r="AM3040" s="214">
        <f t="shared" si="1310"/>
        <v>-1655.76286</v>
      </c>
      <c r="AN3040" s="214">
        <f t="shared" si="1310"/>
        <v>-1681.7767000000003</v>
      </c>
      <c r="AO3040" s="214">
        <f t="shared" si="1310"/>
        <v>-1707.7905600000001</v>
      </c>
      <c r="AP3040" s="214"/>
      <c r="AQ3040" s="214"/>
      <c r="AR3040" s="214"/>
      <c r="AS3040" s="76" t="s">
        <v>3955</v>
      </c>
      <c r="AT3040" s="230"/>
      <c r="AU3040" s="230"/>
      <c r="AV3040" s="230"/>
      <c r="AW3040" s="231"/>
      <c r="CI3040" s="76" t="str">
        <f t="shared" si="1307"/>
        <v>R11Mortgage Recording Tax</v>
      </c>
    </row>
    <row r="3041" spans="1:91">
      <c r="A3041" s="464"/>
      <c r="B3041" s="464"/>
      <c r="C3041" s="662" t="s">
        <v>1141</v>
      </c>
      <c r="D3041" s="689"/>
      <c r="E3041" s="422"/>
      <c r="F3041" s="422"/>
      <c r="G3041" s="461"/>
      <c r="H3041" s="678"/>
      <c r="I3041" s="462"/>
      <c r="J3041" s="462"/>
      <c r="K3041" s="422"/>
      <c r="L3041" s="655"/>
      <c r="M3041" s="422"/>
      <c r="N3041" s="463"/>
      <c r="O3041" s="463"/>
      <c r="P3041" s="689"/>
      <c r="Q3041" s="461"/>
      <c r="R3041" s="491"/>
      <c r="S3041" s="491"/>
      <c r="T3041" s="491"/>
      <c r="U3041" s="214">
        <f t="shared" si="1309"/>
        <v>1752.019261250003</v>
      </c>
      <c r="V3041" s="214">
        <f t="shared" si="1309"/>
        <v>0</v>
      </c>
      <c r="W3041" s="214">
        <f t="shared" si="1309"/>
        <v>0</v>
      </c>
      <c r="X3041" s="214">
        <f t="shared" si="1309"/>
        <v>1752.019261250003</v>
      </c>
      <c r="Y3041" s="214">
        <f t="shared" si="1309"/>
        <v>1179.19714</v>
      </c>
      <c r="Z3041" s="214">
        <f t="shared" si="1309"/>
        <v>0</v>
      </c>
      <c r="AA3041" s="214">
        <f t="shared" si="1309"/>
        <v>0</v>
      </c>
      <c r="AB3041" s="214">
        <f t="shared" si="1309"/>
        <v>1179.19714</v>
      </c>
      <c r="AC3041" s="214">
        <f t="shared" si="1309"/>
        <v>468.77735000000001</v>
      </c>
      <c r="AD3041" s="214">
        <f t="shared" si="1309"/>
        <v>5122.9528699999992</v>
      </c>
      <c r="AE3041" s="214">
        <f t="shared" si="1310"/>
        <v>6408.1219700000001</v>
      </c>
      <c r="AF3041" s="214">
        <f t="shared" si="1310"/>
        <v>8633.7641599999988</v>
      </c>
      <c r="AG3041" s="214">
        <f t="shared" si="1310"/>
        <v>2662.7959199999996</v>
      </c>
      <c r="AH3041" s="214">
        <f t="shared" si="1310"/>
        <v>3560.4297000000001</v>
      </c>
      <c r="AI3041" s="214">
        <f t="shared" si="1310"/>
        <v>26.863339999999997</v>
      </c>
      <c r="AJ3041" s="214">
        <f t="shared" si="1310"/>
        <v>2.6335600000000001</v>
      </c>
      <c r="AK3041" s="214">
        <f t="shared" si="1310"/>
        <v>-2151.0145400000001</v>
      </c>
      <c r="AL3041" s="214">
        <f t="shared" si="1310"/>
        <v>-1483.24164</v>
      </c>
      <c r="AM3041" s="214">
        <f t="shared" si="1310"/>
        <v>-3126.7384499999998</v>
      </c>
      <c r="AN3041" s="214">
        <f t="shared" si="1310"/>
        <v>543.67700000000002</v>
      </c>
      <c r="AO3041" s="214">
        <f t="shared" si="1310"/>
        <v>1179.19714</v>
      </c>
      <c r="AP3041" s="214"/>
      <c r="AQ3041" s="214"/>
      <c r="AR3041" s="214"/>
      <c r="AS3041" s="214"/>
      <c r="AT3041" s="214"/>
      <c r="AU3041" s="214"/>
      <c r="AV3041" s="214"/>
      <c r="AW3041" s="214"/>
      <c r="AX3041" s="214"/>
      <c r="AY3041" s="214"/>
      <c r="AZ3041" s="214"/>
      <c r="BA3041" s="214"/>
      <c r="BB3041" s="214"/>
      <c r="BC3041" s="214"/>
      <c r="BD3041" s="214"/>
      <c r="BE3041" s="214"/>
      <c r="BF3041" s="214"/>
      <c r="BG3041" s="214"/>
      <c r="BH3041" s="214"/>
      <c r="BI3041" s="214"/>
      <c r="BJ3041" s="214"/>
      <c r="BK3041" s="214"/>
      <c r="BL3041" s="214"/>
      <c r="BM3041" s="214"/>
      <c r="BN3041" s="214"/>
      <c r="BO3041" s="214"/>
      <c r="BP3041" s="214"/>
      <c r="BQ3041" s="214"/>
      <c r="BR3041" s="214"/>
      <c r="BS3041" s="214"/>
      <c r="BT3041" s="214"/>
      <c r="BU3041" s="214"/>
      <c r="BV3041" s="214"/>
      <c r="BW3041" s="214"/>
      <c r="BX3041" s="214"/>
      <c r="BY3041" s="214"/>
      <c r="BZ3041" s="214"/>
      <c r="CA3041" s="214"/>
      <c r="CB3041" s="214"/>
      <c r="CC3041" s="214"/>
      <c r="CD3041" s="214"/>
      <c r="CE3041" s="230"/>
      <c r="CF3041" s="230"/>
      <c r="CG3041" s="230"/>
      <c r="CH3041" s="253"/>
      <c r="CI3041" s="76" t="str">
        <f t="shared" si="1307"/>
        <v>R11NBC True-up</v>
      </c>
      <c r="CJ3041" s="230"/>
      <c r="CK3041" s="230"/>
      <c r="CL3041" s="230"/>
      <c r="CM3041" s="231"/>
    </row>
    <row r="3042" spans="1:91">
      <c r="A3042" s="464"/>
      <c r="B3042" s="464"/>
      <c r="C3042" s="662" t="s">
        <v>4103</v>
      </c>
      <c r="D3042" s="689"/>
      <c r="E3042" s="422"/>
      <c r="F3042" s="422"/>
      <c r="G3042" s="461"/>
      <c r="H3042" s="678"/>
      <c r="I3042" s="462"/>
      <c r="J3042" s="462"/>
      <c r="K3042" s="422"/>
      <c r="L3042" s="655"/>
      <c r="M3042" s="422"/>
      <c r="N3042" s="463"/>
      <c r="O3042" s="463"/>
      <c r="P3042" s="689"/>
      <c r="Q3042" s="461"/>
      <c r="R3042" s="491"/>
      <c r="S3042" s="491"/>
      <c r="T3042" s="491"/>
      <c r="U3042" s="214">
        <f t="shared" si="1309"/>
        <v>3824.1991599999997</v>
      </c>
      <c r="V3042" s="214">
        <f t="shared" si="1309"/>
        <v>40.332129999999999</v>
      </c>
      <c r="W3042" s="214">
        <f t="shared" si="1309"/>
        <v>0</v>
      </c>
      <c r="X3042" s="214">
        <f t="shared" si="1309"/>
        <v>3864.5312899999994</v>
      </c>
      <c r="Y3042" s="214">
        <f t="shared" si="1309"/>
        <v>3824.1991599999997</v>
      </c>
      <c r="Z3042" s="214">
        <f t="shared" si="1309"/>
        <v>26.466390000000001</v>
      </c>
      <c r="AA3042" s="214">
        <f t="shared" si="1309"/>
        <v>0</v>
      </c>
      <c r="AB3042" s="214">
        <f t="shared" si="1309"/>
        <v>3850.6655500000002</v>
      </c>
      <c r="AC3042" s="214">
        <f t="shared" si="1309"/>
        <v>3866.5121100000001</v>
      </c>
      <c r="AD3042" s="214">
        <f t="shared" si="1309"/>
        <v>3866.5121100000001</v>
      </c>
      <c r="AE3042" s="214">
        <f t="shared" si="1310"/>
        <v>3866.5121100000001</v>
      </c>
      <c r="AF3042" s="214">
        <f t="shared" si="1310"/>
        <v>3866.5121100000001</v>
      </c>
      <c r="AG3042" s="214">
        <f t="shared" si="1310"/>
        <v>3866.5121100000001</v>
      </c>
      <c r="AH3042" s="214">
        <f t="shared" si="1310"/>
        <v>3866.5121100000001</v>
      </c>
      <c r="AI3042" s="214">
        <f t="shared" si="1310"/>
        <v>3866.5121100000001</v>
      </c>
      <c r="AJ3042" s="214">
        <f t="shared" si="1310"/>
        <v>3866.5121100000001</v>
      </c>
      <c r="AK3042" s="214">
        <f t="shared" si="1310"/>
        <v>3866.5121100000001</v>
      </c>
      <c r="AL3042" s="214">
        <f t="shared" si="1310"/>
        <v>3866.5121100000001</v>
      </c>
      <c r="AM3042" s="214">
        <f t="shared" si="1310"/>
        <v>3866.5121100000001</v>
      </c>
      <c r="AN3042" s="214">
        <f t="shared" si="1310"/>
        <v>3850.6655500000002</v>
      </c>
      <c r="AO3042" s="214">
        <f t="shared" si="1310"/>
        <v>3850.6655500000002</v>
      </c>
      <c r="AP3042" s="214"/>
      <c r="AQ3042" s="214"/>
      <c r="AR3042" s="214"/>
      <c r="AS3042" s="214"/>
      <c r="AT3042" s="214"/>
      <c r="AU3042" s="214"/>
      <c r="AV3042" s="214"/>
      <c r="AW3042" s="214"/>
      <c r="AX3042" s="214"/>
      <c r="AY3042" s="214"/>
      <c r="AZ3042" s="214"/>
      <c r="BA3042" s="214"/>
      <c r="BB3042" s="214"/>
      <c r="BC3042" s="214"/>
      <c r="BD3042" s="214"/>
      <c r="BE3042" s="214"/>
      <c r="BF3042" s="214"/>
      <c r="BG3042" s="214"/>
      <c r="BH3042" s="214"/>
      <c r="BI3042" s="214"/>
      <c r="BJ3042" s="214"/>
      <c r="BK3042" s="214"/>
      <c r="BL3042" s="214"/>
      <c r="BM3042" s="214"/>
      <c r="BN3042" s="214"/>
      <c r="BO3042" s="214"/>
      <c r="BP3042" s="214"/>
      <c r="BQ3042" s="214"/>
      <c r="BR3042" s="214"/>
      <c r="BS3042" s="214"/>
      <c r="BT3042" s="214"/>
      <c r="BU3042" s="214"/>
      <c r="BV3042" s="214"/>
      <c r="BW3042" s="214"/>
      <c r="BX3042" s="214"/>
      <c r="BY3042" s="214"/>
      <c r="BZ3042" s="214"/>
      <c r="CA3042" s="214"/>
      <c r="CB3042" s="214"/>
      <c r="CC3042" s="214"/>
      <c r="CD3042" s="214"/>
      <c r="CE3042" s="230"/>
      <c r="CF3042" s="230"/>
      <c r="CG3042" s="230"/>
      <c r="CH3042" s="253"/>
      <c r="CI3042" s="76" t="str">
        <f t="shared" si="1307"/>
        <v>R11Net Plant Reconciliation</v>
      </c>
      <c r="CJ3042" s="230"/>
      <c r="CK3042" s="230"/>
      <c r="CL3042" s="230"/>
      <c r="CM3042" s="231"/>
    </row>
    <row r="3043" spans="1:91">
      <c r="A3043" s="464"/>
      <c r="B3043" s="464"/>
      <c r="C3043" s="662" t="s">
        <v>1145</v>
      </c>
      <c r="D3043" s="689"/>
      <c r="E3043" s="422"/>
      <c r="F3043" s="422"/>
      <c r="G3043" s="461"/>
      <c r="H3043" s="678"/>
      <c r="I3043" s="462"/>
      <c r="J3043" s="462"/>
      <c r="K3043" s="422"/>
      <c r="L3043" s="655"/>
      <c r="M3043" s="422"/>
      <c r="N3043" s="463"/>
      <c r="O3043" s="463"/>
      <c r="P3043" s="689"/>
      <c r="Q3043" s="461"/>
      <c r="R3043" s="491"/>
      <c r="S3043" s="491"/>
      <c r="T3043" s="491"/>
      <c r="U3043" s="214">
        <f t="shared" si="1309"/>
        <v>2854.6476925000034</v>
      </c>
      <c r="V3043" s="214">
        <f t="shared" si="1309"/>
        <v>0</v>
      </c>
      <c r="W3043" s="214">
        <f t="shared" si="1309"/>
        <v>0</v>
      </c>
      <c r="X3043" s="214">
        <f t="shared" si="1309"/>
        <v>2854.6476925000034</v>
      </c>
      <c r="Y3043" s="214">
        <f t="shared" si="1309"/>
        <v>3098.3861000000002</v>
      </c>
      <c r="Z3043" s="214">
        <f t="shared" si="1309"/>
        <v>0</v>
      </c>
      <c r="AA3043" s="214">
        <f t="shared" si="1309"/>
        <v>0</v>
      </c>
      <c r="AB3043" s="214">
        <f t="shared" si="1309"/>
        <v>3098.3861000000002</v>
      </c>
      <c r="AC3043" s="214">
        <f t="shared" si="1309"/>
        <v>1606.9479799999997</v>
      </c>
      <c r="AD3043" s="214">
        <f t="shared" si="1309"/>
        <v>2192.3331299999995</v>
      </c>
      <c r="AE3043" s="214">
        <f t="shared" si="1310"/>
        <v>2729.9422800000002</v>
      </c>
      <c r="AF3043" s="214">
        <f t="shared" si="1310"/>
        <v>2903.44013</v>
      </c>
      <c r="AG3043" s="214">
        <f t="shared" si="1310"/>
        <v>2964.76566</v>
      </c>
      <c r="AH3043" s="214">
        <f t="shared" si="1310"/>
        <v>2964.76566</v>
      </c>
      <c r="AI3043" s="214">
        <f t="shared" si="1310"/>
        <v>2990.3805000000007</v>
      </c>
      <c r="AJ3043" s="214">
        <f t="shared" si="1310"/>
        <v>2998.6939499999999</v>
      </c>
      <c r="AK3043" s="214">
        <f t="shared" si="1310"/>
        <v>3000.1982100000005</v>
      </c>
      <c r="AL3043" s="214">
        <f t="shared" si="1310"/>
        <v>3032.5806200000002</v>
      </c>
      <c r="AM3043" s="214">
        <f t="shared" si="1310"/>
        <v>3032.5806200000002</v>
      </c>
      <c r="AN3043" s="214">
        <f t="shared" si="1310"/>
        <v>3093.4245100000003</v>
      </c>
      <c r="AO3043" s="214">
        <f t="shared" si="1310"/>
        <v>3098.3861000000002</v>
      </c>
      <c r="AP3043" s="214"/>
      <c r="AQ3043" s="214"/>
      <c r="AR3043" s="214"/>
      <c r="AS3043" s="214"/>
      <c r="AT3043" s="214"/>
      <c r="AU3043" s="214"/>
      <c r="AV3043" s="214"/>
      <c r="AW3043" s="214"/>
      <c r="AX3043" s="214"/>
      <c r="AY3043" s="214"/>
      <c r="AZ3043" s="214"/>
      <c r="BA3043" s="214"/>
      <c r="BB3043" s="214"/>
      <c r="BC3043" s="214"/>
      <c r="BD3043" s="214"/>
      <c r="BE3043" s="214"/>
      <c r="BF3043" s="214"/>
      <c r="BG3043" s="214"/>
      <c r="BH3043" s="214"/>
      <c r="BI3043" s="214"/>
      <c r="BJ3043" s="214"/>
      <c r="BK3043" s="214"/>
      <c r="BL3043" s="214"/>
      <c r="BM3043" s="214"/>
      <c r="BN3043" s="214"/>
      <c r="BO3043" s="214"/>
      <c r="BP3043" s="214"/>
      <c r="BQ3043" s="214"/>
      <c r="BR3043" s="214"/>
      <c r="BS3043" s="214"/>
      <c r="BT3043" s="214"/>
      <c r="BU3043" s="214"/>
      <c r="BV3043" s="214"/>
      <c r="BW3043" s="214"/>
      <c r="BX3043" s="214"/>
      <c r="BY3043" s="214"/>
      <c r="BZ3043" s="214"/>
      <c r="CA3043" s="214"/>
      <c r="CB3043" s="214"/>
      <c r="CC3043" s="214"/>
      <c r="CD3043" s="214"/>
      <c r="CE3043" s="230"/>
      <c r="CF3043" s="230"/>
      <c r="CG3043" s="230"/>
      <c r="CH3043" s="253"/>
      <c r="CI3043" s="76" t="str">
        <f t="shared" si="1307"/>
        <v>R11NM2 Sale</v>
      </c>
      <c r="CJ3043" s="230"/>
      <c r="CK3043" s="230"/>
      <c r="CL3043" s="230"/>
      <c r="CM3043" s="231"/>
    </row>
    <row r="3044" spans="1:91" s="41" customFormat="1">
      <c r="A3044" s="1009"/>
      <c r="B3044" s="1009"/>
      <c r="C3044" s="1010" t="s">
        <v>4456</v>
      </c>
      <c r="D3044" s="1011"/>
      <c r="E3044" s="1012"/>
      <c r="F3044" s="1012"/>
      <c r="G3044" s="1013"/>
      <c r="H3044" s="1014"/>
      <c r="I3044" s="1015"/>
      <c r="J3044" s="1015"/>
      <c r="K3044" s="1012"/>
      <c r="L3044" s="1016"/>
      <c r="M3044" s="1012"/>
      <c r="N3044" s="1017"/>
      <c r="O3044" s="1017"/>
      <c r="P3044" s="1011"/>
      <c r="Q3044" s="1013"/>
      <c r="R3044" s="1018"/>
      <c r="S3044" s="1018"/>
      <c r="T3044" s="1018"/>
      <c r="U3044" s="165">
        <f t="shared" ref="U3044:AB3053" si="1312">SUMIF($AR:$AR,$CI3044,U:U)</f>
        <v>0</v>
      </c>
      <c r="V3044" s="165">
        <f t="shared" si="1312"/>
        <v>0</v>
      </c>
      <c r="W3044" s="165">
        <f t="shared" si="1312"/>
        <v>0</v>
      </c>
      <c r="X3044" s="165">
        <f t="shared" si="1312"/>
        <v>0</v>
      </c>
      <c r="Y3044" s="165">
        <f t="shared" si="1312"/>
        <v>0</v>
      </c>
      <c r="Z3044" s="165">
        <f t="shared" si="1312"/>
        <v>0</v>
      </c>
      <c r="AA3044" s="165">
        <f t="shared" si="1312"/>
        <v>0</v>
      </c>
      <c r="AB3044" s="165">
        <f t="shared" si="1312"/>
        <v>0</v>
      </c>
      <c r="AC3044" s="165"/>
      <c r="AD3044" s="165"/>
      <c r="AE3044" s="165"/>
      <c r="AF3044" s="165"/>
      <c r="AG3044" s="165"/>
      <c r="AH3044" s="165"/>
      <c r="AI3044" s="165">
        <f t="shared" ref="AI3044:AO3053" si="1313">SUMIF($AR:$AR,$CI3044,AI:AI)</f>
        <v>0</v>
      </c>
      <c r="AJ3044" s="165">
        <f t="shared" si="1313"/>
        <v>0</v>
      </c>
      <c r="AK3044" s="165">
        <f t="shared" si="1313"/>
        <v>0</v>
      </c>
      <c r="AL3044" s="165">
        <f t="shared" si="1313"/>
        <v>0</v>
      </c>
      <c r="AM3044" s="165">
        <f t="shared" si="1313"/>
        <v>0</v>
      </c>
      <c r="AN3044" s="165">
        <f t="shared" si="1313"/>
        <v>0</v>
      </c>
      <c r="AO3044" s="165">
        <f t="shared" si="1313"/>
        <v>0</v>
      </c>
      <c r="AP3044" s="165"/>
      <c r="AQ3044" s="165"/>
      <c r="AR3044" s="165"/>
      <c r="AS3044" s="165"/>
      <c r="AT3044" s="165"/>
      <c r="AU3044" s="165"/>
      <c r="AV3044" s="165"/>
      <c r="AW3044" s="165"/>
      <c r="AX3044" s="165"/>
      <c r="AY3044" s="165"/>
      <c r="AZ3044" s="165"/>
      <c r="BA3044" s="165"/>
      <c r="BB3044" s="165"/>
      <c r="BC3044" s="165"/>
      <c r="BD3044" s="165"/>
      <c r="BE3044" s="165"/>
      <c r="BF3044" s="165"/>
      <c r="BG3044" s="165"/>
      <c r="BH3044" s="165"/>
      <c r="BI3044" s="165"/>
      <c r="BJ3044" s="165"/>
      <c r="BK3044" s="165"/>
      <c r="BL3044" s="165"/>
      <c r="BM3044" s="165"/>
      <c r="BN3044" s="165"/>
      <c r="BO3044" s="165"/>
      <c r="BP3044" s="165"/>
      <c r="BQ3044" s="165"/>
      <c r="BR3044" s="165"/>
      <c r="BS3044" s="165"/>
      <c r="BT3044" s="165"/>
      <c r="BU3044" s="165"/>
      <c r="BV3044" s="165"/>
      <c r="BW3044" s="165"/>
      <c r="BX3044" s="165"/>
      <c r="BY3044" s="165"/>
      <c r="BZ3044" s="165"/>
      <c r="CA3044" s="165"/>
      <c r="CB3044" s="165"/>
      <c r="CC3044" s="165"/>
      <c r="CD3044" s="165"/>
      <c r="CE3044" s="1019"/>
      <c r="CF3044" s="1019"/>
      <c r="CG3044" s="1019"/>
      <c r="CH3044" s="253"/>
      <c r="CI3044" s="76" t="str">
        <f t="shared" si="1307"/>
        <v>R11NM II - Related</v>
      </c>
      <c r="CJ3044" s="1019"/>
      <c r="CK3044" s="1019"/>
      <c r="CL3044" s="1019"/>
      <c r="CM3044" s="1020"/>
    </row>
    <row r="3045" spans="1:91" s="41" customFormat="1">
      <c r="A3045" s="1009"/>
      <c r="B3045" s="1009"/>
      <c r="C3045" s="1010" t="s">
        <v>1857</v>
      </c>
      <c r="D3045" s="1011"/>
      <c r="E3045" s="1012"/>
      <c r="F3045" s="1012"/>
      <c r="G3045" s="1013"/>
      <c r="H3045" s="1014"/>
      <c r="I3045" s="1015"/>
      <c r="J3045" s="1015"/>
      <c r="K3045" s="1012"/>
      <c r="L3045" s="1016"/>
      <c r="M3045" s="1012"/>
      <c r="N3045" s="1017"/>
      <c r="O3045" s="1017"/>
      <c r="P3045" s="1011"/>
      <c r="Q3045" s="1013"/>
      <c r="R3045" s="1018"/>
      <c r="S3045" s="1018"/>
      <c r="T3045" s="1018"/>
      <c r="U3045" s="165">
        <f t="shared" si="1312"/>
        <v>0</v>
      </c>
      <c r="V3045" s="165">
        <f t="shared" si="1312"/>
        <v>0</v>
      </c>
      <c r="W3045" s="165">
        <f t="shared" si="1312"/>
        <v>0</v>
      </c>
      <c r="X3045" s="165">
        <f t="shared" si="1312"/>
        <v>0</v>
      </c>
      <c r="Y3045" s="165">
        <f t="shared" si="1312"/>
        <v>0</v>
      </c>
      <c r="Z3045" s="165">
        <f t="shared" si="1312"/>
        <v>0</v>
      </c>
      <c r="AA3045" s="165">
        <f t="shared" si="1312"/>
        <v>0</v>
      </c>
      <c r="AB3045" s="165">
        <f t="shared" si="1312"/>
        <v>0</v>
      </c>
      <c r="AC3045" s="165">
        <f t="shared" ref="AC3045:AH3048" si="1314">SUMIF($AR:$AR,$CI3045,AC:AC)</f>
        <v>0</v>
      </c>
      <c r="AD3045" s="165">
        <f t="shared" si="1314"/>
        <v>0</v>
      </c>
      <c r="AE3045" s="165">
        <f t="shared" si="1314"/>
        <v>0</v>
      </c>
      <c r="AF3045" s="165">
        <f t="shared" si="1314"/>
        <v>0</v>
      </c>
      <c r="AG3045" s="165">
        <f t="shared" si="1314"/>
        <v>0</v>
      </c>
      <c r="AH3045" s="165">
        <f t="shared" si="1314"/>
        <v>0</v>
      </c>
      <c r="AI3045" s="165">
        <f t="shared" si="1313"/>
        <v>0</v>
      </c>
      <c r="AJ3045" s="165">
        <f t="shared" si="1313"/>
        <v>0</v>
      </c>
      <c r="AK3045" s="165">
        <f t="shared" si="1313"/>
        <v>0</v>
      </c>
      <c r="AL3045" s="165">
        <f t="shared" si="1313"/>
        <v>0</v>
      </c>
      <c r="AM3045" s="165">
        <f t="shared" si="1313"/>
        <v>0</v>
      </c>
      <c r="AN3045" s="165">
        <f t="shared" si="1313"/>
        <v>0</v>
      </c>
      <c r="AO3045" s="165">
        <f t="shared" si="1313"/>
        <v>0</v>
      </c>
      <c r="AP3045" s="165"/>
      <c r="AQ3045" s="165"/>
      <c r="AR3045" s="165"/>
      <c r="AS3045" s="165"/>
      <c r="AT3045" s="165"/>
      <c r="AU3045" s="165"/>
      <c r="AV3045" s="165"/>
      <c r="AW3045" s="165"/>
      <c r="AX3045" s="165"/>
      <c r="AY3045" s="165"/>
      <c r="AZ3045" s="165"/>
      <c r="BA3045" s="165"/>
      <c r="BB3045" s="165"/>
      <c r="BC3045" s="165"/>
      <c r="BD3045" s="165"/>
      <c r="BE3045" s="165"/>
      <c r="BF3045" s="165"/>
      <c r="BG3045" s="165"/>
      <c r="BH3045" s="165"/>
      <c r="BI3045" s="165"/>
      <c r="BJ3045" s="165"/>
      <c r="BK3045" s="165"/>
      <c r="BL3045" s="165"/>
      <c r="BM3045" s="165"/>
      <c r="BN3045" s="165"/>
      <c r="BO3045" s="165"/>
      <c r="BP3045" s="165"/>
      <c r="BQ3045" s="165"/>
      <c r="BR3045" s="165"/>
      <c r="BS3045" s="165"/>
      <c r="BT3045" s="165"/>
      <c r="BU3045" s="165"/>
      <c r="BV3045" s="165"/>
      <c r="BW3045" s="165"/>
      <c r="BX3045" s="165"/>
      <c r="BY3045" s="165"/>
      <c r="BZ3045" s="165"/>
      <c r="CA3045" s="165"/>
      <c r="CB3045" s="165"/>
      <c r="CC3045" s="165"/>
      <c r="CD3045" s="165"/>
      <c r="CE3045" s="1019"/>
      <c r="CF3045" s="1019"/>
      <c r="CG3045" s="1019"/>
      <c r="CH3045" s="253"/>
      <c r="CI3045" s="76" t="str">
        <f t="shared" si="1307"/>
        <v>R11Nuclear Decommissioning</v>
      </c>
      <c r="CJ3045" s="1019"/>
      <c r="CK3045" s="1019"/>
      <c r="CL3045" s="1019"/>
      <c r="CM3045" s="1020"/>
    </row>
    <row r="3046" spans="1:91" s="41" customFormat="1">
      <c r="A3046" s="1009"/>
      <c r="B3046" s="1009"/>
      <c r="C3046" s="1010" t="s">
        <v>1995</v>
      </c>
      <c r="D3046" s="1011"/>
      <c r="E3046" s="1012"/>
      <c r="F3046" s="1012"/>
      <c r="G3046" s="1013"/>
      <c r="H3046" s="1014"/>
      <c r="I3046" s="1015"/>
      <c r="J3046" s="1015"/>
      <c r="K3046" s="1012"/>
      <c r="L3046" s="1016"/>
      <c r="M3046" s="1012"/>
      <c r="N3046" s="1017"/>
      <c r="O3046" s="1017"/>
      <c r="P3046" s="1011"/>
      <c r="Q3046" s="1013"/>
      <c r="R3046" s="1018"/>
      <c r="S3046" s="1018"/>
      <c r="T3046" s="1018"/>
      <c r="U3046" s="165">
        <f t="shared" si="1312"/>
        <v>-582.00839999999994</v>
      </c>
      <c r="V3046" s="165">
        <f t="shared" si="1312"/>
        <v>-220.3539170833333</v>
      </c>
      <c r="W3046" s="165">
        <f t="shared" si="1312"/>
        <v>0</v>
      </c>
      <c r="X3046" s="165">
        <f t="shared" si="1312"/>
        <v>-802.36231708333321</v>
      </c>
      <c r="Y3046" s="165">
        <f t="shared" si="1312"/>
        <v>-582.00839999999994</v>
      </c>
      <c r="Z3046" s="165">
        <f t="shared" si="1312"/>
        <v>-220.50163000000001</v>
      </c>
      <c r="AA3046" s="165">
        <f t="shared" si="1312"/>
        <v>0</v>
      </c>
      <c r="AB3046" s="165">
        <f t="shared" si="1312"/>
        <v>-802.51002999999992</v>
      </c>
      <c r="AC3046" s="165">
        <f t="shared" si="1314"/>
        <v>-802.36979999999994</v>
      </c>
      <c r="AD3046" s="165">
        <f t="shared" si="1314"/>
        <v>-802.36979999999994</v>
      </c>
      <c r="AE3046" s="165">
        <f t="shared" si="1314"/>
        <v>-802.36979999999994</v>
      </c>
      <c r="AF3046" s="165">
        <f t="shared" si="1314"/>
        <v>-802.36979999999994</v>
      </c>
      <c r="AG3046" s="165">
        <f t="shared" si="1314"/>
        <v>-802.36979999999994</v>
      </c>
      <c r="AH3046" s="165">
        <f t="shared" si="1314"/>
        <v>-802.36979999999994</v>
      </c>
      <c r="AI3046" s="165">
        <f t="shared" si="1313"/>
        <v>-802.36979999999994</v>
      </c>
      <c r="AJ3046" s="165">
        <f t="shared" si="1313"/>
        <v>-802.36979999999994</v>
      </c>
      <c r="AK3046" s="165">
        <f t="shared" si="1313"/>
        <v>-802.36979999999994</v>
      </c>
      <c r="AL3046" s="165">
        <f t="shared" si="1313"/>
        <v>-802.21972999999991</v>
      </c>
      <c r="AM3046" s="165">
        <f t="shared" si="1313"/>
        <v>-802.21972999999991</v>
      </c>
      <c r="AN3046" s="165">
        <f t="shared" si="1313"/>
        <v>-802.51002999999992</v>
      </c>
      <c r="AO3046" s="165">
        <f t="shared" si="1313"/>
        <v>-802.51002999999992</v>
      </c>
      <c r="AP3046" s="165"/>
      <c r="AQ3046" s="165"/>
      <c r="AR3046" s="165"/>
      <c r="AS3046" s="165"/>
      <c r="AT3046" s="165"/>
      <c r="AU3046" s="165"/>
      <c r="AV3046" s="165"/>
      <c r="AW3046" s="165"/>
      <c r="AX3046" s="165"/>
      <c r="AY3046" s="165"/>
      <c r="AZ3046" s="165"/>
      <c r="BA3046" s="165"/>
      <c r="BB3046" s="165"/>
      <c r="BC3046" s="165"/>
      <c r="BD3046" s="165"/>
      <c r="BE3046" s="165"/>
      <c r="BF3046" s="165"/>
      <c r="BG3046" s="165"/>
      <c r="BH3046" s="165"/>
      <c r="BI3046" s="165"/>
      <c r="BJ3046" s="165"/>
      <c r="BK3046" s="165"/>
      <c r="BL3046" s="165"/>
      <c r="BM3046" s="165"/>
      <c r="BN3046" s="165"/>
      <c r="BO3046" s="165"/>
      <c r="BP3046" s="165"/>
      <c r="BQ3046" s="165"/>
      <c r="BR3046" s="165"/>
      <c r="BS3046" s="165"/>
      <c r="BT3046" s="165"/>
      <c r="BU3046" s="165"/>
      <c r="BV3046" s="165"/>
      <c r="BW3046" s="165"/>
      <c r="BX3046" s="165"/>
      <c r="BY3046" s="165"/>
      <c r="BZ3046" s="165"/>
      <c r="CA3046" s="165"/>
      <c r="CB3046" s="165"/>
      <c r="CC3046" s="165"/>
      <c r="CD3046" s="165"/>
      <c r="CE3046" s="1019"/>
      <c r="CF3046" s="1019"/>
      <c r="CG3046" s="1019"/>
      <c r="CH3046" s="253"/>
      <c r="CI3046" s="76" t="str">
        <f t="shared" si="1307"/>
        <v>R11NYS Income Tax / GRT Deferral</v>
      </c>
      <c r="CJ3046" s="1019"/>
      <c r="CK3046" s="1019"/>
      <c r="CL3046" s="1019"/>
      <c r="CM3046" s="1020"/>
    </row>
    <row r="3047" spans="1:91" s="41" customFormat="1">
      <c r="A3047" s="1009"/>
      <c r="B3047" s="1009"/>
      <c r="C3047" s="1010" t="s">
        <v>1126</v>
      </c>
      <c r="D3047" s="1011"/>
      <c r="E3047" s="1012"/>
      <c r="F3047" s="1012"/>
      <c r="G3047" s="1013"/>
      <c r="H3047" s="1014"/>
      <c r="I3047" s="1015"/>
      <c r="J3047" s="1015"/>
      <c r="K3047" s="1012"/>
      <c r="L3047" s="1016"/>
      <c r="M3047" s="1012"/>
      <c r="N3047" s="1017"/>
      <c r="O3047" s="1017"/>
      <c r="P3047" s="1011"/>
      <c r="Q3047" s="1013"/>
      <c r="R3047" s="1018"/>
      <c r="S3047" s="1018"/>
      <c r="T3047" s="1018"/>
      <c r="U3047" s="165">
        <f t="shared" si="1312"/>
        <v>72.055729999999997</v>
      </c>
      <c r="V3047" s="165">
        <f t="shared" si="1312"/>
        <v>44.037860000000002</v>
      </c>
      <c r="W3047" s="165">
        <f t="shared" si="1312"/>
        <v>0</v>
      </c>
      <c r="X3047" s="165">
        <f t="shared" si="1312"/>
        <v>116.09358999999999</v>
      </c>
      <c r="Y3047" s="165">
        <f t="shared" si="1312"/>
        <v>72.055729999999997</v>
      </c>
      <c r="Z3047" s="165">
        <f t="shared" si="1312"/>
        <v>44.037860000000002</v>
      </c>
      <c r="AA3047" s="165">
        <f t="shared" si="1312"/>
        <v>0</v>
      </c>
      <c r="AB3047" s="165">
        <f t="shared" si="1312"/>
        <v>116.09358999999999</v>
      </c>
      <c r="AC3047" s="165">
        <f t="shared" si="1314"/>
        <v>116.09358999999999</v>
      </c>
      <c r="AD3047" s="165">
        <f t="shared" si="1314"/>
        <v>116.09358999999999</v>
      </c>
      <c r="AE3047" s="165">
        <f t="shared" si="1314"/>
        <v>116.09358999999999</v>
      </c>
      <c r="AF3047" s="165">
        <f t="shared" si="1314"/>
        <v>116.09358999999999</v>
      </c>
      <c r="AG3047" s="165">
        <f t="shared" si="1314"/>
        <v>116.09358999999999</v>
      </c>
      <c r="AH3047" s="165">
        <f t="shared" si="1314"/>
        <v>116.09358999999999</v>
      </c>
      <c r="AI3047" s="165">
        <f t="shared" si="1313"/>
        <v>116.09358999999999</v>
      </c>
      <c r="AJ3047" s="165">
        <f t="shared" si="1313"/>
        <v>116.09358999999999</v>
      </c>
      <c r="AK3047" s="165">
        <f t="shared" si="1313"/>
        <v>116.09358999999999</v>
      </c>
      <c r="AL3047" s="165">
        <f t="shared" si="1313"/>
        <v>116.09358999999999</v>
      </c>
      <c r="AM3047" s="165">
        <f t="shared" si="1313"/>
        <v>116.09358999999999</v>
      </c>
      <c r="AN3047" s="165">
        <f t="shared" si="1313"/>
        <v>116.09358999999999</v>
      </c>
      <c r="AO3047" s="165">
        <f t="shared" si="1313"/>
        <v>116.09358999999999</v>
      </c>
      <c r="AP3047" s="165"/>
      <c r="AQ3047" s="165"/>
      <c r="AR3047" s="165"/>
      <c r="AS3047" s="165"/>
      <c r="AT3047" s="165"/>
      <c r="AU3047" s="165"/>
      <c r="AV3047" s="165"/>
      <c r="AW3047" s="165"/>
      <c r="AX3047" s="165"/>
      <c r="AY3047" s="165"/>
      <c r="AZ3047" s="165"/>
      <c r="BA3047" s="165"/>
      <c r="BB3047" s="165"/>
      <c r="BC3047" s="165"/>
      <c r="BD3047" s="165"/>
      <c r="BE3047" s="165"/>
      <c r="BF3047" s="165"/>
      <c r="BG3047" s="165"/>
      <c r="BH3047" s="165"/>
      <c r="BI3047" s="165"/>
      <c r="BJ3047" s="165"/>
      <c r="BK3047" s="165"/>
      <c r="BL3047" s="165"/>
      <c r="BM3047" s="165"/>
      <c r="BN3047" s="165"/>
      <c r="BO3047" s="165"/>
      <c r="BP3047" s="165"/>
      <c r="BQ3047" s="165"/>
      <c r="BR3047" s="165"/>
      <c r="BS3047" s="165"/>
      <c r="BT3047" s="165"/>
      <c r="BU3047" s="165"/>
      <c r="BV3047" s="165"/>
      <c r="BW3047" s="165"/>
      <c r="BX3047" s="165"/>
      <c r="BY3047" s="165"/>
      <c r="BZ3047" s="165"/>
      <c r="CA3047" s="165"/>
      <c r="CB3047" s="165"/>
      <c r="CC3047" s="165"/>
      <c r="CD3047" s="165"/>
      <c r="CE3047" s="1019"/>
      <c r="CF3047" s="1019"/>
      <c r="CG3047" s="1019"/>
      <c r="CH3047" s="253"/>
      <c r="CI3047" s="76" t="str">
        <f t="shared" si="1307"/>
        <v>R11NYS Tax Audit</v>
      </c>
      <c r="CJ3047" s="1019"/>
      <c r="CK3047" s="1019"/>
      <c r="CL3047" s="1019"/>
      <c r="CM3047" s="1020"/>
    </row>
    <row r="3048" spans="1:91" s="41" customFormat="1">
      <c r="A3048" s="1009"/>
      <c r="B3048" s="1009"/>
      <c r="C3048" s="1010" t="s">
        <v>1125</v>
      </c>
      <c r="D3048" s="1011"/>
      <c r="E3048" s="1012"/>
      <c r="F3048" s="1012"/>
      <c r="G3048" s="1013"/>
      <c r="H3048" s="1014"/>
      <c r="I3048" s="1015"/>
      <c r="J3048" s="1015"/>
      <c r="K3048" s="1012"/>
      <c r="L3048" s="1016"/>
      <c r="M3048" s="1012"/>
      <c r="N3048" s="1017"/>
      <c r="O3048" s="1017"/>
      <c r="P3048" s="1011"/>
      <c r="Q3048" s="1013"/>
      <c r="R3048" s="1018"/>
      <c r="S3048" s="1018"/>
      <c r="T3048" s="1018"/>
      <c r="U3048" s="165">
        <f t="shared" si="1312"/>
        <v>126.40735000000001</v>
      </c>
      <c r="V3048" s="165">
        <f t="shared" si="1312"/>
        <v>204.29961</v>
      </c>
      <c r="W3048" s="165">
        <f t="shared" si="1312"/>
        <v>0</v>
      </c>
      <c r="X3048" s="165">
        <f t="shared" si="1312"/>
        <v>330.70696000000004</v>
      </c>
      <c r="Y3048" s="165">
        <f t="shared" si="1312"/>
        <v>126.40735000000001</v>
      </c>
      <c r="Z3048" s="165">
        <f t="shared" si="1312"/>
        <v>204.29961</v>
      </c>
      <c r="AA3048" s="165">
        <f t="shared" si="1312"/>
        <v>0</v>
      </c>
      <c r="AB3048" s="165">
        <f t="shared" si="1312"/>
        <v>330.70695999999998</v>
      </c>
      <c r="AC3048" s="165">
        <f t="shared" si="1314"/>
        <v>330.70695999999998</v>
      </c>
      <c r="AD3048" s="165">
        <f t="shared" si="1314"/>
        <v>330.70695999999998</v>
      </c>
      <c r="AE3048" s="165">
        <f t="shared" si="1314"/>
        <v>330.70695999999998</v>
      </c>
      <c r="AF3048" s="165">
        <f t="shared" si="1314"/>
        <v>330.70695999999998</v>
      </c>
      <c r="AG3048" s="165">
        <f t="shared" si="1314"/>
        <v>330.70695999999998</v>
      </c>
      <c r="AH3048" s="165">
        <f t="shared" si="1314"/>
        <v>330.70695999999998</v>
      </c>
      <c r="AI3048" s="165">
        <f t="shared" si="1313"/>
        <v>330.70695999999998</v>
      </c>
      <c r="AJ3048" s="165">
        <f t="shared" si="1313"/>
        <v>330.70695999999998</v>
      </c>
      <c r="AK3048" s="165">
        <f t="shared" si="1313"/>
        <v>330.70695999999998</v>
      </c>
      <c r="AL3048" s="165">
        <f t="shared" si="1313"/>
        <v>330.70695999999998</v>
      </c>
      <c r="AM3048" s="165">
        <f t="shared" si="1313"/>
        <v>330.70695999999998</v>
      </c>
      <c r="AN3048" s="165">
        <f t="shared" si="1313"/>
        <v>330.70695999999998</v>
      </c>
      <c r="AO3048" s="165">
        <f t="shared" si="1313"/>
        <v>330.70695999999998</v>
      </c>
      <c r="AP3048" s="165"/>
      <c r="AQ3048" s="165"/>
      <c r="AR3048" s="165"/>
      <c r="AS3048" s="165"/>
      <c r="AT3048" s="165"/>
      <c r="AU3048" s="165"/>
      <c r="AV3048" s="165"/>
      <c r="AW3048" s="165"/>
      <c r="AX3048" s="165"/>
      <c r="AY3048" s="165"/>
      <c r="AZ3048" s="165"/>
      <c r="BA3048" s="165"/>
      <c r="BB3048" s="165"/>
      <c r="BC3048" s="165"/>
      <c r="BD3048" s="165"/>
      <c r="BE3048" s="165"/>
      <c r="BF3048" s="165"/>
      <c r="BG3048" s="165"/>
      <c r="BH3048" s="165"/>
      <c r="BI3048" s="165"/>
      <c r="BJ3048" s="165"/>
      <c r="BK3048" s="165"/>
      <c r="BL3048" s="165"/>
      <c r="BM3048" s="165"/>
      <c r="BN3048" s="165"/>
      <c r="BO3048" s="165"/>
      <c r="BP3048" s="165"/>
      <c r="BQ3048" s="165"/>
      <c r="BR3048" s="165"/>
      <c r="BS3048" s="165"/>
      <c r="BT3048" s="165"/>
      <c r="BU3048" s="165"/>
      <c r="BV3048" s="165"/>
      <c r="BW3048" s="165"/>
      <c r="BX3048" s="165"/>
      <c r="BY3048" s="165"/>
      <c r="BZ3048" s="165"/>
      <c r="CA3048" s="165"/>
      <c r="CB3048" s="165"/>
      <c r="CC3048" s="165"/>
      <c r="CD3048" s="165"/>
      <c r="CE3048" s="1019"/>
      <c r="CF3048" s="1019"/>
      <c r="CG3048" s="1019"/>
      <c r="CH3048" s="253"/>
      <c r="CI3048" s="76" t="str">
        <f t="shared" si="1307"/>
        <v>R11NYS Tax Rate to 7.1%</v>
      </c>
      <c r="CJ3048" s="1019"/>
      <c r="CK3048" s="1019"/>
      <c r="CL3048" s="1019"/>
      <c r="CM3048" s="1020"/>
    </row>
    <row r="3049" spans="1:91" s="41" customFormat="1">
      <c r="A3049" s="1009"/>
      <c r="B3049" s="1009"/>
      <c r="C3049" s="1010" t="s">
        <v>4455</v>
      </c>
      <c r="D3049" s="1011"/>
      <c r="E3049" s="1012"/>
      <c r="F3049" s="1012"/>
      <c r="G3049" s="1013"/>
      <c r="H3049" s="1014"/>
      <c r="I3049" s="1015"/>
      <c r="J3049" s="1015"/>
      <c r="K3049" s="1012"/>
      <c r="L3049" s="1016"/>
      <c r="M3049" s="1012"/>
      <c r="N3049" s="1017"/>
      <c r="O3049" s="1017"/>
      <c r="P3049" s="1011"/>
      <c r="Q3049" s="1013"/>
      <c r="R3049" s="1018"/>
      <c r="S3049" s="1018"/>
      <c r="T3049" s="1018"/>
      <c r="U3049" s="165">
        <f t="shared" si="1312"/>
        <v>1161.6014604166658</v>
      </c>
      <c r="V3049" s="165">
        <f t="shared" si="1312"/>
        <v>496.1562645833327</v>
      </c>
      <c r="W3049" s="165">
        <f t="shared" si="1312"/>
        <v>0</v>
      </c>
      <c r="X3049" s="165">
        <f t="shared" si="1312"/>
        <v>1657.7577249999986</v>
      </c>
      <c r="Y3049" s="165">
        <f t="shared" si="1312"/>
        <v>1518.7518500000001</v>
      </c>
      <c r="Z3049" s="165">
        <f t="shared" si="1312"/>
        <v>1192.6069499999999</v>
      </c>
      <c r="AA3049" s="165">
        <f t="shared" si="1312"/>
        <v>0</v>
      </c>
      <c r="AB3049" s="165">
        <f t="shared" si="1312"/>
        <v>2711.3588</v>
      </c>
      <c r="AC3049" s="165"/>
      <c r="AD3049" s="165"/>
      <c r="AE3049" s="165"/>
      <c r="AF3049" s="165"/>
      <c r="AG3049" s="165"/>
      <c r="AH3049" s="165"/>
      <c r="AI3049" s="165">
        <f t="shared" si="1313"/>
        <v>3165.2109</v>
      </c>
      <c r="AJ3049" s="165">
        <f t="shared" si="1313"/>
        <v>3165.2109</v>
      </c>
      <c r="AK3049" s="165">
        <f t="shared" si="1313"/>
        <v>3165.2109</v>
      </c>
      <c r="AL3049" s="165">
        <f t="shared" si="1313"/>
        <v>3165.2109</v>
      </c>
      <c r="AM3049" s="165">
        <f t="shared" si="1313"/>
        <v>3165.2109</v>
      </c>
      <c r="AN3049" s="165">
        <f t="shared" si="1313"/>
        <v>2711.3588</v>
      </c>
      <c r="AO3049" s="165">
        <f t="shared" si="1313"/>
        <v>2711.3588</v>
      </c>
      <c r="AP3049" s="165"/>
      <c r="AQ3049" s="165"/>
      <c r="AR3049" s="165"/>
      <c r="AS3049" s="165"/>
      <c r="AT3049" s="165"/>
      <c r="AU3049" s="165"/>
      <c r="AV3049" s="165"/>
      <c r="AW3049" s="165"/>
      <c r="AX3049" s="165"/>
      <c r="AY3049" s="165"/>
      <c r="AZ3049" s="165"/>
      <c r="BA3049" s="165"/>
      <c r="BB3049" s="165"/>
      <c r="BC3049" s="165"/>
      <c r="BD3049" s="165"/>
      <c r="BE3049" s="165"/>
      <c r="BF3049" s="165"/>
      <c r="BG3049" s="165"/>
      <c r="BH3049" s="165"/>
      <c r="BI3049" s="165"/>
      <c r="BJ3049" s="165"/>
      <c r="BK3049" s="165"/>
      <c r="BL3049" s="165"/>
      <c r="BM3049" s="165"/>
      <c r="BN3049" s="165"/>
      <c r="BO3049" s="165"/>
      <c r="BP3049" s="165"/>
      <c r="BQ3049" s="165"/>
      <c r="BR3049" s="165"/>
      <c r="BS3049" s="165"/>
      <c r="BT3049" s="165"/>
      <c r="BU3049" s="165"/>
      <c r="BV3049" s="165"/>
      <c r="BW3049" s="165"/>
      <c r="BX3049" s="165"/>
      <c r="BY3049" s="165"/>
      <c r="BZ3049" s="165"/>
      <c r="CA3049" s="165"/>
      <c r="CB3049" s="165"/>
      <c r="CC3049" s="165"/>
      <c r="CD3049" s="165"/>
      <c r="CE3049" s="1019"/>
      <c r="CF3049" s="1019"/>
      <c r="CG3049" s="1019"/>
      <c r="CH3049" s="253"/>
      <c r="CI3049" s="76" t="str">
        <f t="shared" si="1307"/>
        <v>R11Excess DIT - New York State Tax Rate change</v>
      </c>
      <c r="CJ3049" s="1019"/>
      <c r="CK3049" s="1019"/>
      <c r="CL3049" s="1019"/>
      <c r="CM3049" s="1020"/>
    </row>
    <row r="3050" spans="1:91" s="41" customFormat="1">
      <c r="A3050" s="1009"/>
      <c r="B3050" s="1009"/>
      <c r="C3050" s="1010" t="s">
        <v>927</v>
      </c>
      <c r="D3050" s="1011"/>
      <c r="E3050" s="1012"/>
      <c r="F3050" s="1012"/>
      <c r="G3050" s="1013"/>
      <c r="H3050" s="1014"/>
      <c r="I3050" s="1015"/>
      <c r="J3050" s="1015"/>
      <c r="K3050" s="1012"/>
      <c r="L3050" s="1016"/>
      <c r="M3050" s="1012"/>
      <c r="N3050" s="1017"/>
      <c r="O3050" s="1017"/>
      <c r="P3050" s="1011"/>
      <c r="Q3050" s="1013"/>
      <c r="R3050" s="1018"/>
      <c r="S3050" s="1018"/>
      <c r="T3050" s="1018"/>
      <c r="U3050" s="165">
        <f t="shared" si="1312"/>
        <v>20882.344254999971</v>
      </c>
      <c r="V3050" s="165">
        <f t="shared" si="1312"/>
        <v>7022.9750249999997</v>
      </c>
      <c r="W3050" s="165">
        <f t="shared" si="1312"/>
        <v>0</v>
      </c>
      <c r="X3050" s="165">
        <f t="shared" si="1312"/>
        <v>27905.319279999971</v>
      </c>
      <c r="Y3050" s="165">
        <f t="shared" si="1312"/>
        <v>23291.527710000002</v>
      </c>
      <c r="Z3050" s="165">
        <f t="shared" si="1312"/>
        <v>8063.9293800000005</v>
      </c>
      <c r="AA3050" s="165">
        <f t="shared" si="1312"/>
        <v>0</v>
      </c>
      <c r="AB3050" s="165">
        <f t="shared" si="1312"/>
        <v>31355.457090000007</v>
      </c>
      <c r="AC3050" s="165">
        <f t="shared" ref="AC3050:AH3059" si="1315">SUMIF($AR:$AR,$CI3050,AC:AC)</f>
        <v>28168.23515</v>
      </c>
      <c r="AD3050" s="165">
        <f t="shared" si="1315"/>
        <v>28131.430710000001</v>
      </c>
      <c r="AE3050" s="165">
        <f t="shared" si="1315"/>
        <v>28043.101259999999</v>
      </c>
      <c r="AF3050" s="165">
        <f t="shared" si="1315"/>
        <v>27964.095890000004</v>
      </c>
      <c r="AG3050" s="165">
        <f t="shared" si="1315"/>
        <v>27848.795030000001</v>
      </c>
      <c r="AH3050" s="165">
        <f t="shared" si="1315"/>
        <v>27767.761990000006</v>
      </c>
      <c r="AI3050" s="165">
        <f t="shared" si="1313"/>
        <v>27540.13340000001</v>
      </c>
      <c r="AJ3050" s="165">
        <f t="shared" si="1313"/>
        <v>27496.64083</v>
      </c>
      <c r="AK3050" s="165">
        <f t="shared" si="1313"/>
        <v>27446.821090000001</v>
      </c>
      <c r="AL3050" s="165">
        <f t="shared" si="1313"/>
        <v>27421.709080000004</v>
      </c>
      <c r="AM3050" s="165">
        <f t="shared" si="1313"/>
        <v>27413.3148</v>
      </c>
      <c r="AN3050" s="165">
        <f t="shared" si="1313"/>
        <v>28028.181159999996</v>
      </c>
      <c r="AO3050" s="165">
        <f t="shared" si="1313"/>
        <v>31355.457090000007</v>
      </c>
      <c r="AP3050" s="165"/>
      <c r="AQ3050" s="165"/>
      <c r="AR3050" s="165"/>
      <c r="AS3050" s="165"/>
      <c r="AT3050" s="165"/>
      <c r="AU3050" s="165"/>
      <c r="AV3050" s="165"/>
      <c r="AW3050" s="165"/>
      <c r="AX3050" s="165"/>
      <c r="AY3050" s="165"/>
      <c r="AZ3050" s="165"/>
      <c r="BA3050" s="165"/>
      <c r="BB3050" s="165"/>
      <c r="BC3050" s="165"/>
      <c r="BD3050" s="165"/>
      <c r="BE3050" s="165"/>
      <c r="BF3050" s="165"/>
      <c r="BG3050" s="165"/>
      <c r="BH3050" s="165"/>
      <c r="BI3050" s="165"/>
      <c r="BJ3050" s="165"/>
      <c r="BK3050" s="165"/>
      <c r="BL3050" s="165"/>
      <c r="BM3050" s="165"/>
      <c r="BN3050" s="165"/>
      <c r="BO3050" s="165"/>
      <c r="BP3050" s="165"/>
      <c r="BQ3050" s="165"/>
      <c r="BR3050" s="165"/>
      <c r="BS3050" s="165"/>
      <c r="BT3050" s="165"/>
      <c r="BU3050" s="165"/>
      <c r="BV3050" s="165"/>
      <c r="BW3050" s="165"/>
      <c r="BX3050" s="165"/>
      <c r="BY3050" s="165"/>
      <c r="BZ3050" s="165"/>
      <c r="CA3050" s="165"/>
      <c r="CB3050" s="165"/>
      <c r="CC3050" s="165"/>
      <c r="CD3050" s="165"/>
      <c r="CE3050" s="1019"/>
      <c r="CF3050" s="1019"/>
      <c r="CG3050" s="1019"/>
      <c r="CH3050" s="253"/>
      <c r="CI3050" s="76" t="str">
        <f t="shared" si="1307"/>
        <v>R11OPEB</v>
      </c>
      <c r="CJ3050" s="1019"/>
      <c r="CK3050" s="1019"/>
      <c r="CL3050" s="1019"/>
      <c r="CM3050" s="1020"/>
    </row>
    <row r="3051" spans="1:91" s="41" customFormat="1">
      <c r="A3051" s="1009"/>
      <c r="B3051" s="1009"/>
      <c r="C3051" s="1010" t="s">
        <v>1139</v>
      </c>
      <c r="D3051" s="1011"/>
      <c r="E3051" s="1012"/>
      <c r="F3051" s="1012"/>
      <c r="G3051" s="1013"/>
      <c r="H3051" s="1014"/>
      <c r="I3051" s="1015"/>
      <c r="J3051" s="1015"/>
      <c r="K3051" s="1012"/>
      <c r="L3051" s="1016"/>
      <c r="M3051" s="1012"/>
      <c r="N3051" s="1017"/>
      <c r="O3051" s="1017"/>
      <c r="P3051" s="1011"/>
      <c r="Q3051" s="1013"/>
      <c r="R3051" s="1018"/>
      <c r="S3051" s="1018"/>
      <c r="T3051" s="1018"/>
      <c r="U3051" s="165">
        <f t="shared" si="1312"/>
        <v>-278.96598</v>
      </c>
      <c r="V3051" s="165">
        <f t="shared" si="1312"/>
        <v>0</v>
      </c>
      <c r="W3051" s="165">
        <f t="shared" si="1312"/>
        <v>0</v>
      </c>
      <c r="X3051" s="165">
        <f t="shared" si="1312"/>
        <v>-278.96598</v>
      </c>
      <c r="Y3051" s="165">
        <f t="shared" si="1312"/>
        <v>-278.96598</v>
      </c>
      <c r="Z3051" s="165">
        <f t="shared" si="1312"/>
        <v>0</v>
      </c>
      <c r="AA3051" s="165">
        <f t="shared" si="1312"/>
        <v>0</v>
      </c>
      <c r="AB3051" s="165">
        <f t="shared" si="1312"/>
        <v>-278.96598</v>
      </c>
      <c r="AC3051" s="165">
        <f t="shared" si="1315"/>
        <v>-278.96598</v>
      </c>
      <c r="AD3051" s="165">
        <f t="shared" si="1315"/>
        <v>-278.96598</v>
      </c>
      <c r="AE3051" s="165">
        <f t="shared" si="1315"/>
        <v>-278.96598</v>
      </c>
      <c r="AF3051" s="165">
        <f t="shared" si="1315"/>
        <v>-278.96598</v>
      </c>
      <c r="AG3051" s="165">
        <f t="shared" si="1315"/>
        <v>-278.96598</v>
      </c>
      <c r="AH3051" s="165">
        <f t="shared" si="1315"/>
        <v>-278.96598</v>
      </c>
      <c r="AI3051" s="165">
        <f t="shared" si="1313"/>
        <v>-278.96598</v>
      </c>
      <c r="AJ3051" s="165">
        <f t="shared" si="1313"/>
        <v>-278.96598</v>
      </c>
      <c r="AK3051" s="165">
        <f t="shared" si="1313"/>
        <v>-278.96598</v>
      </c>
      <c r="AL3051" s="165">
        <f t="shared" si="1313"/>
        <v>-278.96598</v>
      </c>
      <c r="AM3051" s="165">
        <f t="shared" si="1313"/>
        <v>-278.96598</v>
      </c>
      <c r="AN3051" s="165">
        <f t="shared" si="1313"/>
        <v>-278.96598</v>
      </c>
      <c r="AO3051" s="165">
        <f t="shared" si="1313"/>
        <v>-278.96598</v>
      </c>
      <c r="AP3051" s="165"/>
      <c r="AQ3051" s="165"/>
      <c r="AR3051" s="165"/>
      <c r="AS3051" s="165"/>
      <c r="AT3051" s="165"/>
      <c r="AU3051" s="165"/>
      <c r="AV3051" s="165"/>
      <c r="AW3051" s="165"/>
      <c r="AX3051" s="165"/>
      <c r="AY3051" s="165"/>
      <c r="AZ3051" s="165"/>
      <c r="BA3051" s="165"/>
      <c r="BB3051" s="165"/>
      <c r="BC3051" s="165"/>
      <c r="BD3051" s="165"/>
      <c r="BE3051" s="165"/>
      <c r="BF3051" s="165"/>
      <c r="BG3051" s="165"/>
      <c r="BH3051" s="165"/>
      <c r="BI3051" s="165"/>
      <c r="BJ3051" s="165"/>
      <c r="BK3051" s="165"/>
      <c r="BL3051" s="165"/>
      <c r="BM3051" s="165"/>
      <c r="BN3051" s="165"/>
      <c r="BO3051" s="165"/>
      <c r="BP3051" s="165"/>
      <c r="BQ3051" s="165"/>
      <c r="BR3051" s="165"/>
      <c r="BS3051" s="165"/>
      <c r="BT3051" s="165"/>
      <c r="BU3051" s="165"/>
      <c r="BV3051" s="165"/>
      <c r="BW3051" s="165"/>
      <c r="BX3051" s="165"/>
      <c r="BY3051" s="165"/>
      <c r="BZ3051" s="165"/>
      <c r="CA3051" s="165"/>
      <c r="CB3051" s="165"/>
      <c r="CC3051" s="165"/>
      <c r="CD3051" s="165"/>
      <c r="CE3051" s="1019"/>
      <c r="CF3051" s="1019"/>
      <c r="CG3051" s="1019"/>
      <c r="CH3051" s="253"/>
      <c r="CI3051" s="76" t="str">
        <f t="shared" si="1307"/>
        <v>R11Oswego</v>
      </c>
      <c r="CJ3051" s="1019"/>
      <c r="CK3051" s="1019"/>
      <c r="CL3051" s="1019"/>
      <c r="CM3051" s="1020"/>
    </row>
    <row r="3052" spans="1:91">
      <c r="A3052" s="464"/>
      <c r="B3052" s="464"/>
      <c r="C3052" s="662" t="s">
        <v>815</v>
      </c>
      <c r="D3052" s="689"/>
      <c r="E3052" s="422"/>
      <c r="F3052" s="422"/>
      <c r="G3052" s="461"/>
      <c r="H3052" s="678"/>
      <c r="I3052" s="462"/>
      <c r="J3052" s="462"/>
      <c r="K3052" s="422"/>
      <c r="L3052" s="655"/>
      <c r="M3052" s="422"/>
      <c r="N3052" s="463"/>
      <c r="O3052" s="463"/>
      <c r="P3052" s="689"/>
      <c r="Q3052" s="461"/>
      <c r="R3052" s="491"/>
      <c r="S3052" s="491"/>
      <c r="T3052" s="491"/>
      <c r="U3052" s="214">
        <f t="shared" si="1312"/>
        <v>3.5E-4</v>
      </c>
      <c r="V3052" s="214">
        <f t="shared" si="1312"/>
        <v>0</v>
      </c>
      <c r="W3052" s="214">
        <f t="shared" si="1312"/>
        <v>0</v>
      </c>
      <c r="X3052" s="214">
        <f t="shared" si="1312"/>
        <v>3.5E-4</v>
      </c>
      <c r="Y3052" s="214">
        <f t="shared" si="1312"/>
        <v>3.5E-4</v>
      </c>
      <c r="Z3052" s="214">
        <f t="shared" si="1312"/>
        <v>0</v>
      </c>
      <c r="AA3052" s="214">
        <f t="shared" si="1312"/>
        <v>0</v>
      </c>
      <c r="AB3052" s="214">
        <f t="shared" si="1312"/>
        <v>3.5000000000000005E-4</v>
      </c>
      <c r="AC3052" s="214">
        <f t="shared" si="1315"/>
        <v>3.5000000000000005E-4</v>
      </c>
      <c r="AD3052" s="214">
        <f t="shared" si="1315"/>
        <v>3.5000000000000005E-4</v>
      </c>
      <c r="AE3052" s="214">
        <f t="shared" si="1315"/>
        <v>3.5000000000000005E-4</v>
      </c>
      <c r="AF3052" s="214">
        <f t="shared" si="1315"/>
        <v>3.5000000000000005E-4</v>
      </c>
      <c r="AG3052" s="214">
        <f t="shared" si="1315"/>
        <v>3.5000000000000005E-4</v>
      </c>
      <c r="AH3052" s="214">
        <f t="shared" si="1315"/>
        <v>3.5000000000000005E-4</v>
      </c>
      <c r="AI3052" s="214">
        <f t="shared" si="1313"/>
        <v>3.5000000000000005E-4</v>
      </c>
      <c r="AJ3052" s="214">
        <f t="shared" si="1313"/>
        <v>3.5000000000000005E-4</v>
      </c>
      <c r="AK3052" s="214">
        <f t="shared" si="1313"/>
        <v>3.5000000000000005E-4</v>
      </c>
      <c r="AL3052" s="214">
        <f t="shared" si="1313"/>
        <v>3.5000000000000005E-4</v>
      </c>
      <c r="AM3052" s="214">
        <f t="shared" si="1313"/>
        <v>3.5000000000000005E-4</v>
      </c>
      <c r="AN3052" s="214">
        <f t="shared" si="1313"/>
        <v>3.5000000000000005E-4</v>
      </c>
      <c r="AO3052" s="214">
        <f t="shared" si="1313"/>
        <v>3.5000000000000005E-4</v>
      </c>
      <c r="AP3052" s="214"/>
      <c r="AQ3052" s="214"/>
      <c r="AR3052" s="214"/>
      <c r="AS3052" s="214"/>
      <c r="AT3052" s="214"/>
      <c r="AU3052" s="214"/>
      <c r="AV3052" s="214"/>
      <c r="AW3052" s="214"/>
      <c r="AX3052" s="214"/>
      <c r="AY3052" s="214"/>
      <c r="AZ3052" s="214"/>
      <c r="BA3052" s="214"/>
      <c r="BB3052" s="214"/>
      <c r="BC3052" s="214"/>
      <c r="BD3052" s="214"/>
      <c r="BE3052" s="214"/>
      <c r="BF3052" s="214"/>
      <c r="BG3052" s="214"/>
      <c r="BH3052" s="214"/>
      <c r="BI3052" s="214"/>
      <c r="BJ3052" s="214"/>
      <c r="BK3052" s="214"/>
      <c r="BL3052" s="214"/>
      <c r="BM3052" s="214"/>
      <c r="BN3052" s="214"/>
      <c r="BO3052" s="214"/>
      <c r="BP3052" s="214"/>
      <c r="BQ3052" s="214"/>
      <c r="BR3052" s="214"/>
      <c r="BS3052" s="214"/>
      <c r="BT3052" s="214"/>
      <c r="BU3052" s="214"/>
      <c r="BV3052" s="214"/>
      <c r="BW3052" s="214"/>
      <c r="BX3052" s="214"/>
      <c r="BY3052" s="214"/>
      <c r="BZ3052" s="214"/>
      <c r="CA3052" s="214"/>
      <c r="CB3052" s="214"/>
      <c r="CC3052" s="214"/>
      <c r="CD3052" s="214"/>
      <c r="CE3052" s="230"/>
      <c r="CF3052" s="230"/>
      <c r="CG3052" s="230"/>
      <c r="CH3052" s="253"/>
      <c r="CI3052" s="76" t="str">
        <f t="shared" si="1307"/>
        <v>R11Outreach &amp; Education</v>
      </c>
      <c r="CJ3052" s="230"/>
      <c r="CK3052" s="230"/>
      <c r="CL3052" s="230"/>
      <c r="CM3052" s="231"/>
    </row>
    <row r="3053" spans="1:91">
      <c r="A3053" s="464"/>
      <c r="B3053" s="464"/>
      <c r="C3053" s="662" t="s">
        <v>1673</v>
      </c>
      <c r="D3053" s="689"/>
      <c r="E3053" s="422"/>
      <c r="F3053" s="422"/>
      <c r="G3053" s="461"/>
      <c r="H3053" s="678"/>
      <c r="I3053" s="462"/>
      <c r="J3053" s="462"/>
      <c r="K3053" s="422"/>
      <c r="L3053" s="655"/>
      <c r="M3053" s="422"/>
      <c r="N3053" s="463"/>
      <c r="O3053" s="463"/>
      <c r="P3053" s="689"/>
      <c r="Q3053" s="461"/>
      <c r="R3053" s="491"/>
      <c r="S3053" s="491"/>
      <c r="T3053" s="491"/>
      <c r="U3053" s="214">
        <f t="shared" si="1312"/>
        <v>-17509.152822500033</v>
      </c>
      <c r="V3053" s="214">
        <f t="shared" si="1312"/>
        <v>-3985.5744324999928</v>
      </c>
      <c r="W3053" s="214">
        <f t="shared" si="1312"/>
        <v>0</v>
      </c>
      <c r="X3053" s="214">
        <f t="shared" si="1312"/>
        <v>-21494.727255000023</v>
      </c>
      <c r="Y3053" s="214">
        <f t="shared" si="1312"/>
        <v>-15391.993830000003</v>
      </c>
      <c r="Z3053" s="214">
        <f t="shared" si="1312"/>
        <v>-2753.100739999999</v>
      </c>
      <c r="AA3053" s="214">
        <f t="shared" si="1312"/>
        <v>0</v>
      </c>
      <c r="AB3053" s="214">
        <f t="shared" si="1312"/>
        <v>-18145.094569999994</v>
      </c>
      <c r="AC3053" s="214">
        <f t="shared" si="1315"/>
        <v>-24845.952789999999</v>
      </c>
      <c r="AD3053" s="214">
        <f t="shared" si="1315"/>
        <v>-24287.547930000001</v>
      </c>
      <c r="AE3053" s="214">
        <f t="shared" si="1315"/>
        <v>-23729.143080000002</v>
      </c>
      <c r="AF3053" s="214">
        <f t="shared" si="1315"/>
        <v>-23170.738239999999</v>
      </c>
      <c r="AG3053" s="214">
        <f t="shared" si="1315"/>
        <v>-22612.33338</v>
      </c>
      <c r="AH3053" s="214">
        <f t="shared" si="1315"/>
        <v>-22052.335669999993</v>
      </c>
      <c r="AI3053" s="214">
        <f t="shared" si="1313"/>
        <v>-21493.930839999997</v>
      </c>
      <c r="AJ3053" s="214">
        <f t="shared" si="1313"/>
        <v>-20935.525979999999</v>
      </c>
      <c r="AK3053" s="214">
        <f t="shared" si="1313"/>
        <v>-20377.12112</v>
      </c>
      <c r="AL3053" s="214">
        <f t="shared" si="1313"/>
        <v>-19818.716280000001</v>
      </c>
      <c r="AM3053" s="214">
        <f t="shared" si="1313"/>
        <v>-19260.311440000001</v>
      </c>
      <c r="AN3053" s="214">
        <f t="shared" si="1313"/>
        <v>-18703.49942</v>
      </c>
      <c r="AO3053" s="214">
        <f t="shared" si="1313"/>
        <v>-18145.094569999994</v>
      </c>
      <c r="AP3053" s="214"/>
      <c r="AQ3053" s="214"/>
      <c r="AR3053" s="214"/>
      <c r="AS3053" s="214"/>
      <c r="AT3053" s="214"/>
      <c r="AU3053" s="214"/>
      <c r="AV3053" s="214"/>
      <c r="AW3053" s="214"/>
      <c r="AX3053" s="214"/>
      <c r="AY3053" s="214"/>
      <c r="AZ3053" s="214"/>
      <c r="BA3053" s="214"/>
      <c r="BB3053" s="214"/>
      <c r="BC3053" s="214"/>
      <c r="BD3053" s="214"/>
      <c r="BE3053" s="214"/>
      <c r="BF3053" s="214"/>
      <c r="BG3053" s="214"/>
      <c r="BH3053" s="214"/>
      <c r="BI3053" s="214"/>
      <c r="BJ3053" s="214"/>
      <c r="BK3053" s="214"/>
      <c r="BL3053" s="214"/>
      <c r="BM3053" s="214"/>
      <c r="BN3053" s="214"/>
      <c r="BO3053" s="214"/>
      <c r="BP3053" s="214"/>
      <c r="BQ3053" s="214"/>
      <c r="BR3053" s="214"/>
      <c r="BS3053" s="214"/>
      <c r="BT3053" s="214"/>
      <c r="BU3053" s="214"/>
      <c r="BV3053" s="214"/>
      <c r="BW3053" s="214"/>
      <c r="BX3053" s="214"/>
      <c r="BY3053" s="214"/>
      <c r="BZ3053" s="214"/>
      <c r="CA3053" s="214"/>
      <c r="CB3053" s="214"/>
      <c r="CC3053" s="214"/>
      <c r="CD3053" s="214"/>
      <c r="CE3053" s="230"/>
      <c r="CF3053" s="230"/>
      <c r="CG3053" s="230"/>
      <c r="CH3053" s="253"/>
      <c r="CI3053" s="76" t="str">
        <f t="shared" si="1307"/>
        <v>R11Pension</v>
      </c>
      <c r="CJ3053" s="230"/>
      <c r="CK3053" s="230"/>
      <c r="CL3053" s="230"/>
      <c r="CM3053" s="231"/>
    </row>
    <row r="3054" spans="1:91">
      <c r="A3054" s="464"/>
      <c r="B3054" s="464"/>
      <c r="C3054" s="662" t="s">
        <v>1481</v>
      </c>
      <c r="D3054" s="689"/>
      <c r="E3054" s="422"/>
      <c r="F3054" s="422"/>
      <c r="G3054" s="461"/>
      <c r="H3054" s="678"/>
      <c r="I3054" s="462"/>
      <c r="J3054" s="462"/>
      <c r="K3054" s="422"/>
      <c r="L3054" s="655"/>
      <c r="M3054" s="422"/>
      <c r="N3054" s="463"/>
      <c r="O3054" s="463"/>
      <c r="P3054" s="689"/>
      <c r="Q3054" s="461"/>
      <c r="R3054" s="491"/>
      <c r="S3054" s="491"/>
      <c r="T3054" s="491"/>
      <c r="U3054" s="214">
        <f t="shared" ref="U3054:AB3063" si="1316">SUMIF($AR:$AR,$CI3054,U:U)</f>
        <v>14995.46351</v>
      </c>
      <c r="V3054" s="214">
        <f t="shared" si="1316"/>
        <v>-137.99769000000001</v>
      </c>
      <c r="W3054" s="214">
        <f t="shared" si="1316"/>
        <v>0</v>
      </c>
      <c r="X3054" s="214">
        <f t="shared" si="1316"/>
        <v>14857.465819999999</v>
      </c>
      <c r="Y3054" s="214">
        <f t="shared" si="1316"/>
        <v>14995.46351</v>
      </c>
      <c r="Z3054" s="214">
        <f t="shared" si="1316"/>
        <v>-137.99769000000001</v>
      </c>
      <c r="AA3054" s="214">
        <f t="shared" si="1316"/>
        <v>0</v>
      </c>
      <c r="AB3054" s="214">
        <f t="shared" si="1316"/>
        <v>14857.465819999999</v>
      </c>
      <c r="AC3054" s="214">
        <f t="shared" si="1315"/>
        <v>14857.465819999999</v>
      </c>
      <c r="AD3054" s="214">
        <f t="shared" si="1315"/>
        <v>14857.465819999999</v>
      </c>
      <c r="AE3054" s="214">
        <f t="shared" si="1315"/>
        <v>14857.465819999999</v>
      </c>
      <c r="AF3054" s="214">
        <f t="shared" si="1315"/>
        <v>14857.465819999999</v>
      </c>
      <c r="AG3054" s="214">
        <f t="shared" si="1315"/>
        <v>14857.465819999999</v>
      </c>
      <c r="AH3054" s="214">
        <f t="shared" si="1315"/>
        <v>14857.465819999999</v>
      </c>
      <c r="AI3054" s="214">
        <f t="shared" ref="AI3054:AO3063" si="1317">SUMIF($AR:$AR,$CI3054,AI:AI)</f>
        <v>14857.465819999999</v>
      </c>
      <c r="AJ3054" s="214">
        <f t="shared" si="1317"/>
        <v>14857.465819999999</v>
      </c>
      <c r="AK3054" s="214">
        <f t="shared" si="1317"/>
        <v>14857.465819999999</v>
      </c>
      <c r="AL3054" s="214">
        <f t="shared" si="1317"/>
        <v>14857.465819999999</v>
      </c>
      <c r="AM3054" s="214">
        <f t="shared" si="1317"/>
        <v>14857.465819999999</v>
      </c>
      <c r="AN3054" s="214">
        <f t="shared" si="1317"/>
        <v>14857.465819999999</v>
      </c>
      <c r="AO3054" s="214">
        <f t="shared" si="1317"/>
        <v>14857.465819999999</v>
      </c>
      <c r="AP3054" s="214"/>
      <c r="AQ3054" s="214"/>
      <c r="AR3054" s="214"/>
      <c r="AS3054" s="214"/>
      <c r="AT3054" s="214"/>
      <c r="AU3054" s="214"/>
      <c r="AV3054" s="214"/>
      <c r="AW3054" s="214"/>
      <c r="AX3054" s="214"/>
      <c r="AY3054" s="214"/>
      <c r="AZ3054" s="214"/>
      <c r="BA3054" s="214"/>
      <c r="BB3054" s="214"/>
      <c r="BC3054" s="214"/>
      <c r="BD3054" s="214"/>
      <c r="BE3054" s="214"/>
      <c r="BF3054" s="214"/>
      <c r="BG3054" s="214"/>
      <c r="BH3054" s="214"/>
      <c r="BI3054" s="214"/>
      <c r="BJ3054" s="214"/>
      <c r="BK3054" s="214"/>
      <c r="BL3054" s="214"/>
      <c r="BM3054" s="214"/>
      <c r="BN3054" s="214"/>
      <c r="BO3054" s="214"/>
      <c r="BP3054" s="214"/>
      <c r="BQ3054" s="214"/>
      <c r="BR3054" s="214"/>
      <c r="BS3054" s="214"/>
      <c r="BT3054" s="214"/>
      <c r="BU3054" s="214"/>
      <c r="BV3054" s="214"/>
      <c r="BW3054" s="214"/>
      <c r="BX3054" s="214"/>
      <c r="BY3054" s="214"/>
      <c r="BZ3054" s="214"/>
      <c r="CA3054" s="214"/>
      <c r="CB3054" s="214"/>
      <c r="CC3054" s="214"/>
      <c r="CD3054" s="214"/>
      <c r="CE3054" s="230"/>
      <c r="CF3054" s="230"/>
      <c r="CG3054" s="230"/>
      <c r="CH3054" s="253"/>
      <c r="CI3054" s="76" t="str">
        <f t="shared" si="1307"/>
        <v>R11Positive Benefit Adjustment</v>
      </c>
      <c r="CJ3054" s="230"/>
      <c r="CK3054" s="230"/>
      <c r="CL3054" s="230"/>
      <c r="CM3054" s="231"/>
    </row>
    <row r="3055" spans="1:91">
      <c r="A3055" s="464"/>
      <c r="B3055" s="464"/>
      <c r="C3055" s="662" t="s">
        <v>1199</v>
      </c>
      <c r="D3055" s="689"/>
      <c r="E3055" s="422"/>
      <c r="F3055" s="422"/>
      <c r="G3055" s="461"/>
      <c r="H3055" s="678"/>
      <c r="I3055" s="462"/>
      <c r="J3055" s="462"/>
      <c r="K3055" s="422"/>
      <c r="L3055" s="655"/>
      <c r="M3055" s="422"/>
      <c r="N3055" s="463"/>
      <c r="O3055" s="463"/>
      <c r="P3055" s="689"/>
      <c r="Q3055" s="461"/>
      <c r="R3055" s="491"/>
      <c r="S3055" s="491"/>
      <c r="T3055" s="491"/>
      <c r="U3055" s="214">
        <f t="shared" si="1316"/>
        <v>0</v>
      </c>
      <c r="V3055" s="214">
        <f t="shared" si="1316"/>
        <v>-3.4999999999999997E-5</v>
      </c>
      <c r="W3055" s="214">
        <f t="shared" si="1316"/>
        <v>0</v>
      </c>
      <c r="X3055" s="214">
        <f t="shared" si="1316"/>
        <v>-3.4999999999999997E-5</v>
      </c>
      <c r="Y3055" s="214">
        <f t="shared" si="1316"/>
        <v>0</v>
      </c>
      <c r="Z3055" s="214">
        <f t="shared" si="1316"/>
        <v>-4.0000000000000003E-5</v>
      </c>
      <c r="AA3055" s="214">
        <f t="shared" si="1316"/>
        <v>0</v>
      </c>
      <c r="AB3055" s="214">
        <f t="shared" si="1316"/>
        <v>-4.0000000000000003E-5</v>
      </c>
      <c r="AC3055" s="214">
        <f t="shared" si="1315"/>
        <v>0</v>
      </c>
      <c r="AD3055" s="214">
        <f t="shared" si="1315"/>
        <v>0</v>
      </c>
      <c r="AE3055" s="214">
        <f t="shared" si="1315"/>
        <v>-4.0000000000000003E-5</v>
      </c>
      <c r="AF3055" s="214">
        <f t="shared" si="1315"/>
        <v>-4.0000000000000003E-5</v>
      </c>
      <c r="AG3055" s="214">
        <f t="shared" si="1315"/>
        <v>-4.0000000000000003E-5</v>
      </c>
      <c r="AH3055" s="214">
        <f t="shared" si="1315"/>
        <v>-4.0000000000000003E-5</v>
      </c>
      <c r="AI3055" s="214">
        <f t="shared" si="1317"/>
        <v>-4.0000000000000003E-5</v>
      </c>
      <c r="AJ3055" s="214">
        <f t="shared" si="1317"/>
        <v>-4.0000000000000003E-5</v>
      </c>
      <c r="AK3055" s="214">
        <f t="shared" si="1317"/>
        <v>-4.0000000000000003E-5</v>
      </c>
      <c r="AL3055" s="214">
        <f t="shared" si="1317"/>
        <v>-4.0000000000000003E-5</v>
      </c>
      <c r="AM3055" s="214">
        <f t="shared" si="1317"/>
        <v>-4.0000000000000003E-5</v>
      </c>
      <c r="AN3055" s="214">
        <f t="shared" si="1317"/>
        <v>-4.0000000000000003E-5</v>
      </c>
      <c r="AO3055" s="214">
        <f t="shared" si="1317"/>
        <v>-4.0000000000000003E-5</v>
      </c>
      <c r="AP3055" s="214"/>
      <c r="AQ3055" s="214"/>
      <c r="AR3055" s="214"/>
      <c r="AS3055" s="214"/>
      <c r="AT3055" s="214"/>
      <c r="AU3055" s="214"/>
      <c r="AV3055" s="214"/>
      <c r="AW3055" s="214"/>
      <c r="AX3055" s="214"/>
      <c r="AY3055" s="214"/>
      <c r="AZ3055" s="214"/>
      <c r="BA3055" s="214"/>
      <c r="BB3055" s="214"/>
      <c r="BC3055" s="214"/>
      <c r="BD3055" s="214"/>
      <c r="BE3055" s="214"/>
      <c r="BF3055" s="214"/>
      <c r="BG3055" s="214"/>
      <c r="BH3055" s="214"/>
      <c r="BI3055" s="214"/>
      <c r="BJ3055" s="214"/>
      <c r="BK3055" s="214"/>
      <c r="BL3055" s="214"/>
      <c r="BM3055" s="214"/>
      <c r="BN3055" s="214"/>
      <c r="BO3055" s="214"/>
      <c r="BP3055" s="214"/>
      <c r="BQ3055" s="214"/>
      <c r="BR3055" s="214"/>
      <c r="BS3055" s="214"/>
      <c r="BT3055" s="214"/>
      <c r="BU3055" s="214"/>
      <c r="BV3055" s="214"/>
      <c r="BW3055" s="214"/>
      <c r="BX3055" s="214"/>
      <c r="BY3055" s="214"/>
      <c r="BZ3055" s="214"/>
      <c r="CA3055" s="214"/>
      <c r="CB3055" s="214"/>
      <c r="CC3055" s="214"/>
      <c r="CD3055" s="214"/>
      <c r="CE3055" s="230"/>
      <c r="CF3055" s="230"/>
      <c r="CG3055" s="230"/>
      <c r="CH3055" s="253"/>
      <c r="CI3055" s="76" t="str">
        <f t="shared" ref="CI3055:CI3071" si="1318">+CONCATENATE(D$3082,C3055)</f>
        <v>R11Pre-Capitalized Installation Costs</v>
      </c>
      <c r="CJ3055" s="230"/>
      <c r="CK3055" s="230"/>
      <c r="CL3055" s="230"/>
      <c r="CM3055" s="231"/>
    </row>
    <row r="3056" spans="1:91">
      <c r="A3056" s="464"/>
      <c r="B3056" s="464"/>
      <c r="C3056" s="662" t="s">
        <v>1973</v>
      </c>
      <c r="D3056" s="689"/>
      <c r="E3056" s="422"/>
      <c r="F3056" s="422"/>
      <c r="G3056" s="461"/>
      <c r="H3056" s="678"/>
      <c r="I3056" s="462"/>
      <c r="J3056" s="462"/>
      <c r="K3056" s="422"/>
      <c r="L3056" s="655"/>
      <c r="M3056" s="422"/>
      <c r="N3056" s="463"/>
      <c r="O3056" s="463"/>
      <c r="P3056" s="689"/>
      <c r="Q3056" s="461"/>
      <c r="R3056" s="491"/>
      <c r="S3056" s="491"/>
      <c r="T3056" s="491"/>
      <c r="U3056" s="214">
        <f t="shared" si="1316"/>
        <v>0</v>
      </c>
      <c r="V3056" s="214">
        <f t="shared" si="1316"/>
        <v>0</v>
      </c>
      <c r="W3056" s="214">
        <f t="shared" si="1316"/>
        <v>0</v>
      </c>
      <c r="X3056" s="214">
        <f t="shared" si="1316"/>
        <v>0</v>
      </c>
      <c r="Y3056" s="214">
        <f t="shared" si="1316"/>
        <v>0</v>
      </c>
      <c r="Z3056" s="214">
        <f t="shared" si="1316"/>
        <v>0</v>
      </c>
      <c r="AA3056" s="214">
        <f t="shared" si="1316"/>
        <v>0</v>
      </c>
      <c r="AB3056" s="214">
        <f t="shared" si="1316"/>
        <v>0</v>
      </c>
      <c r="AC3056" s="214">
        <f t="shared" si="1315"/>
        <v>0</v>
      </c>
      <c r="AD3056" s="214">
        <f t="shared" si="1315"/>
        <v>0</v>
      </c>
      <c r="AE3056" s="214">
        <f t="shared" si="1315"/>
        <v>0</v>
      </c>
      <c r="AF3056" s="214">
        <f t="shared" si="1315"/>
        <v>0</v>
      </c>
      <c r="AG3056" s="214">
        <f t="shared" si="1315"/>
        <v>0</v>
      </c>
      <c r="AH3056" s="214">
        <f t="shared" si="1315"/>
        <v>0</v>
      </c>
      <c r="AI3056" s="214">
        <f t="shared" si="1317"/>
        <v>0</v>
      </c>
      <c r="AJ3056" s="214">
        <f t="shared" si="1317"/>
        <v>0</v>
      </c>
      <c r="AK3056" s="214">
        <f t="shared" si="1317"/>
        <v>0</v>
      </c>
      <c r="AL3056" s="214">
        <f t="shared" si="1317"/>
        <v>0</v>
      </c>
      <c r="AM3056" s="214">
        <f t="shared" si="1317"/>
        <v>0</v>
      </c>
      <c r="AN3056" s="214">
        <f t="shared" si="1317"/>
        <v>0</v>
      </c>
      <c r="AO3056" s="214">
        <f t="shared" si="1317"/>
        <v>0</v>
      </c>
      <c r="AP3056" s="214"/>
      <c r="AQ3056" s="214"/>
      <c r="AR3056" s="214"/>
      <c r="AS3056" s="214"/>
      <c r="AT3056" s="214"/>
      <c r="AU3056" s="214"/>
      <c r="AV3056" s="214"/>
      <c r="AW3056" s="214"/>
      <c r="AX3056" s="214"/>
      <c r="AY3056" s="214"/>
      <c r="AZ3056" s="214"/>
      <c r="BA3056" s="214"/>
      <c r="BB3056" s="214"/>
      <c r="BC3056" s="214"/>
      <c r="BD3056" s="214"/>
      <c r="BE3056" s="214"/>
      <c r="BF3056" s="214"/>
      <c r="BG3056" s="214"/>
      <c r="BH3056" s="214"/>
      <c r="BI3056" s="214"/>
      <c r="BJ3056" s="214"/>
      <c r="BK3056" s="214"/>
      <c r="BL3056" s="214"/>
      <c r="BM3056" s="214"/>
      <c r="BN3056" s="214"/>
      <c r="BO3056" s="214"/>
      <c r="BP3056" s="214"/>
      <c r="BQ3056" s="214"/>
      <c r="BR3056" s="214"/>
      <c r="BS3056" s="214"/>
      <c r="BT3056" s="214"/>
      <c r="BU3056" s="214"/>
      <c r="BV3056" s="214"/>
      <c r="BW3056" s="214"/>
      <c r="BX3056" s="214"/>
      <c r="BY3056" s="214"/>
      <c r="BZ3056" s="214"/>
      <c r="CA3056" s="214"/>
      <c r="CB3056" s="214"/>
      <c r="CC3056" s="214"/>
      <c r="CD3056" s="214"/>
      <c r="CE3056" s="230"/>
      <c r="CF3056" s="230"/>
      <c r="CG3056" s="230"/>
      <c r="CH3056" s="253"/>
      <c r="CI3056" s="76" t="str">
        <f t="shared" si="1318"/>
        <v>R11Property Tax Audit</v>
      </c>
      <c r="CJ3056" s="230"/>
      <c r="CK3056" s="230"/>
      <c r="CL3056" s="230"/>
      <c r="CM3056" s="231"/>
    </row>
    <row r="3057" spans="1:91">
      <c r="A3057" s="464"/>
      <c r="B3057" s="464"/>
      <c r="C3057" s="662" t="s">
        <v>1181</v>
      </c>
      <c r="D3057" s="689"/>
      <c r="E3057" s="422"/>
      <c r="F3057" s="422"/>
      <c r="G3057" s="461"/>
      <c r="H3057" s="678"/>
      <c r="I3057" s="462"/>
      <c r="J3057" s="462"/>
      <c r="K3057" s="422"/>
      <c r="L3057" s="655"/>
      <c r="M3057" s="422"/>
      <c r="N3057" s="463"/>
      <c r="O3057" s="463"/>
      <c r="P3057" s="689"/>
      <c r="Q3057" s="461"/>
      <c r="R3057" s="491"/>
      <c r="S3057" s="491"/>
      <c r="T3057" s="491"/>
      <c r="U3057" s="214">
        <f t="shared" si="1316"/>
        <v>0</v>
      </c>
      <c r="V3057" s="214">
        <f t="shared" si="1316"/>
        <v>0</v>
      </c>
      <c r="W3057" s="214">
        <f t="shared" si="1316"/>
        <v>0</v>
      </c>
      <c r="X3057" s="214">
        <f t="shared" si="1316"/>
        <v>0</v>
      </c>
      <c r="Y3057" s="214">
        <f t="shared" si="1316"/>
        <v>0</v>
      </c>
      <c r="Z3057" s="214">
        <f t="shared" si="1316"/>
        <v>0</v>
      </c>
      <c r="AA3057" s="214">
        <f t="shared" si="1316"/>
        <v>0</v>
      </c>
      <c r="AB3057" s="214">
        <f t="shared" si="1316"/>
        <v>0</v>
      </c>
      <c r="AC3057" s="214">
        <f t="shared" si="1315"/>
        <v>0</v>
      </c>
      <c r="AD3057" s="214">
        <f t="shared" si="1315"/>
        <v>0</v>
      </c>
      <c r="AE3057" s="214">
        <f t="shared" si="1315"/>
        <v>0</v>
      </c>
      <c r="AF3057" s="214">
        <f t="shared" si="1315"/>
        <v>0</v>
      </c>
      <c r="AG3057" s="214">
        <f t="shared" si="1315"/>
        <v>0</v>
      </c>
      <c r="AH3057" s="214">
        <f t="shared" si="1315"/>
        <v>0</v>
      </c>
      <c r="AI3057" s="214">
        <f t="shared" si="1317"/>
        <v>0</v>
      </c>
      <c r="AJ3057" s="214">
        <f t="shared" si="1317"/>
        <v>0</v>
      </c>
      <c r="AK3057" s="214">
        <f t="shared" si="1317"/>
        <v>0</v>
      </c>
      <c r="AL3057" s="214">
        <f t="shared" si="1317"/>
        <v>0</v>
      </c>
      <c r="AM3057" s="214">
        <f t="shared" si="1317"/>
        <v>0</v>
      </c>
      <c r="AN3057" s="214">
        <f t="shared" si="1317"/>
        <v>0</v>
      </c>
      <c r="AO3057" s="214">
        <f t="shared" si="1317"/>
        <v>0</v>
      </c>
      <c r="AP3057" s="214"/>
      <c r="AQ3057" s="214"/>
      <c r="AR3057" s="214"/>
      <c r="AS3057" s="214"/>
      <c r="AT3057" s="214"/>
      <c r="AU3057" s="214"/>
      <c r="AV3057" s="214"/>
      <c r="AW3057" s="214"/>
      <c r="AX3057" s="214"/>
      <c r="AY3057" s="214"/>
      <c r="AZ3057" s="214"/>
      <c r="BA3057" s="214"/>
      <c r="BB3057" s="214"/>
      <c r="BC3057" s="214"/>
      <c r="BD3057" s="214"/>
      <c r="BE3057" s="214"/>
      <c r="BF3057" s="214"/>
      <c r="BG3057" s="214"/>
      <c r="BH3057" s="214"/>
      <c r="BI3057" s="214"/>
      <c r="BJ3057" s="214"/>
      <c r="BK3057" s="214"/>
      <c r="BL3057" s="214"/>
      <c r="BM3057" s="214"/>
      <c r="BN3057" s="214"/>
      <c r="BO3057" s="214"/>
      <c r="BP3057" s="214"/>
      <c r="BQ3057" s="214"/>
      <c r="BR3057" s="214"/>
      <c r="BS3057" s="214"/>
      <c r="BT3057" s="214"/>
      <c r="BU3057" s="214"/>
      <c r="BV3057" s="214"/>
      <c r="BW3057" s="214"/>
      <c r="BX3057" s="214"/>
      <c r="BY3057" s="214"/>
      <c r="BZ3057" s="214"/>
      <c r="CA3057" s="214"/>
      <c r="CB3057" s="214"/>
      <c r="CC3057" s="214"/>
      <c r="CD3057" s="214"/>
      <c r="CE3057" s="230"/>
      <c r="CF3057" s="230"/>
      <c r="CG3057" s="230"/>
      <c r="CH3057" s="253"/>
      <c r="CI3057" s="76" t="str">
        <f t="shared" si="1318"/>
        <v>R11Property Tax 481(a)</v>
      </c>
      <c r="CJ3057" s="230"/>
      <c r="CK3057" s="230"/>
      <c r="CL3057" s="230"/>
      <c r="CM3057" s="231"/>
    </row>
    <row r="3058" spans="1:91">
      <c r="A3058" s="464"/>
      <c r="B3058" s="464"/>
      <c r="C3058" s="662" t="s">
        <v>1113</v>
      </c>
      <c r="D3058" s="689"/>
      <c r="E3058" s="422"/>
      <c r="F3058" s="422"/>
      <c r="G3058" s="461"/>
      <c r="H3058" s="678"/>
      <c r="I3058" s="462"/>
      <c r="J3058" s="462"/>
      <c r="K3058" s="422"/>
      <c r="L3058" s="655"/>
      <c r="M3058" s="422"/>
      <c r="N3058" s="463"/>
      <c r="O3058" s="463"/>
      <c r="P3058" s="689"/>
      <c r="Q3058" s="461"/>
      <c r="R3058" s="491"/>
      <c r="S3058" s="491"/>
      <c r="T3058" s="491"/>
      <c r="U3058" s="214">
        <f t="shared" si="1316"/>
        <v>0</v>
      </c>
      <c r="V3058" s="214">
        <f t="shared" si="1316"/>
        <v>0</v>
      </c>
      <c r="W3058" s="214">
        <f t="shared" si="1316"/>
        <v>0</v>
      </c>
      <c r="X3058" s="214">
        <f t="shared" si="1316"/>
        <v>0</v>
      </c>
      <c r="Y3058" s="214">
        <f t="shared" si="1316"/>
        <v>0</v>
      </c>
      <c r="Z3058" s="214">
        <f t="shared" si="1316"/>
        <v>0</v>
      </c>
      <c r="AA3058" s="214">
        <f t="shared" si="1316"/>
        <v>0</v>
      </c>
      <c r="AB3058" s="214">
        <f t="shared" si="1316"/>
        <v>0</v>
      </c>
      <c r="AC3058" s="214">
        <f t="shared" si="1315"/>
        <v>0</v>
      </c>
      <c r="AD3058" s="214">
        <f t="shared" si="1315"/>
        <v>0</v>
      </c>
      <c r="AE3058" s="214">
        <f t="shared" si="1315"/>
        <v>0</v>
      </c>
      <c r="AF3058" s="214">
        <f t="shared" si="1315"/>
        <v>0</v>
      </c>
      <c r="AG3058" s="214">
        <f t="shared" si="1315"/>
        <v>0</v>
      </c>
      <c r="AH3058" s="214">
        <f t="shared" si="1315"/>
        <v>0</v>
      </c>
      <c r="AI3058" s="214">
        <f t="shared" si="1317"/>
        <v>0</v>
      </c>
      <c r="AJ3058" s="214">
        <f t="shared" si="1317"/>
        <v>0</v>
      </c>
      <c r="AK3058" s="214">
        <f t="shared" si="1317"/>
        <v>0</v>
      </c>
      <c r="AL3058" s="214">
        <f t="shared" si="1317"/>
        <v>0</v>
      </c>
      <c r="AM3058" s="214">
        <f t="shared" si="1317"/>
        <v>0</v>
      </c>
      <c r="AN3058" s="214">
        <f t="shared" si="1317"/>
        <v>0</v>
      </c>
      <c r="AO3058" s="214">
        <f t="shared" si="1317"/>
        <v>0</v>
      </c>
      <c r="AP3058" s="214"/>
      <c r="AQ3058" s="214"/>
      <c r="AR3058" s="214"/>
      <c r="AS3058" s="214"/>
      <c r="AT3058" s="214"/>
      <c r="AU3058" s="214"/>
      <c r="AV3058" s="214"/>
      <c r="AW3058" s="214"/>
      <c r="AX3058" s="214"/>
      <c r="AY3058" s="214"/>
      <c r="AZ3058" s="214"/>
      <c r="BA3058" s="214"/>
      <c r="BB3058" s="214"/>
      <c r="BC3058" s="214"/>
      <c r="BD3058" s="214"/>
      <c r="BE3058" s="214"/>
      <c r="BF3058" s="214"/>
      <c r="BG3058" s="214"/>
      <c r="BH3058" s="214"/>
      <c r="BI3058" s="214"/>
      <c r="BJ3058" s="214"/>
      <c r="BK3058" s="214"/>
      <c r="BL3058" s="214"/>
      <c r="BM3058" s="214"/>
      <c r="BN3058" s="214"/>
      <c r="BO3058" s="214"/>
      <c r="BP3058" s="214"/>
      <c r="BQ3058" s="214"/>
      <c r="BR3058" s="214"/>
      <c r="BS3058" s="214"/>
      <c r="BT3058" s="214"/>
      <c r="BU3058" s="214"/>
      <c r="BV3058" s="214"/>
      <c r="BW3058" s="214"/>
      <c r="BX3058" s="214"/>
      <c r="BY3058" s="214"/>
      <c r="BZ3058" s="214"/>
      <c r="CA3058" s="214"/>
      <c r="CB3058" s="214"/>
      <c r="CC3058" s="214"/>
      <c r="CD3058" s="214"/>
      <c r="CE3058" s="230"/>
      <c r="CF3058" s="230"/>
      <c r="CG3058" s="230"/>
      <c r="CH3058" s="253"/>
      <c r="CI3058" s="76" t="str">
        <f t="shared" si="1318"/>
        <v>R11Property Tax Deferral</v>
      </c>
      <c r="CJ3058" s="230"/>
      <c r="CK3058" s="230"/>
      <c r="CL3058" s="230"/>
      <c r="CM3058" s="231"/>
    </row>
    <row r="3059" spans="1:91">
      <c r="A3059" s="464"/>
      <c r="B3059" s="464"/>
      <c r="C3059" s="662" t="s">
        <v>817</v>
      </c>
      <c r="D3059" s="689"/>
      <c r="E3059" s="422"/>
      <c r="F3059" s="422"/>
      <c r="G3059" s="461"/>
      <c r="H3059" s="678"/>
      <c r="I3059" s="462"/>
      <c r="J3059" s="462"/>
      <c r="K3059" s="422"/>
      <c r="L3059" s="655"/>
      <c r="M3059" s="422"/>
      <c r="N3059" s="463"/>
      <c r="O3059" s="463"/>
      <c r="P3059" s="689"/>
      <c r="Q3059" s="461"/>
      <c r="R3059" s="491"/>
      <c r="S3059" s="491"/>
      <c r="T3059" s="491"/>
      <c r="U3059" s="214">
        <f t="shared" si="1316"/>
        <v>0</v>
      </c>
      <c r="V3059" s="214">
        <f t="shared" si="1316"/>
        <v>0</v>
      </c>
      <c r="W3059" s="214">
        <f t="shared" si="1316"/>
        <v>0</v>
      </c>
      <c r="X3059" s="214">
        <f t="shared" si="1316"/>
        <v>0</v>
      </c>
      <c r="Y3059" s="214">
        <f t="shared" si="1316"/>
        <v>0</v>
      </c>
      <c r="Z3059" s="214">
        <f t="shared" si="1316"/>
        <v>0</v>
      </c>
      <c r="AA3059" s="214">
        <f t="shared" si="1316"/>
        <v>0</v>
      </c>
      <c r="AB3059" s="214">
        <f t="shared" si="1316"/>
        <v>0</v>
      </c>
      <c r="AC3059" s="214">
        <f t="shared" si="1315"/>
        <v>0</v>
      </c>
      <c r="AD3059" s="214">
        <f t="shared" si="1315"/>
        <v>0</v>
      </c>
      <c r="AE3059" s="214">
        <f t="shared" si="1315"/>
        <v>0</v>
      </c>
      <c r="AF3059" s="214">
        <f t="shared" si="1315"/>
        <v>0</v>
      </c>
      <c r="AG3059" s="214">
        <f t="shared" si="1315"/>
        <v>0</v>
      </c>
      <c r="AH3059" s="214">
        <f t="shared" si="1315"/>
        <v>0</v>
      </c>
      <c r="AI3059" s="214">
        <f t="shared" si="1317"/>
        <v>0</v>
      </c>
      <c r="AJ3059" s="214">
        <f t="shared" si="1317"/>
        <v>0</v>
      </c>
      <c r="AK3059" s="214">
        <f t="shared" si="1317"/>
        <v>0</v>
      </c>
      <c r="AL3059" s="214">
        <f t="shared" si="1317"/>
        <v>0</v>
      </c>
      <c r="AM3059" s="214">
        <f t="shared" si="1317"/>
        <v>0</v>
      </c>
      <c r="AN3059" s="214">
        <f t="shared" si="1317"/>
        <v>0</v>
      </c>
      <c r="AO3059" s="214">
        <f t="shared" si="1317"/>
        <v>0</v>
      </c>
      <c r="AP3059" s="214"/>
      <c r="AQ3059" s="214"/>
      <c r="AR3059" s="214"/>
      <c r="AS3059" s="214"/>
      <c r="AT3059" s="214"/>
      <c r="AU3059" s="214"/>
      <c r="AV3059" s="214"/>
      <c r="AW3059" s="214"/>
      <c r="AX3059" s="214"/>
      <c r="AY3059" s="214"/>
      <c r="AZ3059" s="214"/>
      <c r="BA3059" s="214"/>
      <c r="BB3059" s="214"/>
      <c r="BC3059" s="214"/>
      <c r="BD3059" s="214"/>
      <c r="BE3059" s="214"/>
      <c r="BF3059" s="214"/>
      <c r="BG3059" s="214"/>
      <c r="BH3059" s="214"/>
      <c r="BI3059" s="214"/>
      <c r="BJ3059" s="214"/>
      <c r="BK3059" s="214"/>
      <c r="BL3059" s="214"/>
      <c r="BM3059" s="214"/>
      <c r="BN3059" s="214"/>
      <c r="BO3059" s="214"/>
      <c r="BP3059" s="214"/>
      <c r="BQ3059" s="214"/>
      <c r="BR3059" s="214"/>
      <c r="BS3059" s="214"/>
      <c r="BT3059" s="214"/>
      <c r="BU3059" s="214"/>
      <c r="BV3059" s="214"/>
      <c r="BW3059" s="214"/>
      <c r="BX3059" s="214"/>
      <c r="BY3059" s="214"/>
      <c r="BZ3059" s="214"/>
      <c r="CA3059" s="214"/>
      <c r="CB3059" s="214"/>
      <c r="CC3059" s="214"/>
      <c r="CD3059" s="214"/>
      <c r="CE3059" s="230"/>
      <c r="CF3059" s="230"/>
      <c r="CG3059" s="230"/>
      <c r="CH3059" s="253"/>
      <c r="CI3059" s="76" t="str">
        <f t="shared" si="1318"/>
        <v>R11PSC Assessment</v>
      </c>
      <c r="CJ3059" s="230"/>
      <c r="CK3059" s="230"/>
      <c r="CL3059" s="230"/>
      <c r="CM3059" s="231"/>
    </row>
    <row r="3060" spans="1:91">
      <c r="A3060" s="464"/>
      <c r="B3060" s="464"/>
      <c r="C3060" s="662" t="s">
        <v>1245</v>
      </c>
      <c r="D3060" s="689"/>
      <c r="E3060" s="422"/>
      <c r="F3060" s="422"/>
      <c r="G3060" s="461"/>
      <c r="H3060" s="678"/>
      <c r="I3060" s="462"/>
      <c r="J3060" s="462"/>
      <c r="K3060" s="422"/>
      <c r="L3060" s="655"/>
      <c r="M3060" s="422"/>
      <c r="N3060" s="463"/>
      <c r="O3060" s="463"/>
      <c r="P3060" s="689"/>
      <c r="Q3060" s="461"/>
      <c r="R3060" s="491"/>
      <c r="S3060" s="491"/>
      <c r="T3060" s="491"/>
      <c r="U3060" s="214">
        <f t="shared" si="1316"/>
        <v>0</v>
      </c>
      <c r="V3060" s="214">
        <f t="shared" si="1316"/>
        <v>-1390.144126666667</v>
      </c>
      <c r="W3060" s="214">
        <f t="shared" si="1316"/>
        <v>0</v>
      </c>
      <c r="X3060" s="214">
        <f t="shared" si="1316"/>
        <v>-1390.144126666667</v>
      </c>
      <c r="Y3060" s="214">
        <f t="shared" si="1316"/>
        <v>0</v>
      </c>
      <c r="Z3060" s="214">
        <f t="shared" si="1316"/>
        <v>-1205.94183</v>
      </c>
      <c r="AA3060" s="214">
        <f t="shared" si="1316"/>
        <v>0</v>
      </c>
      <c r="AB3060" s="214">
        <f t="shared" si="1316"/>
        <v>-1205.94183</v>
      </c>
      <c r="AC3060" s="214">
        <f t="shared" ref="AC3060:AH3069" si="1319">SUMIF($AR:$AR,$CI3060,AC:AC)</f>
        <v>-1221.7883899999999</v>
      </c>
      <c r="AD3060" s="214">
        <f t="shared" si="1319"/>
        <v>-1702.13221</v>
      </c>
      <c r="AE3060" s="214">
        <f t="shared" si="1319"/>
        <v>-1221.7883899999999</v>
      </c>
      <c r="AF3060" s="214">
        <f t="shared" si="1319"/>
        <v>-1221.7883899999999</v>
      </c>
      <c r="AG3060" s="214">
        <f t="shared" si="1319"/>
        <v>-1221.7883899999999</v>
      </c>
      <c r="AH3060" s="214">
        <f t="shared" si="1319"/>
        <v>-1567.17137</v>
      </c>
      <c r="AI3060" s="214">
        <f t="shared" si="1317"/>
        <v>-1582.04862</v>
      </c>
      <c r="AJ3060" s="214">
        <f t="shared" si="1317"/>
        <v>-1601.4761100000001</v>
      </c>
      <c r="AK3060" s="214">
        <f t="shared" si="1317"/>
        <v>-1221.7883899999999</v>
      </c>
      <c r="AL3060" s="214">
        <f t="shared" si="1317"/>
        <v>-1221.7883899999999</v>
      </c>
      <c r="AM3060" s="214">
        <f t="shared" si="1317"/>
        <v>-1677.5445</v>
      </c>
      <c r="AN3060" s="214">
        <f t="shared" si="1317"/>
        <v>-1228.5496499999999</v>
      </c>
      <c r="AO3060" s="214">
        <f t="shared" si="1317"/>
        <v>-1205.94183</v>
      </c>
      <c r="AP3060" s="214"/>
      <c r="AQ3060" s="214"/>
      <c r="AR3060" s="214"/>
      <c r="AS3060" s="214"/>
      <c r="AT3060" s="214"/>
      <c r="AU3060" s="214"/>
      <c r="AV3060" s="214"/>
      <c r="AW3060" s="214"/>
      <c r="AX3060" s="214"/>
      <c r="AY3060" s="214"/>
      <c r="AZ3060" s="214"/>
      <c r="BA3060" s="214"/>
      <c r="BB3060" s="214"/>
      <c r="BC3060" s="214"/>
      <c r="BD3060" s="214"/>
      <c r="BE3060" s="214"/>
      <c r="BF3060" s="214"/>
      <c r="BG3060" s="214"/>
      <c r="BH3060" s="214"/>
      <c r="BI3060" s="214"/>
      <c r="BJ3060" s="214"/>
      <c r="BK3060" s="214"/>
      <c r="BL3060" s="214"/>
      <c r="BM3060" s="214"/>
      <c r="BN3060" s="214"/>
      <c r="BO3060" s="214"/>
      <c r="BP3060" s="214"/>
      <c r="BQ3060" s="214"/>
      <c r="BR3060" s="214"/>
      <c r="BS3060" s="214"/>
      <c r="BT3060" s="214"/>
      <c r="BU3060" s="214"/>
      <c r="BV3060" s="214"/>
      <c r="BW3060" s="214"/>
      <c r="BX3060" s="214"/>
      <c r="BY3060" s="214"/>
      <c r="BZ3060" s="214"/>
      <c r="CA3060" s="214"/>
      <c r="CB3060" s="214"/>
      <c r="CC3060" s="214"/>
      <c r="CD3060" s="214"/>
      <c r="CE3060" s="230"/>
      <c r="CF3060" s="230"/>
      <c r="CG3060" s="230"/>
      <c r="CH3060" s="253"/>
      <c r="CI3060" s="76" t="str">
        <f t="shared" si="1318"/>
        <v>R11Purchase of Receivables</v>
      </c>
      <c r="CJ3060" s="230"/>
      <c r="CK3060" s="230"/>
      <c r="CL3060" s="230"/>
      <c r="CM3060" s="231"/>
    </row>
    <row r="3061" spans="1:91">
      <c r="A3061" s="464"/>
      <c r="B3061" s="464"/>
      <c r="C3061" s="662" t="s">
        <v>1124</v>
      </c>
      <c r="D3061" s="689"/>
      <c r="E3061" s="422"/>
      <c r="F3061" s="422"/>
      <c r="G3061" s="461"/>
      <c r="H3061" s="678"/>
      <c r="I3061" s="462"/>
      <c r="J3061" s="462"/>
      <c r="K3061" s="422"/>
      <c r="L3061" s="655"/>
      <c r="M3061" s="422"/>
      <c r="N3061" s="463"/>
      <c r="O3061" s="463"/>
      <c r="P3061" s="689"/>
      <c r="Q3061" s="461"/>
      <c r="R3061" s="491"/>
      <c r="S3061" s="491"/>
      <c r="T3061" s="491"/>
      <c r="U3061" s="214">
        <f t="shared" si="1316"/>
        <v>611.18489375000001</v>
      </c>
      <c r="V3061" s="214">
        <f t="shared" si="1316"/>
        <v>429.60460166666667</v>
      </c>
      <c r="W3061" s="214">
        <f t="shared" si="1316"/>
        <v>0</v>
      </c>
      <c r="X3061" s="214">
        <f t="shared" si="1316"/>
        <v>1040.7894954166666</v>
      </c>
      <c r="Y3061" s="214">
        <f t="shared" si="1316"/>
        <v>621.02610000000004</v>
      </c>
      <c r="Z3061" s="214">
        <f t="shared" si="1316"/>
        <v>460.68789000000004</v>
      </c>
      <c r="AA3061" s="214">
        <f t="shared" si="1316"/>
        <v>0</v>
      </c>
      <c r="AB3061" s="214">
        <f t="shared" si="1316"/>
        <v>1081.71399</v>
      </c>
      <c r="AC3061" s="214">
        <f t="shared" si="1319"/>
        <v>1023.8818800000001</v>
      </c>
      <c r="AD3061" s="214">
        <f t="shared" si="1319"/>
        <v>1039.2385100000001</v>
      </c>
      <c r="AE3061" s="214">
        <f t="shared" si="1319"/>
        <v>1040.6693200000002</v>
      </c>
      <c r="AF3061" s="214">
        <f t="shared" si="1319"/>
        <v>1042.0973700000002</v>
      </c>
      <c r="AG3061" s="214">
        <f t="shared" si="1319"/>
        <v>1019.5230100000001</v>
      </c>
      <c r="AH3061" s="214">
        <f t="shared" si="1319"/>
        <v>1014.9457500000001</v>
      </c>
      <c r="AI3061" s="214">
        <f t="shared" si="1317"/>
        <v>1013.7068900000002</v>
      </c>
      <c r="AJ3061" s="214">
        <f t="shared" si="1317"/>
        <v>1009.1241800000001</v>
      </c>
      <c r="AK3061" s="214">
        <f t="shared" si="1317"/>
        <v>1051.2053599999999</v>
      </c>
      <c r="AL3061" s="214">
        <f t="shared" si="1317"/>
        <v>1051.4504400000001</v>
      </c>
      <c r="AM3061" s="214">
        <f t="shared" si="1317"/>
        <v>1075.2378500000002</v>
      </c>
      <c r="AN3061" s="214">
        <f t="shared" si="1317"/>
        <v>1079.4773299999999</v>
      </c>
      <c r="AO3061" s="214">
        <f t="shared" si="1317"/>
        <v>1081.71399</v>
      </c>
      <c r="AP3061" s="214"/>
      <c r="AQ3061" s="214"/>
      <c r="AR3061" s="214"/>
      <c r="AS3061" s="214"/>
      <c r="AT3061" s="214"/>
      <c r="AU3061" s="214"/>
      <c r="AV3061" s="214"/>
      <c r="AW3061" s="214"/>
      <c r="AX3061" s="214"/>
      <c r="AY3061" s="214"/>
      <c r="AZ3061" s="214"/>
      <c r="BA3061" s="214"/>
      <c r="BB3061" s="214"/>
      <c r="BC3061" s="214"/>
      <c r="BD3061" s="214"/>
      <c r="BE3061" s="214"/>
      <c r="BF3061" s="214"/>
      <c r="BG3061" s="214"/>
      <c r="BH3061" s="214"/>
      <c r="BI3061" s="214"/>
      <c r="BJ3061" s="214"/>
      <c r="BK3061" s="214"/>
      <c r="BL3061" s="214"/>
      <c r="BM3061" s="214"/>
      <c r="BN3061" s="214"/>
      <c r="BO3061" s="214"/>
      <c r="BP3061" s="214"/>
      <c r="BQ3061" s="214"/>
      <c r="BR3061" s="214"/>
      <c r="BS3061" s="214"/>
      <c r="BT3061" s="214"/>
      <c r="BU3061" s="214"/>
      <c r="BV3061" s="214"/>
      <c r="BW3061" s="214"/>
      <c r="BX3061" s="214"/>
      <c r="BY3061" s="214"/>
      <c r="BZ3061" s="214"/>
      <c r="CA3061" s="214"/>
      <c r="CB3061" s="214"/>
      <c r="CC3061" s="214"/>
      <c r="CD3061" s="214"/>
      <c r="CE3061" s="230"/>
      <c r="CF3061" s="230"/>
      <c r="CG3061" s="230"/>
      <c r="CH3061" s="253"/>
      <c r="CI3061" s="76" t="str">
        <f t="shared" si="1318"/>
        <v>R11R&amp;D Tax Credit Deferral</v>
      </c>
      <c r="CJ3061" s="230"/>
      <c r="CK3061" s="230"/>
      <c r="CL3061" s="230"/>
      <c r="CM3061" s="231"/>
    </row>
    <row r="3062" spans="1:91">
      <c r="A3062" s="464"/>
      <c r="B3062" s="464"/>
      <c r="C3062" s="662" t="s">
        <v>1983</v>
      </c>
      <c r="D3062" s="689"/>
      <c r="E3062" s="422"/>
      <c r="F3062" s="422"/>
      <c r="G3062" s="461"/>
      <c r="H3062" s="678"/>
      <c r="I3062" s="462"/>
      <c r="J3062" s="462"/>
      <c r="K3062" s="422"/>
      <c r="L3062" s="655"/>
      <c r="M3062" s="422"/>
      <c r="N3062" s="463"/>
      <c r="O3062" s="463"/>
      <c r="P3062" s="689"/>
      <c r="Q3062" s="461"/>
      <c r="R3062" s="491"/>
      <c r="S3062" s="491"/>
      <c r="T3062" s="491"/>
      <c r="U3062" s="214">
        <f t="shared" si="1316"/>
        <v>0</v>
      </c>
      <c r="V3062" s="214">
        <f t="shared" si="1316"/>
        <v>0</v>
      </c>
      <c r="W3062" s="214">
        <f t="shared" si="1316"/>
        <v>0</v>
      </c>
      <c r="X3062" s="214">
        <f t="shared" si="1316"/>
        <v>0</v>
      </c>
      <c r="Y3062" s="214">
        <f t="shared" si="1316"/>
        <v>0</v>
      </c>
      <c r="Z3062" s="214">
        <f t="shared" si="1316"/>
        <v>0</v>
      </c>
      <c r="AA3062" s="214">
        <f t="shared" si="1316"/>
        <v>0</v>
      </c>
      <c r="AB3062" s="214">
        <f t="shared" si="1316"/>
        <v>0</v>
      </c>
      <c r="AC3062" s="214">
        <f t="shared" si="1319"/>
        <v>0</v>
      </c>
      <c r="AD3062" s="214">
        <f t="shared" si="1319"/>
        <v>0</v>
      </c>
      <c r="AE3062" s="214">
        <f t="shared" si="1319"/>
        <v>0</v>
      </c>
      <c r="AF3062" s="214">
        <f t="shared" si="1319"/>
        <v>0</v>
      </c>
      <c r="AG3062" s="214">
        <f t="shared" si="1319"/>
        <v>0</v>
      </c>
      <c r="AH3062" s="214">
        <f t="shared" si="1319"/>
        <v>0</v>
      </c>
      <c r="AI3062" s="214">
        <f t="shared" si="1317"/>
        <v>0</v>
      </c>
      <c r="AJ3062" s="214">
        <f t="shared" si="1317"/>
        <v>0</v>
      </c>
      <c r="AK3062" s="214">
        <f t="shared" si="1317"/>
        <v>0</v>
      </c>
      <c r="AL3062" s="214">
        <f t="shared" si="1317"/>
        <v>0</v>
      </c>
      <c r="AM3062" s="214">
        <f t="shared" si="1317"/>
        <v>0</v>
      </c>
      <c r="AN3062" s="214">
        <f t="shared" si="1317"/>
        <v>0</v>
      </c>
      <c r="AO3062" s="214">
        <f t="shared" si="1317"/>
        <v>0</v>
      </c>
      <c r="AP3062" s="214"/>
      <c r="AQ3062" s="214"/>
      <c r="AR3062" s="214"/>
      <c r="AS3062" s="214"/>
      <c r="AT3062" s="214"/>
      <c r="AU3062" s="214"/>
      <c r="AV3062" s="214"/>
      <c r="AW3062" s="214"/>
      <c r="AX3062" s="214"/>
      <c r="AY3062" s="214"/>
      <c r="AZ3062" s="214"/>
      <c r="BA3062" s="214"/>
      <c r="BB3062" s="214"/>
      <c r="BC3062" s="214"/>
      <c r="BD3062" s="214"/>
      <c r="BE3062" s="214"/>
      <c r="BF3062" s="214"/>
      <c r="BG3062" s="214"/>
      <c r="BH3062" s="214"/>
      <c r="BI3062" s="214"/>
      <c r="BJ3062" s="214"/>
      <c r="BK3062" s="214"/>
      <c r="BL3062" s="214"/>
      <c r="BM3062" s="214"/>
      <c r="BN3062" s="214"/>
      <c r="BO3062" s="214"/>
      <c r="BP3062" s="214"/>
      <c r="BQ3062" s="214"/>
      <c r="BR3062" s="214"/>
      <c r="BS3062" s="214"/>
      <c r="BT3062" s="214"/>
      <c r="BU3062" s="214"/>
      <c r="BV3062" s="214"/>
      <c r="BW3062" s="214"/>
      <c r="BX3062" s="214"/>
      <c r="BY3062" s="214"/>
      <c r="BZ3062" s="214"/>
      <c r="CA3062" s="214"/>
      <c r="CB3062" s="214"/>
      <c r="CC3062" s="214"/>
      <c r="CD3062" s="214"/>
      <c r="CE3062" s="230"/>
      <c r="CF3062" s="230"/>
      <c r="CG3062" s="230"/>
      <c r="CH3062" s="253" t="str">
        <f>CONCATENATE(L3062,H3062)</f>
        <v/>
      </c>
      <c r="CI3062" s="76" t="str">
        <f t="shared" si="1318"/>
        <v>R11Reaquired Debt</v>
      </c>
      <c r="CJ3062" s="230"/>
      <c r="CK3062" s="230"/>
      <c r="CL3062" s="230"/>
      <c r="CM3062" s="231"/>
    </row>
    <row r="3063" spans="1:91">
      <c r="A3063" s="464"/>
      <c r="B3063" s="464"/>
      <c r="C3063" s="662" t="s">
        <v>2694</v>
      </c>
      <c r="D3063" s="689"/>
      <c r="E3063" s="422"/>
      <c r="F3063" s="422"/>
      <c r="G3063" s="461"/>
      <c r="H3063" s="678"/>
      <c r="I3063" s="462"/>
      <c r="J3063" s="462"/>
      <c r="K3063" s="422"/>
      <c r="L3063" s="655"/>
      <c r="M3063" s="422"/>
      <c r="N3063" s="463"/>
      <c r="O3063" s="463"/>
      <c r="P3063" s="689"/>
      <c r="Q3063" s="461"/>
      <c r="R3063" s="491"/>
      <c r="S3063" s="491"/>
      <c r="T3063" s="491"/>
      <c r="U3063" s="214">
        <f t="shared" si="1316"/>
        <v>4189.6840975000005</v>
      </c>
      <c r="V3063" s="214">
        <f t="shared" si="1316"/>
        <v>0</v>
      </c>
      <c r="W3063" s="214">
        <f t="shared" si="1316"/>
        <v>0</v>
      </c>
      <c r="X3063" s="214">
        <f t="shared" si="1316"/>
        <v>4189.6840975000005</v>
      </c>
      <c r="Y3063" s="214">
        <f t="shared" si="1316"/>
        <v>3578.8542400000001</v>
      </c>
      <c r="Z3063" s="214">
        <f t="shared" si="1316"/>
        <v>0</v>
      </c>
      <c r="AA3063" s="214">
        <f t="shared" si="1316"/>
        <v>0</v>
      </c>
      <c r="AB3063" s="214">
        <f t="shared" si="1316"/>
        <v>3578.8542400000001</v>
      </c>
      <c r="AC3063" s="214">
        <f t="shared" si="1319"/>
        <v>4446.0941199999997</v>
      </c>
      <c r="AD3063" s="214">
        <f t="shared" si="1319"/>
        <v>4428.0835200000001</v>
      </c>
      <c r="AE3063" s="214">
        <f t="shared" si="1319"/>
        <v>4413.8877599999996</v>
      </c>
      <c r="AF3063" s="214">
        <f t="shared" si="1319"/>
        <v>4365.2892099999999</v>
      </c>
      <c r="AG3063" s="214">
        <f t="shared" si="1319"/>
        <v>4346.3903499999997</v>
      </c>
      <c r="AH3063" s="214">
        <f t="shared" si="1319"/>
        <v>4276.1679199999999</v>
      </c>
      <c r="AI3063" s="214">
        <f t="shared" si="1317"/>
        <v>4260.2915599999997</v>
      </c>
      <c r="AJ3063" s="214">
        <f t="shared" si="1317"/>
        <v>4216.4777200000008</v>
      </c>
      <c r="AK3063" s="214">
        <f t="shared" si="1317"/>
        <v>4043.2585200000003</v>
      </c>
      <c r="AL3063" s="214">
        <f t="shared" si="1317"/>
        <v>3998.5466800000004</v>
      </c>
      <c r="AM3063" s="214">
        <f t="shared" si="1317"/>
        <v>3974.1829799999996</v>
      </c>
      <c r="AN3063" s="214">
        <f t="shared" si="1317"/>
        <v>3941.15877</v>
      </c>
      <c r="AO3063" s="214">
        <f t="shared" si="1317"/>
        <v>3578.8542400000001</v>
      </c>
      <c r="AP3063" s="214"/>
      <c r="AQ3063" s="214"/>
      <c r="AR3063" s="214"/>
      <c r="AS3063" s="214"/>
      <c r="AT3063" s="214"/>
      <c r="AU3063" s="214"/>
      <c r="AV3063" s="214"/>
      <c r="AW3063" s="214"/>
      <c r="AX3063" s="214"/>
      <c r="AY3063" s="214"/>
      <c r="AZ3063" s="214"/>
      <c r="BA3063" s="214"/>
      <c r="BB3063" s="214"/>
      <c r="BC3063" s="214"/>
      <c r="BD3063" s="214"/>
      <c r="BE3063" s="214"/>
      <c r="BF3063" s="214"/>
      <c r="BG3063" s="214"/>
      <c r="BH3063" s="214"/>
      <c r="BI3063" s="214"/>
      <c r="BJ3063" s="214"/>
      <c r="BK3063" s="214"/>
      <c r="BL3063" s="214"/>
      <c r="BM3063" s="214"/>
      <c r="BN3063" s="214"/>
      <c r="BO3063" s="214"/>
      <c r="BP3063" s="214"/>
      <c r="BQ3063" s="214"/>
      <c r="BR3063" s="214"/>
      <c r="BS3063" s="214"/>
      <c r="BT3063" s="214"/>
      <c r="BU3063" s="214"/>
      <c r="BV3063" s="214"/>
      <c r="BW3063" s="214"/>
      <c r="BX3063" s="214"/>
      <c r="BY3063" s="214"/>
      <c r="BZ3063" s="214"/>
      <c r="CA3063" s="214"/>
      <c r="CB3063" s="214"/>
      <c r="CC3063" s="214"/>
      <c r="CD3063" s="214"/>
      <c r="CE3063" s="230"/>
      <c r="CF3063" s="230"/>
      <c r="CG3063" s="230"/>
      <c r="CH3063" s="253" t="str">
        <f>CONCATENATE(L3063,H3063)</f>
        <v/>
      </c>
      <c r="CI3063" s="76" t="str">
        <f t="shared" si="1318"/>
        <v>R11Russell Decommissioning Reserve</v>
      </c>
      <c r="CJ3063" s="230"/>
      <c r="CK3063" s="230"/>
      <c r="CL3063" s="230"/>
      <c r="CM3063" s="231"/>
    </row>
    <row r="3064" spans="1:91">
      <c r="A3064" s="464"/>
      <c r="B3064" s="464"/>
      <c r="C3064" s="662" t="s">
        <v>1114</v>
      </c>
      <c r="D3064" s="689"/>
      <c r="E3064" s="422"/>
      <c r="F3064" s="422"/>
      <c r="G3064" s="461"/>
      <c r="H3064" s="678"/>
      <c r="I3064" s="462"/>
      <c r="J3064" s="462"/>
      <c r="K3064" s="422"/>
      <c r="L3064" s="655"/>
      <c r="M3064" s="422"/>
      <c r="N3064" s="463"/>
      <c r="O3064" s="463"/>
      <c r="P3064" s="689"/>
      <c r="Q3064" s="461"/>
      <c r="R3064" s="491"/>
      <c r="S3064" s="491"/>
      <c r="T3064" s="491"/>
      <c r="U3064" s="214">
        <f t="shared" ref="U3064:AB3078" si="1320">SUMIF($AR:$AR,$CI3064,U:U)</f>
        <v>-153.08605</v>
      </c>
      <c r="V3064" s="214">
        <f t="shared" si="1320"/>
        <v>-76.220660000000009</v>
      </c>
      <c r="W3064" s="214">
        <f t="shared" si="1320"/>
        <v>0</v>
      </c>
      <c r="X3064" s="214">
        <f t="shared" si="1320"/>
        <v>-229.30670999999998</v>
      </c>
      <c r="Y3064" s="214">
        <f t="shared" si="1320"/>
        <v>-153.08605</v>
      </c>
      <c r="Z3064" s="214">
        <f t="shared" si="1320"/>
        <v>-76.220660000000009</v>
      </c>
      <c r="AA3064" s="214">
        <f t="shared" si="1320"/>
        <v>0</v>
      </c>
      <c r="AB3064" s="214">
        <f t="shared" si="1320"/>
        <v>-229.30670999999998</v>
      </c>
      <c r="AC3064" s="214">
        <f t="shared" si="1319"/>
        <v>-229.30670999999998</v>
      </c>
      <c r="AD3064" s="214">
        <f t="shared" si="1319"/>
        <v>-229.30670999999998</v>
      </c>
      <c r="AE3064" s="214">
        <f t="shared" si="1319"/>
        <v>-229.30670999999998</v>
      </c>
      <c r="AF3064" s="214">
        <f t="shared" si="1319"/>
        <v>-229.30670999999998</v>
      </c>
      <c r="AG3064" s="214">
        <f t="shared" si="1319"/>
        <v>-229.30670999999998</v>
      </c>
      <c r="AH3064" s="214">
        <f t="shared" si="1319"/>
        <v>-229.30670999999998</v>
      </c>
      <c r="AI3064" s="214">
        <f t="shared" ref="AI3064:AO3078" si="1321">SUMIF($AR:$AR,$CI3064,AI:AI)</f>
        <v>-229.30670999999998</v>
      </c>
      <c r="AJ3064" s="214">
        <f t="shared" si="1321"/>
        <v>-229.30670999999998</v>
      </c>
      <c r="AK3064" s="214">
        <f t="shared" si="1321"/>
        <v>-229.30670999999998</v>
      </c>
      <c r="AL3064" s="214">
        <f t="shared" si="1321"/>
        <v>-229.30670999999998</v>
      </c>
      <c r="AM3064" s="214">
        <f t="shared" si="1321"/>
        <v>-229.30670999999998</v>
      </c>
      <c r="AN3064" s="214">
        <f t="shared" si="1321"/>
        <v>-229.30670999999998</v>
      </c>
      <c r="AO3064" s="214">
        <f t="shared" si="1321"/>
        <v>-229.30670999999998</v>
      </c>
      <c r="AP3064" s="214"/>
      <c r="AQ3064" s="214"/>
      <c r="AR3064" s="214"/>
      <c r="AS3064" s="214"/>
      <c r="AT3064" s="214"/>
      <c r="AU3064" s="214"/>
      <c r="AV3064" s="214"/>
      <c r="AW3064" s="214"/>
      <c r="AX3064" s="214"/>
      <c r="AY3064" s="214"/>
      <c r="AZ3064" s="214"/>
      <c r="BA3064" s="214"/>
      <c r="BB3064" s="214"/>
      <c r="BC3064" s="214"/>
      <c r="BD3064" s="214"/>
      <c r="BE3064" s="214"/>
      <c r="BF3064" s="214"/>
      <c r="BG3064" s="214"/>
      <c r="BH3064" s="214"/>
      <c r="BI3064" s="214"/>
      <c r="BJ3064" s="214"/>
      <c r="BK3064" s="214"/>
      <c r="BL3064" s="214"/>
      <c r="BM3064" s="214"/>
      <c r="BN3064" s="214"/>
      <c r="BO3064" s="214"/>
      <c r="BP3064" s="214"/>
      <c r="BQ3064" s="214"/>
      <c r="BR3064" s="214"/>
      <c r="BS3064" s="214"/>
      <c r="BT3064" s="214"/>
      <c r="BU3064" s="214"/>
      <c r="BV3064" s="214"/>
      <c r="BW3064" s="214"/>
      <c r="BX3064" s="214"/>
      <c r="BY3064" s="214"/>
      <c r="BZ3064" s="214"/>
      <c r="CA3064" s="214"/>
      <c r="CB3064" s="214"/>
      <c r="CC3064" s="214"/>
      <c r="CD3064" s="214"/>
      <c r="CE3064" s="230"/>
      <c r="CF3064" s="230"/>
      <c r="CG3064" s="230"/>
      <c r="CH3064" s="253" t="str">
        <f>CONCATENATE(L3064,H3064)</f>
        <v/>
      </c>
      <c r="CI3064" s="76" t="str">
        <f t="shared" si="1318"/>
        <v>R11Sarbanes-Oxley</v>
      </c>
      <c r="CJ3064" s="230"/>
      <c r="CK3064" s="230"/>
      <c r="CL3064" s="230"/>
      <c r="CM3064" s="231"/>
    </row>
    <row r="3065" spans="1:91">
      <c r="A3065" s="464"/>
      <c r="B3065" s="464"/>
      <c r="C3065" s="662" t="s">
        <v>810</v>
      </c>
      <c r="D3065" s="689"/>
      <c r="E3065" s="422"/>
      <c r="F3065" s="422"/>
      <c r="G3065" s="461"/>
      <c r="H3065" s="678"/>
      <c r="I3065" s="462"/>
      <c r="J3065" s="462"/>
      <c r="K3065" s="422"/>
      <c r="L3065" s="655"/>
      <c r="M3065" s="422"/>
      <c r="N3065" s="463"/>
      <c r="O3065" s="463"/>
      <c r="P3065" s="689"/>
      <c r="Q3065" s="461"/>
      <c r="R3065" s="491"/>
      <c r="S3065" s="491"/>
      <c r="T3065" s="491"/>
      <c r="U3065" s="214">
        <f t="shared" si="1320"/>
        <v>0</v>
      </c>
      <c r="V3065" s="214">
        <f t="shared" si="1320"/>
        <v>0</v>
      </c>
      <c r="W3065" s="214">
        <f t="shared" si="1320"/>
        <v>0</v>
      </c>
      <c r="X3065" s="214">
        <f t="shared" si="1320"/>
        <v>0</v>
      </c>
      <c r="Y3065" s="214">
        <f t="shared" si="1320"/>
        <v>0</v>
      </c>
      <c r="Z3065" s="214">
        <f t="shared" si="1320"/>
        <v>0</v>
      </c>
      <c r="AA3065" s="214">
        <f t="shared" si="1320"/>
        <v>0</v>
      </c>
      <c r="AB3065" s="214">
        <f t="shared" si="1320"/>
        <v>0</v>
      </c>
      <c r="AC3065" s="214">
        <f t="shared" si="1319"/>
        <v>0</v>
      </c>
      <c r="AD3065" s="214">
        <f t="shared" si="1319"/>
        <v>0</v>
      </c>
      <c r="AE3065" s="214">
        <f t="shared" si="1319"/>
        <v>0</v>
      </c>
      <c r="AF3065" s="214">
        <f t="shared" si="1319"/>
        <v>0</v>
      </c>
      <c r="AG3065" s="214">
        <f t="shared" si="1319"/>
        <v>0</v>
      </c>
      <c r="AH3065" s="214">
        <f t="shared" si="1319"/>
        <v>0</v>
      </c>
      <c r="AI3065" s="214">
        <f t="shared" si="1321"/>
        <v>0</v>
      </c>
      <c r="AJ3065" s="214">
        <f t="shared" si="1321"/>
        <v>0</v>
      </c>
      <c r="AK3065" s="214">
        <f t="shared" si="1321"/>
        <v>0</v>
      </c>
      <c r="AL3065" s="214">
        <f t="shared" si="1321"/>
        <v>0</v>
      </c>
      <c r="AM3065" s="214">
        <f t="shared" si="1321"/>
        <v>0</v>
      </c>
      <c r="AN3065" s="214">
        <f t="shared" si="1321"/>
        <v>0</v>
      </c>
      <c r="AO3065" s="214">
        <f t="shared" si="1321"/>
        <v>0</v>
      </c>
      <c r="AP3065" s="214"/>
      <c r="AQ3065" s="214"/>
      <c r="AR3065" s="214"/>
      <c r="AS3065" s="214"/>
      <c r="AT3065" s="214"/>
      <c r="AU3065" s="214"/>
      <c r="AV3065" s="214"/>
      <c r="AW3065" s="214"/>
      <c r="AX3065" s="214"/>
      <c r="AY3065" s="214"/>
      <c r="AZ3065" s="214"/>
      <c r="BA3065" s="214"/>
      <c r="BB3065" s="214"/>
      <c r="BC3065" s="214"/>
      <c r="BD3065" s="214"/>
      <c r="BE3065" s="214"/>
      <c r="BF3065" s="214"/>
      <c r="BG3065" s="214"/>
      <c r="BH3065" s="214"/>
      <c r="BI3065" s="214"/>
      <c r="BJ3065" s="214"/>
      <c r="BK3065" s="214"/>
      <c r="BL3065" s="214"/>
      <c r="BM3065" s="214"/>
      <c r="BN3065" s="214"/>
      <c r="BO3065" s="214"/>
      <c r="BP3065" s="214"/>
      <c r="BQ3065" s="214"/>
      <c r="BR3065" s="214"/>
      <c r="BS3065" s="214"/>
      <c r="BT3065" s="214"/>
      <c r="BU3065" s="214"/>
      <c r="BV3065" s="214"/>
      <c r="BW3065" s="214"/>
      <c r="BX3065" s="214"/>
      <c r="BY3065" s="214"/>
      <c r="BZ3065" s="214"/>
      <c r="CA3065" s="214"/>
      <c r="CB3065" s="214"/>
      <c r="CC3065" s="214"/>
      <c r="CD3065" s="214"/>
      <c r="CE3065" s="230"/>
      <c r="CF3065" s="230"/>
      <c r="CG3065" s="230"/>
      <c r="CH3065" s="253"/>
      <c r="CI3065" s="76" t="str">
        <f t="shared" si="1318"/>
        <v>R11SERP</v>
      </c>
      <c r="CJ3065" s="230"/>
      <c r="CK3065" s="230"/>
      <c r="CL3065" s="230"/>
      <c r="CM3065" s="231"/>
    </row>
    <row r="3066" spans="1:91">
      <c r="A3066" s="464"/>
      <c r="B3066" s="464"/>
      <c r="C3066" s="662" t="s">
        <v>1117</v>
      </c>
      <c r="D3066" s="689"/>
      <c r="E3066" s="422"/>
      <c r="F3066" s="422"/>
      <c r="G3066" s="461"/>
      <c r="H3066" s="678"/>
      <c r="I3066" s="462"/>
      <c r="J3066" s="462"/>
      <c r="K3066" s="422"/>
      <c r="L3066" s="655"/>
      <c r="M3066" s="422"/>
      <c r="N3066" s="463"/>
      <c r="O3066" s="463"/>
      <c r="P3066" s="689"/>
      <c r="Q3066" s="461"/>
      <c r="R3066" s="491"/>
      <c r="S3066" s="491"/>
      <c r="T3066" s="491"/>
      <c r="U3066" s="214">
        <f t="shared" si="1320"/>
        <v>-290.25922999999972</v>
      </c>
      <c r="V3066" s="214">
        <f t="shared" si="1320"/>
        <v>-7.3620000000000005E-2</v>
      </c>
      <c r="W3066" s="214">
        <f t="shared" si="1320"/>
        <v>0</v>
      </c>
      <c r="X3066" s="214">
        <f t="shared" si="1320"/>
        <v>-290.33284999999972</v>
      </c>
      <c r="Y3066" s="214">
        <f t="shared" si="1320"/>
        <v>-406.09647999999999</v>
      </c>
      <c r="Z3066" s="214">
        <f t="shared" si="1320"/>
        <v>-7.3620000000000005E-2</v>
      </c>
      <c r="AA3066" s="214">
        <f t="shared" si="1320"/>
        <v>0</v>
      </c>
      <c r="AB3066" s="214">
        <f t="shared" si="1320"/>
        <v>-406.17009999999999</v>
      </c>
      <c r="AC3066" s="214">
        <f t="shared" si="1319"/>
        <v>-3.0534400000000002</v>
      </c>
      <c r="AD3066" s="214">
        <f t="shared" si="1319"/>
        <v>-3.0538099999999999</v>
      </c>
      <c r="AE3066" s="214">
        <f t="shared" si="1319"/>
        <v>-3.05307</v>
      </c>
      <c r="AF3066" s="214">
        <f t="shared" si="1319"/>
        <v>-3.05307</v>
      </c>
      <c r="AG3066" s="214">
        <f t="shared" si="1319"/>
        <v>-409.15033999999997</v>
      </c>
      <c r="AH3066" s="214">
        <f t="shared" si="1319"/>
        <v>-409.15033999999997</v>
      </c>
      <c r="AI3066" s="214">
        <f t="shared" si="1321"/>
        <v>-409.15033999999997</v>
      </c>
      <c r="AJ3066" s="214">
        <f t="shared" si="1321"/>
        <v>-409.15033999999997</v>
      </c>
      <c r="AK3066" s="214">
        <f t="shared" si="1321"/>
        <v>-409.15033999999997</v>
      </c>
      <c r="AL3066" s="214">
        <f t="shared" si="1321"/>
        <v>-409.15033999999997</v>
      </c>
      <c r="AM3066" s="214">
        <f t="shared" si="1321"/>
        <v>-409.15033999999997</v>
      </c>
      <c r="AN3066" s="214">
        <f t="shared" si="1321"/>
        <v>-406.17009999999999</v>
      </c>
      <c r="AO3066" s="214">
        <f t="shared" si="1321"/>
        <v>-406.17009999999999</v>
      </c>
      <c r="AP3066" s="214"/>
      <c r="AQ3066" s="214"/>
      <c r="AR3066" s="214"/>
      <c r="AS3066" s="214"/>
      <c r="AT3066" s="214"/>
      <c r="AU3066" s="214"/>
      <c r="AV3066" s="214"/>
      <c r="AW3066" s="214"/>
      <c r="AX3066" s="214"/>
      <c r="AY3066" s="214"/>
      <c r="AZ3066" s="214"/>
      <c r="BA3066" s="214"/>
      <c r="BB3066" s="214"/>
      <c r="BC3066" s="214"/>
      <c r="BD3066" s="214"/>
      <c r="BE3066" s="214"/>
      <c r="BF3066" s="214"/>
      <c r="BG3066" s="214"/>
      <c r="BH3066" s="214"/>
      <c r="BI3066" s="214"/>
      <c r="BJ3066" s="214"/>
      <c r="BK3066" s="214"/>
      <c r="BL3066" s="214"/>
      <c r="BM3066" s="214"/>
      <c r="BN3066" s="214"/>
      <c r="BO3066" s="214"/>
      <c r="BP3066" s="214"/>
      <c r="BQ3066" s="214"/>
      <c r="BR3066" s="214"/>
      <c r="BS3066" s="214"/>
      <c r="BT3066" s="214"/>
      <c r="BU3066" s="214"/>
      <c r="BV3066" s="214"/>
      <c r="BW3066" s="214"/>
      <c r="BX3066" s="214"/>
      <c r="BY3066" s="214"/>
      <c r="BZ3066" s="214"/>
      <c r="CA3066" s="214"/>
      <c r="CB3066" s="214"/>
      <c r="CC3066" s="214"/>
      <c r="CD3066" s="214"/>
      <c r="CE3066" s="230"/>
      <c r="CF3066" s="230"/>
      <c r="CG3066" s="230"/>
      <c r="CH3066" s="253"/>
      <c r="CI3066" s="76" t="str">
        <f t="shared" si="1318"/>
        <v>R11Security Costs</v>
      </c>
      <c r="CJ3066" s="230"/>
      <c r="CK3066" s="230"/>
      <c r="CL3066" s="230"/>
      <c r="CM3066" s="231"/>
    </row>
    <row r="3067" spans="1:91">
      <c r="A3067" s="464"/>
      <c r="B3067" s="464"/>
      <c r="C3067" s="662" t="s">
        <v>1122</v>
      </c>
      <c r="D3067" s="689"/>
      <c r="E3067" s="422"/>
      <c r="F3067" s="422"/>
      <c r="G3067" s="461"/>
      <c r="H3067" s="678"/>
      <c r="I3067" s="462"/>
      <c r="J3067" s="462"/>
      <c r="K3067" s="422"/>
      <c r="L3067" s="655"/>
      <c r="M3067" s="422"/>
      <c r="N3067" s="463"/>
      <c r="O3067" s="463"/>
      <c r="P3067" s="689"/>
      <c r="Q3067" s="461"/>
      <c r="R3067" s="491"/>
      <c r="S3067" s="491"/>
      <c r="T3067" s="491"/>
      <c r="U3067" s="214">
        <f t="shared" si="1320"/>
        <v>0</v>
      </c>
      <c r="V3067" s="214">
        <f t="shared" si="1320"/>
        <v>0</v>
      </c>
      <c r="W3067" s="214">
        <f t="shared" si="1320"/>
        <v>0</v>
      </c>
      <c r="X3067" s="214">
        <f t="shared" si="1320"/>
        <v>0</v>
      </c>
      <c r="Y3067" s="214">
        <f t="shared" si="1320"/>
        <v>0</v>
      </c>
      <c r="Z3067" s="214">
        <f t="shared" si="1320"/>
        <v>0</v>
      </c>
      <c r="AA3067" s="214">
        <f t="shared" si="1320"/>
        <v>0</v>
      </c>
      <c r="AB3067" s="214">
        <f t="shared" si="1320"/>
        <v>0</v>
      </c>
      <c r="AC3067" s="214">
        <f t="shared" si="1319"/>
        <v>0</v>
      </c>
      <c r="AD3067" s="214">
        <f t="shared" si="1319"/>
        <v>0</v>
      </c>
      <c r="AE3067" s="214">
        <f t="shared" si="1319"/>
        <v>0</v>
      </c>
      <c r="AF3067" s="214">
        <f t="shared" si="1319"/>
        <v>0</v>
      </c>
      <c r="AG3067" s="214">
        <f t="shared" si="1319"/>
        <v>0</v>
      </c>
      <c r="AH3067" s="214">
        <f t="shared" si="1319"/>
        <v>0</v>
      </c>
      <c r="AI3067" s="214">
        <f t="shared" si="1321"/>
        <v>0</v>
      </c>
      <c r="AJ3067" s="214">
        <f t="shared" si="1321"/>
        <v>0</v>
      </c>
      <c r="AK3067" s="214">
        <f t="shared" si="1321"/>
        <v>0</v>
      </c>
      <c r="AL3067" s="214">
        <f t="shared" si="1321"/>
        <v>0</v>
      </c>
      <c r="AM3067" s="214">
        <f t="shared" si="1321"/>
        <v>0</v>
      </c>
      <c r="AN3067" s="214">
        <f t="shared" si="1321"/>
        <v>0</v>
      </c>
      <c r="AO3067" s="214">
        <f t="shared" si="1321"/>
        <v>0</v>
      </c>
      <c r="AP3067" s="214"/>
      <c r="AQ3067" s="214"/>
      <c r="AR3067" s="214"/>
      <c r="AS3067" s="214"/>
      <c r="AT3067" s="214"/>
      <c r="AU3067" s="214"/>
      <c r="AV3067" s="214"/>
      <c r="AW3067" s="214"/>
      <c r="AX3067" s="214"/>
      <c r="AY3067" s="214"/>
      <c r="AZ3067" s="214"/>
      <c r="BA3067" s="214"/>
      <c r="BB3067" s="214"/>
      <c r="BC3067" s="214"/>
      <c r="BD3067" s="214"/>
      <c r="BE3067" s="214"/>
      <c r="BF3067" s="214"/>
      <c r="BG3067" s="214"/>
      <c r="BH3067" s="214"/>
      <c r="BI3067" s="214"/>
      <c r="BJ3067" s="214"/>
      <c r="BK3067" s="214"/>
      <c r="BL3067" s="214"/>
      <c r="BM3067" s="214"/>
      <c r="BN3067" s="214"/>
      <c r="BO3067" s="214"/>
      <c r="BP3067" s="214"/>
      <c r="BQ3067" s="214"/>
      <c r="BR3067" s="214"/>
      <c r="BS3067" s="214"/>
      <c r="BT3067" s="214"/>
      <c r="BU3067" s="214"/>
      <c r="BV3067" s="214"/>
      <c r="BW3067" s="214"/>
      <c r="BX3067" s="214"/>
      <c r="BY3067" s="214"/>
      <c r="BZ3067" s="214"/>
      <c r="CA3067" s="214"/>
      <c r="CB3067" s="214"/>
      <c r="CC3067" s="214"/>
      <c r="CD3067" s="214"/>
      <c r="CE3067" s="230"/>
      <c r="CF3067" s="230"/>
      <c r="CG3067" s="230"/>
      <c r="CH3067" s="253"/>
      <c r="CI3067" s="76" t="str">
        <f t="shared" si="1318"/>
        <v>R11Service Quality Performance</v>
      </c>
      <c r="CJ3067" s="230"/>
      <c r="CK3067" s="230"/>
      <c r="CL3067" s="230"/>
      <c r="CM3067" s="231"/>
    </row>
    <row r="3068" spans="1:91">
      <c r="A3068" s="464"/>
      <c r="B3068" s="464"/>
      <c r="C3068" s="662" t="s">
        <v>2696</v>
      </c>
      <c r="D3068" s="689"/>
      <c r="E3068" s="422"/>
      <c r="F3068" s="422"/>
      <c r="G3068" s="461"/>
      <c r="H3068" s="678"/>
      <c r="I3068" s="462"/>
      <c r="J3068" s="462"/>
      <c r="K3068" s="422"/>
      <c r="L3068" s="655"/>
      <c r="M3068" s="422"/>
      <c r="N3068" s="463"/>
      <c r="O3068" s="463"/>
      <c r="P3068" s="689"/>
      <c r="Q3068" s="461"/>
      <c r="R3068" s="491"/>
      <c r="S3068" s="491"/>
      <c r="T3068" s="491"/>
      <c r="U3068" s="214">
        <f t="shared" si="1320"/>
        <v>0</v>
      </c>
      <c r="V3068" s="214">
        <f t="shared" si="1320"/>
        <v>0</v>
      </c>
      <c r="W3068" s="214">
        <f t="shared" si="1320"/>
        <v>0</v>
      </c>
      <c r="X3068" s="214">
        <f t="shared" si="1320"/>
        <v>0</v>
      </c>
      <c r="Y3068" s="214">
        <f t="shared" si="1320"/>
        <v>0</v>
      </c>
      <c r="Z3068" s="214">
        <f t="shared" si="1320"/>
        <v>0</v>
      </c>
      <c r="AA3068" s="214">
        <f t="shared" si="1320"/>
        <v>0</v>
      </c>
      <c r="AB3068" s="214">
        <f t="shared" si="1320"/>
        <v>0</v>
      </c>
      <c r="AC3068" s="214">
        <f t="shared" si="1319"/>
        <v>0</v>
      </c>
      <c r="AD3068" s="214">
        <f t="shared" si="1319"/>
        <v>0</v>
      </c>
      <c r="AE3068" s="214">
        <f t="shared" si="1319"/>
        <v>0</v>
      </c>
      <c r="AF3068" s="214">
        <f t="shared" si="1319"/>
        <v>0</v>
      </c>
      <c r="AG3068" s="214">
        <f t="shared" si="1319"/>
        <v>0</v>
      </c>
      <c r="AH3068" s="214">
        <f t="shared" si="1319"/>
        <v>0</v>
      </c>
      <c r="AI3068" s="214">
        <f t="shared" si="1321"/>
        <v>0</v>
      </c>
      <c r="AJ3068" s="214">
        <f t="shared" si="1321"/>
        <v>0</v>
      </c>
      <c r="AK3068" s="214">
        <f t="shared" si="1321"/>
        <v>0</v>
      </c>
      <c r="AL3068" s="214">
        <f t="shared" si="1321"/>
        <v>0</v>
      </c>
      <c r="AM3068" s="214">
        <f t="shared" si="1321"/>
        <v>0</v>
      </c>
      <c r="AN3068" s="214">
        <f t="shared" si="1321"/>
        <v>0</v>
      </c>
      <c r="AO3068" s="214">
        <f t="shared" si="1321"/>
        <v>0</v>
      </c>
      <c r="AP3068" s="214"/>
      <c r="AQ3068" s="214"/>
      <c r="AR3068" s="214"/>
      <c r="AS3068" s="214"/>
      <c r="AT3068" s="214"/>
      <c r="AU3068" s="214"/>
      <c r="AV3068" s="214"/>
      <c r="AW3068" s="214"/>
      <c r="AX3068" s="214"/>
      <c r="AY3068" s="214"/>
      <c r="AZ3068" s="214"/>
      <c r="BA3068" s="214"/>
      <c r="BB3068" s="214"/>
      <c r="BC3068" s="214"/>
      <c r="BD3068" s="214"/>
      <c r="BE3068" s="214"/>
      <c r="BF3068" s="214"/>
      <c r="BG3068" s="214"/>
      <c r="BH3068" s="214"/>
      <c r="BI3068" s="214"/>
      <c r="BJ3068" s="214"/>
      <c r="BK3068" s="214"/>
      <c r="BL3068" s="214"/>
      <c r="BM3068" s="214"/>
      <c r="BN3068" s="214"/>
      <c r="BO3068" s="214"/>
      <c r="BP3068" s="214"/>
      <c r="BQ3068" s="214"/>
      <c r="BR3068" s="214"/>
      <c r="BS3068" s="214"/>
      <c r="BT3068" s="214"/>
      <c r="BU3068" s="214"/>
      <c r="BV3068" s="214"/>
      <c r="BW3068" s="214"/>
      <c r="BX3068" s="214"/>
      <c r="BY3068" s="214"/>
      <c r="BZ3068" s="214"/>
      <c r="CA3068" s="214"/>
      <c r="CB3068" s="214"/>
      <c r="CC3068" s="214"/>
      <c r="CD3068" s="214"/>
      <c r="CE3068" s="230"/>
      <c r="CF3068" s="230"/>
      <c r="CG3068" s="230"/>
      <c r="CH3068" s="253"/>
      <c r="CI3068" s="76" t="str">
        <f t="shared" si="1318"/>
        <v>R11Storm Reserve</v>
      </c>
      <c r="CJ3068" s="230"/>
      <c r="CK3068" s="230"/>
      <c r="CL3068" s="230"/>
      <c r="CM3068" s="231"/>
    </row>
    <row r="3069" spans="1:91">
      <c r="A3069" s="464"/>
      <c r="B3069" s="464"/>
      <c r="C3069" s="662" t="s">
        <v>1115</v>
      </c>
      <c r="D3069" s="689"/>
      <c r="E3069" s="422"/>
      <c r="F3069" s="422"/>
      <c r="G3069" s="461"/>
      <c r="H3069" s="678"/>
      <c r="I3069" s="462"/>
      <c r="J3069" s="462"/>
      <c r="K3069" s="422"/>
      <c r="L3069" s="655"/>
      <c r="M3069" s="422"/>
      <c r="N3069" s="463"/>
      <c r="O3069" s="463"/>
      <c r="P3069" s="689"/>
      <c r="Q3069" s="461"/>
      <c r="R3069" s="491"/>
      <c r="S3069" s="491"/>
      <c r="T3069" s="491"/>
      <c r="U3069" s="214">
        <f t="shared" si="1320"/>
        <v>-821.349554583334</v>
      </c>
      <c r="V3069" s="214">
        <f t="shared" si="1320"/>
        <v>0</v>
      </c>
      <c r="W3069" s="214">
        <f t="shared" si="1320"/>
        <v>0</v>
      </c>
      <c r="X3069" s="214">
        <f t="shared" si="1320"/>
        <v>-821.349554583334</v>
      </c>
      <c r="Y3069" s="214">
        <f t="shared" si="1320"/>
        <v>-659.42333000000008</v>
      </c>
      <c r="Z3069" s="214">
        <f t="shared" si="1320"/>
        <v>0</v>
      </c>
      <c r="AA3069" s="214">
        <f t="shared" si="1320"/>
        <v>0</v>
      </c>
      <c r="AB3069" s="214">
        <f t="shared" si="1320"/>
        <v>-659.42332999999996</v>
      </c>
      <c r="AC3069" s="214">
        <f t="shared" si="1319"/>
        <v>-978.08121999999992</v>
      </c>
      <c r="AD3069" s="214">
        <f t="shared" si="1319"/>
        <v>-946.97587999999996</v>
      </c>
      <c r="AE3069" s="214">
        <f t="shared" si="1319"/>
        <v>-916.56191999999999</v>
      </c>
      <c r="AF3069" s="214">
        <f t="shared" si="1319"/>
        <v>-891.99884999999995</v>
      </c>
      <c r="AG3069" s="214">
        <f t="shared" si="1319"/>
        <v>-875.19409000000007</v>
      </c>
      <c r="AH3069" s="214">
        <f t="shared" si="1319"/>
        <v>-845.58403999999996</v>
      </c>
      <c r="AI3069" s="214">
        <f t="shared" si="1321"/>
        <v>-826.0325499999999</v>
      </c>
      <c r="AJ3069" s="214">
        <f t="shared" si="1321"/>
        <v>-802.18804999999998</v>
      </c>
      <c r="AK3069" s="214">
        <f t="shared" si="1321"/>
        <v>-771.28362000000004</v>
      </c>
      <c r="AL3069" s="214">
        <f t="shared" si="1321"/>
        <v>-748.66043999999999</v>
      </c>
      <c r="AM3069" s="214">
        <f t="shared" si="1321"/>
        <v>-722.0412</v>
      </c>
      <c r="AN3069" s="214">
        <f t="shared" si="1321"/>
        <v>-690.92174</v>
      </c>
      <c r="AO3069" s="214">
        <f t="shared" si="1321"/>
        <v>-659.42332999999996</v>
      </c>
      <c r="AP3069" s="214"/>
      <c r="AQ3069" s="214"/>
      <c r="AR3069" s="214"/>
      <c r="AS3069" s="214"/>
      <c r="AT3069" s="214"/>
      <c r="AU3069" s="214"/>
      <c r="AV3069" s="214"/>
      <c r="AW3069" s="214"/>
      <c r="AX3069" s="214"/>
      <c r="AY3069" s="214"/>
      <c r="AZ3069" s="214"/>
      <c r="BA3069" s="214"/>
      <c r="BB3069" s="214"/>
      <c r="BC3069" s="214"/>
      <c r="BD3069" s="214"/>
      <c r="BE3069" s="214"/>
      <c r="BF3069" s="214"/>
      <c r="BG3069" s="214"/>
      <c r="BH3069" s="214"/>
      <c r="BI3069" s="214"/>
      <c r="BJ3069" s="214"/>
      <c r="BK3069" s="214"/>
      <c r="BL3069" s="214"/>
      <c r="BM3069" s="214"/>
      <c r="BN3069" s="214"/>
      <c r="BO3069" s="214"/>
      <c r="BP3069" s="214"/>
      <c r="BQ3069" s="214"/>
      <c r="BR3069" s="214"/>
      <c r="BS3069" s="214"/>
      <c r="BT3069" s="214"/>
      <c r="BU3069" s="214"/>
      <c r="BV3069" s="214"/>
      <c r="BW3069" s="214"/>
      <c r="BX3069" s="214"/>
      <c r="BY3069" s="214"/>
      <c r="BZ3069" s="214"/>
      <c r="CA3069" s="214"/>
      <c r="CB3069" s="214"/>
      <c r="CC3069" s="214"/>
      <c r="CD3069" s="214"/>
      <c r="CE3069" s="230"/>
      <c r="CF3069" s="230"/>
      <c r="CG3069" s="230"/>
      <c r="CH3069" s="253"/>
      <c r="CI3069" s="76" t="str">
        <f t="shared" si="1318"/>
        <v>R11Stray Voltage</v>
      </c>
      <c r="CJ3069" s="230"/>
      <c r="CK3069" s="230"/>
      <c r="CL3069" s="230"/>
      <c r="CM3069" s="231"/>
    </row>
    <row r="3070" spans="1:91">
      <c r="A3070" s="464"/>
      <c r="B3070" s="464"/>
      <c r="C3070" s="662" t="s">
        <v>822</v>
      </c>
      <c r="D3070" s="689"/>
      <c r="E3070" s="422"/>
      <c r="F3070" s="422"/>
      <c r="G3070" s="461"/>
      <c r="H3070" s="678"/>
      <c r="I3070" s="462"/>
      <c r="J3070" s="462"/>
      <c r="K3070" s="422"/>
      <c r="L3070" s="655"/>
      <c r="M3070" s="422"/>
      <c r="N3070" s="463"/>
      <c r="O3070" s="463"/>
      <c r="P3070" s="689"/>
      <c r="Q3070" s="461"/>
      <c r="R3070" s="491"/>
      <c r="S3070" s="491"/>
      <c r="T3070" s="491"/>
      <c r="U3070" s="214">
        <f t="shared" si="1320"/>
        <v>766.58926874999997</v>
      </c>
      <c r="V3070" s="214">
        <f t="shared" si="1320"/>
        <v>0</v>
      </c>
      <c r="W3070" s="214">
        <f t="shared" si="1320"/>
        <v>0</v>
      </c>
      <c r="X3070" s="214">
        <f t="shared" si="1320"/>
        <v>766.58926874999997</v>
      </c>
      <c r="Y3070" s="214">
        <f t="shared" si="1320"/>
        <v>920.28687000000002</v>
      </c>
      <c r="Z3070" s="214">
        <f t="shared" si="1320"/>
        <v>0</v>
      </c>
      <c r="AA3070" s="214">
        <f t="shared" si="1320"/>
        <v>0</v>
      </c>
      <c r="AB3070" s="214">
        <f t="shared" si="1320"/>
        <v>920.28687000000002</v>
      </c>
      <c r="AC3070" s="214">
        <f t="shared" ref="AC3070:AH3078" si="1322">SUMIF($AR:$AR,$CI3070,AC:AC)</f>
        <v>435.91978</v>
      </c>
      <c r="AD3070" s="214">
        <f t="shared" si="1322"/>
        <v>442.06982000000005</v>
      </c>
      <c r="AE3070" s="214">
        <f t="shared" si="1322"/>
        <v>448.91818000000001</v>
      </c>
      <c r="AF3070" s="214">
        <f t="shared" si="1322"/>
        <v>455.62288999999998</v>
      </c>
      <c r="AG3070" s="214">
        <f t="shared" si="1322"/>
        <v>917.62215000000003</v>
      </c>
      <c r="AH3070" s="214">
        <f t="shared" si="1322"/>
        <v>875.18372999999997</v>
      </c>
      <c r="AI3070" s="214">
        <f t="shared" si="1321"/>
        <v>881.08258000000001</v>
      </c>
      <c r="AJ3070" s="214">
        <f t="shared" si="1321"/>
        <v>887.15813000000003</v>
      </c>
      <c r="AK3070" s="214">
        <f t="shared" si="1321"/>
        <v>893.53296999999998</v>
      </c>
      <c r="AL3070" s="214">
        <f t="shared" si="1321"/>
        <v>899.99927000000002</v>
      </c>
      <c r="AM3070" s="214">
        <f t="shared" si="1321"/>
        <v>906.43872999999996</v>
      </c>
      <c r="AN3070" s="214">
        <f t="shared" si="1321"/>
        <v>913.33945000000006</v>
      </c>
      <c r="AO3070" s="214">
        <f t="shared" si="1321"/>
        <v>920.28687000000002</v>
      </c>
      <c r="AP3070" s="214"/>
      <c r="AQ3070" s="214"/>
      <c r="AR3070" s="214"/>
      <c r="AS3070" s="214"/>
      <c r="AT3070" s="214"/>
      <c r="AU3070" s="214"/>
      <c r="AV3070" s="214"/>
      <c r="AW3070" s="214"/>
      <c r="AX3070" s="214"/>
      <c r="AY3070" s="214"/>
      <c r="AZ3070" s="214"/>
      <c r="BA3070" s="214"/>
      <c r="BB3070" s="214"/>
      <c r="BC3070" s="214"/>
      <c r="BD3070" s="214"/>
      <c r="BE3070" s="214"/>
      <c r="BF3070" s="214"/>
      <c r="BG3070" s="214"/>
      <c r="BH3070" s="214"/>
      <c r="BI3070" s="214"/>
      <c r="BJ3070" s="214"/>
      <c r="BK3070" s="214"/>
      <c r="BL3070" s="214"/>
      <c r="BM3070" s="214"/>
      <c r="BN3070" s="214"/>
      <c r="BO3070" s="214"/>
      <c r="BP3070" s="214"/>
      <c r="BQ3070" s="214"/>
      <c r="BR3070" s="214"/>
      <c r="BS3070" s="214"/>
      <c r="BT3070" s="214"/>
      <c r="BU3070" s="214"/>
      <c r="BV3070" s="214"/>
      <c r="BW3070" s="214"/>
      <c r="BX3070" s="214"/>
      <c r="BY3070" s="214"/>
      <c r="BZ3070" s="214"/>
      <c r="CA3070" s="214"/>
      <c r="CB3070" s="214"/>
      <c r="CC3070" s="214"/>
      <c r="CD3070" s="214"/>
      <c r="CE3070" s="230"/>
      <c r="CF3070" s="230"/>
      <c r="CG3070" s="230"/>
      <c r="CH3070" s="253"/>
      <c r="CI3070" s="76" t="str">
        <f t="shared" si="1318"/>
        <v>R11Variable Rate Debt</v>
      </c>
      <c r="CJ3070" s="230"/>
      <c r="CK3070" s="230"/>
      <c r="CL3070" s="230"/>
      <c r="CM3070" s="231"/>
    </row>
    <row r="3071" spans="1:91">
      <c r="A3071" s="464"/>
      <c r="B3071" s="464"/>
      <c r="C3071" s="662" t="s">
        <v>1119</v>
      </c>
      <c r="D3071" s="689"/>
      <c r="E3071" s="422"/>
      <c r="F3071" s="422"/>
      <c r="G3071" s="461"/>
      <c r="H3071" s="678"/>
      <c r="I3071" s="462"/>
      <c r="J3071" s="462"/>
      <c r="K3071" s="422"/>
      <c r="L3071" s="655"/>
      <c r="M3071" s="422"/>
      <c r="N3071" s="463"/>
      <c r="O3071" s="463"/>
      <c r="P3071" s="689"/>
      <c r="Q3071" s="461"/>
      <c r="R3071" s="491"/>
      <c r="S3071" s="491"/>
      <c r="T3071" s="491"/>
      <c r="U3071" s="214">
        <f t="shared" si="1320"/>
        <v>0</v>
      </c>
      <c r="V3071" s="214">
        <f t="shared" si="1320"/>
        <v>0</v>
      </c>
      <c r="W3071" s="214">
        <f t="shared" si="1320"/>
        <v>0</v>
      </c>
      <c r="X3071" s="214">
        <f t="shared" si="1320"/>
        <v>0</v>
      </c>
      <c r="Y3071" s="214">
        <f t="shared" si="1320"/>
        <v>0</v>
      </c>
      <c r="Z3071" s="214">
        <f t="shared" si="1320"/>
        <v>0</v>
      </c>
      <c r="AA3071" s="214">
        <f t="shared" si="1320"/>
        <v>0</v>
      </c>
      <c r="AB3071" s="214">
        <f t="shared" si="1320"/>
        <v>0</v>
      </c>
      <c r="AC3071" s="214">
        <f t="shared" si="1322"/>
        <v>0</v>
      </c>
      <c r="AD3071" s="214">
        <f t="shared" si="1322"/>
        <v>0</v>
      </c>
      <c r="AE3071" s="214">
        <f t="shared" si="1322"/>
        <v>0</v>
      </c>
      <c r="AF3071" s="214">
        <f t="shared" si="1322"/>
        <v>0</v>
      </c>
      <c r="AG3071" s="214">
        <f t="shared" si="1322"/>
        <v>0</v>
      </c>
      <c r="AH3071" s="214">
        <f t="shared" si="1322"/>
        <v>0</v>
      </c>
      <c r="AI3071" s="214">
        <f t="shared" si="1321"/>
        <v>0</v>
      </c>
      <c r="AJ3071" s="214">
        <f t="shared" si="1321"/>
        <v>0</v>
      </c>
      <c r="AK3071" s="214">
        <f t="shared" si="1321"/>
        <v>0</v>
      </c>
      <c r="AL3071" s="214">
        <f t="shared" si="1321"/>
        <v>0</v>
      </c>
      <c r="AM3071" s="214">
        <f t="shared" si="1321"/>
        <v>0</v>
      </c>
      <c r="AN3071" s="214">
        <f t="shared" si="1321"/>
        <v>0</v>
      </c>
      <c r="AO3071" s="214">
        <f t="shared" si="1321"/>
        <v>0</v>
      </c>
      <c r="AP3071" s="214"/>
      <c r="AQ3071" s="214"/>
      <c r="AR3071" s="214"/>
      <c r="AS3071" s="214"/>
      <c r="AT3071" s="214"/>
      <c r="AU3071" s="214"/>
      <c r="AV3071" s="214"/>
      <c r="AW3071" s="214"/>
      <c r="AX3071" s="214"/>
      <c r="AY3071" s="214"/>
      <c r="AZ3071" s="214"/>
      <c r="BA3071" s="214"/>
      <c r="BB3071" s="214"/>
      <c r="BC3071" s="214"/>
      <c r="BD3071" s="214"/>
      <c r="BE3071" s="214"/>
      <c r="BF3071" s="214"/>
      <c r="BG3071" s="214"/>
      <c r="BH3071" s="214"/>
      <c r="BI3071" s="214"/>
      <c r="BJ3071" s="214"/>
      <c r="BK3071" s="214"/>
      <c r="BL3071" s="214"/>
      <c r="BM3071" s="214"/>
      <c r="BN3071" s="214"/>
      <c r="BO3071" s="214"/>
      <c r="BP3071" s="214"/>
      <c r="BQ3071" s="214"/>
      <c r="BR3071" s="214"/>
      <c r="BS3071" s="214"/>
      <c r="BT3071" s="214"/>
      <c r="BU3071" s="214"/>
      <c r="BV3071" s="214"/>
      <c r="BW3071" s="214"/>
      <c r="BX3071" s="214"/>
      <c r="BY3071" s="214"/>
      <c r="BZ3071" s="214"/>
      <c r="CA3071" s="214"/>
      <c r="CB3071" s="214"/>
      <c r="CC3071" s="214"/>
      <c r="CD3071" s="214"/>
      <c r="CE3071" s="230"/>
      <c r="CF3071" s="230"/>
      <c r="CG3071" s="230"/>
      <c r="CH3071" s="253" t="str">
        <f>CONCATENATE(L3071,H3071)</f>
        <v/>
      </c>
      <c r="CI3071" s="76" t="str">
        <f t="shared" si="1318"/>
        <v>R11Vegetation Management</v>
      </c>
      <c r="CJ3071" s="230"/>
      <c r="CK3071" s="230"/>
      <c r="CL3071" s="230"/>
      <c r="CM3071" s="231"/>
    </row>
    <row r="3072" spans="1:91">
      <c r="A3072" s="464"/>
      <c r="B3072" s="464"/>
      <c r="C3072" s="662" t="s">
        <v>1647</v>
      </c>
      <c r="D3072" s="689"/>
      <c r="E3072" s="422"/>
      <c r="F3072" s="422"/>
      <c r="G3072" s="461"/>
      <c r="H3072" s="678"/>
      <c r="I3072" s="462"/>
      <c r="J3072" s="462"/>
      <c r="K3072" s="422"/>
      <c r="L3072" s="655"/>
      <c r="M3072" s="422"/>
      <c r="N3072" s="463"/>
      <c r="O3072" s="463"/>
      <c r="P3072" s="689"/>
      <c r="Q3072" s="461"/>
      <c r="R3072" s="491"/>
      <c r="S3072" s="491"/>
      <c r="T3072" s="491"/>
      <c r="U3072" s="214">
        <f t="shared" si="1320"/>
        <v>0</v>
      </c>
      <c r="V3072" s="214">
        <f t="shared" si="1320"/>
        <v>0</v>
      </c>
      <c r="W3072" s="214">
        <f t="shared" si="1320"/>
        <v>0</v>
      </c>
      <c r="X3072" s="214">
        <f t="shared" si="1320"/>
        <v>0</v>
      </c>
      <c r="Y3072" s="214">
        <f t="shared" si="1320"/>
        <v>0</v>
      </c>
      <c r="Z3072" s="214">
        <f t="shared" si="1320"/>
        <v>0</v>
      </c>
      <c r="AA3072" s="214">
        <f t="shared" si="1320"/>
        <v>0</v>
      </c>
      <c r="AB3072" s="214">
        <f t="shared" si="1320"/>
        <v>0</v>
      </c>
      <c r="AC3072" s="214">
        <f t="shared" si="1322"/>
        <v>0</v>
      </c>
      <c r="AD3072" s="214">
        <f t="shared" si="1322"/>
        <v>0</v>
      </c>
      <c r="AE3072" s="214">
        <f t="shared" si="1322"/>
        <v>0</v>
      </c>
      <c r="AF3072" s="214">
        <f t="shared" si="1322"/>
        <v>0</v>
      </c>
      <c r="AG3072" s="214">
        <f t="shared" si="1322"/>
        <v>0</v>
      </c>
      <c r="AH3072" s="214">
        <f t="shared" si="1322"/>
        <v>0</v>
      </c>
      <c r="AI3072" s="214">
        <f t="shared" si="1321"/>
        <v>0</v>
      </c>
      <c r="AJ3072" s="214">
        <f t="shared" si="1321"/>
        <v>0</v>
      </c>
      <c r="AK3072" s="214">
        <f t="shared" si="1321"/>
        <v>0</v>
      </c>
      <c r="AL3072" s="214">
        <f t="shared" si="1321"/>
        <v>0</v>
      </c>
      <c r="AM3072" s="214">
        <f t="shared" si="1321"/>
        <v>0</v>
      </c>
      <c r="AN3072" s="214">
        <f t="shared" si="1321"/>
        <v>0</v>
      </c>
      <c r="AO3072" s="214">
        <f t="shared" si="1321"/>
        <v>0</v>
      </c>
      <c r="AP3072" s="214"/>
      <c r="AQ3072" s="214"/>
      <c r="AR3072" s="214"/>
      <c r="AS3072" s="214"/>
      <c r="AT3072" s="214"/>
      <c r="AU3072" s="214"/>
      <c r="AV3072" s="214"/>
      <c r="AW3072" s="214"/>
      <c r="AX3072" s="214"/>
      <c r="AY3072" s="214"/>
      <c r="AZ3072" s="214"/>
      <c r="BA3072" s="214"/>
      <c r="BB3072" s="214"/>
      <c r="BC3072" s="214"/>
      <c r="BD3072" s="214"/>
      <c r="BE3072" s="214"/>
      <c r="BF3072" s="214"/>
      <c r="BG3072" s="214"/>
      <c r="BH3072" s="214"/>
      <c r="BI3072" s="214"/>
      <c r="BJ3072" s="214"/>
      <c r="BK3072" s="214"/>
      <c r="BL3072" s="214"/>
      <c r="BM3072" s="214"/>
      <c r="BN3072" s="214"/>
      <c r="BO3072" s="214"/>
      <c r="BP3072" s="214"/>
      <c r="BQ3072" s="214"/>
      <c r="BR3072" s="214"/>
      <c r="BS3072" s="214"/>
      <c r="BT3072" s="214"/>
      <c r="BU3072" s="214"/>
      <c r="BV3072" s="214"/>
      <c r="BW3072" s="214"/>
      <c r="BX3072" s="214"/>
      <c r="BY3072" s="214"/>
      <c r="BZ3072" s="214"/>
      <c r="CA3072" s="214"/>
      <c r="CB3072" s="214"/>
      <c r="CC3072" s="214"/>
      <c r="CD3072" s="214"/>
      <c r="CE3072" s="230"/>
      <c r="CF3072" s="230"/>
      <c r="CG3072" s="230"/>
      <c r="CH3072" s="253"/>
      <c r="CI3072" s="76" t="str">
        <f t="shared" ref="CI3072:CI3078" si="1323">+CONCATENATE(D$3082,C3072)</f>
        <v>R11Deferred Comp</v>
      </c>
      <c r="CJ3072" s="230"/>
      <c r="CK3072" s="230"/>
      <c r="CL3072" s="230"/>
      <c r="CM3072" s="231"/>
    </row>
    <row r="3073" spans="1:91">
      <c r="A3073" s="464"/>
      <c r="B3073" s="464"/>
      <c r="C3073" s="662" t="s">
        <v>1629</v>
      </c>
      <c r="D3073" s="689"/>
      <c r="E3073" s="422"/>
      <c r="F3073" s="422"/>
      <c r="G3073" s="461"/>
      <c r="H3073" s="678"/>
      <c r="I3073" s="462"/>
      <c r="J3073" s="462"/>
      <c r="K3073" s="422"/>
      <c r="L3073" s="655"/>
      <c r="M3073" s="422"/>
      <c r="N3073" s="463"/>
      <c r="O3073" s="463"/>
      <c r="P3073" s="689"/>
      <c r="Q3073" s="461"/>
      <c r="R3073" s="491"/>
      <c r="S3073" s="491"/>
      <c r="T3073" s="491"/>
      <c r="U3073" s="214">
        <f t="shared" si="1320"/>
        <v>1743.5722712500001</v>
      </c>
      <c r="V3073" s="214">
        <f t="shared" si="1320"/>
        <v>1704.3012804166667</v>
      </c>
      <c r="W3073" s="214">
        <f t="shared" si="1320"/>
        <v>0</v>
      </c>
      <c r="X3073" s="214">
        <f t="shared" si="1320"/>
        <v>3447.8735516666675</v>
      </c>
      <c r="Y3073" s="214">
        <f t="shared" si="1320"/>
        <v>1741.83419</v>
      </c>
      <c r="Z3073" s="214">
        <f t="shared" si="1320"/>
        <v>1696.29107</v>
      </c>
      <c r="AA3073" s="214">
        <f t="shared" si="1320"/>
        <v>0</v>
      </c>
      <c r="AB3073" s="214">
        <f t="shared" si="1320"/>
        <v>3438.1252599999998</v>
      </c>
      <c r="AC3073" s="214">
        <f t="shared" si="1322"/>
        <v>3455.1180599999998</v>
      </c>
      <c r="AD3073" s="214">
        <f t="shared" si="1322"/>
        <v>3453.9296099999997</v>
      </c>
      <c r="AE3073" s="214">
        <f t="shared" si="1322"/>
        <v>3452.7411599999996</v>
      </c>
      <c r="AF3073" s="214">
        <f t="shared" si="1322"/>
        <v>3451.5527099999995</v>
      </c>
      <c r="AG3073" s="214">
        <f t="shared" si="1322"/>
        <v>3450.3642599999998</v>
      </c>
      <c r="AH3073" s="214">
        <f t="shared" si="1322"/>
        <v>3449.1758099999997</v>
      </c>
      <c r="AI3073" s="214">
        <f t="shared" si="1321"/>
        <v>3447.9873600000001</v>
      </c>
      <c r="AJ3073" s="214">
        <f t="shared" si="1321"/>
        <v>3446.7989099999995</v>
      </c>
      <c r="AK3073" s="214">
        <f t="shared" si="1321"/>
        <v>3445.6104599999994</v>
      </c>
      <c r="AL3073" s="214">
        <f t="shared" si="1321"/>
        <v>3444.4220099999998</v>
      </c>
      <c r="AM3073" s="214">
        <f t="shared" si="1321"/>
        <v>3443.2335599999997</v>
      </c>
      <c r="AN3073" s="214">
        <f t="shared" si="1321"/>
        <v>3442.0451099999996</v>
      </c>
      <c r="AO3073" s="214">
        <f t="shared" si="1321"/>
        <v>3438.1252599999998</v>
      </c>
      <c r="AP3073" s="214"/>
      <c r="AQ3073" s="214"/>
      <c r="AR3073" s="214"/>
      <c r="AS3073" s="214"/>
      <c r="AT3073" s="214"/>
      <c r="AU3073" s="214"/>
      <c r="AV3073" s="214"/>
      <c r="AW3073" s="214"/>
      <c r="AX3073" s="214"/>
      <c r="AY3073" s="214"/>
      <c r="AZ3073" s="214"/>
      <c r="BA3073" s="214"/>
      <c r="BB3073" s="214"/>
      <c r="BC3073" s="214"/>
      <c r="BD3073" s="214"/>
      <c r="BE3073" s="214"/>
      <c r="BF3073" s="214"/>
      <c r="BG3073" s="214"/>
      <c r="BH3073" s="214"/>
      <c r="BI3073" s="214"/>
      <c r="BJ3073" s="214"/>
      <c r="BK3073" s="214"/>
      <c r="BL3073" s="214"/>
      <c r="BM3073" s="214"/>
      <c r="BN3073" s="214"/>
      <c r="BO3073" s="214"/>
      <c r="BP3073" s="214"/>
      <c r="BQ3073" s="214"/>
      <c r="BR3073" s="214"/>
      <c r="BS3073" s="214"/>
      <c r="BT3073" s="214"/>
      <c r="BU3073" s="214"/>
      <c r="BV3073" s="214"/>
      <c r="BW3073" s="214"/>
      <c r="BX3073" s="214"/>
      <c r="BY3073" s="214"/>
      <c r="BZ3073" s="214"/>
      <c r="CA3073" s="214"/>
      <c r="CB3073" s="214"/>
      <c r="CC3073" s="214"/>
      <c r="CD3073" s="214"/>
      <c r="CE3073" s="230"/>
      <c r="CF3073" s="230"/>
      <c r="CG3073" s="230"/>
      <c r="CH3073" s="253"/>
      <c r="CI3073" s="76" t="str">
        <f t="shared" si="1323"/>
        <v>R11Merger Related</v>
      </c>
      <c r="CJ3073" s="230"/>
      <c r="CK3073" s="230"/>
      <c r="CL3073" s="230"/>
      <c r="CM3073" s="231"/>
    </row>
    <row r="3074" spans="1:91">
      <c r="A3074" s="464"/>
      <c r="B3074" s="464"/>
      <c r="C3074" s="662" t="s">
        <v>1829</v>
      </c>
      <c r="D3074" s="689"/>
      <c r="E3074" s="422"/>
      <c r="F3074" s="422"/>
      <c r="G3074" s="461"/>
      <c r="H3074" s="678"/>
      <c r="I3074" s="462"/>
      <c r="J3074" s="462"/>
      <c r="K3074" s="422"/>
      <c r="L3074" s="655"/>
      <c r="M3074" s="422"/>
      <c r="N3074" s="463"/>
      <c r="O3074" s="463"/>
      <c r="P3074" s="689"/>
      <c r="Q3074" s="461"/>
      <c r="R3074" s="491"/>
      <c r="S3074" s="491"/>
      <c r="T3074" s="491"/>
      <c r="U3074" s="214">
        <f t="shared" si="1320"/>
        <v>6170.7915475</v>
      </c>
      <c r="V3074" s="214">
        <f t="shared" si="1320"/>
        <v>3612.68899333333</v>
      </c>
      <c r="W3074" s="214">
        <f t="shared" si="1320"/>
        <v>0</v>
      </c>
      <c r="X3074" s="214">
        <f t="shared" si="1320"/>
        <v>9783.4805408333305</v>
      </c>
      <c r="Y3074" s="214">
        <f t="shared" si="1320"/>
        <v>4742.65038</v>
      </c>
      <c r="Z3074" s="214">
        <f t="shared" si="1320"/>
        <v>2750.15951</v>
      </c>
      <c r="AA3074" s="214">
        <f t="shared" si="1320"/>
        <v>0</v>
      </c>
      <c r="AB3074" s="214">
        <f t="shared" si="1320"/>
        <v>7492.8098899999995</v>
      </c>
      <c r="AC3074" s="214">
        <f t="shared" si="1322"/>
        <v>8186.4442500000005</v>
      </c>
      <c r="AD3074" s="214">
        <f t="shared" si="1322"/>
        <v>8738.2811999999994</v>
      </c>
      <c r="AE3074" s="214">
        <f t="shared" si="1322"/>
        <v>9380.4403500000008</v>
      </c>
      <c r="AF3074" s="214">
        <f t="shared" si="1322"/>
        <v>9744.1060500000003</v>
      </c>
      <c r="AG3074" s="214">
        <f t="shared" si="1322"/>
        <v>10514.6178</v>
      </c>
      <c r="AH3074" s="214">
        <f t="shared" si="1322"/>
        <v>10559.382750000001</v>
      </c>
      <c r="AI3074" s="214">
        <f t="shared" si="1321"/>
        <v>10482.925800000001</v>
      </c>
      <c r="AJ3074" s="214">
        <f t="shared" si="1321"/>
        <v>10285.246950000001</v>
      </c>
      <c r="AK3074" s="214">
        <f t="shared" si="1321"/>
        <v>10067.7606</v>
      </c>
      <c r="AL3074" s="214">
        <f t="shared" si="1321"/>
        <v>9933.4900399999988</v>
      </c>
      <c r="AM3074" s="214">
        <f t="shared" si="1321"/>
        <v>9914.8709899999994</v>
      </c>
      <c r="AN3074" s="214">
        <f t="shared" si="1321"/>
        <v>9941.016889999999</v>
      </c>
      <c r="AO3074" s="214">
        <f t="shared" si="1321"/>
        <v>7492.8098899999995</v>
      </c>
      <c r="AP3074" s="214"/>
      <c r="AQ3074" s="214"/>
      <c r="AR3074" s="214"/>
      <c r="AS3074" s="214"/>
      <c r="AT3074" s="214"/>
      <c r="AU3074" s="214"/>
      <c r="AV3074" s="214"/>
      <c r="AW3074" s="214"/>
      <c r="AX3074" s="214"/>
      <c r="AY3074" s="214"/>
      <c r="AZ3074" s="214"/>
      <c r="BA3074" s="214"/>
      <c r="BB3074" s="214"/>
      <c r="BC3074" s="214"/>
      <c r="BD3074" s="214"/>
      <c r="BE3074" s="214"/>
      <c r="BF3074" s="214"/>
      <c r="BG3074" s="214"/>
      <c r="BH3074" s="214"/>
      <c r="BI3074" s="214"/>
      <c r="BJ3074" s="214"/>
      <c r="BK3074" s="214"/>
      <c r="BL3074" s="214"/>
      <c r="BM3074" s="214"/>
      <c r="BN3074" s="214"/>
      <c r="BO3074" s="214"/>
      <c r="BP3074" s="214"/>
      <c r="BQ3074" s="214"/>
      <c r="BR3074" s="214"/>
      <c r="BS3074" s="214"/>
      <c r="BT3074" s="214"/>
      <c r="BU3074" s="214"/>
      <c r="BV3074" s="214"/>
      <c r="BW3074" s="214"/>
      <c r="BX3074" s="214"/>
      <c r="BY3074" s="214"/>
      <c r="BZ3074" s="214"/>
      <c r="CA3074" s="214"/>
      <c r="CB3074" s="214"/>
      <c r="CC3074" s="214"/>
      <c r="CD3074" s="214"/>
      <c r="CE3074" s="230"/>
      <c r="CF3074" s="230"/>
      <c r="CG3074" s="230"/>
      <c r="CH3074" s="253"/>
      <c r="CI3074" s="76" t="str">
        <f t="shared" si="1323"/>
        <v>R11Bad Debts</v>
      </c>
      <c r="CJ3074" s="230"/>
      <c r="CK3074" s="230"/>
      <c r="CL3074" s="230"/>
      <c r="CM3074" s="231"/>
    </row>
    <row r="3075" spans="1:91">
      <c r="A3075" s="464"/>
      <c r="B3075" s="464"/>
      <c r="C3075" s="662" t="s">
        <v>1736</v>
      </c>
      <c r="D3075" s="689"/>
      <c r="E3075" s="422"/>
      <c r="F3075" s="422"/>
      <c r="G3075" s="461"/>
      <c r="H3075" s="678"/>
      <c r="I3075" s="462"/>
      <c r="J3075" s="462"/>
      <c r="K3075" s="422"/>
      <c r="L3075" s="655"/>
      <c r="M3075" s="422"/>
      <c r="N3075" s="463"/>
      <c r="O3075" s="463"/>
      <c r="P3075" s="689"/>
      <c r="Q3075" s="461"/>
      <c r="R3075" s="491"/>
      <c r="S3075" s="491"/>
      <c r="T3075" s="491"/>
      <c r="U3075" s="214">
        <f t="shared" si="1320"/>
        <v>0</v>
      </c>
      <c r="V3075" s="214">
        <f t="shared" si="1320"/>
        <v>2089.1208129166671</v>
      </c>
      <c r="W3075" s="214">
        <f t="shared" si="1320"/>
        <v>0</v>
      </c>
      <c r="X3075" s="214">
        <f t="shared" si="1320"/>
        <v>2089.1208129166671</v>
      </c>
      <c r="Y3075" s="214">
        <f t="shared" si="1320"/>
        <v>0</v>
      </c>
      <c r="Z3075" s="214">
        <f t="shared" si="1320"/>
        <v>1739.4012400000001</v>
      </c>
      <c r="AA3075" s="214">
        <f t="shared" si="1320"/>
        <v>0</v>
      </c>
      <c r="AB3075" s="214">
        <f t="shared" si="1320"/>
        <v>1739.4012399999999</v>
      </c>
      <c r="AC3075" s="214">
        <f t="shared" si="1322"/>
        <v>2233.1229899999998</v>
      </c>
      <c r="AD3075" s="214">
        <f t="shared" si="1322"/>
        <v>2233.1229899999998</v>
      </c>
      <c r="AE3075" s="214">
        <f t="shared" si="1322"/>
        <v>2233.1229899999998</v>
      </c>
      <c r="AF3075" s="214">
        <f t="shared" si="1322"/>
        <v>2233.1229899999998</v>
      </c>
      <c r="AG3075" s="214">
        <f t="shared" si="1322"/>
        <v>2233.1229899999998</v>
      </c>
      <c r="AH3075" s="214">
        <f t="shared" si="1322"/>
        <v>2233.1229899999998</v>
      </c>
      <c r="AI3075" s="214">
        <f t="shared" si="1321"/>
        <v>2233.1229899999998</v>
      </c>
      <c r="AJ3075" s="214">
        <f t="shared" si="1321"/>
        <v>2233.1229899999998</v>
      </c>
      <c r="AK3075" s="214">
        <f t="shared" si="1321"/>
        <v>2233.1229899999998</v>
      </c>
      <c r="AL3075" s="214">
        <f t="shared" si="1321"/>
        <v>1739.4012399999999</v>
      </c>
      <c r="AM3075" s="214">
        <f t="shared" si="1321"/>
        <v>1739.4012399999999</v>
      </c>
      <c r="AN3075" s="214">
        <f t="shared" si="1321"/>
        <v>1739.4012399999999</v>
      </c>
      <c r="AO3075" s="214">
        <f t="shared" si="1321"/>
        <v>1739.4012399999999</v>
      </c>
      <c r="AP3075" s="214"/>
      <c r="AQ3075" s="214"/>
      <c r="AR3075" s="214"/>
      <c r="AS3075" s="214"/>
      <c r="AT3075" s="214"/>
      <c r="AU3075" s="214"/>
      <c r="AV3075" s="214"/>
      <c r="AW3075" s="214"/>
      <c r="AX3075" s="214"/>
      <c r="AY3075" s="214"/>
      <c r="AZ3075" s="214"/>
      <c r="BA3075" s="214"/>
      <c r="BB3075" s="214"/>
      <c r="BC3075" s="214"/>
      <c r="BD3075" s="214"/>
      <c r="BE3075" s="214"/>
      <c r="BF3075" s="214"/>
      <c r="BG3075" s="214"/>
      <c r="BH3075" s="214"/>
      <c r="BI3075" s="214"/>
      <c r="BJ3075" s="214"/>
      <c r="BK3075" s="214"/>
      <c r="BL3075" s="214"/>
      <c r="BM3075" s="214"/>
      <c r="BN3075" s="214"/>
      <c r="BO3075" s="214"/>
      <c r="BP3075" s="214"/>
      <c r="BQ3075" s="214"/>
      <c r="BR3075" s="214"/>
      <c r="BS3075" s="214"/>
      <c r="BT3075" s="214"/>
      <c r="BU3075" s="214"/>
      <c r="BV3075" s="214"/>
      <c r="BW3075" s="214"/>
      <c r="BX3075" s="214"/>
      <c r="BY3075" s="214"/>
      <c r="BZ3075" s="214"/>
      <c r="CA3075" s="214"/>
      <c r="CB3075" s="214"/>
      <c r="CC3075" s="214"/>
      <c r="CD3075" s="214"/>
      <c r="CE3075" s="230"/>
      <c r="CF3075" s="230"/>
      <c r="CG3075" s="230"/>
      <c r="CH3075" s="253"/>
      <c r="CI3075" s="76" t="str">
        <f t="shared" si="1323"/>
        <v>R11Gas Demand Charges</v>
      </c>
      <c r="CJ3075" s="230"/>
      <c r="CK3075" s="230"/>
      <c r="CL3075" s="230"/>
      <c r="CM3075" s="231"/>
    </row>
    <row r="3076" spans="1:91">
      <c r="A3076" s="464"/>
      <c r="B3076" s="464"/>
      <c r="C3076" s="662" t="s">
        <v>1677</v>
      </c>
      <c r="D3076" s="689"/>
      <c r="E3076" s="422"/>
      <c r="F3076" s="422"/>
      <c r="G3076" s="461"/>
      <c r="H3076" s="678"/>
      <c r="I3076" s="462"/>
      <c r="J3076" s="462"/>
      <c r="K3076" s="422"/>
      <c r="L3076" s="655"/>
      <c r="M3076" s="422"/>
      <c r="N3076" s="463"/>
      <c r="O3076" s="463"/>
      <c r="P3076" s="689"/>
      <c r="Q3076" s="461"/>
      <c r="R3076" s="491"/>
      <c r="S3076" s="491"/>
      <c r="T3076" s="491"/>
      <c r="U3076" s="214">
        <f t="shared" si="1320"/>
        <v>554.35140000000001</v>
      </c>
      <c r="V3076" s="214">
        <f t="shared" si="1320"/>
        <v>83.264309999999995</v>
      </c>
      <c r="W3076" s="214">
        <f t="shared" si="1320"/>
        <v>0</v>
      </c>
      <c r="X3076" s="214">
        <f t="shared" si="1320"/>
        <v>637.61571000000004</v>
      </c>
      <c r="Y3076" s="214">
        <f t="shared" si="1320"/>
        <v>554.35140000000001</v>
      </c>
      <c r="Z3076" s="214">
        <f t="shared" si="1320"/>
        <v>83.264309999999995</v>
      </c>
      <c r="AA3076" s="214">
        <f t="shared" si="1320"/>
        <v>0</v>
      </c>
      <c r="AB3076" s="214">
        <f t="shared" si="1320"/>
        <v>637.61571000000004</v>
      </c>
      <c r="AC3076" s="214">
        <f t="shared" si="1322"/>
        <v>637.61571000000004</v>
      </c>
      <c r="AD3076" s="214">
        <f t="shared" si="1322"/>
        <v>637.61571000000004</v>
      </c>
      <c r="AE3076" s="214">
        <f t="shared" si="1322"/>
        <v>637.61571000000004</v>
      </c>
      <c r="AF3076" s="214">
        <f t="shared" si="1322"/>
        <v>637.61571000000004</v>
      </c>
      <c r="AG3076" s="214">
        <f t="shared" si="1322"/>
        <v>637.61571000000004</v>
      </c>
      <c r="AH3076" s="214">
        <f t="shared" si="1322"/>
        <v>637.61571000000004</v>
      </c>
      <c r="AI3076" s="214">
        <f t="shared" si="1321"/>
        <v>637.61571000000004</v>
      </c>
      <c r="AJ3076" s="214">
        <f t="shared" si="1321"/>
        <v>637.61571000000004</v>
      </c>
      <c r="AK3076" s="214">
        <f t="shared" si="1321"/>
        <v>637.61571000000004</v>
      </c>
      <c r="AL3076" s="214">
        <f t="shared" si="1321"/>
        <v>637.61571000000004</v>
      </c>
      <c r="AM3076" s="214">
        <f t="shared" si="1321"/>
        <v>637.61571000000004</v>
      </c>
      <c r="AN3076" s="214">
        <f t="shared" si="1321"/>
        <v>637.61571000000004</v>
      </c>
      <c r="AO3076" s="214">
        <f t="shared" si="1321"/>
        <v>637.61571000000004</v>
      </c>
      <c r="AP3076" s="214"/>
      <c r="AQ3076" s="214"/>
      <c r="AR3076" s="214"/>
      <c r="AS3076" s="214"/>
      <c r="AT3076" s="214"/>
      <c r="AU3076" s="214"/>
      <c r="AV3076" s="214"/>
      <c r="AW3076" s="214"/>
      <c r="AX3076" s="214"/>
      <c r="AY3076" s="214"/>
      <c r="AZ3076" s="214"/>
      <c r="BA3076" s="214"/>
      <c r="BB3076" s="214"/>
      <c r="BC3076" s="214"/>
      <c r="BD3076" s="214"/>
      <c r="BE3076" s="214"/>
      <c r="BF3076" s="214"/>
      <c r="BG3076" s="214"/>
      <c r="BH3076" s="214"/>
      <c r="BI3076" s="214"/>
      <c r="BJ3076" s="214"/>
      <c r="BK3076" s="214"/>
      <c r="BL3076" s="214"/>
      <c r="BM3076" s="214"/>
      <c r="BN3076" s="214"/>
      <c r="BO3076" s="214"/>
      <c r="BP3076" s="214"/>
      <c r="BQ3076" s="214"/>
      <c r="BR3076" s="214"/>
      <c r="BS3076" s="214"/>
      <c r="BT3076" s="214"/>
      <c r="BU3076" s="214"/>
      <c r="BV3076" s="214"/>
      <c r="BW3076" s="214"/>
      <c r="BX3076" s="214"/>
      <c r="BY3076" s="214"/>
      <c r="BZ3076" s="214"/>
      <c r="CA3076" s="214"/>
      <c r="CB3076" s="214"/>
      <c r="CC3076" s="214"/>
      <c r="CD3076" s="214"/>
      <c r="CE3076" s="230"/>
      <c r="CF3076" s="230"/>
      <c r="CG3076" s="230"/>
      <c r="CH3076" s="253"/>
      <c r="CI3076" s="76" t="str">
        <f t="shared" si="1323"/>
        <v>R11Personal Time</v>
      </c>
      <c r="CJ3076" s="230"/>
      <c r="CK3076" s="230"/>
      <c r="CL3076" s="230"/>
      <c r="CM3076" s="231"/>
    </row>
    <row r="3077" spans="1:91">
      <c r="A3077" s="464"/>
      <c r="B3077" s="464"/>
      <c r="C3077" s="661" t="s">
        <v>1724</v>
      </c>
      <c r="D3077" s="689"/>
      <c r="E3077" s="422"/>
      <c r="F3077" s="422"/>
      <c r="G3077" s="461"/>
      <c r="H3077" s="678"/>
      <c r="I3077" s="462"/>
      <c r="J3077" s="462"/>
      <c r="K3077" s="422"/>
      <c r="L3077" s="655"/>
      <c r="M3077" s="422"/>
      <c r="N3077" s="463"/>
      <c r="O3077" s="463"/>
      <c r="P3077" s="689"/>
      <c r="Q3077" s="461"/>
      <c r="R3077" s="491"/>
      <c r="S3077" s="491"/>
      <c r="T3077" s="491"/>
      <c r="U3077" s="214">
        <f t="shared" si="1320"/>
        <v>957.32491541666695</v>
      </c>
      <c r="V3077" s="214">
        <f t="shared" si="1320"/>
        <v>293.67560958333297</v>
      </c>
      <c r="W3077" s="214">
        <f t="shared" si="1320"/>
        <v>0</v>
      </c>
      <c r="X3077" s="214">
        <f t="shared" si="1320"/>
        <v>1251.0005249999999</v>
      </c>
      <c r="Y3077" s="214">
        <f t="shared" si="1320"/>
        <v>976.14204999999993</v>
      </c>
      <c r="Z3077" s="214">
        <f t="shared" si="1320"/>
        <v>299.61784999999998</v>
      </c>
      <c r="AA3077" s="214">
        <f t="shared" si="1320"/>
        <v>0</v>
      </c>
      <c r="AB3077" s="214">
        <f t="shared" si="1320"/>
        <v>1275.7599</v>
      </c>
      <c r="AC3077" s="214">
        <f t="shared" si="1322"/>
        <v>1236.1448999999998</v>
      </c>
      <c r="AD3077" s="214">
        <f t="shared" si="1322"/>
        <v>1236.1448999999998</v>
      </c>
      <c r="AE3077" s="214">
        <f t="shared" si="1322"/>
        <v>1236.1448999999998</v>
      </c>
      <c r="AF3077" s="214">
        <f t="shared" si="1322"/>
        <v>1236.1448999999998</v>
      </c>
      <c r="AG3077" s="214">
        <f t="shared" si="1322"/>
        <v>1236.1448999999998</v>
      </c>
      <c r="AH3077" s="214">
        <f t="shared" si="1322"/>
        <v>1236.1448999999998</v>
      </c>
      <c r="AI3077" s="214">
        <f t="shared" si="1321"/>
        <v>1236.1448999999998</v>
      </c>
      <c r="AJ3077" s="214">
        <f t="shared" si="1321"/>
        <v>1236.1448999999998</v>
      </c>
      <c r="AK3077" s="214">
        <f t="shared" si="1321"/>
        <v>1275.7599</v>
      </c>
      <c r="AL3077" s="214">
        <f t="shared" si="1321"/>
        <v>1275.7599</v>
      </c>
      <c r="AM3077" s="214">
        <f t="shared" si="1321"/>
        <v>1275.7599</v>
      </c>
      <c r="AN3077" s="214">
        <f t="shared" si="1321"/>
        <v>1275.7599</v>
      </c>
      <c r="AO3077" s="214">
        <f t="shared" si="1321"/>
        <v>1275.7599</v>
      </c>
      <c r="AP3077" s="214"/>
      <c r="AQ3077" s="214"/>
      <c r="AR3077" s="214"/>
      <c r="AS3077" s="214"/>
      <c r="AT3077" s="214"/>
      <c r="AU3077" s="214"/>
      <c r="AV3077" s="214"/>
      <c r="AW3077" s="214"/>
      <c r="AX3077" s="214"/>
      <c r="AY3077" s="214"/>
      <c r="AZ3077" s="214"/>
      <c r="BA3077" s="214"/>
      <c r="BB3077" s="214"/>
      <c r="BC3077" s="214"/>
      <c r="BD3077" s="214"/>
      <c r="BE3077" s="214"/>
      <c r="BF3077" s="214"/>
      <c r="BG3077" s="214"/>
      <c r="BH3077" s="214"/>
      <c r="BI3077" s="214"/>
      <c r="BJ3077" s="214"/>
      <c r="BK3077" s="214"/>
      <c r="BL3077" s="214"/>
      <c r="BM3077" s="214"/>
      <c r="BN3077" s="214"/>
      <c r="BO3077" s="214"/>
      <c r="BP3077" s="214"/>
      <c r="BQ3077" s="214"/>
      <c r="BR3077" s="214"/>
      <c r="BS3077" s="214"/>
      <c r="BT3077" s="214"/>
      <c r="BU3077" s="214"/>
      <c r="BV3077" s="214"/>
      <c r="BW3077" s="214"/>
      <c r="BX3077" s="214"/>
      <c r="BY3077" s="214"/>
      <c r="BZ3077" s="214"/>
      <c r="CA3077" s="214"/>
      <c r="CB3077" s="214"/>
      <c r="CC3077" s="214"/>
      <c r="CD3077" s="214"/>
      <c r="CE3077" s="230"/>
      <c r="CF3077" s="230"/>
      <c r="CG3077" s="230"/>
      <c r="CH3077" s="253"/>
      <c r="CI3077" s="76" t="str">
        <f t="shared" si="1323"/>
        <v>R11Workers Comp Reserve</v>
      </c>
      <c r="CJ3077" s="230"/>
      <c r="CK3077" s="230"/>
      <c r="CL3077" s="230"/>
      <c r="CM3077" s="231"/>
    </row>
    <row r="3078" spans="1:91">
      <c r="A3078" s="464"/>
      <c r="B3078" s="464"/>
      <c r="C3078" s="661" t="s">
        <v>1815</v>
      </c>
      <c r="D3078" s="689"/>
      <c r="E3078" s="422"/>
      <c r="F3078" s="422"/>
      <c r="G3078" s="461"/>
      <c r="H3078" s="678"/>
      <c r="I3078" s="462"/>
      <c r="J3078" s="462"/>
      <c r="K3078" s="422"/>
      <c r="L3078" s="655"/>
      <c r="M3078" s="422"/>
      <c r="N3078" s="463"/>
      <c r="O3078" s="463"/>
      <c r="P3078" s="689"/>
      <c r="Q3078" s="461"/>
      <c r="R3078" s="491"/>
      <c r="S3078" s="491"/>
      <c r="T3078" s="491"/>
      <c r="U3078" s="214">
        <f t="shared" si="1320"/>
        <v>-1311.2462325000001</v>
      </c>
      <c r="V3078" s="214">
        <f t="shared" si="1320"/>
        <v>53.409824999999998</v>
      </c>
      <c r="W3078" s="214">
        <f t="shared" si="1320"/>
        <v>0</v>
      </c>
      <c r="X3078" s="214">
        <f t="shared" si="1320"/>
        <v>-1257.8364075</v>
      </c>
      <c r="Y3078" s="214">
        <f t="shared" si="1320"/>
        <v>-1279.25712</v>
      </c>
      <c r="Z3078" s="214">
        <f t="shared" si="1320"/>
        <v>63.511649999999996</v>
      </c>
      <c r="AA3078" s="214">
        <f t="shared" si="1320"/>
        <v>0</v>
      </c>
      <c r="AB3078" s="214">
        <f t="shared" si="1320"/>
        <v>-1215.7454699999998</v>
      </c>
      <c r="AC3078" s="214">
        <f t="shared" si="1322"/>
        <v>-1275.1679700000002</v>
      </c>
      <c r="AD3078" s="214">
        <f t="shared" si="1322"/>
        <v>-1275.1679700000002</v>
      </c>
      <c r="AE3078" s="214">
        <f t="shared" si="1322"/>
        <v>-1275.1679700000002</v>
      </c>
      <c r="AF3078" s="214">
        <f t="shared" si="1322"/>
        <v>-1275.1679700000002</v>
      </c>
      <c r="AG3078" s="214">
        <f t="shared" si="1322"/>
        <v>-1275.1679700000002</v>
      </c>
      <c r="AH3078" s="214">
        <f t="shared" si="1322"/>
        <v>-1275.1679700000002</v>
      </c>
      <c r="AI3078" s="214">
        <f t="shared" si="1321"/>
        <v>-1275.1679700000002</v>
      </c>
      <c r="AJ3078" s="214">
        <f t="shared" si="1321"/>
        <v>-1275.1679700000002</v>
      </c>
      <c r="AK3078" s="214">
        <f t="shared" si="1321"/>
        <v>-1275.1679700000002</v>
      </c>
      <c r="AL3078" s="214">
        <f t="shared" si="1321"/>
        <v>-1215.7454699999998</v>
      </c>
      <c r="AM3078" s="214">
        <f t="shared" si="1321"/>
        <v>-1215.7454699999998</v>
      </c>
      <c r="AN3078" s="214">
        <f t="shared" si="1321"/>
        <v>-1215.7454699999998</v>
      </c>
      <c r="AO3078" s="214">
        <f t="shared" si="1321"/>
        <v>-1215.7454699999998</v>
      </c>
      <c r="AP3078" s="214"/>
      <c r="AQ3078" s="214"/>
      <c r="AR3078" s="214"/>
      <c r="AS3078" s="214"/>
      <c r="AT3078" s="214"/>
      <c r="AU3078" s="214"/>
      <c r="AV3078" s="214"/>
      <c r="AW3078" s="214"/>
      <c r="AX3078" s="214"/>
      <c r="AY3078" s="214"/>
      <c r="AZ3078" s="214"/>
      <c r="BA3078" s="214"/>
      <c r="BB3078" s="214"/>
      <c r="BC3078" s="214"/>
      <c r="BD3078" s="214"/>
      <c r="BE3078" s="214"/>
      <c r="BF3078" s="214"/>
      <c r="BG3078" s="214"/>
      <c r="BH3078" s="214"/>
      <c r="BI3078" s="214"/>
      <c r="BJ3078" s="214"/>
      <c r="BK3078" s="214"/>
      <c r="BL3078" s="214"/>
      <c r="BM3078" s="214"/>
      <c r="BN3078" s="214"/>
      <c r="BO3078" s="214"/>
      <c r="BP3078" s="214"/>
      <c r="BQ3078" s="214"/>
      <c r="BR3078" s="214"/>
      <c r="BS3078" s="214"/>
      <c r="BT3078" s="214"/>
      <c r="BU3078" s="214"/>
      <c r="BV3078" s="214"/>
      <c r="BW3078" s="214"/>
      <c r="BX3078" s="214"/>
      <c r="BY3078" s="214"/>
      <c r="BZ3078" s="214"/>
      <c r="CA3078" s="214"/>
      <c r="CB3078" s="214"/>
      <c r="CC3078" s="214"/>
      <c r="CD3078" s="214"/>
      <c r="CE3078" s="230"/>
      <c r="CF3078" s="230"/>
      <c r="CG3078" s="230"/>
      <c r="CH3078" s="253"/>
      <c r="CI3078" s="76" t="str">
        <f t="shared" si="1323"/>
        <v>R11Vacation pay</v>
      </c>
      <c r="CJ3078" s="230"/>
      <c r="CK3078" s="230"/>
      <c r="CL3078" s="230"/>
      <c r="CM3078" s="231"/>
    </row>
    <row r="3079" spans="1:91">
      <c r="A3079" s="464"/>
      <c r="B3079" s="464"/>
      <c r="C3079" s="656"/>
      <c r="D3079" s="689"/>
      <c r="E3079" s="422"/>
      <c r="F3079" s="422"/>
      <c r="G3079" s="461"/>
      <c r="H3079" s="678"/>
      <c r="I3079" s="462"/>
      <c r="J3079" s="462"/>
      <c r="K3079" s="422"/>
      <c r="L3079" s="689"/>
      <c r="M3079" s="422"/>
      <c r="N3079" s="463"/>
      <c r="O3079" s="463"/>
      <c r="P3079" s="689"/>
      <c r="Q3079" s="461"/>
      <c r="R3079" s="491"/>
      <c r="S3079" s="491"/>
      <c r="T3079" s="491"/>
      <c r="U3079" s="214"/>
      <c r="V3079" s="214"/>
      <c r="W3079" s="214"/>
      <c r="X3079" s="214"/>
      <c r="Y3079" s="214"/>
      <c r="Z3079" s="214"/>
      <c r="AA3079" s="214"/>
      <c r="AB3079" s="214"/>
      <c r="AC3079" s="214"/>
      <c r="AD3079" s="214"/>
      <c r="AE3079" s="214"/>
      <c r="AF3079" s="214"/>
      <c r="AG3079" s="214"/>
      <c r="AH3079" s="214"/>
      <c r="AI3079" s="214"/>
      <c r="AJ3079" s="214"/>
      <c r="AK3079" s="214"/>
      <c r="AL3079" s="214"/>
      <c r="AM3079" s="214"/>
      <c r="AN3079" s="214"/>
      <c r="AO3079" s="214"/>
      <c r="AP3079" s="214"/>
      <c r="AQ3079" s="214"/>
      <c r="AR3079" s="214"/>
      <c r="AS3079" s="214"/>
      <c r="AT3079" s="214"/>
      <c r="AU3079" s="214"/>
      <c r="AV3079" s="214"/>
      <c r="AW3079" s="214"/>
      <c r="AX3079" s="214"/>
      <c r="AY3079" s="214"/>
      <c r="AZ3079" s="214"/>
      <c r="BA3079" s="214"/>
      <c r="BB3079" s="214"/>
      <c r="BC3079" s="214"/>
      <c r="BD3079" s="214"/>
      <c r="BE3079" s="214"/>
      <c r="BF3079" s="214"/>
      <c r="BG3079" s="214"/>
      <c r="BH3079" s="214"/>
      <c r="BI3079" s="214"/>
      <c r="BJ3079" s="214"/>
      <c r="BK3079" s="214"/>
      <c r="BL3079" s="214"/>
      <c r="BM3079" s="214"/>
      <c r="BN3079" s="214"/>
      <c r="BO3079" s="214"/>
      <c r="BP3079" s="214"/>
      <c r="BQ3079" s="214"/>
      <c r="BR3079" s="214"/>
      <c r="BS3079" s="214"/>
      <c r="BT3079" s="214"/>
      <c r="BU3079" s="214"/>
      <c r="BV3079" s="214"/>
      <c r="BW3079" s="214"/>
      <c r="BX3079" s="214"/>
      <c r="BY3079" s="214"/>
      <c r="BZ3079" s="214"/>
      <c r="CA3079" s="214"/>
      <c r="CB3079" s="214"/>
      <c r="CC3079" s="214"/>
      <c r="CD3079" s="214"/>
      <c r="CE3079" s="230"/>
      <c r="CF3079" s="230"/>
      <c r="CG3079" s="230"/>
      <c r="CH3079" s="253" t="str">
        <f>CONCATENATE(L3079,H3079)</f>
        <v/>
      </c>
      <c r="CI3079" s="76" t="str">
        <f>+CONCATENATE(D$4407,C3079)</f>
        <v/>
      </c>
      <c r="CJ3079" s="230"/>
      <c r="CK3079" s="230"/>
      <c r="CL3079" s="230"/>
      <c r="CM3079" s="231"/>
    </row>
    <row r="3080" spans="1:91" ht="15">
      <c r="A3080" s="464"/>
      <c r="B3080" s="464"/>
      <c r="C3080" s="656" t="s">
        <v>2391</v>
      </c>
      <c r="D3080" s="689"/>
      <c r="E3080" s="422"/>
      <c r="F3080" s="422"/>
      <c r="G3080" s="461"/>
      <c r="H3080" s="678"/>
      <c r="I3080" s="462"/>
      <c r="J3080" s="462"/>
      <c r="K3080" s="422"/>
      <c r="L3080" s="689"/>
      <c r="M3080" s="422"/>
      <c r="N3080" s="463"/>
      <c r="O3080" s="463"/>
      <c r="P3080" s="689"/>
      <c r="Q3080" s="461"/>
      <c r="R3080" s="491"/>
      <c r="S3080" s="491"/>
      <c r="T3080" s="491"/>
      <c r="U3080" s="215">
        <f t="shared" ref="U3080:AC3080" si="1324">+U3082-SUM(U2999:U3079)</f>
        <v>4581.1070754386601</v>
      </c>
      <c r="V3080" s="215">
        <f t="shared" si="1324"/>
        <v>-381.13047543875291</v>
      </c>
      <c r="W3080" s="215">
        <f t="shared" si="1324"/>
        <v>0</v>
      </c>
      <c r="X3080" s="215">
        <f t="shared" si="1324"/>
        <v>4199.9766000002273</v>
      </c>
      <c r="Y3080" s="215">
        <f t="shared" si="1324"/>
        <v>6758.1970593149017</v>
      </c>
      <c r="Z3080" s="215">
        <f t="shared" si="1324"/>
        <v>-1604.036519315021</v>
      </c>
      <c r="AA3080" s="215">
        <f t="shared" si="1324"/>
        <v>0</v>
      </c>
      <c r="AB3080" s="215">
        <f t="shared" si="1324"/>
        <v>5154.1605400002445</v>
      </c>
      <c r="AC3080" s="215">
        <f t="shared" si="1324"/>
        <v>910.3976400004467</v>
      </c>
      <c r="AD3080" s="215">
        <f t="shared" ref="AD3080:AE3080" si="1325">+AD3082-SUM(AD2999:AD3079)</f>
        <v>935.71956000046339</v>
      </c>
      <c r="AE3080" s="215">
        <f t="shared" si="1325"/>
        <v>2082.3795900004916</v>
      </c>
      <c r="AF3080" s="215">
        <f t="shared" ref="AF3080:AG3080" si="1326">+AF3082-SUM(AF2999:AF3079)</f>
        <v>2655.8479200002039</v>
      </c>
      <c r="AG3080" s="215">
        <f t="shared" si="1326"/>
        <v>3022.5250300001353</v>
      </c>
      <c r="AH3080" s="215">
        <f t="shared" ref="AH3080:AI3080" si="1327">+AH3082-SUM(AH2999:AH3079)</f>
        <v>3665.9203500005533</v>
      </c>
      <c r="AI3080" s="215">
        <f t="shared" si="1327"/>
        <v>4584.5199600002379</v>
      </c>
      <c r="AJ3080" s="215">
        <f t="shared" ref="AJ3080:AK3080" si="1328">+AJ3082-SUM(AJ2999:AJ3079)</f>
        <v>4709.3398700003745</v>
      </c>
      <c r="AK3080" s="215">
        <f t="shared" si="1328"/>
        <v>4859.2916500000283</v>
      </c>
      <c r="AL3080" s="215">
        <f t="shared" ref="AL3080:AM3080" si="1329">+AL3082-SUM(AL2999:AL3079)</f>
        <v>6329.629920000385</v>
      </c>
      <c r="AM3080" s="215">
        <f t="shared" si="1329"/>
        <v>6884.0532700002659</v>
      </c>
      <c r="AN3080" s="215">
        <f t="shared" ref="AN3080:AO3080" si="1330">+AN3082-SUM(AN2999:AN3079)</f>
        <v>7638.2129900004948</v>
      </c>
      <c r="AO3080" s="215">
        <f t="shared" si="1330"/>
        <v>5154.1605400002445</v>
      </c>
      <c r="AP3080" s="215"/>
      <c r="AQ3080" s="215"/>
      <c r="AR3080" s="215"/>
      <c r="AS3080" s="215"/>
      <c r="AT3080" s="215"/>
      <c r="AU3080" s="215"/>
      <c r="AV3080" s="215"/>
      <c r="AW3080" s="215"/>
      <c r="AX3080" s="215"/>
      <c r="AY3080" s="215"/>
      <c r="AZ3080" s="215"/>
      <c r="BA3080" s="215"/>
      <c r="BB3080" s="215"/>
      <c r="BC3080" s="215"/>
      <c r="BD3080" s="215"/>
      <c r="BE3080" s="215"/>
      <c r="BF3080" s="215"/>
      <c r="BG3080" s="215"/>
      <c r="BH3080" s="215"/>
      <c r="BI3080" s="215"/>
      <c r="BJ3080" s="215"/>
      <c r="BK3080" s="215"/>
      <c r="BL3080" s="215"/>
      <c r="BM3080" s="215"/>
      <c r="BN3080" s="215"/>
      <c r="BO3080" s="215"/>
      <c r="BP3080" s="215"/>
      <c r="BQ3080" s="215"/>
      <c r="BR3080" s="215"/>
      <c r="BS3080" s="215"/>
      <c r="BT3080" s="215"/>
      <c r="BU3080" s="215"/>
      <c r="BV3080" s="215"/>
      <c r="BW3080" s="215"/>
      <c r="BX3080" s="215"/>
      <c r="BY3080" s="215"/>
      <c r="BZ3080" s="215"/>
      <c r="CA3080" s="215"/>
      <c r="CB3080" s="215"/>
      <c r="CC3080" s="215"/>
      <c r="CD3080" s="215"/>
      <c r="CE3080" s="230"/>
      <c r="CF3080" s="230"/>
      <c r="CG3080" s="230"/>
      <c r="CH3080" s="253" t="str">
        <f>CONCATENATE(L3080,H3080)</f>
        <v/>
      </c>
      <c r="CI3080" s="230"/>
      <c r="CJ3080" s="230"/>
      <c r="CK3080" s="230"/>
      <c r="CL3080" s="230"/>
      <c r="CM3080" s="231"/>
    </row>
    <row r="3081" spans="1:91">
      <c r="A3081" s="464"/>
      <c r="B3081" s="464"/>
      <c r="C3081" s="656"/>
      <c r="D3081" s="689"/>
      <c r="E3081" s="422"/>
      <c r="F3081" s="422"/>
      <c r="G3081" s="461"/>
      <c r="H3081" s="678"/>
      <c r="I3081" s="462"/>
      <c r="J3081" s="462"/>
      <c r="K3081" s="422"/>
      <c r="L3081" s="689"/>
      <c r="M3081" s="422"/>
      <c r="N3081" s="463"/>
      <c r="O3081" s="463"/>
      <c r="P3081" s="689"/>
      <c r="Q3081" s="461"/>
      <c r="R3081" s="491"/>
      <c r="S3081" s="491"/>
      <c r="T3081" s="491"/>
      <c r="U3081" s="216"/>
      <c r="V3081" s="216"/>
      <c r="W3081" s="216"/>
      <c r="X3081" s="216"/>
      <c r="Y3081" s="216"/>
      <c r="Z3081" s="216"/>
      <c r="AA3081" s="216"/>
      <c r="AB3081" s="216"/>
      <c r="AC3081" s="216"/>
      <c r="AD3081" s="216"/>
      <c r="AE3081" s="216"/>
      <c r="AF3081" s="216"/>
      <c r="AG3081" s="216"/>
      <c r="AH3081" s="216"/>
      <c r="AI3081" s="216"/>
      <c r="AJ3081" s="216"/>
      <c r="AK3081" s="216"/>
      <c r="AL3081" s="216"/>
      <c r="AM3081" s="216"/>
      <c r="AN3081" s="216"/>
      <c r="AO3081" s="216"/>
      <c r="AP3081" s="216"/>
      <c r="AQ3081" s="216"/>
      <c r="AR3081" s="216"/>
      <c r="AS3081" s="216"/>
      <c r="AT3081" s="216"/>
      <c r="AU3081" s="216"/>
      <c r="AV3081" s="216"/>
      <c r="AW3081" s="216"/>
      <c r="AX3081" s="216"/>
      <c r="AY3081" s="216"/>
      <c r="AZ3081" s="216"/>
      <c r="BA3081" s="216"/>
      <c r="BB3081" s="216"/>
      <c r="BC3081" s="216"/>
      <c r="BD3081" s="216"/>
      <c r="BE3081" s="216"/>
      <c r="BF3081" s="216"/>
      <c r="BG3081" s="216"/>
      <c r="BH3081" s="216"/>
      <c r="BI3081" s="216"/>
      <c r="BJ3081" s="216"/>
      <c r="BK3081" s="216"/>
      <c r="BL3081" s="216"/>
      <c r="BM3081" s="216"/>
      <c r="BN3081" s="216"/>
      <c r="BO3081" s="216"/>
      <c r="BP3081" s="216"/>
      <c r="BQ3081" s="216"/>
      <c r="BR3081" s="216"/>
      <c r="BS3081" s="216"/>
      <c r="BT3081" s="216"/>
      <c r="BU3081" s="216"/>
      <c r="BV3081" s="216"/>
      <c r="BW3081" s="216"/>
      <c r="BX3081" s="216"/>
      <c r="BY3081" s="216"/>
      <c r="BZ3081" s="216"/>
      <c r="CA3081" s="216"/>
      <c r="CB3081" s="216"/>
      <c r="CC3081" s="216"/>
      <c r="CD3081" s="216"/>
      <c r="CE3081" s="230"/>
      <c r="CF3081" s="230"/>
      <c r="CG3081" s="230"/>
      <c r="CH3081" s="253" t="str">
        <f>CONCATENATE(L3081,H3081)</f>
        <v/>
      </c>
      <c r="CI3081" s="230"/>
      <c r="CJ3081" s="230"/>
      <c r="CK3081" s="230"/>
      <c r="CL3081" s="230"/>
      <c r="CM3081" s="231"/>
    </row>
    <row r="3082" spans="1:91">
      <c r="A3082" s="409"/>
      <c r="B3082" s="409"/>
      <c r="C3082" s="656" t="s">
        <v>2475</v>
      </c>
      <c r="D3082" s="656" t="s">
        <v>2443</v>
      </c>
      <c r="E3082" s="406"/>
      <c r="F3082" s="406"/>
      <c r="G3082" s="406"/>
      <c r="H3082" s="672"/>
      <c r="I3082" s="448"/>
      <c r="J3082" s="448"/>
      <c r="K3082" s="405"/>
      <c r="L3082" s="655"/>
      <c r="M3082" s="405"/>
      <c r="N3082" s="449"/>
      <c r="O3082" s="449"/>
      <c r="P3082" s="655"/>
      <c r="Q3082" s="406"/>
      <c r="R3082" s="486"/>
      <c r="S3082" s="486"/>
      <c r="T3082" s="486"/>
      <c r="U3082" s="214">
        <f t="shared" ref="U3082:AO3082" si="1331">SUMIF($L:$L,$D3082,U:U)</f>
        <v>-233484.5373112279</v>
      </c>
      <c r="V3082" s="214">
        <f t="shared" si="1331"/>
        <v>-101341.56931793877</v>
      </c>
      <c r="W3082" s="214">
        <f t="shared" si="1331"/>
        <v>0</v>
      </c>
      <c r="X3082" s="214">
        <f t="shared" si="1331"/>
        <v>-334826.10662916646</v>
      </c>
      <c r="Y3082" s="214">
        <f t="shared" si="1331"/>
        <v>-239559.26103068492</v>
      </c>
      <c r="Z3082" s="214">
        <f t="shared" si="1331"/>
        <v>-108603.50440931504</v>
      </c>
      <c r="AA3082" s="214">
        <f t="shared" si="1331"/>
        <v>0</v>
      </c>
      <c r="AB3082" s="214">
        <f t="shared" si="1331"/>
        <v>-348162.76543999993</v>
      </c>
      <c r="AC3082" s="214">
        <f t="shared" si="1331"/>
        <v>-336574.76487999957</v>
      </c>
      <c r="AD3082" s="214">
        <f t="shared" si="1331"/>
        <v>-332597.76011999976</v>
      </c>
      <c r="AE3082" s="214">
        <f t="shared" si="1331"/>
        <v>-330728.68157999974</v>
      </c>
      <c r="AF3082" s="214">
        <f t="shared" si="1331"/>
        <v>-329440.44097999984</v>
      </c>
      <c r="AG3082" s="214">
        <f t="shared" si="1331"/>
        <v>-331534.4009999999</v>
      </c>
      <c r="AH3082" s="214">
        <f t="shared" si="1331"/>
        <v>-333280.72300999949</v>
      </c>
      <c r="AI3082" s="214">
        <f t="shared" si="1331"/>
        <v>-334033.08146999992</v>
      </c>
      <c r="AJ3082" s="214">
        <f t="shared" si="1331"/>
        <v>-335191.63944999978</v>
      </c>
      <c r="AK3082" s="214">
        <f t="shared" si="1331"/>
        <v>-338574.12980000011</v>
      </c>
      <c r="AL3082" s="214">
        <f t="shared" si="1331"/>
        <v>-330995.06185999978</v>
      </c>
      <c r="AM3082" s="214">
        <f t="shared" si="1331"/>
        <v>-341706.43555999978</v>
      </c>
      <c r="AN3082" s="214">
        <f t="shared" si="1331"/>
        <v>-337462.15955999971</v>
      </c>
      <c r="AO3082" s="214">
        <f t="shared" si="1331"/>
        <v>-348162.76543999993</v>
      </c>
      <c r="AP3082" s="214"/>
      <c r="AQ3082" s="214"/>
      <c r="AR3082" s="214"/>
      <c r="AS3082" s="214"/>
      <c r="AT3082" s="214"/>
      <c r="AU3082" s="214"/>
      <c r="AV3082" s="214"/>
      <c r="AW3082" s="214"/>
      <c r="AX3082" s="214"/>
      <c r="AY3082" s="214"/>
      <c r="AZ3082" s="214"/>
      <c r="BA3082" s="214"/>
      <c r="BB3082" s="214"/>
      <c r="BC3082" s="214"/>
      <c r="BD3082" s="214"/>
      <c r="BE3082" s="214"/>
      <c r="BF3082" s="214"/>
      <c r="BG3082" s="214"/>
      <c r="BH3082" s="214"/>
      <c r="BI3082" s="214"/>
      <c r="BJ3082" s="214"/>
      <c r="BK3082" s="214"/>
      <c r="BL3082" s="214"/>
      <c r="BM3082" s="214"/>
      <c r="BN3082" s="214"/>
      <c r="BO3082" s="214"/>
      <c r="BP3082" s="214"/>
      <c r="BQ3082" s="214"/>
      <c r="BR3082" s="214"/>
      <c r="BS3082" s="214"/>
      <c r="BT3082" s="214"/>
      <c r="BU3082" s="214"/>
      <c r="BV3082" s="214"/>
      <c r="BW3082" s="214"/>
      <c r="BX3082" s="214"/>
      <c r="BY3082" s="214"/>
      <c r="BZ3082" s="214"/>
      <c r="CA3082" s="214"/>
      <c r="CB3082" s="214"/>
      <c r="CC3082" s="214"/>
      <c r="CD3082" s="214"/>
      <c r="CE3082" s="227"/>
      <c r="CF3082" s="227"/>
      <c r="CG3082" s="227"/>
      <c r="CH3082" s="253" t="str">
        <f>CONCATENATE(L3082,H3082)</f>
        <v/>
      </c>
      <c r="CI3082" s="230"/>
      <c r="CJ3082" s="227"/>
      <c r="CK3082" s="227"/>
      <c r="CL3082" s="227"/>
      <c r="CM3082" s="213"/>
    </row>
    <row r="3083" spans="1:91" s="254" customFormat="1">
      <c r="A3083" s="464"/>
      <c r="B3083" s="464"/>
      <c r="C3083" s="656"/>
      <c r="D3083" s="689"/>
      <c r="E3083" s="422"/>
      <c r="F3083" s="422"/>
      <c r="G3083" s="461"/>
      <c r="H3083" s="682"/>
      <c r="I3083" s="465"/>
      <c r="J3083" s="465"/>
      <c r="K3083" s="423"/>
      <c r="L3083" s="687"/>
      <c r="M3083" s="423"/>
      <c r="N3083" s="450"/>
      <c r="O3083" s="450"/>
      <c r="P3083" s="687"/>
      <c r="Q3083" s="465"/>
      <c r="R3083" s="487"/>
      <c r="S3083" s="487"/>
      <c r="T3083" s="487"/>
      <c r="U3083" s="228"/>
      <c r="V3083" s="228"/>
      <c r="W3083" s="228"/>
      <c r="X3083" s="228"/>
      <c r="Y3083" s="228"/>
      <c r="Z3083" s="228"/>
      <c r="AA3083" s="228"/>
      <c r="AB3083" s="228"/>
      <c r="AC3083" s="228"/>
      <c r="AD3083" s="228"/>
      <c r="AE3083" s="228"/>
      <c r="AF3083" s="228"/>
      <c r="AG3083" s="228"/>
      <c r="AH3083" s="228"/>
      <c r="AI3083" s="228"/>
      <c r="AJ3083" s="228"/>
      <c r="AK3083" s="228"/>
      <c r="AL3083" s="228"/>
      <c r="AM3083" s="228"/>
      <c r="AN3083" s="228"/>
      <c r="AO3083" s="228"/>
      <c r="AP3083" s="228"/>
      <c r="AQ3083" s="228"/>
      <c r="AR3083" s="228"/>
      <c r="AS3083" s="228"/>
      <c r="AT3083" s="228"/>
      <c r="AU3083" s="228"/>
      <c r="AV3083" s="228"/>
      <c r="AW3083" s="228"/>
      <c r="AX3083" s="228"/>
      <c r="AY3083" s="228"/>
      <c r="AZ3083" s="228"/>
      <c r="BA3083" s="228"/>
      <c r="BB3083" s="228"/>
      <c r="BC3083" s="228"/>
      <c r="BD3083" s="228"/>
      <c r="BE3083" s="228"/>
      <c r="BF3083" s="228"/>
      <c r="BG3083" s="228"/>
      <c r="BH3083" s="228"/>
      <c r="BI3083" s="228"/>
      <c r="BJ3083" s="228"/>
      <c r="BK3083" s="228"/>
      <c r="BL3083" s="228"/>
      <c r="BM3083" s="228"/>
      <c r="BN3083" s="228"/>
      <c r="BO3083" s="228"/>
      <c r="BP3083" s="228"/>
      <c r="BQ3083" s="228"/>
      <c r="BR3083" s="228"/>
      <c r="BS3083" s="228"/>
      <c r="BT3083" s="228"/>
      <c r="BU3083" s="228"/>
      <c r="BV3083" s="228"/>
      <c r="BW3083" s="228"/>
      <c r="BX3083" s="228"/>
      <c r="BY3083" s="228"/>
      <c r="BZ3083" s="228"/>
      <c r="CA3083" s="228"/>
      <c r="CB3083" s="228"/>
      <c r="CC3083" s="228"/>
      <c r="CD3083" s="228"/>
      <c r="CE3083" s="229"/>
      <c r="CF3083" s="229"/>
      <c r="CG3083" s="229"/>
      <c r="CH3083" s="256"/>
      <c r="CI3083" s="229"/>
      <c r="CJ3083" s="229"/>
      <c r="CK3083" s="229"/>
      <c r="CL3083" s="229"/>
      <c r="CM3083" s="255"/>
    </row>
    <row r="3084" spans="1:91">
      <c r="A3084" s="464"/>
      <c r="B3084" s="464"/>
      <c r="C3084" s="656"/>
      <c r="D3084" s="689"/>
      <c r="E3084" s="422"/>
      <c r="F3084" s="422"/>
      <c r="G3084" s="461"/>
      <c r="H3084" s="678"/>
      <c r="I3084" s="462"/>
      <c r="J3084" s="462"/>
      <c r="K3084" s="422"/>
      <c r="L3084" s="689"/>
      <c r="M3084" s="422"/>
      <c r="N3084" s="463"/>
      <c r="O3084" s="463"/>
      <c r="P3084" s="689"/>
      <c r="Q3084" s="461"/>
      <c r="R3084" s="491"/>
      <c r="S3084" s="491"/>
      <c r="T3084" s="491"/>
      <c r="U3084" s="216"/>
      <c r="V3084" s="216"/>
      <c r="W3084" s="216"/>
      <c r="X3084" s="216"/>
      <c r="Y3084" s="216"/>
      <c r="Z3084" s="216"/>
      <c r="AA3084" s="216"/>
      <c r="AB3084" s="216"/>
      <c r="AC3084" s="216"/>
      <c r="AD3084" s="216"/>
      <c r="AE3084" s="216"/>
      <c r="AF3084" s="216"/>
      <c r="AG3084" s="216"/>
      <c r="AH3084" s="216"/>
      <c r="AI3084" s="216"/>
      <c r="AJ3084" s="216"/>
      <c r="AK3084" s="216"/>
      <c r="AL3084" s="216"/>
      <c r="AM3084" s="216"/>
      <c r="AN3084" s="216"/>
      <c r="AO3084" s="216"/>
      <c r="AP3084" s="216"/>
      <c r="AQ3084" s="216"/>
      <c r="AR3084" s="216"/>
      <c r="AS3084" s="216"/>
      <c r="AT3084" s="216"/>
      <c r="AU3084" s="216"/>
      <c r="AV3084" s="216"/>
      <c r="AW3084" s="216"/>
      <c r="AX3084" s="216"/>
      <c r="AY3084" s="216"/>
      <c r="AZ3084" s="216"/>
      <c r="BA3084" s="216"/>
      <c r="BB3084" s="216"/>
      <c r="BC3084" s="216"/>
      <c r="BD3084" s="216"/>
      <c r="BE3084" s="216"/>
      <c r="BF3084" s="216"/>
      <c r="BG3084" s="216"/>
      <c r="BH3084" s="216"/>
      <c r="BI3084" s="216"/>
      <c r="BJ3084" s="216"/>
      <c r="BK3084" s="216"/>
      <c r="BL3084" s="216"/>
      <c r="BM3084" s="216"/>
      <c r="BN3084" s="216"/>
      <c r="BO3084" s="216"/>
      <c r="BP3084" s="216"/>
      <c r="BQ3084" s="216"/>
      <c r="BR3084" s="216"/>
      <c r="BS3084" s="216"/>
      <c r="BT3084" s="216"/>
      <c r="BU3084" s="216"/>
      <c r="BV3084" s="216"/>
      <c r="BW3084" s="216"/>
      <c r="BX3084" s="216"/>
      <c r="BY3084" s="216"/>
      <c r="BZ3084" s="216"/>
      <c r="CA3084" s="216"/>
      <c r="CB3084" s="216"/>
      <c r="CC3084" s="216"/>
      <c r="CD3084" s="216"/>
      <c r="CE3084" s="230"/>
      <c r="CF3084" s="230"/>
      <c r="CG3084" s="230"/>
      <c r="CH3084" s="76"/>
      <c r="CI3084" s="230"/>
      <c r="CJ3084" s="230"/>
      <c r="CK3084" s="230"/>
      <c r="CL3084" s="230"/>
      <c r="CM3084" s="231"/>
    </row>
    <row r="3085" spans="1:91">
      <c r="A3085" s="464"/>
      <c r="B3085" s="464"/>
      <c r="C3085" s="656"/>
      <c r="D3085" s="689"/>
      <c r="E3085" s="422"/>
      <c r="F3085" s="422"/>
      <c r="G3085" s="461"/>
      <c r="H3085" s="678"/>
      <c r="I3085" s="462"/>
      <c r="J3085" s="462"/>
      <c r="K3085" s="422"/>
      <c r="L3085" s="689"/>
      <c r="M3085" s="422"/>
      <c r="N3085" s="463"/>
      <c r="O3085" s="463"/>
      <c r="P3085" s="689"/>
      <c r="Q3085" s="461"/>
      <c r="R3085" s="491"/>
      <c r="S3085" s="491"/>
      <c r="T3085" s="491"/>
      <c r="U3085" s="216"/>
      <c r="V3085" s="216"/>
      <c r="W3085" s="216"/>
      <c r="X3085" s="216"/>
      <c r="Y3085" s="216"/>
      <c r="Z3085" s="216"/>
      <c r="AA3085" s="216"/>
      <c r="AB3085" s="216"/>
      <c r="AC3085" s="216"/>
      <c r="AD3085" s="216"/>
      <c r="AE3085" s="216"/>
      <c r="AF3085" s="216"/>
      <c r="AG3085" s="216"/>
      <c r="AH3085" s="216"/>
      <c r="AI3085" s="216"/>
      <c r="AJ3085" s="216"/>
      <c r="AK3085" s="216"/>
      <c r="AL3085" s="216"/>
      <c r="AM3085" s="216"/>
      <c r="AN3085" s="216"/>
      <c r="AO3085" s="216"/>
      <c r="AP3085" s="216"/>
      <c r="AQ3085" s="216"/>
      <c r="AR3085" s="216"/>
      <c r="AS3085" s="216"/>
      <c r="AT3085" s="216"/>
      <c r="AU3085" s="216"/>
      <c r="AV3085" s="216"/>
      <c r="AW3085" s="216"/>
      <c r="AX3085" s="216"/>
      <c r="AY3085" s="216"/>
      <c r="AZ3085" s="216"/>
      <c r="BA3085" s="216"/>
      <c r="BB3085" s="216"/>
      <c r="BC3085" s="216"/>
      <c r="BD3085" s="216"/>
      <c r="BE3085" s="216"/>
      <c r="BF3085" s="216"/>
      <c r="BG3085" s="216"/>
      <c r="BH3085" s="216"/>
      <c r="BI3085" s="216"/>
      <c r="BJ3085" s="216"/>
      <c r="BK3085" s="216"/>
      <c r="BL3085" s="216"/>
      <c r="BM3085" s="216"/>
      <c r="BN3085" s="216"/>
      <c r="BO3085" s="216"/>
      <c r="BP3085" s="216"/>
      <c r="BQ3085" s="216"/>
      <c r="BR3085" s="216"/>
      <c r="BS3085" s="216"/>
      <c r="BT3085" s="216"/>
      <c r="BU3085" s="216"/>
      <c r="BV3085" s="216"/>
      <c r="BW3085" s="216"/>
      <c r="BX3085" s="216"/>
      <c r="BY3085" s="216"/>
      <c r="BZ3085" s="216"/>
      <c r="CA3085" s="216"/>
      <c r="CB3085" s="216"/>
      <c r="CC3085" s="216"/>
      <c r="CD3085" s="216"/>
      <c r="CE3085" s="230"/>
      <c r="CF3085" s="230"/>
      <c r="CG3085" s="230"/>
      <c r="CH3085" s="76"/>
      <c r="CI3085" s="230"/>
      <c r="CJ3085" s="230"/>
      <c r="CK3085" s="230"/>
      <c r="CL3085" s="230"/>
      <c r="CM3085" s="231"/>
    </row>
    <row r="3086" spans="1:91">
      <c r="A3086" s="464"/>
      <c r="B3086" s="464"/>
      <c r="C3086" s="656"/>
      <c r="D3086" s="689"/>
      <c r="E3086" s="422"/>
      <c r="F3086" s="422"/>
      <c r="G3086" s="461"/>
      <c r="H3086" s="678"/>
      <c r="I3086" s="462"/>
      <c r="J3086" s="462"/>
      <c r="K3086" s="422"/>
      <c r="L3086" s="689"/>
      <c r="M3086" s="422"/>
      <c r="N3086" s="463"/>
      <c r="O3086" s="463"/>
      <c r="P3086" s="689"/>
      <c r="Q3086" s="461"/>
      <c r="R3086" s="491"/>
      <c r="S3086" s="491"/>
      <c r="T3086" s="491"/>
      <c r="U3086" s="216"/>
      <c r="V3086" s="216"/>
      <c r="W3086" s="216"/>
      <c r="X3086" s="216"/>
      <c r="Y3086" s="216"/>
      <c r="Z3086" s="216"/>
      <c r="AA3086" s="216"/>
      <c r="AB3086" s="216"/>
      <c r="AC3086" s="216"/>
      <c r="AD3086" s="216"/>
      <c r="AE3086" s="216"/>
      <c r="AF3086" s="216"/>
      <c r="AG3086" s="216"/>
      <c r="AH3086" s="216"/>
      <c r="AI3086" s="216"/>
      <c r="AJ3086" s="216"/>
      <c r="AK3086" s="216"/>
      <c r="AL3086" s="216"/>
      <c r="AM3086" s="216"/>
      <c r="AN3086" s="216"/>
      <c r="AO3086" s="216"/>
      <c r="AP3086" s="216"/>
      <c r="AQ3086" s="216"/>
      <c r="AR3086" s="216"/>
      <c r="AS3086" s="216"/>
      <c r="AT3086" s="216"/>
      <c r="AU3086" s="216"/>
      <c r="AV3086" s="216"/>
      <c r="AW3086" s="216"/>
      <c r="AX3086" s="216"/>
      <c r="AY3086" s="216"/>
      <c r="AZ3086" s="216"/>
      <c r="BA3086" s="216"/>
      <c r="BB3086" s="216"/>
      <c r="BC3086" s="216"/>
      <c r="BD3086" s="216"/>
      <c r="BE3086" s="216"/>
      <c r="BF3086" s="216"/>
      <c r="BG3086" s="216"/>
      <c r="BH3086" s="216"/>
      <c r="BI3086" s="216"/>
      <c r="BJ3086" s="216"/>
      <c r="BK3086" s="216"/>
      <c r="BL3086" s="216"/>
      <c r="BM3086" s="216"/>
      <c r="BN3086" s="216"/>
      <c r="BO3086" s="216"/>
      <c r="BP3086" s="216"/>
      <c r="BQ3086" s="216"/>
      <c r="BR3086" s="216"/>
      <c r="BS3086" s="216"/>
      <c r="BT3086" s="216"/>
      <c r="BU3086" s="216"/>
      <c r="BV3086" s="216"/>
      <c r="BW3086" s="216"/>
      <c r="BX3086" s="216"/>
      <c r="BY3086" s="216"/>
      <c r="BZ3086" s="216"/>
      <c r="CA3086" s="216"/>
      <c r="CB3086" s="216"/>
      <c r="CC3086" s="216"/>
      <c r="CD3086" s="216"/>
      <c r="CE3086" s="230"/>
      <c r="CF3086" s="230"/>
      <c r="CG3086" s="230"/>
      <c r="CH3086" s="76"/>
      <c r="CI3086" s="230"/>
      <c r="CJ3086" s="230"/>
      <c r="CK3086" s="230"/>
      <c r="CL3086" s="230"/>
      <c r="CM3086" s="231"/>
    </row>
    <row r="3087" spans="1:91">
      <c r="A3087" s="447"/>
      <c r="B3087" s="447" t="s">
        <v>2568</v>
      </c>
      <c r="C3087" s="656"/>
      <c r="D3087" s="655"/>
      <c r="E3087" s="405"/>
      <c r="F3087" s="405"/>
      <c r="G3087" s="406"/>
      <c r="H3087" s="672"/>
      <c r="I3087" s="448"/>
      <c r="J3087" s="448"/>
      <c r="K3087" s="405"/>
      <c r="L3087" s="655"/>
      <c r="M3087" s="405"/>
      <c r="N3087" s="449"/>
      <c r="O3087" s="449"/>
      <c r="P3087" s="655"/>
      <c r="Q3087" s="406"/>
      <c r="R3087" s="486"/>
      <c r="S3087" s="486"/>
      <c r="T3087" s="486"/>
      <c r="U3087" s="214"/>
      <c r="V3087" s="214"/>
      <c r="W3087" s="214"/>
      <c r="X3087" s="214"/>
      <c r="Y3087" s="214"/>
      <c r="Z3087" s="214"/>
      <c r="AA3087" s="214"/>
      <c r="AB3087" s="214"/>
      <c r="AC3087" s="214"/>
      <c r="AD3087" s="214"/>
      <c r="AE3087" s="214"/>
      <c r="AF3087" s="214"/>
      <c r="AG3087" s="214"/>
      <c r="AH3087" s="214"/>
      <c r="AI3087" s="214"/>
      <c r="AJ3087" s="214"/>
      <c r="AK3087" s="214"/>
      <c r="AL3087" s="214"/>
      <c r="AM3087" s="214"/>
      <c r="AN3087" s="214"/>
      <c r="AO3087" s="214"/>
      <c r="AP3087" s="214"/>
      <c r="AQ3087" s="214"/>
      <c r="AR3087" s="214"/>
      <c r="AS3087" s="214"/>
      <c r="AT3087" s="214"/>
      <c r="AU3087" s="214"/>
      <c r="AV3087" s="214"/>
      <c r="AW3087" s="214"/>
      <c r="AX3087" s="214"/>
      <c r="AY3087" s="214"/>
      <c r="AZ3087" s="214"/>
      <c r="BA3087" s="214"/>
      <c r="BB3087" s="214"/>
      <c r="BC3087" s="214"/>
      <c r="BD3087" s="214"/>
      <c r="BE3087" s="214"/>
      <c r="BF3087" s="214"/>
      <c r="BG3087" s="214"/>
      <c r="BH3087" s="214"/>
      <c r="BI3087" s="214"/>
      <c r="BJ3087" s="214"/>
      <c r="BK3087" s="214"/>
      <c r="BL3087" s="214"/>
      <c r="BM3087" s="214"/>
      <c r="BN3087" s="214"/>
      <c r="BO3087" s="214"/>
      <c r="BP3087" s="214"/>
      <c r="BQ3087" s="214"/>
      <c r="BR3087" s="214"/>
      <c r="BS3087" s="214"/>
      <c r="BT3087" s="214"/>
      <c r="BU3087" s="214"/>
      <c r="BV3087" s="214"/>
      <c r="BW3087" s="214"/>
      <c r="BX3087" s="214"/>
      <c r="BY3087" s="214"/>
      <c r="BZ3087" s="214"/>
      <c r="CA3087" s="214"/>
      <c r="CB3087" s="214"/>
      <c r="CC3087" s="214"/>
      <c r="CD3087" s="214"/>
      <c r="CE3087" s="227"/>
      <c r="CF3087" s="227"/>
      <c r="CG3087" s="227"/>
      <c r="CH3087" s="76"/>
      <c r="CI3087" s="227"/>
      <c r="CJ3087" s="227"/>
      <c r="CK3087" s="227"/>
      <c r="CL3087" s="227"/>
      <c r="CM3087" s="213"/>
    </row>
    <row r="3088" spans="1:91">
      <c r="A3088" s="409"/>
      <c r="B3088" s="409"/>
      <c r="C3088" s="656" t="s">
        <v>1590</v>
      </c>
      <c r="D3088" s="655"/>
      <c r="E3088" s="405"/>
      <c r="F3088" s="405"/>
      <c r="G3088" s="406"/>
      <c r="H3088" s="672"/>
      <c r="I3088" s="448"/>
      <c r="J3088" s="448"/>
      <c r="K3088" s="405"/>
      <c r="L3088" s="655"/>
      <c r="M3088" s="405"/>
      <c r="N3088" s="449"/>
      <c r="O3088" s="449"/>
      <c r="P3088" s="655"/>
      <c r="Q3088" s="406"/>
      <c r="R3088" s="486"/>
      <c r="S3088" s="486"/>
      <c r="T3088" s="486"/>
      <c r="U3088" s="214">
        <f t="shared" ref="U3088:AO3088" si="1332">SUMIF($A:$A,$C3088,U:U)</f>
        <v>-233593.51018597503</v>
      </c>
      <c r="V3088" s="214">
        <f t="shared" si="1332"/>
        <v>-101403.96226777502</v>
      </c>
      <c r="W3088" s="214">
        <f t="shared" si="1332"/>
        <v>-56888.440234583264</v>
      </c>
      <c r="X3088" s="214">
        <f t="shared" si="1332"/>
        <v>-391885.91268833302</v>
      </c>
      <c r="Y3088" s="214">
        <f t="shared" si="1332"/>
        <v>-239589.09530879493</v>
      </c>
      <c r="Z3088" s="214">
        <f t="shared" si="1332"/>
        <v>-108615.72578120502</v>
      </c>
      <c r="AA3088" s="214">
        <f t="shared" si="1332"/>
        <v>-52630.427959999972</v>
      </c>
      <c r="AB3088" s="214">
        <f t="shared" si="1332"/>
        <v>-400835.24905000022</v>
      </c>
      <c r="AC3088" s="214">
        <f t="shared" si="1332"/>
        <v>-397327.33338999987</v>
      </c>
      <c r="AD3088" s="214">
        <f t="shared" si="1332"/>
        <v>-392964.66330999986</v>
      </c>
      <c r="AE3088" s="214">
        <f t="shared" si="1332"/>
        <v>-388637.95538999984</v>
      </c>
      <c r="AF3088" s="214">
        <f t="shared" si="1332"/>
        <v>-386972.60612999997</v>
      </c>
      <c r="AG3088" s="214">
        <f t="shared" si="1332"/>
        <v>-398231.28921000008</v>
      </c>
      <c r="AH3088" s="214">
        <f t="shared" si="1332"/>
        <v>-383895.54987999966</v>
      </c>
      <c r="AI3088" s="214">
        <f t="shared" si="1332"/>
        <v>-389010.50880000001</v>
      </c>
      <c r="AJ3088" s="214">
        <f t="shared" si="1332"/>
        <v>-389588.69488000002</v>
      </c>
      <c r="AK3088" s="214">
        <f t="shared" si="1332"/>
        <v>-393154.27294000005</v>
      </c>
      <c r="AL3088" s="214">
        <f t="shared" si="1332"/>
        <v>-385126.88930999971</v>
      </c>
      <c r="AM3088" s="214">
        <f t="shared" si="1332"/>
        <v>-401890.51686999988</v>
      </c>
      <c r="AN3088" s="214">
        <f t="shared" si="1332"/>
        <v>-394076.71431999997</v>
      </c>
      <c r="AO3088" s="214">
        <f t="shared" si="1332"/>
        <v>-400835.24905000022</v>
      </c>
      <c r="AP3088" s="214"/>
      <c r="AQ3088" s="214"/>
      <c r="AR3088" s="214"/>
      <c r="AS3088" s="214"/>
      <c r="AT3088" s="214"/>
      <c r="AU3088" s="214"/>
      <c r="AV3088" s="214"/>
      <c r="AW3088" s="214"/>
      <c r="AX3088" s="214"/>
      <c r="AY3088" s="214"/>
      <c r="AZ3088" s="214"/>
      <c r="BA3088" s="214"/>
      <c r="BB3088" s="214"/>
      <c r="BC3088" s="214"/>
      <c r="BD3088" s="214"/>
      <c r="BE3088" s="214"/>
      <c r="BF3088" s="214"/>
      <c r="BG3088" s="214"/>
      <c r="BH3088" s="214"/>
      <c r="BI3088" s="214"/>
      <c r="BJ3088" s="214"/>
      <c r="BK3088" s="214"/>
      <c r="BL3088" s="214"/>
      <c r="BM3088" s="214"/>
      <c r="BN3088" s="214"/>
      <c r="BO3088" s="214"/>
      <c r="BP3088" s="214"/>
      <c r="BQ3088" s="214"/>
      <c r="BR3088" s="214"/>
      <c r="BS3088" s="214"/>
      <c r="BT3088" s="214"/>
      <c r="BU3088" s="214"/>
      <c r="BV3088" s="214"/>
      <c r="BW3088" s="214"/>
      <c r="BX3088" s="214"/>
      <c r="BY3088" s="214"/>
      <c r="BZ3088" s="214"/>
      <c r="CA3088" s="214"/>
      <c r="CB3088" s="214"/>
      <c r="CC3088" s="214"/>
      <c r="CD3088" s="214"/>
      <c r="CE3088" s="227"/>
      <c r="CF3088" s="227"/>
      <c r="CG3088" s="227"/>
      <c r="CH3088" s="76"/>
      <c r="CI3088" s="227"/>
      <c r="CJ3088" s="227"/>
      <c r="CK3088" s="227"/>
      <c r="CL3088" s="227"/>
      <c r="CM3088" s="213"/>
    </row>
    <row r="3089" spans="1:91">
      <c r="A3089" s="409"/>
      <c r="B3089" s="409"/>
      <c r="C3089" s="656" t="s">
        <v>2466</v>
      </c>
      <c r="D3089" s="655"/>
      <c r="E3089" s="405"/>
      <c r="F3089" s="405"/>
      <c r="G3089" s="406"/>
      <c r="H3089" s="672"/>
      <c r="I3089" s="448"/>
      <c r="J3089" s="448"/>
      <c r="K3089" s="405"/>
      <c r="L3089" s="687"/>
      <c r="M3089" s="423"/>
      <c r="N3089" s="450"/>
      <c r="O3089" s="450"/>
      <c r="P3089" s="687"/>
      <c r="Q3089" s="465"/>
      <c r="R3089" s="487"/>
      <c r="S3089" s="487"/>
      <c r="T3089" s="487"/>
      <c r="U3089" s="228"/>
      <c r="V3089" s="228"/>
      <c r="W3089" s="228"/>
      <c r="X3089" s="228">
        <f>SUMIF($L:$L,$C3089,X:X)</f>
        <v>-391885.91044333292</v>
      </c>
      <c r="Y3089" s="228"/>
      <c r="Z3089" s="228"/>
      <c r="AA3089" s="228"/>
      <c r="AB3089" s="228">
        <f t="shared" ref="AB3089:AO3089" si="1333">SUMIF($L:$L,$C3089,AB:AB)</f>
        <v>-400835.24676000001</v>
      </c>
      <c r="AC3089" s="228">
        <f t="shared" si="1333"/>
        <v>-397327.33151999977</v>
      </c>
      <c r="AD3089" s="228">
        <f t="shared" si="1333"/>
        <v>-392964.66032000002</v>
      </c>
      <c r="AE3089" s="228">
        <f t="shared" si="1333"/>
        <v>-388637.95339999988</v>
      </c>
      <c r="AF3089" s="228">
        <f t="shared" si="1333"/>
        <v>-386972.60375999985</v>
      </c>
      <c r="AG3089" s="228">
        <f t="shared" si="1333"/>
        <v>-398231.28723000002</v>
      </c>
      <c r="AH3089" s="228">
        <f t="shared" si="1333"/>
        <v>-383895.54780000006</v>
      </c>
      <c r="AI3089" s="228">
        <f t="shared" si="1333"/>
        <v>-389010.50676999986</v>
      </c>
      <c r="AJ3089" s="228">
        <f t="shared" si="1333"/>
        <v>-389588.69258000003</v>
      </c>
      <c r="AK3089" s="228">
        <f t="shared" si="1333"/>
        <v>-393154.27063999989</v>
      </c>
      <c r="AL3089" s="228">
        <f t="shared" si="1333"/>
        <v>-385126.88704000012</v>
      </c>
      <c r="AM3089" s="228">
        <f t="shared" si="1333"/>
        <v>-401890.51459999982</v>
      </c>
      <c r="AN3089" s="228">
        <f t="shared" si="1333"/>
        <v>-394076.71203999995</v>
      </c>
      <c r="AO3089" s="228">
        <f t="shared" si="1333"/>
        <v>-400835.24676000001</v>
      </c>
      <c r="AP3089" s="228"/>
      <c r="AQ3089" s="228"/>
      <c r="AR3089" s="228"/>
      <c r="AS3089" s="228"/>
      <c r="AT3089" s="228"/>
      <c r="AU3089" s="228"/>
      <c r="AV3089" s="228"/>
      <c r="AW3089" s="228"/>
      <c r="AX3089" s="228"/>
      <c r="AY3089" s="228"/>
      <c r="AZ3089" s="228"/>
      <c r="BA3089" s="228"/>
      <c r="BB3089" s="228"/>
      <c r="BC3089" s="228"/>
      <c r="BD3089" s="228"/>
      <c r="BE3089" s="228"/>
      <c r="BF3089" s="228"/>
      <c r="BG3089" s="228"/>
      <c r="BH3089" s="228"/>
      <c r="BI3089" s="228"/>
      <c r="BJ3089" s="228"/>
      <c r="BK3089" s="228"/>
      <c r="BL3089" s="228"/>
      <c r="BM3089" s="228"/>
      <c r="BN3089" s="228"/>
      <c r="BO3089" s="228"/>
      <c r="BP3089" s="228"/>
      <c r="BQ3089" s="228"/>
      <c r="BR3089" s="228"/>
      <c r="BS3089" s="228"/>
      <c r="BT3089" s="228"/>
      <c r="BU3089" s="228"/>
      <c r="BV3089" s="228"/>
      <c r="BW3089" s="228"/>
      <c r="BX3089" s="228"/>
      <c r="BY3089" s="228"/>
      <c r="BZ3089" s="228"/>
      <c r="CA3089" s="228"/>
      <c r="CB3089" s="228"/>
      <c r="CC3089" s="228"/>
      <c r="CD3089" s="228"/>
      <c r="CE3089" s="229"/>
      <c r="CF3089" s="229"/>
      <c r="CG3089" s="229"/>
      <c r="CH3089" s="76"/>
      <c r="CI3089" s="229"/>
      <c r="CJ3089" s="229"/>
      <c r="CK3089" s="229"/>
      <c r="CL3089" s="229"/>
      <c r="CM3089" s="213"/>
    </row>
    <row r="3090" spans="1:91">
      <c r="A3090" s="409"/>
      <c r="B3090" s="409"/>
      <c r="C3090" s="655"/>
      <c r="D3090" s="655"/>
      <c r="E3090" s="405"/>
      <c r="F3090" s="405"/>
      <c r="G3090" s="406"/>
      <c r="H3090" s="672"/>
      <c r="I3090" s="448"/>
      <c r="J3090" s="448"/>
      <c r="K3090" s="405"/>
      <c r="L3090" s="655"/>
      <c r="M3090" s="405"/>
      <c r="N3090" s="449"/>
      <c r="O3090" s="449"/>
      <c r="P3090" s="655"/>
      <c r="Q3090" s="406"/>
      <c r="R3090" s="486"/>
      <c r="S3090" s="486"/>
      <c r="T3090" s="486"/>
      <c r="U3090" s="214"/>
      <c r="V3090" s="214"/>
      <c r="W3090" s="214"/>
      <c r="X3090" s="214"/>
      <c r="Y3090" s="214"/>
      <c r="Z3090" s="214"/>
      <c r="AA3090" s="214"/>
      <c r="AB3090" s="214"/>
      <c r="AC3090" s="214"/>
      <c r="AD3090" s="214"/>
      <c r="AE3090" s="214"/>
      <c r="AF3090" s="214"/>
      <c r="AG3090" s="214"/>
      <c r="AH3090" s="214"/>
      <c r="AI3090" s="214"/>
      <c r="AJ3090" s="214"/>
      <c r="AK3090" s="214"/>
      <c r="AL3090" s="214"/>
      <c r="AM3090" s="214"/>
      <c r="AN3090" s="214"/>
      <c r="AO3090" s="214"/>
      <c r="AP3090" s="214"/>
      <c r="AQ3090" s="214"/>
      <c r="AR3090" s="214"/>
      <c r="AS3090" s="214"/>
      <c r="AT3090" s="214"/>
      <c r="AU3090" s="214"/>
      <c r="AV3090" s="214"/>
      <c r="AW3090" s="214"/>
      <c r="AX3090" s="214"/>
      <c r="AY3090" s="214"/>
      <c r="AZ3090" s="214"/>
      <c r="BA3090" s="214"/>
      <c r="BB3090" s="214"/>
      <c r="BC3090" s="214"/>
      <c r="BD3090" s="214"/>
      <c r="BE3090" s="214"/>
      <c r="BF3090" s="214"/>
      <c r="BG3090" s="214"/>
      <c r="BH3090" s="214"/>
      <c r="BI3090" s="214"/>
      <c r="BJ3090" s="214"/>
      <c r="BK3090" s="214"/>
      <c r="BL3090" s="214"/>
      <c r="BM3090" s="214"/>
      <c r="BN3090" s="214"/>
      <c r="BO3090" s="214"/>
      <c r="BP3090" s="214"/>
      <c r="BQ3090" s="214"/>
      <c r="BR3090" s="214"/>
      <c r="BS3090" s="214"/>
      <c r="BT3090" s="214"/>
      <c r="BU3090" s="214"/>
      <c r="BV3090" s="214"/>
      <c r="BW3090" s="214"/>
      <c r="BX3090" s="214"/>
      <c r="BY3090" s="214"/>
      <c r="BZ3090" s="214"/>
      <c r="CA3090" s="214"/>
      <c r="CB3090" s="214"/>
      <c r="CC3090" s="214"/>
      <c r="CD3090" s="214"/>
      <c r="CE3090" s="227"/>
      <c r="CF3090" s="227"/>
      <c r="CG3090" s="227"/>
      <c r="CH3090" s="76"/>
      <c r="CI3090" s="227"/>
      <c r="CJ3090" s="227"/>
      <c r="CK3090" s="227"/>
      <c r="CL3090" s="227"/>
      <c r="CM3090" s="213"/>
    </row>
    <row r="3091" spans="1:91">
      <c r="A3091" s="464"/>
      <c r="B3091" s="464"/>
      <c r="C3091" s="656" t="s">
        <v>2543</v>
      </c>
      <c r="D3091" s="689"/>
      <c r="E3091" s="422"/>
      <c r="F3091" s="422"/>
      <c r="G3091" s="461"/>
      <c r="H3091" s="678"/>
      <c r="I3091" s="462"/>
      <c r="J3091" s="462"/>
      <c r="K3091" s="422"/>
      <c r="L3091" s="689"/>
      <c r="M3091" s="422"/>
      <c r="N3091" s="463"/>
      <c r="O3091" s="463"/>
      <c r="P3091" s="689"/>
      <c r="Q3091" s="461"/>
      <c r="R3091" s="491"/>
      <c r="S3091" s="491"/>
      <c r="T3091" s="491"/>
      <c r="U3091" s="216"/>
      <c r="V3091" s="216"/>
      <c r="W3091" s="216"/>
      <c r="X3091" s="216">
        <f>+X3088-X3089</f>
        <v>-2.245000097900629E-3</v>
      </c>
      <c r="Y3091" s="216"/>
      <c r="Z3091" s="216"/>
      <c r="AA3091" s="216"/>
      <c r="AB3091" s="216">
        <f>+AB3088-AB3089</f>
        <v>-2.290000207722187E-3</v>
      </c>
      <c r="AC3091" s="216">
        <f t="shared" ref="AC3091" si="1334">+AC3088-AC3089</f>
        <v>-1.870000094641E-3</v>
      </c>
      <c r="AD3091" s="216">
        <f t="shared" ref="AD3091:AE3091" si="1335">+AD3088-AD3089</f>
        <v>-2.9899998335167766E-3</v>
      </c>
      <c r="AE3091" s="216">
        <f t="shared" si="1335"/>
        <v>-1.989999960642308E-3</v>
      </c>
      <c r="AF3091" s="216">
        <f t="shared" ref="AF3091:AG3091" si="1336">+AF3088-AF3089</f>
        <v>-2.3700001183897257E-3</v>
      </c>
      <c r="AG3091" s="216">
        <f t="shared" si="1336"/>
        <v>-1.980000059120357E-3</v>
      </c>
      <c r="AH3091" s="216">
        <f t="shared" ref="AH3091:AI3091" si="1337">+AH3088-AH3089</f>
        <v>-2.0799995982088149E-3</v>
      </c>
      <c r="AI3091" s="216">
        <f t="shared" si="1337"/>
        <v>-2.030000148806721E-3</v>
      </c>
      <c r="AJ3091" s="216">
        <f t="shared" ref="AJ3091:AK3091" si="1338">+AJ3088-AJ3089</f>
        <v>-2.2999999928288162E-3</v>
      </c>
      <c r="AK3091" s="216">
        <f t="shared" si="1338"/>
        <v>-2.3000001674517989E-3</v>
      </c>
      <c r="AL3091" s="216">
        <f t="shared" ref="AL3091:AM3091" si="1339">+AL3088-AL3089</f>
        <v>-2.2699995897710323E-3</v>
      </c>
      <c r="AM3091" s="216">
        <f t="shared" si="1339"/>
        <v>-2.2700000554323196E-3</v>
      </c>
      <c r="AN3091" s="216">
        <f t="shared" ref="AN3091:AO3091" si="1340">+AN3088-AN3089</f>
        <v>-2.2800000151619315E-3</v>
      </c>
      <c r="AO3091" s="216">
        <f t="shared" si="1340"/>
        <v>-2.290000207722187E-3</v>
      </c>
      <c r="AP3091" s="216"/>
      <c r="AQ3091" s="216"/>
      <c r="AR3091" s="216"/>
      <c r="AS3091" s="216"/>
      <c r="AT3091" s="216"/>
      <c r="AU3091" s="216"/>
      <c r="AV3091" s="216"/>
      <c r="AW3091" s="216"/>
      <c r="AX3091" s="257"/>
      <c r="AY3091" s="216"/>
      <c r="AZ3091" s="216"/>
      <c r="BA3091" s="216"/>
      <c r="BB3091" s="258"/>
      <c r="BC3091" s="216"/>
      <c r="BD3091" s="216"/>
      <c r="BE3091" s="216"/>
      <c r="BF3091" s="216"/>
      <c r="BG3091" s="216"/>
      <c r="BH3091" s="216"/>
      <c r="BI3091" s="216"/>
      <c r="BJ3091" s="216"/>
      <c r="BK3091" s="216"/>
      <c r="BL3091" s="216"/>
      <c r="BM3091" s="216"/>
      <c r="BN3091" s="216"/>
      <c r="BO3091" s="216"/>
      <c r="BP3091" s="216"/>
      <c r="BQ3091" s="216"/>
      <c r="BR3091" s="216"/>
      <c r="BS3091" s="216"/>
      <c r="BT3091" s="216"/>
      <c r="BU3091" s="216"/>
      <c r="BV3091" s="216"/>
      <c r="BW3091" s="216"/>
      <c r="BX3091" s="216"/>
      <c r="BY3091" s="216"/>
      <c r="BZ3091" s="216"/>
      <c r="CA3091" s="216"/>
      <c r="CB3091" s="216"/>
      <c r="CC3091" s="216"/>
      <c r="CD3091" s="216"/>
      <c r="CE3091" s="230"/>
      <c r="CF3091" s="230"/>
      <c r="CG3091" s="230"/>
      <c r="CH3091" s="76"/>
      <c r="CI3091" s="230"/>
      <c r="CJ3091" s="230"/>
      <c r="CK3091" s="230"/>
      <c r="CL3091" s="230"/>
      <c r="CM3091" s="231"/>
    </row>
    <row r="3092" spans="1:91">
      <c r="A3092" s="464"/>
      <c r="B3092" s="464"/>
      <c r="C3092" s="656"/>
      <c r="D3092" s="689"/>
      <c r="E3092" s="422"/>
      <c r="F3092" s="422"/>
      <c r="G3092" s="461"/>
      <c r="H3092" s="678"/>
      <c r="I3092" s="462"/>
      <c r="J3092" s="462"/>
      <c r="K3092" s="422"/>
      <c r="L3092" s="689"/>
      <c r="M3092" s="422"/>
      <c r="N3092" s="463"/>
      <c r="O3092" s="463"/>
      <c r="P3092" s="689"/>
      <c r="Q3092" s="461"/>
      <c r="R3092" s="491"/>
      <c r="S3092" s="491"/>
      <c r="T3092" s="491"/>
      <c r="U3092" s="216"/>
      <c r="V3092" s="216"/>
      <c r="W3092" s="216"/>
      <c r="X3092" s="216"/>
      <c r="Y3092" s="216"/>
      <c r="Z3092" s="216"/>
      <c r="AA3092" s="216"/>
      <c r="AB3092" s="216"/>
      <c r="AC3092" s="216"/>
      <c r="AD3092" s="216"/>
      <c r="AE3092" s="216"/>
      <c r="AF3092" s="216"/>
      <c r="AG3092" s="216"/>
      <c r="AH3092" s="216"/>
      <c r="AI3092" s="216"/>
      <c r="AJ3092" s="216"/>
      <c r="AK3092" s="216"/>
      <c r="AL3092" s="216"/>
      <c r="AM3092" s="216"/>
      <c r="AN3092" s="216"/>
      <c r="AO3092" s="216"/>
      <c r="AP3092" s="216"/>
      <c r="AQ3092" s="216"/>
      <c r="AR3092" s="216"/>
      <c r="AS3092" s="216"/>
      <c r="AT3092" s="216"/>
      <c r="AU3092" s="216"/>
      <c r="AV3092" s="216"/>
      <c r="AW3092" s="216"/>
      <c r="AX3092" s="216"/>
      <c r="AY3092" s="216"/>
      <c r="AZ3092" s="216"/>
      <c r="BA3092" s="216"/>
      <c r="BB3092" s="216"/>
      <c r="BC3092" s="216"/>
      <c r="BD3092" s="216"/>
      <c r="BE3092" s="216"/>
      <c r="BF3092" s="216"/>
      <c r="BG3092" s="216"/>
      <c r="BH3092" s="216"/>
      <c r="BI3092" s="216"/>
      <c r="BJ3092" s="216"/>
      <c r="BK3092" s="216"/>
      <c r="BL3092" s="216"/>
      <c r="BM3092" s="216"/>
      <c r="BN3092" s="216"/>
      <c r="BO3092" s="216"/>
      <c r="BP3092" s="216"/>
      <c r="BQ3092" s="216"/>
      <c r="BR3092" s="216"/>
      <c r="BS3092" s="216"/>
      <c r="BT3092" s="216"/>
      <c r="BU3092" s="216"/>
      <c r="BV3092" s="216"/>
      <c r="BW3092" s="216"/>
      <c r="BX3092" s="216"/>
      <c r="BY3092" s="216"/>
      <c r="BZ3092" s="216"/>
      <c r="CA3092" s="216"/>
      <c r="CB3092" s="216"/>
      <c r="CC3092" s="216"/>
      <c r="CD3092" s="216"/>
      <c r="CE3092" s="230"/>
      <c r="CF3092" s="230"/>
      <c r="CG3092" s="230"/>
      <c r="CH3092" s="76"/>
      <c r="CI3092" s="230"/>
      <c r="CJ3092" s="230"/>
      <c r="CK3092" s="230"/>
      <c r="CL3092" s="230"/>
      <c r="CM3092" s="231"/>
    </row>
    <row r="3093" spans="1:91">
      <c r="A3093" s="472"/>
      <c r="B3093" s="472"/>
      <c r="C3093" s="663"/>
      <c r="D3093" s="691"/>
      <c r="E3093" s="425"/>
      <c r="F3093" s="425"/>
      <c r="G3093" s="473"/>
      <c r="H3093" s="683"/>
      <c r="I3093" s="474"/>
      <c r="J3093" s="474"/>
      <c r="K3093" s="425"/>
      <c r="L3093" s="691"/>
      <c r="M3093" s="425"/>
      <c r="N3093" s="475"/>
      <c r="O3093" s="475"/>
      <c r="P3093" s="691"/>
      <c r="Q3093" s="473"/>
      <c r="R3093" s="493"/>
      <c r="S3093" s="493"/>
      <c r="T3093" s="493"/>
      <c r="U3093" s="261"/>
      <c r="V3093" s="261"/>
      <c r="W3093" s="261"/>
      <c r="X3093" s="261"/>
      <c r="Y3093" s="261"/>
      <c r="Z3093" s="261"/>
      <c r="AA3093" s="261"/>
      <c r="AB3093" s="261"/>
      <c r="AC3093" s="261"/>
      <c r="AD3093" s="261"/>
      <c r="AE3093" s="261"/>
      <c r="AF3093" s="261"/>
      <c r="AG3093" s="261"/>
      <c r="AH3093" s="261"/>
      <c r="AI3093" s="261"/>
      <c r="AJ3093" s="261"/>
      <c r="AK3093" s="261"/>
      <c r="AL3093" s="261"/>
      <c r="AM3093" s="261"/>
      <c r="AN3093" s="261"/>
      <c r="AO3093" s="261"/>
      <c r="AP3093" s="261"/>
      <c r="AQ3093" s="261"/>
      <c r="AR3093" s="261"/>
      <c r="AS3093" s="261"/>
      <c r="AT3093" s="261"/>
      <c r="AU3093" s="261"/>
      <c r="AV3093" s="261"/>
      <c r="AW3093" s="261"/>
      <c r="AX3093" s="261"/>
      <c r="AY3093" s="261"/>
      <c r="AZ3093" s="261"/>
      <c r="BA3093" s="261"/>
      <c r="BB3093" s="261"/>
      <c r="BC3093" s="261"/>
      <c r="BD3093" s="261"/>
      <c r="BE3093" s="261"/>
      <c r="BF3093" s="261"/>
      <c r="BG3093" s="261"/>
      <c r="BH3093" s="261"/>
      <c r="BI3093" s="261"/>
      <c r="BJ3093" s="261"/>
      <c r="BK3093" s="261"/>
      <c r="BL3093" s="261"/>
      <c r="BM3093" s="261"/>
      <c r="BN3093" s="261"/>
      <c r="BO3093" s="261"/>
      <c r="BP3093" s="261"/>
      <c r="BQ3093" s="261"/>
      <c r="BR3093" s="261"/>
      <c r="BS3093" s="261"/>
      <c r="BT3093" s="261"/>
      <c r="BU3093" s="261"/>
      <c r="BV3093" s="261"/>
      <c r="BW3093" s="261"/>
      <c r="BX3093" s="261"/>
      <c r="BY3093" s="261"/>
      <c r="BZ3093" s="261"/>
      <c r="CA3093" s="261"/>
      <c r="CB3093" s="261"/>
      <c r="CC3093" s="261"/>
      <c r="CD3093" s="261"/>
      <c r="CE3093" s="259"/>
      <c r="CF3093" s="259"/>
      <c r="CG3093" s="259"/>
      <c r="CH3093" s="76"/>
      <c r="CI3093" s="259"/>
      <c r="CJ3093" s="259"/>
      <c r="CK3093" s="259"/>
      <c r="CL3093" s="259"/>
      <c r="CM3093" s="260"/>
    </row>
    <row r="3094" spans="1:91">
      <c r="AC3094" s="8"/>
      <c r="AD3094" s="8"/>
      <c r="AE3094" s="8"/>
      <c r="AF3094" s="8"/>
      <c r="AG3094" s="8"/>
      <c r="AH3094" s="8"/>
      <c r="AI3094" s="8"/>
      <c r="AJ3094" s="8"/>
      <c r="AK3094" s="8"/>
      <c r="AL3094" s="8"/>
      <c r="AM3094" s="8"/>
      <c r="AN3094" s="8"/>
      <c r="AO3094" s="8"/>
    </row>
    <row r="3095" spans="1:91">
      <c r="A3095" s="447"/>
      <c r="B3095" s="447" t="s">
        <v>2569</v>
      </c>
      <c r="C3095" s="655"/>
      <c r="D3095" s="655"/>
      <c r="E3095" s="405"/>
      <c r="F3095" s="405"/>
      <c r="G3095" s="406"/>
      <c r="H3095" s="672"/>
      <c r="I3095" s="448"/>
      <c r="J3095" s="448"/>
      <c r="K3095" s="405"/>
      <c r="L3095" s="655"/>
      <c r="M3095" s="405"/>
      <c r="N3095" s="449"/>
      <c r="O3095" s="449"/>
      <c r="P3095" s="655"/>
      <c r="Q3095" s="406"/>
      <c r="R3095" s="486"/>
      <c r="S3095" s="486"/>
      <c r="T3095" s="486"/>
      <c r="U3095" s="214"/>
      <c r="V3095" s="214"/>
      <c r="W3095" s="214"/>
      <c r="X3095" s="214"/>
      <c r="Y3095" s="214"/>
      <c r="Z3095" s="214"/>
      <c r="AA3095" s="214"/>
      <c r="AB3095" s="214"/>
      <c r="AC3095" s="214"/>
      <c r="AD3095" s="214"/>
      <c r="AE3095" s="214"/>
      <c r="AF3095" s="214"/>
      <c r="AG3095" s="214"/>
      <c r="AH3095" s="214"/>
      <c r="AI3095" s="214"/>
      <c r="AJ3095" s="214"/>
      <c r="AK3095" s="214"/>
      <c r="AL3095" s="214"/>
      <c r="AM3095" s="214"/>
      <c r="AN3095" s="214"/>
      <c r="AO3095" s="214"/>
      <c r="AP3095" s="214"/>
      <c r="AQ3095" s="214"/>
      <c r="AR3095" s="214"/>
      <c r="AS3095" s="214"/>
      <c r="AT3095" s="214"/>
      <c r="AU3095" s="214"/>
      <c r="AV3095" s="214"/>
      <c r="AW3095" s="214"/>
      <c r="AX3095" s="214"/>
      <c r="AY3095" s="214"/>
      <c r="AZ3095" s="214"/>
      <c r="BA3095" s="214"/>
      <c r="BB3095" s="214"/>
      <c r="BC3095" s="214"/>
      <c r="BD3095" s="214"/>
      <c r="BE3095" s="214"/>
      <c r="BF3095" s="214"/>
      <c r="BG3095" s="214"/>
      <c r="BH3095" s="214"/>
      <c r="BI3095" s="214"/>
      <c r="BJ3095" s="214"/>
      <c r="BK3095" s="214"/>
      <c r="BL3095" s="214"/>
      <c r="BM3095" s="214"/>
      <c r="BN3095" s="214"/>
      <c r="BO3095" s="214"/>
      <c r="BP3095" s="214"/>
      <c r="BQ3095" s="214"/>
      <c r="BR3095" s="214"/>
      <c r="BS3095" s="214"/>
      <c r="BT3095" s="214"/>
      <c r="BU3095" s="214"/>
      <c r="BV3095" s="214"/>
      <c r="BW3095" s="214"/>
      <c r="BX3095" s="214"/>
      <c r="BY3095" s="214"/>
      <c r="BZ3095" s="214"/>
      <c r="CA3095" s="214"/>
      <c r="CB3095" s="214"/>
      <c r="CC3095" s="214"/>
      <c r="CD3095" s="214"/>
      <c r="CE3095" s="227"/>
      <c r="CF3095" s="227"/>
      <c r="CG3095" s="227"/>
      <c r="CH3095" s="76"/>
      <c r="CI3095" s="227"/>
      <c r="CJ3095" s="227"/>
      <c r="CK3095" s="227"/>
      <c r="CL3095" s="227"/>
      <c r="CM3095" s="213"/>
    </row>
    <row r="3096" spans="1:91">
      <c r="A3096" s="464"/>
      <c r="B3096" s="464"/>
      <c r="C3096" s="661"/>
      <c r="D3096" s="689"/>
      <c r="E3096" s="422"/>
      <c r="F3096" s="422"/>
      <c r="G3096" s="461"/>
      <c r="H3096" s="678"/>
      <c r="I3096" s="462"/>
      <c r="J3096" s="462"/>
      <c r="K3096" s="422"/>
      <c r="L3096" s="689"/>
      <c r="M3096" s="422"/>
      <c r="N3096" s="463"/>
      <c r="O3096" s="463"/>
      <c r="P3096" s="689"/>
      <c r="Q3096" s="461"/>
      <c r="R3096" s="491"/>
      <c r="S3096" s="491"/>
      <c r="T3096" s="491"/>
      <c r="U3096" s="214"/>
      <c r="V3096" s="214"/>
      <c r="W3096" s="214"/>
      <c r="X3096" s="214"/>
      <c r="Y3096" s="214"/>
      <c r="Z3096" s="214"/>
      <c r="AA3096" s="214"/>
      <c r="AB3096" s="214"/>
      <c r="AC3096" s="214"/>
      <c r="AD3096" s="214"/>
      <c r="AE3096" s="214"/>
      <c r="AF3096" s="214"/>
      <c r="AG3096" s="214"/>
      <c r="AH3096" s="214"/>
      <c r="AI3096" s="214"/>
      <c r="AJ3096" s="214"/>
      <c r="AK3096" s="214"/>
      <c r="AL3096" s="214"/>
      <c r="AM3096" s="214"/>
      <c r="AN3096" s="214"/>
      <c r="AO3096" s="214"/>
      <c r="AP3096" s="214"/>
      <c r="AQ3096" s="214"/>
      <c r="AR3096" s="214"/>
      <c r="AS3096" s="214"/>
      <c r="AT3096" s="214"/>
      <c r="AU3096" s="214"/>
      <c r="AV3096" s="214"/>
      <c r="AW3096" s="214"/>
      <c r="AX3096" s="214"/>
      <c r="AY3096" s="214"/>
      <c r="AZ3096" s="214"/>
      <c r="BA3096" s="214"/>
      <c r="BB3096" s="214"/>
      <c r="BC3096" s="214"/>
      <c r="BD3096" s="214"/>
      <c r="BE3096" s="214"/>
      <c r="BF3096" s="214"/>
      <c r="BG3096" s="214"/>
      <c r="BH3096" s="214"/>
      <c r="BI3096" s="214"/>
      <c r="BJ3096" s="214"/>
      <c r="BK3096" s="214"/>
      <c r="BL3096" s="214"/>
      <c r="BM3096" s="214"/>
      <c r="BN3096" s="214"/>
      <c r="BO3096" s="214"/>
      <c r="BP3096" s="214"/>
      <c r="BQ3096" s="214"/>
      <c r="BR3096" s="214"/>
      <c r="BS3096" s="214"/>
      <c r="BT3096" s="214"/>
      <c r="BU3096" s="214"/>
      <c r="BV3096" s="214"/>
      <c r="BW3096" s="214"/>
      <c r="BX3096" s="214"/>
      <c r="BY3096" s="214"/>
      <c r="BZ3096" s="214"/>
      <c r="CA3096" s="214"/>
      <c r="CB3096" s="214"/>
      <c r="CC3096" s="214"/>
      <c r="CD3096" s="214"/>
      <c r="CE3096" s="230"/>
      <c r="CF3096" s="230"/>
      <c r="CG3096" s="230"/>
      <c r="CH3096" s="76"/>
      <c r="CI3096" s="230"/>
      <c r="CJ3096" s="230"/>
      <c r="CK3096" s="230"/>
      <c r="CL3096" s="230"/>
      <c r="CM3096" s="231"/>
    </row>
    <row r="3097" spans="1:91">
      <c r="A3097" s="464"/>
      <c r="B3097" s="464"/>
      <c r="C3097" s="661" t="s">
        <v>2697</v>
      </c>
      <c r="D3097" s="689"/>
      <c r="E3097" s="422"/>
      <c r="F3097" s="422"/>
      <c r="G3097" s="461"/>
      <c r="H3097" s="678"/>
      <c r="I3097" s="462"/>
      <c r="J3097" s="462"/>
      <c r="K3097" s="422"/>
      <c r="L3097" s="689"/>
      <c r="M3097" s="422"/>
      <c r="N3097" s="463"/>
      <c r="O3097" s="463"/>
      <c r="P3097" s="689"/>
      <c r="Q3097" s="461"/>
      <c r="R3097" s="491"/>
      <c r="S3097" s="491"/>
      <c r="T3097" s="491"/>
      <c r="U3097" s="214"/>
      <c r="V3097" s="214"/>
      <c r="W3097" s="214"/>
      <c r="X3097" s="214">
        <f t="shared" ref="X3097:X3114" si="1341">SUMIF($AR:$AR,$CI3097,X:X)</f>
        <v>0</v>
      </c>
      <c r="Y3097" s="214"/>
      <c r="Z3097" s="214"/>
      <c r="AA3097" s="214"/>
      <c r="AB3097" s="214">
        <f t="shared" ref="AB3097:AO3106" si="1342">SUMIF($AR:$AR,$CI3097,AB:AB)</f>
        <v>0</v>
      </c>
      <c r="AC3097" s="214">
        <f t="shared" si="1342"/>
        <v>0</v>
      </c>
      <c r="AD3097" s="214">
        <f t="shared" si="1342"/>
        <v>0</v>
      </c>
      <c r="AE3097" s="214">
        <f t="shared" si="1342"/>
        <v>0</v>
      </c>
      <c r="AF3097" s="214">
        <f t="shared" si="1342"/>
        <v>0</v>
      </c>
      <c r="AG3097" s="214">
        <f t="shared" si="1342"/>
        <v>0</v>
      </c>
      <c r="AH3097" s="214">
        <f t="shared" si="1342"/>
        <v>0</v>
      </c>
      <c r="AI3097" s="214">
        <f t="shared" si="1342"/>
        <v>0</v>
      </c>
      <c r="AJ3097" s="214">
        <f t="shared" si="1342"/>
        <v>0</v>
      </c>
      <c r="AK3097" s="214">
        <f t="shared" si="1342"/>
        <v>0</v>
      </c>
      <c r="AL3097" s="214">
        <f t="shared" si="1342"/>
        <v>0</v>
      </c>
      <c r="AM3097" s="214">
        <f t="shared" si="1342"/>
        <v>0</v>
      </c>
      <c r="AN3097" s="214">
        <f t="shared" si="1342"/>
        <v>0</v>
      </c>
      <c r="AO3097" s="214">
        <f t="shared" si="1342"/>
        <v>0</v>
      </c>
      <c r="AP3097" s="214"/>
      <c r="AQ3097" s="214"/>
      <c r="AR3097" s="214"/>
      <c r="AS3097" s="214">
        <f t="shared" ref="AS3097:BB3098" si="1343">SUMIF($CH:$CH,$CI3097,AS:AS)</f>
        <v>0</v>
      </c>
      <c r="AT3097" s="214">
        <f t="shared" si="1343"/>
        <v>0</v>
      </c>
      <c r="AU3097" s="214">
        <f t="shared" si="1343"/>
        <v>0</v>
      </c>
      <c r="AV3097" s="214">
        <f t="shared" si="1343"/>
        <v>0</v>
      </c>
      <c r="AW3097" s="214">
        <f t="shared" si="1343"/>
        <v>0</v>
      </c>
      <c r="AX3097" s="214">
        <f t="shared" si="1343"/>
        <v>0</v>
      </c>
      <c r="AY3097" s="214">
        <f t="shared" si="1343"/>
        <v>0</v>
      </c>
      <c r="AZ3097" s="214">
        <f t="shared" si="1343"/>
        <v>0</v>
      </c>
      <c r="BA3097" s="214">
        <f t="shared" si="1343"/>
        <v>0</v>
      </c>
      <c r="BB3097" s="214">
        <f t="shared" si="1343"/>
        <v>0</v>
      </c>
      <c r="BC3097" s="214">
        <f t="shared" ref="BC3097:BL3098" si="1344">SUMIF($CH:$CH,$CI3097,BC:BC)</f>
        <v>0</v>
      </c>
      <c r="BD3097" s="214">
        <f t="shared" si="1344"/>
        <v>0</v>
      </c>
      <c r="BE3097" s="214">
        <f t="shared" si="1344"/>
        <v>0</v>
      </c>
      <c r="BF3097" s="214">
        <f t="shared" si="1344"/>
        <v>0</v>
      </c>
      <c r="BG3097" s="214">
        <f t="shared" si="1344"/>
        <v>0</v>
      </c>
      <c r="BH3097" s="214">
        <f t="shared" si="1344"/>
        <v>0</v>
      </c>
      <c r="BI3097" s="214">
        <f t="shared" si="1344"/>
        <v>0</v>
      </c>
      <c r="BJ3097" s="214">
        <f t="shared" si="1344"/>
        <v>0</v>
      </c>
      <c r="BK3097" s="214">
        <f t="shared" si="1344"/>
        <v>0</v>
      </c>
      <c r="BL3097" s="214">
        <f t="shared" si="1344"/>
        <v>0</v>
      </c>
      <c r="BM3097" s="214">
        <f t="shared" ref="BM3097:BV3098" si="1345">SUMIF($CH:$CH,$CI3097,BM:BM)</f>
        <v>0</v>
      </c>
      <c r="BN3097" s="214">
        <f t="shared" si="1345"/>
        <v>0</v>
      </c>
      <c r="BO3097" s="214">
        <f t="shared" si="1345"/>
        <v>0</v>
      </c>
      <c r="BP3097" s="214">
        <f t="shared" si="1345"/>
        <v>0</v>
      </c>
      <c r="BQ3097" s="214">
        <f t="shared" si="1345"/>
        <v>0</v>
      </c>
      <c r="BR3097" s="214">
        <f t="shared" si="1345"/>
        <v>0</v>
      </c>
      <c r="BS3097" s="214">
        <f t="shared" si="1345"/>
        <v>0</v>
      </c>
      <c r="BT3097" s="214">
        <f t="shared" si="1345"/>
        <v>0</v>
      </c>
      <c r="BU3097" s="214">
        <f t="shared" si="1345"/>
        <v>0</v>
      </c>
      <c r="BV3097" s="214">
        <f t="shared" si="1345"/>
        <v>0</v>
      </c>
      <c r="BW3097" s="214">
        <f t="shared" ref="BW3097:CB3098" si="1346">SUMIF($CH:$CH,$CI3097,BW:BW)</f>
        <v>0</v>
      </c>
      <c r="BX3097" s="214">
        <f t="shared" si="1346"/>
        <v>0</v>
      </c>
      <c r="BY3097" s="214">
        <f t="shared" si="1346"/>
        <v>0</v>
      </c>
      <c r="BZ3097" s="214">
        <f t="shared" si="1346"/>
        <v>0</v>
      </c>
      <c r="CA3097" s="214">
        <f t="shared" si="1346"/>
        <v>0</v>
      </c>
      <c r="CB3097" s="214">
        <f t="shared" si="1346"/>
        <v>0</v>
      </c>
      <c r="CC3097" s="214"/>
      <c r="CD3097" s="214"/>
      <c r="CE3097" s="230"/>
      <c r="CF3097" s="230"/>
      <c r="CG3097" s="230"/>
      <c r="CH3097" s="76"/>
      <c r="CI3097" s="76" t="str">
        <f>CONCATENATE("A2",C3097)</f>
        <v>A2Non Qualified Pension</v>
      </c>
      <c r="CJ3097" s="230"/>
      <c r="CK3097" s="230"/>
      <c r="CL3097" s="230"/>
      <c r="CM3097" s="231"/>
    </row>
    <row r="3098" spans="1:91">
      <c r="A3098" s="464"/>
      <c r="B3098" s="464"/>
      <c r="C3098" s="661" t="s">
        <v>2547</v>
      </c>
      <c r="D3098" s="689"/>
      <c r="E3098" s="422"/>
      <c r="F3098" s="422"/>
      <c r="G3098" s="461"/>
      <c r="H3098" s="678"/>
      <c r="I3098" s="462"/>
      <c r="J3098" s="462"/>
      <c r="K3098" s="422"/>
      <c r="L3098" s="689"/>
      <c r="M3098" s="422"/>
      <c r="N3098" s="463"/>
      <c r="O3098" s="463"/>
      <c r="P3098" s="689"/>
      <c r="Q3098" s="461"/>
      <c r="R3098" s="491"/>
      <c r="S3098" s="491"/>
      <c r="T3098" s="491"/>
      <c r="U3098" s="214"/>
      <c r="V3098" s="214"/>
      <c r="W3098" s="214"/>
      <c r="X3098" s="214">
        <f t="shared" si="1341"/>
        <v>-1283.3039162499974</v>
      </c>
      <c r="Y3098" s="214"/>
      <c r="Z3098" s="214"/>
      <c r="AA3098" s="214"/>
      <c r="AB3098" s="214">
        <f t="shared" si="1342"/>
        <v>-567.53316000000018</v>
      </c>
      <c r="AC3098" s="214">
        <f t="shared" si="1342"/>
        <v>1478.9636500000001</v>
      </c>
      <c r="AD3098" s="214">
        <f t="shared" si="1342"/>
        <v>-20989.76383</v>
      </c>
      <c r="AE3098" s="214">
        <f t="shared" si="1342"/>
        <v>-931.72449999999981</v>
      </c>
      <c r="AF3098" s="214">
        <f t="shared" si="1342"/>
        <v>5380.7373700000007</v>
      </c>
      <c r="AG3098" s="214">
        <f t="shared" si="1342"/>
        <v>-347.78491999999983</v>
      </c>
      <c r="AH3098" s="214">
        <f t="shared" si="1342"/>
        <v>2207.7079899999994</v>
      </c>
      <c r="AI3098" s="214">
        <f t="shared" si="1342"/>
        <v>-647.64576000000034</v>
      </c>
      <c r="AJ3098" s="214">
        <f t="shared" si="1342"/>
        <v>-277.47289999999998</v>
      </c>
      <c r="AK3098" s="214">
        <f t="shared" si="1342"/>
        <v>3046.1051600000001</v>
      </c>
      <c r="AL3098" s="214">
        <f t="shared" si="1342"/>
        <v>-9370.0553800000016</v>
      </c>
      <c r="AM3098" s="214">
        <f t="shared" si="1342"/>
        <v>931.1316700000001</v>
      </c>
      <c r="AN3098" s="214">
        <f t="shared" si="1342"/>
        <v>5143.4028599999992</v>
      </c>
      <c r="AO3098" s="214">
        <f t="shared" si="1342"/>
        <v>-567.53316000000018</v>
      </c>
      <c r="AP3098" s="214"/>
      <c r="AQ3098" s="214"/>
      <c r="AR3098" s="214"/>
      <c r="AS3098" s="214">
        <f t="shared" si="1343"/>
        <v>0</v>
      </c>
      <c r="AT3098" s="214">
        <f t="shared" si="1343"/>
        <v>0</v>
      </c>
      <c r="AU3098" s="214">
        <f t="shared" si="1343"/>
        <v>0</v>
      </c>
      <c r="AV3098" s="214">
        <f t="shared" si="1343"/>
        <v>0</v>
      </c>
      <c r="AW3098" s="214">
        <f t="shared" si="1343"/>
        <v>0</v>
      </c>
      <c r="AX3098" s="214">
        <f t="shared" si="1343"/>
        <v>0</v>
      </c>
      <c r="AY3098" s="214">
        <f t="shared" si="1343"/>
        <v>0</v>
      </c>
      <c r="AZ3098" s="214">
        <f t="shared" si="1343"/>
        <v>0</v>
      </c>
      <c r="BA3098" s="214">
        <f t="shared" si="1343"/>
        <v>0</v>
      </c>
      <c r="BB3098" s="214">
        <f t="shared" si="1343"/>
        <v>0</v>
      </c>
      <c r="BC3098" s="214">
        <f t="shared" si="1344"/>
        <v>0</v>
      </c>
      <c r="BD3098" s="214">
        <f t="shared" si="1344"/>
        <v>0</v>
      </c>
      <c r="BE3098" s="214">
        <f t="shared" si="1344"/>
        <v>0</v>
      </c>
      <c r="BF3098" s="214">
        <f t="shared" si="1344"/>
        <v>0</v>
      </c>
      <c r="BG3098" s="214">
        <f t="shared" si="1344"/>
        <v>0</v>
      </c>
      <c r="BH3098" s="214">
        <f t="shared" si="1344"/>
        <v>0</v>
      </c>
      <c r="BI3098" s="214">
        <f t="shared" si="1344"/>
        <v>0</v>
      </c>
      <c r="BJ3098" s="214">
        <f t="shared" si="1344"/>
        <v>0</v>
      </c>
      <c r="BK3098" s="214">
        <f t="shared" si="1344"/>
        <v>0</v>
      </c>
      <c r="BL3098" s="214">
        <f t="shared" si="1344"/>
        <v>0</v>
      </c>
      <c r="BM3098" s="214">
        <f t="shared" si="1345"/>
        <v>0</v>
      </c>
      <c r="BN3098" s="214">
        <f t="shared" si="1345"/>
        <v>0</v>
      </c>
      <c r="BO3098" s="214">
        <f t="shared" si="1345"/>
        <v>0</v>
      </c>
      <c r="BP3098" s="214">
        <f t="shared" si="1345"/>
        <v>0</v>
      </c>
      <c r="BQ3098" s="214">
        <f t="shared" si="1345"/>
        <v>0</v>
      </c>
      <c r="BR3098" s="214">
        <f t="shared" si="1345"/>
        <v>0</v>
      </c>
      <c r="BS3098" s="214">
        <f t="shared" si="1345"/>
        <v>0</v>
      </c>
      <c r="BT3098" s="214">
        <f t="shared" si="1345"/>
        <v>0</v>
      </c>
      <c r="BU3098" s="214">
        <f t="shared" si="1345"/>
        <v>0</v>
      </c>
      <c r="BV3098" s="214">
        <f t="shared" si="1345"/>
        <v>0</v>
      </c>
      <c r="BW3098" s="214">
        <f t="shared" si="1346"/>
        <v>0</v>
      </c>
      <c r="BX3098" s="214">
        <f t="shared" si="1346"/>
        <v>0</v>
      </c>
      <c r="BY3098" s="214">
        <f t="shared" si="1346"/>
        <v>0</v>
      </c>
      <c r="BZ3098" s="214">
        <f t="shared" si="1346"/>
        <v>0</v>
      </c>
      <c r="CA3098" s="214">
        <f t="shared" si="1346"/>
        <v>0</v>
      </c>
      <c r="CB3098" s="214">
        <f t="shared" si="1346"/>
        <v>0</v>
      </c>
      <c r="CC3098" s="214"/>
      <c r="CD3098" s="214"/>
      <c r="CE3098" s="230"/>
      <c r="CF3098" s="230"/>
      <c r="CG3098" s="230"/>
      <c r="CH3098" s="76"/>
      <c r="CI3098" s="76" t="str">
        <f t="shared" ref="CI3098:CI3114" si="1347">CONCATENATE("A2",C3098)</f>
        <v>A2Special Deposits</v>
      </c>
      <c r="CJ3098" s="230"/>
      <c r="CK3098" s="230"/>
      <c r="CL3098" s="230"/>
      <c r="CM3098" s="231"/>
    </row>
    <row r="3099" spans="1:91">
      <c r="A3099" s="464"/>
      <c r="B3099" s="464"/>
      <c r="C3099" s="661" t="s">
        <v>2702</v>
      </c>
      <c r="D3099" s="689"/>
      <c r="E3099" s="422"/>
      <c r="F3099" s="422"/>
      <c r="G3099" s="461"/>
      <c r="H3099" s="678"/>
      <c r="I3099" s="462"/>
      <c r="J3099" s="462"/>
      <c r="K3099" s="422"/>
      <c r="L3099" s="689"/>
      <c r="M3099" s="422"/>
      <c r="N3099" s="463"/>
      <c r="O3099" s="463"/>
      <c r="P3099" s="689"/>
      <c r="Q3099" s="461"/>
      <c r="R3099" s="491"/>
      <c r="S3099" s="491"/>
      <c r="T3099" s="491"/>
      <c r="U3099" s="214"/>
      <c r="V3099" s="214"/>
      <c r="W3099" s="214"/>
      <c r="X3099" s="214">
        <f t="shared" si="1341"/>
        <v>-10323.803380416633</v>
      </c>
      <c r="Y3099" s="214"/>
      <c r="Z3099" s="214"/>
      <c r="AA3099" s="214"/>
      <c r="AB3099" s="214">
        <f t="shared" si="1342"/>
        <v>-13000.697910000001</v>
      </c>
      <c r="AC3099" s="214">
        <f t="shared" si="1342"/>
        <v>-12690.895999999999</v>
      </c>
      <c r="AD3099" s="214">
        <f t="shared" si="1342"/>
        <v>-5513.2463300000009</v>
      </c>
      <c r="AE3099" s="214">
        <f t="shared" si="1342"/>
        <v>-8076.1419300000007</v>
      </c>
      <c r="AF3099" s="214">
        <f t="shared" si="1342"/>
        <v>-8930.317140000001</v>
      </c>
      <c r="AG3099" s="214">
        <f t="shared" si="1342"/>
        <v>-11922.197859999998</v>
      </c>
      <c r="AH3099" s="214">
        <f t="shared" si="1342"/>
        <v>-15209.92669</v>
      </c>
      <c r="AI3099" s="214">
        <f t="shared" si="1342"/>
        <v>-12444.958549999999</v>
      </c>
      <c r="AJ3099" s="214">
        <f t="shared" si="1342"/>
        <v>-5268.7346200000002</v>
      </c>
      <c r="AK3099" s="214">
        <f t="shared" si="1342"/>
        <v>-7847.2046199999995</v>
      </c>
      <c r="AL3099" s="214">
        <f t="shared" si="1342"/>
        <v>-8664.2382999999991</v>
      </c>
      <c r="AM3099" s="214">
        <f t="shared" si="1342"/>
        <v>-11921.88977</v>
      </c>
      <c r="AN3099" s="214">
        <f t="shared" si="1342"/>
        <v>-15240.987799999999</v>
      </c>
      <c r="AO3099" s="214">
        <f t="shared" si="1342"/>
        <v>-13000.697910000001</v>
      </c>
      <c r="AP3099" s="214"/>
      <c r="AQ3099" s="214"/>
      <c r="AR3099" s="214"/>
      <c r="AS3099" s="76" t="s">
        <v>2705</v>
      </c>
      <c r="AT3099" s="230"/>
      <c r="AU3099" s="230"/>
      <c r="AV3099" s="230"/>
      <c r="AW3099" s="231"/>
      <c r="CI3099" s="76" t="str">
        <f t="shared" si="1347"/>
        <v>A2Interest Payable</v>
      </c>
    </row>
    <row r="3100" spans="1:91">
      <c r="A3100" s="464"/>
      <c r="B3100" s="464"/>
      <c r="C3100" s="661" t="s">
        <v>2560</v>
      </c>
      <c r="D3100" s="689"/>
      <c r="E3100" s="422"/>
      <c r="F3100" s="422"/>
      <c r="G3100" s="461"/>
      <c r="H3100" s="678"/>
      <c r="I3100" s="462"/>
      <c r="J3100" s="462"/>
      <c r="K3100" s="422"/>
      <c r="L3100" s="689"/>
      <c r="M3100" s="422"/>
      <c r="N3100" s="463"/>
      <c r="O3100" s="463"/>
      <c r="P3100" s="689"/>
      <c r="Q3100" s="461"/>
      <c r="R3100" s="491"/>
      <c r="S3100" s="491"/>
      <c r="T3100" s="491"/>
      <c r="U3100" s="214"/>
      <c r="V3100" s="214"/>
      <c r="W3100" s="214"/>
      <c r="X3100" s="214">
        <f t="shared" si="1341"/>
        <v>143.177400833333</v>
      </c>
      <c r="Y3100" s="214"/>
      <c r="Z3100" s="214"/>
      <c r="AA3100" s="214"/>
      <c r="AB3100" s="214">
        <f t="shared" si="1342"/>
        <v>135.34227999999999</v>
      </c>
      <c r="AC3100" s="214">
        <f t="shared" si="1342"/>
        <v>163.06744</v>
      </c>
      <c r="AD3100" s="214">
        <f t="shared" si="1342"/>
        <v>151.45517000000001</v>
      </c>
      <c r="AE3100" s="214">
        <f t="shared" si="1342"/>
        <v>151.46134000000001</v>
      </c>
      <c r="AF3100" s="214">
        <f t="shared" si="1342"/>
        <v>151.46670000000003</v>
      </c>
      <c r="AG3100" s="214">
        <f t="shared" si="1342"/>
        <v>151.46951000000001</v>
      </c>
      <c r="AH3100" s="214">
        <f t="shared" si="1342"/>
        <v>151.47262000000001</v>
      </c>
      <c r="AI3100" s="214">
        <f t="shared" si="1342"/>
        <v>135.32576999999998</v>
      </c>
      <c r="AJ3100" s="214">
        <f t="shared" si="1342"/>
        <v>135.32886999999999</v>
      </c>
      <c r="AK3100" s="214">
        <f t="shared" si="1342"/>
        <v>135.33190999999999</v>
      </c>
      <c r="AL3100" s="214">
        <f t="shared" si="1342"/>
        <v>134.93473</v>
      </c>
      <c r="AM3100" s="214">
        <f t="shared" si="1342"/>
        <v>135.33751999999998</v>
      </c>
      <c r="AN3100" s="214">
        <f t="shared" si="1342"/>
        <v>135.33981</v>
      </c>
      <c r="AO3100" s="214">
        <f t="shared" si="1342"/>
        <v>135.34227999999999</v>
      </c>
      <c r="AP3100" s="214"/>
      <c r="AQ3100" s="214"/>
      <c r="AR3100" s="214"/>
      <c r="AS3100" s="214">
        <f t="shared" ref="AS3100:BB3114" si="1348">SUMIF($CH:$CH,$CI3100,AS:AS)</f>
        <v>0</v>
      </c>
      <c r="AT3100" s="214">
        <f t="shared" si="1348"/>
        <v>0</v>
      </c>
      <c r="AU3100" s="214">
        <f t="shared" si="1348"/>
        <v>0</v>
      </c>
      <c r="AV3100" s="214">
        <f t="shared" si="1348"/>
        <v>0</v>
      </c>
      <c r="AW3100" s="214">
        <f t="shared" si="1348"/>
        <v>0</v>
      </c>
      <c r="AX3100" s="214">
        <f t="shared" si="1348"/>
        <v>0</v>
      </c>
      <c r="AY3100" s="214">
        <f t="shared" si="1348"/>
        <v>0</v>
      </c>
      <c r="AZ3100" s="214">
        <f t="shared" si="1348"/>
        <v>0</v>
      </c>
      <c r="BA3100" s="214">
        <f t="shared" si="1348"/>
        <v>0</v>
      </c>
      <c r="BB3100" s="214">
        <f t="shared" si="1348"/>
        <v>0</v>
      </c>
      <c r="BC3100" s="214">
        <f t="shared" ref="BC3100:BL3114" si="1349">SUMIF($CH:$CH,$CI3100,BC:BC)</f>
        <v>0</v>
      </c>
      <c r="BD3100" s="214">
        <f t="shared" si="1349"/>
        <v>0</v>
      </c>
      <c r="BE3100" s="214">
        <f t="shared" si="1349"/>
        <v>0</v>
      </c>
      <c r="BF3100" s="214">
        <f t="shared" si="1349"/>
        <v>0</v>
      </c>
      <c r="BG3100" s="214">
        <f t="shared" si="1349"/>
        <v>0</v>
      </c>
      <c r="BH3100" s="214">
        <f t="shared" si="1349"/>
        <v>0</v>
      </c>
      <c r="BI3100" s="214">
        <f t="shared" si="1349"/>
        <v>0</v>
      </c>
      <c r="BJ3100" s="214">
        <f t="shared" si="1349"/>
        <v>0</v>
      </c>
      <c r="BK3100" s="214">
        <f t="shared" si="1349"/>
        <v>0</v>
      </c>
      <c r="BL3100" s="214">
        <f t="shared" si="1349"/>
        <v>0</v>
      </c>
      <c r="BM3100" s="214">
        <f t="shared" ref="BM3100:BV3114" si="1350">SUMIF($CH:$CH,$CI3100,BM:BM)</f>
        <v>0</v>
      </c>
      <c r="BN3100" s="214">
        <f t="shared" si="1350"/>
        <v>0</v>
      </c>
      <c r="BO3100" s="214">
        <f t="shared" si="1350"/>
        <v>0</v>
      </c>
      <c r="BP3100" s="214">
        <f t="shared" si="1350"/>
        <v>0</v>
      </c>
      <c r="BQ3100" s="214">
        <f t="shared" si="1350"/>
        <v>0</v>
      </c>
      <c r="BR3100" s="214">
        <f t="shared" si="1350"/>
        <v>0</v>
      </c>
      <c r="BS3100" s="214">
        <f t="shared" si="1350"/>
        <v>0</v>
      </c>
      <c r="BT3100" s="214">
        <f t="shared" si="1350"/>
        <v>0</v>
      </c>
      <c r="BU3100" s="214">
        <f t="shared" si="1350"/>
        <v>0</v>
      </c>
      <c r="BV3100" s="214">
        <f t="shared" si="1350"/>
        <v>0</v>
      </c>
      <c r="BW3100" s="214">
        <f t="shared" ref="BW3100:CB3114" si="1351">SUMIF($CH:$CH,$CI3100,BW:BW)</f>
        <v>0</v>
      </c>
      <c r="BX3100" s="214">
        <f t="shared" si="1351"/>
        <v>0</v>
      </c>
      <c r="BY3100" s="214">
        <f t="shared" si="1351"/>
        <v>0</v>
      </c>
      <c r="BZ3100" s="214">
        <f t="shared" si="1351"/>
        <v>0</v>
      </c>
      <c r="CA3100" s="214">
        <f t="shared" si="1351"/>
        <v>0</v>
      </c>
      <c r="CB3100" s="214">
        <f t="shared" si="1351"/>
        <v>0</v>
      </c>
      <c r="CC3100" s="214"/>
      <c r="CD3100" s="214"/>
      <c r="CE3100" s="230"/>
      <c r="CF3100" s="230"/>
      <c r="CG3100" s="230"/>
      <c r="CH3100" s="76"/>
      <c r="CI3100" s="76" t="str">
        <f t="shared" si="1347"/>
        <v>A2Working Funds</v>
      </c>
      <c r="CJ3100" s="230"/>
      <c r="CK3100" s="230"/>
      <c r="CL3100" s="230"/>
      <c r="CM3100" s="231"/>
    </row>
    <row r="3101" spans="1:91">
      <c r="A3101" s="464"/>
      <c r="B3101" s="464"/>
      <c r="C3101" s="661" t="s">
        <v>2548</v>
      </c>
      <c r="D3101" s="689"/>
      <c r="E3101" s="422"/>
      <c r="F3101" s="422"/>
      <c r="G3101" s="461"/>
      <c r="H3101" s="678"/>
      <c r="I3101" s="462"/>
      <c r="J3101" s="462"/>
      <c r="K3101" s="422"/>
      <c r="L3101" s="689"/>
      <c r="M3101" s="422"/>
      <c r="N3101" s="463"/>
      <c r="O3101" s="463"/>
      <c r="P3101" s="689"/>
      <c r="Q3101" s="461"/>
      <c r="R3101" s="491"/>
      <c r="S3101" s="491"/>
      <c r="T3101" s="491"/>
      <c r="U3101" s="214"/>
      <c r="V3101" s="214"/>
      <c r="W3101" s="214"/>
      <c r="X3101" s="214">
        <f t="shared" si="1341"/>
        <v>0</v>
      </c>
      <c r="Y3101" s="214"/>
      <c r="Z3101" s="214"/>
      <c r="AA3101" s="214"/>
      <c r="AB3101" s="214">
        <f t="shared" si="1342"/>
        <v>0</v>
      </c>
      <c r="AC3101" s="214">
        <f t="shared" si="1342"/>
        <v>0</v>
      </c>
      <c r="AD3101" s="214">
        <f t="shared" si="1342"/>
        <v>0</v>
      </c>
      <c r="AE3101" s="214">
        <f t="shared" si="1342"/>
        <v>0</v>
      </c>
      <c r="AF3101" s="214">
        <f t="shared" si="1342"/>
        <v>0</v>
      </c>
      <c r="AG3101" s="214">
        <f t="shared" si="1342"/>
        <v>0</v>
      </c>
      <c r="AH3101" s="214">
        <f t="shared" si="1342"/>
        <v>0</v>
      </c>
      <c r="AI3101" s="214">
        <f t="shared" si="1342"/>
        <v>0</v>
      </c>
      <c r="AJ3101" s="214">
        <f t="shared" si="1342"/>
        <v>0</v>
      </c>
      <c r="AK3101" s="214">
        <f t="shared" si="1342"/>
        <v>0</v>
      </c>
      <c r="AL3101" s="214">
        <f t="shared" si="1342"/>
        <v>0</v>
      </c>
      <c r="AM3101" s="214">
        <f t="shared" si="1342"/>
        <v>0</v>
      </c>
      <c r="AN3101" s="214">
        <f t="shared" si="1342"/>
        <v>0</v>
      </c>
      <c r="AO3101" s="214">
        <f t="shared" si="1342"/>
        <v>0</v>
      </c>
      <c r="AP3101" s="214"/>
      <c r="AQ3101" s="214"/>
      <c r="AR3101" s="214"/>
      <c r="AS3101" s="214">
        <f t="shared" si="1348"/>
        <v>0</v>
      </c>
      <c r="AT3101" s="214">
        <f t="shared" si="1348"/>
        <v>0</v>
      </c>
      <c r="AU3101" s="214">
        <f t="shared" si="1348"/>
        <v>0</v>
      </c>
      <c r="AV3101" s="214">
        <f t="shared" si="1348"/>
        <v>0</v>
      </c>
      <c r="AW3101" s="214">
        <f t="shared" si="1348"/>
        <v>0</v>
      </c>
      <c r="AX3101" s="214">
        <f t="shared" si="1348"/>
        <v>0</v>
      </c>
      <c r="AY3101" s="214">
        <f t="shared" si="1348"/>
        <v>0</v>
      </c>
      <c r="AZ3101" s="214">
        <f t="shared" si="1348"/>
        <v>0</v>
      </c>
      <c r="BA3101" s="214">
        <f t="shared" si="1348"/>
        <v>0</v>
      </c>
      <c r="BB3101" s="214">
        <f t="shared" si="1348"/>
        <v>0</v>
      </c>
      <c r="BC3101" s="214">
        <f t="shared" si="1349"/>
        <v>0</v>
      </c>
      <c r="BD3101" s="214">
        <f t="shared" si="1349"/>
        <v>0</v>
      </c>
      <c r="BE3101" s="214">
        <f t="shared" si="1349"/>
        <v>0</v>
      </c>
      <c r="BF3101" s="214">
        <f t="shared" si="1349"/>
        <v>0</v>
      </c>
      <c r="BG3101" s="214">
        <f t="shared" si="1349"/>
        <v>0</v>
      </c>
      <c r="BH3101" s="214">
        <f t="shared" si="1349"/>
        <v>0</v>
      </c>
      <c r="BI3101" s="214">
        <f t="shared" si="1349"/>
        <v>0</v>
      </c>
      <c r="BJ3101" s="214">
        <f t="shared" si="1349"/>
        <v>0</v>
      </c>
      <c r="BK3101" s="214">
        <f t="shared" si="1349"/>
        <v>0</v>
      </c>
      <c r="BL3101" s="214">
        <f t="shared" si="1349"/>
        <v>0</v>
      </c>
      <c r="BM3101" s="214">
        <f t="shared" si="1350"/>
        <v>0</v>
      </c>
      <c r="BN3101" s="214">
        <f t="shared" si="1350"/>
        <v>0</v>
      </c>
      <c r="BO3101" s="214">
        <f t="shared" si="1350"/>
        <v>0</v>
      </c>
      <c r="BP3101" s="214">
        <f t="shared" si="1350"/>
        <v>0</v>
      </c>
      <c r="BQ3101" s="214">
        <f t="shared" si="1350"/>
        <v>0</v>
      </c>
      <c r="BR3101" s="214">
        <f t="shared" si="1350"/>
        <v>0</v>
      </c>
      <c r="BS3101" s="214">
        <f t="shared" si="1350"/>
        <v>0</v>
      </c>
      <c r="BT3101" s="214">
        <f t="shared" si="1350"/>
        <v>0</v>
      </c>
      <c r="BU3101" s="214">
        <f t="shared" si="1350"/>
        <v>0</v>
      </c>
      <c r="BV3101" s="214">
        <f t="shared" si="1350"/>
        <v>0</v>
      </c>
      <c r="BW3101" s="214">
        <f t="shared" si="1351"/>
        <v>0</v>
      </c>
      <c r="BX3101" s="214">
        <f t="shared" si="1351"/>
        <v>0</v>
      </c>
      <c r="BY3101" s="214">
        <f t="shared" si="1351"/>
        <v>0</v>
      </c>
      <c r="BZ3101" s="214">
        <f t="shared" si="1351"/>
        <v>0</v>
      </c>
      <c r="CA3101" s="214">
        <f t="shared" si="1351"/>
        <v>0</v>
      </c>
      <c r="CB3101" s="214">
        <f t="shared" si="1351"/>
        <v>0</v>
      </c>
      <c r="CC3101" s="214"/>
      <c r="CD3101" s="214"/>
      <c r="CE3101" s="230"/>
      <c r="CF3101" s="230"/>
      <c r="CG3101" s="230"/>
      <c r="CH3101" s="76"/>
      <c r="CI3101" s="76" t="str">
        <f t="shared" si="1347"/>
        <v>A2Temporary Cash Investments</v>
      </c>
      <c r="CJ3101" s="230"/>
      <c r="CK3101" s="230"/>
      <c r="CL3101" s="230"/>
      <c r="CM3101" s="231"/>
    </row>
    <row r="3102" spans="1:91">
      <c r="A3102" s="464"/>
      <c r="B3102" s="464"/>
      <c r="C3102" s="661" t="s">
        <v>2546</v>
      </c>
      <c r="D3102" s="689"/>
      <c r="E3102" s="422"/>
      <c r="F3102" s="422"/>
      <c r="G3102" s="461"/>
      <c r="H3102" s="678"/>
      <c r="I3102" s="462"/>
      <c r="J3102" s="462"/>
      <c r="K3102" s="422"/>
      <c r="L3102" s="689"/>
      <c r="M3102" s="422"/>
      <c r="N3102" s="463"/>
      <c r="O3102" s="463"/>
      <c r="P3102" s="689"/>
      <c r="Q3102" s="461"/>
      <c r="R3102" s="491"/>
      <c r="S3102" s="491"/>
      <c r="T3102" s="491"/>
      <c r="U3102" s="214"/>
      <c r="V3102" s="214"/>
      <c r="W3102" s="214"/>
      <c r="X3102" s="214">
        <f t="shared" si="1341"/>
        <v>158025.901124583</v>
      </c>
      <c r="Y3102" s="214"/>
      <c r="Z3102" s="214"/>
      <c r="AA3102" s="214"/>
      <c r="AB3102" s="214">
        <f t="shared" si="1342"/>
        <v>123759.15774000002</v>
      </c>
      <c r="AC3102" s="214">
        <f t="shared" si="1342"/>
        <v>158689.40622999999</v>
      </c>
      <c r="AD3102" s="214">
        <f t="shared" si="1342"/>
        <v>176501.78992999994</v>
      </c>
      <c r="AE3102" s="214">
        <f t="shared" si="1342"/>
        <v>200524.86079000004</v>
      </c>
      <c r="AF3102" s="214">
        <f t="shared" si="1342"/>
        <v>191365.94806000002</v>
      </c>
      <c r="AG3102" s="214">
        <f t="shared" si="1342"/>
        <v>171220.50703000001</v>
      </c>
      <c r="AH3102" s="214">
        <f t="shared" si="1342"/>
        <v>162615.62147000001</v>
      </c>
      <c r="AI3102" s="214">
        <f t="shared" si="1342"/>
        <v>158086.08161999998</v>
      </c>
      <c r="AJ3102" s="214">
        <f t="shared" si="1342"/>
        <v>156577.83501999997</v>
      </c>
      <c r="AK3102" s="214">
        <f t="shared" si="1342"/>
        <v>147080.30669</v>
      </c>
      <c r="AL3102" s="214">
        <f t="shared" si="1342"/>
        <v>138878.25651999997</v>
      </c>
      <c r="AM3102" s="214">
        <f t="shared" si="1342"/>
        <v>121344.87517999997</v>
      </c>
      <c r="AN3102" s="214">
        <f t="shared" si="1342"/>
        <v>130890.44920000002</v>
      </c>
      <c r="AO3102" s="214">
        <f t="shared" si="1342"/>
        <v>123759.15774000002</v>
      </c>
      <c r="AP3102" s="214"/>
      <c r="AQ3102" s="214"/>
      <c r="AR3102" s="214"/>
      <c r="AS3102" s="214">
        <f t="shared" si="1348"/>
        <v>0</v>
      </c>
      <c r="AT3102" s="214">
        <f t="shared" si="1348"/>
        <v>0</v>
      </c>
      <c r="AU3102" s="214">
        <f t="shared" si="1348"/>
        <v>0</v>
      </c>
      <c r="AV3102" s="214">
        <f t="shared" si="1348"/>
        <v>0</v>
      </c>
      <c r="AW3102" s="214">
        <f t="shared" si="1348"/>
        <v>0</v>
      </c>
      <c r="AX3102" s="214">
        <f t="shared" si="1348"/>
        <v>0</v>
      </c>
      <c r="AY3102" s="214">
        <f t="shared" si="1348"/>
        <v>0</v>
      </c>
      <c r="AZ3102" s="214">
        <f t="shared" si="1348"/>
        <v>0</v>
      </c>
      <c r="BA3102" s="214">
        <f t="shared" si="1348"/>
        <v>0</v>
      </c>
      <c r="BB3102" s="214">
        <f t="shared" si="1348"/>
        <v>0</v>
      </c>
      <c r="BC3102" s="214">
        <f t="shared" si="1349"/>
        <v>0</v>
      </c>
      <c r="BD3102" s="214">
        <f t="shared" si="1349"/>
        <v>0</v>
      </c>
      <c r="BE3102" s="214">
        <f t="shared" si="1349"/>
        <v>0</v>
      </c>
      <c r="BF3102" s="214">
        <f t="shared" si="1349"/>
        <v>0</v>
      </c>
      <c r="BG3102" s="214">
        <f t="shared" si="1349"/>
        <v>0</v>
      </c>
      <c r="BH3102" s="214">
        <f t="shared" si="1349"/>
        <v>0</v>
      </c>
      <c r="BI3102" s="214">
        <f t="shared" si="1349"/>
        <v>0</v>
      </c>
      <c r="BJ3102" s="214">
        <f t="shared" si="1349"/>
        <v>0</v>
      </c>
      <c r="BK3102" s="214">
        <f t="shared" si="1349"/>
        <v>0</v>
      </c>
      <c r="BL3102" s="214">
        <f t="shared" si="1349"/>
        <v>0</v>
      </c>
      <c r="BM3102" s="214">
        <f t="shared" si="1350"/>
        <v>0</v>
      </c>
      <c r="BN3102" s="214">
        <f t="shared" si="1350"/>
        <v>0</v>
      </c>
      <c r="BO3102" s="214">
        <f t="shared" si="1350"/>
        <v>0</v>
      </c>
      <c r="BP3102" s="214">
        <f t="shared" si="1350"/>
        <v>0</v>
      </c>
      <c r="BQ3102" s="214">
        <f t="shared" si="1350"/>
        <v>0</v>
      </c>
      <c r="BR3102" s="214">
        <f t="shared" si="1350"/>
        <v>0</v>
      </c>
      <c r="BS3102" s="214">
        <f t="shared" si="1350"/>
        <v>0</v>
      </c>
      <c r="BT3102" s="214">
        <f t="shared" si="1350"/>
        <v>0</v>
      </c>
      <c r="BU3102" s="214">
        <f t="shared" si="1350"/>
        <v>0</v>
      </c>
      <c r="BV3102" s="214">
        <f t="shared" si="1350"/>
        <v>0</v>
      </c>
      <c r="BW3102" s="214">
        <f t="shared" si="1351"/>
        <v>0</v>
      </c>
      <c r="BX3102" s="214">
        <f t="shared" si="1351"/>
        <v>0</v>
      </c>
      <c r="BY3102" s="214">
        <f t="shared" si="1351"/>
        <v>0</v>
      </c>
      <c r="BZ3102" s="214">
        <f t="shared" si="1351"/>
        <v>0</v>
      </c>
      <c r="CA3102" s="214">
        <f t="shared" si="1351"/>
        <v>0</v>
      </c>
      <c r="CB3102" s="214">
        <f t="shared" si="1351"/>
        <v>0</v>
      </c>
      <c r="CC3102" s="214"/>
      <c r="CD3102" s="214"/>
      <c r="CE3102" s="230"/>
      <c r="CF3102" s="230"/>
      <c r="CG3102" s="230"/>
      <c r="CH3102" s="76"/>
      <c r="CI3102" s="76" t="str">
        <f t="shared" si="1347"/>
        <v>A2Accounts Receivable</v>
      </c>
      <c r="CJ3102" s="230"/>
      <c r="CK3102" s="230"/>
      <c r="CL3102" s="230"/>
      <c r="CM3102" s="231"/>
    </row>
    <row r="3103" spans="1:91">
      <c r="A3103" s="464"/>
      <c r="B3103" s="464"/>
      <c r="C3103" s="661" t="s">
        <v>2563</v>
      </c>
      <c r="D3103" s="689"/>
      <c r="E3103" s="422"/>
      <c r="F3103" s="422"/>
      <c r="G3103" s="461"/>
      <c r="H3103" s="678"/>
      <c r="I3103" s="462"/>
      <c r="J3103" s="462"/>
      <c r="K3103" s="422"/>
      <c r="L3103" s="689"/>
      <c r="M3103" s="422"/>
      <c r="N3103" s="463"/>
      <c r="O3103" s="463"/>
      <c r="P3103" s="689"/>
      <c r="Q3103" s="461"/>
      <c r="R3103" s="491"/>
      <c r="S3103" s="491"/>
      <c r="T3103" s="491"/>
      <c r="U3103" s="214"/>
      <c r="V3103" s="214"/>
      <c r="W3103" s="214"/>
      <c r="X3103" s="214">
        <f t="shared" si="1341"/>
        <v>37221.850392499997</v>
      </c>
      <c r="Y3103" s="214"/>
      <c r="Z3103" s="214"/>
      <c r="AA3103" s="214"/>
      <c r="AB3103" s="214">
        <f t="shared" si="1342"/>
        <v>50760.385519999996</v>
      </c>
      <c r="AC3103" s="214">
        <f t="shared" si="1342"/>
        <v>45990.60428</v>
      </c>
      <c r="AD3103" s="214">
        <f t="shared" si="1342"/>
        <v>59297.544699999999</v>
      </c>
      <c r="AE3103" s="214">
        <f t="shared" si="1342"/>
        <v>49944.804550000001</v>
      </c>
      <c r="AF3103" s="214">
        <f t="shared" si="1342"/>
        <v>47944.793440000001</v>
      </c>
      <c r="AG3103" s="214">
        <f t="shared" si="1342"/>
        <v>33400.99411</v>
      </c>
      <c r="AH3103" s="214">
        <f t="shared" si="1342"/>
        <v>33127.90238</v>
      </c>
      <c r="AI3103" s="214">
        <f t="shared" si="1342"/>
        <v>27990.382239999999</v>
      </c>
      <c r="AJ3103" s="214">
        <f t="shared" si="1342"/>
        <v>30128.221430000001</v>
      </c>
      <c r="AK3103" s="214">
        <f t="shared" si="1342"/>
        <v>27375.905249999996</v>
      </c>
      <c r="AL3103" s="214">
        <f t="shared" si="1342"/>
        <v>26416.753409999998</v>
      </c>
      <c r="AM3103" s="214">
        <f t="shared" si="1342"/>
        <v>26518.469249999998</v>
      </c>
      <c r="AN3103" s="214">
        <f t="shared" si="1342"/>
        <v>36140.939050000001</v>
      </c>
      <c r="AO3103" s="214">
        <f t="shared" si="1342"/>
        <v>50760.385519999996</v>
      </c>
      <c r="AP3103" s="214"/>
      <c r="AQ3103" s="214"/>
      <c r="AR3103" s="214"/>
      <c r="AS3103" s="214">
        <f t="shared" si="1348"/>
        <v>0</v>
      </c>
      <c r="AT3103" s="214">
        <f t="shared" si="1348"/>
        <v>0</v>
      </c>
      <c r="AU3103" s="214">
        <f t="shared" si="1348"/>
        <v>0</v>
      </c>
      <c r="AV3103" s="214">
        <f t="shared" si="1348"/>
        <v>0</v>
      </c>
      <c r="AW3103" s="214">
        <f t="shared" si="1348"/>
        <v>0</v>
      </c>
      <c r="AX3103" s="214">
        <f t="shared" si="1348"/>
        <v>0</v>
      </c>
      <c r="AY3103" s="214">
        <f t="shared" si="1348"/>
        <v>0</v>
      </c>
      <c r="AZ3103" s="214">
        <f t="shared" si="1348"/>
        <v>0</v>
      </c>
      <c r="BA3103" s="214">
        <f t="shared" si="1348"/>
        <v>0</v>
      </c>
      <c r="BB3103" s="214">
        <f t="shared" si="1348"/>
        <v>0</v>
      </c>
      <c r="BC3103" s="214">
        <f t="shared" si="1349"/>
        <v>0</v>
      </c>
      <c r="BD3103" s="214">
        <f t="shared" si="1349"/>
        <v>0</v>
      </c>
      <c r="BE3103" s="214">
        <f t="shared" si="1349"/>
        <v>0</v>
      </c>
      <c r="BF3103" s="214">
        <f t="shared" si="1349"/>
        <v>0</v>
      </c>
      <c r="BG3103" s="214">
        <f t="shared" si="1349"/>
        <v>0</v>
      </c>
      <c r="BH3103" s="214">
        <f t="shared" si="1349"/>
        <v>0</v>
      </c>
      <c r="BI3103" s="214">
        <f t="shared" si="1349"/>
        <v>0</v>
      </c>
      <c r="BJ3103" s="214">
        <f t="shared" si="1349"/>
        <v>0</v>
      </c>
      <c r="BK3103" s="214">
        <f t="shared" si="1349"/>
        <v>0</v>
      </c>
      <c r="BL3103" s="214">
        <f t="shared" si="1349"/>
        <v>0</v>
      </c>
      <c r="BM3103" s="214">
        <f t="shared" si="1350"/>
        <v>0</v>
      </c>
      <c r="BN3103" s="214">
        <f t="shared" si="1350"/>
        <v>0</v>
      </c>
      <c r="BO3103" s="214">
        <f t="shared" si="1350"/>
        <v>0</v>
      </c>
      <c r="BP3103" s="214">
        <f t="shared" si="1350"/>
        <v>0</v>
      </c>
      <c r="BQ3103" s="214">
        <f t="shared" si="1350"/>
        <v>0</v>
      </c>
      <c r="BR3103" s="214">
        <f t="shared" si="1350"/>
        <v>0</v>
      </c>
      <c r="BS3103" s="214">
        <f t="shared" si="1350"/>
        <v>0</v>
      </c>
      <c r="BT3103" s="214">
        <f t="shared" si="1350"/>
        <v>0</v>
      </c>
      <c r="BU3103" s="214">
        <f t="shared" si="1350"/>
        <v>0</v>
      </c>
      <c r="BV3103" s="214">
        <f t="shared" si="1350"/>
        <v>0</v>
      </c>
      <c r="BW3103" s="214">
        <f t="shared" si="1351"/>
        <v>0</v>
      </c>
      <c r="BX3103" s="214">
        <f t="shared" si="1351"/>
        <v>0</v>
      </c>
      <c r="BY3103" s="214">
        <f t="shared" si="1351"/>
        <v>0</v>
      </c>
      <c r="BZ3103" s="214">
        <f t="shared" si="1351"/>
        <v>0</v>
      </c>
      <c r="CA3103" s="214">
        <f t="shared" si="1351"/>
        <v>0</v>
      </c>
      <c r="CB3103" s="214">
        <f t="shared" si="1351"/>
        <v>0</v>
      </c>
      <c r="CC3103" s="214"/>
      <c r="CD3103" s="214"/>
      <c r="CE3103" s="230"/>
      <c r="CF3103" s="230"/>
      <c r="CG3103" s="230"/>
      <c r="CH3103" s="76"/>
      <c r="CI3103" s="76" t="str">
        <f t="shared" si="1347"/>
        <v>A2Unbilled Revenue</v>
      </c>
      <c r="CJ3103" s="230"/>
      <c r="CK3103" s="230"/>
      <c r="CL3103" s="230"/>
      <c r="CM3103" s="231"/>
    </row>
    <row r="3104" spans="1:91">
      <c r="A3104" s="464"/>
      <c r="B3104" s="464"/>
      <c r="C3104" s="661" t="s">
        <v>2556</v>
      </c>
      <c r="D3104" s="689"/>
      <c r="E3104" s="422"/>
      <c r="F3104" s="422"/>
      <c r="G3104" s="461"/>
      <c r="H3104" s="678"/>
      <c r="I3104" s="462"/>
      <c r="J3104" s="462"/>
      <c r="K3104" s="422"/>
      <c r="L3104" s="689"/>
      <c r="M3104" s="422"/>
      <c r="N3104" s="463"/>
      <c r="O3104" s="463"/>
      <c r="P3104" s="689"/>
      <c r="Q3104" s="461"/>
      <c r="R3104" s="491"/>
      <c r="S3104" s="491"/>
      <c r="T3104" s="491"/>
      <c r="U3104" s="214"/>
      <c r="V3104" s="214"/>
      <c r="W3104" s="214"/>
      <c r="X3104" s="214">
        <f t="shared" si="1341"/>
        <v>-84914.041640833326</v>
      </c>
      <c r="Y3104" s="214"/>
      <c r="Z3104" s="214"/>
      <c r="AA3104" s="214"/>
      <c r="AB3104" s="214">
        <f t="shared" si="1342"/>
        <v>-73728.646329999989</v>
      </c>
      <c r="AC3104" s="214">
        <f t="shared" si="1342"/>
        <v>-116418.85033000002</v>
      </c>
      <c r="AD3104" s="214">
        <f t="shared" si="1342"/>
        <v>-140009.48881000001</v>
      </c>
      <c r="AE3104" s="214">
        <f t="shared" si="1342"/>
        <v>-135814.63471000001</v>
      </c>
      <c r="AF3104" s="214">
        <f t="shared" si="1342"/>
        <v>-125973.90855999998</v>
      </c>
      <c r="AG3104" s="214">
        <f t="shared" si="1342"/>
        <v>-82301.456349999979</v>
      </c>
      <c r="AH3104" s="214">
        <f t="shared" si="1342"/>
        <v>-85485.781010000006</v>
      </c>
      <c r="AI3104" s="214">
        <f t="shared" si="1342"/>
        <v>-81398.226729999995</v>
      </c>
      <c r="AJ3104" s="214">
        <f t="shared" si="1342"/>
        <v>-69648.568699999989</v>
      </c>
      <c r="AK3104" s="214">
        <f t="shared" si="1342"/>
        <v>-75139.731329999981</v>
      </c>
      <c r="AL3104" s="214">
        <f t="shared" si="1342"/>
        <v>-43658.823149999997</v>
      </c>
      <c r="AM3104" s="214">
        <f t="shared" si="1342"/>
        <v>-36035.123529999975</v>
      </c>
      <c r="AN3104" s="214">
        <f t="shared" si="1342"/>
        <v>-48429.008479999997</v>
      </c>
      <c r="AO3104" s="214">
        <f t="shared" si="1342"/>
        <v>-73728.646329999989</v>
      </c>
      <c r="AP3104" s="214"/>
      <c r="AQ3104" s="214"/>
      <c r="AR3104" s="214"/>
      <c r="AS3104" s="214">
        <f t="shared" si="1348"/>
        <v>0</v>
      </c>
      <c r="AT3104" s="214">
        <f t="shared" si="1348"/>
        <v>0</v>
      </c>
      <c r="AU3104" s="214">
        <f t="shared" si="1348"/>
        <v>0</v>
      </c>
      <c r="AV3104" s="214">
        <f t="shared" si="1348"/>
        <v>0</v>
      </c>
      <c r="AW3104" s="214">
        <f t="shared" si="1348"/>
        <v>0</v>
      </c>
      <c r="AX3104" s="214">
        <f t="shared" si="1348"/>
        <v>0</v>
      </c>
      <c r="AY3104" s="214">
        <f t="shared" si="1348"/>
        <v>0</v>
      </c>
      <c r="AZ3104" s="214">
        <f t="shared" si="1348"/>
        <v>0</v>
      </c>
      <c r="BA3104" s="214">
        <f t="shared" si="1348"/>
        <v>0</v>
      </c>
      <c r="BB3104" s="214">
        <f t="shared" si="1348"/>
        <v>0</v>
      </c>
      <c r="BC3104" s="214">
        <f t="shared" si="1349"/>
        <v>0</v>
      </c>
      <c r="BD3104" s="214">
        <f t="shared" si="1349"/>
        <v>0</v>
      </c>
      <c r="BE3104" s="214">
        <f t="shared" si="1349"/>
        <v>0</v>
      </c>
      <c r="BF3104" s="214">
        <f t="shared" si="1349"/>
        <v>0</v>
      </c>
      <c r="BG3104" s="214">
        <f t="shared" si="1349"/>
        <v>0</v>
      </c>
      <c r="BH3104" s="214">
        <f t="shared" si="1349"/>
        <v>0</v>
      </c>
      <c r="BI3104" s="214">
        <f t="shared" si="1349"/>
        <v>0</v>
      </c>
      <c r="BJ3104" s="214">
        <f t="shared" si="1349"/>
        <v>0</v>
      </c>
      <c r="BK3104" s="214">
        <f t="shared" si="1349"/>
        <v>0</v>
      </c>
      <c r="BL3104" s="214">
        <f t="shared" si="1349"/>
        <v>0</v>
      </c>
      <c r="BM3104" s="214">
        <f t="shared" si="1350"/>
        <v>0</v>
      </c>
      <c r="BN3104" s="214">
        <f t="shared" si="1350"/>
        <v>0</v>
      </c>
      <c r="BO3104" s="214">
        <f t="shared" si="1350"/>
        <v>0</v>
      </c>
      <c r="BP3104" s="214">
        <f t="shared" si="1350"/>
        <v>0</v>
      </c>
      <c r="BQ3104" s="214">
        <f t="shared" si="1350"/>
        <v>0</v>
      </c>
      <c r="BR3104" s="214">
        <f t="shared" si="1350"/>
        <v>0</v>
      </c>
      <c r="BS3104" s="214">
        <f t="shared" si="1350"/>
        <v>0</v>
      </c>
      <c r="BT3104" s="214">
        <f t="shared" si="1350"/>
        <v>0</v>
      </c>
      <c r="BU3104" s="214">
        <f t="shared" si="1350"/>
        <v>0</v>
      </c>
      <c r="BV3104" s="214">
        <f t="shared" si="1350"/>
        <v>0</v>
      </c>
      <c r="BW3104" s="214">
        <f t="shared" si="1351"/>
        <v>0</v>
      </c>
      <c r="BX3104" s="214">
        <f t="shared" si="1351"/>
        <v>0</v>
      </c>
      <c r="BY3104" s="214">
        <f t="shared" si="1351"/>
        <v>0</v>
      </c>
      <c r="BZ3104" s="214">
        <f t="shared" si="1351"/>
        <v>0</v>
      </c>
      <c r="CA3104" s="214">
        <f t="shared" si="1351"/>
        <v>0</v>
      </c>
      <c r="CB3104" s="214">
        <f t="shared" si="1351"/>
        <v>0</v>
      </c>
      <c r="CC3104" s="214"/>
      <c r="CD3104" s="214"/>
      <c r="CE3104" s="230"/>
      <c r="CF3104" s="230"/>
      <c r="CG3104" s="230"/>
      <c r="CH3104" s="76"/>
      <c r="CI3104" s="76" t="str">
        <f t="shared" si="1347"/>
        <v>A2Accounts Payable</v>
      </c>
      <c r="CJ3104" s="230"/>
      <c r="CK3104" s="230"/>
      <c r="CL3104" s="230"/>
      <c r="CM3104" s="231"/>
    </row>
    <row r="3105" spans="1:91">
      <c r="A3105" s="464"/>
      <c r="B3105" s="464"/>
      <c r="C3105" s="661" t="s">
        <v>2428</v>
      </c>
      <c r="D3105" s="689"/>
      <c r="E3105" s="422"/>
      <c r="F3105" s="422"/>
      <c r="G3105" s="461"/>
      <c r="H3105" s="678"/>
      <c r="I3105" s="462"/>
      <c r="J3105" s="462"/>
      <c r="K3105" s="422"/>
      <c r="L3105" s="689"/>
      <c r="M3105" s="422"/>
      <c r="N3105" s="463"/>
      <c r="O3105" s="463"/>
      <c r="P3105" s="689"/>
      <c r="Q3105" s="461"/>
      <c r="R3105" s="491"/>
      <c r="S3105" s="491"/>
      <c r="T3105" s="491"/>
      <c r="U3105" s="214"/>
      <c r="V3105" s="214"/>
      <c r="W3105" s="214"/>
      <c r="X3105" s="214">
        <f t="shared" si="1341"/>
        <v>0</v>
      </c>
      <c r="Y3105" s="214"/>
      <c r="Z3105" s="214"/>
      <c r="AA3105" s="214"/>
      <c r="AB3105" s="214">
        <f t="shared" si="1342"/>
        <v>0</v>
      </c>
      <c r="AC3105" s="214">
        <f t="shared" si="1342"/>
        <v>0</v>
      </c>
      <c r="AD3105" s="214">
        <f t="shared" si="1342"/>
        <v>0</v>
      </c>
      <c r="AE3105" s="214">
        <f t="shared" si="1342"/>
        <v>0</v>
      </c>
      <c r="AF3105" s="214">
        <f t="shared" si="1342"/>
        <v>0</v>
      </c>
      <c r="AG3105" s="214">
        <f t="shared" si="1342"/>
        <v>0</v>
      </c>
      <c r="AH3105" s="214">
        <f t="shared" si="1342"/>
        <v>0</v>
      </c>
      <c r="AI3105" s="214">
        <f t="shared" si="1342"/>
        <v>0</v>
      </c>
      <c r="AJ3105" s="214">
        <f t="shared" si="1342"/>
        <v>0</v>
      </c>
      <c r="AK3105" s="214">
        <f t="shared" si="1342"/>
        <v>0</v>
      </c>
      <c r="AL3105" s="214">
        <f t="shared" si="1342"/>
        <v>0</v>
      </c>
      <c r="AM3105" s="214">
        <f t="shared" si="1342"/>
        <v>0</v>
      </c>
      <c r="AN3105" s="214">
        <f t="shared" si="1342"/>
        <v>0</v>
      </c>
      <c r="AO3105" s="214">
        <f t="shared" si="1342"/>
        <v>0</v>
      </c>
      <c r="AP3105" s="214"/>
      <c r="AQ3105" s="214"/>
      <c r="AR3105" s="214"/>
      <c r="AS3105" s="214">
        <f t="shared" si="1348"/>
        <v>0</v>
      </c>
      <c r="AT3105" s="214">
        <f t="shared" si="1348"/>
        <v>0</v>
      </c>
      <c r="AU3105" s="214">
        <f t="shared" si="1348"/>
        <v>0</v>
      </c>
      <c r="AV3105" s="214">
        <f t="shared" si="1348"/>
        <v>0</v>
      </c>
      <c r="AW3105" s="214">
        <f t="shared" si="1348"/>
        <v>0</v>
      </c>
      <c r="AX3105" s="214">
        <f t="shared" si="1348"/>
        <v>0</v>
      </c>
      <c r="AY3105" s="214">
        <f t="shared" si="1348"/>
        <v>0</v>
      </c>
      <c r="AZ3105" s="214">
        <f t="shared" si="1348"/>
        <v>0</v>
      </c>
      <c r="BA3105" s="214">
        <f t="shared" si="1348"/>
        <v>0</v>
      </c>
      <c r="BB3105" s="214">
        <f t="shared" si="1348"/>
        <v>0</v>
      </c>
      <c r="BC3105" s="214">
        <f t="shared" si="1349"/>
        <v>0</v>
      </c>
      <c r="BD3105" s="214">
        <f t="shared" si="1349"/>
        <v>0</v>
      </c>
      <c r="BE3105" s="214">
        <f t="shared" si="1349"/>
        <v>0</v>
      </c>
      <c r="BF3105" s="214">
        <f t="shared" si="1349"/>
        <v>0</v>
      </c>
      <c r="BG3105" s="214">
        <f t="shared" si="1349"/>
        <v>0</v>
      </c>
      <c r="BH3105" s="214">
        <f t="shared" si="1349"/>
        <v>0</v>
      </c>
      <c r="BI3105" s="214">
        <f t="shared" si="1349"/>
        <v>0</v>
      </c>
      <c r="BJ3105" s="214">
        <f t="shared" si="1349"/>
        <v>0</v>
      </c>
      <c r="BK3105" s="214">
        <f t="shared" si="1349"/>
        <v>0</v>
      </c>
      <c r="BL3105" s="214">
        <f t="shared" si="1349"/>
        <v>0</v>
      </c>
      <c r="BM3105" s="214">
        <f t="shared" si="1350"/>
        <v>0</v>
      </c>
      <c r="BN3105" s="214">
        <f t="shared" si="1350"/>
        <v>0</v>
      </c>
      <c r="BO3105" s="214">
        <f t="shared" si="1350"/>
        <v>0</v>
      </c>
      <c r="BP3105" s="214">
        <f t="shared" si="1350"/>
        <v>0</v>
      </c>
      <c r="BQ3105" s="214">
        <f t="shared" si="1350"/>
        <v>0</v>
      </c>
      <c r="BR3105" s="214">
        <f t="shared" si="1350"/>
        <v>0</v>
      </c>
      <c r="BS3105" s="214">
        <f t="shared" si="1350"/>
        <v>0</v>
      </c>
      <c r="BT3105" s="214">
        <f t="shared" si="1350"/>
        <v>0</v>
      </c>
      <c r="BU3105" s="214">
        <f t="shared" si="1350"/>
        <v>0</v>
      </c>
      <c r="BV3105" s="214">
        <f t="shared" si="1350"/>
        <v>0</v>
      </c>
      <c r="BW3105" s="214">
        <f t="shared" si="1351"/>
        <v>0</v>
      </c>
      <c r="BX3105" s="214">
        <f t="shared" si="1351"/>
        <v>0</v>
      </c>
      <c r="BY3105" s="214">
        <f t="shared" si="1351"/>
        <v>0</v>
      </c>
      <c r="BZ3105" s="214">
        <f t="shared" si="1351"/>
        <v>0</v>
      </c>
      <c r="CA3105" s="214">
        <f t="shared" si="1351"/>
        <v>0</v>
      </c>
      <c r="CB3105" s="214">
        <f t="shared" si="1351"/>
        <v>0</v>
      </c>
      <c r="CC3105" s="214"/>
      <c r="CD3105" s="214"/>
      <c r="CE3105" s="230"/>
      <c r="CF3105" s="230"/>
      <c r="CG3105" s="230"/>
      <c r="CH3105" s="76"/>
      <c r="CI3105" s="76" t="str">
        <f>CONCATENATE("A2",C3105)</f>
        <v>A2Hedges &amp; OCI</v>
      </c>
      <c r="CJ3105" s="230"/>
      <c r="CK3105" s="230"/>
      <c r="CL3105" s="230"/>
      <c r="CM3105" s="231"/>
    </row>
    <row r="3106" spans="1:91">
      <c r="A3106" s="464"/>
      <c r="B3106" s="464"/>
      <c r="C3106" s="661" t="s">
        <v>1829</v>
      </c>
      <c r="D3106" s="689"/>
      <c r="E3106" s="422"/>
      <c r="F3106" s="422"/>
      <c r="G3106" s="461"/>
      <c r="H3106" s="678"/>
      <c r="I3106" s="462"/>
      <c r="J3106" s="462"/>
      <c r="K3106" s="422"/>
      <c r="L3106" s="689"/>
      <c r="M3106" s="422"/>
      <c r="N3106" s="463"/>
      <c r="O3106" s="463"/>
      <c r="P3106" s="689"/>
      <c r="Q3106" s="461"/>
      <c r="R3106" s="491"/>
      <c r="S3106" s="491"/>
      <c r="T3106" s="491"/>
      <c r="U3106" s="214"/>
      <c r="V3106" s="214"/>
      <c r="W3106" s="214"/>
      <c r="X3106" s="214">
        <f t="shared" si="1341"/>
        <v>-28546.772346666632</v>
      </c>
      <c r="Y3106" s="214"/>
      <c r="Z3106" s="214"/>
      <c r="AA3106" s="214"/>
      <c r="AB3106" s="214">
        <f t="shared" si="1342"/>
        <v>-22499</v>
      </c>
      <c r="AC3106" s="214">
        <f t="shared" si="1342"/>
        <v>-24625</v>
      </c>
      <c r="AD3106" s="214">
        <f t="shared" si="1342"/>
        <v>-26018</v>
      </c>
      <c r="AE3106" s="214">
        <f t="shared" si="1342"/>
        <v>-27639</v>
      </c>
      <c r="AF3106" s="214">
        <f t="shared" si="1342"/>
        <v>-28557</v>
      </c>
      <c r="AG3106" s="214">
        <f t="shared" si="1342"/>
        <v>-30499.26816</v>
      </c>
      <c r="AH3106" s="214">
        <f t="shared" si="1342"/>
        <v>-30615</v>
      </c>
      <c r="AI3106" s="214">
        <f t="shared" si="1342"/>
        <v>-30422</v>
      </c>
      <c r="AJ3106" s="214">
        <f t="shared" si="1342"/>
        <v>-29923</v>
      </c>
      <c r="AK3106" s="214">
        <f t="shared" si="1342"/>
        <v>-29374</v>
      </c>
      <c r="AL3106" s="214">
        <f t="shared" si="1342"/>
        <v>-28660</v>
      </c>
      <c r="AM3106" s="214">
        <f t="shared" si="1342"/>
        <v>-28613</v>
      </c>
      <c r="AN3106" s="214">
        <f t="shared" si="1342"/>
        <v>-28679</v>
      </c>
      <c r="AO3106" s="214">
        <f t="shared" si="1342"/>
        <v>-22499</v>
      </c>
      <c r="AP3106" s="214"/>
      <c r="AQ3106" s="214"/>
      <c r="AR3106" s="214"/>
      <c r="AS3106" s="214">
        <f t="shared" si="1348"/>
        <v>0</v>
      </c>
      <c r="AT3106" s="214">
        <f t="shared" si="1348"/>
        <v>0</v>
      </c>
      <c r="AU3106" s="214">
        <f t="shared" si="1348"/>
        <v>0</v>
      </c>
      <c r="AV3106" s="214">
        <f t="shared" si="1348"/>
        <v>0</v>
      </c>
      <c r="AW3106" s="214">
        <f t="shared" si="1348"/>
        <v>0</v>
      </c>
      <c r="AX3106" s="214">
        <f t="shared" si="1348"/>
        <v>0</v>
      </c>
      <c r="AY3106" s="214">
        <f t="shared" si="1348"/>
        <v>0</v>
      </c>
      <c r="AZ3106" s="214">
        <f t="shared" si="1348"/>
        <v>0</v>
      </c>
      <c r="BA3106" s="214">
        <f t="shared" si="1348"/>
        <v>0</v>
      </c>
      <c r="BB3106" s="214">
        <f t="shared" si="1348"/>
        <v>0</v>
      </c>
      <c r="BC3106" s="214">
        <f t="shared" si="1349"/>
        <v>0</v>
      </c>
      <c r="BD3106" s="214">
        <f t="shared" si="1349"/>
        <v>0</v>
      </c>
      <c r="BE3106" s="214">
        <f t="shared" si="1349"/>
        <v>0</v>
      </c>
      <c r="BF3106" s="214">
        <f t="shared" si="1349"/>
        <v>0</v>
      </c>
      <c r="BG3106" s="214">
        <f t="shared" si="1349"/>
        <v>0</v>
      </c>
      <c r="BH3106" s="214">
        <f t="shared" si="1349"/>
        <v>0</v>
      </c>
      <c r="BI3106" s="214">
        <f t="shared" si="1349"/>
        <v>0</v>
      </c>
      <c r="BJ3106" s="214">
        <f t="shared" si="1349"/>
        <v>0</v>
      </c>
      <c r="BK3106" s="214">
        <f t="shared" si="1349"/>
        <v>0</v>
      </c>
      <c r="BL3106" s="214">
        <f t="shared" si="1349"/>
        <v>0</v>
      </c>
      <c r="BM3106" s="214">
        <f t="shared" si="1350"/>
        <v>0</v>
      </c>
      <c r="BN3106" s="214">
        <f t="shared" si="1350"/>
        <v>0</v>
      </c>
      <c r="BO3106" s="214">
        <f t="shared" si="1350"/>
        <v>0</v>
      </c>
      <c r="BP3106" s="214">
        <f t="shared" si="1350"/>
        <v>0</v>
      </c>
      <c r="BQ3106" s="214">
        <f t="shared" si="1350"/>
        <v>0</v>
      </c>
      <c r="BR3106" s="214">
        <f t="shared" si="1350"/>
        <v>0</v>
      </c>
      <c r="BS3106" s="214">
        <f t="shared" si="1350"/>
        <v>0</v>
      </c>
      <c r="BT3106" s="214">
        <f t="shared" si="1350"/>
        <v>0</v>
      </c>
      <c r="BU3106" s="214">
        <f t="shared" si="1350"/>
        <v>0</v>
      </c>
      <c r="BV3106" s="214">
        <f t="shared" si="1350"/>
        <v>0</v>
      </c>
      <c r="BW3106" s="214">
        <f t="shared" si="1351"/>
        <v>0</v>
      </c>
      <c r="BX3106" s="214">
        <f t="shared" si="1351"/>
        <v>0</v>
      </c>
      <c r="BY3106" s="214">
        <f t="shared" si="1351"/>
        <v>0</v>
      </c>
      <c r="BZ3106" s="214">
        <f t="shared" si="1351"/>
        <v>0</v>
      </c>
      <c r="CA3106" s="214">
        <f t="shared" si="1351"/>
        <v>0</v>
      </c>
      <c r="CB3106" s="214">
        <f t="shared" si="1351"/>
        <v>0</v>
      </c>
      <c r="CC3106" s="214"/>
      <c r="CD3106" s="214"/>
      <c r="CE3106" s="230"/>
      <c r="CF3106" s="230"/>
      <c r="CG3106" s="230"/>
      <c r="CH3106" s="76"/>
      <c r="CI3106" s="76" t="str">
        <f t="shared" si="1347"/>
        <v>A2Bad Debts</v>
      </c>
      <c r="CJ3106" s="230"/>
      <c r="CK3106" s="230"/>
      <c r="CL3106" s="230"/>
      <c r="CM3106" s="231"/>
    </row>
    <row r="3107" spans="1:91">
      <c r="A3107" s="464"/>
      <c r="B3107" s="464"/>
      <c r="C3107" s="661" t="s">
        <v>2698</v>
      </c>
      <c r="D3107" s="689"/>
      <c r="E3107" s="422"/>
      <c r="F3107" s="422"/>
      <c r="G3107" s="461"/>
      <c r="H3107" s="678"/>
      <c r="I3107" s="462"/>
      <c r="J3107" s="462"/>
      <c r="K3107" s="422"/>
      <c r="L3107" s="689"/>
      <c r="M3107" s="422"/>
      <c r="N3107" s="463"/>
      <c r="O3107" s="463"/>
      <c r="P3107" s="689"/>
      <c r="Q3107" s="461"/>
      <c r="R3107" s="491"/>
      <c r="S3107" s="491"/>
      <c r="T3107" s="491"/>
      <c r="U3107" s="214"/>
      <c r="V3107" s="214"/>
      <c r="W3107" s="214"/>
      <c r="X3107" s="214">
        <f t="shared" si="1341"/>
        <v>0</v>
      </c>
      <c r="Y3107" s="214"/>
      <c r="Z3107" s="214"/>
      <c r="AA3107" s="214"/>
      <c r="AB3107" s="214">
        <f t="shared" ref="AB3107:AO3114" si="1352">SUMIF($AR:$AR,$CI3107,AB:AB)</f>
        <v>0</v>
      </c>
      <c r="AC3107" s="214">
        <f t="shared" si="1352"/>
        <v>0</v>
      </c>
      <c r="AD3107" s="214">
        <f t="shared" si="1352"/>
        <v>0</v>
      </c>
      <c r="AE3107" s="214">
        <f t="shared" si="1352"/>
        <v>0</v>
      </c>
      <c r="AF3107" s="214">
        <f t="shared" si="1352"/>
        <v>0</v>
      </c>
      <c r="AG3107" s="214">
        <f t="shared" si="1352"/>
        <v>0</v>
      </c>
      <c r="AH3107" s="214">
        <f t="shared" si="1352"/>
        <v>0</v>
      </c>
      <c r="AI3107" s="214">
        <f t="shared" si="1352"/>
        <v>0</v>
      </c>
      <c r="AJ3107" s="214">
        <f t="shared" si="1352"/>
        <v>0</v>
      </c>
      <c r="AK3107" s="214">
        <f t="shared" si="1352"/>
        <v>0</v>
      </c>
      <c r="AL3107" s="214">
        <f t="shared" si="1352"/>
        <v>0</v>
      </c>
      <c r="AM3107" s="214">
        <f t="shared" si="1352"/>
        <v>0</v>
      </c>
      <c r="AN3107" s="214">
        <f t="shared" si="1352"/>
        <v>0</v>
      </c>
      <c r="AO3107" s="214">
        <f t="shared" si="1352"/>
        <v>0</v>
      </c>
      <c r="AP3107" s="214"/>
      <c r="AQ3107" s="214"/>
      <c r="AR3107" s="214"/>
      <c r="AS3107" s="214">
        <f t="shared" si="1348"/>
        <v>0</v>
      </c>
      <c r="AT3107" s="214">
        <f t="shared" si="1348"/>
        <v>0</v>
      </c>
      <c r="AU3107" s="214">
        <f t="shared" si="1348"/>
        <v>0</v>
      </c>
      <c r="AV3107" s="214">
        <f t="shared" si="1348"/>
        <v>0</v>
      </c>
      <c r="AW3107" s="214">
        <f t="shared" si="1348"/>
        <v>0</v>
      </c>
      <c r="AX3107" s="214">
        <f t="shared" si="1348"/>
        <v>0</v>
      </c>
      <c r="AY3107" s="214">
        <f t="shared" si="1348"/>
        <v>0</v>
      </c>
      <c r="AZ3107" s="214">
        <f t="shared" si="1348"/>
        <v>0</v>
      </c>
      <c r="BA3107" s="214">
        <f t="shared" si="1348"/>
        <v>0</v>
      </c>
      <c r="BB3107" s="214">
        <f t="shared" si="1348"/>
        <v>0</v>
      </c>
      <c r="BC3107" s="214">
        <f t="shared" si="1349"/>
        <v>0</v>
      </c>
      <c r="BD3107" s="214">
        <f t="shared" si="1349"/>
        <v>0</v>
      </c>
      <c r="BE3107" s="214">
        <f t="shared" si="1349"/>
        <v>0</v>
      </c>
      <c r="BF3107" s="214">
        <f t="shared" si="1349"/>
        <v>0</v>
      </c>
      <c r="BG3107" s="214">
        <f t="shared" si="1349"/>
        <v>0</v>
      </c>
      <c r="BH3107" s="214">
        <f t="shared" si="1349"/>
        <v>0</v>
      </c>
      <c r="BI3107" s="214">
        <f t="shared" si="1349"/>
        <v>0</v>
      </c>
      <c r="BJ3107" s="214">
        <f t="shared" si="1349"/>
        <v>0</v>
      </c>
      <c r="BK3107" s="214">
        <f t="shared" si="1349"/>
        <v>0</v>
      </c>
      <c r="BL3107" s="214">
        <f t="shared" si="1349"/>
        <v>0</v>
      </c>
      <c r="BM3107" s="214">
        <f t="shared" si="1350"/>
        <v>0</v>
      </c>
      <c r="BN3107" s="214">
        <f t="shared" si="1350"/>
        <v>0</v>
      </c>
      <c r="BO3107" s="214">
        <f t="shared" si="1350"/>
        <v>0</v>
      </c>
      <c r="BP3107" s="214">
        <f t="shared" si="1350"/>
        <v>0</v>
      </c>
      <c r="BQ3107" s="214">
        <f t="shared" si="1350"/>
        <v>0</v>
      </c>
      <c r="BR3107" s="214">
        <f t="shared" si="1350"/>
        <v>0</v>
      </c>
      <c r="BS3107" s="214">
        <f t="shared" si="1350"/>
        <v>0</v>
      </c>
      <c r="BT3107" s="214">
        <f t="shared" si="1350"/>
        <v>0</v>
      </c>
      <c r="BU3107" s="214">
        <f t="shared" si="1350"/>
        <v>0</v>
      </c>
      <c r="BV3107" s="214">
        <f t="shared" si="1350"/>
        <v>0</v>
      </c>
      <c r="BW3107" s="214">
        <f t="shared" si="1351"/>
        <v>0</v>
      </c>
      <c r="BX3107" s="214">
        <f t="shared" si="1351"/>
        <v>0</v>
      </c>
      <c r="BY3107" s="214">
        <f t="shared" si="1351"/>
        <v>0</v>
      </c>
      <c r="BZ3107" s="214">
        <f t="shared" si="1351"/>
        <v>0</v>
      </c>
      <c r="CA3107" s="214">
        <f t="shared" si="1351"/>
        <v>0</v>
      </c>
      <c r="CB3107" s="214">
        <f t="shared" si="1351"/>
        <v>0</v>
      </c>
      <c r="CC3107" s="214"/>
      <c r="CD3107" s="214"/>
      <c r="CE3107" s="230"/>
      <c r="CF3107" s="230"/>
      <c r="CG3107" s="230"/>
      <c r="CH3107" s="76"/>
      <c r="CI3107" s="76" t="str">
        <f t="shared" si="1347"/>
        <v>A2A&amp;S CHIP</v>
      </c>
      <c r="CJ3107" s="230"/>
      <c r="CK3107" s="230"/>
      <c r="CL3107" s="230"/>
      <c r="CM3107" s="231"/>
    </row>
    <row r="3108" spans="1:91">
      <c r="A3108" s="464"/>
      <c r="B3108" s="464"/>
      <c r="C3108" s="661" t="s">
        <v>2562</v>
      </c>
      <c r="D3108" s="689"/>
      <c r="E3108" s="422"/>
      <c r="F3108" s="422"/>
      <c r="G3108" s="461"/>
      <c r="H3108" s="678"/>
      <c r="I3108" s="462"/>
      <c r="J3108" s="462"/>
      <c r="K3108" s="422"/>
      <c r="L3108" s="689"/>
      <c r="M3108" s="422"/>
      <c r="N3108" s="463"/>
      <c r="O3108" s="463"/>
      <c r="P3108" s="689"/>
      <c r="Q3108" s="461"/>
      <c r="R3108" s="491"/>
      <c r="S3108" s="491"/>
      <c r="T3108" s="491"/>
      <c r="U3108" s="214"/>
      <c r="V3108" s="214"/>
      <c r="W3108" s="214"/>
      <c r="X3108" s="214">
        <f t="shared" si="1341"/>
        <v>0</v>
      </c>
      <c r="Y3108" s="214"/>
      <c r="Z3108" s="214"/>
      <c r="AA3108" s="214"/>
      <c r="AB3108" s="214">
        <f t="shared" si="1352"/>
        <v>0</v>
      </c>
      <c r="AC3108" s="214">
        <f t="shared" si="1352"/>
        <v>0</v>
      </c>
      <c r="AD3108" s="214">
        <f t="shared" si="1352"/>
        <v>0</v>
      </c>
      <c r="AE3108" s="214">
        <f t="shared" si="1352"/>
        <v>0</v>
      </c>
      <c r="AF3108" s="214">
        <f t="shared" si="1352"/>
        <v>0</v>
      </c>
      <c r="AG3108" s="214">
        <f t="shared" si="1352"/>
        <v>0</v>
      </c>
      <c r="AH3108" s="214">
        <f t="shared" si="1352"/>
        <v>0</v>
      </c>
      <c r="AI3108" s="214">
        <f t="shared" si="1352"/>
        <v>0</v>
      </c>
      <c r="AJ3108" s="214">
        <f t="shared" si="1352"/>
        <v>0</v>
      </c>
      <c r="AK3108" s="214">
        <f t="shared" si="1352"/>
        <v>0</v>
      </c>
      <c r="AL3108" s="214">
        <f t="shared" si="1352"/>
        <v>0</v>
      </c>
      <c r="AM3108" s="214">
        <f t="shared" si="1352"/>
        <v>0</v>
      </c>
      <c r="AN3108" s="214">
        <f t="shared" si="1352"/>
        <v>0</v>
      </c>
      <c r="AO3108" s="214">
        <f t="shared" si="1352"/>
        <v>0</v>
      </c>
      <c r="AP3108" s="214"/>
      <c r="AQ3108" s="214"/>
      <c r="AR3108" s="214"/>
      <c r="AS3108" s="214">
        <f t="shared" si="1348"/>
        <v>0</v>
      </c>
      <c r="AT3108" s="214">
        <f t="shared" si="1348"/>
        <v>0</v>
      </c>
      <c r="AU3108" s="214">
        <f t="shared" si="1348"/>
        <v>0</v>
      </c>
      <c r="AV3108" s="214">
        <f t="shared" si="1348"/>
        <v>0</v>
      </c>
      <c r="AW3108" s="214">
        <f t="shared" si="1348"/>
        <v>0</v>
      </c>
      <c r="AX3108" s="214">
        <f t="shared" si="1348"/>
        <v>0</v>
      </c>
      <c r="AY3108" s="214">
        <f t="shared" si="1348"/>
        <v>0</v>
      </c>
      <c r="AZ3108" s="214">
        <f t="shared" si="1348"/>
        <v>0</v>
      </c>
      <c r="BA3108" s="214">
        <f t="shared" si="1348"/>
        <v>0</v>
      </c>
      <c r="BB3108" s="214">
        <f t="shared" si="1348"/>
        <v>0</v>
      </c>
      <c r="BC3108" s="214">
        <f t="shared" si="1349"/>
        <v>0</v>
      </c>
      <c r="BD3108" s="214">
        <f t="shared" si="1349"/>
        <v>0</v>
      </c>
      <c r="BE3108" s="214">
        <f t="shared" si="1349"/>
        <v>0</v>
      </c>
      <c r="BF3108" s="214">
        <f t="shared" si="1349"/>
        <v>0</v>
      </c>
      <c r="BG3108" s="214">
        <f t="shared" si="1349"/>
        <v>0</v>
      </c>
      <c r="BH3108" s="214">
        <f t="shared" si="1349"/>
        <v>0</v>
      </c>
      <c r="BI3108" s="214">
        <f t="shared" si="1349"/>
        <v>0</v>
      </c>
      <c r="BJ3108" s="214">
        <f t="shared" si="1349"/>
        <v>0</v>
      </c>
      <c r="BK3108" s="214">
        <f t="shared" si="1349"/>
        <v>0</v>
      </c>
      <c r="BL3108" s="214">
        <f t="shared" si="1349"/>
        <v>0</v>
      </c>
      <c r="BM3108" s="214">
        <f t="shared" si="1350"/>
        <v>0</v>
      </c>
      <c r="BN3108" s="214">
        <f t="shared" si="1350"/>
        <v>0</v>
      </c>
      <c r="BO3108" s="214">
        <f t="shared" si="1350"/>
        <v>0</v>
      </c>
      <c r="BP3108" s="214">
        <f t="shared" si="1350"/>
        <v>0</v>
      </c>
      <c r="BQ3108" s="214">
        <f t="shared" si="1350"/>
        <v>0</v>
      </c>
      <c r="BR3108" s="214">
        <f t="shared" si="1350"/>
        <v>0</v>
      </c>
      <c r="BS3108" s="214">
        <f t="shared" si="1350"/>
        <v>0</v>
      </c>
      <c r="BT3108" s="214">
        <f t="shared" si="1350"/>
        <v>0</v>
      </c>
      <c r="BU3108" s="214">
        <f t="shared" si="1350"/>
        <v>0</v>
      </c>
      <c r="BV3108" s="214">
        <f t="shared" si="1350"/>
        <v>0</v>
      </c>
      <c r="BW3108" s="214">
        <f t="shared" si="1351"/>
        <v>0</v>
      </c>
      <c r="BX3108" s="214">
        <f t="shared" si="1351"/>
        <v>0</v>
      </c>
      <c r="BY3108" s="214">
        <f t="shared" si="1351"/>
        <v>0</v>
      </c>
      <c r="BZ3108" s="214">
        <f t="shared" si="1351"/>
        <v>0</v>
      </c>
      <c r="CA3108" s="214">
        <f t="shared" si="1351"/>
        <v>0</v>
      </c>
      <c r="CB3108" s="214">
        <f t="shared" si="1351"/>
        <v>0</v>
      </c>
      <c r="CC3108" s="214"/>
      <c r="CD3108" s="214"/>
      <c r="CE3108" s="230"/>
      <c r="CF3108" s="230"/>
      <c r="CG3108" s="230"/>
      <c r="CH3108" s="76"/>
      <c r="CI3108" s="76" t="str">
        <f t="shared" si="1347"/>
        <v>A2Workman's Comp Reserve</v>
      </c>
      <c r="CJ3108" s="230"/>
      <c r="CK3108" s="230"/>
      <c r="CL3108" s="230"/>
      <c r="CM3108" s="231"/>
    </row>
    <row r="3109" spans="1:91">
      <c r="A3109" s="464"/>
      <c r="B3109" s="464"/>
      <c r="C3109" s="661" t="s">
        <v>1131</v>
      </c>
      <c r="D3109" s="689"/>
      <c r="E3109" s="422"/>
      <c r="F3109" s="422"/>
      <c r="G3109" s="461"/>
      <c r="H3109" s="678"/>
      <c r="I3109" s="462"/>
      <c r="J3109" s="462"/>
      <c r="K3109" s="422"/>
      <c r="L3109" s="689"/>
      <c r="M3109" s="422"/>
      <c r="N3109" s="463"/>
      <c r="O3109" s="463"/>
      <c r="P3109" s="689"/>
      <c r="Q3109" s="461"/>
      <c r="R3109" s="491"/>
      <c r="S3109" s="491"/>
      <c r="T3109" s="491"/>
      <c r="U3109" s="214"/>
      <c r="V3109" s="214"/>
      <c r="W3109" s="214"/>
      <c r="X3109" s="214">
        <f t="shared" si="1341"/>
        <v>-14523.603492916671</v>
      </c>
      <c r="Y3109" s="214"/>
      <c r="Z3109" s="214"/>
      <c r="AA3109" s="214"/>
      <c r="AB3109" s="214">
        <f t="shared" si="1352"/>
        <v>-83.397790000000001</v>
      </c>
      <c r="AC3109" s="214">
        <f t="shared" si="1352"/>
        <v>-17276.91906</v>
      </c>
      <c r="AD3109" s="214">
        <f t="shared" si="1352"/>
        <v>-19374.621429999999</v>
      </c>
      <c r="AE3109" s="214">
        <f t="shared" si="1352"/>
        <v>-22127.198779999999</v>
      </c>
      <c r="AF3109" s="214">
        <f t="shared" si="1352"/>
        <v>-18403.835179999998</v>
      </c>
      <c r="AG3109" s="214">
        <f t="shared" si="1352"/>
        <v>-19993.740329999997</v>
      </c>
      <c r="AH3109" s="214">
        <f t="shared" si="1352"/>
        <v>-21318.614519999999</v>
      </c>
      <c r="AI3109" s="214">
        <f t="shared" si="1352"/>
        <v>-18338.636619999997</v>
      </c>
      <c r="AJ3109" s="214">
        <f t="shared" si="1352"/>
        <v>-19952.271280000001</v>
      </c>
      <c r="AK3109" s="214">
        <f t="shared" si="1352"/>
        <v>-21440.595730000001</v>
      </c>
      <c r="AL3109" s="214">
        <f t="shared" si="1352"/>
        <v>-83.398790000000005</v>
      </c>
      <c r="AM3109" s="214">
        <f t="shared" si="1352"/>
        <v>-1529.71579</v>
      </c>
      <c r="AN3109" s="214">
        <f t="shared" si="1352"/>
        <v>-3040.4550399999998</v>
      </c>
      <c r="AO3109" s="214">
        <f t="shared" si="1352"/>
        <v>-83.397790000000001</v>
      </c>
      <c r="AP3109" s="214"/>
      <c r="AQ3109" s="214"/>
      <c r="AR3109" s="214"/>
      <c r="AS3109" s="214">
        <f t="shared" si="1348"/>
        <v>0</v>
      </c>
      <c r="AT3109" s="214">
        <f t="shared" si="1348"/>
        <v>0</v>
      </c>
      <c r="AU3109" s="214">
        <f t="shared" si="1348"/>
        <v>0</v>
      </c>
      <c r="AV3109" s="214">
        <f t="shared" si="1348"/>
        <v>0</v>
      </c>
      <c r="AW3109" s="214">
        <f t="shared" si="1348"/>
        <v>0</v>
      </c>
      <c r="AX3109" s="214">
        <f t="shared" si="1348"/>
        <v>0</v>
      </c>
      <c r="AY3109" s="214">
        <f t="shared" si="1348"/>
        <v>0</v>
      </c>
      <c r="AZ3109" s="214">
        <f t="shared" si="1348"/>
        <v>0</v>
      </c>
      <c r="BA3109" s="214">
        <f t="shared" si="1348"/>
        <v>0</v>
      </c>
      <c r="BB3109" s="214">
        <f t="shared" si="1348"/>
        <v>0</v>
      </c>
      <c r="BC3109" s="214">
        <f t="shared" si="1349"/>
        <v>0</v>
      </c>
      <c r="BD3109" s="214">
        <f t="shared" si="1349"/>
        <v>0</v>
      </c>
      <c r="BE3109" s="214">
        <f t="shared" si="1349"/>
        <v>0</v>
      </c>
      <c r="BF3109" s="214">
        <f t="shared" si="1349"/>
        <v>0</v>
      </c>
      <c r="BG3109" s="214">
        <f t="shared" si="1349"/>
        <v>0</v>
      </c>
      <c r="BH3109" s="214">
        <f t="shared" si="1349"/>
        <v>0</v>
      </c>
      <c r="BI3109" s="214">
        <f t="shared" si="1349"/>
        <v>0</v>
      </c>
      <c r="BJ3109" s="214">
        <f t="shared" si="1349"/>
        <v>0</v>
      </c>
      <c r="BK3109" s="214">
        <f t="shared" si="1349"/>
        <v>0</v>
      </c>
      <c r="BL3109" s="214">
        <f t="shared" si="1349"/>
        <v>0</v>
      </c>
      <c r="BM3109" s="214">
        <f t="shared" si="1350"/>
        <v>0</v>
      </c>
      <c r="BN3109" s="214">
        <f t="shared" si="1350"/>
        <v>0</v>
      </c>
      <c r="BO3109" s="214">
        <f t="shared" si="1350"/>
        <v>0</v>
      </c>
      <c r="BP3109" s="214">
        <f t="shared" si="1350"/>
        <v>0</v>
      </c>
      <c r="BQ3109" s="214">
        <f t="shared" si="1350"/>
        <v>0</v>
      </c>
      <c r="BR3109" s="214">
        <f t="shared" si="1350"/>
        <v>0</v>
      </c>
      <c r="BS3109" s="214">
        <f t="shared" si="1350"/>
        <v>0</v>
      </c>
      <c r="BT3109" s="214">
        <f t="shared" si="1350"/>
        <v>0</v>
      </c>
      <c r="BU3109" s="214">
        <f t="shared" si="1350"/>
        <v>0</v>
      </c>
      <c r="BV3109" s="214">
        <f t="shared" si="1350"/>
        <v>0</v>
      </c>
      <c r="BW3109" s="214">
        <f t="shared" si="1351"/>
        <v>0</v>
      </c>
      <c r="BX3109" s="214">
        <f t="shared" si="1351"/>
        <v>0</v>
      </c>
      <c r="BY3109" s="214">
        <f t="shared" si="1351"/>
        <v>0</v>
      </c>
      <c r="BZ3109" s="214">
        <f t="shared" si="1351"/>
        <v>0</v>
      </c>
      <c r="CA3109" s="214">
        <f t="shared" si="1351"/>
        <v>0</v>
      </c>
      <c r="CB3109" s="214">
        <f t="shared" si="1351"/>
        <v>0</v>
      </c>
      <c r="CC3109" s="214"/>
      <c r="CD3109" s="214"/>
      <c r="CE3109" s="230"/>
      <c r="CF3109" s="230"/>
      <c r="CG3109" s="230"/>
      <c r="CH3109" s="76"/>
      <c r="CI3109" s="76" t="str">
        <f t="shared" si="1347"/>
        <v>A2Energy Efficiency Portfolio Standard</v>
      </c>
      <c r="CJ3109" s="230"/>
      <c r="CK3109" s="230"/>
      <c r="CL3109" s="230"/>
      <c r="CM3109" s="231"/>
    </row>
    <row r="3110" spans="1:91">
      <c r="A3110" s="464"/>
      <c r="B3110" s="464"/>
      <c r="C3110" s="661" t="s">
        <v>2699</v>
      </c>
      <c r="D3110" s="689"/>
      <c r="E3110" s="422"/>
      <c r="F3110" s="422"/>
      <c r="G3110" s="461"/>
      <c r="H3110" s="678"/>
      <c r="I3110" s="462"/>
      <c r="J3110" s="462"/>
      <c r="K3110" s="422"/>
      <c r="L3110" s="689"/>
      <c r="M3110" s="422"/>
      <c r="N3110" s="463"/>
      <c r="O3110" s="463"/>
      <c r="P3110" s="689"/>
      <c r="Q3110" s="461"/>
      <c r="R3110" s="491"/>
      <c r="S3110" s="491"/>
      <c r="T3110" s="491"/>
      <c r="U3110" s="214"/>
      <c r="V3110" s="214"/>
      <c r="W3110" s="214"/>
      <c r="X3110" s="214">
        <f t="shared" si="1341"/>
        <v>-3267.1182108333301</v>
      </c>
      <c r="Y3110" s="214"/>
      <c r="Z3110" s="214"/>
      <c r="AA3110" s="214"/>
      <c r="AB3110" s="214">
        <f t="shared" si="1352"/>
        <v>-5617.1239999999998</v>
      </c>
      <c r="AC3110" s="214">
        <f t="shared" si="1352"/>
        <v>-4703.1773600000006</v>
      </c>
      <c r="AD3110" s="214">
        <f t="shared" si="1352"/>
        <v>-1578.9053600000002</v>
      </c>
      <c r="AE3110" s="214">
        <f t="shared" si="1352"/>
        <v>-3170.1057999999998</v>
      </c>
      <c r="AF3110" s="214">
        <f t="shared" si="1352"/>
        <v>-4858.0056199999999</v>
      </c>
      <c r="AG3110" s="214">
        <f t="shared" si="1352"/>
        <v>-1412.97576</v>
      </c>
      <c r="AH3110" s="214">
        <f t="shared" si="1352"/>
        <v>-2972.99532</v>
      </c>
      <c r="AI3110" s="214">
        <f t="shared" si="1352"/>
        <v>-4676.1766799999996</v>
      </c>
      <c r="AJ3110" s="214">
        <f t="shared" si="1352"/>
        <v>-1542.53449</v>
      </c>
      <c r="AK3110" s="214">
        <f t="shared" si="1352"/>
        <v>-3292.1680899999997</v>
      </c>
      <c r="AL3110" s="214">
        <f t="shared" si="1352"/>
        <v>-4924.2767400000002</v>
      </c>
      <c r="AM3110" s="214">
        <f t="shared" si="1352"/>
        <v>-1872.3746599999999</v>
      </c>
      <c r="AN3110" s="214">
        <f t="shared" si="1352"/>
        <v>-3744.7493300000001</v>
      </c>
      <c r="AO3110" s="214">
        <f t="shared" si="1352"/>
        <v>-5617.1239999999998</v>
      </c>
      <c r="AP3110" s="214"/>
      <c r="AQ3110" s="214"/>
      <c r="AR3110" s="214"/>
      <c r="AS3110" s="214">
        <f t="shared" si="1348"/>
        <v>0</v>
      </c>
      <c r="AT3110" s="214">
        <f t="shared" si="1348"/>
        <v>0</v>
      </c>
      <c r="AU3110" s="214">
        <f t="shared" si="1348"/>
        <v>0</v>
      </c>
      <c r="AV3110" s="214">
        <f t="shared" si="1348"/>
        <v>0</v>
      </c>
      <c r="AW3110" s="214">
        <f t="shared" si="1348"/>
        <v>0</v>
      </c>
      <c r="AX3110" s="214">
        <f t="shared" si="1348"/>
        <v>0</v>
      </c>
      <c r="AY3110" s="214">
        <f t="shared" si="1348"/>
        <v>0</v>
      </c>
      <c r="AZ3110" s="214">
        <f t="shared" si="1348"/>
        <v>0</v>
      </c>
      <c r="BA3110" s="214">
        <f t="shared" si="1348"/>
        <v>0</v>
      </c>
      <c r="BB3110" s="214">
        <f t="shared" si="1348"/>
        <v>0</v>
      </c>
      <c r="BC3110" s="214">
        <f t="shared" si="1349"/>
        <v>0</v>
      </c>
      <c r="BD3110" s="214">
        <f t="shared" si="1349"/>
        <v>0</v>
      </c>
      <c r="BE3110" s="214">
        <f t="shared" si="1349"/>
        <v>0</v>
      </c>
      <c r="BF3110" s="214">
        <f t="shared" si="1349"/>
        <v>0</v>
      </c>
      <c r="BG3110" s="214">
        <f t="shared" si="1349"/>
        <v>0</v>
      </c>
      <c r="BH3110" s="214">
        <f t="shared" si="1349"/>
        <v>0</v>
      </c>
      <c r="BI3110" s="214">
        <f t="shared" si="1349"/>
        <v>0</v>
      </c>
      <c r="BJ3110" s="214">
        <f t="shared" si="1349"/>
        <v>0</v>
      </c>
      <c r="BK3110" s="214">
        <f t="shared" si="1349"/>
        <v>0</v>
      </c>
      <c r="BL3110" s="214">
        <f t="shared" si="1349"/>
        <v>0</v>
      </c>
      <c r="BM3110" s="214">
        <f t="shared" si="1350"/>
        <v>0</v>
      </c>
      <c r="BN3110" s="214">
        <f t="shared" si="1350"/>
        <v>0</v>
      </c>
      <c r="BO3110" s="214">
        <f t="shared" si="1350"/>
        <v>0</v>
      </c>
      <c r="BP3110" s="214">
        <f t="shared" si="1350"/>
        <v>0</v>
      </c>
      <c r="BQ3110" s="214">
        <f t="shared" si="1350"/>
        <v>0</v>
      </c>
      <c r="BR3110" s="214">
        <f t="shared" si="1350"/>
        <v>0</v>
      </c>
      <c r="BS3110" s="214">
        <f t="shared" si="1350"/>
        <v>0</v>
      </c>
      <c r="BT3110" s="214">
        <f t="shared" si="1350"/>
        <v>0</v>
      </c>
      <c r="BU3110" s="214">
        <f t="shared" si="1350"/>
        <v>0</v>
      </c>
      <c r="BV3110" s="214">
        <f t="shared" si="1350"/>
        <v>0</v>
      </c>
      <c r="BW3110" s="214">
        <f t="shared" si="1351"/>
        <v>0</v>
      </c>
      <c r="BX3110" s="214">
        <f t="shared" si="1351"/>
        <v>0</v>
      </c>
      <c r="BY3110" s="214">
        <f t="shared" si="1351"/>
        <v>0</v>
      </c>
      <c r="BZ3110" s="214">
        <f t="shared" si="1351"/>
        <v>0</v>
      </c>
      <c r="CA3110" s="214">
        <f t="shared" si="1351"/>
        <v>0</v>
      </c>
      <c r="CB3110" s="214">
        <f t="shared" si="1351"/>
        <v>0</v>
      </c>
      <c r="CC3110" s="214"/>
      <c r="CD3110" s="214"/>
      <c r="CE3110" s="230"/>
      <c r="CF3110" s="230"/>
      <c r="CG3110" s="230"/>
      <c r="CH3110" s="76"/>
      <c r="CI3110" s="76" t="str">
        <f t="shared" si="1347"/>
        <v>A2Renewable Portfolio Standard</v>
      </c>
      <c r="CJ3110" s="230"/>
      <c r="CK3110" s="230"/>
      <c r="CL3110" s="230"/>
      <c r="CM3110" s="231"/>
    </row>
    <row r="3111" spans="1:91">
      <c r="A3111" s="464"/>
      <c r="B3111" s="464"/>
      <c r="C3111" s="661" t="s">
        <v>2700</v>
      </c>
      <c r="D3111" s="689"/>
      <c r="E3111" s="422"/>
      <c r="F3111" s="422"/>
      <c r="G3111" s="461"/>
      <c r="H3111" s="678"/>
      <c r="I3111" s="462"/>
      <c r="J3111" s="462"/>
      <c r="K3111" s="422"/>
      <c r="L3111" s="689"/>
      <c r="M3111" s="422"/>
      <c r="N3111" s="463"/>
      <c r="O3111" s="463"/>
      <c r="P3111" s="689"/>
      <c r="Q3111" s="461"/>
      <c r="R3111" s="491"/>
      <c r="S3111" s="491"/>
      <c r="T3111" s="491"/>
      <c r="U3111" s="214"/>
      <c r="V3111" s="214"/>
      <c r="W3111" s="214"/>
      <c r="X3111" s="214">
        <f t="shared" si="1341"/>
        <v>0</v>
      </c>
      <c r="Y3111" s="214"/>
      <c r="Z3111" s="214"/>
      <c r="AA3111" s="214"/>
      <c r="AB3111" s="214">
        <f t="shared" si="1352"/>
        <v>0</v>
      </c>
      <c r="AC3111" s="214">
        <f t="shared" si="1352"/>
        <v>0</v>
      </c>
      <c r="AD3111" s="214">
        <f t="shared" si="1352"/>
        <v>0</v>
      </c>
      <c r="AE3111" s="214">
        <f t="shared" si="1352"/>
        <v>0</v>
      </c>
      <c r="AF3111" s="214">
        <f t="shared" si="1352"/>
        <v>0</v>
      </c>
      <c r="AG3111" s="214">
        <f t="shared" si="1352"/>
        <v>0</v>
      </c>
      <c r="AH3111" s="214">
        <f t="shared" si="1352"/>
        <v>0</v>
      </c>
      <c r="AI3111" s="214">
        <f t="shared" si="1352"/>
        <v>0</v>
      </c>
      <c r="AJ3111" s="214">
        <f t="shared" si="1352"/>
        <v>0</v>
      </c>
      <c r="AK3111" s="214">
        <f t="shared" si="1352"/>
        <v>0</v>
      </c>
      <c r="AL3111" s="214">
        <f t="shared" si="1352"/>
        <v>0</v>
      </c>
      <c r="AM3111" s="214">
        <f t="shared" si="1352"/>
        <v>0</v>
      </c>
      <c r="AN3111" s="214">
        <f t="shared" si="1352"/>
        <v>0</v>
      </c>
      <c r="AO3111" s="214">
        <f t="shared" si="1352"/>
        <v>0</v>
      </c>
      <c r="AP3111" s="214"/>
      <c r="AQ3111" s="214"/>
      <c r="AR3111" s="214"/>
      <c r="AS3111" s="214">
        <f t="shared" si="1348"/>
        <v>0</v>
      </c>
      <c r="AT3111" s="214">
        <f t="shared" si="1348"/>
        <v>0</v>
      </c>
      <c r="AU3111" s="214">
        <f t="shared" si="1348"/>
        <v>0</v>
      </c>
      <c r="AV3111" s="214">
        <f t="shared" si="1348"/>
        <v>0</v>
      </c>
      <c r="AW3111" s="214">
        <f t="shared" si="1348"/>
        <v>0</v>
      </c>
      <c r="AX3111" s="214">
        <f t="shared" si="1348"/>
        <v>0</v>
      </c>
      <c r="AY3111" s="214">
        <f t="shared" si="1348"/>
        <v>0</v>
      </c>
      <c r="AZ3111" s="214">
        <f t="shared" si="1348"/>
        <v>0</v>
      </c>
      <c r="BA3111" s="214">
        <f t="shared" si="1348"/>
        <v>0</v>
      </c>
      <c r="BB3111" s="214">
        <f t="shared" si="1348"/>
        <v>0</v>
      </c>
      <c r="BC3111" s="214">
        <f t="shared" si="1349"/>
        <v>0</v>
      </c>
      <c r="BD3111" s="214">
        <f t="shared" si="1349"/>
        <v>0</v>
      </c>
      <c r="BE3111" s="214">
        <f t="shared" si="1349"/>
        <v>0</v>
      </c>
      <c r="BF3111" s="214">
        <f t="shared" si="1349"/>
        <v>0</v>
      </c>
      <c r="BG3111" s="214">
        <f t="shared" si="1349"/>
        <v>0</v>
      </c>
      <c r="BH3111" s="214">
        <f t="shared" si="1349"/>
        <v>0</v>
      </c>
      <c r="BI3111" s="214">
        <f t="shared" si="1349"/>
        <v>0</v>
      </c>
      <c r="BJ3111" s="214">
        <f t="shared" si="1349"/>
        <v>0</v>
      </c>
      <c r="BK3111" s="214">
        <f t="shared" si="1349"/>
        <v>0</v>
      </c>
      <c r="BL3111" s="214">
        <f t="shared" si="1349"/>
        <v>0</v>
      </c>
      <c r="BM3111" s="214">
        <f t="shared" si="1350"/>
        <v>0</v>
      </c>
      <c r="BN3111" s="214">
        <f t="shared" si="1350"/>
        <v>0</v>
      </c>
      <c r="BO3111" s="214">
        <f t="shared" si="1350"/>
        <v>0</v>
      </c>
      <c r="BP3111" s="214">
        <f t="shared" si="1350"/>
        <v>0</v>
      </c>
      <c r="BQ3111" s="214">
        <f t="shared" si="1350"/>
        <v>0</v>
      </c>
      <c r="BR3111" s="214">
        <f t="shared" si="1350"/>
        <v>0</v>
      </c>
      <c r="BS3111" s="214">
        <f t="shared" si="1350"/>
        <v>0</v>
      </c>
      <c r="BT3111" s="214">
        <f t="shared" si="1350"/>
        <v>0</v>
      </c>
      <c r="BU3111" s="214">
        <f t="shared" si="1350"/>
        <v>0</v>
      </c>
      <c r="BV3111" s="214">
        <f t="shared" si="1350"/>
        <v>0</v>
      </c>
      <c r="BW3111" s="214">
        <f t="shared" si="1351"/>
        <v>0</v>
      </c>
      <c r="BX3111" s="214">
        <f t="shared" si="1351"/>
        <v>0</v>
      </c>
      <c r="BY3111" s="214">
        <f t="shared" si="1351"/>
        <v>0</v>
      </c>
      <c r="BZ3111" s="214">
        <f t="shared" si="1351"/>
        <v>0</v>
      </c>
      <c r="CA3111" s="214">
        <f t="shared" si="1351"/>
        <v>0</v>
      </c>
      <c r="CB3111" s="214">
        <f t="shared" si="1351"/>
        <v>0</v>
      </c>
      <c r="CC3111" s="214"/>
      <c r="CD3111" s="214"/>
      <c r="CE3111" s="230"/>
      <c r="CF3111" s="230"/>
      <c r="CG3111" s="230"/>
      <c r="CH3111" s="76"/>
      <c r="CI3111" s="76" t="str">
        <f t="shared" si="1347"/>
        <v>A2System Benefits Charge</v>
      </c>
      <c r="CJ3111" s="230"/>
      <c r="CK3111" s="230"/>
      <c r="CL3111" s="230"/>
      <c r="CM3111" s="231"/>
    </row>
    <row r="3112" spans="1:91">
      <c r="A3112" s="464"/>
      <c r="B3112" s="464"/>
      <c r="C3112" s="661" t="s">
        <v>2704</v>
      </c>
      <c r="D3112" s="689"/>
      <c r="E3112" s="422"/>
      <c r="F3112" s="422"/>
      <c r="G3112" s="461"/>
      <c r="H3112" s="678"/>
      <c r="I3112" s="462"/>
      <c r="J3112" s="462"/>
      <c r="K3112" s="422"/>
      <c r="L3112" s="689"/>
      <c r="M3112" s="422"/>
      <c r="N3112" s="463"/>
      <c r="O3112" s="463"/>
      <c r="P3112" s="689"/>
      <c r="Q3112" s="461"/>
      <c r="R3112" s="491"/>
      <c r="S3112" s="491"/>
      <c r="T3112" s="491"/>
      <c r="U3112" s="214"/>
      <c r="V3112" s="214"/>
      <c r="W3112" s="214"/>
      <c r="X3112" s="214">
        <f t="shared" si="1341"/>
        <v>-1969.3669975</v>
      </c>
      <c r="Y3112" s="214"/>
      <c r="Z3112" s="214"/>
      <c r="AA3112" s="214"/>
      <c r="AB3112" s="214">
        <f t="shared" si="1352"/>
        <v>-2842.076</v>
      </c>
      <c r="AC3112" s="214">
        <f t="shared" si="1352"/>
        <v>-2287.5990000000002</v>
      </c>
      <c r="AD3112" s="214">
        <f t="shared" si="1352"/>
        <v>-2512.7431699999997</v>
      </c>
      <c r="AE3112" s="214">
        <f t="shared" si="1352"/>
        <v>-2737.8873399999998</v>
      </c>
      <c r="AF3112" s="214">
        <f t="shared" si="1352"/>
        <v>-675.43250999999998</v>
      </c>
      <c r="AG3112" s="214">
        <f t="shared" si="1352"/>
        <v>-900.57668000000001</v>
      </c>
      <c r="AH3112" s="214">
        <f t="shared" si="1352"/>
        <v>-1271.5108500000001</v>
      </c>
      <c r="AI3112" s="214">
        <f t="shared" si="1352"/>
        <v>-1525.8132700000001</v>
      </c>
      <c r="AJ3112" s="214">
        <f t="shared" si="1352"/>
        <v>-1780.1156899999999</v>
      </c>
      <c r="AK3112" s="214">
        <f t="shared" si="1352"/>
        <v>-2034.4181100000001</v>
      </c>
      <c r="AL3112" s="214">
        <f t="shared" si="1352"/>
        <v>-2288.7205299999996</v>
      </c>
      <c r="AM3112" s="214">
        <f t="shared" si="1352"/>
        <v>-2543.02295</v>
      </c>
      <c r="AN3112" s="214">
        <f t="shared" si="1352"/>
        <v>-2797.32537</v>
      </c>
      <c r="AO3112" s="214">
        <f t="shared" si="1352"/>
        <v>-2842.076</v>
      </c>
      <c r="AP3112" s="214"/>
      <c r="AQ3112" s="214"/>
      <c r="AR3112" s="214"/>
      <c r="AS3112" s="214">
        <f t="shared" si="1348"/>
        <v>0</v>
      </c>
      <c r="AT3112" s="214">
        <f t="shared" si="1348"/>
        <v>0</v>
      </c>
      <c r="AU3112" s="214">
        <f t="shared" si="1348"/>
        <v>0</v>
      </c>
      <c r="AV3112" s="214">
        <f t="shared" si="1348"/>
        <v>0</v>
      </c>
      <c r="AW3112" s="214">
        <f t="shared" si="1348"/>
        <v>0</v>
      </c>
      <c r="AX3112" s="214">
        <f t="shared" si="1348"/>
        <v>0</v>
      </c>
      <c r="AY3112" s="214">
        <f t="shared" si="1348"/>
        <v>0</v>
      </c>
      <c r="AZ3112" s="214">
        <f t="shared" si="1348"/>
        <v>0</v>
      </c>
      <c r="BA3112" s="214">
        <f t="shared" si="1348"/>
        <v>0</v>
      </c>
      <c r="BB3112" s="214">
        <f t="shared" si="1348"/>
        <v>0</v>
      </c>
      <c r="BC3112" s="214">
        <f t="shared" si="1349"/>
        <v>0</v>
      </c>
      <c r="BD3112" s="214">
        <f t="shared" si="1349"/>
        <v>0</v>
      </c>
      <c r="BE3112" s="214">
        <f t="shared" si="1349"/>
        <v>0</v>
      </c>
      <c r="BF3112" s="214">
        <f t="shared" si="1349"/>
        <v>0</v>
      </c>
      <c r="BG3112" s="214">
        <f t="shared" si="1349"/>
        <v>0</v>
      </c>
      <c r="BH3112" s="214">
        <f t="shared" si="1349"/>
        <v>0</v>
      </c>
      <c r="BI3112" s="214">
        <f t="shared" si="1349"/>
        <v>0</v>
      </c>
      <c r="BJ3112" s="214">
        <f t="shared" si="1349"/>
        <v>0</v>
      </c>
      <c r="BK3112" s="214">
        <f t="shared" si="1349"/>
        <v>0</v>
      </c>
      <c r="BL3112" s="214">
        <f t="shared" si="1349"/>
        <v>0</v>
      </c>
      <c r="BM3112" s="214">
        <f t="shared" si="1350"/>
        <v>0</v>
      </c>
      <c r="BN3112" s="214">
        <f t="shared" si="1350"/>
        <v>0</v>
      </c>
      <c r="BO3112" s="214">
        <f t="shared" si="1350"/>
        <v>0</v>
      </c>
      <c r="BP3112" s="214">
        <f t="shared" si="1350"/>
        <v>0</v>
      </c>
      <c r="BQ3112" s="214">
        <f t="shared" si="1350"/>
        <v>0</v>
      </c>
      <c r="BR3112" s="214">
        <f t="shared" si="1350"/>
        <v>0</v>
      </c>
      <c r="BS3112" s="214">
        <f t="shared" si="1350"/>
        <v>0</v>
      </c>
      <c r="BT3112" s="214">
        <f t="shared" si="1350"/>
        <v>0</v>
      </c>
      <c r="BU3112" s="214">
        <f t="shared" si="1350"/>
        <v>0</v>
      </c>
      <c r="BV3112" s="214">
        <f t="shared" si="1350"/>
        <v>0</v>
      </c>
      <c r="BW3112" s="214">
        <f t="shared" si="1351"/>
        <v>0</v>
      </c>
      <c r="BX3112" s="214">
        <f t="shared" si="1351"/>
        <v>0</v>
      </c>
      <c r="BY3112" s="214">
        <f t="shared" si="1351"/>
        <v>0</v>
      </c>
      <c r="BZ3112" s="214">
        <f t="shared" si="1351"/>
        <v>0</v>
      </c>
      <c r="CA3112" s="214">
        <f t="shared" si="1351"/>
        <v>0</v>
      </c>
      <c r="CB3112" s="214">
        <f t="shared" si="1351"/>
        <v>0</v>
      </c>
      <c r="CC3112" s="214"/>
      <c r="CD3112" s="214"/>
      <c r="CE3112" s="230"/>
      <c r="CF3112" s="230"/>
      <c r="CG3112" s="230"/>
      <c r="CH3112" s="76"/>
      <c r="CI3112" s="76" t="str">
        <f t="shared" si="1347"/>
        <v>A2Group Incentive Plan</v>
      </c>
      <c r="CJ3112" s="230"/>
      <c r="CK3112" s="230"/>
      <c r="CL3112" s="230"/>
      <c r="CM3112" s="231"/>
    </row>
    <row r="3113" spans="1:91">
      <c r="A3113" s="464"/>
      <c r="B3113" s="464"/>
      <c r="C3113" s="661" t="s">
        <v>2703</v>
      </c>
      <c r="D3113" s="689"/>
      <c r="E3113" s="422"/>
      <c r="F3113" s="422"/>
      <c r="G3113" s="461"/>
      <c r="H3113" s="678"/>
      <c r="I3113" s="462"/>
      <c r="J3113" s="462"/>
      <c r="K3113" s="422"/>
      <c r="L3113" s="689"/>
      <c r="M3113" s="422"/>
      <c r="N3113" s="463"/>
      <c r="O3113" s="463"/>
      <c r="P3113" s="689"/>
      <c r="Q3113" s="461"/>
      <c r="R3113" s="491"/>
      <c r="S3113" s="491"/>
      <c r="T3113" s="491"/>
      <c r="U3113" s="214"/>
      <c r="V3113" s="214"/>
      <c r="W3113" s="214"/>
      <c r="X3113" s="214">
        <f t="shared" si="1341"/>
        <v>-5078.1467237500001</v>
      </c>
      <c r="Y3113" s="214"/>
      <c r="Z3113" s="214"/>
      <c r="AA3113" s="214"/>
      <c r="AB3113" s="214">
        <f t="shared" si="1352"/>
        <v>0</v>
      </c>
      <c r="AC3113" s="214">
        <f t="shared" si="1352"/>
        <v>-9574.6136500000011</v>
      </c>
      <c r="AD3113" s="214">
        <f t="shared" si="1352"/>
        <v>-6983.98315</v>
      </c>
      <c r="AE3113" s="214">
        <f t="shared" si="1352"/>
        <v>-5553.6690699999999</v>
      </c>
      <c r="AF3113" s="214">
        <f t="shared" si="1352"/>
        <v>-5076.7717999999995</v>
      </c>
      <c r="AG3113" s="214">
        <f t="shared" si="1352"/>
        <v>-5703.6260000000002</v>
      </c>
      <c r="AH3113" s="214">
        <f t="shared" si="1352"/>
        <v>-7273.0643300000002</v>
      </c>
      <c r="AI3113" s="214">
        <f t="shared" si="1352"/>
        <v>-6087.5220499999996</v>
      </c>
      <c r="AJ3113" s="214">
        <f t="shared" si="1352"/>
        <v>-6181.4852000000001</v>
      </c>
      <c r="AK3113" s="214">
        <f t="shared" si="1352"/>
        <v>-6138.4481100000003</v>
      </c>
      <c r="AL3113" s="214">
        <f t="shared" si="1352"/>
        <v>-7151.8841500000008</v>
      </c>
      <c r="AM3113" s="214">
        <f t="shared" si="1352"/>
        <v>0</v>
      </c>
      <c r="AN3113" s="214">
        <f t="shared" si="1352"/>
        <v>0</v>
      </c>
      <c r="AO3113" s="214">
        <f t="shared" si="1352"/>
        <v>0</v>
      </c>
      <c r="AP3113" s="214"/>
      <c r="AQ3113" s="214"/>
      <c r="AR3113" s="214"/>
      <c r="AS3113" s="214">
        <f t="shared" si="1348"/>
        <v>0</v>
      </c>
      <c r="AT3113" s="214">
        <f t="shared" si="1348"/>
        <v>0</v>
      </c>
      <c r="AU3113" s="214">
        <f t="shared" si="1348"/>
        <v>0</v>
      </c>
      <c r="AV3113" s="214">
        <f t="shared" si="1348"/>
        <v>0</v>
      </c>
      <c r="AW3113" s="214">
        <f t="shared" si="1348"/>
        <v>0</v>
      </c>
      <c r="AX3113" s="214">
        <f t="shared" si="1348"/>
        <v>0</v>
      </c>
      <c r="AY3113" s="214">
        <f t="shared" si="1348"/>
        <v>0</v>
      </c>
      <c r="AZ3113" s="214">
        <f t="shared" si="1348"/>
        <v>0</v>
      </c>
      <c r="BA3113" s="214">
        <f t="shared" si="1348"/>
        <v>0</v>
      </c>
      <c r="BB3113" s="214">
        <f t="shared" si="1348"/>
        <v>0</v>
      </c>
      <c r="BC3113" s="214">
        <f t="shared" si="1349"/>
        <v>0</v>
      </c>
      <c r="BD3113" s="214">
        <f t="shared" si="1349"/>
        <v>0</v>
      </c>
      <c r="BE3113" s="214">
        <f t="shared" si="1349"/>
        <v>0</v>
      </c>
      <c r="BF3113" s="214">
        <f t="shared" si="1349"/>
        <v>0</v>
      </c>
      <c r="BG3113" s="214">
        <f t="shared" si="1349"/>
        <v>0</v>
      </c>
      <c r="BH3113" s="214">
        <f t="shared" si="1349"/>
        <v>0</v>
      </c>
      <c r="BI3113" s="214">
        <f t="shared" si="1349"/>
        <v>0</v>
      </c>
      <c r="BJ3113" s="214">
        <f t="shared" si="1349"/>
        <v>0</v>
      </c>
      <c r="BK3113" s="214">
        <f t="shared" si="1349"/>
        <v>0</v>
      </c>
      <c r="BL3113" s="214">
        <f t="shared" si="1349"/>
        <v>0</v>
      </c>
      <c r="BM3113" s="214">
        <f t="shared" si="1350"/>
        <v>0</v>
      </c>
      <c r="BN3113" s="214">
        <f t="shared" si="1350"/>
        <v>0</v>
      </c>
      <c r="BO3113" s="214">
        <f t="shared" si="1350"/>
        <v>0</v>
      </c>
      <c r="BP3113" s="214">
        <f t="shared" si="1350"/>
        <v>0</v>
      </c>
      <c r="BQ3113" s="214">
        <f t="shared" si="1350"/>
        <v>0</v>
      </c>
      <c r="BR3113" s="214">
        <f t="shared" si="1350"/>
        <v>0</v>
      </c>
      <c r="BS3113" s="214">
        <f t="shared" si="1350"/>
        <v>0</v>
      </c>
      <c r="BT3113" s="214">
        <f t="shared" si="1350"/>
        <v>0</v>
      </c>
      <c r="BU3113" s="214">
        <f t="shared" si="1350"/>
        <v>0</v>
      </c>
      <c r="BV3113" s="214">
        <f t="shared" si="1350"/>
        <v>0</v>
      </c>
      <c r="BW3113" s="214">
        <f t="shared" si="1351"/>
        <v>0</v>
      </c>
      <c r="BX3113" s="214">
        <f t="shared" si="1351"/>
        <v>0</v>
      </c>
      <c r="BY3113" s="214">
        <f t="shared" si="1351"/>
        <v>0</v>
      </c>
      <c r="BZ3113" s="214">
        <f t="shared" si="1351"/>
        <v>0</v>
      </c>
      <c r="CA3113" s="214">
        <f t="shared" si="1351"/>
        <v>0</v>
      </c>
      <c r="CB3113" s="214">
        <f t="shared" si="1351"/>
        <v>0</v>
      </c>
      <c r="CC3113" s="214"/>
      <c r="CD3113" s="214"/>
      <c r="CE3113" s="230"/>
      <c r="CF3113" s="230"/>
      <c r="CG3113" s="230"/>
      <c r="CH3113" s="76"/>
      <c r="CI3113" s="76" t="str">
        <f t="shared" si="1347"/>
        <v>A2Equal Payment Plan</v>
      </c>
      <c r="CJ3113" s="230"/>
      <c r="CK3113" s="230"/>
      <c r="CL3113" s="230"/>
      <c r="CM3113" s="231"/>
    </row>
    <row r="3114" spans="1:91">
      <c r="A3114" s="464"/>
      <c r="B3114" s="464"/>
      <c r="C3114" s="661" t="s">
        <v>2701</v>
      </c>
      <c r="D3114" s="689"/>
      <c r="E3114" s="422"/>
      <c r="F3114" s="422"/>
      <c r="G3114" s="461"/>
      <c r="H3114" s="678"/>
      <c r="I3114" s="462"/>
      <c r="J3114" s="462"/>
      <c r="K3114" s="422"/>
      <c r="L3114" s="689"/>
      <c r="M3114" s="422"/>
      <c r="N3114" s="463"/>
      <c r="O3114" s="463"/>
      <c r="P3114" s="689"/>
      <c r="Q3114" s="461"/>
      <c r="R3114" s="491"/>
      <c r="S3114" s="491"/>
      <c r="T3114" s="491"/>
      <c r="U3114" s="214"/>
      <c r="V3114" s="214"/>
      <c r="W3114" s="214"/>
      <c r="X3114" s="214">
        <f t="shared" si="1341"/>
        <v>0</v>
      </c>
      <c r="Y3114" s="214"/>
      <c r="Z3114" s="214"/>
      <c r="AA3114" s="214"/>
      <c r="AB3114" s="214">
        <f t="shared" si="1352"/>
        <v>0</v>
      </c>
      <c r="AC3114" s="214">
        <f t="shared" si="1352"/>
        <v>0</v>
      </c>
      <c r="AD3114" s="214">
        <f t="shared" si="1352"/>
        <v>0</v>
      </c>
      <c r="AE3114" s="214">
        <f t="shared" si="1352"/>
        <v>0</v>
      </c>
      <c r="AF3114" s="214">
        <f t="shared" si="1352"/>
        <v>0</v>
      </c>
      <c r="AG3114" s="214">
        <f t="shared" si="1352"/>
        <v>0</v>
      </c>
      <c r="AH3114" s="214">
        <f t="shared" si="1352"/>
        <v>0</v>
      </c>
      <c r="AI3114" s="214">
        <f t="shared" si="1352"/>
        <v>0</v>
      </c>
      <c r="AJ3114" s="214">
        <f t="shared" si="1352"/>
        <v>0</v>
      </c>
      <c r="AK3114" s="214">
        <f t="shared" si="1352"/>
        <v>0</v>
      </c>
      <c r="AL3114" s="214">
        <f t="shared" si="1352"/>
        <v>0</v>
      </c>
      <c r="AM3114" s="214">
        <f t="shared" si="1352"/>
        <v>0</v>
      </c>
      <c r="AN3114" s="214">
        <f t="shared" si="1352"/>
        <v>0</v>
      </c>
      <c r="AO3114" s="214">
        <f t="shared" si="1352"/>
        <v>0</v>
      </c>
      <c r="AP3114" s="214"/>
      <c r="AQ3114" s="214"/>
      <c r="AR3114" s="214"/>
      <c r="AS3114" s="214">
        <f t="shared" si="1348"/>
        <v>0</v>
      </c>
      <c r="AT3114" s="214">
        <f t="shared" si="1348"/>
        <v>0</v>
      </c>
      <c r="AU3114" s="214">
        <f t="shared" si="1348"/>
        <v>0</v>
      </c>
      <c r="AV3114" s="214">
        <f t="shared" si="1348"/>
        <v>0</v>
      </c>
      <c r="AW3114" s="214">
        <f t="shared" si="1348"/>
        <v>0</v>
      </c>
      <c r="AX3114" s="214">
        <f t="shared" si="1348"/>
        <v>0</v>
      </c>
      <c r="AY3114" s="214">
        <f t="shared" si="1348"/>
        <v>0</v>
      </c>
      <c r="AZ3114" s="214">
        <f t="shared" si="1348"/>
        <v>0</v>
      </c>
      <c r="BA3114" s="214">
        <f t="shared" si="1348"/>
        <v>0</v>
      </c>
      <c r="BB3114" s="214">
        <f t="shared" si="1348"/>
        <v>0</v>
      </c>
      <c r="BC3114" s="214">
        <f t="shared" si="1349"/>
        <v>0</v>
      </c>
      <c r="BD3114" s="214">
        <f t="shared" si="1349"/>
        <v>0</v>
      </c>
      <c r="BE3114" s="214">
        <f t="shared" si="1349"/>
        <v>0</v>
      </c>
      <c r="BF3114" s="214">
        <f t="shared" si="1349"/>
        <v>0</v>
      </c>
      <c r="BG3114" s="214">
        <f t="shared" si="1349"/>
        <v>0</v>
      </c>
      <c r="BH3114" s="214">
        <f t="shared" si="1349"/>
        <v>0</v>
      </c>
      <c r="BI3114" s="214">
        <f t="shared" si="1349"/>
        <v>0</v>
      </c>
      <c r="BJ3114" s="214">
        <f t="shared" si="1349"/>
        <v>0</v>
      </c>
      <c r="BK3114" s="214">
        <f t="shared" si="1349"/>
        <v>0</v>
      </c>
      <c r="BL3114" s="214">
        <f t="shared" si="1349"/>
        <v>0</v>
      </c>
      <c r="BM3114" s="214">
        <f t="shared" si="1350"/>
        <v>0</v>
      </c>
      <c r="BN3114" s="214">
        <f t="shared" si="1350"/>
        <v>0</v>
      </c>
      <c r="BO3114" s="214">
        <f t="shared" si="1350"/>
        <v>0</v>
      </c>
      <c r="BP3114" s="214">
        <f t="shared" si="1350"/>
        <v>0</v>
      </c>
      <c r="BQ3114" s="214">
        <f t="shared" si="1350"/>
        <v>0</v>
      </c>
      <c r="BR3114" s="214">
        <f t="shared" si="1350"/>
        <v>0</v>
      </c>
      <c r="BS3114" s="214">
        <f t="shared" si="1350"/>
        <v>0</v>
      </c>
      <c r="BT3114" s="214">
        <f t="shared" si="1350"/>
        <v>0</v>
      </c>
      <c r="BU3114" s="214">
        <f t="shared" si="1350"/>
        <v>0</v>
      </c>
      <c r="BV3114" s="214">
        <f t="shared" si="1350"/>
        <v>0</v>
      </c>
      <c r="BW3114" s="214">
        <f t="shared" si="1351"/>
        <v>0</v>
      </c>
      <c r="BX3114" s="214">
        <f t="shared" si="1351"/>
        <v>0</v>
      </c>
      <c r="BY3114" s="214">
        <f t="shared" si="1351"/>
        <v>0</v>
      </c>
      <c r="BZ3114" s="214">
        <f t="shared" si="1351"/>
        <v>0</v>
      </c>
      <c r="CA3114" s="214">
        <f t="shared" si="1351"/>
        <v>0</v>
      </c>
      <c r="CB3114" s="214">
        <f t="shared" si="1351"/>
        <v>0</v>
      </c>
      <c r="CC3114" s="214"/>
      <c r="CD3114" s="214"/>
      <c r="CE3114" s="230"/>
      <c r="CF3114" s="230"/>
      <c r="CG3114" s="230"/>
      <c r="CH3114" s="76"/>
      <c r="CI3114" s="76" t="str">
        <f t="shared" si="1347"/>
        <v>A2Preliminary Engineering</v>
      </c>
      <c r="CJ3114" s="230"/>
      <c r="CK3114" s="230"/>
      <c r="CL3114" s="230"/>
      <c r="CM3114" s="231"/>
    </row>
    <row r="3115" spans="1:91">
      <c r="A3115" s="464"/>
      <c r="B3115" s="464"/>
      <c r="C3115" s="656"/>
      <c r="D3115" s="689"/>
      <c r="E3115" s="422"/>
      <c r="F3115" s="422"/>
      <c r="G3115" s="461"/>
      <c r="H3115" s="678"/>
      <c r="I3115" s="462"/>
      <c r="J3115" s="462"/>
      <c r="K3115" s="422"/>
      <c r="L3115" s="689"/>
      <c r="M3115" s="422"/>
      <c r="N3115" s="463"/>
      <c r="O3115" s="463"/>
      <c r="P3115" s="689"/>
      <c r="Q3115" s="461"/>
      <c r="R3115" s="491"/>
      <c r="S3115" s="491"/>
      <c r="T3115" s="491"/>
      <c r="U3115" s="214"/>
      <c r="V3115" s="214"/>
      <c r="W3115" s="214"/>
      <c r="X3115" s="214"/>
      <c r="Y3115" s="214"/>
      <c r="Z3115" s="214"/>
      <c r="AA3115" s="214"/>
      <c r="AB3115" s="214"/>
      <c r="AC3115" s="214"/>
      <c r="AD3115" s="214"/>
      <c r="AE3115" s="214"/>
      <c r="AF3115" s="214"/>
      <c r="AG3115" s="214"/>
      <c r="AH3115" s="214"/>
      <c r="AI3115" s="214"/>
      <c r="AJ3115" s="214"/>
      <c r="AK3115" s="214"/>
      <c r="AL3115" s="214"/>
      <c r="AM3115" s="214"/>
      <c r="AN3115" s="214"/>
      <c r="AO3115" s="214"/>
      <c r="AP3115" s="214"/>
      <c r="AQ3115" s="214"/>
      <c r="AR3115" s="214"/>
      <c r="AS3115" s="214"/>
      <c r="AT3115" s="214"/>
      <c r="AU3115" s="214"/>
      <c r="AV3115" s="214"/>
      <c r="AW3115" s="214"/>
      <c r="AX3115" s="214"/>
      <c r="AY3115" s="214"/>
      <c r="AZ3115" s="214"/>
      <c r="BA3115" s="214"/>
      <c r="BB3115" s="214"/>
      <c r="BC3115" s="214"/>
      <c r="BD3115" s="214"/>
      <c r="BE3115" s="214"/>
      <c r="BF3115" s="214"/>
      <c r="BG3115" s="214"/>
      <c r="BH3115" s="214"/>
      <c r="BI3115" s="214"/>
      <c r="BJ3115" s="214"/>
      <c r="BK3115" s="214"/>
      <c r="BL3115" s="214"/>
      <c r="BM3115" s="214"/>
      <c r="BN3115" s="214"/>
      <c r="BO3115" s="214"/>
      <c r="BP3115" s="214"/>
      <c r="BQ3115" s="214"/>
      <c r="BR3115" s="214"/>
      <c r="BS3115" s="214"/>
      <c r="BT3115" s="214"/>
      <c r="BU3115" s="214"/>
      <c r="BV3115" s="214"/>
      <c r="BW3115" s="214"/>
      <c r="BX3115" s="214"/>
      <c r="BY3115" s="214"/>
      <c r="BZ3115" s="214"/>
      <c r="CA3115" s="214"/>
      <c r="CB3115" s="214"/>
      <c r="CC3115" s="214"/>
      <c r="CD3115" s="214"/>
      <c r="CE3115" s="230"/>
      <c r="CF3115" s="230"/>
      <c r="CG3115" s="230"/>
      <c r="CH3115" s="76"/>
      <c r="CI3115" s="230"/>
      <c r="CJ3115" s="230"/>
      <c r="CK3115" s="230"/>
      <c r="CL3115" s="230"/>
      <c r="CM3115" s="231"/>
    </row>
    <row r="3116" spans="1:91" ht="15">
      <c r="A3116" s="464"/>
      <c r="B3116" s="464"/>
      <c r="C3116" s="656" t="s">
        <v>2391</v>
      </c>
      <c r="D3116" s="689"/>
      <c r="E3116" s="422"/>
      <c r="F3116" s="422"/>
      <c r="G3116" s="461"/>
      <c r="H3116" s="678"/>
      <c r="I3116" s="462"/>
      <c r="J3116" s="462"/>
      <c r="K3116" s="422"/>
      <c r="L3116" s="689"/>
      <c r="M3116" s="422"/>
      <c r="N3116" s="463"/>
      <c r="O3116" s="463"/>
      <c r="P3116" s="689"/>
      <c r="Q3116" s="461"/>
      <c r="R3116" s="491"/>
      <c r="S3116" s="491"/>
      <c r="T3116" s="491"/>
      <c r="U3116" s="215"/>
      <c r="V3116" s="215"/>
      <c r="W3116" s="215"/>
      <c r="X3116" s="215">
        <f>+X3118-SUM(X3095:X3115)</f>
        <v>-27089.942487916589</v>
      </c>
      <c r="Y3116" s="215"/>
      <c r="Z3116" s="215"/>
      <c r="AA3116" s="215"/>
      <c r="AB3116" s="215">
        <f>+AB3118-SUM(AB3095:AB3115)</f>
        <v>-30674.190409999967</v>
      </c>
      <c r="AC3116" s="215">
        <f t="shared" ref="AC3116" si="1353">+AC3118-SUM(AC3095:AC3115)</f>
        <v>-34283.839340000006</v>
      </c>
      <c r="AD3116" s="215">
        <f t="shared" ref="AD3116:AE3116" si="1354">+AD3118-SUM(AD3095:AD3115)</f>
        <v>-25095.688779999975</v>
      </c>
      <c r="AE3116" s="215">
        <f t="shared" si="1354"/>
        <v>-24705.014110000066</v>
      </c>
      <c r="AF3116" s="215">
        <f t="shared" ref="AF3116:AG3116" si="1355">+AF3118-SUM(AF3095:AF3115)</f>
        <v>-21781.538629999988</v>
      </c>
      <c r="AG3116" s="215">
        <f t="shared" si="1355"/>
        <v>-41771.971219999999</v>
      </c>
      <c r="AH3116" s="215">
        <f t="shared" ref="AH3116:AI3116" si="1356">+AH3118-SUM(AH3095:AH3115)</f>
        <v>-28394.596059999967</v>
      </c>
      <c r="AI3116" s="215">
        <f t="shared" si="1356"/>
        <v>-24954.831590000045</v>
      </c>
      <c r="AJ3116" s="215">
        <f t="shared" ref="AJ3116:AK3116" si="1357">+AJ3118-SUM(AJ3095:AJ3115)</f>
        <v>-27175.699400000001</v>
      </c>
      <c r="AK3116" s="215">
        <f t="shared" si="1357"/>
        <v>-24039.231940000085</v>
      </c>
      <c r="AL3116" s="215">
        <f t="shared" ref="AL3116:AM3116" si="1358">+AL3118-SUM(AL3095:AL3115)</f>
        <v>-26804.618689999937</v>
      </c>
      <c r="AM3116" s="215">
        <f t="shared" si="1358"/>
        <v>-22047.795860000013</v>
      </c>
      <c r="AN3116" s="215">
        <f t="shared" ref="AN3116:AO3116" si="1359">+AN3118-SUM(AN3095:AN3115)</f>
        <v>-25829.308700000074</v>
      </c>
      <c r="AO3116" s="215">
        <f t="shared" si="1359"/>
        <v>-30674.190409999967</v>
      </c>
      <c r="AP3116" s="215"/>
      <c r="AQ3116" s="215"/>
      <c r="AR3116" s="215"/>
      <c r="AS3116" s="215">
        <f t="shared" ref="AS3116:CB3116" si="1360">+AS3118-SUM(AS3095:AS3115)</f>
        <v>0</v>
      </c>
      <c r="AT3116" s="215">
        <f t="shared" si="1360"/>
        <v>0</v>
      </c>
      <c r="AU3116" s="215">
        <f t="shared" si="1360"/>
        <v>0</v>
      </c>
      <c r="AV3116" s="215">
        <f t="shared" si="1360"/>
        <v>0</v>
      </c>
      <c r="AW3116" s="215">
        <f t="shared" si="1360"/>
        <v>0</v>
      </c>
      <c r="AX3116" s="215">
        <f t="shared" si="1360"/>
        <v>0</v>
      </c>
      <c r="AY3116" s="215">
        <f t="shared" si="1360"/>
        <v>0</v>
      </c>
      <c r="AZ3116" s="215">
        <f t="shared" si="1360"/>
        <v>0</v>
      </c>
      <c r="BA3116" s="215">
        <f t="shared" si="1360"/>
        <v>0</v>
      </c>
      <c r="BB3116" s="215">
        <f t="shared" si="1360"/>
        <v>0</v>
      </c>
      <c r="BC3116" s="215">
        <f t="shared" si="1360"/>
        <v>0</v>
      </c>
      <c r="BD3116" s="215">
        <f t="shared" si="1360"/>
        <v>0</v>
      </c>
      <c r="BE3116" s="215">
        <f t="shared" si="1360"/>
        <v>0</v>
      </c>
      <c r="BF3116" s="215">
        <f t="shared" si="1360"/>
        <v>0</v>
      </c>
      <c r="BG3116" s="215">
        <f t="shared" si="1360"/>
        <v>0</v>
      </c>
      <c r="BH3116" s="215">
        <f t="shared" si="1360"/>
        <v>0</v>
      </c>
      <c r="BI3116" s="215">
        <f t="shared" si="1360"/>
        <v>0</v>
      </c>
      <c r="BJ3116" s="215">
        <f t="shared" si="1360"/>
        <v>0</v>
      </c>
      <c r="BK3116" s="215">
        <f t="shared" si="1360"/>
        <v>0</v>
      </c>
      <c r="BL3116" s="215">
        <f t="shared" si="1360"/>
        <v>0</v>
      </c>
      <c r="BM3116" s="215">
        <f t="shared" si="1360"/>
        <v>0</v>
      </c>
      <c r="BN3116" s="215">
        <f t="shared" si="1360"/>
        <v>0</v>
      </c>
      <c r="BO3116" s="215">
        <f t="shared" si="1360"/>
        <v>0</v>
      </c>
      <c r="BP3116" s="215">
        <f t="shared" si="1360"/>
        <v>0</v>
      </c>
      <c r="BQ3116" s="215">
        <f t="shared" si="1360"/>
        <v>0</v>
      </c>
      <c r="BR3116" s="215">
        <f t="shared" si="1360"/>
        <v>0</v>
      </c>
      <c r="BS3116" s="215">
        <f t="shared" si="1360"/>
        <v>0</v>
      </c>
      <c r="BT3116" s="215">
        <f t="shared" si="1360"/>
        <v>0</v>
      </c>
      <c r="BU3116" s="215">
        <f t="shared" si="1360"/>
        <v>0</v>
      </c>
      <c r="BV3116" s="215">
        <f t="shared" si="1360"/>
        <v>0</v>
      </c>
      <c r="BW3116" s="215">
        <f t="shared" si="1360"/>
        <v>0</v>
      </c>
      <c r="BX3116" s="215">
        <f t="shared" si="1360"/>
        <v>0</v>
      </c>
      <c r="BY3116" s="215">
        <f t="shared" si="1360"/>
        <v>0</v>
      </c>
      <c r="BZ3116" s="215">
        <f t="shared" si="1360"/>
        <v>0</v>
      </c>
      <c r="CA3116" s="215">
        <f t="shared" si="1360"/>
        <v>0</v>
      </c>
      <c r="CB3116" s="215">
        <f t="shared" si="1360"/>
        <v>0</v>
      </c>
      <c r="CC3116" s="215"/>
      <c r="CD3116" s="215"/>
      <c r="CE3116" s="230"/>
      <c r="CF3116" s="230"/>
      <c r="CG3116" s="230"/>
      <c r="CH3116" s="76"/>
      <c r="CI3116" s="230"/>
      <c r="CJ3116" s="230"/>
      <c r="CK3116" s="230"/>
      <c r="CL3116" s="230"/>
      <c r="CM3116" s="231"/>
    </row>
    <row r="3117" spans="1:91">
      <c r="A3117" s="464"/>
      <c r="B3117" s="464"/>
      <c r="C3117" s="656"/>
      <c r="D3117" s="689"/>
      <c r="E3117" s="422"/>
      <c r="F3117" s="422"/>
      <c r="G3117" s="461"/>
      <c r="H3117" s="678"/>
      <c r="I3117" s="462"/>
      <c r="J3117" s="462"/>
      <c r="K3117" s="422"/>
      <c r="L3117" s="689"/>
      <c r="M3117" s="422"/>
      <c r="N3117" s="463"/>
      <c r="O3117" s="463"/>
      <c r="P3117" s="689"/>
      <c r="Q3117" s="461"/>
      <c r="R3117" s="491"/>
      <c r="S3117" s="491"/>
      <c r="T3117" s="491"/>
      <c r="U3117" s="216"/>
      <c r="V3117" s="216"/>
      <c r="W3117" s="216"/>
      <c r="X3117" s="216"/>
      <c r="Y3117" s="216"/>
      <c r="Z3117" s="216"/>
      <c r="AA3117" s="216"/>
      <c r="AB3117" s="216"/>
      <c r="AC3117" s="216"/>
      <c r="AD3117" s="216"/>
      <c r="AE3117" s="216"/>
      <c r="AF3117" s="216"/>
      <c r="AG3117" s="216"/>
      <c r="AH3117" s="216"/>
      <c r="AI3117" s="216"/>
      <c r="AJ3117" s="216"/>
      <c r="AK3117" s="216"/>
      <c r="AL3117" s="216"/>
      <c r="AM3117" s="216"/>
      <c r="AN3117" s="216"/>
      <c r="AO3117" s="216"/>
      <c r="AP3117" s="216"/>
      <c r="AQ3117" s="216"/>
      <c r="AR3117" s="216"/>
      <c r="AS3117" s="216"/>
      <c r="AT3117" s="216"/>
      <c r="AU3117" s="216"/>
      <c r="AV3117" s="216"/>
      <c r="AW3117" s="216"/>
      <c r="AX3117" s="216"/>
      <c r="AY3117" s="216"/>
      <c r="AZ3117" s="216"/>
      <c r="BA3117" s="216"/>
      <c r="BB3117" s="216"/>
      <c r="BC3117" s="216"/>
      <c r="BD3117" s="216"/>
      <c r="BE3117" s="216"/>
      <c r="BF3117" s="216"/>
      <c r="BG3117" s="216"/>
      <c r="BH3117" s="216"/>
      <c r="BI3117" s="216"/>
      <c r="BJ3117" s="216"/>
      <c r="BK3117" s="216"/>
      <c r="BL3117" s="216"/>
      <c r="BM3117" s="216"/>
      <c r="BN3117" s="216"/>
      <c r="BO3117" s="216"/>
      <c r="BP3117" s="216"/>
      <c r="BQ3117" s="216"/>
      <c r="BR3117" s="216"/>
      <c r="BS3117" s="216"/>
      <c r="BT3117" s="216"/>
      <c r="BU3117" s="216"/>
      <c r="BV3117" s="216"/>
      <c r="BW3117" s="216"/>
      <c r="BX3117" s="216"/>
      <c r="BY3117" s="216"/>
      <c r="BZ3117" s="216"/>
      <c r="CA3117" s="216"/>
      <c r="CB3117" s="216"/>
      <c r="CC3117" s="216"/>
      <c r="CD3117" s="216"/>
      <c r="CE3117" s="230"/>
      <c r="CF3117" s="230"/>
      <c r="CG3117" s="230"/>
      <c r="CH3117" s="76"/>
      <c r="CI3117" s="230"/>
      <c r="CJ3117" s="230"/>
      <c r="CK3117" s="230"/>
      <c r="CL3117" s="230"/>
      <c r="CM3117" s="231"/>
    </row>
    <row r="3118" spans="1:91">
      <c r="A3118" s="409"/>
      <c r="B3118" s="409"/>
      <c r="C3118" s="656" t="s">
        <v>2475</v>
      </c>
      <c r="D3118" s="655" t="s">
        <v>2393</v>
      </c>
      <c r="E3118" s="405"/>
      <c r="F3118" s="405"/>
      <c r="G3118" s="406"/>
      <c r="H3118" s="672"/>
      <c r="I3118" s="448"/>
      <c r="J3118" s="448"/>
      <c r="K3118" s="405"/>
      <c r="L3118" s="655"/>
      <c r="M3118" s="405"/>
      <c r="N3118" s="449"/>
      <c r="O3118" s="449"/>
      <c r="P3118" s="655"/>
      <c r="Q3118" s="406"/>
      <c r="R3118" s="486"/>
      <c r="S3118" s="486"/>
      <c r="T3118" s="486"/>
      <c r="U3118" s="214"/>
      <c r="V3118" s="214"/>
      <c r="W3118" s="214"/>
      <c r="X3118" s="214">
        <f>SUMIF($L:$L,$D3118,X:X)</f>
        <v>18394.829720833135</v>
      </c>
      <c r="Y3118" s="214"/>
      <c r="Z3118" s="214"/>
      <c r="AA3118" s="214"/>
      <c r="AB3118" s="214">
        <f t="shared" ref="AB3118:AO3118" si="1361">SUMIF($L:$L,$D3118,AB:AB)</f>
        <v>25642.219940000054</v>
      </c>
      <c r="AC3118" s="214">
        <f t="shared" si="1361"/>
        <v>-15538.853140000032</v>
      </c>
      <c r="AD3118" s="214">
        <f t="shared" si="1361"/>
        <v>-12125.651060000049</v>
      </c>
      <c r="AE3118" s="214">
        <f t="shared" si="1361"/>
        <v>19865.750439999971</v>
      </c>
      <c r="AF3118" s="214">
        <f t="shared" si="1361"/>
        <v>30586.136130000079</v>
      </c>
      <c r="AG3118" s="214">
        <f t="shared" si="1361"/>
        <v>9919.3733700000375</v>
      </c>
      <c r="AH3118" s="214">
        <f t="shared" si="1361"/>
        <v>5561.2156800000084</v>
      </c>
      <c r="AI3118" s="214">
        <f t="shared" si="1361"/>
        <v>5715.978379999955</v>
      </c>
      <c r="AJ3118" s="214">
        <f t="shared" si="1361"/>
        <v>25091.503039999985</v>
      </c>
      <c r="AK3118" s="214">
        <f t="shared" si="1361"/>
        <v>8331.8510799999513</v>
      </c>
      <c r="AL3118" s="214">
        <f t="shared" si="1361"/>
        <v>33823.928930000031</v>
      </c>
      <c r="AM3118" s="214">
        <f t="shared" si="1361"/>
        <v>44366.891059999965</v>
      </c>
      <c r="AN3118" s="214">
        <f t="shared" si="1361"/>
        <v>44549.296199999946</v>
      </c>
      <c r="AO3118" s="214">
        <f t="shared" si="1361"/>
        <v>25642.219940000054</v>
      </c>
      <c r="AP3118" s="214"/>
      <c r="AQ3118" s="214"/>
      <c r="AR3118" s="214"/>
      <c r="AS3118" s="214">
        <f t="shared" ref="AS3118:CB3118" si="1362">SUMIF($L:$L,$D3118,AS:AS)</f>
        <v>0</v>
      </c>
      <c r="AT3118" s="214">
        <f t="shared" si="1362"/>
        <v>0</v>
      </c>
      <c r="AU3118" s="214">
        <f t="shared" si="1362"/>
        <v>0</v>
      </c>
      <c r="AV3118" s="214">
        <f t="shared" si="1362"/>
        <v>0</v>
      </c>
      <c r="AW3118" s="214">
        <f t="shared" si="1362"/>
        <v>0</v>
      </c>
      <c r="AX3118" s="214">
        <f t="shared" si="1362"/>
        <v>0</v>
      </c>
      <c r="AY3118" s="214">
        <f t="shared" si="1362"/>
        <v>0</v>
      </c>
      <c r="AZ3118" s="214">
        <f t="shared" si="1362"/>
        <v>0</v>
      </c>
      <c r="BA3118" s="214">
        <f t="shared" si="1362"/>
        <v>0</v>
      </c>
      <c r="BB3118" s="214">
        <f t="shared" si="1362"/>
        <v>0</v>
      </c>
      <c r="BC3118" s="214">
        <f t="shared" si="1362"/>
        <v>0</v>
      </c>
      <c r="BD3118" s="214">
        <f t="shared" si="1362"/>
        <v>0</v>
      </c>
      <c r="BE3118" s="214">
        <f t="shared" si="1362"/>
        <v>0</v>
      </c>
      <c r="BF3118" s="214">
        <f t="shared" si="1362"/>
        <v>0</v>
      </c>
      <c r="BG3118" s="214">
        <f t="shared" si="1362"/>
        <v>0</v>
      </c>
      <c r="BH3118" s="214">
        <f t="shared" si="1362"/>
        <v>0</v>
      </c>
      <c r="BI3118" s="214">
        <f t="shared" si="1362"/>
        <v>0</v>
      </c>
      <c r="BJ3118" s="214">
        <f t="shared" si="1362"/>
        <v>0</v>
      </c>
      <c r="BK3118" s="214">
        <f t="shared" si="1362"/>
        <v>0</v>
      </c>
      <c r="BL3118" s="214">
        <f t="shared" si="1362"/>
        <v>0</v>
      </c>
      <c r="BM3118" s="214">
        <f t="shared" si="1362"/>
        <v>0</v>
      </c>
      <c r="BN3118" s="214">
        <f t="shared" si="1362"/>
        <v>0</v>
      </c>
      <c r="BO3118" s="214">
        <f t="shared" si="1362"/>
        <v>0</v>
      </c>
      <c r="BP3118" s="214">
        <f t="shared" si="1362"/>
        <v>0</v>
      </c>
      <c r="BQ3118" s="214">
        <f t="shared" si="1362"/>
        <v>0</v>
      </c>
      <c r="BR3118" s="214">
        <f t="shared" si="1362"/>
        <v>0</v>
      </c>
      <c r="BS3118" s="214">
        <f t="shared" si="1362"/>
        <v>0</v>
      </c>
      <c r="BT3118" s="214">
        <f t="shared" si="1362"/>
        <v>0</v>
      </c>
      <c r="BU3118" s="214">
        <f t="shared" si="1362"/>
        <v>0</v>
      </c>
      <c r="BV3118" s="214">
        <f t="shared" si="1362"/>
        <v>0</v>
      </c>
      <c r="BW3118" s="214">
        <f t="shared" si="1362"/>
        <v>0</v>
      </c>
      <c r="BX3118" s="214">
        <f t="shared" si="1362"/>
        <v>0</v>
      </c>
      <c r="BY3118" s="214">
        <f t="shared" si="1362"/>
        <v>0</v>
      </c>
      <c r="BZ3118" s="214">
        <f t="shared" si="1362"/>
        <v>0</v>
      </c>
      <c r="CA3118" s="214">
        <f t="shared" si="1362"/>
        <v>0</v>
      </c>
      <c r="CB3118" s="214">
        <f t="shared" si="1362"/>
        <v>0</v>
      </c>
      <c r="CC3118" s="214"/>
      <c r="CD3118" s="214"/>
      <c r="CE3118" s="227"/>
      <c r="CF3118" s="227"/>
      <c r="CG3118" s="227"/>
      <c r="CH3118" s="76"/>
      <c r="CI3118" s="227"/>
      <c r="CJ3118" s="227"/>
      <c r="CK3118" s="227"/>
      <c r="CL3118" s="227"/>
      <c r="CM3118" s="213"/>
    </row>
    <row r="3119" spans="1:91" s="227" customFormat="1" ht="12.75" customHeight="1">
      <c r="A3119" s="447"/>
      <c r="B3119" s="409"/>
      <c r="C3119" s="656"/>
      <c r="D3119" s="655"/>
      <c r="E3119" s="405"/>
      <c r="F3119" s="405"/>
      <c r="G3119" s="406"/>
      <c r="H3119" s="672"/>
      <c r="I3119" s="448"/>
      <c r="J3119" s="448"/>
      <c r="K3119" s="405"/>
      <c r="L3119" s="655"/>
      <c r="M3119" s="405"/>
      <c r="N3119" s="449"/>
      <c r="O3119" s="449"/>
      <c r="P3119" s="655"/>
      <c r="Q3119" s="406"/>
      <c r="R3119" s="486"/>
      <c r="S3119" s="486"/>
      <c r="T3119" s="486"/>
      <c r="U3119" s="215"/>
      <c r="V3119" s="215"/>
      <c r="W3119" s="215"/>
      <c r="X3119" s="215"/>
      <c r="Y3119" s="215"/>
      <c r="Z3119" s="215"/>
      <c r="AA3119" s="215"/>
      <c r="AB3119" s="215"/>
      <c r="AC3119" s="215"/>
      <c r="AD3119" s="215"/>
      <c r="AE3119" s="215"/>
      <c r="AF3119" s="215"/>
      <c r="AG3119" s="215"/>
      <c r="AH3119" s="215"/>
      <c r="AI3119" s="215"/>
      <c r="AJ3119" s="215"/>
      <c r="AK3119" s="215"/>
      <c r="AL3119" s="215"/>
      <c r="AM3119" s="215"/>
      <c r="AN3119" s="215"/>
      <c r="AO3119" s="215"/>
      <c r="AP3119" s="215"/>
      <c r="AQ3119" s="215"/>
      <c r="AR3119" s="215"/>
      <c r="AS3119" s="215"/>
      <c r="AT3119" s="215"/>
      <c r="AU3119" s="215"/>
      <c r="AV3119" s="215"/>
      <c r="AW3119" s="215"/>
      <c r="AX3119" s="215"/>
      <c r="AY3119" s="215"/>
      <c r="AZ3119" s="215"/>
      <c r="BA3119" s="215"/>
      <c r="BB3119" s="215"/>
      <c r="BC3119" s="215"/>
      <c r="BD3119" s="215"/>
      <c r="BE3119" s="215"/>
      <c r="BF3119" s="215"/>
      <c r="BG3119" s="215"/>
      <c r="BH3119" s="215"/>
      <c r="BI3119" s="215"/>
      <c r="BJ3119" s="215"/>
      <c r="BK3119" s="215"/>
      <c r="BL3119" s="215"/>
      <c r="BM3119" s="215"/>
      <c r="BN3119" s="215"/>
      <c r="BO3119" s="215"/>
      <c r="BP3119" s="215"/>
      <c r="BQ3119" s="215"/>
      <c r="BR3119" s="215"/>
      <c r="BS3119" s="215"/>
      <c r="BT3119" s="215"/>
      <c r="BU3119" s="215"/>
      <c r="BV3119" s="215"/>
      <c r="BW3119" s="215"/>
      <c r="BX3119" s="215"/>
      <c r="BY3119" s="215"/>
      <c r="BZ3119" s="215"/>
      <c r="CA3119" s="215"/>
      <c r="CB3119" s="215"/>
      <c r="CC3119" s="215"/>
      <c r="CD3119" s="215"/>
      <c r="CE3119" s="252"/>
      <c r="CF3119" s="252"/>
      <c r="CG3119" s="252"/>
      <c r="CH3119" s="76"/>
      <c r="CM3119" s="213"/>
    </row>
    <row r="3120" spans="1:91">
      <c r="A3120" s="409"/>
      <c r="B3120" s="409"/>
      <c r="C3120" s="656"/>
      <c r="D3120" s="655"/>
      <c r="E3120" s="405"/>
      <c r="F3120" s="405"/>
      <c r="G3120" s="406"/>
      <c r="H3120" s="672"/>
      <c r="I3120" s="448"/>
      <c r="J3120" s="448"/>
      <c r="K3120" s="405"/>
      <c r="L3120" s="655"/>
      <c r="M3120" s="405"/>
      <c r="N3120" s="449"/>
      <c r="O3120" s="449"/>
      <c r="P3120" s="655"/>
      <c r="Q3120" s="406"/>
      <c r="R3120" s="486"/>
      <c r="S3120" s="486"/>
      <c r="T3120" s="486"/>
      <c r="U3120" s="214"/>
      <c r="V3120" s="214"/>
      <c r="W3120" s="214"/>
      <c r="X3120" s="214"/>
      <c r="Y3120" s="214"/>
      <c r="Z3120" s="214"/>
      <c r="AA3120" s="214"/>
      <c r="AB3120" s="214"/>
      <c r="AC3120" s="214"/>
      <c r="AD3120" s="214"/>
      <c r="AE3120" s="214"/>
      <c r="AF3120" s="214"/>
      <c r="AG3120" s="214"/>
      <c r="AH3120" s="214"/>
      <c r="AI3120" s="214"/>
      <c r="AJ3120" s="214"/>
      <c r="AK3120" s="214"/>
      <c r="AL3120" s="214"/>
      <c r="AM3120" s="214"/>
      <c r="AN3120" s="214"/>
      <c r="AO3120" s="214"/>
      <c r="AP3120" s="214"/>
      <c r="AQ3120" s="214"/>
      <c r="AR3120" s="214"/>
      <c r="AS3120" s="214"/>
      <c r="AT3120" s="214"/>
      <c r="AU3120" s="214"/>
      <c r="AV3120" s="214"/>
      <c r="AW3120" s="214"/>
      <c r="AX3120" s="214"/>
      <c r="AY3120" s="214"/>
      <c r="AZ3120" s="214"/>
      <c r="BA3120" s="214"/>
      <c r="BB3120" s="214"/>
      <c r="BC3120" s="214"/>
      <c r="BD3120" s="214"/>
      <c r="BE3120" s="214"/>
      <c r="BF3120" s="214"/>
      <c r="BG3120" s="214"/>
      <c r="BH3120" s="214"/>
      <c r="BI3120" s="214"/>
      <c r="BJ3120" s="214"/>
      <c r="BK3120" s="214"/>
      <c r="BL3120" s="214"/>
      <c r="BM3120" s="214"/>
      <c r="BN3120" s="214"/>
      <c r="BO3120" s="214"/>
      <c r="BP3120" s="214"/>
      <c r="BQ3120" s="214"/>
      <c r="BR3120" s="214"/>
      <c r="BS3120" s="214"/>
      <c r="BT3120" s="214"/>
      <c r="BU3120" s="214"/>
      <c r="BV3120" s="214"/>
      <c r="BW3120" s="214"/>
      <c r="BX3120" s="214"/>
      <c r="BY3120" s="214"/>
      <c r="BZ3120" s="214"/>
      <c r="CA3120" s="214"/>
      <c r="CB3120" s="214"/>
      <c r="CC3120" s="214"/>
      <c r="CD3120" s="214"/>
      <c r="CE3120" s="227"/>
      <c r="CF3120" s="227"/>
      <c r="CG3120" s="227"/>
      <c r="CH3120" s="76"/>
      <c r="CI3120" s="227"/>
      <c r="CJ3120" s="227"/>
      <c r="CK3120" s="227"/>
      <c r="CL3120" s="227"/>
      <c r="CM3120" s="213"/>
    </row>
    <row r="3121" spans="1:91">
      <c r="A3121" s="409"/>
      <c r="B3121" s="409"/>
      <c r="C3121" s="656"/>
      <c r="D3121" s="655"/>
      <c r="E3121" s="405"/>
      <c r="F3121" s="405"/>
      <c r="G3121" s="406"/>
      <c r="H3121" s="672"/>
      <c r="I3121" s="448"/>
      <c r="J3121" s="448"/>
      <c r="K3121" s="405"/>
      <c r="L3121" s="655"/>
      <c r="M3121" s="405"/>
      <c r="N3121" s="449"/>
      <c r="O3121" s="449"/>
      <c r="P3121" s="655"/>
      <c r="Q3121" s="406"/>
      <c r="R3121" s="486"/>
      <c r="S3121" s="486"/>
      <c r="T3121" s="486"/>
      <c r="U3121" s="216"/>
      <c r="V3121" s="216"/>
      <c r="W3121" s="216"/>
      <c r="X3121" s="216"/>
      <c r="Y3121" s="216"/>
      <c r="Z3121" s="216"/>
      <c r="AA3121" s="216"/>
      <c r="AB3121" s="216"/>
      <c r="AC3121" s="216"/>
      <c r="AD3121" s="216"/>
      <c r="AE3121" s="216"/>
      <c r="AF3121" s="216"/>
      <c r="AG3121" s="216"/>
      <c r="AH3121" s="216"/>
      <c r="AI3121" s="216"/>
      <c r="AJ3121" s="216"/>
      <c r="AK3121" s="216"/>
      <c r="AL3121" s="216"/>
      <c r="AM3121" s="216"/>
      <c r="AN3121" s="216"/>
      <c r="AO3121" s="216"/>
      <c r="AP3121" s="216"/>
      <c r="AQ3121" s="216"/>
      <c r="AR3121" s="216"/>
      <c r="AS3121" s="216"/>
      <c r="AT3121" s="216"/>
      <c r="AU3121" s="216"/>
      <c r="AV3121" s="216"/>
      <c r="AW3121" s="216"/>
      <c r="AX3121" s="216"/>
      <c r="AY3121" s="216"/>
      <c r="AZ3121" s="216"/>
      <c r="BA3121" s="216"/>
      <c r="BB3121" s="216"/>
      <c r="BC3121" s="216"/>
      <c r="BD3121" s="216"/>
      <c r="BE3121" s="216"/>
      <c r="BF3121" s="216"/>
      <c r="BG3121" s="216"/>
      <c r="BH3121" s="216"/>
      <c r="BI3121" s="216"/>
      <c r="BJ3121" s="216"/>
      <c r="BK3121" s="216"/>
      <c r="BL3121" s="216"/>
      <c r="BM3121" s="216"/>
      <c r="BN3121" s="216"/>
      <c r="BO3121" s="216"/>
      <c r="BP3121" s="216"/>
      <c r="BQ3121" s="216"/>
      <c r="BR3121" s="216"/>
      <c r="BS3121" s="216"/>
      <c r="BT3121" s="216"/>
      <c r="BU3121" s="216"/>
      <c r="BV3121" s="216"/>
      <c r="BW3121" s="216"/>
      <c r="BX3121" s="216"/>
      <c r="BY3121" s="216"/>
      <c r="BZ3121" s="216"/>
      <c r="CA3121" s="216"/>
      <c r="CB3121" s="216"/>
      <c r="CC3121" s="216"/>
      <c r="CD3121" s="216"/>
      <c r="CE3121" s="230"/>
      <c r="CF3121" s="230"/>
      <c r="CG3121" s="230"/>
      <c r="CH3121" s="76"/>
      <c r="CI3121" s="227"/>
      <c r="CJ3121" s="227"/>
      <c r="CK3121" s="227"/>
      <c r="CL3121" s="227"/>
      <c r="CM3121" s="213"/>
    </row>
    <row r="3122" spans="1:91">
      <c r="A3122" s="409"/>
      <c r="B3122" s="409"/>
      <c r="C3122" s="655"/>
      <c r="D3122" s="659"/>
      <c r="E3122" s="409"/>
      <c r="F3122" s="409"/>
      <c r="G3122" s="409"/>
      <c r="H3122" s="677"/>
      <c r="I3122" s="460"/>
      <c r="J3122" s="460"/>
      <c r="K3122" s="405"/>
      <c r="L3122" s="655"/>
      <c r="M3122" s="405"/>
      <c r="N3122" s="449"/>
      <c r="O3122" s="449"/>
      <c r="P3122" s="655"/>
      <c r="Q3122" s="406"/>
      <c r="R3122" s="486"/>
      <c r="S3122" s="486"/>
      <c r="T3122" s="486"/>
      <c r="U3122" s="214"/>
      <c r="V3122" s="214"/>
      <c r="W3122" s="214"/>
      <c r="X3122" s="214"/>
      <c r="Y3122" s="214"/>
      <c r="Z3122" s="214"/>
      <c r="AA3122" s="214"/>
      <c r="AB3122" s="214"/>
      <c r="AC3122" s="214"/>
      <c r="AD3122" s="214"/>
      <c r="AE3122" s="214"/>
      <c r="AF3122" s="214"/>
      <c r="AG3122" s="214"/>
      <c r="AH3122" s="214"/>
      <c r="AI3122" s="214"/>
      <c r="AJ3122" s="214"/>
      <c r="AK3122" s="214"/>
      <c r="AL3122" s="214"/>
      <c r="AM3122" s="214"/>
      <c r="AN3122" s="214"/>
      <c r="AO3122" s="214"/>
      <c r="AP3122" s="214"/>
      <c r="AQ3122" s="214"/>
      <c r="AR3122" s="214"/>
      <c r="AS3122" s="214"/>
      <c r="AT3122" s="214"/>
      <c r="AU3122" s="214"/>
      <c r="AV3122" s="214"/>
      <c r="AW3122" s="214"/>
      <c r="AX3122" s="214"/>
      <c r="AY3122" s="214"/>
      <c r="AZ3122" s="214"/>
      <c r="BA3122" s="214"/>
      <c r="BB3122" s="214"/>
      <c r="BC3122" s="214"/>
      <c r="BD3122" s="214"/>
      <c r="BE3122" s="214"/>
      <c r="BF3122" s="214"/>
      <c r="BG3122" s="214"/>
      <c r="BH3122" s="214"/>
      <c r="BI3122" s="214"/>
      <c r="BJ3122" s="214"/>
      <c r="BK3122" s="214"/>
      <c r="BL3122" s="214"/>
      <c r="BM3122" s="214"/>
      <c r="BN3122" s="214"/>
      <c r="BO3122" s="214"/>
      <c r="BP3122" s="214"/>
      <c r="BQ3122" s="214"/>
      <c r="BR3122" s="214"/>
      <c r="BS3122" s="214"/>
      <c r="BT3122" s="214"/>
      <c r="BU3122" s="214"/>
      <c r="BV3122" s="214"/>
      <c r="BW3122" s="214"/>
      <c r="BX3122" s="214"/>
      <c r="BY3122" s="214"/>
      <c r="BZ3122" s="214"/>
      <c r="CA3122" s="214"/>
      <c r="CB3122" s="214"/>
      <c r="CC3122" s="214"/>
      <c r="CD3122" s="214"/>
      <c r="CE3122" s="227"/>
      <c r="CF3122" s="227"/>
      <c r="CG3122" s="227"/>
      <c r="CH3122" s="76"/>
      <c r="CI3122" s="227"/>
      <c r="CJ3122" s="227"/>
      <c r="CK3122" s="227"/>
      <c r="CL3122" s="227"/>
      <c r="CM3122" s="226"/>
    </row>
    <row r="3123" spans="1:91">
      <c r="A3123" s="426"/>
      <c r="B3123" s="426"/>
      <c r="C3123" s="664"/>
      <c r="D3123" s="706"/>
      <c r="E3123" s="426"/>
      <c r="F3123" s="426"/>
      <c r="G3123" s="426"/>
      <c r="H3123" s="684"/>
      <c r="I3123" s="476"/>
      <c r="J3123" s="476"/>
      <c r="K3123" s="413"/>
      <c r="L3123" s="664"/>
      <c r="M3123" s="413"/>
      <c r="N3123" s="477"/>
      <c r="O3123" s="477"/>
      <c r="P3123" s="664"/>
      <c r="Q3123" s="412"/>
      <c r="R3123" s="494"/>
      <c r="S3123" s="494"/>
      <c r="T3123" s="494"/>
      <c r="U3123" s="263"/>
      <c r="V3123" s="263"/>
      <c r="W3123" s="263"/>
      <c r="X3123" s="263"/>
      <c r="Y3123" s="263"/>
      <c r="Z3123" s="263"/>
      <c r="AA3123" s="263"/>
      <c r="AB3123" s="263"/>
      <c r="AC3123" s="263"/>
      <c r="AD3123" s="263"/>
      <c r="AE3123" s="263"/>
      <c r="AF3123" s="263"/>
      <c r="AG3123" s="263"/>
      <c r="AH3123" s="263"/>
      <c r="AI3123" s="263"/>
      <c r="AJ3123" s="263"/>
      <c r="AK3123" s="263"/>
      <c r="AL3123" s="263"/>
      <c r="AM3123" s="263"/>
      <c r="AN3123" s="263"/>
      <c r="AO3123" s="263"/>
      <c r="AP3123" s="263"/>
      <c r="AQ3123" s="263"/>
      <c r="AR3123" s="263"/>
      <c r="AS3123" s="263"/>
      <c r="AT3123" s="263"/>
      <c r="AU3123" s="263"/>
      <c r="AV3123" s="263"/>
      <c r="AW3123" s="263"/>
      <c r="AX3123" s="263"/>
      <c r="AY3123" s="263"/>
      <c r="AZ3123" s="263"/>
      <c r="BA3123" s="263"/>
      <c r="BB3123" s="263"/>
      <c r="BC3123" s="263"/>
      <c r="BD3123" s="263"/>
      <c r="BE3123" s="263"/>
      <c r="BF3123" s="263"/>
      <c r="BG3123" s="263"/>
      <c r="BH3123" s="263"/>
      <c r="BI3123" s="263"/>
      <c r="BJ3123" s="263"/>
      <c r="BK3123" s="263"/>
      <c r="BL3123" s="263"/>
      <c r="BM3123" s="263"/>
      <c r="BN3123" s="263"/>
      <c r="BO3123" s="263"/>
      <c r="BP3123" s="263"/>
      <c r="BQ3123" s="263"/>
      <c r="BR3123" s="263"/>
      <c r="BS3123" s="263"/>
      <c r="BT3123" s="263"/>
      <c r="BU3123" s="263"/>
      <c r="BV3123" s="263"/>
      <c r="BW3123" s="263"/>
      <c r="BX3123" s="263"/>
      <c r="BY3123" s="263"/>
      <c r="BZ3123" s="263"/>
      <c r="CA3123" s="263"/>
      <c r="CB3123" s="263"/>
      <c r="CC3123" s="263"/>
      <c r="CD3123" s="263"/>
      <c r="CE3123" s="264"/>
      <c r="CF3123" s="264"/>
      <c r="CG3123" s="264"/>
      <c r="CH3123" s="76"/>
      <c r="CI3123" s="264"/>
      <c r="CJ3123" s="264"/>
      <c r="CK3123" s="264"/>
      <c r="CL3123" s="264"/>
      <c r="CM3123" s="262"/>
    </row>
    <row r="3124" spans="1:91">
      <c r="A3124" s="409"/>
      <c r="B3124" s="409"/>
      <c r="C3124" s="655"/>
      <c r="D3124" s="659"/>
      <c r="E3124" s="409"/>
      <c r="F3124" s="409"/>
      <c r="G3124" s="409"/>
      <c r="H3124" s="677"/>
      <c r="I3124" s="460"/>
      <c r="J3124" s="460"/>
      <c r="K3124" s="405"/>
      <c r="L3124" s="655"/>
      <c r="M3124" s="405"/>
      <c r="N3124" s="449"/>
      <c r="O3124" s="449"/>
      <c r="P3124" s="655"/>
      <c r="Q3124" s="406"/>
      <c r="R3124" s="486"/>
      <c r="S3124" s="486"/>
      <c r="T3124" s="486"/>
      <c r="U3124" s="214"/>
      <c r="V3124" s="214"/>
      <c r="W3124" s="214"/>
      <c r="X3124" s="214"/>
      <c r="Y3124" s="214"/>
      <c r="Z3124" s="214"/>
      <c r="AA3124" s="214"/>
      <c r="AB3124" s="214"/>
      <c r="AC3124" s="214"/>
      <c r="AD3124" s="214"/>
      <c r="AE3124" s="214"/>
      <c r="AF3124" s="214"/>
      <c r="AG3124" s="214"/>
      <c r="AH3124" s="214"/>
      <c r="AI3124" s="214"/>
      <c r="AJ3124" s="214"/>
      <c r="AK3124" s="214"/>
      <c r="AL3124" s="214"/>
      <c r="AM3124" s="214"/>
      <c r="AN3124" s="214"/>
      <c r="AO3124" s="214"/>
      <c r="AP3124" s="214"/>
      <c r="AQ3124" s="214"/>
      <c r="AR3124" s="214"/>
      <c r="AS3124" s="208"/>
      <c r="AT3124" s="208"/>
      <c r="AU3124" s="208"/>
      <c r="AV3124" s="208"/>
      <c r="AW3124" s="208"/>
      <c r="AX3124" s="208"/>
      <c r="AY3124" s="208"/>
      <c r="AZ3124" s="208"/>
      <c r="BA3124" s="208"/>
      <c r="BB3124" s="208"/>
      <c r="BC3124" s="208"/>
      <c r="BD3124" s="208"/>
      <c r="BE3124" s="208"/>
      <c r="BF3124" s="208"/>
      <c r="BG3124" s="208"/>
      <c r="BH3124" s="208"/>
      <c r="BI3124" s="208"/>
      <c r="BJ3124" s="208"/>
      <c r="BK3124" s="208"/>
      <c r="BL3124" s="208"/>
      <c r="BM3124" s="208"/>
      <c r="BN3124" s="208"/>
      <c r="BO3124" s="208"/>
      <c r="BP3124" s="208"/>
      <c r="BQ3124" s="208"/>
      <c r="BR3124" s="208"/>
      <c r="BS3124" s="208"/>
      <c r="BT3124" s="208"/>
      <c r="BU3124" s="208"/>
      <c r="BV3124" s="208"/>
      <c r="BW3124" s="208"/>
      <c r="BX3124" s="208"/>
      <c r="BY3124" s="208"/>
      <c r="BZ3124" s="208"/>
      <c r="CA3124" s="208"/>
      <c r="CB3124" s="208"/>
      <c r="CC3124" s="208"/>
      <c r="CD3124" s="208"/>
      <c r="CE3124" s="221"/>
      <c r="CF3124" s="221"/>
      <c r="CG3124" s="221"/>
      <c r="CH3124" s="220"/>
      <c r="CI3124" s="227"/>
      <c r="CJ3124" s="227"/>
      <c r="CK3124" s="227"/>
      <c r="CL3124" s="227"/>
      <c r="CM3124" s="226"/>
    </row>
    <row r="3125" spans="1:91">
      <c r="A3125" s="447"/>
      <c r="B3125" s="447" t="s">
        <v>2570</v>
      </c>
      <c r="C3125" s="655"/>
      <c r="D3125" s="659"/>
      <c r="E3125" s="409"/>
      <c r="F3125" s="409"/>
      <c r="G3125" s="409"/>
      <c r="H3125" s="677"/>
      <c r="I3125" s="460"/>
      <c r="J3125" s="460"/>
      <c r="K3125" s="405"/>
      <c r="L3125" s="655"/>
      <c r="M3125" s="405"/>
      <c r="N3125" s="449"/>
      <c r="O3125" s="449"/>
      <c r="P3125" s="655"/>
      <c r="Q3125" s="406"/>
      <c r="R3125" s="486"/>
      <c r="S3125" s="486"/>
      <c r="T3125" s="486"/>
      <c r="U3125" s="214"/>
      <c r="V3125" s="214"/>
      <c r="W3125" s="214"/>
      <c r="X3125" s="214"/>
      <c r="Y3125" s="214"/>
      <c r="Z3125" s="214"/>
      <c r="AA3125" s="214"/>
      <c r="AB3125" s="214"/>
      <c r="AC3125" s="214"/>
      <c r="AD3125" s="214"/>
      <c r="AE3125" s="214"/>
      <c r="AF3125" s="214"/>
      <c r="AG3125" s="165"/>
      <c r="AH3125" s="165"/>
      <c r="AI3125" s="165"/>
      <c r="AJ3125" s="165"/>
      <c r="AK3125" s="165"/>
      <c r="AL3125" s="165"/>
      <c r="AM3125" s="165"/>
      <c r="AN3125" s="165"/>
      <c r="AO3125" s="165"/>
      <c r="AP3125" s="214"/>
      <c r="AQ3125" s="214"/>
      <c r="AR3125" s="214"/>
      <c r="AS3125" s="208"/>
      <c r="AT3125" s="208"/>
      <c r="AU3125" s="208"/>
      <c r="AV3125" s="208"/>
      <c r="AW3125" s="208"/>
      <c r="AX3125" s="208"/>
      <c r="AY3125" s="208"/>
      <c r="AZ3125" s="208"/>
      <c r="BA3125" s="208"/>
      <c r="BB3125" s="208"/>
      <c r="BC3125" s="208"/>
      <c r="BD3125" s="208"/>
      <c r="BE3125" s="208"/>
      <c r="BF3125" s="208"/>
      <c r="BG3125" s="208"/>
      <c r="BH3125" s="208"/>
      <c r="BI3125" s="208"/>
      <c r="BJ3125" s="208"/>
      <c r="BK3125" s="208"/>
      <c r="BL3125" s="208"/>
      <c r="BM3125" s="208"/>
      <c r="BN3125" s="208"/>
      <c r="BO3125" s="208"/>
      <c r="BP3125" s="208"/>
      <c r="BQ3125" s="208"/>
      <c r="BR3125" s="208"/>
      <c r="BS3125" s="208"/>
      <c r="BT3125" s="208"/>
      <c r="BU3125" s="208"/>
      <c r="BV3125" s="208"/>
      <c r="BW3125" s="208"/>
      <c r="BX3125" s="208"/>
      <c r="BY3125" s="208"/>
      <c r="BZ3125" s="208"/>
      <c r="CA3125" s="208"/>
      <c r="CB3125" s="208"/>
      <c r="CC3125" s="208"/>
      <c r="CD3125" s="208"/>
      <c r="CE3125" s="221"/>
      <c r="CF3125" s="221"/>
      <c r="CG3125" s="221"/>
      <c r="CH3125" s="220"/>
      <c r="CI3125" s="227"/>
      <c r="CJ3125" s="227"/>
      <c r="CK3125" s="227"/>
      <c r="CL3125" s="227"/>
      <c r="CM3125" s="226"/>
    </row>
    <row r="3126" spans="1:91">
      <c r="A3126" s="421"/>
      <c r="B3126" s="421"/>
      <c r="C3126" s="665" t="s">
        <v>2419</v>
      </c>
      <c r="D3126" s="705" t="s">
        <v>2519</v>
      </c>
      <c r="E3126" s="421"/>
      <c r="F3126" s="421"/>
      <c r="G3126" s="421" t="s">
        <v>2420</v>
      </c>
      <c r="H3126" s="676"/>
      <c r="I3126" s="459"/>
      <c r="J3126" s="459"/>
      <c r="K3126" s="427"/>
      <c r="L3126" s="688"/>
      <c r="M3126" s="457"/>
      <c r="N3126" s="458"/>
      <c r="O3126" s="458"/>
      <c r="P3126" s="688"/>
      <c r="Q3126" s="408"/>
      <c r="R3126" s="490"/>
      <c r="S3126" s="490"/>
      <c r="T3126" s="490"/>
      <c r="U3126" s="214">
        <f t="shared" ref="U3126:AD3135" si="1363">SUMIF($L:$L,$C3126,U:U)</f>
        <v>0</v>
      </c>
      <c r="V3126" s="214">
        <f t="shared" si="1363"/>
        <v>0</v>
      </c>
      <c r="W3126" s="214">
        <f t="shared" si="1363"/>
        <v>0</v>
      </c>
      <c r="X3126" s="214">
        <f t="shared" si="1363"/>
        <v>0</v>
      </c>
      <c r="Y3126" s="214">
        <f t="shared" si="1363"/>
        <v>0</v>
      </c>
      <c r="Z3126" s="214">
        <f t="shared" si="1363"/>
        <v>0</v>
      </c>
      <c r="AA3126" s="214">
        <f t="shared" si="1363"/>
        <v>0</v>
      </c>
      <c r="AB3126" s="214">
        <f t="shared" si="1363"/>
        <v>0</v>
      </c>
      <c r="AC3126" s="214">
        <f t="shared" si="1363"/>
        <v>0</v>
      </c>
      <c r="AD3126" s="214">
        <f t="shared" si="1363"/>
        <v>0</v>
      </c>
      <c r="AE3126" s="214">
        <f t="shared" ref="AE3126:AO3135" si="1364">SUMIF($L:$L,$C3126,AE:AE)</f>
        <v>0</v>
      </c>
      <c r="AF3126" s="214">
        <f t="shared" si="1364"/>
        <v>0</v>
      </c>
      <c r="AG3126" s="165">
        <f t="shared" si="1364"/>
        <v>0</v>
      </c>
      <c r="AH3126" s="165">
        <f t="shared" si="1364"/>
        <v>0</v>
      </c>
      <c r="AI3126" s="165">
        <f t="shared" si="1364"/>
        <v>0</v>
      </c>
      <c r="AJ3126" s="165">
        <f t="shared" si="1364"/>
        <v>0</v>
      </c>
      <c r="AK3126" s="165">
        <f t="shared" si="1364"/>
        <v>0</v>
      </c>
      <c r="AL3126" s="165">
        <f t="shared" si="1364"/>
        <v>0</v>
      </c>
      <c r="AM3126" s="165">
        <f t="shared" si="1364"/>
        <v>0</v>
      </c>
      <c r="AN3126" s="165">
        <f t="shared" si="1364"/>
        <v>0</v>
      </c>
      <c r="AO3126" s="165">
        <f t="shared" si="1364"/>
        <v>0</v>
      </c>
      <c r="AP3126" s="214"/>
      <c r="AQ3126" s="214"/>
      <c r="AR3126" s="214"/>
      <c r="AS3126" s="208">
        <f t="shared" ref="AS3126:BB3135" si="1365">SUMIF($L:$L,$C3126,AS:AS)</f>
        <v>0</v>
      </c>
      <c r="AT3126" s="208">
        <f t="shared" si="1365"/>
        <v>0</v>
      </c>
      <c r="AU3126" s="208">
        <f t="shared" si="1365"/>
        <v>0</v>
      </c>
      <c r="AV3126" s="208">
        <f t="shared" si="1365"/>
        <v>0</v>
      </c>
      <c r="AW3126" s="208">
        <f t="shared" si="1365"/>
        <v>0</v>
      </c>
      <c r="AX3126" s="208">
        <f t="shared" si="1365"/>
        <v>0</v>
      </c>
      <c r="AY3126" s="208">
        <f t="shared" si="1365"/>
        <v>0</v>
      </c>
      <c r="AZ3126" s="208">
        <f t="shared" si="1365"/>
        <v>0</v>
      </c>
      <c r="BA3126" s="208">
        <f t="shared" si="1365"/>
        <v>0</v>
      </c>
      <c r="BB3126" s="208">
        <f t="shared" si="1365"/>
        <v>0</v>
      </c>
      <c r="BC3126" s="208">
        <f t="shared" ref="BC3126:BL3135" si="1366">SUMIF($L:$L,$C3126,BC:BC)</f>
        <v>0</v>
      </c>
      <c r="BD3126" s="208">
        <f t="shared" si="1366"/>
        <v>0</v>
      </c>
      <c r="BE3126" s="208">
        <f t="shared" si="1366"/>
        <v>0</v>
      </c>
      <c r="BF3126" s="208">
        <f t="shared" si="1366"/>
        <v>0</v>
      </c>
      <c r="BG3126" s="208">
        <f t="shared" si="1366"/>
        <v>0</v>
      </c>
      <c r="BH3126" s="208">
        <f t="shared" si="1366"/>
        <v>0</v>
      </c>
      <c r="BI3126" s="208">
        <f t="shared" si="1366"/>
        <v>0</v>
      </c>
      <c r="BJ3126" s="208">
        <f t="shared" si="1366"/>
        <v>0</v>
      </c>
      <c r="BK3126" s="208">
        <f t="shared" si="1366"/>
        <v>0</v>
      </c>
      <c r="BL3126" s="208">
        <f t="shared" si="1366"/>
        <v>0</v>
      </c>
      <c r="BM3126" s="208">
        <f t="shared" ref="BM3126:BV3135" si="1367">SUMIF($L:$L,$C3126,BM:BM)</f>
        <v>0</v>
      </c>
      <c r="BN3126" s="208">
        <f t="shared" si="1367"/>
        <v>0</v>
      </c>
      <c r="BO3126" s="208">
        <f t="shared" si="1367"/>
        <v>0</v>
      </c>
      <c r="BP3126" s="208">
        <f t="shared" si="1367"/>
        <v>0</v>
      </c>
      <c r="BQ3126" s="208">
        <f t="shared" si="1367"/>
        <v>0</v>
      </c>
      <c r="BR3126" s="208">
        <f t="shared" si="1367"/>
        <v>0</v>
      </c>
      <c r="BS3126" s="208">
        <f t="shared" si="1367"/>
        <v>0</v>
      </c>
      <c r="BT3126" s="208">
        <f t="shared" si="1367"/>
        <v>0</v>
      </c>
      <c r="BU3126" s="208">
        <f t="shared" si="1367"/>
        <v>0</v>
      </c>
      <c r="BV3126" s="208">
        <f t="shared" si="1367"/>
        <v>0</v>
      </c>
      <c r="BW3126" s="208">
        <f t="shared" ref="BW3126:CB3135" si="1368">SUMIF($L:$L,$C3126,BW:BW)</f>
        <v>0</v>
      </c>
      <c r="BX3126" s="208">
        <f t="shared" si="1368"/>
        <v>0</v>
      </c>
      <c r="BY3126" s="208">
        <f t="shared" si="1368"/>
        <v>0</v>
      </c>
      <c r="BZ3126" s="208">
        <f t="shared" si="1368"/>
        <v>0</v>
      </c>
      <c r="CA3126" s="208">
        <f t="shared" si="1368"/>
        <v>0</v>
      </c>
      <c r="CB3126" s="208">
        <f t="shared" si="1368"/>
        <v>0</v>
      </c>
      <c r="CC3126" s="208"/>
      <c r="CD3126" s="208"/>
      <c r="CE3126" s="265"/>
      <c r="CF3126" s="265"/>
      <c r="CG3126" s="265"/>
      <c r="CH3126" s="266"/>
      <c r="CI3126" s="225"/>
      <c r="CJ3126" s="225"/>
      <c r="CK3126" s="225"/>
      <c r="CL3126" s="225"/>
      <c r="CM3126" s="224"/>
    </row>
    <row r="3127" spans="1:91">
      <c r="A3127" s="421"/>
      <c r="B3127" s="421"/>
      <c r="C3127" s="665" t="s">
        <v>2421</v>
      </c>
      <c r="D3127" s="705" t="s">
        <v>2519</v>
      </c>
      <c r="E3127" s="421"/>
      <c r="F3127" s="421"/>
      <c r="G3127" s="421" t="s">
        <v>2422</v>
      </c>
      <c r="H3127" s="676"/>
      <c r="I3127" s="459"/>
      <c r="J3127" s="459"/>
      <c r="K3127" s="427"/>
      <c r="L3127" s="688"/>
      <c r="M3127" s="457"/>
      <c r="N3127" s="458"/>
      <c r="O3127" s="458"/>
      <c r="P3127" s="688"/>
      <c r="Q3127" s="408"/>
      <c r="R3127" s="490"/>
      <c r="S3127" s="490"/>
      <c r="T3127" s="490"/>
      <c r="U3127" s="214">
        <f t="shared" si="1363"/>
        <v>0</v>
      </c>
      <c r="V3127" s="214">
        <f t="shared" si="1363"/>
        <v>0</v>
      </c>
      <c r="W3127" s="214">
        <f t="shared" si="1363"/>
        <v>746.15153458338125</v>
      </c>
      <c r="X3127" s="214">
        <f t="shared" si="1363"/>
        <v>746.15153458338125</v>
      </c>
      <c r="Y3127" s="214">
        <f t="shared" si="1363"/>
        <v>0</v>
      </c>
      <c r="Z3127" s="214">
        <f t="shared" si="1363"/>
        <v>0</v>
      </c>
      <c r="AA3127" s="214">
        <f t="shared" si="1363"/>
        <v>-48.993769999984295</v>
      </c>
      <c r="AB3127" s="214">
        <f t="shared" si="1363"/>
        <v>-48.993769999992494</v>
      </c>
      <c r="AC3127" s="214">
        <f t="shared" si="1363"/>
        <v>-9740.6384600000147</v>
      </c>
      <c r="AD3127" s="214">
        <f t="shared" si="1363"/>
        <v>-10429.094650000012</v>
      </c>
      <c r="AE3127" s="214">
        <f t="shared" si="1364"/>
        <v>-7157.6011200000157</v>
      </c>
      <c r="AF3127" s="214">
        <f t="shared" si="1364"/>
        <v>-5932.7135300000091</v>
      </c>
      <c r="AG3127" s="165">
        <f t="shared" si="1364"/>
        <v>7988.1876199999897</v>
      </c>
      <c r="AH3127" s="165">
        <f t="shared" si="1364"/>
        <v>7280.7194199999703</v>
      </c>
      <c r="AI3127" s="165">
        <f t="shared" si="1364"/>
        <v>7731.8149800000028</v>
      </c>
      <c r="AJ3127" s="165">
        <f t="shared" si="1364"/>
        <v>6000.7950299999893</v>
      </c>
      <c r="AK3127" s="165">
        <f t="shared" si="1364"/>
        <v>5523.1110899999994</v>
      </c>
      <c r="AL3127" s="165">
        <f t="shared" si="1364"/>
        <v>868.52900999998383</v>
      </c>
      <c r="AM3127" s="165">
        <f t="shared" si="1364"/>
        <v>1074.0230500000278</v>
      </c>
      <c r="AN3127" s="165">
        <f t="shared" si="1364"/>
        <v>900.86362999999346</v>
      </c>
      <c r="AO3127" s="165">
        <f t="shared" si="1364"/>
        <v>-48.993769999992494</v>
      </c>
      <c r="AP3127" s="214"/>
      <c r="AQ3127" s="214"/>
      <c r="AR3127" s="214"/>
      <c r="AS3127" s="208">
        <f t="shared" si="1365"/>
        <v>0</v>
      </c>
      <c r="AT3127" s="208">
        <f t="shared" si="1365"/>
        <v>0</v>
      </c>
      <c r="AU3127" s="208">
        <f t="shared" si="1365"/>
        <v>0</v>
      </c>
      <c r="AV3127" s="208">
        <f t="shared" si="1365"/>
        <v>0</v>
      </c>
      <c r="AW3127" s="208">
        <f t="shared" si="1365"/>
        <v>0</v>
      </c>
      <c r="AX3127" s="208">
        <f t="shared" si="1365"/>
        <v>0</v>
      </c>
      <c r="AY3127" s="208">
        <f t="shared" si="1365"/>
        <v>0</v>
      </c>
      <c r="AZ3127" s="208">
        <f t="shared" si="1365"/>
        <v>0</v>
      </c>
      <c r="BA3127" s="208">
        <f t="shared" si="1365"/>
        <v>0</v>
      </c>
      <c r="BB3127" s="208">
        <f t="shared" si="1365"/>
        <v>0</v>
      </c>
      <c r="BC3127" s="208">
        <f t="shared" si="1366"/>
        <v>0</v>
      </c>
      <c r="BD3127" s="208">
        <f t="shared" si="1366"/>
        <v>0</v>
      </c>
      <c r="BE3127" s="208">
        <f t="shared" si="1366"/>
        <v>0</v>
      </c>
      <c r="BF3127" s="208">
        <f t="shared" si="1366"/>
        <v>0</v>
      </c>
      <c r="BG3127" s="208">
        <f t="shared" si="1366"/>
        <v>0</v>
      </c>
      <c r="BH3127" s="208">
        <f t="shared" si="1366"/>
        <v>0</v>
      </c>
      <c r="BI3127" s="208">
        <f t="shared" si="1366"/>
        <v>0</v>
      </c>
      <c r="BJ3127" s="208">
        <f t="shared" si="1366"/>
        <v>0</v>
      </c>
      <c r="BK3127" s="208">
        <f t="shared" si="1366"/>
        <v>0</v>
      </c>
      <c r="BL3127" s="208">
        <f t="shared" si="1366"/>
        <v>0</v>
      </c>
      <c r="BM3127" s="208">
        <f t="shared" si="1367"/>
        <v>0</v>
      </c>
      <c r="BN3127" s="208">
        <f t="shared" si="1367"/>
        <v>0</v>
      </c>
      <c r="BO3127" s="208">
        <f t="shared" si="1367"/>
        <v>0</v>
      </c>
      <c r="BP3127" s="208">
        <f t="shared" si="1367"/>
        <v>0</v>
      </c>
      <c r="BQ3127" s="208">
        <f t="shared" si="1367"/>
        <v>0</v>
      </c>
      <c r="BR3127" s="208">
        <f t="shared" si="1367"/>
        <v>0</v>
      </c>
      <c r="BS3127" s="208">
        <f t="shared" si="1367"/>
        <v>0</v>
      </c>
      <c r="BT3127" s="208">
        <f t="shared" si="1367"/>
        <v>0</v>
      </c>
      <c r="BU3127" s="208">
        <f t="shared" si="1367"/>
        <v>0</v>
      </c>
      <c r="BV3127" s="208">
        <f t="shared" si="1367"/>
        <v>0</v>
      </c>
      <c r="BW3127" s="208">
        <f t="shared" si="1368"/>
        <v>0</v>
      </c>
      <c r="BX3127" s="208">
        <f t="shared" si="1368"/>
        <v>0</v>
      </c>
      <c r="BY3127" s="208">
        <f t="shared" si="1368"/>
        <v>0</v>
      </c>
      <c r="BZ3127" s="208">
        <f t="shared" si="1368"/>
        <v>0</v>
      </c>
      <c r="CA3127" s="208">
        <f t="shared" si="1368"/>
        <v>0</v>
      </c>
      <c r="CB3127" s="208">
        <f t="shared" si="1368"/>
        <v>0</v>
      </c>
      <c r="CC3127" s="208"/>
      <c r="CD3127" s="208"/>
      <c r="CE3127" s="265"/>
      <c r="CF3127" s="265"/>
      <c r="CG3127" s="265"/>
      <c r="CH3127" s="266"/>
      <c r="CI3127" s="225"/>
      <c r="CJ3127" s="225"/>
      <c r="CK3127" s="225"/>
      <c r="CL3127" s="225"/>
      <c r="CM3127" s="224"/>
    </row>
    <row r="3128" spans="1:91">
      <c r="A3128" s="421"/>
      <c r="B3128" s="421"/>
      <c r="C3128" s="665" t="s">
        <v>2423</v>
      </c>
      <c r="D3128" s="705" t="s">
        <v>2519</v>
      </c>
      <c r="E3128" s="421"/>
      <c r="F3128" s="421"/>
      <c r="G3128" s="421" t="s">
        <v>2424</v>
      </c>
      <c r="H3128" s="676"/>
      <c r="I3128" s="459"/>
      <c r="J3128" s="459"/>
      <c r="K3128" s="427"/>
      <c r="L3128" s="688"/>
      <c r="M3128" s="457"/>
      <c r="N3128" s="458"/>
      <c r="O3128" s="458"/>
      <c r="P3128" s="688"/>
      <c r="Q3128" s="408"/>
      <c r="R3128" s="490"/>
      <c r="S3128" s="490"/>
      <c r="T3128" s="490"/>
      <c r="U3128" s="214">
        <f t="shared" si="1363"/>
        <v>0</v>
      </c>
      <c r="V3128" s="214">
        <f t="shared" si="1363"/>
        <v>0</v>
      </c>
      <c r="W3128" s="214">
        <f t="shared" si="1363"/>
        <v>47.270140000002698</v>
      </c>
      <c r="X3128" s="214">
        <f t="shared" si="1363"/>
        <v>47.270140000002698</v>
      </c>
      <c r="Y3128" s="214">
        <f t="shared" si="1363"/>
        <v>0</v>
      </c>
      <c r="Z3128" s="214">
        <f t="shared" si="1363"/>
        <v>0</v>
      </c>
      <c r="AA3128" s="214">
        <f t="shared" si="1363"/>
        <v>47.270140000005426</v>
      </c>
      <c r="AB3128" s="214">
        <f t="shared" si="1363"/>
        <v>47.270139999945457</v>
      </c>
      <c r="AC3128" s="214">
        <f t="shared" si="1363"/>
        <v>47.270140000019126</v>
      </c>
      <c r="AD3128" s="214">
        <f t="shared" si="1363"/>
        <v>47.270140000005483</v>
      </c>
      <c r="AE3128" s="214">
        <f t="shared" si="1364"/>
        <v>47.270140000000026</v>
      </c>
      <c r="AF3128" s="214">
        <f t="shared" si="1364"/>
        <v>47.270139999989112</v>
      </c>
      <c r="AG3128" s="165">
        <f t="shared" si="1364"/>
        <v>47.270139999960008</v>
      </c>
      <c r="AH3128" s="165">
        <f t="shared" si="1364"/>
        <v>47.270139999981836</v>
      </c>
      <c r="AI3128" s="165">
        <f t="shared" si="1364"/>
        <v>47.270139999956371</v>
      </c>
      <c r="AJ3128" s="165">
        <f t="shared" si="1364"/>
        <v>47.270139999963646</v>
      </c>
      <c r="AK3128" s="165">
        <f t="shared" si="1364"/>
        <v>47.270139999967284</v>
      </c>
      <c r="AL3128" s="165">
        <f t="shared" si="1364"/>
        <v>47.27013999997456</v>
      </c>
      <c r="AM3128" s="165">
        <f t="shared" si="1364"/>
        <v>47.270139999972741</v>
      </c>
      <c r="AN3128" s="165">
        <f t="shared" si="1364"/>
        <v>47.270139999967284</v>
      </c>
      <c r="AO3128" s="165">
        <f t="shared" si="1364"/>
        <v>47.270139999945457</v>
      </c>
      <c r="AP3128" s="214"/>
      <c r="AQ3128" s="214"/>
      <c r="AR3128" s="214"/>
      <c r="AS3128" s="208">
        <f t="shared" si="1365"/>
        <v>0</v>
      </c>
      <c r="AT3128" s="208">
        <f t="shared" si="1365"/>
        <v>0</v>
      </c>
      <c r="AU3128" s="208">
        <f t="shared" si="1365"/>
        <v>0</v>
      </c>
      <c r="AV3128" s="208">
        <f t="shared" si="1365"/>
        <v>0</v>
      </c>
      <c r="AW3128" s="208">
        <f t="shared" si="1365"/>
        <v>0</v>
      </c>
      <c r="AX3128" s="208">
        <f t="shared" si="1365"/>
        <v>0</v>
      </c>
      <c r="AY3128" s="208">
        <f t="shared" si="1365"/>
        <v>0</v>
      </c>
      <c r="AZ3128" s="208">
        <f t="shared" si="1365"/>
        <v>0</v>
      </c>
      <c r="BA3128" s="208">
        <f t="shared" si="1365"/>
        <v>0</v>
      </c>
      <c r="BB3128" s="208">
        <f t="shared" si="1365"/>
        <v>0</v>
      </c>
      <c r="BC3128" s="208">
        <f t="shared" si="1366"/>
        <v>0</v>
      </c>
      <c r="BD3128" s="208">
        <f t="shared" si="1366"/>
        <v>0</v>
      </c>
      <c r="BE3128" s="208">
        <f t="shared" si="1366"/>
        <v>0</v>
      </c>
      <c r="BF3128" s="208">
        <f t="shared" si="1366"/>
        <v>0</v>
      </c>
      <c r="BG3128" s="208">
        <f t="shared" si="1366"/>
        <v>0</v>
      </c>
      <c r="BH3128" s="208">
        <f t="shared" si="1366"/>
        <v>0</v>
      </c>
      <c r="BI3128" s="208">
        <f t="shared" si="1366"/>
        <v>0</v>
      </c>
      <c r="BJ3128" s="208">
        <f t="shared" si="1366"/>
        <v>0</v>
      </c>
      <c r="BK3128" s="208">
        <f t="shared" si="1366"/>
        <v>0</v>
      </c>
      <c r="BL3128" s="208">
        <f t="shared" si="1366"/>
        <v>0</v>
      </c>
      <c r="BM3128" s="208">
        <f t="shared" si="1367"/>
        <v>0</v>
      </c>
      <c r="BN3128" s="208">
        <f t="shared" si="1367"/>
        <v>0</v>
      </c>
      <c r="BO3128" s="208">
        <f t="shared" si="1367"/>
        <v>0</v>
      </c>
      <c r="BP3128" s="208">
        <f t="shared" si="1367"/>
        <v>0</v>
      </c>
      <c r="BQ3128" s="266">
        <f t="shared" si="1367"/>
        <v>0</v>
      </c>
      <c r="BR3128" s="266">
        <f t="shared" si="1367"/>
        <v>0</v>
      </c>
      <c r="BS3128" s="266">
        <f t="shared" si="1367"/>
        <v>0</v>
      </c>
      <c r="BT3128" s="266">
        <f t="shared" si="1367"/>
        <v>0</v>
      </c>
      <c r="BU3128" s="266">
        <f t="shared" si="1367"/>
        <v>0</v>
      </c>
      <c r="BV3128" s="266">
        <f t="shared" si="1367"/>
        <v>0</v>
      </c>
      <c r="BW3128" s="267">
        <f t="shared" si="1368"/>
        <v>0</v>
      </c>
      <c r="BX3128" s="266">
        <f t="shared" si="1368"/>
        <v>0</v>
      </c>
      <c r="BY3128" s="266">
        <f t="shared" si="1368"/>
        <v>0</v>
      </c>
      <c r="BZ3128" s="266">
        <f t="shared" si="1368"/>
        <v>0</v>
      </c>
      <c r="CA3128" s="266">
        <f t="shared" si="1368"/>
        <v>0</v>
      </c>
      <c r="CB3128" s="266">
        <f t="shared" si="1368"/>
        <v>0</v>
      </c>
      <c r="CC3128" s="266"/>
      <c r="CD3128" s="266"/>
      <c r="CE3128" s="265"/>
      <c r="CF3128" s="265"/>
      <c r="CG3128" s="265"/>
      <c r="CH3128" s="266"/>
      <c r="CI3128" s="225"/>
      <c r="CJ3128" s="225"/>
      <c r="CK3128" s="225"/>
      <c r="CL3128" s="225"/>
      <c r="CM3128" s="224"/>
    </row>
    <row r="3129" spans="1:91">
      <c r="A3129" s="421"/>
      <c r="B3129" s="421"/>
      <c r="C3129" s="665" t="s">
        <v>2425</v>
      </c>
      <c r="D3129" s="705" t="s">
        <v>2519</v>
      </c>
      <c r="E3129" s="421"/>
      <c r="F3129" s="421"/>
      <c r="G3129" s="421" t="s">
        <v>2426</v>
      </c>
      <c r="H3129" s="676"/>
      <c r="I3129" s="459"/>
      <c r="J3129" s="459"/>
      <c r="K3129" s="427"/>
      <c r="L3129" s="688"/>
      <c r="M3129" s="457"/>
      <c r="N3129" s="458"/>
      <c r="O3129" s="458"/>
      <c r="P3129" s="688"/>
      <c r="Q3129" s="408"/>
      <c r="R3129" s="490"/>
      <c r="S3129" s="490"/>
      <c r="T3129" s="490"/>
      <c r="U3129" s="214">
        <f t="shared" si="1363"/>
        <v>0</v>
      </c>
      <c r="V3129" s="214">
        <f t="shared" si="1363"/>
        <v>0</v>
      </c>
      <c r="W3129" s="214">
        <f t="shared" si="1363"/>
        <v>0</v>
      </c>
      <c r="X3129" s="214">
        <f t="shared" si="1363"/>
        <v>0</v>
      </c>
      <c r="Y3129" s="214">
        <f t="shared" si="1363"/>
        <v>0</v>
      </c>
      <c r="Z3129" s="214">
        <f t="shared" si="1363"/>
        <v>0</v>
      </c>
      <c r="AA3129" s="214">
        <f t="shared" si="1363"/>
        <v>0</v>
      </c>
      <c r="AB3129" s="214">
        <f t="shared" si="1363"/>
        <v>0</v>
      </c>
      <c r="AC3129" s="214">
        <f t="shared" si="1363"/>
        <v>0</v>
      </c>
      <c r="AD3129" s="214">
        <f t="shared" si="1363"/>
        <v>0</v>
      </c>
      <c r="AE3129" s="214">
        <f t="shared" si="1364"/>
        <v>0</v>
      </c>
      <c r="AF3129" s="214">
        <f t="shared" si="1364"/>
        <v>0</v>
      </c>
      <c r="AG3129" s="165">
        <f t="shared" si="1364"/>
        <v>0</v>
      </c>
      <c r="AH3129" s="165">
        <f t="shared" si="1364"/>
        <v>0</v>
      </c>
      <c r="AI3129" s="165">
        <f t="shared" si="1364"/>
        <v>0</v>
      </c>
      <c r="AJ3129" s="165">
        <f t="shared" si="1364"/>
        <v>0</v>
      </c>
      <c r="AK3129" s="165">
        <f t="shared" si="1364"/>
        <v>0</v>
      </c>
      <c r="AL3129" s="165">
        <f t="shared" si="1364"/>
        <v>0</v>
      </c>
      <c r="AM3129" s="165">
        <f t="shared" si="1364"/>
        <v>0</v>
      </c>
      <c r="AN3129" s="165">
        <f t="shared" si="1364"/>
        <v>0</v>
      </c>
      <c r="AO3129" s="165">
        <f t="shared" si="1364"/>
        <v>0</v>
      </c>
      <c r="AP3129" s="214"/>
      <c r="AQ3129" s="214"/>
      <c r="AR3129" s="214"/>
      <c r="AS3129" s="208">
        <f t="shared" si="1365"/>
        <v>0</v>
      </c>
      <c r="AT3129" s="208">
        <f t="shared" si="1365"/>
        <v>0</v>
      </c>
      <c r="AU3129" s="208">
        <f t="shared" si="1365"/>
        <v>0</v>
      </c>
      <c r="AV3129" s="208">
        <f t="shared" si="1365"/>
        <v>0</v>
      </c>
      <c r="AW3129" s="208">
        <f t="shared" si="1365"/>
        <v>0</v>
      </c>
      <c r="AX3129" s="208">
        <f t="shared" si="1365"/>
        <v>0</v>
      </c>
      <c r="AY3129" s="208">
        <f t="shared" si="1365"/>
        <v>0</v>
      </c>
      <c r="AZ3129" s="208">
        <f t="shared" si="1365"/>
        <v>0</v>
      </c>
      <c r="BA3129" s="208">
        <f t="shared" si="1365"/>
        <v>0</v>
      </c>
      <c r="BB3129" s="208">
        <f t="shared" si="1365"/>
        <v>0</v>
      </c>
      <c r="BC3129" s="208">
        <f t="shared" si="1366"/>
        <v>0</v>
      </c>
      <c r="BD3129" s="208">
        <f t="shared" si="1366"/>
        <v>0</v>
      </c>
      <c r="BE3129" s="208">
        <f t="shared" si="1366"/>
        <v>0</v>
      </c>
      <c r="BF3129" s="208">
        <f t="shared" si="1366"/>
        <v>0</v>
      </c>
      <c r="BG3129" s="208">
        <f t="shared" si="1366"/>
        <v>0</v>
      </c>
      <c r="BH3129" s="208">
        <f t="shared" si="1366"/>
        <v>0</v>
      </c>
      <c r="BI3129" s="208">
        <f t="shared" si="1366"/>
        <v>0</v>
      </c>
      <c r="BJ3129" s="208">
        <f t="shared" si="1366"/>
        <v>0</v>
      </c>
      <c r="BK3129" s="208">
        <f t="shared" si="1366"/>
        <v>0</v>
      </c>
      <c r="BL3129" s="208">
        <f t="shared" si="1366"/>
        <v>0</v>
      </c>
      <c r="BM3129" s="208">
        <f t="shared" si="1367"/>
        <v>0</v>
      </c>
      <c r="BN3129" s="208">
        <f t="shared" si="1367"/>
        <v>0</v>
      </c>
      <c r="BO3129" s="208">
        <f t="shared" si="1367"/>
        <v>0</v>
      </c>
      <c r="BP3129" s="208">
        <f t="shared" si="1367"/>
        <v>0</v>
      </c>
      <c r="BQ3129" s="208">
        <f t="shared" si="1367"/>
        <v>0</v>
      </c>
      <c r="BR3129" s="208">
        <f t="shared" si="1367"/>
        <v>0</v>
      </c>
      <c r="BS3129" s="208">
        <f t="shared" si="1367"/>
        <v>0</v>
      </c>
      <c r="BT3129" s="208">
        <f t="shared" si="1367"/>
        <v>0</v>
      </c>
      <c r="BU3129" s="208">
        <f t="shared" si="1367"/>
        <v>0</v>
      </c>
      <c r="BV3129" s="208">
        <f t="shared" si="1367"/>
        <v>0</v>
      </c>
      <c r="BW3129" s="208">
        <f t="shared" si="1368"/>
        <v>0</v>
      </c>
      <c r="BX3129" s="208">
        <f t="shared" si="1368"/>
        <v>0</v>
      </c>
      <c r="BY3129" s="208">
        <f t="shared" si="1368"/>
        <v>0</v>
      </c>
      <c r="BZ3129" s="208">
        <f t="shared" si="1368"/>
        <v>0</v>
      </c>
      <c r="CA3129" s="208">
        <f t="shared" si="1368"/>
        <v>0</v>
      </c>
      <c r="CB3129" s="208">
        <f t="shared" si="1368"/>
        <v>0</v>
      </c>
      <c r="CC3129" s="208"/>
      <c r="CD3129" s="208"/>
      <c r="CE3129" s="265"/>
      <c r="CF3129" s="265"/>
      <c r="CG3129" s="265"/>
      <c r="CH3129" s="266"/>
      <c r="CI3129" s="225"/>
      <c r="CJ3129" s="225"/>
      <c r="CK3129" s="225"/>
      <c r="CL3129" s="225"/>
      <c r="CM3129" s="224"/>
    </row>
    <row r="3130" spans="1:91">
      <c r="A3130" s="421"/>
      <c r="B3130" s="421"/>
      <c r="C3130" s="665" t="s">
        <v>2427</v>
      </c>
      <c r="D3130" s="705" t="s">
        <v>2519</v>
      </c>
      <c r="E3130" s="421"/>
      <c r="F3130" s="421"/>
      <c r="G3130" s="421" t="s">
        <v>2571</v>
      </c>
      <c r="H3130" s="676"/>
      <c r="I3130" s="459"/>
      <c r="J3130" s="459"/>
      <c r="K3130" s="427"/>
      <c r="L3130" s="688"/>
      <c r="M3130" s="457"/>
      <c r="N3130" s="458"/>
      <c r="O3130" s="458"/>
      <c r="P3130" s="688"/>
      <c r="Q3130" s="408"/>
      <c r="R3130" s="490"/>
      <c r="S3130" s="490"/>
      <c r="T3130" s="490"/>
      <c r="U3130" s="214">
        <f t="shared" si="1363"/>
        <v>0</v>
      </c>
      <c r="V3130" s="214">
        <f t="shared" si="1363"/>
        <v>0</v>
      </c>
      <c r="W3130" s="214">
        <f t="shared" si="1363"/>
        <v>1428.710957500015</v>
      </c>
      <c r="X3130" s="214">
        <f t="shared" si="1363"/>
        <v>1428.710957500015</v>
      </c>
      <c r="Y3130" s="214">
        <f t="shared" si="1363"/>
        <v>0</v>
      </c>
      <c r="Z3130" s="214">
        <f t="shared" si="1363"/>
        <v>0</v>
      </c>
      <c r="AA3130" s="214">
        <f t="shared" si="1363"/>
        <v>3934.3101199999933</v>
      </c>
      <c r="AB3130" s="214">
        <f t="shared" si="1363"/>
        <v>3934.3101199999933</v>
      </c>
      <c r="AC3130" s="214">
        <f t="shared" si="1363"/>
        <v>1548.7784799999988</v>
      </c>
      <c r="AD3130" s="214">
        <f t="shared" si="1363"/>
        <v>1512.4173899999957</v>
      </c>
      <c r="AE3130" s="214">
        <f t="shared" si="1364"/>
        <v>1476.0562699999944</v>
      </c>
      <c r="AF3130" s="214">
        <f t="shared" si="1364"/>
        <v>1413.9431499999957</v>
      </c>
      <c r="AG3130" s="165">
        <f t="shared" si="1364"/>
        <v>1377.58224</v>
      </c>
      <c r="AH3130" s="165">
        <f t="shared" si="1364"/>
        <v>1341.2211500000019</v>
      </c>
      <c r="AI3130" s="165">
        <f t="shared" si="1364"/>
        <v>1299.0606800000044</v>
      </c>
      <c r="AJ3130" s="165">
        <f t="shared" si="1364"/>
        <v>1262.6995899999993</v>
      </c>
      <c r="AK3130" s="165">
        <f t="shared" si="1364"/>
        <v>1231.837060000003</v>
      </c>
      <c r="AL3130" s="165">
        <f t="shared" si="1364"/>
        <v>1199.0843100000004</v>
      </c>
      <c r="AM3130" s="165">
        <f t="shared" si="1364"/>
        <v>1162.7232200000049</v>
      </c>
      <c r="AN3130" s="165">
        <f t="shared" si="1364"/>
        <v>1126.3621299999913</v>
      </c>
      <c r="AO3130" s="165">
        <f t="shared" si="1364"/>
        <v>3934.3101199999933</v>
      </c>
      <c r="AP3130" s="214"/>
      <c r="AQ3130" s="214"/>
      <c r="AR3130" s="214"/>
      <c r="AS3130" s="208">
        <f t="shared" si="1365"/>
        <v>0</v>
      </c>
      <c r="AT3130" s="208">
        <f t="shared" si="1365"/>
        <v>0</v>
      </c>
      <c r="AU3130" s="208">
        <f t="shared" si="1365"/>
        <v>0</v>
      </c>
      <c r="AV3130" s="208">
        <f t="shared" si="1365"/>
        <v>0</v>
      </c>
      <c r="AW3130" s="208">
        <f t="shared" si="1365"/>
        <v>0</v>
      </c>
      <c r="AX3130" s="208">
        <f t="shared" si="1365"/>
        <v>0</v>
      </c>
      <c r="AY3130" s="208">
        <f t="shared" si="1365"/>
        <v>0</v>
      </c>
      <c r="AZ3130" s="208">
        <f t="shared" si="1365"/>
        <v>0</v>
      </c>
      <c r="BA3130" s="208">
        <f t="shared" si="1365"/>
        <v>0</v>
      </c>
      <c r="BB3130" s="208">
        <f t="shared" si="1365"/>
        <v>0</v>
      </c>
      <c r="BC3130" s="208">
        <f t="shared" si="1366"/>
        <v>0</v>
      </c>
      <c r="BD3130" s="208">
        <f t="shared" si="1366"/>
        <v>0</v>
      </c>
      <c r="BE3130" s="208">
        <f t="shared" si="1366"/>
        <v>0</v>
      </c>
      <c r="BF3130" s="208">
        <f t="shared" si="1366"/>
        <v>0</v>
      </c>
      <c r="BG3130" s="208">
        <f t="shared" si="1366"/>
        <v>0</v>
      </c>
      <c r="BH3130" s="208">
        <f t="shared" si="1366"/>
        <v>0</v>
      </c>
      <c r="BI3130" s="208">
        <f t="shared" si="1366"/>
        <v>0</v>
      </c>
      <c r="BJ3130" s="208">
        <f t="shared" si="1366"/>
        <v>0</v>
      </c>
      <c r="BK3130" s="208">
        <f t="shared" si="1366"/>
        <v>0</v>
      </c>
      <c r="BL3130" s="208">
        <f t="shared" si="1366"/>
        <v>0</v>
      </c>
      <c r="BM3130" s="208">
        <f t="shared" si="1367"/>
        <v>0</v>
      </c>
      <c r="BN3130" s="208">
        <f t="shared" si="1367"/>
        <v>0</v>
      </c>
      <c r="BO3130" s="208">
        <f t="shared" si="1367"/>
        <v>0</v>
      </c>
      <c r="BP3130" s="208">
        <f t="shared" si="1367"/>
        <v>0</v>
      </c>
      <c r="BQ3130" s="208">
        <f t="shared" si="1367"/>
        <v>0</v>
      </c>
      <c r="BR3130" s="208">
        <f t="shared" si="1367"/>
        <v>0</v>
      </c>
      <c r="BS3130" s="208">
        <f t="shared" si="1367"/>
        <v>0</v>
      </c>
      <c r="BT3130" s="208">
        <f t="shared" si="1367"/>
        <v>0</v>
      </c>
      <c r="BU3130" s="208">
        <f t="shared" si="1367"/>
        <v>0</v>
      </c>
      <c r="BV3130" s="208">
        <f t="shared" si="1367"/>
        <v>0</v>
      </c>
      <c r="BW3130" s="208">
        <f t="shared" si="1368"/>
        <v>0</v>
      </c>
      <c r="BX3130" s="208">
        <f t="shared" si="1368"/>
        <v>0</v>
      </c>
      <c r="BY3130" s="208">
        <f t="shared" si="1368"/>
        <v>0</v>
      </c>
      <c r="BZ3130" s="208">
        <f t="shared" si="1368"/>
        <v>0</v>
      </c>
      <c r="CA3130" s="208">
        <f t="shared" si="1368"/>
        <v>0</v>
      </c>
      <c r="CB3130" s="208">
        <f t="shared" si="1368"/>
        <v>0</v>
      </c>
      <c r="CC3130" s="208"/>
      <c r="CD3130" s="208"/>
      <c r="CE3130" s="265"/>
      <c r="CF3130" s="265"/>
      <c r="CG3130" s="265"/>
      <c r="CH3130" s="266"/>
      <c r="CI3130" s="225"/>
      <c r="CJ3130" s="225"/>
      <c r="CK3130" s="225"/>
      <c r="CL3130" s="225"/>
      <c r="CM3130" s="224"/>
    </row>
    <row r="3131" spans="1:91">
      <c r="A3131" s="421"/>
      <c r="B3131" s="421"/>
      <c r="C3131" s="665" t="s">
        <v>2429</v>
      </c>
      <c r="D3131" s="705" t="s">
        <v>2519</v>
      </c>
      <c r="E3131" s="421"/>
      <c r="F3131" s="421"/>
      <c r="G3131" s="421" t="s">
        <v>2572</v>
      </c>
      <c r="H3131" s="676"/>
      <c r="I3131" s="459"/>
      <c r="J3131" s="459"/>
      <c r="K3131" s="427"/>
      <c r="L3131" s="688"/>
      <c r="M3131" s="457"/>
      <c r="N3131" s="458"/>
      <c r="O3131" s="458"/>
      <c r="P3131" s="688"/>
      <c r="Q3131" s="408"/>
      <c r="R3131" s="490"/>
      <c r="S3131" s="490"/>
      <c r="T3131" s="490"/>
      <c r="U3131" s="214">
        <f t="shared" si="1363"/>
        <v>0</v>
      </c>
      <c r="V3131" s="214">
        <f t="shared" si="1363"/>
        <v>0</v>
      </c>
      <c r="W3131" s="214">
        <f t="shared" si="1363"/>
        <v>0</v>
      </c>
      <c r="X3131" s="214">
        <f t="shared" si="1363"/>
        <v>0</v>
      </c>
      <c r="Y3131" s="214">
        <f t="shared" si="1363"/>
        <v>0</v>
      </c>
      <c r="Z3131" s="214">
        <f t="shared" si="1363"/>
        <v>0</v>
      </c>
      <c r="AA3131" s="214">
        <f t="shared" si="1363"/>
        <v>0</v>
      </c>
      <c r="AB3131" s="214">
        <f t="shared" si="1363"/>
        <v>0</v>
      </c>
      <c r="AC3131" s="214">
        <f t="shared" si="1363"/>
        <v>0</v>
      </c>
      <c r="AD3131" s="214">
        <f t="shared" si="1363"/>
        <v>0</v>
      </c>
      <c r="AE3131" s="214">
        <f t="shared" si="1364"/>
        <v>0</v>
      </c>
      <c r="AF3131" s="214">
        <f t="shared" si="1364"/>
        <v>0</v>
      </c>
      <c r="AG3131" s="165">
        <f t="shared" si="1364"/>
        <v>0</v>
      </c>
      <c r="AH3131" s="165">
        <f t="shared" si="1364"/>
        <v>0</v>
      </c>
      <c r="AI3131" s="165">
        <f t="shared" si="1364"/>
        <v>0</v>
      </c>
      <c r="AJ3131" s="165">
        <f t="shared" si="1364"/>
        <v>0</v>
      </c>
      <c r="AK3131" s="165">
        <f t="shared" si="1364"/>
        <v>0</v>
      </c>
      <c r="AL3131" s="165">
        <f t="shared" si="1364"/>
        <v>0</v>
      </c>
      <c r="AM3131" s="165">
        <f t="shared" si="1364"/>
        <v>0</v>
      </c>
      <c r="AN3131" s="165">
        <f t="shared" si="1364"/>
        <v>0</v>
      </c>
      <c r="AO3131" s="165">
        <f t="shared" si="1364"/>
        <v>0</v>
      </c>
      <c r="AP3131" s="214"/>
      <c r="AQ3131" s="214"/>
      <c r="AR3131" s="214"/>
      <c r="AS3131" s="208">
        <f t="shared" si="1365"/>
        <v>0</v>
      </c>
      <c r="AT3131" s="208">
        <f t="shared" si="1365"/>
        <v>0</v>
      </c>
      <c r="AU3131" s="208">
        <f t="shared" si="1365"/>
        <v>0</v>
      </c>
      <c r="AV3131" s="208">
        <f t="shared" si="1365"/>
        <v>0</v>
      </c>
      <c r="AW3131" s="208">
        <f t="shared" si="1365"/>
        <v>0</v>
      </c>
      <c r="AX3131" s="208">
        <f t="shared" si="1365"/>
        <v>0</v>
      </c>
      <c r="AY3131" s="208">
        <f t="shared" si="1365"/>
        <v>0</v>
      </c>
      <c r="AZ3131" s="208">
        <f t="shared" si="1365"/>
        <v>0</v>
      </c>
      <c r="BA3131" s="208">
        <f t="shared" si="1365"/>
        <v>0</v>
      </c>
      <c r="BB3131" s="208">
        <f t="shared" si="1365"/>
        <v>0</v>
      </c>
      <c r="BC3131" s="208">
        <f t="shared" si="1366"/>
        <v>0</v>
      </c>
      <c r="BD3131" s="208">
        <f t="shared" si="1366"/>
        <v>0</v>
      </c>
      <c r="BE3131" s="208">
        <f t="shared" si="1366"/>
        <v>0</v>
      </c>
      <c r="BF3131" s="208">
        <f t="shared" si="1366"/>
        <v>0</v>
      </c>
      <c r="BG3131" s="208">
        <f t="shared" si="1366"/>
        <v>0</v>
      </c>
      <c r="BH3131" s="208">
        <f t="shared" si="1366"/>
        <v>0</v>
      </c>
      <c r="BI3131" s="208">
        <f t="shared" si="1366"/>
        <v>0</v>
      </c>
      <c r="BJ3131" s="208">
        <f t="shared" si="1366"/>
        <v>0</v>
      </c>
      <c r="BK3131" s="208">
        <f t="shared" si="1366"/>
        <v>0</v>
      </c>
      <c r="BL3131" s="208">
        <f t="shared" si="1366"/>
        <v>0</v>
      </c>
      <c r="BM3131" s="208">
        <f t="shared" si="1367"/>
        <v>0</v>
      </c>
      <c r="BN3131" s="208">
        <f t="shared" si="1367"/>
        <v>0</v>
      </c>
      <c r="BO3131" s="208">
        <f t="shared" si="1367"/>
        <v>0</v>
      </c>
      <c r="BP3131" s="208">
        <f t="shared" si="1367"/>
        <v>0</v>
      </c>
      <c r="BQ3131" s="208">
        <f t="shared" si="1367"/>
        <v>0</v>
      </c>
      <c r="BR3131" s="208">
        <f t="shared" si="1367"/>
        <v>0</v>
      </c>
      <c r="BS3131" s="208">
        <f t="shared" si="1367"/>
        <v>0</v>
      </c>
      <c r="BT3131" s="208">
        <f t="shared" si="1367"/>
        <v>0</v>
      </c>
      <c r="BU3131" s="208">
        <f t="shared" si="1367"/>
        <v>0</v>
      </c>
      <c r="BV3131" s="208">
        <f t="shared" si="1367"/>
        <v>0</v>
      </c>
      <c r="BW3131" s="208">
        <f t="shared" si="1368"/>
        <v>0</v>
      </c>
      <c r="BX3131" s="208">
        <f t="shared" si="1368"/>
        <v>0</v>
      </c>
      <c r="BY3131" s="208">
        <f t="shared" si="1368"/>
        <v>0</v>
      </c>
      <c r="BZ3131" s="208">
        <f t="shared" si="1368"/>
        <v>0</v>
      </c>
      <c r="CA3131" s="208">
        <f t="shared" si="1368"/>
        <v>0</v>
      </c>
      <c r="CB3131" s="208">
        <f t="shared" si="1368"/>
        <v>0</v>
      </c>
      <c r="CC3131" s="208"/>
      <c r="CD3131" s="208"/>
      <c r="CE3131" s="265"/>
      <c r="CF3131" s="265"/>
      <c r="CG3131" s="265"/>
      <c r="CH3131" s="266"/>
      <c r="CI3131" s="225"/>
      <c r="CJ3131" s="225"/>
      <c r="CK3131" s="225"/>
      <c r="CL3131" s="225"/>
      <c r="CM3131" s="224"/>
    </row>
    <row r="3132" spans="1:91">
      <c r="A3132" s="421"/>
      <c r="B3132" s="421"/>
      <c r="C3132" s="665" t="s">
        <v>2430</v>
      </c>
      <c r="D3132" s="705" t="s">
        <v>2519</v>
      </c>
      <c r="E3132" s="421"/>
      <c r="F3132" s="421"/>
      <c r="G3132" s="421" t="s">
        <v>2431</v>
      </c>
      <c r="H3132" s="676"/>
      <c r="I3132" s="459"/>
      <c r="J3132" s="459"/>
      <c r="K3132" s="427"/>
      <c r="L3132" s="688"/>
      <c r="M3132" s="457"/>
      <c r="N3132" s="458"/>
      <c r="O3132" s="458"/>
      <c r="P3132" s="688"/>
      <c r="Q3132" s="408"/>
      <c r="R3132" s="490"/>
      <c r="S3132" s="490"/>
      <c r="T3132" s="490"/>
      <c r="U3132" s="214">
        <f t="shared" si="1363"/>
        <v>0</v>
      </c>
      <c r="V3132" s="214">
        <f t="shared" si="1363"/>
        <v>0</v>
      </c>
      <c r="W3132" s="214">
        <f t="shared" si="1363"/>
        <v>0</v>
      </c>
      <c r="X3132" s="214">
        <f t="shared" si="1363"/>
        <v>0</v>
      </c>
      <c r="Y3132" s="214">
        <f t="shared" si="1363"/>
        <v>0</v>
      </c>
      <c r="Z3132" s="214">
        <f t="shared" si="1363"/>
        <v>0</v>
      </c>
      <c r="AA3132" s="214">
        <f t="shared" si="1363"/>
        <v>0</v>
      </c>
      <c r="AB3132" s="214">
        <f t="shared" si="1363"/>
        <v>0</v>
      </c>
      <c r="AC3132" s="214">
        <f t="shared" si="1363"/>
        <v>0</v>
      </c>
      <c r="AD3132" s="214">
        <f t="shared" si="1363"/>
        <v>0</v>
      </c>
      <c r="AE3132" s="214">
        <f t="shared" si="1364"/>
        <v>0</v>
      </c>
      <c r="AF3132" s="214">
        <f t="shared" si="1364"/>
        <v>0</v>
      </c>
      <c r="AG3132" s="214">
        <f t="shared" si="1364"/>
        <v>0</v>
      </c>
      <c r="AH3132" s="214">
        <f t="shared" si="1364"/>
        <v>0</v>
      </c>
      <c r="AI3132" s="214">
        <f t="shared" si="1364"/>
        <v>0</v>
      </c>
      <c r="AJ3132" s="214">
        <f t="shared" si="1364"/>
        <v>0</v>
      </c>
      <c r="AK3132" s="214">
        <f t="shared" si="1364"/>
        <v>0</v>
      </c>
      <c r="AL3132" s="214">
        <f t="shared" si="1364"/>
        <v>0</v>
      </c>
      <c r="AM3132" s="214">
        <f t="shared" si="1364"/>
        <v>0</v>
      </c>
      <c r="AN3132" s="214">
        <f t="shared" si="1364"/>
        <v>0</v>
      </c>
      <c r="AO3132" s="214">
        <f t="shared" si="1364"/>
        <v>0</v>
      </c>
      <c r="AP3132" s="214"/>
      <c r="AQ3132" s="214"/>
      <c r="AR3132" s="214"/>
      <c r="AS3132" s="208">
        <f t="shared" si="1365"/>
        <v>0</v>
      </c>
      <c r="AT3132" s="208">
        <f t="shared" si="1365"/>
        <v>0</v>
      </c>
      <c r="AU3132" s="208">
        <f t="shared" si="1365"/>
        <v>0</v>
      </c>
      <c r="AV3132" s="208">
        <f t="shared" si="1365"/>
        <v>0</v>
      </c>
      <c r="AW3132" s="208">
        <f t="shared" si="1365"/>
        <v>0</v>
      </c>
      <c r="AX3132" s="208">
        <f t="shared" si="1365"/>
        <v>0</v>
      </c>
      <c r="AY3132" s="208">
        <f t="shared" si="1365"/>
        <v>0</v>
      </c>
      <c r="AZ3132" s="208">
        <f t="shared" si="1365"/>
        <v>0</v>
      </c>
      <c r="BA3132" s="208">
        <f t="shared" si="1365"/>
        <v>0</v>
      </c>
      <c r="BB3132" s="208">
        <f t="shared" si="1365"/>
        <v>0</v>
      </c>
      <c r="BC3132" s="208">
        <f t="shared" si="1366"/>
        <v>0</v>
      </c>
      <c r="BD3132" s="208">
        <f t="shared" si="1366"/>
        <v>0</v>
      </c>
      <c r="BE3132" s="208">
        <f t="shared" si="1366"/>
        <v>0</v>
      </c>
      <c r="BF3132" s="208">
        <f t="shared" si="1366"/>
        <v>0</v>
      </c>
      <c r="BG3132" s="208">
        <f t="shared" si="1366"/>
        <v>0</v>
      </c>
      <c r="BH3132" s="208">
        <f t="shared" si="1366"/>
        <v>0</v>
      </c>
      <c r="BI3132" s="208">
        <f t="shared" si="1366"/>
        <v>0</v>
      </c>
      <c r="BJ3132" s="208">
        <f t="shared" si="1366"/>
        <v>0</v>
      </c>
      <c r="BK3132" s="208">
        <f t="shared" si="1366"/>
        <v>0</v>
      </c>
      <c r="BL3132" s="208">
        <f t="shared" si="1366"/>
        <v>0</v>
      </c>
      <c r="BM3132" s="208">
        <f t="shared" si="1367"/>
        <v>0</v>
      </c>
      <c r="BN3132" s="208">
        <f t="shared" si="1367"/>
        <v>0</v>
      </c>
      <c r="BO3132" s="208">
        <f t="shared" si="1367"/>
        <v>0</v>
      </c>
      <c r="BP3132" s="208">
        <f t="shared" si="1367"/>
        <v>0</v>
      </c>
      <c r="BQ3132" s="208">
        <f t="shared" si="1367"/>
        <v>0</v>
      </c>
      <c r="BR3132" s="208">
        <f t="shared" si="1367"/>
        <v>0</v>
      </c>
      <c r="BS3132" s="208">
        <f t="shared" si="1367"/>
        <v>0</v>
      </c>
      <c r="BT3132" s="208">
        <f t="shared" si="1367"/>
        <v>0</v>
      </c>
      <c r="BU3132" s="208">
        <f t="shared" si="1367"/>
        <v>0</v>
      </c>
      <c r="BV3132" s="208">
        <f t="shared" si="1367"/>
        <v>0</v>
      </c>
      <c r="BW3132" s="208">
        <f t="shared" si="1368"/>
        <v>0</v>
      </c>
      <c r="BX3132" s="208">
        <f t="shared" si="1368"/>
        <v>0</v>
      </c>
      <c r="BY3132" s="208">
        <f t="shared" si="1368"/>
        <v>0</v>
      </c>
      <c r="BZ3132" s="208">
        <f t="shared" si="1368"/>
        <v>0</v>
      </c>
      <c r="CA3132" s="208">
        <f t="shared" si="1368"/>
        <v>0</v>
      </c>
      <c r="CB3132" s="208">
        <f t="shared" si="1368"/>
        <v>0</v>
      </c>
      <c r="CC3132" s="208"/>
      <c r="CD3132" s="208"/>
      <c r="CE3132" s="265"/>
      <c r="CF3132" s="265"/>
      <c r="CG3132" s="265"/>
      <c r="CH3132" s="266"/>
      <c r="CI3132" s="225"/>
      <c r="CJ3132" s="225"/>
      <c r="CK3132" s="225"/>
      <c r="CL3132" s="225"/>
      <c r="CM3132" s="224"/>
    </row>
    <row r="3133" spans="1:91">
      <c r="A3133" s="421"/>
      <c r="B3133" s="421"/>
      <c r="C3133" s="665" t="s">
        <v>2432</v>
      </c>
      <c r="D3133" s="705" t="s">
        <v>2519</v>
      </c>
      <c r="E3133" s="421"/>
      <c r="F3133" s="421"/>
      <c r="G3133" s="421" t="s">
        <v>2433</v>
      </c>
      <c r="H3133" s="676"/>
      <c r="I3133" s="459"/>
      <c r="J3133" s="459"/>
      <c r="K3133" s="427"/>
      <c r="L3133" s="688"/>
      <c r="M3133" s="457"/>
      <c r="N3133" s="458"/>
      <c r="O3133" s="458"/>
      <c r="P3133" s="688"/>
      <c r="Q3133" s="408"/>
      <c r="R3133" s="490"/>
      <c r="S3133" s="490"/>
      <c r="T3133" s="490"/>
      <c r="U3133" s="214">
        <f t="shared" si="1363"/>
        <v>0</v>
      </c>
      <c r="V3133" s="214">
        <f t="shared" si="1363"/>
        <v>0</v>
      </c>
      <c r="W3133" s="214">
        <f t="shared" si="1363"/>
        <v>-9305.9389145834139</v>
      </c>
      <c r="X3133" s="214">
        <f t="shared" si="1363"/>
        <v>-9305.9389145832974</v>
      </c>
      <c r="Y3133" s="214">
        <f t="shared" si="1363"/>
        <v>0</v>
      </c>
      <c r="Z3133" s="214">
        <f t="shared" si="1363"/>
        <v>0</v>
      </c>
      <c r="AA3133" s="214">
        <f t="shared" si="1363"/>
        <v>-9943.1269599999778</v>
      </c>
      <c r="AB3133" s="214">
        <f t="shared" si="1363"/>
        <v>-9943.1269600000523</v>
      </c>
      <c r="AC3133" s="214">
        <f t="shared" si="1363"/>
        <v>-7766.9019100000223</v>
      </c>
      <c r="AD3133" s="214">
        <f t="shared" si="1363"/>
        <v>-6873.724139999993</v>
      </c>
      <c r="AE3133" s="214">
        <f t="shared" si="1364"/>
        <v>-9345.2508200000302</v>
      </c>
      <c r="AF3133" s="214">
        <f t="shared" si="1364"/>
        <v>-9396.6888499999932</v>
      </c>
      <c r="AG3133" s="214">
        <f t="shared" si="1364"/>
        <v>-9448.4183900000098</v>
      </c>
      <c r="AH3133" s="214">
        <f t="shared" si="1364"/>
        <v>-9500.4410900000294</v>
      </c>
      <c r="AI3133" s="214">
        <f t="shared" si="1364"/>
        <v>-9552.6989400000111</v>
      </c>
      <c r="AJ3133" s="214">
        <f t="shared" si="1364"/>
        <v>-9605.2934599999626</v>
      </c>
      <c r="AK3133" s="214">
        <f t="shared" si="1364"/>
        <v>-9658.2054099999514</v>
      </c>
      <c r="AL3133" s="214">
        <f t="shared" si="1364"/>
        <v>-9711.4171999999344</v>
      </c>
      <c r="AM3133" s="214">
        <f t="shared" si="1364"/>
        <v>-9835.1094099999536</v>
      </c>
      <c r="AN3133" s="214">
        <f t="shared" si="1364"/>
        <v>-9889.0048300000308</v>
      </c>
      <c r="AO3133" s="214">
        <f t="shared" si="1364"/>
        <v>-9943.1269600000523</v>
      </c>
      <c r="AP3133" s="214"/>
      <c r="AQ3133" s="214"/>
      <c r="AR3133" s="214"/>
      <c r="AS3133" s="208">
        <f t="shared" si="1365"/>
        <v>0</v>
      </c>
      <c r="AT3133" s="208">
        <f t="shared" si="1365"/>
        <v>0</v>
      </c>
      <c r="AU3133" s="208">
        <f t="shared" si="1365"/>
        <v>0</v>
      </c>
      <c r="AV3133" s="208">
        <f t="shared" si="1365"/>
        <v>0</v>
      </c>
      <c r="AW3133" s="208">
        <f t="shared" si="1365"/>
        <v>0</v>
      </c>
      <c r="AX3133" s="208">
        <f t="shared" si="1365"/>
        <v>0</v>
      </c>
      <c r="AY3133" s="208">
        <f t="shared" si="1365"/>
        <v>0</v>
      </c>
      <c r="AZ3133" s="208">
        <f t="shared" si="1365"/>
        <v>0</v>
      </c>
      <c r="BA3133" s="208">
        <f t="shared" si="1365"/>
        <v>0</v>
      </c>
      <c r="BB3133" s="208">
        <f t="shared" si="1365"/>
        <v>0</v>
      </c>
      <c r="BC3133" s="208">
        <f t="shared" si="1366"/>
        <v>0</v>
      </c>
      <c r="BD3133" s="208">
        <f t="shared" si="1366"/>
        <v>0</v>
      </c>
      <c r="BE3133" s="208">
        <f t="shared" si="1366"/>
        <v>0</v>
      </c>
      <c r="BF3133" s="208">
        <f t="shared" si="1366"/>
        <v>0</v>
      </c>
      <c r="BG3133" s="208">
        <f t="shared" si="1366"/>
        <v>0</v>
      </c>
      <c r="BH3133" s="208">
        <f t="shared" si="1366"/>
        <v>0</v>
      </c>
      <c r="BI3133" s="208">
        <f t="shared" si="1366"/>
        <v>0</v>
      </c>
      <c r="BJ3133" s="208">
        <f t="shared" si="1366"/>
        <v>0</v>
      </c>
      <c r="BK3133" s="208">
        <f t="shared" si="1366"/>
        <v>0</v>
      </c>
      <c r="BL3133" s="208">
        <f t="shared" si="1366"/>
        <v>0</v>
      </c>
      <c r="BM3133" s="208">
        <f t="shared" si="1367"/>
        <v>0</v>
      </c>
      <c r="BN3133" s="208">
        <f t="shared" si="1367"/>
        <v>0</v>
      </c>
      <c r="BO3133" s="208">
        <f t="shared" si="1367"/>
        <v>0</v>
      </c>
      <c r="BP3133" s="208">
        <f t="shared" si="1367"/>
        <v>0</v>
      </c>
      <c r="BQ3133" s="208">
        <f t="shared" si="1367"/>
        <v>0</v>
      </c>
      <c r="BR3133" s="208">
        <f t="shared" si="1367"/>
        <v>0</v>
      </c>
      <c r="BS3133" s="208">
        <f t="shared" si="1367"/>
        <v>0</v>
      </c>
      <c r="BT3133" s="208">
        <f t="shared" si="1367"/>
        <v>0</v>
      </c>
      <c r="BU3133" s="208">
        <f t="shared" si="1367"/>
        <v>0</v>
      </c>
      <c r="BV3133" s="208">
        <f t="shared" si="1367"/>
        <v>0</v>
      </c>
      <c r="BW3133" s="208">
        <f t="shared" si="1368"/>
        <v>0</v>
      </c>
      <c r="BX3133" s="208">
        <f t="shared" si="1368"/>
        <v>0</v>
      </c>
      <c r="BY3133" s="208">
        <f t="shared" si="1368"/>
        <v>0</v>
      </c>
      <c r="BZ3133" s="208">
        <f t="shared" si="1368"/>
        <v>0</v>
      </c>
      <c r="CA3133" s="208">
        <f t="shared" si="1368"/>
        <v>0</v>
      </c>
      <c r="CB3133" s="208">
        <f t="shared" si="1368"/>
        <v>0</v>
      </c>
      <c r="CC3133" s="208"/>
      <c r="CD3133" s="208"/>
      <c r="CE3133" s="265"/>
      <c r="CF3133" s="265"/>
      <c r="CG3133" s="265"/>
      <c r="CH3133" s="266"/>
      <c r="CI3133" s="225"/>
      <c r="CJ3133" s="225"/>
      <c r="CK3133" s="225"/>
      <c r="CL3133" s="225"/>
      <c r="CM3133" s="224"/>
    </row>
    <row r="3134" spans="1:91">
      <c r="A3134" s="421"/>
      <c r="B3134" s="421"/>
      <c r="C3134" s="665" t="s">
        <v>2434</v>
      </c>
      <c r="D3134" s="705" t="s">
        <v>2519</v>
      </c>
      <c r="E3134" s="421"/>
      <c r="F3134" s="421"/>
      <c r="G3134" s="421" t="s">
        <v>2435</v>
      </c>
      <c r="H3134" s="676"/>
      <c r="I3134" s="459"/>
      <c r="J3134" s="459"/>
      <c r="K3134" s="427"/>
      <c r="L3134" s="688"/>
      <c r="M3134" s="457"/>
      <c r="N3134" s="458"/>
      <c r="O3134" s="458"/>
      <c r="P3134" s="688"/>
      <c r="Q3134" s="408"/>
      <c r="R3134" s="490"/>
      <c r="S3134" s="490"/>
      <c r="T3134" s="490"/>
      <c r="U3134" s="214">
        <f t="shared" si="1363"/>
        <v>0</v>
      </c>
      <c r="V3134" s="214">
        <f t="shared" si="1363"/>
        <v>0</v>
      </c>
      <c r="W3134" s="214">
        <f t="shared" si="1363"/>
        <v>0</v>
      </c>
      <c r="X3134" s="214">
        <f t="shared" si="1363"/>
        <v>0</v>
      </c>
      <c r="Y3134" s="214">
        <f t="shared" si="1363"/>
        <v>0</v>
      </c>
      <c r="Z3134" s="214">
        <f t="shared" si="1363"/>
        <v>0</v>
      </c>
      <c r="AA3134" s="214">
        <f t="shared" si="1363"/>
        <v>0</v>
      </c>
      <c r="AB3134" s="214">
        <f t="shared" si="1363"/>
        <v>0</v>
      </c>
      <c r="AC3134" s="214">
        <f t="shared" si="1363"/>
        <v>0</v>
      </c>
      <c r="AD3134" s="214">
        <f t="shared" si="1363"/>
        <v>0</v>
      </c>
      <c r="AE3134" s="214">
        <f t="shared" si="1364"/>
        <v>0</v>
      </c>
      <c r="AF3134" s="214">
        <f t="shared" si="1364"/>
        <v>0</v>
      </c>
      <c r="AG3134" s="214">
        <f t="shared" si="1364"/>
        <v>0</v>
      </c>
      <c r="AH3134" s="214">
        <f t="shared" si="1364"/>
        <v>0</v>
      </c>
      <c r="AI3134" s="214">
        <f t="shared" si="1364"/>
        <v>0</v>
      </c>
      <c r="AJ3134" s="214">
        <f t="shared" si="1364"/>
        <v>0</v>
      </c>
      <c r="AK3134" s="214">
        <f t="shared" si="1364"/>
        <v>0</v>
      </c>
      <c r="AL3134" s="214">
        <f t="shared" si="1364"/>
        <v>0</v>
      </c>
      <c r="AM3134" s="214">
        <f t="shared" si="1364"/>
        <v>0</v>
      </c>
      <c r="AN3134" s="214">
        <f t="shared" si="1364"/>
        <v>0</v>
      </c>
      <c r="AO3134" s="214">
        <f t="shared" si="1364"/>
        <v>0</v>
      </c>
      <c r="AP3134" s="214"/>
      <c r="AQ3134" s="214"/>
      <c r="AR3134" s="214"/>
      <c r="AS3134" s="208">
        <f t="shared" si="1365"/>
        <v>0</v>
      </c>
      <c r="AT3134" s="208">
        <f t="shared" si="1365"/>
        <v>0</v>
      </c>
      <c r="AU3134" s="208">
        <f t="shared" si="1365"/>
        <v>0</v>
      </c>
      <c r="AV3134" s="208">
        <f t="shared" si="1365"/>
        <v>0</v>
      </c>
      <c r="AW3134" s="208">
        <f t="shared" si="1365"/>
        <v>0</v>
      </c>
      <c r="AX3134" s="208">
        <f t="shared" si="1365"/>
        <v>0</v>
      </c>
      <c r="AY3134" s="208">
        <f t="shared" si="1365"/>
        <v>0</v>
      </c>
      <c r="AZ3134" s="208">
        <f t="shared" si="1365"/>
        <v>0</v>
      </c>
      <c r="BA3134" s="208">
        <f t="shared" si="1365"/>
        <v>0</v>
      </c>
      <c r="BB3134" s="208">
        <f t="shared" si="1365"/>
        <v>0</v>
      </c>
      <c r="BC3134" s="208">
        <f t="shared" si="1366"/>
        <v>0</v>
      </c>
      <c r="BD3134" s="208">
        <f t="shared" si="1366"/>
        <v>0</v>
      </c>
      <c r="BE3134" s="208">
        <f t="shared" si="1366"/>
        <v>0</v>
      </c>
      <c r="BF3134" s="208">
        <f t="shared" si="1366"/>
        <v>0</v>
      </c>
      <c r="BG3134" s="208">
        <f t="shared" si="1366"/>
        <v>0</v>
      </c>
      <c r="BH3134" s="208">
        <f t="shared" si="1366"/>
        <v>0</v>
      </c>
      <c r="BI3134" s="208">
        <f t="shared" si="1366"/>
        <v>0</v>
      </c>
      <c r="BJ3134" s="208">
        <f t="shared" si="1366"/>
        <v>0</v>
      </c>
      <c r="BK3134" s="208">
        <f t="shared" si="1366"/>
        <v>0</v>
      </c>
      <c r="BL3134" s="208">
        <f t="shared" si="1366"/>
        <v>0</v>
      </c>
      <c r="BM3134" s="208">
        <f t="shared" si="1367"/>
        <v>0</v>
      </c>
      <c r="BN3134" s="208">
        <f t="shared" si="1367"/>
        <v>0</v>
      </c>
      <c r="BO3134" s="208">
        <f t="shared" si="1367"/>
        <v>0</v>
      </c>
      <c r="BP3134" s="208">
        <f t="shared" si="1367"/>
        <v>0</v>
      </c>
      <c r="BQ3134" s="208">
        <f t="shared" si="1367"/>
        <v>0</v>
      </c>
      <c r="BR3134" s="208">
        <f t="shared" si="1367"/>
        <v>0</v>
      </c>
      <c r="BS3134" s="208">
        <f t="shared" si="1367"/>
        <v>0</v>
      </c>
      <c r="BT3134" s="208">
        <f t="shared" si="1367"/>
        <v>0</v>
      </c>
      <c r="BU3134" s="208">
        <f t="shared" si="1367"/>
        <v>0</v>
      </c>
      <c r="BV3134" s="208">
        <f t="shared" si="1367"/>
        <v>0</v>
      </c>
      <c r="BW3134" s="208">
        <f t="shared" si="1368"/>
        <v>0</v>
      </c>
      <c r="BX3134" s="208">
        <f t="shared" si="1368"/>
        <v>0</v>
      </c>
      <c r="BY3134" s="208">
        <f t="shared" si="1368"/>
        <v>0</v>
      </c>
      <c r="BZ3134" s="208">
        <f t="shared" si="1368"/>
        <v>0</v>
      </c>
      <c r="CA3134" s="208">
        <f t="shared" si="1368"/>
        <v>0</v>
      </c>
      <c r="CB3134" s="208">
        <f t="shared" si="1368"/>
        <v>0</v>
      </c>
      <c r="CC3134" s="208"/>
      <c r="CD3134" s="208"/>
      <c r="CE3134" s="265"/>
      <c r="CF3134" s="265"/>
      <c r="CG3134" s="265"/>
      <c r="CH3134" s="266"/>
      <c r="CI3134" s="225"/>
      <c r="CJ3134" s="225"/>
      <c r="CK3134" s="225"/>
      <c r="CL3134" s="225"/>
      <c r="CM3134" s="224"/>
    </row>
    <row r="3135" spans="1:91">
      <c r="A3135" s="421"/>
      <c r="B3135" s="421"/>
      <c r="C3135" s="665" t="s">
        <v>2436</v>
      </c>
      <c r="D3135" s="705" t="s">
        <v>2519</v>
      </c>
      <c r="E3135" s="421"/>
      <c r="F3135" s="421"/>
      <c r="G3135" s="421" t="s">
        <v>2437</v>
      </c>
      <c r="H3135" s="676"/>
      <c r="I3135" s="459"/>
      <c r="J3135" s="459"/>
      <c r="K3135" s="427"/>
      <c r="L3135" s="688"/>
      <c r="M3135" s="457"/>
      <c r="N3135" s="458"/>
      <c r="O3135" s="458"/>
      <c r="P3135" s="688"/>
      <c r="Q3135" s="408"/>
      <c r="R3135" s="490"/>
      <c r="S3135" s="490"/>
      <c r="T3135" s="490"/>
      <c r="U3135" s="214">
        <f t="shared" si="1363"/>
        <v>0</v>
      </c>
      <c r="V3135" s="214">
        <f t="shared" si="1363"/>
        <v>0</v>
      </c>
      <c r="W3135" s="214">
        <f t="shared" si="1363"/>
        <v>-94705.592064624914</v>
      </c>
      <c r="X3135" s="214">
        <f t="shared" si="1363"/>
        <v>-94705.592064624914</v>
      </c>
      <c r="Y3135" s="214">
        <f t="shared" si="1363"/>
        <v>0</v>
      </c>
      <c r="Z3135" s="214">
        <f t="shared" si="1363"/>
        <v>0</v>
      </c>
      <c r="AA3135" s="214">
        <f t="shared" si="1363"/>
        <v>-128542.81368299996</v>
      </c>
      <c r="AB3135" s="214">
        <f t="shared" si="1363"/>
        <v>-128542.81368299996</v>
      </c>
      <c r="AC3135" s="214">
        <f t="shared" si="1363"/>
        <v>-62015.594181999986</v>
      </c>
      <c r="AD3135" s="214">
        <f t="shared" si="1363"/>
        <v>-63685.402932999998</v>
      </c>
      <c r="AE3135" s="214">
        <f t="shared" si="1364"/>
        <v>-67781.871202999959</v>
      </c>
      <c r="AF3135" s="214">
        <f t="shared" si="1364"/>
        <v>-70978.379892999976</v>
      </c>
      <c r="AG3135" s="214">
        <f t="shared" si="1364"/>
        <v>-100427.65672299998</v>
      </c>
      <c r="AH3135" s="214">
        <f t="shared" si="1364"/>
        <v>-90588.328403000065</v>
      </c>
      <c r="AI3135" s="214">
        <f t="shared" si="1364"/>
        <v>-96776.145592999936</v>
      </c>
      <c r="AJ3135" s="214">
        <f t="shared" si="1364"/>
        <v>-95286.314392999964</v>
      </c>
      <c r="AK3135" s="214">
        <f t="shared" si="1364"/>
        <v>-94844.787712999983</v>
      </c>
      <c r="AL3135" s="214">
        <f t="shared" si="1364"/>
        <v>-110650.34706300002</v>
      </c>
      <c r="AM3135" s="214">
        <f t="shared" si="1364"/>
        <v>-121383.38095299994</v>
      </c>
      <c r="AN3135" s="214">
        <f t="shared" si="1364"/>
        <v>-128785.28597299998</v>
      </c>
      <c r="AO3135" s="214">
        <f t="shared" si="1364"/>
        <v>-128542.81368299996</v>
      </c>
      <c r="AP3135" s="214"/>
      <c r="AQ3135" s="214"/>
      <c r="AR3135" s="214"/>
      <c r="AS3135" s="208">
        <f t="shared" si="1365"/>
        <v>0</v>
      </c>
      <c r="AT3135" s="208">
        <f t="shared" si="1365"/>
        <v>0</v>
      </c>
      <c r="AU3135" s="208">
        <f t="shared" si="1365"/>
        <v>0</v>
      </c>
      <c r="AV3135" s="208">
        <f t="shared" si="1365"/>
        <v>0</v>
      </c>
      <c r="AW3135" s="208">
        <f t="shared" si="1365"/>
        <v>0</v>
      </c>
      <c r="AX3135" s="208">
        <f t="shared" si="1365"/>
        <v>0</v>
      </c>
      <c r="AY3135" s="208">
        <f t="shared" si="1365"/>
        <v>0</v>
      </c>
      <c r="AZ3135" s="208">
        <f t="shared" si="1365"/>
        <v>0</v>
      </c>
      <c r="BA3135" s="208">
        <f t="shared" si="1365"/>
        <v>0</v>
      </c>
      <c r="BB3135" s="208">
        <f t="shared" si="1365"/>
        <v>0</v>
      </c>
      <c r="BC3135" s="208">
        <f t="shared" si="1366"/>
        <v>0</v>
      </c>
      <c r="BD3135" s="208">
        <f t="shared" si="1366"/>
        <v>0</v>
      </c>
      <c r="BE3135" s="208">
        <f t="shared" si="1366"/>
        <v>0</v>
      </c>
      <c r="BF3135" s="208">
        <f t="shared" si="1366"/>
        <v>0</v>
      </c>
      <c r="BG3135" s="208">
        <f t="shared" si="1366"/>
        <v>0</v>
      </c>
      <c r="BH3135" s="208">
        <f t="shared" si="1366"/>
        <v>0</v>
      </c>
      <c r="BI3135" s="208">
        <f t="shared" si="1366"/>
        <v>0</v>
      </c>
      <c r="BJ3135" s="208">
        <f t="shared" si="1366"/>
        <v>0</v>
      </c>
      <c r="BK3135" s="208">
        <f t="shared" si="1366"/>
        <v>0</v>
      </c>
      <c r="BL3135" s="208">
        <f t="shared" si="1366"/>
        <v>0</v>
      </c>
      <c r="BM3135" s="208">
        <f t="shared" si="1367"/>
        <v>0</v>
      </c>
      <c r="BN3135" s="208">
        <f t="shared" si="1367"/>
        <v>0</v>
      </c>
      <c r="BO3135" s="208">
        <f t="shared" si="1367"/>
        <v>0</v>
      </c>
      <c r="BP3135" s="208">
        <f t="shared" si="1367"/>
        <v>0</v>
      </c>
      <c r="BQ3135" s="208">
        <f t="shared" si="1367"/>
        <v>0</v>
      </c>
      <c r="BR3135" s="208">
        <f t="shared" si="1367"/>
        <v>0</v>
      </c>
      <c r="BS3135" s="208">
        <f t="shared" si="1367"/>
        <v>0</v>
      </c>
      <c r="BT3135" s="208">
        <f t="shared" si="1367"/>
        <v>0</v>
      </c>
      <c r="BU3135" s="208">
        <f t="shared" si="1367"/>
        <v>0</v>
      </c>
      <c r="BV3135" s="208">
        <f t="shared" si="1367"/>
        <v>0</v>
      </c>
      <c r="BW3135" s="208">
        <f t="shared" si="1368"/>
        <v>0</v>
      </c>
      <c r="BX3135" s="208">
        <f t="shared" si="1368"/>
        <v>0</v>
      </c>
      <c r="BY3135" s="208">
        <f t="shared" si="1368"/>
        <v>0</v>
      </c>
      <c r="BZ3135" s="208">
        <f t="shared" si="1368"/>
        <v>0</v>
      </c>
      <c r="CA3135" s="208">
        <f t="shared" si="1368"/>
        <v>0</v>
      </c>
      <c r="CB3135" s="208">
        <f t="shared" si="1368"/>
        <v>0</v>
      </c>
      <c r="CC3135" s="208"/>
      <c r="CD3135" s="208"/>
      <c r="CE3135" s="265"/>
      <c r="CF3135" s="265"/>
      <c r="CG3135" s="265"/>
      <c r="CH3135" s="266"/>
      <c r="CI3135" s="225"/>
      <c r="CJ3135" s="225"/>
      <c r="CK3135" s="225"/>
      <c r="CL3135" s="225"/>
      <c r="CM3135" s="224"/>
    </row>
    <row r="3136" spans="1:91" ht="5.25" customHeight="1">
      <c r="A3136" s="421"/>
      <c r="B3136" s="421"/>
      <c r="C3136" s="658"/>
      <c r="D3136" s="705"/>
      <c r="E3136" s="421"/>
      <c r="F3136" s="421"/>
      <c r="G3136" s="421"/>
      <c r="H3136" s="676"/>
      <c r="I3136" s="459"/>
      <c r="J3136" s="459"/>
      <c r="K3136" s="427"/>
      <c r="L3136" s="688"/>
      <c r="M3136" s="457"/>
      <c r="N3136" s="458"/>
      <c r="O3136" s="458"/>
      <c r="P3136" s="688"/>
      <c r="Q3136" s="408"/>
      <c r="R3136" s="490"/>
      <c r="S3136" s="490"/>
      <c r="T3136" s="490"/>
      <c r="U3136" s="215">
        <v>0</v>
      </c>
      <c r="V3136" s="215">
        <v>0</v>
      </c>
      <c r="W3136" s="215">
        <v>0</v>
      </c>
      <c r="X3136" s="215">
        <v>0</v>
      </c>
      <c r="Y3136" s="215">
        <v>0</v>
      </c>
      <c r="Z3136" s="215">
        <v>0</v>
      </c>
      <c r="AA3136" s="215">
        <v>0</v>
      </c>
      <c r="AB3136" s="215">
        <v>0</v>
      </c>
      <c r="AC3136" s="215">
        <v>0</v>
      </c>
      <c r="AD3136" s="215">
        <v>0</v>
      </c>
      <c r="AE3136" s="215">
        <v>0</v>
      </c>
      <c r="AF3136" s="215">
        <v>0</v>
      </c>
      <c r="AG3136" s="215">
        <v>0</v>
      </c>
      <c r="AH3136" s="215">
        <v>0</v>
      </c>
      <c r="AI3136" s="215">
        <v>0</v>
      </c>
      <c r="AJ3136" s="215">
        <v>0</v>
      </c>
      <c r="AK3136" s="215">
        <v>0</v>
      </c>
      <c r="AL3136" s="215">
        <v>0</v>
      </c>
      <c r="AM3136" s="215">
        <v>0</v>
      </c>
      <c r="AN3136" s="215">
        <v>0</v>
      </c>
      <c r="AO3136" s="215">
        <v>0</v>
      </c>
      <c r="AP3136" s="215"/>
      <c r="AQ3136" s="215"/>
      <c r="AR3136" s="215"/>
      <c r="AS3136" s="268">
        <v>0</v>
      </c>
      <c r="AT3136" s="268">
        <v>0</v>
      </c>
      <c r="AU3136" s="268">
        <v>0</v>
      </c>
      <c r="AV3136" s="268">
        <v>0</v>
      </c>
      <c r="AW3136" s="268">
        <v>0</v>
      </c>
      <c r="AX3136" s="268">
        <v>0</v>
      </c>
      <c r="AY3136" s="268">
        <v>0</v>
      </c>
      <c r="AZ3136" s="268">
        <v>0</v>
      </c>
      <c r="BA3136" s="268">
        <v>0</v>
      </c>
      <c r="BB3136" s="268">
        <v>0</v>
      </c>
      <c r="BC3136" s="268">
        <v>0</v>
      </c>
      <c r="BD3136" s="268">
        <v>0</v>
      </c>
      <c r="BE3136" s="268">
        <v>0</v>
      </c>
      <c r="BF3136" s="268">
        <v>0</v>
      </c>
      <c r="BG3136" s="268">
        <v>0</v>
      </c>
      <c r="BH3136" s="268">
        <v>0</v>
      </c>
      <c r="BI3136" s="268">
        <v>0</v>
      </c>
      <c r="BJ3136" s="268">
        <v>0</v>
      </c>
      <c r="BK3136" s="268">
        <v>0</v>
      </c>
      <c r="BL3136" s="268">
        <v>0</v>
      </c>
      <c r="BM3136" s="268">
        <v>0</v>
      </c>
      <c r="BN3136" s="268">
        <v>1</v>
      </c>
      <c r="BO3136" s="268">
        <v>1</v>
      </c>
      <c r="BP3136" s="268">
        <v>1</v>
      </c>
      <c r="BQ3136" s="268">
        <v>1</v>
      </c>
      <c r="BR3136" s="268">
        <v>2</v>
      </c>
      <c r="BS3136" s="268">
        <v>2</v>
      </c>
      <c r="BT3136" s="268">
        <v>2</v>
      </c>
      <c r="BU3136" s="268">
        <v>2</v>
      </c>
      <c r="BV3136" s="268">
        <v>2</v>
      </c>
      <c r="BW3136" s="268">
        <v>3</v>
      </c>
      <c r="BX3136" s="268">
        <v>3</v>
      </c>
      <c r="BY3136" s="268">
        <v>3</v>
      </c>
      <c r="BZ3136" s="268">
        <v>3</v>
      </c>
      <c r="CA3136" s="268">
        <v>3</v>
      </c>
      <c r="CB3136" s="268">
        <v>3</v>
      </c>
      <c r="CC3136" s="268"/>
      <c r="CD3136" s="268"/>
      <c r="CE3136" s="265"/>
      <c r="CF3136" s="265"/>
      <c r="CG3136" s="265"/>
      <c r="CH3136" s="266"/>
      <c r="CI3136" s="225"/>
      <c r="CJ3136" s="225"/>
      <c r="CK3136" s="225"/>
      <c r="CL3136" s="225"/>
      <c r="CM3136" s="224"/>
    </row>
    <row r="3137" spans="1:91">
      <c r="A3137" s="409"/>
      <c r="B3137" s="409"/>
      <c r="C3137" s="655"/>
      <c r="D3137" s="659"/>
      <c r="E3137" s="409"/>
      <c r="F3137" s="409"/>
      <c r="G3137" s="409"/>
      <c r="H3137" s="677"/>
      <c r="I3137" s="460"/>
      <c r="J3137" s="460"/>
      <c r="K3137" s="405"/>
      <c r="L3137" s="655"/>
      <c r="M3137" s="405"/>
      <c r="N3137" s="449"/>
      <c r="O3137" s="449"/>
      <c r="P3137" s="655"/>
      <c r="Q3137" s="406"/>
      <c r="R3137" s="486"/>
      <c r="S3137" s="486"/>
      <c r="T3137" s="486"/>
      <c r="U3137" s="214"/>
      <c r="V3137" s="214"/>
      <c r="W3137" s="214"/>
      <c r="X3137" s="214"/>
      <c r="Y3137" s="214"/>
      <c r="Z3137" s="214"/>
      <c r="AA3137" s="214"/>
      <c r="AB3137" s="214"/>
      <c r="AC3137" s="214"/>
      <c r="AD3137" s="214"/>
      <c r="AE3137" s="214"/>
      <c r="AF3137" s="214"/>
      <c r="AG3137" s="214"/>
      <c r="AH3137" s="214"/>
      <c r="AI3137" s="214"/>
      <c r="AJ3137" s="214"/>
      <c r="AK3137" s="214"/>
      <c r="AL3137" s="214"/>
      <c r="AM3137" s="214"/>
      <c r="AN3137" s="214"/>
      <c r="AO3137" s="214"/>
      <c r="AP3137" s="214"/>
      <c r="AQ3137" s="214"/>
      <c r="AR3137" s="214"/>
      <c r="AS3137" s="208"/>
      <c r="AT3137" s="208"/>
      <c r="AU3137" s="208"/>
      <c r="AV3137" s="208"/>
      <c r="AW3137" s="208"/>
      <c r="AX3137" s="208"/>
      <c r="AY3137" s="208"/>
      <c r="AZ3137" s="208"/>
      <c r="BA3137" s="208"/>
      <c r="BB3137" s="208"/>
      <c r="BC3137" s="208"/>
      <c r="BD3137" s="208"/>
      <c r="BE3137" s="208"/>
      <c r="BF3137" s="208"/>
      <c r="BG3137" s="208"/>
      <c r="BH3137" s="208"/>
      <c r="BI3137" s="208"/>
      <c r="BJ3137" s="208"/>
      <c r="BK3137" s="208"/>
      <c r="BL3137" s="208"/>
      <c r="BM3137" s="208"/>
      <c r="BN3137" s="208"/>
      <c r="BO3137" s="208"/>
      <c r="BP3137" s="208"/>
      <c r="BQ3137" s="208"/>
      <c r="BR3137" s="208"/>
      <c r="BS3137" s="208"/>
      <c r="BT3137" s="208"/>
      <c r="BU3137" s="208"/>
      <c r="BV3137" s="208"/>
      <c r="BW3137" s="208"/>
      <c r="BX3137" s="208"/>
      <c r="BY3137" s="208"/>
      <c r="BZ3137" s="208"/>
      <c r="CA3137" s="208"/>
      <c r="CB3137" s="208"/>
      <c r="CC3137" s="208"/>
      <c r="CD3137" s="208"/>
      <c r="CE3137" s="221"/>
      <c r="CF3137" s="221"/>
      <c r="CG3137" s="221"/>
      <c r="CH3137" s="220"/>
      <c r="CI3137" s="227"/>
      <c r="CJ3137" s="227"/>
      <c r="CK3137" s="227"/>
      <c r="CL3137" s="227"/>
      <c r="CM3137" s="226"/>
    </row>
    <row r="3138" spans="1:91">
      <c r="A3138" s="409"/>
      <c r="B3138" s="409"/>
      <c r="C3138" s="659" t="s">
        <v>2475</v>
      </c>
      <c r="D3138" s="659"/>
      <c r="E3138" s="409"/>
      <c r="F3138" s="409"/>
      <c r="G3138" s="409"/>
      <c r="H3138" s="677"/>
      <c r="I3138" s="460"/>
      <c r="J3138" s="460"/>
      <c r="K3138" s="405"/>
      <c r="L3138" s="655"/>
      <c r="M3138" s="405"/>
      <c r="N3138" s="449"/>
      <c r="O3138" s="449"/>
      <c r="P3138" s="655"/>
      <c r="Q3138" s="406"/>
      <c r="R3138" s="486"/>
      <c r="S3138" s="486"/>
      <c r="T3138" s="486"/>
      <c r="U3138" s="214">
        <f t="shared" ref="U3138:AB3138" si="1369">SUM(U3125:U3137)</f>
        <v>0</v>
      </c>
      <c r="V3138" s="214">
        <f t="shared" si="1369"/>
        <v>0</v>
      </c>
      <c r="W3138" s="214">
        <f t="shared" si="1369"/>
        <v>-101789.39834712492</v>
      </c>
      <c r="X3138" s="214">
        <f t="shared" si="1369"/>
        <v>-101789.39834712481</v>
      </c>
      <c r="Y3138" s="214">
        <f t="shared" si="1369"/>
        <v>0</v>
      </c>
      <c r="Z3138" s="214">
        <f t="shared" si="1369"/>
        <v>0</v>
      </c>
      <c r="AA3138" s="214">
        <f t="shared" si="1369"/>
        <v>-134553.35415299993</v>
      </c>
      <c r="AB3138" s="214">
        <f t="shared" si="1369"/>
        <v>-134553.35415300005</v>
      </c>
      <c r="AC3138" s="214">
        <f t="shared" ref="AC3138:CB3138" si="1370">SUM(AC3125:AC3137)</f>
        <v>-77927.085932000002</v>
      </c>
      <c r="AD3138" s="214">
        <f t="shared" ref="AD3138:AE3138" si="1371">SUM(AD3125:AD3137)</f>
        <v>-79428.534193</v>
      </c>
      <c r="AE3138" s="214">
        <f t="shared" si="1371"/>
        <v>-82761.396733000016</v>
      </c>
      <c r="AF3138" s="214">
        <f t="shared" ref="AF3138:AG3138" si="1372">SUM(AF3125:AF3137)</f>
        <v>-84846.56898299999</v>
      </c>
      <c r="AG3138" s="214">
        <f t="shared" si="1372"/>
        <v>-100463.03511300003</v>
      </c>
      <c r="AH3138" s="214">
        <f t="shared" ref="AH3138:AI3138" si="1373">SUM(AH3125:AH3137)</f>
        <v>-91419.558783000146</v>
      </c>
      <c r="AI3138" s="214">
        <f t="shared" si="1373"/>
        <v>-97250.698732999983</v>
      </c>
      <c r="AJ3138" s="214">
        <f t="shared" ref="AJ3138:AK3138" si="1374">SUM(AJ3125:AJ3137)</f>
        <v>-97580.843092999974</v>
      </c>
      <c r="AK3138" s="214">
        <f t="shared" si="1374"/>
        <v>-97700.774832999959</v>
      </c>
      <c r="AL3138" s="214">
        <f t="shared" ref="AL3138:AM3138" si="1375">SUM(AL3125:AL3137)</f>
        <v>-118246.88080299999</v>
      </c>
      <c r="AM3138" s="214">
        <f t="shared" si="1375"/>
        <v>-128934.47395299989</v>
      </c>
      <c r="AN3138" s="214">
        <f t="shared" ref="AN3138:AO3138" si="1376">SUM(AN3125:AN3137)</f>
        <v>-136599.79490300006</v>
      </c>
      <c r="AO3138" s="214">
        <f t="shared" si="1376"/>
        <v>-134553.35415300005</v>
      </c>
      <c r="AP3138" s="214"/>
      <c r="AQ3138" s="214"/>
      <c r="AR3138" s="214"/>
      <c r="AS3138" s="208">
        <f t="shared" si="1370"/>
        <v>0</v>
      </c>
      <c r="AT3138" s="208">
        <f t="shared" si="1370"/>
        <v>0</v>
      </c>
      <c r="AU3138" s="208">
        <f t="shared" si="1370"/>
        <v>0</v>
      </c>
      <c r="AV3138" s="208">
        <f t="shared" si="1370"/>
        <v>0</v>
      </c>
      <c r="AW3138" s="208">
        <f t="shared" si="1370"/>
        <v>0</v>
      </c>
      <c r="AX3138" s="208">
        <f t="shared" si="1370"/>
        <v>0</v>
      </c>
      <c r="AY3138" s="208">
        <f t="shared" si="1370"/>
        <v>0</v>
      </c>
      <c r="AZ3138" s="208">
        <f t="shared" si="1370"/>
        <v>0</v>
      </c>
      <c r="BA3138" s="208">
        <f t="shared" si="1370"/>
        <v>0</v>
      </c>
      <c r="BB3138" s="208">
        <f t="shared" si="1370"/>
        <v>0</v>
      </c>
      <c r="BC3138" s="208">
        <f t="shared" si="1370"/>
        <v>0</v>
      </c>
      <c r="BD3138" s="208">
        <f t="shared" si="1370"/>
        <v>0</v>
      </c>
      <c r="BE3138" s="208">
        <f t="shared" si="1370"/>
        <v>0</v>
      </c>
      <c r="BF3138" s="208">
        <f t="shared" si="1370"/>
        <v>0</v>
      </c>
      <c r="BG3138" s="208">
        <f t="shared" si="1370"/>
        <v>0</v>
      </c>
      <c r="BH3138" s="208">
        <f t="shared" si="1370"/>
        <v>0</v>
      </c>
      <c r="BI3138" s="208">
        <f t="shared" si="1370"/>
        <v>0</v>
      </c>
      <c r="BJ3138" s="208">
        <f t="shared" si="1370"/>
        <v>0</v>
      </c>
      <c r="BK3138" s="208">
        <f t="shared" si="1370"/>
        <v>0</v>
      </c>
      <c r="BL3138" s="208">
        <f t="shared" si="1370"/>
        <v>0</v>
      </c>
      <c r="BM3138" s="208">
        <f t="shared" si="1370"/>
        <v>0</v>
      </c>
      <c r="BN3138" s="208">
        <f t="shared" si="1370"/>
        <v>1</v>
      </c>
      <c r="BO3138" s="208">
        <f t="shared" si="1370"/>
        <v>1</v>
      </c>
      <c r="BP3138" s="208">
        <f t="shared" si="1370"/>
        <v>1</v>
      </c>
      <c r="BQ3138" s="208">
        <f t="shared" si="1370"/>
        <v>1</v>
      </c>
      <c r="BR3138" s="208">
        <f t="shared" si="1370"/>
        <v>2</v>
      </c>
      <c r="BS3138" s="208">
        <f t="shared" si="1370"/>
        <v>2</v>
      </c>
      <c r="BT3138" s="208">
        <f t="shared" si="1370"/>
        <v>2</v>
      </c>
      <c r="BU3138" s="208">
        <f t="shared" si="1370"/>
        <v>2</v>
      </c>
      <c r="BV3138" s="208">
        <f t="shared" si="1370"/>
        <v>2</v>
      </c>
      <c r="BW3138" s="208">
        <f t="shared" si="1370"/>
        <v>3</v>
      </c>
      <c r="BX3138" s="208">
        <f t="shared" si="1370"/>
        <v>3</v>
      </c>
      <c r="BY3138" s="208">
        <f t="shared" si="1370"/>
        <v>3</v>
      </c>
      <c r="BZ3138" s="208">
        <f t="shared" si="1370"/>
        <v>3</v>
      </c>
      <c r="CA3138" s="208">
        <f t="shared" si="1370"/>
        <v>3</v>
      </c>
      <c r="CB3138" s="208">
        <f t="shared" si="1370"/>
        <v>3</v>
      </c>
      <c r="CC3138" s="208"/>
      <c r="CD3138" s="208"/>
      <c r="CE3138" s="221"/>
      <c r="CF3138" s="221"/>
      <c r="CG3138" s="221"/>
      <c r="CH3138" s="220"/>
      <c r="CI3138" s="227"/>
      <c r="CJ3138" s="227"/>
      <c r="CK3138" s="227"/>
      <c r="CL3138" s="227"/>
      <c r="CM3138" s="226"/>
    </row>
    <row r="3139" spans="1:91" s="227" customFormat="1" ht="12.75" customHeight="1">
      <c r="A3139" s="447"/>
      <c r="B3139" s="409"/>
      <c r="C3139" s="656"/>
      <c r="D3139" s="655"/>
      <c r="E3139" s="405"/>
      <c r="F3139" s="405"/>
      <c r="G3139" s="406"/>
      <c r="H3139" s="672"/>
      <c r="I3139" s="448"/>
      <c r="J3139" s="448"/>
      <c r="K3139" s="405"/>
      <c r="L3139" s="655"/>
      <c r="M3139" s="405"/>
      <c r="N3139" s="449"/>
      <c r="O3139" s="449"/>
      <c r="P3139" s="655"/>
      <c r="Q3139" s="406"/>
      <c r="R3139" s="486"/>
      <c r="S3139" s="486"/>
      <c r="T3139" s="486"/>
      <c r="U3139" s="215"/>
      <c r="V3139" s="215"/>
      <c r="W3139" s="215"/>
      <c r="X3139" s="215"/>
      <c r="Y3139" s="215"/>
      <c r="Z3139" s="215"/>
      <c r="AA3139" s="215"/>
      <c r="AB3139" s="215"/>
      <c r="AC3139" s="215"/>
      <c r="AD3139" s="215"/>
      <c r="AE3139" s="215"/>
      <c r="AF3139" s="215"/>
      <c r="AG3139" s="215"/>
      <c r="AH3139" s="215"/>
      <c r="AI3139" s="215"/>
      <c r="AJ3139" s="215"/>
      <c r="AK3139" s="215"/>
      <c r="AL3139" s="215"/>
      <c r="AM3139" s="215"/>
      <c r="AN3139" s="215"/>
      <c r="AO3139" s="215"/>
      <c r="AP3139" s="215"/>
      <c r="AQ3139" s="215"/>
      <c r="AR3139" s="215"/>
      <c r="AS3139" s="268"/>
      <c r="AT3139" s="268"/>
      <c r="AU3139" s="268"/>
      <c r="AV3139" s="268"/>
      <c r="AW3139" s="268"/>
      <c r="AX3139" s="268"/>
      <c r="AY3139" s="268"/>
      <c r="AZ3139" s="268"/>
      <c r="BA3139" s="268"/>
      <c r="BB3139" s="268"/>
      <c r="BC3139" s="268"/>
      <c r="BD3139" s="268"/>
      <c r="BE3139" s="268"/>
      <c r="BF3139" s="268"/>
      <c r="BG3139" s="268"/>
      <c r="BH3139" s="268"/>
      <c r="BI3139" s="268"/>
      <c r="BJ3139" s="268"/>
      <c r="BK3139" s="268"/>
      <c r="BL3139" s="268"/>
      <c r="BM3139" s="268"/>
      <c r="BN3139" s="268"/>
      <c r="BO3139" s="268"/>
      <c r="BP3139" s="268"/>
      <c r="BQ3139" s="268"/>
      <c r="BR3139" s="268"/>
      <c r="BS3139" s="268"/>
      <c r="BT3139" s="268"/>
      <c r="BU3139" s="268"/>
      <c r="BV3139" s="268"/>
      <c r="BW3139" s="268"/>
      <c r="BX3139" s="268"/>
      <c r="BY3139" s="268"/>
      <c r="BZ3139" s="268"/>
      <c r="CA3139" s="268"/>
      <c r="CB3139" s="268"/>
      <c r="CC3139" s="268"/>
      <c r="CD3139" s="268"/>
      <c r="CE3139" s="269"/>
      <c r="CF3139" s="269"/>
      <c r="CG3139" s="269"/>
      <c r="CH3139" s="220"/>
      <c r="CM3139" s="213"/>
    </row>
    <row r="3140" spans="1:91">
      <c r="A3140" s="409"/>
      <c r="B3140" s="409"/>
      <c r="C3140" s="656"/>
      <c r="D3140" s="655"/>
      <c r="E3140" s="405"/>
      <c r="F3140" s="405"/>
      <c r="G3140" s="406"/>
      <c r="H3140" s="672"/>
      <c r="I3140" s="448"/>
      <c r="J3140" s="448"/>
      <c r="K3140" s="405"/>
      <c r="L3140" s="655"/>
      <c r="M3140" s="405"/>
      <c r="N3140" s="449"/>
      <c r="O3140" s="449"/>
      <c r="P3140" s="655"/>
      <c r="Q3140" s="406"/>
      <c r="R3140" s="486"/>
      <c r="S3140" s="486"/>
      <c r="T3140" s="486"/>
      <c r="U3140" s="214"/>
      <c r="V3140" s="214"/>
      <c r="W3140" s="214"/>
      <c r="X3140" s="214"/>
      <c r="Y3140" s="214"/>
      <c r="Z3140" s="214"/>
      <c r="AA3140" s="214"/>
      <c r="AB3140" s="214"/>
      <c r="AC3140" s="214"/>
      <c r="AD3140" s="214"/>
      <c r="AE3140" s="214"/>
      <c r="AF3140" s="214"/>
      <c r="AG3140" s="214"/>
      <c r="AH3140" s="214"/>
      <c r="AI3140" s="214"/>
      <c r="AJ3140" s="214"/>
      <c r="AK3140" s="214"/>
      <c r="AL3140" s="214"/>
      <c r="AM3140" s="214"/>
      <c r="AN3140" s="214"/>
      <c r="AO3140" s="214"/>
      <c r="AP3140" s="214"/>
      <c r="AQ3140" s="214"/>
      <c r="AR3140" s="214"/>
      <c r="AS3140" s="208"/>
      <c r="AT3140" s="208"/>
      <c r="AU3140" s="208"/>
      <c r="AV3140" s="208"/>
      <c r="AW3140" s="208"/>
      <c r="AX3140" s="208"/>
      <c r="AY3140" s="208"/>
      <c r="AZ3140" s="208"/>
      <c r="BA3140" s="208"/>
      <c r="BB3140" s="208"/>
      <c r="BC3140" s="208"/>
      <c r="BD3140" s="208"/>
      <c r="BE3140" s="208"/>
      <c r="BF3140" s="208"/>
      <c r="BG3140" s="208"/>
      <c r="BH3140" s="208"/>
      <c r="BI3140" s="208"/>
      <c r="BJ3140" s="208"/>
      <c r="BK3140" s="208"/>
      <c r="BL3140" s="208"/>
      <c r="BM3140" s="208"/>
      <c r="BN3140" s="208"/>
      <c r="BO3140" s="208"/>
      <c r="BP3140" s="208"/>
      <c r="BQ3140" s="208"/>
      <c r="BR3140" s="208"/>
      <c r="BS3140" s="208"/>
      <c r="BT3140" s="208"/>
      <c r="BU3140" s="208"/>
      <c r="BV3140" s="208"/>
      <c r="BW3140" s="208"/>
      <c r="BX3140" s="208"/>
      <c r="BY3140" s="208"/>
      <c r="BZ3140" s="208"/>
      <c r="CA3140" s="208"/>
      <c r="CB3140" s="208"/>
      <c r="CC3140" s="208"/>
      <c r="CD3140" s="208"/>
      <c r="CE3140" s="221"/>
      <c r="CF3140" s="221"/>
      <c r="CG3140" s="221"/>
      <c r="CH3140" s="220"/>
      <c r="CI3140" s="227"/>
      <c r="CJ3140" s="227"/>
      <c r="CK3140" s="227"/>
      <c r="CL3140" s="227"/>
      <c r="CM3140" s="213"/>
    </row>
    <row r="3141" spans="1:91">
      <c r="A3141" s="409"/>
      <c r="B3141" s="409"/>
      <c r="C3141" s="656"/>
      <c r="D3141" s="655"/>
      <c r="E3141" s="405"/>
      <c r="F3141" s="405"/>
      <c r="G3141" s="406"/>
      <c r="H3141" s="672"/>
      <c r="I3141" s="448"/>
      <c r="J3141" s="448"/>
      <c r="K3141" s="405"/>
      <c r="L3141" s="655"/>
      <c r="M3141" s="405"/>
      <c r="N3141" s="449"/>
      <c r="O3141" s="449"/>
      <c r="P3141" s="655"/>
      <c r="Q3141" s="406"/>
      <c r="R3141" s="486"/>
      <c r="S3141" s="486"/>
      <c r="T3141" s="486"/>
      <c r="U3141" s="216"/>
      <c r="V3141" s="216"/>
      <c r="W3141" s="216"/>
      <c r="X3141" s="216"/>
      <c r="Y3141" s="216"/>
      <c r="Z3141" s="216"/>
      <c r="AA3141" s="216"/>
      <c r="AB3141" s="216"/>
      <c r="AC3141" s="216">
        <f>+AC3133+AC3135</f>
        <v>-69782.496092000016</v>
      </c>
      <c r="AD3141" s="216">
        <f t="shared" ref="AD3141:AO3141" si="1377">+AD3133+AD3135</f>
        <v>-70559.127072999996</v>
      </c>
      <c r="AE3141" s="216">
        <f t="shared" si="1377"/>
        <v>-77127.122022999989</v>
      </c>
      <c r="AF3141" s="216">
        <f t="shared" si="1377"/>
        <v>-80375.068742999967</v>
      </c>
      <c r="AG3141" s="216">
        <f t="shared" si="1377"/>
        <v>-109876.07511299998</v>
      </c>
      <c r="AH3141" s="216">
        <f t="shared" si="1377"/>
        <v>-100088.76949300009</v>
      </c>
      <c r="AI3141" s="216">
        <f t="shared" si="1377"/>
        <v>-106328.84453299995</v>
      </c>
      <c r="AJ3141" s="216">
        <f t="shared" si="1377"/>
        <v>-104891.60785299992</v>
      </c>
      <c r="AK3141" s="216">
        <f t="shared" si="1377"/>
        <v>-104502.99312299993</v>
      </c>
      <c r="AL3141" s="216">
        <f t="shared" si="1377"/>
        <v>-120361.76426299996</v>
      </c>
      <c r="AM3141" s="216">
        <f t="shared" si="1377"/>
        <v>-131218.4903629999</v>
      </c>
      <c r="AN3141" s="216">
        <f t="shared" si="1377"/>
        <v>-138674.29080300001</v>
      </c>
      <c r="AO3141" s="216">
        <f t="shared" si="1377"/>
        <v>-138485.94064300001</v>
      </c>
      <c r="AP3141" s="216"/>
      <c r="AQ3141" s="216"/>
      <c r="AR3141" s="216"/>
      <c r="AS3141" s="209"/>
      <c r="AT3141" s="209"/>
      <c r="AU3141" s="209"/>
      <c r="AV3141" s="209"/>
      <c r="AW3141" s="209"/>
      <c r="AX3141" s="209"/>
      <c r="AY3141" s="209"/>
      <c r="AZ3141" s="209"/>
      <c r="BA3141" s="209"/>
      <c r="BB3141" s="209"/>
      <c r="BC3141" s="209"/>
      <c r="BD3141" s="209"/>
      <c r="BE3141" s="209"/>
      <c r="BF3141" s="209"/>
      <c r="BG3141" s="209"/>
      <c r="BH3141" s="209"/>
      <c r="BI3141" s="209"/>
      <c r="BJ3141" s="209"/>
      <c r="BK3141" s="209"/>
      <c r="BL3141" s="209"/>
      <c r="BM3141" s="209"/>
      <c r="BN3141" s="209"/>
      <c r="BO3141" s="209"/>
      <c r="BP3141" s="209"/>
      <c r="BQ3141" s="209"/>
      <c r="BR3141" s="209"/>
      <c r="BS3141" s="209"/>
      <c r="BT3141" s="209"/>
      <c r="BU3141" s="209"/>
      <c r="BV3141" s="209"/>
      <c r="BW3141" s="209"/>
      <c r="BX3141" s="209"/>
      <c r="BY3141" s="209"/>
      <c r="BZ3141" s="209"/>
      <c r="CA3141" s="209"/>
      <c r="CB3141" s="209"/>
      <c r="CC3141" s="209"/>
      <c r="CD3141" s="209"/>
      <c r="CE3141" s="222"/>
      <c r="CF3141" s="222"/>
      <c r="CG3141" s="222"/>
      <c r="CH3141" s="220"/>
      <c r="CI3141" s="227"/>
      <c r="CJ3141" s="227"/>
      <c r="CK3141" s="227"/>
      <c r="CL3141" s="227"/>
      <c r="CM3141" s="213"/>
    </row>
    <row r="3142" spans="1:91">
      <c r="A3142" s="409"/>
      <c r="B3142" s="409"/>
      <c r="C3142" s="655"/>
      <c r="D3142" s="655"/>
      <c r="E3142" s="405"/>
      <c r="F3142" s="405"/>
      <c r="G3142" s="406"/>
      <c r="H3142" s="672"/>
      <c r="I3142" s="448"/>
      <c r="J3142" s="448"/>
      <c r="K3142" s="405"/>
      <c r="L3142" s="655"/>
      <c r="M3142" s="405"/>
      <c r="N3142" s="449"/>
      <c r="O3142" s="449"/>
      <c r="P3142" s="656"/>
      <c r="Q3142" s="406"/>
      <c r="R3142" s="486"/>
      <c r="S3142" s="486"/>
      <c r="T3142" s="486"/>
      <c r="U3142" s="214"/>
      <c r="V3142" s="214"/>
      <c r="W3142" s="214"/>
      <c r="X3142" s="214"/>
      <c r="Y3142" s="214"/>
      <c r="Z3142" s="214"/>
      <c r="AA3142" s="214"/>
      <c r="AB3142" s="214"/>
      <c r="AC3142" s="214"/>
      <c r="AD3142" s="214"/>
      <c r="AE3142" s="214"/>
      <c r="AF3142" s="214"/>
      <c r="AG3142" s="214"/>
      <c r="AH3142" s="214"/>
      <c r="AI3142" s="214"/>
      <c r="AJ3142" s="214"/>
      <c r="AK3142" s="214"/>
      <c r="AL3142" s="214"/>
      <c r="AM3142" s="214"/>
      <c r="AN3142" s="214"/>
      <c r="AO3142" s="214"/>
      <c r="AP3142" s="214"/>
      <c r="AQ3142" s="214"/>
      <c r="AR3142" s="214"/>
      <c r="AS3142" s="208"/>
      <c r="AT3142" s="208"/>
      <c r="AU3142" s="208"/>
      <c r="AV3142" s="208"/>
      <c r="AW3142" s="208"/>
      <c r="AX3142" s="208"/>
      <c r="AY3142" s="208"/>
      <c r="AZ3142" s="208"/>
      <c r="BA3142" s="208"/>
      <c r="BB3142" s="208"/>
      <c r="BC3142" s="208"/>
      <c r="BD3142" s="208"/>
      <c r="BE3142" s="208"/>
      <c r="BF3142" s="208"/>
      <c r="BG3142" s="208"/>
      <c r="BH3142" s="208"/>
      <c r="BI3142" s="208"/>
      <c r="BJ3142" s="208"/>
      <c r="BK3142" s="208"/>
      <c r="BL3142" s="208"/>
      <c r="BM3142" s="208"/>
      <c r="BN3142" s="208"/>
      <c r="BO3142" s="208"/>
      <c r="BP3142" s="208"/>
      <c r="BQ3142" s="208"/>
      <c r="BR3142" s="208"/>
      <c r="BS3142" s="208"/>
      <c r="BT3142" s="208"/>
      <c r="BU3142" s="208"/>
      <c r="BV3142" s="208"/>
      <c r="BW3142" s="208"/>
      <c r="BX3142" s="208"/>
      <c r="BY3142" s="208"/>
      <c r="BZ3142" s="208"/>
      <c r="CA3142" s="208"/>
      <c r="CB3142" s="208"/>
      <c r="CC3142" s="208"/>
      <c r="CD3142" s="208"/>
      <c r="CE3142" s="221"/>
      <c r="CF3142" s="221"/>
      <c r="CG3142" s="221"/>
      <c r="CH3142" s="220"/>
      <c r="CI3142" s="227"/>
      <c r="CJ3142" s="227"/>
      <c r="CK3142" s="227"/>
      <c r="CL3142" s="227"/>
      <c r="CM3142" s="213"/>
    </row>
    <row r="3143" spans="1:91">
      <c r="A3143" s="447"/>
      <c r="B3143" s="447" t="s">
        <v>2573</v>
      </c>
      <c r="C3143" s="655"/>
      <c r="D3143" s="655"/>
      <c r="E3143" s="405"/>
      <c r="F3143" s="405"/>
      <c r="G3143" s="406"/>
      <c r="H3143" s="672"/>
      <c r="I3143" s="448"/>
      <c r="J3143" s="448"/>
      <c r="K3143" s="405"/>
      <c r="L3143" s="655"/>
      <c r="M3143" s="405"/>
      <c r="N3143" s="449"/>
      <c r="O3143" s="449"/>
      <c r="P3143" s="655"/>
      <c r="Q3143" s="406"/>
      <c r="R3143" s="486"/>
      <c r="S3143" s="486"/>
      <c r="T3143" s="486"/>
      <c r="U3143" s="214"/>
      <c r="V3143" s="214"/>
      <c r="W3143" s="214"/>
      <c r="X3143" s="214"/>
      <c r="Y3143" s="214"/>
      <c r="Z3143" s="214"/>
      <c r="AA3143" s="214"/>
      <c r="AB3143" s="214"/>
      <c r="AC3143" s="214"/>
      <c r="AD3143" s="214"/>
      <c r="AE3143" s="214"/>
      <c r="AF3143" s="214"/>
      <c r="AG3143" s="214"/>
      <c r="AH3143" s="214"/>
      <c r="AI3143" s="214"/>
      <c r="AJ3143" s="214"/>
      <c r="AK3143" s="214"/>
      <c r="AL3143" s="214"/>
      <c r="AM3143" s="214"/>
      <c r="AN3143" s="214"/>
      <c r="AO3143" s="214"/>
      <c r="AP3143" s="214"/>
      <c r="AQ3143" s="214"/>
      <c r="AR3143" s="214"/>
      <c r="AS3143" s="208"/>
      <c r="AT3143" s="208"/>
      <c r="AU3143" s="208"/>
      <c r="AV3143" s="208"/>
      <c r="AW3143" s="208"/>
      <c r="AX3143" s="208"/>
      <c r="AY3143" s="208"/>
      <c r="AZ3143" s="208"/>
      <c r="BA3143" s="208"/>
      <c r="BB3143" s="208"/>
      <c r="BC3143" s="208"/>
      <c r="BD3143" s="208"/>
      <c r="BE3143" s="208"/>
      <c r="BF3143" s="208"/>
      <c r="BG3143" s="208"/>
      <c r="BH3143" s="208"/>
      <c r="BI3143" s="208"/>
      <c r="BJ3143" s="208"/>
      <c r="BK3143" s="208"/>
      <c r="BL3143" s="208"/>
      <c r="BM3143" s="208"/>
      <c r="BN3143" s="208"/>
      <c r="BO3143" s="208"/>
      <c r="BP3143" s="208"/>
      <c r="BQ3143" s="208"/>
      <c r="BR3143" s="208"/>
      <c r="BS3143" s="208"/>
      <c r="BT3143" s="208"/>
      <c r="BU3143" s="208"/>
      <c r="BV3143" s="208"/>
      <c r="BW3143" s="208"/>
      <c r="BX3143" s="208"/>
      <c r="BY3143" s="208"/>
      <c r="BZ3143" s="208"/>
      <c r="CA3143" s="208"/>
      <c r="CB3143" s="208"/>
      <c r="CC3143" s="208"/>
      <c r="CD3143" s="208"/>
      <c r="CE3143" s="221"/>
      <c r="CF3143" s="221"/>
      <c r="CG3143" s="221"/>
      <c r="CH3143" s="220"/>
      <c r="CI3143" s="227"/>
      <c r="CJ3143" s="227"/>
      <c r="CK3143" s="227"/>
      <c r="CL3143" s="227"/>
      <c r="CM3143" s="213"/>
    </row>
    <row r="3144" spans="1:91">
      <c r="A3144" s="464"/>
      <c r="B3144" s="464"/>
      <c r="C3144" s="656" t="s">
        <v>1130</v>
      </c>
      <c r="D3144" s="689"/>
      <c r="E3144" s="422"/>
      <c r="F3144" s="422"/>
      <c r="G3144" s="461"/>
      <c r="H3144" s="678"/>
      <c r="I3144" s="462"/>
      <c r="J3144" s="462"/>
      <c r="K3144" s="422"/>
      <c r="L3144" s="689"/>
      <c r="M3144" s="422"/>
      <c r="N3144" s="463"/>
      <c r="O3144" s="463"/>
      <c r="P3144" s="689"/>
      <c r="Q3144" s="461"/>
      <c r="R3144" s="491"/>
      <c r="S3144" s="491"/>
      <c r="T3144" s="491"/>
      <c r="U3144" s="214">
        <f t="shared" ref="U3144:AD3153" si="1378">SUMIF($AR:$AR,$CI3144,U:U)</f>
        <v>0</v>
      </c>
      <c r="V3144" s="214">
        <f t="shared" si="1378"/>
        <v>0</v>
      </c>
      <c r="W3144" s="214">
        <f t="shared" si="1378"/>
        <v>0</v>
      </c>
      <c r="X3144" s="214">
        <f t="shared" si="1378"/>
        <v>0</v>
      </c>
      <c r="Y3144" s="214">
        <f t="shared" si="1378"/>
        <v>0</v>
      </c>
      <c r="Z3144" s="214">
        <f t="shared" si="1378"/>
        <v>0</v>
      </c>
      <c r="AA3144" s="214">
        <f t="shared" si="1378"/>
        <v>0</v>
      </c>
      <c r="AB3144" s="214">
        <f t="shared" si="1378"/>
        <v>0</v>
      </c>
      <c r="AC3144" s="214">
        <f t="shared" si="1378"/>
        <v>0</v>
      </c>
      <c r="AD3144" s="214">
        <f t="shared" si="1378"/>
        <v>0</v>
      </c>
      <c r="AE3144" s="214">
        <f t="shared" ref="AE3144:AO3153" si="1379">SUMIF($AR:$AR,$CI3144,AE:AE)</f>
        <v>0</v>
      </c>
      <c r="AF3144" s="214">
        <f t="shared" si="1379"/>
        <v>0</v>
      </c>
      <c r="AG3144" s="214">
        <f t="shared" si="1379"/>
        <v>0</v>
      </c>
      <c r="AH3144" s="214">
        <f t="shared" si="1379"/>
        <v>0</v>
      </c>
      <c r="AI3144" s="214">
        <f t="shared" si="1379"/>
        <v>0</v>
      </c>
      <c r="AJ3144" s="214">
        <f t="shared" si="1379"/>
        <v>0</v>
      </c>
      <c r="AK3144" s="214">
        <f t="shared" si="1379"/>
        <v>0</v>
      </c>
      <c r="AL3144" s="214">
        <f t="shared" si="1379"/>
        <v>0</v>
      </c>
      <c r="AM3144" s="214">
        <f t="shared" si="1379"/>
        <v>0</v>
      </c>
      <c r="AN3144" s="214">
        <f t="shared" si="1379"/>
        <v>0</v>
      </c>
      <c r="AO3144" s="214">
        <f t="shared" si="1379"/>
        <v>0</v>
      </c>
      <c r="AP3144" s="214"/>
      <c r="AQ3144" s="214"/>
      <c r="AR3144" s="214"/>
      <c r="AS3144" s="208">
        <f t="shared" ref="AS3144:BB3148" si="1380">SUMIF($CH:$CH,$CI3144,AS:AS)</f>
        <v>0</v>
      </c>
      <c r="AT3144" s="208">
        <f t="shared" si="1380"/>
        <v>0</v>
      </c>
      <c r="AU3144" s="208">
        <f t="shared" si="1380"/>
        <v>0</v>
      </c>
      <c r="AV3144" s="208">
        <f t="shared" si="1380"/>
        <v>0</v>
      </c>
      <c r="AW3144" s="208">
        <f t="shared" si="1380"/>
        <v>0</v>
      </c>
      <c r="AX3144" s="208">
        <f t="shared" si="1380"/>
        <v>0</v>
      </c>
      <c r="AY3144" s="208">
        <f t="shared" si="1380"/>
        <v>0</v>
      </c>
      <c r="AZ3144" s="208">
        <f t="shared" si="1380"/>
        <v>0</v>
      </c>
      <c r="BA3144" s="208">
        <f t="shared" si="1380"/>
        <v>0</v>
      </c>
      <c r="BB3144" s="208">
        <f t="shared" si="1380"/>
        <v>0</v>
      </c>
      <c r="BC3144" s="208">
        <f t="shared" ref="BC3144:BL3148" si="1381">SUMIF($CH:$CH,$CI3144,BC:BC)</f>
        <v>0</v>
      </c>
      <c r="BD3144" s="208">
        <f t="shared" si="1381"/>
        <v>0</v>
      </c>
      <c r="BE3144" s="208">
        <f t="shared" si="1381"/>
        <v>0</v>
      </c>
      <c r="BF3144" s="208">
        <f t="shared" si="1381"/>
        <v>0</v>
      </c>
      <c r="BG3144" s="208">
        <f t="shared" si="1381"/>
        <v>0</v>
      </c>
      <c r="BH3144" s="208">
        <f t="shared" si="1381"/>
        <v>0</v>
      </c>
      <c r="BI3144" s="208">
        <f t="shared" si="1381"/>
        <v>0</v>
      </c>
      <c r="BJ3144" s="208">
        <f t="shared" si="1381"/>
        <v>0</v>
      </c>
      <c r="BK3144" s="208">
        <f t="shared" si="1381"/>
        <v>0</v>
      </c>
      <c r="BL3144" s="208">
        <f t="shared" si="1381"/>
        <v>0</v>
      </c>
      <c r="BM3144" s="208">
        <f t="shared" ref="BM3144:BV3148" si="1382">SUMIF($CH:$CH,$CI3144,BM:BM)</f>
        <v>0</v>
      </c>
      <c r="BN3144" s="208">
        <f t="shared" si="1382"/>
        <v>0</v>
      </c>
      <c r="BO3144" s="208">
        <f t="shared" si="1382"/>
        <v>0</v>
      </c>
      <c r="BP3144" s="208">
        <f t="shared" si="1382"/>
        <v>0</v>
      </c>
      <c r="BQ3144" s="208">
        <f t="shared" si="1382"/>
        <v>0</v>
      </c>
      <c r="BR3144" s="208">
        <f t="shared" si="1382"/>
        <v>0</v>
      </c>
      <c r="BS3144" s="208">
        <f t="shared" si="1382"/>
        <v>0</v>
      </c>
      <c r="BT3144" s="208">
        <f t="shared" si="1382"/>
        <v>0</v>
      </c>
      <c r="BU3144" s="208">
        <f t="shared" si="1382"/>
        <v>0</v>
      </c>
      <c r="BV3144" s="208">
        <f t="shared" si="1382"/>
        <v>0</v>
      </c>
      <c r="BW3144" s="208">
        <f t="shared" ref="BW3144:CB3148" si="1383">SUMIF($CH:$CH,$CI3144,BW:BW)</f>
        <v>0</v>
      </c>
      <c r="BX3144" s="208">
        <f t="shared" si="1383"/>
        <v>0</v>
      </c>
      <c r="BY3144" s="208">
        <f t="shared" si="1383"/>
        <v>0</v>
      </c>
      <c r="BZ3144" s="208">
        <f t="shared" si="1383"/>
        <v>0</v>
      </c>
      <c r="CA3144" s="208">
        <f t="shared" si="1383"/>
        <v>0</v>
      </c>
      <c r="CB3144" s="208">
        <f t="shared" si="1383"/>
        <v>0</v>
      </c>
      <c r="CC3144" s="208"/>
      <c r="CD3144" s="208"/>
      <c r="CE3144" s="222"/>
      <c r="CF3144" s="222"/>
      <c r="CG3144" s="222"/>
      <c r="CH3144" s="270"/>
      <c r="CI3144" s="76" t="str">
        <f t="shared" ref="CI3144:CI3153" si="1384">CONCATENATE("N10",C3144,"NCR")</f>
        <v>N10AMINCR</v>
      </c>
      <c r="CJ3144" s="230"/>
      <c r="CK3144" s="230"/>
      <c r="CL3144" s="230"/>
      <c r="CM3144" s="231"/>
    </row>
    <row r="3145" spans="1:91">
      <c r="A3145" s="464"/>
      <c r="B3145" s="464"/>
      <c r="C3145" s="656" t="s">
        <v>1186</v>
      </c>
      <c r="D3145" s="689"/>
      <c r="E3145" s="422"/>
      <c r="F3145" s="422"/>
      <c r="G3145" s="461"/>
      <c r="H3145" s="678"/>
      <c r="I3145" s="462"/>
      <c r="J3145" s="462"/>
      <c r="K3145" s="422"/>
      <c r="L3145" s="689"/>
      <c r="M3145" s="422"/>
      <c r="N3145" s="463"/>
      <c r="O3145" s="463"/>
      <c r="P3145" s="689"/>
      <c r="Q3145" s="461"/>
      <c r="R3145" s="491"/>
      <c r="S3145" s="491"/>
      <c r="T3145" s="491"/>
      <c r="U3145" s="214">
        <f t="shared" si="1378"/>
        <v>0</v>
      </c>
      <c r="V3145" s="214">
        <f t="shared" si="1378"/>
        <v>0</v>
      </c>
      <c r="W3145" s="214">
        <f t="shared" si="1378"/>
        <v>-31297.473319999997</v>
      </c>
      <c r="X3145" s="214">
        <f t="shared" si="1378"/>
        <v>-31297.473319999997</v>
      </c>
      <c r="Y3145" s="214">
        <f t="shared" si="1378"/>
        <v>0</v>
      </c>
      <c r="Z3145" s="214">
        <f t="shared" si="1378"/>
        <v>0</v>
      </c>
      <c r="AA3145" s="214">
        <f t="shared" si="1378"/>
        <v>-37939.430899999999</v>
      </c>
      <c r="AB3145" s="214">
        <f t="shared" si="1378"/>
        <v>-37939.430899999999</v>
      </c>
      <c r="AC3145" s="214">
        <f t="shared" si="1378"/>
        <v>-24717.840400000005</v>
      </c>
      <c r="AD3145" s="214">
        <f t="shared" si="1378"/>
        <v>-25824.763100000004</v>
      </c>
      <c r="AE3145" s="214">
        <f t="shared" si="1379"/>
        <v>-26930.679900000003</v>
      </c>
      <c r="AF3145" s="214">
        <f t="shared" si="1379"/>
        <v>-28035.58553</v>
      </c>
      <c r="AG3145" s="214">
        <f t="shared" si="1379"/>
        <v>-29139.47466</v>
      </c>
      <c r="AH3145" s="214">
        <f t="shared" si="1379"/>
        <v>-30242.341960000005</v>
      </c>
      <c r="AI3145" s="214">
        <f t="shared" si="1379"/>
        <v>-31344.182080000006</v>
      </c>
      <c r="AJ3145" s="214">
        <f t="shared" si="1379"/>
        <v>-32444.98962</v>
      </c>
      <c r="AK3145" s="214">
        <f t="shared" si="1379"/>
        <v>-33544.759149999998</v>
      </c>
      <c r="AL3145" s="214">
        <f t="shared" si="1379"/>
        <v>-34490.639669999997</v>
      </c>
      <c r="AM3145" s="214">
        <f t="shared" si="1379"/>
        <v>-35578.423620000001</v>
      </c>
      <c r="AN3145" s="214">
        <f t="shared" si="1379"/>
        <v>-36665.204899999997</v>
      </c>
      <c r="AO3145" s="214">
        <f t="shared" si="1379"/>
        <v>-37939.430899999999</v>
      </c>
      <c r="AP3145" s="214"/>
      <c r="AQ3145" s="214"/>
      <c r="AR3145" s="214"/>
      <c r="AS3145" s="208">
        <f t="shared" si="1380"/>
        <v>0</v>
      </c>
      <c r="AT3145" s="208">
        <f t="shared" si="1380"/>
        <v>0</v>
      </c>
      <c r="AU3145" s="208">
        <f t="shared" si="1380"/>
        <v>0</v>
      </c>
      <c r="AV3145" s="208">
        <f t="shared" si="1380"/>
        <v>0</v>
      </c>
      <c r="AW3145" s="208">
        <f t="shared" si="1380"/>
        <v>0</v>
      </c>
      <c r="AX3145" s="208">
        <f t="shared" si="1380"/>
        <v>0</v>
      </c>
      <c r="AY3145" s="208">
        <f t="shared" si="1380"/>
        <v>0</v>
      </c>
      <c r="AZ3145" s="208">
        <f t="shared" si="1380"/>
        <v>0</v>
      </c>
      <c r="BA3145" s="208">
        <f t="shared" si="1380"/>
        <v>0</v>
      </c>
      <c r="BB3145" s="208">
        <f t="shared" si="1380"/>
        <v>0</v>
      </c>
      <c r="BC3145" s="208">
        <f t="shared" si="1381"/>
        <v>0</v>
      </c>
      <c r="BD3145" s="208">
        <f t="shared" si="1381"/>
        <v>0</v>
      </c>
      <c r="BE3145" s="208">
        <f t="shared" si="1381"/>
        <v>0</v>
      </c>
      <c r="BF3145" s="208">
        <f t="shared" si="1381"/>
        <v>0</v>
      </c>
      <c r="BG3145" s="208">
        <f t="shared" si="1381"/>
        <v>0</v>
      </c>
      <c r="BH3145" s="208">
        <f t="shared" si="1381"/>
        <v>0</v>
      </c>
      <c r="BI3145" s="208">
        <f t="shared" si="1381"/>
        <v>0</v>
      </c>
      <c r="BJ3145" s="208">
        <f t="shared" si="1381"/>
        <v>0</v>
      </c>
      <c r="BK3145" s="208">
        <f t="shared" si="1381"/>
        <v>0</v>
      </c>
      <c r="BL3145" s="208">
        <f t="shared" si="1381"/>
        <v>0</v>
      </c>
      <c r="BM3145" s="208">
        <f t="shared" si="1382"/>
        <v>0</v>
      </c>
      <c r="BN3145" s="208">
        <f t="shared" si="1382"/>
        <v>0</v>
      </c>
      <c r="BO3145" s="208">
        <f t="shared" si="1382"/>
        <v>0</v>
      </c>
      <c r="BP3145" s="208">
        <f t="shared" si="1382"/>
        <v>0</v>
      </c>
      <c r="BQ3145" s="208">
        <f t="shared" si="1382"/>
        <v>0</v>
      </c>
      <c r="BR3145" s="208">
        <f t="shared" si="1382"/>
        <v>0</v>
      </c>
      <c r="BS3145" s="208">
        <f t="shared" si="1382"/>
        <v>0</v>
      </c>
      <c r="BT3145" s="208">
        <f t="shared" si="1382"/>
        <v>0</v>
      </c>
      <c r="BU3145" s="208">
        <f t="shared" si="1382"/>
        <v>0</v>
      </c>
      <c r="BV3145" s="208">
        <f t="shared" si="1382"/>
        <v>0</v>
      </c>
      <c r="BW3145" s="208">
        <f t="shared" si="1383"/>
        <v>0</v>
      </c>
      <c r="BX3145" s="208">
        <f t="shared" si="1383"/>
        <v>0</v>
      </c>
      <c r="BY3145" s="208">
        <f t="shared" si="1383"/>
        <v>0</v>
      </c>
      <c r="BZ3145" s="208">
        <f t="shared" si="1383"/>
        <v>0</v>
      </c>
      <c r="CA3145" s="208">
        <f t="shared" si="1383"/>
        <v>0</v>
      </c>
      <c r="CB3145" s="208">
        <f t="shared" si="1383"/>
        <v>0</v>
      </c>
      <c r="CC3145" s="208"/>
      <c r="CD3145" s="208"/>
      <c r="CE3145" s="222"/>
      <c r="CF3145" s="222"/>
      <c r="CG3145" s="222"/>
      <c r="CH3145" s="270"/>
      <c r="CI3145" s="76" t="str">
        <f t="shared" si="1384"/>
        <v>N10Bonus Depreciation DeferralNCR</v>
      </c>
      <c r="CJ3145" s="230"/>
      <c r="CK3145" s="230"/>
      <c r="CL3145" s="230"/>
      <c r="CM3145" s="231"/>
    </row>
    <row r="3146" spans="1:91">
      <c r="A3146" s="464"/>
      <c r="B3146" s="464"/>
      <c r="C3146" s="656" t="s">
        <v>824</v>
      </c>
      <c r="D3146" s="689"/>
      <c r="E3146" s="422"/>
      <c r="F3146" s="422"/>
      <c r="G3146" s="461"/>
      <c r="H3146" s="678"/>
      <c r="I3146" s="462"/>
      <c r="J3146" s="462"/>
      <c r="K3146" s="422"/>
      <c r="L3146" s="689"/>
      <c r="M3146" s="422"/>
      <c r="N3146" s="463"/>
      <c r="O3146" s="463"/>
      <c r="P3146" s="689"/>
      <c r="Q3146" s="461"/>
      <c r="R3146" s="491"/>
      <c r="S3146" s="491"/>
      <c r="T3146" s="491"/>
      <c r="U3146" s="214">
        <f t="shared" si="1378"/>
        <v>0</v>
      </c>
      <c r="V3146" s="214">
        <f t="shared" si="1378"/>
        <v>0</v>
      </c>
      <c r="W3146" s="214">
        <f t="shared" si="1378"/>
        <v>83.913702916666693</v>
      </c>
      <c r="X3146" s="214">
        <f t="shared" si="1378"/>
        <v>83.913702916666693</v>
      </c>
      <c r="Y3146" s="214">
        <f t="shared" si="1378"/>
        <v>0</v>
      </c>
      <c r="Z3146" s="214">
        <f t="shared" si="1378"/>
        <v>0</v>
      </c>
      <c r="AA3146" s="214">
        <f t="shared" si="1378"/>
        <v>86.790930000000003</v>
      </c>
      <c r="AB3146" s="214">
        <f t="shared" si="1378"/>
        <v>86.790929999999989</v>
      </c>
      <c r="AC3146" s="214">
        <f t="shared" si="1378"/>
        <v>81.100340000000003</v>
      </c>
      <c r="AD3146" s="214">
        <f t="shared" si="1378"/>
        <v>81.559960000000004</v>
      </c>
      <c r="AE3146" s="214">
        <f t="shared" si="1379"/>
        <v>82.022180000000006</v>
      </c>
      <c r="AF3146" s="214">
        <f t="shared" si="1379"/>
        <v>82.487020000000001</v>
      </c>
      <c r="AG3146" s="214">
        <f t="shared" si="1379"/>
        <v>82.954490000000007</v>
      </c>
      <c r="AH3146" s="214">
        <f t="shared" si="1379"/>
        <v>83.424610000000001</v>
      </c>
      <c r="AI3146" s="214">
        <f t="shared" si="1379"/>
        <v>83.89739999999999</v>
      </c>
      <c r="AJ3146" s="214">
        <f t="shared" si="1379"/>
        <v>84.372869999999992</v>
      </c>
      <c r="AK3146" s="214">
        <f t="shared" si="1379"/>
        <v>84.851029999999994</v>
      </c>
      <c r="AL3146" s="214">
        <f t="shared" si="1379"/>
        <v>85.33189999999999</v>
      </c>
      <c r="AM3146" s="214">
        <f t="shared" si="1379"/>
        <v>85.8155</v>
      </c>
      <c r="AN3146" s="214">
        <f t="shared" si="1379"/>
        <v>86.301839999999999</v>
      </c>
      <c r="AO3146" s="214">
        <f t="shared" si="1379"/>
        <v>86.790929999999989</v>
      </c>
      <c r="AP3146" s="214"/>
      <c r="AQ3146" s="214"/>
      <c r="AR3146" s="214"/>
      <c r="AS3146" s="208">
        <f t="shared" si="1380"/>
        <v>0</v>
      </c>
      <c r="AT3146" s="208">
        <f t="shared" si="1380"/>
        <v>0</v>
      </c>
      <c r="AU3146" s="208">
        <f t="shared" si="1380"/>
        <v>0</v>
      </c>
      <c r="AV3146" s="208">
        <f t="shared" si="1380"/>
        <v>0</v>
      </c>
      <c r="AW3146" s="208">
        <f t="shared" si="1380"/>
        <v>0</v>
      </c>
      <c r="AX3146" s="208">
        <f t="shared" si="1380"/>
        <v>0</v>
      </c>
      <c r="AY3146" s="208">
        <f t="shared" si="1380"/>
        <v>0</v>
      </c>
      <c r="AZ3146" s="208">
        <f t="shared" si="1380"/>
        <v>0</v>
      </c>
      <c r="BA3146" s="208">
        <f t="shared" si="1380"/>
        <v>0</v>
      </c>
      <c r="BB3146" s="208">
        <f t="shared" si="1380"/>
        <v>0</v>
      </c>
      <c r="BC3146" s="208">
        <f t="shared" si="1381"/>
        <v>0</v>
      </c>
      <c r="BD3146" s="208">
        <f t="shared" si="1381"/>
        <v>0</v>
      </c>
      <c r="BE3146" s="208">
        <f t="shared" si="1381"/>
        <v>0</v>
      </c>
      <c r="BF3146" s="208">
        <f t="shared" si="1381"/>
        <v>0</v>
      </c>
      <c r="BG3146" s="208">
        <f t="shared" si="1381"/>
        <v>0</v>
      </c>
      <c r="BH3146" s="208">
        <f t="shared" si="1381"/>
        <v>0</v>
      </c>
      <c r="BI3146" s="208">
        <f t="shared" si="1381"/>
        <v>0</v>
      </c>
      <c r="BJ3146" s="208">
        <f t="shared" si="1381"/>
        <v>0</v>
      </c>
      <c r="BK3146" s="208">
        <f t="shared" si="1381"/>
        <v>0</v>
      </c>
      <c r="BL3146" s="208">
        <f t="shared" si="1381"/>
        <v>0</v>
      </c>
      <c r="BM3146" s="208">
        <f t="shared" si="1382"/>
        <v>0</v>
      </c>
      <c r="BN3146" s="208">
        <f t="shared" si="1382"/>
        <v>0</v>
      </c>
      <c r="BO3146" s="208">
        <f t="shared" si="1382"/>
        <v>0</v>
      </c>
      <c r="BP3146" s="208">
        <f t="shared" si="1382"/>
        <v>0</v>
      </c>
      <c r="BQ3146" s="208">
        <f t="shared" si="1382"/>
        <v>0</v>
      </c>
      <c r="BR3146" s="208">
        <f t="shared" si="1382"/>
        <v>0</v>
      </c>
      <c r="BS3146" s="208">
        <f t="shared" si="1382"/>
        <v>0</v>
      </c>
      <c r="BT3146" s="208">
        <f t="shared" si="1382"/>
        <v>0</v>
      </c>
      <c r="BU3146" s="208">
        <f t="shared" si="1382"/>
        <v>0</v>
      </c>
      <c r="BV3146" s="208">
        <f t="shared" si="1382"/>
        <v>0</v>
      </c>
      <c r="BW3146" s="208">
        <f t="shared" si="1383"/>
        <v>0</v>
      </c>
      <c r="BX3146" s="208">
        <f t="shared" si="1383"/>
        <v>0</v>
      </c>
      <c r="BY3146" s="208">
        <f t="shared" si="1383"/>
        <v>0</v>
      </c>
      <c r="BZ3146" s="208">
        <f t="shared" si="1383"/>
        <v>0</v>
      </c>
      <c r="CA3146" s="208">
        <f t="shared" si="1383"/>
        <v>0</v>
      </c>
      <c r="CB3146" s="208">
        <f t="shared" si="1383"/>
        <v>0</v>
      </c>
      <c r="CC3146" s="208"/>
      <c r="CD3146" s="208"/>
      <c r="CE3146" s="222"/>
      <c r="CF3146" s="222"/>
      <c r="CG3146" s="222"/>
      <c r="CH3146" s="270"/>
      <c r="CI3146" s="76" t="str">
        <f t="shared" si="1384"/>
        <v>N10CAIDI/SAIFI StudyNCR</v>
      </c>
      <c r="CJ3146" s="230"/>
      <c r="CK3146" s="230"/>
      <c r="CL3146" s="230"/>
      <c r="CM3146" s="231"/>
    </row>
    <row r="3147" spans="1:91">
      <c r="A3147" s="464"/>
      <c r="B3147" s="464"/>
      <c r="C3147" s="656" t="s">
        <v>1121</v>
      </c>
      <c r="D3147" s="689"/>
      <c r="E3147" s="422"/>
      <c r="F3147" s="422"/>
      <c r="G3147" s="461"/>
      <c r="H3147" s="678"/>
      <c r="I3147" s="462"/>
      <c r="J3147" s="462"/>
      <c r="K3147" s="422"/>
      <c r="L3147" s="689"/>
      <c r="M3147" s="422"/>
      <c r="N3147" s="463"/>
      <c r="O3147" s="463"/>
      <c r="P3147" s="689"/>
      <c r="Q3147" s="461"/>
      <c r="R3147" s="491"/>
      <c r="S3147" s="491"/>
      <c r="T3147" s="491"/>
      <c r="U3147" s="214">
        <f t="shared" si="1378"/>
        <v>0</v>
      </c>
      <c r="V3147" s="214">
        <f t="shared" si="1378"/>
        <v>0</v>
      </c>
      <c r="W3147" s="214">
        <f t="shared" si="1378"/>
        <v>-8087.3455145833304</v>
      </c>
      <c r="X3147" s="214">
        <f t="shared" si="1378"/>
        <v>-8087.3455145833304</v>
      </c>
      <c r="Y3147" s="214">
        <f t="shared" si="1378"/>
        <v>0</v>
      </c>
      <c r="Z3147" s="214">
        <f t="shared" si="1378"/>
        <v>0</v>
      </c>
      <c r="AA3147" s="214">
        <f t="shared" si="1378"/>
        <v>-9305.4139300000006</v>
      </c>
      <c r="AB3147" s="214">
        <f t="shared" si="1378"/>
        <v>-9305.413929999997</v>
      </c>
      <c r="AC3147" s="214">
        <f t="shared" si="1378"/>
        <v>-6882.8980199999978</v>
      </c>
      <c r="AD3147" s="214">
        <f t="shared" si="1378"/>
        <v>-7115.7877900000003</v>
      </c>
      <c r="AE3147" s="214">
        <f t="shared" si="1379"/>
        <v>-7278.6922200000008</v>
      </c>
      <c r="AF3147" s="214">
        <f t="shared" si="1379"/>
        <v>-7476.9221700000007</v>
      </c>
      <c r="AG3147" s="214">
        <f t="shared" si="1379"/>
        <v>-7677.4114500000014</v>
      </c>
      <c r="AH3147" s="214">
        <f t="shared" si="1379"/>
        <v>-7878.1255800000008</v>
      </c>
      <c r="AI3147" s="214">
        <f t="shared" si="1379"/>
        <v>-8079.0658300000005</v>
      </c>
      <c r="AJ3147" s="214">
        <f t="shared" si="1379"/>
        <v>-8281.8626100000001</v>
      </c>
      <c r="AK3147" s="214">
        <f t="shared" si="1379"/>
        <v>-8484.8880800000006</v>
      </c>
      <c r="AL3147" s="214">
        <f t="shared" si="1379"/>
        <v>-8688.1435299999994</v>
      </c>
      <c r="AM3147" s="214">
        <f t="shared" si="1379"/>
        <v>-8893.6672899999994</v>
      </c>
      <c r="AN3147" s="214">
        <f t="shared" si="1379"/>
        <v>-9099.4236499999988</v>
      </c>
      <c r="AO3147" s="214">
        <f t="shared" si="1379"/>
        <v>-9305.413929999997</v>
      </c>
      <c r="AP3147" s="214"/>
      <c r="AQ3147" s="214"/>
      <c r="AR3147" s="214"/>
      <c r="AS3147" s="208">
        <f t="shared" si="1380"/>
        <v>0</v>
      </c>
      <c r="AT3147" s="208">
        <f t="shared" si="1380"/>
        <v>0</v>
      </c>
      <c r="AU3147" s="208">
        <f t="shared" si="1380"/>
        <v>0</v>
      </c>
      <c r="AV3147" s="208">
        <f t="shared" si="1380"/>
        <v>0</v>
      </c>
      <c r="AW3147" s="208">
        <f t="shared" si="1380"/>
        <v>0</v>
      </c>
      <c r="AX3147" s="208">
        <f t="shared" si="1380"/>
        <v>0</v>
      </c>
      <c r="AY3147" s="208">
        <f t="shared" si="1380"/>
        <v>0</v>
      </c>
      <c r="AZ3147" s="208">
        <f t="shared" si="1380"/>
        <v>0</v>
      </c>
      <c r="BA3147" s="208">
        <f t="shared" si="1380"/>
        <v>0</v>
      </c>
      <c r="BB3147" s="208">
        <f t="shared" si="1380"/>
        <v>0</v>
      </c>
      <c r="BC3147" s="208">
        <f t="shared" si="1381"/>
        <v>0</v>
      </c>
      <c r="BD3147" s="208">
        <f t="shared" si="1381"/>
        <v>0</v>
      </c>
      <c r="BE3147" s="208">
        <f t="shared" si="1381"/>
        <v>0</v>
      </c>
      <c r="BF3147" s="208">
        <f t="shared" si="1381"/>
        <v>0</v>
      </c>
      <c r="BG3147" s="208">
        <f t="shared" si="1381"/>
        <v>0</v>
      </c>
      <c r="BH3147" s="208">
        <f t="shared" si="1381"/>
        <v>0</v>
      </c>
      <c r="BI3147" s="208">
        <f t="shared" si="1381"/>
        <v>0</v>
      </c>
      <c r="BJ3147" s="208">
        <f t="shared" si="1381"/>
        <v>0</v>
      </c>
      <c r="BK3147" s="208">
        <f t="shared" si="1381"/>
        <v>0</v>
      </c>
      <c r="BL3147" s="208">
        <f t="shared" si="1381"/>
        <v>0</v>
      </c>
      <c r="BM3147" s="208">
        <f t="shared" si="1382"/>
        <v>0</v>
      </c>
      <c r="BN3147" s="208">
        <f t="shared" si="1382"/>
        <v>0</v>
      </c>
      <c r="BO3147" s="208">
        <f t="shared" si="1382"/>
        <v>0</v>
      </c>
      <c r="BP3147" s="208">
        <f t="shared" si="1382"/>
        <v>0</v>
      </c>
      <c r="BQ3147" s="208">
        <f t="shared" si="1382"/>
        <v>0</v>
      </c>
      <c r="BR3147" s="208">
        <f t="shared" si="1382"/>
        <v>0</v>
      </c>
      <c r="BS3147" s="208">
        <f t="shared" si="1382"/>
        <v>0</v>
      </c>
      <c r="BT3147" s="208">
        <f t="shared" si="1382"/>
        <v>0</v>
      </c>
      <c r="BU3147" s="208">
        <f t="shared" si="1382"/>
        <v>0</v>
      </c>
      <c r="BV3147" s="208">
        <f t="shared" si="1382"/>
        <v>0</v>
      </c>
      <c r="BW3147" s="208">
        <f t="shared" si="1383"/>
        <v>0</v>
      </c>
      <c r="BX3147" s="208">
        <f t="shared" si="1383"/>
        <v>0</v>
      </c>
      <c r="BY3147" s="208">
        <f t="shared" si="1383"/>
        <v>0</v>
      </c>
      <c r="BZ3147" s="208">
        <f t="shared" si="1383"/>
        <v>0</v>
      </c>
      <c r="CA3147" s="208">
        <f t="shared" si="1383"/>
        <v>0</v>
      </c>
      <c r="CB3147" s="208">
        <f t="shared" si="1383"/>
        <v>0</v>
      </c>
      <c r="CC3147" s="208"/>
      <c r="CD3147" s="208"/>
      <c r="CE3147" s="222"/>
      <c r="CF3147" s="222"/>
      <c r="CG3147" s="222"/>
      <c r="CH3147" s="270"/>
      <c r="CI3147" s="76" t="str">
        <f t="shared" si="1384"/>
        <v>N10DOE Liability - True-up-2011NCR</v>
      </c>
      <c r="CJ3147" s="230"/>
      <c r="CK3147" s="230"/>
      <c r="CL3147" s="230"/>
      <c r="CM3147" s="231"/>
    </row>
    <row r="3148" spans="1:91">
      <c r="A3148" s="464"/>
      <c r="B3148" s="464"/>
      <c r="C3148" s="656" t="s">
        <v>1309</v>
      </c>
      <c r="D3148" s="689"/>
      <c r="E3148" s="422"/>
      <c r="F3148" s="422"/>
      <c r="G3148" s="461"/>
      <c r="H3148" s="678"/>
      <c r="I3148" s="462"/>
      <c r="J3148" s="462"/>
      <c r="K3148" s="422"/>
      <c r="L3148" s="689"/>
      <c r="M3148" s="422"/>
      <c r="N3148" s="463"/>
      <c r="O3148" s="463"/>
      <c r="P3148" s="689"/>
      <c r="Q3148" s="461"/>
      <c r="R3148" s="491"/>
      <c r="S3148" s="491"/>
      <c r="T3148" s="491"/>
      <c r="U3148" s="214">
        <f t="shared" si="1378"/>
        <v>0</v>
      </c>
      <c r="V3148" s="214">
        <f t="shared" si="1378"/>
        <v>0</v>
      </c>
      <c r="W3148" s="214">
        <f t="shared" si="1378"/>
        <v>-16582.401073750028</v>
      </c>
      <c r="X3148" s="214">
        <f t="shared" si="1378"/>
        <v>-16582.401073750028</v>
      </c>
      <c r="Y3148" s="214">
        <f t="shared" si="1378"/>
        <v>0</v>
      </c>
      <c r="Z3148" s="214">
        <f t="shared" si="1378"/>
        <v>0</v>
      </c>
      <c r="AA3148" s="214">
        <f t="shared" si="1378"/>
        <v>-17961.126290000004</v>
      </c>
      <c r="AB3148" s="214">
        <f t="shared" si="1378"/>
        <v>-17961.126290000004</v>
      </c>
      <c r="AC3148" s="214">
        <f t="shared" si="1378"/>
        <v>-15055.993479999999</v>
      </c>
      <c r="AD3148" s="214">
        <f t="shared" si="1378"/>
        <v>-15351.649949999999</v>
      </c>
      <c r="AE3148" s="214">
        <f t="shared" si="1379"/>
        <v>-15551.09634</v>
      </c>
      <c r="AF3148" s="214">
        <f t="shared" si="1379"/>
        <v>-15923.570950000001</v>
      </c>
      <c r="AG3148" s="214">
        <f t="shared" si="1379"/>
        <v>-15983.91095</v>
      </c>
      <c r="AH3148" s="214">
        <f t="shared" si="1379"/>
        <v>-16417.86795</v>
      </c>
      <c r="AI3148" s="214">
        <f t="shared" si="1379"/>
        <v>-16352.35778</v>
      </c>
      <c r="AJ3148" s="214">
        <f t="shared" si="1379"/>
        <v>-16780.396290000001</v>
      </c>
      <c r="AK3148" s="214">
        <f t="shared" si="1379"/>
        <v>-17219.445470000002</v>
      </c>
      <c r="AL3148" s="214">
        <f t="shared" si="1379"/>
        <v>-17448.806830000005</v>
      </c>
      <c r="AM3148" s="214">
        <f t="shared" si="1379"/>
        <v>-17880.462600000006</v>
      </c>
      <c r="AN3148" s="214">
        <f t="shared" si="1379"/>
        <v>-17570.687890000001</v>
      </c>
      <c r="AO3148" s="214">
        <f t="shared" si="1379"/>
        <v>-17961.126290000004</v>
      </c>
      <c r="AP3148" s="214"/>
      <c r="AQ3148" s="214"/>
      <c r="AR3148" s="214"/>
      <c r="AS3148" s="208">
        <f t="shared" si="1380"/>
        <v>0</v>
      </c>
      <c r="AT3148" s="208">
        <f t="shared" si="1380"/>
        <v>0</v>
      </c>
      <c r="AU3148" s="208">
        <f t="shared" si="1380"/>
        <v>0</v>
      </c>
      <c r="AV3148" s="208">
        <f t="shared" si="1380"/>
        <v>0</v>
      </c>
      <c r="AW3148" s="208">
        <f t="shared" si="1380"/>
        <v>0</v>
      </c>
      <c r="AX3148" s="208">
        <f t="shared" si="1380"/>
        <v>0</v>
      </c>
      <c r="AY3148" s="208">
        <f t="shared" si="1380"/>
        <v>0</v>
      </c>
      <c r="AZ3148" s="208">
        <f t="shared" si="1380"/>
        <v>0</v>
      </c>
      <c r="BA3148" s="208">
        <f t="shared" si="1380"/>
        <v>0</v>
      </c>
      <c r="BB3148" s="208">
        <f t="shared" si="1380"/>
        <v>0</v>
      </c>
      <c r="BC3148" s="208">
        <f t="shared" si="1381"/>
        <v>0</v>
      </c>
      <c r="BD3148" s="208">
        <f t="shared" si="1381"/>
        <v>0</v>
      </c>
      <c r="BE3148" s="208">
        <f t="shared" si="1381"/>
        <v>0</v>
      </c>
      <c r="BF3148" s="208">
        <f t="shared" si="1381"/>
        <v>0</v>
      </c>
      <c r="BG3148" s="208">
        <f t="shared" si="1381"/>
        <v>0</v>
      </c>
      <c r="BH3148" s="208">
        <f t="shared" si="1381"/>
        <v>0</v>
      </c>
      <c r="BI3148" s="208">
        <f t="shared" si="1381"/>
        <v>0</v>
      </c>
      <c r="BJ3148" s="208">
        <f t="shared" si="1381"/>
        <v>0</v>
      </c>
      <c r="BK3148" s="208">
        <f t="shared" si="1381"/>
        <v>0</v>
      </c>
      <c r="BL3148" s="208">
        <f t="shared" si="1381"/>
        <v>0</v>
      </c>
      <c r="BM3148" s="208">
        <f t="shared" si="1382"/>
        <v>0</v>
      </c>
      <c r="BN3148" s="208">
        <f t="shared" si="1382"/>
        <v>0</v>
      </c>
      <c r="BO3148" s="208">
        <f t="shared" si="1382"/>
        <v>0</v>
      </c>
      <c r="BP3148" s="208">
        <f t="shared" si="1382"/>
        <v>0</v>
      </c>
      <c r="BQ3148" s="208">
        <f t="shared" si="1382"/>
        <v>0</v>
      </c>
      <c r="BR3148" s="208">
        <f t="shared" si="1382"/>
        <v>0</v>
      </c>
      <c r="BS3148" s="208">
        <f t="shared" si="1382"/>
        <v>0</v>
      </c>
      <c r="BT3148" s="208">
        <f t="shared" si="1382"/>
        <v>0</v>
      </c>
      <c r="BU3148" s="208">
        <f t="shared" si="1382"/>
        <v>0</v>
      </c>
      <c r="BV3148" s="208">
        <f t="shared" si="1382"/>
        <v>0</v>
      </c>
      <c r="BW3148" s="208">
        <f t="shared" si="1383"/>
        <v>0</v>
      </c>
      <c r="BX3148" s="208">
        <f t="shared" si="1383"/>
        <v>0</v>
      </c>
      <c r="BY3148" s="208">
        <f t="shared" si="1383"/>
        <v>0</v>
      </c>
      <c r="BZ3148" s="208">
        <f t="shared" si="1383"/>
        <v>0</v>
      </c>
      <c r="CA3148" s="208">
        <f t="shared" si="1383"/>
        <v>0</v>
      </c>
      <c r="CB3148" s="208">
        <f t="shared" si="1383"/>
        <v>0</v>
      </c>
      <c r="CC3148" s="208"/>
      <c r="CD3148" s="208"/>
      <c r="CE3148" s="222"/>
      <c r="CF3148" s="222"/>
      <c r="CG3148" s="222"/>
      <c r="CH3148" s="270"/>
      <c r="CI3148" s="76" t="str">
        <f t="shared" si="1384"/>
        <v>N10Economic DevelopmentNCR</v>
      </c>
      <c r="CJ3148" s="230"/>
      <c r="CK3148" s="230"/>
      <c r="CL3148" s="230"/>
      <c r="CM3148" s="231"/>
    </row>
    <row r="3149" spans="1:91">
      <c r="A3149" s="464"/>
      <c r="B3149" s="464"/>
      <c r="C3149" s="656" t="s">
        <v>1134</v>
      </c>
      <c r="D3149" s="689"/>
      <c r="E3149" s="422"/>
      <c r="F3149" s="422"/>
      <c r="G3149" s="461"/>
      <c r="H3149" s="678"/>
      <c r="I3149" s="462"/>
      <c r="J3149" s="462"/>
      <c r="K3149" s="422"/>
      <c r="L3149" s="689"/>
      <c r="M3149" s="422"/>
      <c r="N3149" s="463"/>
      <c r="O3149" s="463"/>
      <c r="P3149" s="689"/>
      <c r="Q3149" s="461"/>
      <c r="R3149" s="491"/>
      <c r="S3149" s="491"/>
      <c r="T3149" s="491"/>
      <c r="U3149" s="214">
        <f t="shared" si="1378"/>
        <v>0</v>
      </c>
      <c r="V3149" s="214">
        <f t="shared" si="1378"/>
        <v>0</v>
      </c>
      <c r="W3149" s="214">
        <f t="shared" si="1378"/>
        <v>-18255.05898416663</v>
      </c>
      <c r="X3149" s="214">
        <f t="shared" si="1378"/>
        <v>-18255.05898416663</v>
      </c>
      <c r="Y3149" s="214">
        <f t="shared" si="1378"/>
        <v>0</v>
      </c>
      <c r="Z3149" s="214">
        <f t="shared" si="1378"/>
        <v>0</v>
      </c>
      <c r="AA3149" s="214">
        <f t="shared" si="1378"/>
        <v>-21036.466639999999</v>
      </c>
      <c r="AB3149" s="214">
        <f t="shared" si="1378"/>
        <v>-21036.466639999999</v>
      </c>
      <c r="AC3149" s="214">
        <f t="shared" si="1378"/>
        <v>-13495.283879999999</v>
      </c>
      <c r="AD3149" s="214">
        <f t="shared" si="1378"/>
        <v>-14885.28284</v>
      </c>
      <c r="AE3149" s="214">
        <f t="shared" si="1379"/>
        <v>-15627.573549999999</v>
      </c>
      <c r="AF3149" s="214">
        <f t="shared" si="1379"/>
        <v>-15894.665369999999</v>
      </c>
      <c r="AG3149" s="214">
        <f t="shared" si="1379"/>
        <v>-16880.4058</v>
      </c>
      <c r="AH3149" s="214">
        <f t="shared" si="1379"/>
        <v>-17875.920709999999</v>
      </c>
      <c r="AI3149" s="214">
        <f t="shared" si="1379"/>
        <v>-19113.047209999997</v>
      </c>
      <c r="AJ3149" s="214">
        <f t="shared" si="1379"/>
        <v>-19702.54177</v>
      </c>
      <c r="AK3149" s="214">
        <f t="shared" si="1379"/>
        <v>-20555.288969999998</v>
      </c>
      <c r="AL3149" s="214">
        <f t="shared" si="1379"/>
        <v>-21493.723659999996</v>
      </c>
      <c r="AM3149" s="214">
        <f t="shared" si="1379"/>
        <v>-19624.456559999999</v>
      </c>
      <c r="AN3149" s="214">
        <f t="shared" si="1379"/>
        <v>-20141.92611</v>
      </c>
      <c r="AO3149" s="214">
        <f t="shared" si="1379"/>
        <v>-21036.466639999999</v>
      </c>
      <c r="AP3149" s="214"/>
      <c r="AQ3149" s="214"/>
      <c r="AR3149" s="214"/>
      <c r="AS3149" s="208"/>
      <c r="AT3149" s="208"/>
      <c r="AU3149" s="208"/>
      <c r="AV3149" s="208"/>
      <c r="AW3149" s="208"/>
      <c r="AX3149" s="208"/>
      <c r="AY3149" s="208"/>
      <c r="AZ3149" s="208"/>
      <c r="BA3149" s="208"/>
      <c r="BB3149" s="208"/>
      <c r="BC3149" s="208"/>
      <c r="BD3149" s="208"/>
      <c r="BE3149" s="208"/>
      <c r="BF3149" s="208"/>
      <c r="BG3149" s="208"/>
      <c r="BH3149" s="208"/>
      <c r="BI3149" s="208"/>
      <c r="BJ3149" s="208"/>
      <c r="BK3149" s="208"/>
      <c r="BL3149" s="208"/>
      <c r="BM3149" s="208"/>
      <c r="BN3149" s="208"/>
      <c r="BO3149" s="208"/>
      <c r="BP3149" s="208"/>
      <c r="BQ3149" s="208"/>
      <c r="BR3149" s="208"/>
      <c r="BS3149" s="208"/>
      <c r="BT3149" s="208"/>
      <c r="BU3149" s="208"/>
      <c r="BV3149" s="208"/>
      <c r="BW3149" s="208"/>
      <c r="BX3149" s="208"/>
      <c r="BY3149" s="208"/>
      <c r="BZ3149" s="208"/>
      <c r="CA3149" s="208"/>
      <c r="CB3149" s="208"/>
      <c r="CC3149" s="208"/>
      <c r="CD3149" s="208"/>
      <c r="CE3149" s="222"/>
      <c r="CF3149" s="222"/>
      <c r="CG3149" s="222"/>
      <c r="CH3149" s="270"/>
      <c r="CI3149" s="76" t="str">
        <f t="shared" si="1384"/>
        <v>N10EnvironmentalNCR</v>
      </c>
      <c r="CJ3149" s="230"/>
      <c r="CK3149" s="230"/>
      <c r="CL3149" s="230"/>
      <c r="CM3149" s="231"/>
    </row>
    <row r="3150" spans="1:91">
      <c r="A3150" s="464"/>
      <c r="B3150" s="464"/>
      <c r="C3150" s="656" t="s">
        <v>813</v>
      </c>
      <c r="D3150" s="689"/>
      <c r="E3150" s="422"/>
      <c r="F3150" s="422"/>
      <c r="G3150" s="461"/>
      <c r="H3150" s="678"/>
      <c r="I3150" s="462"/>
      <c r="J3150" s="462"/>
      <c r="K3150" s="422"/>
      <c r="L3150" s="689"/>
      <c r="M3150" s="422"/>
      <c r="N3150" s="463"/>
      <c r="O3150" s="463"/>
      <c r="P3150" s="689"/>
      <c r="Q3150" s="461"/>
      <c r="R3150" s="491"/>
      <c r="S3150" s="491"/>
      <c r="T3150" s="491"/>
      <c r="U3150" s="214">
        <f t="shared" si="1378"/>
        <v>0</v>
      </c>
      <c r="V3150" s="214">
        <f t="shared" si="1378"/>
        <v>0</v>
      </c>
      <c r="W3150" s="214">
        <f t="shared" si="1378"/>
        <v>-8620.8573696666663</v>
      </c>
      <c r="X3150" s="214">
        <f t="shared" si="1378"/>
        <v>-8620.8573696666663</v>
      </c>
      <c r="Y3150" s="214">
        <f t="shared" si="1378"/>
        <v>0</v>
      </c>
      <c r="Z3150" s="214">
        <f t="shared" si="1378"/>
        <v>0</v>
      </c>
      <c r="AA3150" s="214">
        <f t="shared" si="1378"/>
        <v>-8249.4866729999994</v>
      </c>
      <c r="AB3150" s="214">
        <f t="shared" si="1378"/>
        <v>-8249.4866729999994</v>
      </c>
      <c r="AC3150" s="214">
        <f t="shared" si="1378"/>
        <v>-8359.8948330000003</v>
      </c>
      <c r="AD3150" s="214">
        <f t="shared" si="1378"/>
        <v>-8407.2724730000009</v>
      </c>
      <c r="AE3150" s="214">
        <f t="shared" si="1379"/>
        <v>-8454.9186129999998</v>
      </c>
      <c r="AF3150" s="214">
        <f t="shared" si="1379"/>
        <v>-8502.8347729999987</v>
      </c>
      <c r="AG3150" s="214">
        <f t="shared" si="1379"/>
        <v>-8551.0224829999988</v>
      </c>
      <c r="AH3150" s="214">
        <f t="shared" si="1379"/>
        <v>-8599.4832929999993</v>
      </c>
      <c r="AI3150" s="214">
        <f t="shared" si="1379"/>
        <v>-8648.2187429999994</v>
      </c>
      <c r="AJ3150" s="214">
        <f t="shared" si="1379"/>
        <v>-8697.230392999998</v>
      </c>
      <c r="AK3150" s="214">
        <f t="shared" si="1379"/>
        <v>-8746.5197929999995</v>
      </c>
      <c r="AL3150" s="214">
        <f t="shared" si="1379"/>
        <v>-8796.0885330000001</v>
      </c>
      <c r="AM3150" s="214">
        <f t="shared" si="1379"/>
        <v>-8845.9382029999997</v>
      </c>
      <c r="AN3150" s="214">
        <f t="shared" si="1379"/>
        <v>-8896.0703829999984</v>
      </c>
      <c r="AO3150" s="214">
        <f t="shared" si="1379"/>
        <v>-8249.4866729999994</v>
      </c>
      <c r="AP3150" s="214"/>
      <c r="AQ3150" s="214"/>
      <c r="AR3150" s="214"/>
      <c r="AS3150" s="208">
        <f t="shared" ref="AS3150:BB3159" si="1385">SUMIF($CH:$CH,$CI3150,AS:AS)</f>
        <v>0</v>
      </c>
      <c r="AT3150" s="208">
        <f t="shared" si="1385"/>
        <v>0</v>
      </c>
      <c r="AU3150" s="208">
        <f t="shared" si="1385"/>
        <v>0</v>
      </c>
      <c r="AV3150" s="208">
        <f t="shared" si="1385"/>
        <v>0</v>
      </c>
      <c r="AW3150" s="208">
        <f t="shared" si="1385"/>
        <v>0</v>
      </c>
      <c r="AX3150" s="208">
        <f t="shared" si="1385"/>
        <v>0</v>
      </c>
      <c r="AY3150" s="208">
        <f t="shared" si="1385"/>
        <v>0</v>
      </c>
      <c r="AZ3150" s="208">
        <f t="shared" si="1385"/>
        <v>0</v>
      </c>
      <c r="BA3150" s="208">
        <f t="shared" si="1385"/>
        <v>0</v>
      </c>
      <c r="BB3150" s="208">
        <f t="shared" si="1385"/>
        <v>0</v>
      </c>
      <c r="BC3150" s="208">
        <f t="shared" ref="BC3150:BL3159" si="1386">SUMIF($CH:$CH,$CI3150,BC:BC)</f>
        <v>0</v>
      </c>
      <c r="BD3150" s="208">
        <f t="shared" si="1386"/>
        <v>0</v>
      </c>
      <c r="BE3150" s="208">
        <f t="shared" si="1386"/>
        <v>0</v>
      </c>
      <c r="BF3150" s="208">
        <f t="shared" si="1386"/>
        <v>0</v>
      </c>
      <c r="BG3150" s="208">
        <f t="shared" si="1386"/>
        <v>0</v>
      </c>
      <c r="BH3150" s="208">
        <f t="shared" si="1386"/>
        <v>0</v>
      </c>
      <c r="BI3150" s="208">
        <f t="shared" si="1386"/>
        <v>0</v>
      </c>
      <c r="BJ3150" s="208">
        <f t="shared" si="1386"/>
        <v>0</v>
      </c>
      <c r="BK3150" s="208">
        <f t="shared" si="1386"/>
        <v>0</v>
      </c>
      <c r="BL3150" s="208">
        <f t="shared" si="1386"/>
        <v>0</v>
      </c>
      <c r="BM3150" s="208">
        <f t="shared" ref="BM3150:BV3159" si="1387">SUMIF($CH:$CH,$CI3150,BM:BM)</f>
        <v>0</v>
      </c>
      <c r="BN3150" s="208">
        <f t="shared" si="1387"/>
        <v>0</v>
      </c>
      <c r="BO3150" s="208">
        <f t="shared" si="1387"/>
        <v>0</v>
      </c>
      <c r="BP3150" s="208">
        <f t="shared" si="1387"/>
        <v>0</v>
      </c>
      <c r="BQ3150" s="208">
        <f t="shared" si="1387"/>
        <v>0</v>
      </c>
      <c r="BR3150" s="208">
        <f t="shared" si="1387"/>
        <v>0</v>
      </c>
      <c r="BS3150" s="208">
        <f t="shared" si="1387"/>
        <v>0</v>
      </c>
      <c r="BT3150" s="208">
        <f t="shared" si="1387"/>
        <v>0</v>
      </c>
      <c r="BU3150" s="208">
        <f t="shared" si="1387"/>
        <v>0</v>
      </c>
      <c r="BV3150" s="208">
        <f t="shared" si="1387"/>
        <v>0</v>
      </c>
      <c r="BW3150" s="208">
        <f t="shared" ref="BW3150:CB3159" si="1388">SUMIF($CH:$CH,$CI3150,BW:BW)</f>
        <v>0</v>
      </c>
      <c r="BX3150" s="208">
        <f t="shared" si="1388"/>
        <v>0</v>
      </c>
      <c r="BY3150" s="208">
        <f t="shared" si="1388"/>
        <v>0</v>
      </c>
      <c r="BZ3150" s="208">
        <f t="shared" si="1388"/>
        <v>0</v>
      </c>
      <c r="CA3150" s="208">
        <f t="shared" si="1388"/>
        <v>0</v>
      </c>
      <c r="CB3150" s="208">
        <f t="shared" si="1388"/>
        <v>0</v>
      </c>
      <c r="CC3150" s="208"/>
      <c r="CD3150" s="208"/>
      <c r="CE3150" s="222"/>
      <c r="CF3150" s="222"/>
      <c r="CG3150" s="222"/>
      <c r="CH3150" s="270"/>
      <c r="CI3150" s="76" t="str">
        <f t="shared" si="1384"/>
        <v>N10ESMNCR</v>
      </c>
      <c r="CJ3150" s="230"/>
      <c r="CK3150" s="230"/>
      <c r="CL3150" s="230"/>
      <c r="CM3150" s="231"/>
    </row>
    <row r="3151" spans="1:91">
      <c r="A3151" s="464"/>
      <c r="B3151" s="464"/>
      <c r="C3151" s="656" t="s">
        <v>1142</v>
      </c>
      <c r="D3151" s="689"/>
      <c r="E3151" s="422"/>
      <c r="F3151" s="422"/>
      <c r="G3151" s="461"/>
      <c r="H3151" s="678"/>
      <c r="I3151" s="462"/>
      <c r="J3151" s="462"/>
      <c r="K3151" s="422"/>
      <c r="L3151" s="689"/>
      <c r="M3151" s="422"/>
      <c r="N3151" s="463"/>
      <c r="O3151" s="463"/>
      <c r="P3151" s="689"/>
      <c r="Q3151" s="461"/>
      <c r="R3151" s="491"/>
      <c r="S3151" s="491"/>
      <c r="T3151" s="491"/>
      <c r="U3151" s="214">
        <f t="shared" si="1378"/>
        <v>0</v>
      </c>
      <c r="V3151" s="214">
        <f t="shared" si="1378"/>
        <v>0</v>
      </c>
      <c r="W3151" s="214">
        <f t="shared" si="1378"/>
        <v>4410.5860679166644</v>
      </c>
      <c r="X3151" s="214">
        <f t="shared" si="1378"/>
        <v>4410.5860679166644</v>
      </c>
      <c r="Y3151" s="214">
        <f t="shared" si="1378"/>
        <v>0</v>
      </c>
      <c r="Z3151" s="214">
        <f t="shared" si="1378"/>
        <v>0</v>
      </c>
      <c r="AA3151" s="214">
        <f t="shared" si="1378"/>
        <v>4605.1007300000001</v>
      </c>
      <c r="AB3151" s="214">
        <f t="shared" si="1378"/>
        <v>4605.1007300000019</v>
      </c>
      <c r="AC3151" s="214">
        <f t="shared" si="1378"/>
        <v>3503.6411200000011</v>
      </c>
      <c r="AD3151" s="214">
        <f t="shared" si="1378"/>
        <v>3486.0542700000005</v>
      </c>
      <c r="AE3151" s="214">
        <f t="shared" si="1379"/>
        <v>4417.2869600000013</v>
      </c>
      <c r="AF3151" s="214">
        <f t="shared" si="1379"/>
        <v>3127.1295900000005</v>
      </c>
      <c r="AG3151" s="214">
        <f t="shared" si="1379"/>
        <v>2830.7116000000015</v>
      </c>
      <c r="AH3151" s="214">
        <f t="shared" si="1379"/>
        <v>3272.0261000000019</v>
      </c>
      <c r="AI3151" s="214">
        <f t="shared" si="1379"/>
        <v>4146.5002700000014</v>
      </c>
      <c r="AJ3151" s="214">
        <f t="shared" si="1379"/>
        <v>4782.0498500000003</v>
      </c>
      <c r="AK3151" s="214">
        <f t="shared" si="1379"/>
        <v>6161.021740000002</v>
      </c>
      <c r="AL3151" s="214">
        <f t="shared" si="1379"/>
        <v>5388.8069700000015</v>
      </c>
      <c r="AM3151" s="214">
        <f t="shared" si="1379"/>
        <v>5655.1712300000017</v>
      </c>
      <c r="AN3151" s="214">
        <f t="shared" si="1379"/>
        <v>5605.9033100000015</v>
      </c>
      <c r="AO3151" s="214">
        <f t="shared" si="1379"/>
        <v>4605.1007300000019</v>
      </c>
      <c r="AP3151" s="214"/>
      <c r="AQ3151" s="214"/>
      <c r="AR3151" s="214"/>
      <c r="AS3151" s="208">
        <f t="shared" si="1385"/>
        <v>0</v>
      </c>
      <c r="AT3151" s="208">
        <f t="shared" si="1385"/>
        <v>0</v>
      </c>
      <c r="AU3151" s="208">
        <f t="shared" si="1385"/>
        <v>0</v>
      </c>
      <c r="AV3151" s="208">
        <f t="shared" si="1385"/>
        <v>0</v>
      </c>
      <c r="AW3151" s="208">
        <f t="shared" si="1385"/>
        <v>0</v>
      </c>
      <c r="AX3151" s="208">
        <f t="shared" si="1385"/>
        <v>0</v>
      </c>
      <c r="AY3151" s="208">
        <f t="shared" si="1385"/>
        <v>0</v>
      </c>
      <c r="AZ3151" s="208">
        <f t="shared" si="1385"/>
        <v>0</v>
      </c>
      <c r="BA3151" s="208">
        <f t="shared" si="1385"/>
        <v>0</v>
      </c>
      <c r="BB3151" s="208">
        <f t="shared" si="1385"/>
        <v>0</v>
      </c>
      <c r="BC3151" s="208">
        <f t="shared" si="1386"/>
        <v>0</v>
      </c>
      <c r="BD3151" s="208">
        <f t="shared" si="1386"/>
        <v>0</v>
      </c>
      <c r="BE3151" s="208">
        <f t="shared" si="1386"/>
        <v>0</v>
      </c>
      <c r="BF3151" s="208">
        <f t="shared" si="1386"/>
        <v>0</v>
      </c>
      <c r="BG3151" s="208">
        <f t="shared" si="1386"/>
        <v>0</v>
      </c>
      <c r="BH3151" s="208">
        <f t="shared" si="1386"/>
        <v>0</v>
      </c>
      <c r="BI3151" s="208">
        <f t="shared" si="1386"/>
        <v>0</v>
      </c>
      <c r="BJ3151" s="208">
        <f t="shared" si="1386"/>
        <v>0</v>
      </c>
      <c r="BK3151" s="208">
        <f t="shared" si="1386"/>
        <v>0</v>
      </c>
      <c r="BL3151" s="208">
        <f t="shared" si="1386"/>
        <v>0</v>
      </c>
      <c r="BM3151" s="208">
        <f t="shared" si="1387"/>
        <v>0</v>
      </c>
      <c r="BN3151" s="208">
        <f t="shared" si="1387"/>
        <v>0</v>
      </c>
      <c r="BO3151" s="208">
        <f t="shared" si="1387"/>
        <v>0</v>
      </c>
      <c r="BP3151" s="208">
        <f t="shared" si="1387"/>
        <v>0</v>
      </c>
      <c r="BQ3151" s="208">
        <f t="shared" si="1387"/>
        <v>0</v>
      </c>
      <c r="BR3151" s="208">
        <f t="shared" si="1387"/>
        <v>0</v>
      </c>
      <c r="BS3151" s="208">
        <f t="shared" si="1387"/>
        <v>0</v>
      </c>
      <c r="BT3151" s="208">
        <f t="shared" si="1387"/>
        <v>0</v>
      </c>
      <c r="BU3151" s="208">
        <f t="shared" si="1387"/>
        <v>0</v>
      </c>
      <c r="BV3151" s="208">
        <f t="shared" si="1387"/>
        <v>0</v>
      </c>
      <c r="BW3151" s="208">
        <f t="shared" si="1388"/>
        <v>0</v>
      </c>
      <c r="BX3151" s="208">
        <f t="shared" si="1388"/>
        <v>0</v>
      </c>
      <c r="BY3151" s="208">
        <f t="shared" si="1388"/>
        <v>0</v>
      </c>
      <c r="BZ3151" s="208">
        <f t="shared" si="1388"/>
        <v>0</v>
      </c>
      <c r="CA3151" s="208">
        <f t="shared" si="1388"/>
        <v>0</v>
      </c>
      <c r="CB3151" s="208">
        <f t="shared" si="1388"/>
        <v>0</v>
      </c>
      <c r="CC3151" s="208"/>
      <c r="CD3151" s="208"/>
      <c r="CE3151" s="222"/>
      <c r="CF3151" s="222"/>
      <c r="CG3151" s="222"/>
      <c r="CH3151" s="270"/>
      <c r="CI3151" s="76" t="str">
        <f t="shared" si="1384"/>
        <v>N10Gas Costs DeferredNCR</v>
      </c>
      <c r="CJ3151" s="230"/>
      <c r="CK3151" s="230"/>
      <c r="CL3151" s="230"/>
      <c r="CM3151" s="231"/>
    </row>
    <row r="3152" spans="1:91">
      <c r="A3152" s="464"/>
      <c r="B3152" s="464"/>
      <c r="C3152" s="656" t="s">
        <v>1132</v>
      </c>
      <c r="D3152" s="689"/>
      <c r="E3152" s="422"/>
      <c r="F3152" s="422"/>
      <c r="G3152" s="461"/>
      <c r="H3152" s="678"/>
      <c r="I3152" s="462"/>
      <c r="J3152" s="462"/>
      <c r="K3152" s="422"/>
      <c r="L3152" s="689"/>
      <c r="M3152" s="422"/>
      <c r="N3152" s="463"/>
      <c r="O3152" s="463"/>
      <c r="P3152" s="689"/>
      <c r="Q3152" s="461"/>
      <c r="R3152" s="491"/>
      <c r="S3152" s="491"/>
      <c r="T3152" s="491"/>
      <c r="U3152" s="214">
        <f t="shared" si="1378"/>
        <v>0</v>
      </c>
      <c r="V3152" s="214">
        <f t="shared" si="1378"/>
        <v>0</v>
      </c>
      <c r="W3152" s="214">
        <f t="shared" si="1378"/>
        <v>553.11338000000308</v>
      </c>
      <c r="X3152" s="214">
        <f t="shared" si="1378"/>
        <v>553.11338000000308</v>
      </c>
      <c r="Y3152" s="214">
        <f t="shared" si="1378"/>
        <v>0</v>
      </c>
      <c r="Z3152" s="214">
        <f t="shared" si="1378"/>
        <v>0</v>
      </c>
      <c r="AA3152" s="214">
        <f t="shared" si="1378"/>
        <v>620.46840999999995</v>
      </c>
      <c r="AB3152" s="214">
        <f t="shared" si="1378"/>
        <v>620.46841000000018</v>
      </c>
      <c r="AC3152" s="214">
        <f t="shared" si="1378"/>
        <v>782.61619000000007</v>
      </c>
      <c r="AD3152" s="214">
        <f t="shared" si="1378"/>
        <v>641.33132999999987</v>
      </c>
      <c r="AE3152" s="214">
        <f t="shared" si="1379"/>
        <v>538.03582999999992</v>
      </c>
      <c r="AF3152" s="214">
        <f t="shared" si="1379"/>
        <v>486.70242000000019</v>
      </c>
      <c r="AG3152" s="214">
        <f t="shared" si="1379"/>
        <v>453.0358500000001</v>
      </c>
      <c r="AH3152" s="214">
        <f t="shared" si="1379"/>
        <v>472.53430000000003</v>
      </c>
      <c r="AI3152" s="214">
        <f t="shared" si="1379"/>
        <v>504.42971999999997</v>
      </c>
      <c r="AJ3152" s="214">
        <f t="shared" si="1379"/>
        <v>536.19596000000001</v>
      </c>
      <c r="AK3152" s="214">
        <f t="shared" si="1379"/>
        <v>509.0336400000001</v>
      </c>
      <c r="AL3152" s="214">
        <f t="shared" si="1379"/>
        <v>528.80134000000021</v>
      </c>
      <c r="AM3152" s="214">
        <f t="shared" si="1379"/>
        <v>646.70826000000022</v>
      </c>
      <c r="AN3152" s="214">
        <f t="shared" si="1379"/>
        <v>619.00960999999995</v>
      </c>
      <c r="AO3152" s="214">
        <f t="shared" si="1379"/>
        <v>620.46841000000018</v>
      </c>
      <c r="AP3152" s="214"/>
      <c r="AQ3152" s="214"/>
      <c r="AR3152" s="214"/>
      <c r="AS3152" s="208">
        <f t="shared" si="1385"/>
        <v>0</v>
      </c>
      <c r="AT3152" s="208">
        <f t="shared" si="1385"/>
        <v>0</v>
      </c>
      <c r="AU3152" s="208">
        <f t="shared" si="1385"/>
        <v>0</v>
      </c>
      <c r="AV3152" s="208">
        <f t="shared" si="1385"/>
        <v>0</v>
      </c>
      <c r="AW3152" s="208">
        <f t="shared" si="1385"/>
        <v>0</v>
      </c>
      <c r="AX3152" s="208">
        <f t="shared" si="1385"/>
        <v>0</v>
      </c>
      <c r="AY3152" s="208">
        <f t="shared" si="1385"/>
        <v>0</v>
      </c>
      <c r="AZ3152" s="208">
        <f t="shared" si="1385"/>
        <v>0</v>
      </c>
      <c r="BA3152" s="208">
        <f t="shared" si="1385"/>
        <v>0</v>
      </c>
      <c r="BB3152" s="208">
        <f t="shared" si="1385"/>
        <v>0</v>
      </c>
      <c r="BC3152" s="208">
        <f t="shared" si="1386"/>
        <v>0</v>
      </c>
      <c r="BD3152" s="208">
        <f t="shared" si="1386"/>
        <v>0</v>
      </c>
      <c r="BE3152" s="208">
        <f t="shared" si="1386"/>
        <v>0</v>
      </c>
      <c r="BF3152" s="208">
        <f t="shared" si="1386"/>
        <v>0</v>
      </c>
      <c r="BG3152" s="208">
        <f t="shared" si="1386"/>
        <v>0</v>
      </c>
      <c r="BH3152" s="208">
        <f t="shared" si="1386"/>
        <v>0</v>
      </c>
      <c r="BI3152" s="208">
        <f t="shared" si="1386"/>
        <v>0</v>
      </c>
      <c r="BJ3152" s="208">
        <f t="shared" si="1386"/>
        <v>0</v>
      </c>
      <c r="BK3152" s="208">
        <f t="shared" si="1386"/>
        <v>0</v>
      </c>
      <c r="BL3152" s="208">
        <f t="shared" si="1386"/>
        <v>0</v>
      </c>
      <c r="BM3152" s="208">
        <f t="shared" si="1387"/>
        <v>0</v>
      </c>
      <c r="BN3152" s="208">
        <f t="shared" si="1387"/>
        <v>0</v>
      </c>
      <c r="BO3152" s="208">
        <f t="shared" si="1387"/>
        <v>0</v>
      </c>
      <c r="BP3152" s="208">
        <f t="shared" si="1387"/>
        <v>0</v>
      </c>
      <c r="BQ3152" s="208">
        <f t="shared" si="1387"/>
        <v>0</v>
      </c>
      <c r="BR3152" s="208">
        <f t="shared" si="1387"/>
        <v>0</v>
      </c>
      <c r="BS3152" s="208">
        <f t="shared" si="1387"/>
        <v>0</v>
      </c>
      <c r="BT3152" s="208">
        <f t="shared" si="1387"/>
        <v>0</v>
      </c>
      <c r="BU3152" s="208">
        <f t="shared" si="1387"/>
        <v>0</v>
      </c>
      <c r="BV3152" s="208">
        <f t="shared" si="1387"/>
        <v>0</v>
      </c>
      <c r="BW3152" s="208">
        <f t="shared" si="1388"/>
        <v>0</v>
      </c>
      <c r="BX3152" s="208">
        <f t="shared" si="1388"/>
        <v>0</v>
      </c>
      <c r="BY3152" s="208">
        <f t="shared" si="1388"/>
        <v>0</v>
      </c>
      <c r="BZ3152" s="208">
        <f t="shared" si="1388"/>
        <v>0</v>
      </c>
      <c r="CA3152" s="208">
        <f t="shared" si="1388"/>
        <v>0</v>
      </c>
      <c r="CB3152" s="208">
        <f t="shared" si="1388"/>
        <v>0</v>
      </c>
      <c r="CC3152" s="208"/>
      <c r="CD3152" s="208"/>
      <c r="CE3152" s="222"/>
      <c r="CF3152" s="222"/>
      <c r="CG3152" s="222"/>
      <c r="CH3152" s="270"/>
      <c r="CI3152" s="76" t="str">
        <f t="shared" si="1384"/>
        <v>N10Gas Pipeline IntegrityNCR</v>
      </c>
      <c r="CJ3152" s="230"/>
      <c r="CK3152" s="230"/>
      <c r="CL3152" s="230"/>
      <c r="CM3152" s="231"/>
    </row>
    <row r="3153" spans="1:91">
      <c r="A3153" s="464"/>
      <c r="B3153" s="464"/>
      <c r="C3153" s="656" t="s">
        <v>1195</v>
      </c>
      <c r="D3153" s="689"/>
      <c r="E3153" s="422"/>
      <c r="F3153" s="422"/>
      <c r="G3153" s="461"/>
      <c r="H3153" s="678"/>
      <c r="I3153" s="462"/>
      <c r="J3153" s="462"/>
      <c r="K3153" s="422"/>
      <c r="L3153" s="689"/>
      <c r="M3153" s="422"/>
      <c r="N3153" s="463"/>
      <c r="O3153" s="463"/>
      <c r="P3153" s="689"/>
      <c r="Q3153" s="461"/>
      <c r="R3153" s="491"/>
      <c r="S3153" s="491"/>
      <c r="T3153" s="491"/>
      <c r="U3153" s="214">
        <f t="shared" si="1378"/>
        <v>0</v>
      </c>
      <c r="V3153" s="214">
        <f t="shared" si="1378"/>
        <v>0</v>
      </c>
      <c r="W3153" s="214">
        <f t="shared" si="1378"/>
        <v>-530.5487970833326</v>
      </c>
      <c r="X3153" s="214">
        <f t="shared" si="1378"/>
        <v>-530.5487970833326</v>
      </c>
      <c r="Y3153" s="214">
        <f t="shared" si="1378"/>
        <v>0</v>
      </c>
      <c r="Z3153" s="214">
        <f t="shared" si="1378"/>
        <v>0</v>
      </c>
      <c r="AA3153" s="214">
        <f t="shared" si="1378"/>
        <v>-147.81539999999973</v>
      </c>
      <c r="AB3153" s="214">
        <f t="shared" si="1378"/>
        <v>-147.81539999999967</v>
      </c>
      <c r="AC3153" s="214">
        <f t="shared" si="1378"/>
        <v>-107.86939000000005</v>
      </c>
      <c r="AD3153" s="214">
        <f t="shared" si="1378"/>
        <v>-265.3653299999998</v>
      </c>
      <c r="AE3153" s="214">
        <f t="shared" si="1379"/>
        <v>-421.67671999999976</v>
      </c>
      <c r="AF3153" s="214">
        <f t="shared" si="1379"/>
        <v>-541.81468999999981</v>
      </c>
      <c r="AG3153" s="214">
        <f t="shared" si="1379"/>
        <v>-669.86733999999967</v>
      </c>
      <c r="AH3153" s="214">
        <f t="shared" si="1379"/>
        <v>-810.82487999999978</v>
      </c>
      <c r="AI3153" s="214">
        <f t="shared" si="1379"/>
        <v>-773.03894999999955</v>
      </c>
      <c r="AJ3153" s="214">
        <f t="shared" si="1379"/>
        <v>-819.18903999999952</v>
      </c>
      <c r="AK3153" s="214">
        <f t="shared" si="1379"/>
        <v>-786.88624999999979</v>
      </c>
      <c r="AL3153" s="214">
        <f t="shared" si="1379"/>
        <v>-588.44326999999976</v>
      </c>
      <c r="AM3153" s="214">
        <f t="shared" si="1379"/>
        <v>-326.11333999999977</v>
      </c>
      <c r="AN3153" s="214">
        <f t="shared" si="1379"/>
        <v>-235.52335999999968</v>
      </c>
      <c r="AO3153" s="214">
        <f t="shared" si="1379"/>
        <v>-147.81539999999967</v>
      </c>
      <c r="AP3153" s="214"/>
      <c r="AQ3153" s="214"/>
      <c r="AR3153" s="214"/>
      <c r="AS3153" s="208">
        <f t="shared" si="1385"/>
        <v>0</v>
      </c>
      <c r="AT3153" s="208">
        <f t="shared" si="1385"/>
        <v>0</v>
      </c>
      <c r="AU3153" s="208">
        <f t="shared" si="1385"/>
        <v>0</v>
      </c>
      <c r="AV3153" s="208">
        <f t="shared" si="1385"/>
        <v>0</v>
      </c>
      <c r="AW3153" s="208">
        <f t="shared" si="1385"/>
        <v>0</v>
      </c>
      <c r="AX3153" s="208">
        <f t="shared" si="1385"/>
        <v>0</v>
      </c>
      <c r="AY3153" s="208">
        <f t="shared" si="1385"/>
        <v>0</v>
      </c>
      <c r="AZ3153" s="208">
        <f t="shared" si="1385"/>
        <v>0</v>
      </c>
      <c r="BA3153" s="208">
        <f t="shared" si="1385"/>
        <v>0</v>
      </c>
      <c r="BB3153" s="208">
        <f t="shared" si="1385"/>
        <v>0</v>
      </c>
      <c r="BC3153" s="208">
        <f t="shared" si="1386"/>
        <v>0</v>
      </c>
      <c r="BD3153" s="208">
        <f t="shared" si="1386"/>
        <v>0</v>
      </c>
      <c r="BE3153" s="208">
        <f t="shared" si="1386"/>
        <v>0</v>
      </c>
      <c r="BF3153" s="208">
        <f t="shared" si="1386"/>
        <v>0</v>
      </c>
      <c r="BG3153" s="208">
        <f t="shared" si="1386"/>
        <v>0</v>
      </c>
      <c r="BH3153" s="208">
        <f t="shared" si="1386"/>
        <v>0</v>
      </c>
      <c r="BI3153" s="208">
        <f t="shared" si="1386"/>
        <v>0</v>
      </c>
      <c r="BJ3153" s="208">
        <f t="shared" si="1386"/>
        <v>0</v>
      </c>
      <c r="BK3153" s="208">
        <f t="shared" si="1386"/>
        <v>0</v>
      </c>
      <c r="BL3153" s="208">
        <f t="shared" si="1386"/>
        <v>0</v>
      </c>
      <c r="BM3153" s="208">
        <f t="shared" si="1387"/>
        <v>0</v>
      </c>
      <c r="BN3153" s="208">
        <f t="shared" si="1387"/>
        <v>0</v>
      </c>
      <c r="BO3153" s="208">
        <f t="shared" si="1387"/>
        <v>0</v>
      </c>
      <c r="BP3153" s="208">
        <f t="shared" si="1387"/>
        <v>0</v>
      </c>
      <c r="BQ3153" s="208">
        <f t="shared" si="1387"/>
        <v>0</v>
      </c>
      <c r="BR3153" s="208">
        <f t="shared" si="1387"/>
        <v>0</v>
      </c>
      <c r="BS3153" s="208">
        <f t="shared" si="1387"/>
        <v>0</v>
      </c>
      <c r="BT3153" s="208">
        <f t="shared" si="1387"/>
        <v>0</v>
      </c>
      <c r="BU3153" s="208">
        <f t="shared" si="1387"/>
        <v>0</v>
      </c>
      <c r="BV3153" s="208">
        <f t="shared" si="1387"/>
        <v>0</v>
      </c>
      <c r="BW3153" s="208">
        <f t="shared" si="1388"/>
        <v>0</v>
      </c>
      <c r="BX3153" s="208">
        <f t="shared" si="1388"/>
        <v>0</v>
      </c>
      <c r="BY3153" s="208">
        <f t="shared" si="1388"/>
        <v>0</v>
      </c>
      <c r="BZ3153" s="208">
        <f t="shared" si="1388"/>
        <v>0</v>
      </c>
      <c r="CA3153" s="208">
        <f t="shared" si="1388"/>
        <v>0</v>
      </c>
      <c r="CB3153" s="208">
        <f t="shared" si="1388"/>
        <v>0</v>
      </c>
      <c r="CC3153" s="208"/>
      <c r="CD3153" s="208"/>
      <c r="CE3153" s="222"/>
      <c r="CF3153" s="222"/>
      <c r="CG3153" s="222"/>
      <c r="CH3153" s="270"/>
      <c r="CI3153" s="76" t="str">
        <f t="shared" si="1384"/>
        <v>N10Incremental MaintenanceNCR</v>
      </c>
      <c r="CJ3153" s="230"/>
      <c r="CK3153" s="230"/>
      <c r="CL3153" s="230"/>
      <c r="CM3153" s="231"/>
    </row>
    <row r="3154" spans="1:91">
      <c r="A3154" s="464"/>
      <c r="B3154" s="464"/>
      <c r="C3154" s="656" t="s">
        <v>821</v>
      </c>
      <c r="D3154" s="689"/>
      <c r="E3154" s="422"/>
      <c r="F3154" s="422"/>
      <c r="G3154" s="461"/>
      <c r="H3154" s="678"/>
      <c r="I3154" s="462"/>
      <c r="J3154" s="462"/>
      <c r="K3154" s="422"/>
      <c r="L3154" s="689"/>
      <c r="M3154" s="422"/>
      <c r="N3154" s="463"/>
      <c r="O3154" s="463"/>
      <c r="P3154" s="689"/>
      <c r="Q3154" s="461"/>
      <c r="R3154" s="491"/>
      <c r="S3154" s="491"/>
      <c r="T3154" s="491"/>
      <c r="U3154" s="214">
        <f t="shared" ref="U3154:AD3163" si="1389">SUMIF($AR:$AR,$CI3154,U:U)</f>
        <v>0</v>
      </c>
      <c r="V3154" s="214">
        <f t="shared" si="1389"/>
        <v>0</v>
      </c>
      <c r="W3154" s="214">
        <f t="shared" si="1389"/>
        <v>1572.1992804166671</v>
      </c>
      <c r="X3154" s="214">
        <f t="shared" si="1389"/>
        <v>1572.1992804166671</v>
      </c>
      <c r="Y3154" s="214">
        <f t="shared" si="1389"/>
        <v>0</v>
      </c>
      <c r="Z3154" s="214">
        <f t="shared" si="1389"/>
        <v>0</v>
      </c>
      <c r="AA3154" s="214">
        <f t="shared" si="1389"/>
        <v>1789.6123799999998</v>
      </c>
      <c r="AB3154" s="214">
        <f t="shared" si="1389"/>
        <v>1789.61238</v>
      </c>
      <c r="AC3154" s="214">
        <f t="shared" si="1389"/>
        <v>1428.4960699999999</v>
      </c>
      <c r="AD3154" s="214">
        <f t="shared" si="1389"/>
        <v>1441.3479</v>
      </c>
      <c r="AE3154" s="214">
        <f t="shared" ref="AE3154:AO3163" si="1390">SUMIF($AR:$AR,$CI3154,AE:AE)</f>
        <v>1456.41767</v>
      </c>
      <c r="AF3154" s="214">
        <f t="shared" si="1390"/>
        <v>1476.2199800000003</v>
      </c>
      <c r="AG3154" s="214">
        <f t="shared" si="1390"/>
        <v>1492.54963</v>
      </c>
      <c r="AH3154" s="214">
        <f t="shared" si="1390"/>
        <v>1511.6717999999998</v>
      </c>
      <c r="AI3154" s="214">
        <f t="shared" si="1390"/>
        <v>1537.4632799999999</v>
      </c>
      <c r="AJ3154" s="214">
        <f t="shared" si="1390"/>
        <v>1595.54493</v>
      </c>
      <c r="AK3154" s="214">
        <f t="shared" si="1390"/>
        <v>1636.78664</v>
      </c>
      <c r="AL3154" s="214">
        <f t="shared" si="1390"/>
        <v>1681.82609</v>
      </c>
      <c r="AM3154" s="214">
        <f t="shared" si="1390"/>
        <v>1688.8067900000001</v>
      </c>
      <c r="AN3154" s="214">
        <f t="shared" si="1390"/>
        <v>1738.70243</v>
      </c>
      <c r="AO3154" s="214">
        <f t="shared" si="1390"/>
        <v>1789.61238</v>
      </c>
      <c r="AP3154" s="214"/>
      <c r="AQ3154" s="214"/>
      <c r="AR3154" s="214"/>
      <c r="AS3154" s="208">
        <f t="shared" si="1385"/>
        <v>0</v>
      </c>
      <c r="AT3154" s="208">
        <f t="shared" si="1385"/>
        <v>0</v>
      </c>
      <c r="AU3154" s="208">
        <f t="shared" si="1385"/>
        <v>0</v>
      </c>
      <c r="AV3154" s="208">
        <f t="shared" si="1385"/>
        <v>0</v>
      </c>
      <c r="AW3154" s="208">
        <f t="shared" si="1385"/>
        <v>0</v>
      </c>
      <c r="AX3154" s="208">
        <f t="shared" si="1385"/>
        <v>0</v>
      </c>
      <c r="AY3154" s="208">
        <f t="shared" si="1385"/>
        <v>0</v>
      </c>
      <c r="AZ3154" s="208">
        <f t="shared" si="1385"/>
        <v>0</v>
      </c>
      <c r="BA3154" s="208">
        <f t="shared" si="1385"/>
        <v>0</v>
      </c>
      <c r="BB3154" s="208">
        <f t="shared" si="1385"/>
        <v>0</v>
      </c>
      <c r="BC3154" s="208">
        <f t="shared" si="1386"/>
        <v>0</v>
      </c>
      <c r="BD3154" s="208">
        <f t="shared" si="1386"/>
        <v>0</v>
      </c>
      <c r="BE3154" s="208">
        <f t="shared" si="1386"/>
        <v>0</v>
      </c>
      <c r="BF3154" s="208">
        <f t="shared" si="1386"/>
        <v>0</v>
      </c>
      <c r="BG3154" s="208">
        <f t="shared" si="1386"/>
        <v>0</v>
      </c>
      <c r="BH3154" s="208">
        <f t="shared" si="1386"/>
        <v>0</v>
      </c>
      <c r="BI3154" s="208">
        <f t="shared" si="1386"/>
        <v>0</v>
      </c>
      <c r="BJ3154" s="208">
        <f t="shared" si="1386"/>
        <v>0</v>
      </c>
      <c r="BK3154" s="208">
        <f t="shared" si="1386"/>
        <v>0</v>
      </c>
      <c r="BL3154" s="208">
        <f t="shared" si="1386"/>
        <v>0</v>
      </c>
      <c r="BM3154" s="208">
        <f t="shared" si="1387"/>
        <v>0</v>
      </c>
      <c r="BN3154" s="208">
        <f t="shared" si="1387"/>
        <v>0</v>
      </c>
      <c r="BO3154" s="208">
        <f t="shared" si="1387"/>
        <v>0</v>
      </c>
      <c r="BP3154" s="208">
        <f t="shared" si="1387"/>
        <v>0</v>
      </c>
      <c r="BQ3154" s="208">
        <f t="shared" si="1387"/>
        <v>0</v>
      </c>
      <c r="BR3154" s="208">
        <f t="shared" si="1387"/>
        <v>0</v>
      </c>
      <c r="BS3154" s="208">
        <f t="shared" si="1387"/>
        <v>0</v>
      </c>
      <c r="BT3154" s="208">
        <f t="shared" si="1387"/>
        <v>0</v>
      </c>
      <c r="BU3154" s="208">
        <f t="shared" si="1387"/>
        <v>0</v>
      </c>
      <c r="BV3154" s="208">
        <f t="shared" si="1387"/>
        <v>0</v>
      </c>
      <c r="BW3154" s="208">
        <f t="shared" si="1388"/>
        <v>0</v>
      </c>
      <c r="BX3154" s="208">
        <f t="shared" si="1388"/>
        <v>0</v>
      </c>
      <c r="BY3154" s="208">
        <f t="shared" si="1388"/>
        <v>0</v>
      </c>
      <c r="BZ3154" s="208">
        <f t="shared" si="1388"/>
        <v>0</v>
      </c>
      <c r="CA3154" s="208">
        <f t="shared" si="1388"/>
        <v>0</v>
      </c>
      <c r="CB3154" s="208">
        <f t="shared" si="1388"/>
        <v>0</v>
      </c>
      <c r="CC3154" s="208"/>
      <c r="CD3154" s="208"/>
      <c r="CE3154" s="222"/>
      <c r="CF3154" s="222"/>
      <c r="CG3154" s="222"/>
      <c r="CH3154" s="270"/>
      <c r="CI3154" s="76" t="str">
        <f t="shared" ref="CI3154:CI3169" si="1391">CONCATENATE("N10",C3154,"NCR")</f>
        <v>N10Low IncomeNCR</v>
      </c>
      <c r="CJ3154" s="230"/>
      <c r="CK3154" s="230"/>
      <c r="CL3154" s="230"/>
      <c r="CM3154" s="231"/>
    </row>
    <row r="3155" spans="1:91">
      <c r="A3155" s="464"/>
      <c r="B3155" s="464"/>
      <c r="C3155" s="656" t="s">
        <v>1325</v>
      </c>
      <c r="D3155" s="689"/>
      <c r="E3155" s="422"/>
      <c r="F3155" s="422"/>
      <c r="G3155" s="461"/>
      <c r="H3155" s="678"/>
      <c r="I3155" s="462"/>
      <c r="J3155" s="462"/>
      <c r="K3155" s="422"/>
      <c r="L3155" s="689"/>
      <c r="M3155" s="422"/>
      <c r="N3155" s="463"/>
      <c r="O3155" s="463"/>
      <c r="P3155" s="689"/>
      <c r="Q3155" s="461"/>
      <c r="R3155" s="491"/>
      <c r="S3155" s="491"/>
      <c r="T3155" s="491"/>
      <c r="U3155" s="214">
        <f t="shared" si="1389"/>
        <v>0</v>
      </c>
      <c r="V3155" s="214">
        <f t="shared" si="1389"/>
        <v>0</v>
      </c>
      <c r="W3155" s="214">
        <f t="shared" si="1389"/>
        <v>-1235.4077858333301</v>
      </c>
      <c r="X3155" s="214">
        <f t="shared" si="1389"/>
        <v>-1235.4077858333301</v>
      </c>
      <c r="Y3155" s="214">
        <f t="shared" si="1389"/>
        <v>0</v>
      </c>
      <c r="Z3155" s="214">
        <f t="shared" si="1389"/>
        <v>0</v>
      </c>
      <c r="AA3155" s="214">
        <f t="shared" si="1389"/>
        <v>-1238.2378100000001</v>
      </c>
      <c r="AB3155" s="214">
        <f t="shared" si="1389"/>
        <v>-1238.2378099999999</v>
      </c>
      <c r="AC3155" s="214">
        <f t="shared" si="1389"/>
        <v>-644.43534999999963</v>
      </c>
      <c r="AD3155" s="214">
        <f t="shared" si="1389"/>
        <v>-451.34852999999998</v>
      </c>
      <c r="AE3155" s="214">
        <f t="shared" si="1390"/>
        <v>-591.29611</v>
      </c>
      <c r="AF3155" s="214">
        <f t="shared" si="1390"/>
        <v>-803.66543999999999</v>
      </c>
      <c r="AG3155" s="214">
        <f t="shared" si="1390"/>
        <v>-2775.5649099999996</v>
      </c>
      <c r="AH3155" s="214">
        <f t="shared" si="1390"/>
        <v>-2729.7561099999994</v>
      </c>
      <c r="AI3155" s="214">
        <f t="shared" si="1390"/>
        <v>-2098.2161599999999</v>
      </c>
      <c r="AJ3155" s="214">
        <f t="shared" si="1390"/>
        <v>-2016.5171499999999</v>
      </c>
      <c r="AK3155" s="214">
        <f t="shared" si="1390"/>
        <v>-237.72282999999985</v>
      </c>
      <c r="AL3155" s="214">
        <f t="shared" si="1390"/>
        <v>-532.39315999999997</v>
      </c>
      <c r="AM3155" s="214">
        <f t="shared" si="1390"/>
        <v>-718.11330999999984</v>
      </c>
      <c r="AN3155" s="214">
        <f t="shared" si="1390"/>
        <v>-928.96313999999995</v>
      </c>
      <c r="AO3155" s="214">
        <f t="shared" si="1390"/>
        <v>-1238.2378099999999</v>
      </c>
      <c r="AP3155" s="214"/>
      <c r="AQ3155" s="214"/>
      <c r="AR3155" s="214"/>
      <c r="AS3155" s="208">
        <f t="shared" si="1385"/>
        <v>0</v>
      </c>
      <c r="AT3155" s="208">
        <f t="shared" si="1385"/>
        <v>0</v>
      </c>
      <c r="AU3155" s="208">
        <f t="shared" si="1385"/>
        <v>0</v>
      </c>
      <c r="AV3155" s="208">
        <f t="shared" si="1385"/>
        <v>0</v>
      </c>
      <c r="AW3155" s="208">
        <f t="shared" si="1385"/>
        <v>0</v>
      </c>
      <c r="AX3155" s="208">
        <f t="shared" si="1385"/>
        <v>0</v>
      </c>
      <c r="AY3155" s="208">
        <f t="shared" si="1385"/>
        <v>0</v>
      </c>
      <c r="AZ3155" s="208">
        <f t="shared" si="1385"/>
        <v>0</v>
      </c>
      <c r="BA3155" s="208">
        <f t="shared" si="1385"/>
        <v>0</v>
      </c>
      <c r="BB3155" s="208">
        <f t="shared" si="1385"/>
        <v>0</v>
      </c>
      <c r="BC3155" s="208">
        <f t="shared" si="1386"/>
        <v>0</v>
      </c>
      <c r="BD3155" s="208">
        <f t="shared" si="1386"/>
        <v>0</v>
      </c>
      <c r="BE3155" s="208">
        <f t="shared" si="1386"/>
        <v>0</v>
      </c>
      <c r="BF3155" s="208">
        <f t="shared" si="1386"/>
        <v>0</v>
      </c>
      <c r="BG3155" s="208">
        <f t="shared" si="1386"/>
        <v>0</v>
      </c>
      <c r="BH3155" s="208">
        <f t="shared" si="1386"/>
        <v>0</v>
      </c>
      <c r="BI3155" s="208">
        <f t="shared" si="1386"/>
        <v>0</v>
      </c>
      <c r="BJ3155" s="208">
        <f t="shared" si="1386"/>
        <v>0</v>
      </c>
      <c r="BK3155" s="208">
        <f t="shared" si="1386"/>
        <v>0</v>
      </c>
      <c r="BL3155" s="208">
        <f t="shared" si="1386"/>
        <v>0</v>
      </c>
      <c r="BM3155" s="208">
        <f t="shared" si="1387"/>
        <v>0</v>
      </c>
      <c r="BN3155" s="208">
        <f t="shared" si="1387"/>
        <v>0</v>
      </c>
      <c r="BO3155" s="208">
        <f t="shared" si="1387"/>
        <v>0</v>
      </c>
      <c r="BP3155" s="208">
        <f t="shared" si="1387"/>
        <v>0</v>
      </c>
      <c r="BQ3155" s="208">
        <f t="shared" si="1387"/>
        <v>0</v>
      </c>
      <c r="BR3155" s="208">
        <f t="shared" si="1387"/>
        <v>0</v>
      </c>
      <c r="BS3155" s="208">
        <f t="shared" si="1387"/>
        <v>0</v>
      </c>
      <c r="BT3155" s="208">
        <f t="shared" si="1387"/>
        <v>0</v>
      </c>
      <c r="BU3155" s="208">
        <f t="shared" si="1387"/>
        <v>0</v>
      </c>
      <c r="BV3155" s="208">
        <f t="shared" si="1387"/>
        <v>0</v>
      </c>
      <c r="BW3155" s="208">
        <f t="shared" si="1388"/>
        <v>0</v>
      </c>
      <c r="BX3155" s="208">
        <f t="shared" si="1388"/>
        <v>0</v>
      </c>
      <c r="BY3155" s="208">
        <f t="shared" si="1388"/>
        <v>0</v>
      </c>
      <c r="BZ3155" s="208">
        <f t="shared" si="1388"/>
        <v>0</v>
      </c>
      <c r="CA3155" s="208">
        <f t="shared" si="1388"/>
        <v>0</v>
      </c>
      <c r="CB3155" s="208">
        <f t="shared" si="1388"/>
        <v>0</v>
      </c>
      <c r="CC3155" s="208"/>
      <c r="CD3155" s="208"/>
      <c r="CE3155" s="222"/>
      <c r="CF3155" s="222"/>
      <c r="CG3155" s="222"/>
      <c r="CH3155" s="270"/>
      <c r="CI3155" s="76" t="str">
        <f t="shared" si="1391"/>
        <v>N10Major Storm ReserveNCR</v>
      </c>
      <c r="CJ3155" s="230"/>
      <c r="CK3155" s="230"/>
      <c r="CL3155" s="230"/>
      <c r="CM3155" s="231"/>
    </row>
    <row r="3156" spans="1:91">
      <c r="A3156" s="464"/>
      <c r="B3156" s="464"/>
      <c r="C3156" s="656" t="s">
        <v>1192</v>
      </c>
      <c r="D3156" s="689"/>
      <c r="E3156" s="422"/>
      <c r="F3156" s="422"/>
      <c r="G3156" s="461"/>
      <c r="H3156" s="678"/>
      <c r="I3156" s="462"/>
      <c r="J3156" s="462"/>
      <c r="K3156" s="422"/>
      <c r="L3156" s="689"/>
      <c r="M3156" s="422"/>
      <c r="N3156" s="463"/>
      <c r="O3156" s="463"/>
      <c r="P3156" s="689"/>
      <c r="Q3156" s="461"/>
      <c r="R3156" s="491"/>
      <c r="S3156" s="491"/>
      <c r="T3156" s="491"/>
      <c r="U3156" s="214">
        <f t="shared" si="1389"/>
        <v>0</v>
      </c>
      <c r="V3156" s="214">
        <f t="shared" si="1389"/>
        <v>0</v>
      </c>
      <c r="W3156" s="214">
        <f t="shared" si="1389"/>
        <v>-66.082157916666304</v>
      </c>
      <c r="X3156" s="214">
        <f t="shared" si="1389"/>
        <v>-66.082157916666304</v>
      </c>
      <c r="Y3156" s="214">
        <f t="shared" si="1389"/>
        <v>0</v>
      </c>
      <c r="Z3156" s="214">
        <f t="shared" si="1389"/>
        <v>0</v>
      </c>
      <c r="AA3156" s="214">
        <f t="shared" si="1389"/>
        <v>-141.24112000000002</v>
      </c>
      <c r="AB3156" s="214">
        <f t="shared" si="1389"/>
        <v>-141.24111999999997</v>
      </c>
      <c r="AC3156" s="214">
        <f t="shared" si="1389"/>
        <v>9.0839700000000061</v>
      </c>
      <c r="AD3156" s="214">
        <f t="shared" si="1389"/>
        <v>-3.4447500000000164</v>
      </c>
      <c r="AE3156" s="214">
        <f t="shared" si="1390"/>
        <v>-15.973200000000014</v>
      </c>
      <c r="AF3156" s="214">
        <f t="shared" si="1390"/>
        <v>-28.501330000000003</v>
      </c>
      <c r="AG3156" s="214">
        <f t="shared" si="1390"/>
        <v>-41.029180000000004</v>
      </c>
      <c r="AH3156" s="214">
        <f t="shared" si="1390"/>
        <v>-53.556729999999995</v>
      </c>
      <c r="AI3156" s="214">
        <f t="shared" si="1390"/>
        <v>-66.083979999999997</v>
      </c>
      <c r="AJ3156" s="214">
        <f t="shared" si="1390"/>
        <v>-78.610940000000014</v>
      </c>
      <c r="AK3156" s="214">
        <f t="shared" si="1390"/>
        <v>-91.137600000000035</v>
      </c>
      <c r="AL3156" s="214">
        <f t="shared" si="1390"/>
        <v>-103.66393000000001</v>
      </c>
      <c r="AM3156" s="214">
        <f t="shared" si="1390"/>
        <v>-116.18997</v>
      </c>
      <c r="AN3156" s="214">
        <f t="shared" si="1390"/>
        <v>-128.71571</v>
      </c>
      <c r="AO3156" s="214">
        <f t="shared" si="1390"/>
        <v>-141.24111999999997</v>
      </c>
      <c r="AP3156" s="214"/>
      <c r="AQ3156" s="214"/>
      <c r="AR3156" s="214"/>
      <c r="AS3156" s="208">
        <f t="shared" si="1385"/>
        <v>0</v>
      </c>
      <c r="AT3156" s="208">
        <f t="shared" si="1385"/>
        <v>0</v>
      </c>
      <c r="AU3156" s="208">
        <f t="shared" si="1385"/>
        <v>0</v>
      </c>
      <c r="AV3156" s="208">
        <f t="shared" si="1385"/>
        <v>0</v>
      </c>
      <c r="AW3156" s="208">
        <f t="shared" si="1385"/>
        <v>0</v>
      </c>
      <c r="AX3156" s="208">
        <f t="shared" si="1385"/>
        <v>0</v>
      </c>
      <c r="AY3156" s="208">
        <f t="shared" si="1385"/>
        <v>0</v>
      </c>
      <c r="AZ3156" s="208">
        <f t="shared" si="1385"/>
        <v>0</v>
      </c>
      <c r="BA3156" s="208">
        <f t="shared" si="1385"/>
        <v>0</v>
      </c>
      <c r="BB3156" s="208">
        <f t="shared" si="1385"/>
        <v>0</v>
      </c>
      <c r="BC3156" s="208">
        <f t="shared" si="1386"/>
        <v>0</v>
      </c>
      <c r="BD3156" s="208">
        <f t="shared" si="1386"/>
        <v>0</v>
      </c>
      <c r="BE3156" s="208">
        <f t="shared" si="1386"/>
        <v>0</v>
      </c>
      <c r="BF3156" s="208">
        <f t="shared" si="1386"/>
        <v>0</v>
      </c>
      <c r="BG3156" s="208">
        <f t="shared" si="1386"/>
        <v>0</v>
      </c>
      <c r="BH3156" s="208">
        <f t="shared" si="1386"/>
        <v>0</v>
      </c>
      <c r="BI3156" s="208">
        <f t="shared" si="1386"/>
        <v>0</v>
      </c>
      <c r="BJ3156" s="208">
        <f t="shared" si="1386"/>
        <v>0</v>
      </c>
      <c r="BK3156" s="208">
        <f t="shared" si="1386"/>
        <v>0</v>
      </c>
      <c r="BL3156" s="208">
        <f t="shared" si="1386"/>
        <v>0</v>
      </c>
      <c r="BM3156" s="208">
        <f t="shared" si="1387"/>
        <v>0</v>
      </c>
      <c r="BN3156" s="208">
        <f t="shared" si="1387"/>
        <v>0</v>
      </c>
      <c r="BO3156" s="208">
        <f t="shared" si="1387"/>
        <v>0</v>
      </c>
      <c r="BP3156" s="208">
        <f t="shared" si="1387"/>
        <v>0</v>
      </c>
      <c r="BQ3156" s="208">
        <f t="shared" si="1387"/>
        <v>0</v>
      </c>
      <c r="BR3156" s="208">
        <f t="shared" si="1387"/>
        <v>0</v>
      </c>
      <c r="BS3156" s="208">
        <f t="shared" si="1387"/>
        <v>0</v>
      </c>
      <c r="BT3156" s="208">
        <f t="shared" si="1387"/>
        <v>0</v>
      </c>
      <c r="BU3156" s="208">
        <f t="shared" si="1387"/>
        <v>0</v>
      </c>
      <c r="BV3156" s="208">
        <f t="shared" si="1387"/>
        <v>0</v>
      </c>
      <c r="BW3156" s="208">
        <f t="shared" si="1388"/>
        <v>0</v>
      </c>
      <c r="BX3156" s="208">
        <f t="shared" si="1388"/>
        <v>0</v>
      </c>
      <c r="BY3156" s="208">
        <f t="shared" si="1388"/>
        <v>0</v>
      </c>
      <c r="BZ3156" s="208">
        <f t="shared" si="1388"/>
        <v>0</v>
      </c>
      <c r="CA3156" s="208">
        <f t="shared" si="1388"/>
        <v>0</v>
      </c>
      <c r="CB3156" s="208">
        <f t="shared" si="1388"/>
        <v>0</v>
      </c>
      <c r="CC3156" s="208"/>
      <c r="CD3156" s="208"/>
      <c r="CE3156" s="222"/>
      <c r="CF3156" s="222"/>
      <c r="CG3156" s="222"/>
      <c r="CH3156" s="270"/>
      <c r="CI3156" s="76" t="str">
        <f t="shared" si="1391"/>
        <v>N10Management Audit DeferralNCR</v>
      </c>
      <c r="CJ3156" s="230"/>
      <c r="CK3156" s="230"/>
      <c r="CL3156" s="230"/>
      <c r="CM3156" s="231"/>
    </row>
    <row r="3157" spans="1:91">
      <c r="A3157" s="464"/>
      <c r="B3157" s="464"/>
      <c r="C3157" s="656" t="s">
        <v>1118</v>
      </c>
      <c r="D3157" s="689"/>
      <c r="E3157" s="422"/>
      <c r="F3157" s="422"/>
      <c r="G3157" s="461"/>
      <c r="H3157" s="678"/>
      <c r="I3157" s="462"/>
      <c r="J3157" s="462"/>
      <c r="K3157" s="422"/>
      <c r="L3157" s="689"/>
      <c r="M3157" s="422"/>
      <c r="N3157" s="463"/>
      <c r="O3157" s="463"/>
      <c r="P3157" s="689"/>
      <c r="Q3157" s="461"/>
      <c r="R3157" s="491"/>
      <c r="S3157" s="491"/>
      <c r="T3157" s="491"/>
      <c r="U3157" s="214">
        <f t="shared" si="1389"/>
        <v>0</v>
      </c>
      <c r="V3157" s="214">
        <f t="shared" si="1389"/>
        <v>0</v>
      </c>
      <c r="W3157" s="214">
        <f t="shared" si="1389"/>
        <v>-532.78841624999995</v>
      </c>
      <c r="X3157" s="214">
        <f t="shared" si="1389"/>
        <v>-532.78841624999995</v>
      </c>
      <c r="Y3157" s="214">
        <f t="shared" si="1389"/>
        <v>0</v>
      </c>
      <c r="Z3157" s="214">
        <f t="shared" si="1389"/>
        <v>0</v>
      </c>
      <c r="AA3157" s="214">
        <f t="shared" si="1389"/>
        <v>-551.15773000000002</v>
      </c>
      <c r="AB3157" s="214">
        <f t="shared" si="1389"/>
        <v>-551.15773000000002</v>
      </c>
      <c r="AC3157" s="214">
        <f t="shared" si="1389"/>
        <v>-515.02011999999991</v>
      </c>
      <c r="AD3157" s="214">
        <f t="shared" si="1389"/>
        <v>-517.93886999999995</v>
      </c>
      <c r="AE3157" s="214">
        <f t="shared" si="1390"/>
        <v>-519.70151999999996</v>
      </c>
      <c r="AF3157" s="214">
        <f t="shared" si="1390"/>
        <v>-523.82608000000005</v>
      </c>
      <c r="AG3157" s="214">
        <f t="shared" si="1390"/>
        <v>-526.79474000000005</v>
      </c>
      <c r="AH3157" s="214">
        <f t="shared" si="1390"/>
        <v>-529.78021999999999</v>
      </c>
      <c r="AI3157" s="214">
        <f t="shared" si="1390"/>
        <v>-532.78261999999995</v>
      </c>
      <c r="AJ3157" s="214">
        <f t="shared" si="1390"/>
        <v>-535.80204000000003</v>
      </c>
      <c r="AK3157" s="214">
        <f t="shared" si="1390"/>
        <v>-538.83856000000003</v>
      </c>
      <c r="AL3157" s="214">
        <f t="shared" si="1390"/>
        <v>-541.89229999999998</v>
      </c>
      <c r="AM3157" s="214">
        <f t="shared" si="1390"/>
        <v>-544.96334000000002</v>
      </c>
      <c r="AN3157" s="214">
        <f t="shared" si="1390"/>
        <v>-548.05178000000001</v>
      </c>
      <c r="AO3157" s="214">
        <f t="shared" si="1390"/>
        <v>-551.15773000000002</v>
      </c>
      <c r="AP3157" s="214"/>
      <c r="AQ3157" s="214"/>
      <c r="AR3157" s="214"/>
      <c r="AS3157" s="208">
        <f t="shared" si="1385"/>
        <v>0</v>
      </c>
      <c r="AT3157" s="208">
        <f t="shared" si="1385"/>
        <v>0</v>
      </c>
      <c r="AU3157" s="208">
        <f t="shared" si="1385"/>
        <v>0</v>
      </c>
      <c r="AV3157" s="208">
        <f t="shared" si="1385"/>
        <v>0</v>
      </c>
      <c r="AW3157" s="208">
        <f t="shared" si="1385"/>
        <v>0</v>
      </c>
      <c r="AX3157" s="208">
        <f t="shared" si="1385"/>
        <v>0</v>
      </c>
      <c r="AY3157" s="208">
        <f t="shared" si="1385"/>
        <v>0</v>
      </c>
      <c r="AZ3157" s="208">
        <f t="shared" si="1385"/>
        <v>0</v>
      </c>
      <c r="BA3157" s="208">
        <f t="shared" si="1385"/>
        <v>0</v>
      </c>
      <c r="BB3157" s="208">
        <f t="shared" si="1385"/>
        <v>0</v>
      </c>
      <c r="BC3157" s="208">
        <f t="shared" si="1386"/>
        <v>0</v>
      </c>
      <c r="BD3157" s="208">
        <f t="shared" si="1386"/>
        <v>0</v>
      </c>
      <c r="BE3157" s="208">
        <f t="shared" si="1386"/>
        <v>0</v>
      </c>
      <c r="BF3157" s="208">
        <f t="shared" si="1386"/>
        <v>0</v>
      </c>
      <c r="BG3157" s="208">
        <f t="shared" si="1386"/>
        <v>0</v>
      </c>
      <c r="BH3157" s="208">
        <f t="shared" si="1386"/>
        <v>0</v>
      </c>
      <c r="BI3157" s="208">
        <f t="shared" si="1386"/>
        <v>0</v>
      </c>
      <c r="BJ3157" s="208">
        <f t="shared" si="1386"/>
        <v>0</v>
      </c>
      <c r="BK3157" s="208">
        <f t="shared" si="1386"/>
        <v>0</v>
      </c>
      <c r="BL3157" s="208">
        <f t="shared" si="1386"/>
        <v>0</v>
      </c>
      <c r="BM3157" s="208">
        <f t="shared" si="1387"/>
        <v>0</v>
      </c>
      <c r="BN3157" s="208">
        <f t="shared" si="1387"/>
        <v>0</v>
      </c>
      <c r="BO3157" s="208">
        <f t="shared" si="1387"/>
        <v>0</v>
      </c>
      <c r="BP3157" s="208">
        <f t="shared" si="1387"/>
        <v>0</v>
      </c>
      <c r="BQ3157" s="208">
        <f t="shared" si="1387"/>
        <v>0</v>
      </c>
      <c r="BR3157" s="208">
        <f t="shared" si="1387"/>
        <v>0</v>
      </c>
      <c r="BS3157" s="208">
        <f t="shared" si="1387"/>
        <v>0</v>
      </c>
      <c r="BT3157" s="208">
        <f t="shared" si="1387"/>
        <v>0</v>
      </c>
      <c r="BU3157" s="208">
        <f t="shared" si="1387"/>
        <v>0</v>
      </c>
      <c r="BV3157" s="208">
        <f t="shared" si="1387"/>
        <v>0</v>
      </c>
      <c r="BW3157" s="208">
        <f t="shared" si="1388"/>
        <v>0</v>
      </c>
      <c r="BX3157" s="208">
        <f t="shared" si="1388"/>
        <v>0</v>
      </c>
      <c r="BY3157" s="208">
        <f t="shared" si="1388"/>
        <v>0</v>
      </c>
      <c r="BZ3157" s="208">
        <f t="shared" si="1388"/>
        <v>0</v>
      </c>
      <c r="CA3157" s="208">
        <f t="shared" si="1388"/>
        <v>0</v>
      </c>
      <c r="CB3157" s="208">
        <f t="shared" si="1388"/>
        <v>0</v>
      </c>
      <c r="CC3157" s="208"/>
      <c r="CD3157" s="208"/>
      <c r="CE3157" s="222"/>
      <c r="CF3157" s="222"/>
      <c r="CG3157" s="222"/>
      <c r="CH3157" s="270"/>
      <c r="CI3157" s="76" t="str">
        <f t="shared" si="1391"/>
        <v>N10Medicare Part DNCR</v>
      </c>
      <c r="CJ3157" s="230"/>
      <c r="CK3157" s="230"/>
      <c r="CL3157" s="230"/>
      <c r="CM3157" s="231"/>
    </row>
    <row r="3158" spans="1:91">
      <c r="A3158" s="464"/>
      <c r="B3158" s="464"/>
      <c r="C3158" s="656" t="s">
        <v>1123</v>
      </c>
      <c r="D3158" s="689"/>
      <c r="E3158" s="422"/>
      <c r="F3158" s="422"/>
      <c r="G3158" s="461"/>
      <c r="H3158" s="678"/>
      <c r="I3158" s="462"/>
      <c r="J3158" s="462"/>
      <c r="K3158" s="422"/>
      <c r="L3158" s="689"/>
      <c r="M3158" s="422"/>
      <c r="N3158" s="463"/>
      <c r="O3158" s="463"/>
      <c r="P3158" s="689"/>
      <c r="Q3158" s="461"/>
      <c r="R3158" s="491"/>
      <c r="S3158" s="491"/>
      <c r="T3158" s="491"/>
      <c r="U3158" s="214">
        <f t="shared" si="1389"/>
        <v>0</v>
      </c>
      <c r="V3158" s="214">
        <f t="shared" si="1389"/>
        <v>0</v>
      </c>
      <c r="W3158" s="214">
        <f t="shared" si="1389"/>
        <v>0</v>
      </c>
      <c r="X3158" s="214">
        <f t="shared" si="1389"/>
        <v>0</v>
      </c>
      <c r="Y3158" s="214">
        <f t="shared" si="1389"/>
        <v>0</v>
      </c>
      <c r="Z3158" s="214">
        <f t="shared" si="1389"/>
        <v>0</v>
      </c>
      <c r="AA3158" s="214">
        <f t="shared" si="1389"/>
        <v>0</v>
      </c>
      <c r="AB3158" s="214">
        <f t="shared" si="1389"/>
        <v>0</v>
      </c>
      <c r="AC3158" s="214">
        <f t="shared" si="1389"/>
        <v>0</v>
      </c>
      <c r="AD3158" s="214">
        <f t="shared" si="1389"/>
        <v>0</v>
      </c>
      <c r="AE3158" s="214">
        <f t="shared" si="1390"/>
        <v>0</v>
      </c>
      <c r="AF3158" s="214">
        <f t="shared" si="1390"/>
        <v>0</v>
      </c>
      <c r="AG3158" s="214">
        <f t="shared" si="1390"/>
        <v>0</v>
      </c>
      <c r="AH3158" s="214">
        <f t="shared" si="1390"/>
        <v>0</v>
      </c>
      <c r="AI3158" s="214">
        <f t="shared" si="1390"/>
        <v>0</v>
      </c>
      <c r="AJ3158" s="214">
        <f t="shared" si="1390"/>
        <v>0</v>
      </c>
      <c r="AK3158" s="214">
        <f t="shared" si="1390"/>
        <v>0</v>
      </c>
      <c r="AL3158" s="214">
        <f t="shared" si="1390"/>
        <v>0</v>
      </c>
      <c r="AM3158" s="214">
        <f t="shared" si="1390"/>
        <v>0</v>
      </c>
      <c r="AN3158" s="214">
        <f t="shared" si="1390"/>
        <v>0</v>
      </c>
      <c r="AO3158" s="214">
        <f t="shared" si="1390"/>
        <v>0</v>
      </c>
      <c r="AP3158" s="214"/>
      <c r="AQ3158" s="214"/>
      <c r="AR3158" s="214"/>
      <c r="AS3158" s="208">
        <f t="shared" si="1385"/>
        <v>0</v>
      </c>
      <c r="AT3158" s="208">
        <f t="shared" si="1385"/>
        <v>0</v>
      </c>
      <c r="AU3158" s="208">
        <f t="shared" si="1385"/>
        <v>0</v>
      </c>
      <c r="AV3158" s="208">
        <f t="shared" si="1385"/>
        <v>0</v>
      </c>
      <c r="AW3158" s="208">
        <f t="shared" si="1385"/>
        <v>0</v>
      </c>
      <c r="AX3158" s="208">
        <f t="shared" si="1385"/>
        <v>0</v>
      </c>
      <c r="AY3158" s="208">
        <f t="shared" si="1385"/>
        <v>0</v>
      </c>
      <c r="AZ3158" s="208">
        <f t="shared" si="1385"/>
        <v>0</v>
      </c>
      <c r="BA3158" s="208">
        <f t="shared" si="1385"/>
        <v>0</v>
      </c>
      <c r="BB3158" s="208">
        <f t="shared" si="1385"/>
        <v>0</v>
      </c>
      <c r="BC3158" s="208">
        <f t="shared" si="1386"/>
        <v>0</v>
      </c>
      <c r="BD3158" s="208">
        <f t="shared" si="1386"/>
        <v>0</v>
      </c>
      <c r="BE3158" s="208">
        <f t="shared" si="1386"/>
        <v>0</v>
      </c>
      <c r="BF3158" s="208">
        <f t="shared" si="1386"/>
        <v>0</v>
      </c>
      <c r="BG3158" s="208">
        <f t="shared" si="1386"/>
        <v>0</v>
      </c>
      <c r="BH3158" s="208">
        <f t="shared" si="1386"/>
        <v>0</v>
      </c>
      <c r="BI3158" s="208">
        <f t="shared" si="1386"/>
        <v>0</v>
      </c>
      <c r="BJ3158" s="208">
        <f t="shared" si="1386"/>
        <v>0</v>
      </c>
      <c r="BK3158" s="208">
        <f t="shared" si="1386"/>
        <v>0</v>
      </c>
      <c r="BL3158" s="208">
        <f t="shared" si="1386"/>
        <v>0</v>
      </c>
      <c r="BM3158" s="208">
        <f t="shared" si="1387"/>
        <v>0</v>
      </c>
      <c r="BN3158" s="208">
        <f t="shared" si="1387"/>
        <v>0</v>
      </c>
      <c r="BO3158" s="208">
        <f t="shared" si="1387"/>
        <v>0</v>
      </c>
      <c r="BP3158" s="208">
        <f t="shared" si="1387"/>
        <v>0</v>
      </c>
      <c r="BQ3158" s="208">
        <f t="shared" si="1387"/>
        <v>0</v>
      </c>
      <c r="BR3158" s="208">
        <f t="shared" si="1387"/>
        <v>0</v>
      </c>
      <c r="BS3158" s="208">
        <f t="shared" si="1387"/>
        <v>0</v>
      </c>
      <c r="BT3158" s="208">
        <f t="shared" si="1387"/>
        <v>0</v>
      </c>
      <c r="BU3158" s="208">
        <f t="shared" si="1387"/>
        <v>0</v>
      </c>
      <c r="BV3158" s="208">
        <f t="shared" si="1387"/>
        <v>0</v>
      </c>
      <c r="BW3158" s="208">
        <f t="shared" si="1388"/>
        <v>0</v>
      </c>
      <c r="BX3158" s="208">
        <f t="shared" si="1388"/>
        <v>0</v>
      </c>
      <c r="BY3158" s="208">
        <f t="shared" si="1388"/>
        <v>0</v>
      </c>
      <c r="BZ3158" s="208">
        <f t="shared" si="1388"/>
        <v>0</v>
      </c>
      <c r="CA3158" s="208">
        <f t="shared" si="1388"/>
        <v>0</v>
      </c>
      <c r="CB3158" s="208">
        <f t="shared" si="1388"/>
        <v>0</v>
      </c>
      <c r="CC3158" s="208"/>
      <c r="CD3158" s="208"/>
      <c r="CE3158" s="222"/>
      <c r="CF3158" s="222"/>
      <c r="CG3158" s="222"/>
      <c r="CH3158" s="270"/>
      <c r="CI3158" s="76" t="str">
        <f t="shared" si="1391"/>
        <v>N10NCR - ElectricNCR</v>
      </c>
      <c r="CJ3158" s="230"/>
      <c r="CK3158" s="230"/>
      <c r="CL3158" s="230"/>
      <c r="CM3158" s="231"/>
    </row>
    <row r="3159" spans="1:91">
      <c r="A3159" s="464"/>
      <c r="B3159" s="464"/>
      <c r="C3159" s="656" t="s">
        <v>812</v>
      </c>
      <c r="D3159" s="689"/>
      <c r="E3159" s="422"/>
      <c r="F3159" s="422"/>
      <c r="G3159" s="461"/>
      <c r="H3159" s="678"/>
      <c r="I3159" s="462"/>
      <c r="J3159" s="462"/>
      <c r="K3159" s="422"/>
      <c r="L3159" s="689"/>
      <c r="M3159" s="422"/>
      <c r="N3159" s="463"/>
      <c r="O3159" s="463"/>
      <c r="P3159" s="689"/>
      <c r="Q3159" s="461"/>
      <c r="R3159" s="491"/>
      <c r="S3159" s="491"/>
      <c r="T3159" s="491"/>
      <c r="U3159" s="214">
        <f t="shared" si="1389"/>
        <v>0</v>
      </c>
      <c r="V3159" s="214">
        <f t="shared" si="1389"/>
        <v>0</v>
      </c>
      <c r="W3159" s="214">
        <f t="shared" si="1389"/>
        <v>-82.315336666666497</v>
      </c>
      <c r="X3159" s="214">
        <f t="shared" si="1389"/>
        <v>-82.315336666666497</v>
      </c>
      <c r="Y3159" s="214">
        <f t="shared" si="1389"/>
        <v>0</v>
      </c>
      <c r="Z3159" s="214">
        <f t="shared" si="1389"/>
        <v>0</v>
      </c>
      <c r="AA3159" s="214">
        <f t="shared" si="1389"/>
        <v>-861.75247000000002</v>
      </c>
      <c r="AB3159" s="214">
        <f t="shared" si="1389"/>
        <v>-861.75247000000002</v>
      </c>
      <c r="AC3159" s="214">
        <f t="shared" si="1389"/>
        <v>708.89561000000037</v>
      </c>
      <c r="AD3159" s="214">
        <f t="shared" si="1389"/>
        <v>596.27209000000005</v>
      </c>
      <c r="AE3159" s="214">
        <f t="shared" si="1390"/>
        <v>447.05140000000011</v>
      </c>
      <c r="AF3159" s="214">
        <f t="shared" si="1390"/>
        <v>304.59186000000017</v>
      </c>
      <c r="AG3159" s="214">
        <f t="shared" si="1390"/>
        <v>166.94493000000017</v>
      </c>
      <c r="AH3159" s="214">
        <f t="shared" si="1390"/>
        <v>23.195590000000166</v>
      </c>
      <c r="AI3159" s="214">
        <f t="shared" si="1390"/>
        <v>-130.06237999999982</v>
      </c>
      <c r="AJ3159" s="214">
        <f t="shared" si="1390"/>
        <v>-256.00883999999979</v>
      </c>
      <c r="AK3159" s="214">
        <f t="shared" si="1390"/>
        <v>-314.85830999999985</v>
      </c>
      <c r="AL3159" s="214">
        <f t="shared" si="1390"/>
        <v>-433.84950999999984</v>
      </c>
      <c r="AM3159" s="214">
        <f t="shared" si="1390"/>
        <v>-586.1044499999997</v>
      </c>
      <c r="AN3159" s="214">
        <f t="shared" si="1390"/>
        <v>-728.52798999999982</v>
      </c>
      <c r="AO3159" s="214">
        <f t="shared" si="1390"/>
        <v>-861.75247000000002</v>
      </c>
      <c r="AP3159" s="214"/>
      <c r="AQ3159" s="214"/>
      <c r="AR3159" s="214"/>
      <c r="AS3159" s="208">
        <f t="shared" si="1385"/>
        <v>0</v>
      </c>
      <c r="AT3159" s="208">
        <f t="shared" si="1385"/>
        <v>0</v>
      </c>
      <c r="AU3159" s="208">
        <f t="shared" si="1385"/>
        <v>0</v>
      </c>
      <c r="AV3159" s="208">
        <f t="shared" si="1385"/>
        <v>0</v>
      </c>
      <c r="AW3159" s="208">
        <f t="shared" si="1385"/>
        <v>0</v>
      </c>
      <c r="AX3159" s="208">
        <f t="shared" si="1385"/>
        <v>0</v>
      </c>
      <c r="AY3159" s="208">
        <f t="shared" si="1385"/>
        <v>0</v>
      </c>
      <c r="AZ3159" s="208">
        <f t="shared" si="1385"/>
        <v>0</v>
      </c>
      <c r="BA3159" s="208">
        <f t="shared" si="1385"/>
        <v>0</v>
      </c>
      <c r="BB3159" s="208">
        <f t="shared" si="1385"/>
        <v>0</v>
      </c>
      <c r="BC3159" s="208">
        <f t="shared" si="1386"/>
        <v>0</v>
      </c>
      <c r="BD3159" s="208">
        <f t="shared" si="1386"/>
        <v>0</v>
      </c>
      <c r="BE3159" s="208">
        <f t="shared" si="1386"/>
        <v>0</v>
      </c>
      <c r="BF3159" s="208">
        <f t="shared" si="1386"/>
        <v>0</v>
      </c>
      <c r="BG3159" s="208">
        <f t="shared" si="1386"/>
        <v>0</v>
      </c>
      <c r="BH3159" s="208">
        <f t="shared" si="1386"/>
        <v>0</v>
      </c>
      <c r="BI3159" s="208">
        <f t="shared" si="1386"/>
        <v>0</v>
      </c>
      <c r="BJ3159" s="208">
        <f t="shared" si="1386"/>
        <v>0</v>
      </c>
      <c r="BK3159" s="208">
        <f t="shared" si="1386"/>
        <v>0</v>
      </c>
      <c r="BL3159" s="208">
        <f t="shared" si="1386"/>
        <v>0</v>
      </c>
      <c r="BM3159" s="208">
        <f t="shared" si="1387"/>
        <v>0</v>
      </c>
      <c r="BN3159" s="208">
        <f t="shared" si="1387"/>
        <v>0</v>
      </c>
      <c r="BO3159" s="208">
        <f t="shared" si="1387"/>
        <v>0</v>
      </c>
      <c r="BP3159" s="208">
        <f t="shared" si="1387"/>
        <v>0</v>
      </c>
      <c r="BQ3159" s="208">
        <f t="shared" si="1387"/>
        <v>0</v>
      </c>
      <c r="BR3159" s="208">
        <f t="shared" si="1387"/>
        <v>0</v>
      </c>
      <c r="BS3159" s="208">
        <f t="shared" si="1387"/>
        <v>0</v>
      </c>
      <c r="BT3159" s="208">
        <f t="shared" si="1387"/>
        <v>0</v>
      </c>
      <c r="BU3159" s="208">
        <f t="shared" si="1387"/>
        <v>0</v>
      </c>
      <c r="BV3159" s="208">
        <f t="shared" si="1387"/>
        <v>0</v>
      </c>
      <c r="BW3159" s="208">
        <f t="shared" si="1388"/>
        <v>0</v>
      </c>
      <c r="BX3159" s="208">
        <f t="shared" si="1388"/>
        <v>0</v>
      </c>
      <c r="BY3159" s="208">
        <f t="shared" si="1388"/>
        <v>0</v>
      </c>
      <c r="BZ3159" s="208">
        <f t="shared" si="1388"/>
        <v>0</v>
      </c>
      <c r="CA3159" s="208">
        <f t="shared" si="1388"/>
        <v>0</v>
      </c>
      <c r="CB3159" s="208">
        <f t="shared" si="1388"/>
        <v>0</v>
      </c>
      <c r="CC3159" s="208"/>
      <c r="CD3159" s="208"/>
      <c r="CE3159" s="222"/>
      <c r="CF3159" s="222"/>
      <c r="CG3159" s="222"/>
      <c r="CH3159" s="270"/>
      <c r="CI3159" s="76" t="str">
        <f t="shared" si="1391"/>
        <v>N10OPEB True-upNCR</v>
      </c>
      <c r="CJ3159" s="230"/>
      <c r="CK3159" s="230"/>
      <c r="CL3159" s="230"/>
      <c r="CM3159" s="231"/>
    </row>
    <row r="3160" spans="1:91">
      <c r="A3160" s="464"/>
      <c r="B3160" s="464"/>
      <c r="C3160" s="656" t="s">
        <v>1113</v>
      </c>
      <c r="D3160" s="689"/>
      <c r="E3160" s="422"/>
      <c r="F3160" s="422"/>
      <c r="G3160" s="461"/>
      <c r="H3160" s="678"/>
      <c r="I3160" s="462"/>
      <c r="J3160" s="462"/>
      <c r="K3160" s="422"/>
      <c r="L3160" s="689"/>
      <c r="M3160" s="422"/>
      <c r="N3160" s="463"/>
      <c r="O3160" s="463"/>
      <c r="P3160" s="689"/>
      <c r="Q3160" s="461"/>
      <c r="R3160" s="491"/>
      <c r="S3160" s="491"/>
      <c r="T3160" s="491"/>
      <c r="U3160" s="214">
        <f t="shared" si="1389"/>
        <v>0</v>
      </c>
      <c r="V3160" s="214">
        <f t="shared" si="1389"/>
        <v>0</v>
      </c>
      <c r="W3160" s="214">
        <f t="shared" si="1389"/>
        <v>-61420.964149166677</v>
      </c>
      <c r="X3160" s="214">
        <f t="shared" si="1389"/>
        <v>-61420.964149166677</v>
      </c>
      <c r="Y3160" s="214">
        <f t="shared" si="1389"/>
        <v>0</v>
      </c>
      <c r="Z3160" s="214">
        <f t="shared" si="1389"/>
        <v>0</v>
      </c>
      <c r="AA3160" s="214">
        <f t="shared" si="1389"/>
        <v>-84152.199090000009</v>
      </c>
      <c r="AB3160" s="214">
        <f t="shared" si="1389"/>
        <v>-84152.199090000009</v>
      </c>
      <c r="AC3160" s="214">
        <f t="shared" si="1389"/>
        <v>-26109.909990000011</v>
      </c>
      <c r="AD3160" s="214">
        <f t="shared" si="1389"/>
        <v>-28180.379649999999</v>
      </c>
      <c r="AE3160" s="214">
        <f t="shared" si="1390"/>
        <v>-30245.071059999998</v>
      </c>
      <c r="AF3160" s="214">
        <f t="shared" si="1390"/>
        <v>-32315.415939999992</v>
      </c>
      <c r="AG3160" s="214">
        <f t="shared" si="1390"/>
        <v>-65613.551460000002</v>
      </c>
      <c r="AH3160" s="214">
        <f t="shared" si="1390"/>
        <v>-68270.769769999999</v>
      </c>
      <c r="AI3160" s="214">
        <f t="shared" si="1390"/>
        <v>-70623.770090000005</v>
      </c>
      <c r="AJ3160" s="214">
        <f t="shared" si="1390"/>
        <v>-72961.982870000007</v>
      </c>
      <c r="AK3160" s="214">
        <f t="shared" si="1390"/>
        <v>-75302.077040000004</v>
      </c>
      <c r="AL3160" s="214">
        <f t="shared" si="1390"/>
        <v>-77323.211540000004</v>
      </c>
      <c r="AM3160" s="214">
        <f t="shared" si="1390"/>
        <v>-79568.969100000017</v>
      </c>
      <c r="AN3160" s="214">
        <f t="shared" si="1390"/>
        <v>-81515.31673000002</v>
      </c>
      <c r="AO3160" s="214">
        <f t="shared" si="1390"/>
        <v>-84152.199090000009</v>
      </c>
      <c r="AP3160" s="214"/>
      <c r="AQ3160" s="214"/>
      <c r="AR3160" s="214"/>
      <c r="AS3160" s="208">
        <f t="shared" ref="AS3160:BB3170" si="1392">SUMIF($CH:$CH,$CI3160,AS:AS)</f>
        <v>0</v>
      </c>
      <c r="AT3160" s="208">
        <f t="shared" si="1392"/>
        <v>0</v>
      </c>
      <c r="AU3160" s="208">
        <f t="shared" si="1392"/>
        <v>0</v>
      </c>
      <c r="AV3160" s="208">
        <f t="shared" si="1392"/>
        <v>0</v>
      </c>
      <c r="AW3160" s="208">
        <f t="shared" si="1392"/>
        <v>0</v>
      </c>
      <c r="AX3160" s="208">
        <f t="shared" si="1392"/>
        <v>0</v>
      </c>
      <c r="AY3160" s="208">
        <f t="shared" si="1392"/>
        <v>0</v>
      </c>
      <c r="AZ3160" s="208">
        <f t="shared" si="1392"/>
        <v>0</v>
      </c>
      <c r="BA3160" s="208">
        <f t="shared" si="1392"/>
        <v>0</v>
      </c>
      <c r="BB3160" s="208">
        <f t="shared" si="1392"/>
        <v>0</v>
      </c>
      <c r="BC3160" s="208">
        <f t="shared" ref="BC3160:BL3170" si="1393">SUMIF($CH:$CH,$CI3160,BC:BC)</f>
        <v>0</v>
      </c>
      <c r="BD3160" s="208">
        <f t="shared" si="1393"/>
        <v>0</v>
      </c>
      <c r="BE3160" s="208">
        <f t="shared" si="1393"/>
        <v>0</v>
      </c>
      <c r="BF3160" s="208">
        <f t="shared" si="1393"/>
        <v>0</v>
      </c>
      <c r="BG3160" s="208">
        <f t="shared" si="1393"/>
        <v>0</v>
      </c>
      <c r="BH3160" s="208">
        <f t="shared" si="1393"/>
        <v>0</v>
      </c>
      <c r="BI3160" s="208">
        <f t="shared" si="1393"/>
        <v>0</v>
      </c>
      <c r="BJ3160" s="208">
        <f t="shared" si="1393"/>
        <v>0</v>
      </c>
      <c r="BK3160" s="208">
        <f t="shared" si="1393"/>
        <v>0</v>
      </c>
      <c r="BL3160" s="208">
        <f t="shared" si="1393"/>
        <v>0</v>
      </c>
      <c r="BM3160" s="208">
        <f t="shared" ref="BM3160:BV3170" si="1394">SUMIF($CH:$CH,$CI3160,BM:BM)</f>
        <v>0</v>
      </c>
      <c r="BN3160" s="208">
        <f t="shared" si="1394"/>
        <v>0</v>
      </c>
      <c r="BO3160" s="208">
        <f t="shared" si="1394"/>
        <v>0</v>
      </c>
      <c r="BP3160" s="208">
        <f t="shared" si="1394"/>
        <v>0</v>
      </c>
      <c r="BQ3160" s="208">
        <f t="shared" si="1394"/>
        <v>0</v>
      </c>
      <c r="BR3160" s="208">
        <f t="shared" si="1394"/>
        <v>0</v>
      </c>
      <c r="BS3160" s="208">
        <f t="shared" si="1394"/>
        <v>0</v>
      </c>
      <c r="BT3160" s="208">
        <f t="shared" si="1394"/>
        <v>0</v>
      </c>
      <c r="BU3160" s="208">
        <f t="shared" si="1394"/>
        <v>0</v>
      </c>
      <c r="BV3160" s="208">
        <f t="shared" si="1394"/>
        <v>0</v>
      </c>
      <c r="BW3160" s="208">
        <f t="shared" ref="BW3160:CB3170" si="1395">SUMIF($CH:$CH,$CI3160,BW:BW)</f>
        <v>0</v>
      </c>
      <c r="BX3160" s="208">
        <f t="shared" si="1395"/>
        <v>0</v>
      </c>
      <c r="BY3160" s="208">
        <f t="shared" si="1395"/>
        <v>0</v>
      </c>
      <c r="BZ3160" s="208">
        <f t="shared" si="1395"/>
        <v>0</v>
      </c>
      <c r="CA3160" s="208">
        <f t="shared" si="1395"/>
        <v>0</v>
      </c>
      <c r="CB3160" s="208">
        <f t="shared" si="1395"/>
        <v>0</v>
      </c>
      <c r="CC3160" s="208"/>
      <c r="CD3160" s="208"/>
      <c r="CE3160" s="222"/>
      <c r="CF3160" s="222"/>
      <c r="CG3160" s="222"/>
      <c r="CH3160" s="270"/>
      <c r="CI3160" s="76" t="str">
        <f t="shared" si="1391"/>
        <v>N10Property Tax DeferralNCR</v>
      </c>
      <c r="CJ3160" s="230"/>
      <c r="CK3160" s="230"/>
      <c r="CL3160" s="230"/>
      <c r="CM3160" s="231"/>
    </row>
    <row r="3161" spans="1:91">
      <c r="A3161" s="464"/>
      <c r="B3161" s="464"/>
      <c r="C3161" s="656" t="s">
        <v>817</v>
      </c>
      <c r="D3161" s="689"/>
      <c r="E3161" s="422"/>
      <c r="F3161" s="422"/>
      <c r="G3161" s="461"/>
      <c r="H3161" s="678"/>
      <c r="I3161" s="462"/>
      <c r="J3161" s="462"/>
      <c r="K3161" s="422"/>
      <c r="L3161" s="689"/>
      <c r="M3161" s="422"/>
      <c r="N3161" s="463"/>
      <c r="O3161" s="463"/>
      <c r="P3161" s="689"/>
      <c r="Q3161" s="461"/>
      <c r="R3161" s="491"/>
      <c r="S3161" s="491"/>
      <c r="T3161" s="491"/>
      <c r="U3161" s="214">
        <f t="shared" si="1389"/>
        <v>0</v>
      </c>
      <c r="V3161" s="214">
        <f t="shared" si="1389"/>
        <v>0</v>
      </c>
      <c r="W3161" s="214">
        <f t="shared" si="1389"/>
        <v>3998.414230833333</v>
      </c>
      <c r="X3161" s="214">
        <f t="shared" si="1389"/>
        <v>3998.414230833333</v>
      </c>
      <c r="Y3161" s="214">
        <f t="shared" si="1389"/>
        <v>0</v>
      </c>
      <c r="Z3161" s="214">
        <f t="shared" si="1389"/>
        <v>0</v>
      </c>
      <c r="AA3161" s="214">
        <f t="shared" si="1389"/>
        <v>4453.6517600000006</v>
      </c>
      <c r="AB3161" s="214">
        <f t="shared" si="1389"/>
        <v>4453.6517599999997</v>
      </c>
      <c r="AC3161" s="214">
        <f t="shared" si="1389"/>
        <v>3464.8397799999998</v>
      </c>
      <c r="AD3161" s="214">
        <f t="shared" si="1389"/>
        <v>3019.4490800000003</v>
      </c>
      <c r="AE3161" s="214">
        <f t="shared" si="1390"/>
        <v>2830.94812</v>
      </c>
      <c r="AF3161" s="214">
        <f t="shared" si="1390"/>
        <v>2631.5959800000001</v>
      </c>
      <c r="AG3161" s="214">
        <f t="shared" si="1390"/>
        <v>3007.6431999999995</v>
      </c>
      <c r="AH3161" s="214">
        <f t="shared" si="1390"/>
        <v>3621.0673799999995</v>
      </c>
      <c r="AI3161" s="214">
        <f t="shared" si="1390"/>
        <v>4271.0755799999997</v>
      </c>
      <c r="AJ3161" s="214">
        <f t="shared" si="1390"/>
        <v>4705.0477600000004</v>
      </c>
      <c r="AK3161" s="214">
        <f t="shared" si="1390"/>
        <v>5197.5685999999996</v>
      </c>
      <c r="AL3161" s="214">
        <f t="shared" si="1390"/>
        <v>5510.5718900000002</v>
      </c>
      <c r="AM3161" s="214">
        <f t="shared" si="1390"/>
        <v>4633.84537</v>
      </c>
      <c r="AN3161" s="214">
        <f t="shared" si="1390"/>
        <v>4592.9120400000002</v>
      </c>
      <c r="AO3161" s="214">
        <f t="shared" si="1390"/>
        <v>4453.6517599999997</v>
      </c>
      <c r="AP3161" s="214"/>
      <c r="AQ3161" s="214"/>
      <c r="AR3161" s="214"/>
      <c r="AS3161" s="208">
        <f t="shared" si="1392"/>
        <v>0</v>
      </c>
      <c r="AT3161" s="208">
        <f t="shared" si="1392"/>
        <v>0</v>
      </c>
      <c r="AU3161" s="208">
        <f t="shared" si="1392"/>
        <v>0</v>
      </c>
      <c r="AV3161" s="208">
        <f t="shared" si="1392"/>
        <v>0</v>
      </c>
      <c r="AW3161" s="208">
        <f t="shared" si="1392"/>
        <v>0</v>
      </c>
      <c r="AX3161" s="208">
        <f t="shared" si="1392"/>
        <v>0</v>
      </c>
      <c r="AY3161" s="208">
        <f t="shared" si="1392"/>
        <v>0</v>
      </c>
      <c r="AZ3161" s="208">
        <f t="shared" si="1392"/>
        <v>0</v>
      </c>
      <c r="BA3161" s="208">
        <f t="shared" si="1392"/>
        <v>0</v>
      </c>
      <c r="BB3161" s="208">
        <f t="shared" si="1392"/>
        <v>0</v>
      </c>
      <c r="BC3161" s="208">
        <f t="shared" si="1393"/>
        <v>0</v>
      </c>
      <c r="BD3161" s="208">
        <f t="shared" si="1393"/>
        <v>0</v>
      </c>
      <c r="BE3161" s="208">
        <f t="shared" si="1393"/>
        <v>0</v>
      </c>
      <c r="BF3161" s="208">
        <f t="shared" si="1393"/>
        <v>0</v>
      </c>
      <c r="BG3161" s="208">
        <f t="shared" si="1393"/>
        <v>0</v>
      </c>
      <c r="BH3161" s="208">
        <f t="shared" si="1393"/>
        <v>0</v>
      </c>
      <c r="BI3161" s="208">
        <f t="shared" si="1393"/>
        <v>0</v>
      </c>
      <c r="BJ3161" s="208">
        <f t="shared" si="1393"/>
        <v>0</v>
      </c>
      <c r="BK3161" s="208">
        <f t="shared" si="1393"/>
        <v>0</v>
      </c>
      <c r="BL3161" s="208">
        <f t="shared" si="1393"/>
        <v>0</v>
      </c>
      <c r="BM3161" s="208">
        <f t="shared" si="1394"/>
        <v>0</v>
      </c>
      <c r="BN3161" s="208">
        <f t="shared" si="1394"/>
        <v>0</v>
      </c>
      <c r="BO3161" s="208">
        <f t="shared" si="1394"/>
        <v>0</v>
      </c>
      <c r="BP3161" s="208">
        <f t="shared" si="1394"/>
        <v>0</v>
      </c>
      <c r="BQ3161" s="208">
        <f t="shared" si="1394"/>
        <v>0</v>
      </c>
      <c r="BR3161" s="208">
        <f t="shared" si="1394"/>
        <v>0</v>
      </c>
      <c r="BS3161" s="208">
        <f t="shared" si="1394"/>
        <v>0</v>
      </c>
      <c r="BT3161" s="208">
        <f t="shared" si="1394"/>
        <v>0</v>
      </c>
      <c r="BU3161" s="208">
        <f t="shared" si="1394"/>
        <v>0</v>
      </c>
      <c r="BV3161" s="208">
        <f t="shared" si="1394"/>
        <v>0</v>
      </c>
      <c r="BW3161" s="208">
        <f t="shared" si="1395"/>
        <v>0</v>
      </c>
      <c r="BX3161" s="208">
        <f t="shared" si="1395"/>
        <v>0</v>
      </c>
      <c r="BY3161" s="208">
        <f t="shared" si="1395"/>
        <v>0</v>
      </c>
      <c r="BZ3161" s="208">
        <f t="shared" si="1395"/>
        <v>0</v>
      </c>
      <c r="CA3161" s="208">
        <f t="shared" si="1395"/>
        <v>0</v>
      </c>
      <c r="CB3161" s="208">
        <f t="shared" si="1395"/>
        <v>0</v>
      </c>
      <c r="CC3161" s="208"/>
      <c r="CD3161" s="208"/>
      <c r="CE3161" s="222"/>
      <c r="CF3161" s="222"/>
      <c r="CG3161" s="222"/>
      <c r="CH3161" s="270"/>
      <c r="CI3161" s="76" t="str">
        <f>CONCATENATE("N10",C3161,"NCR")</f>
        <v>N10PSC AssessmentNCR</v>
      </c>
      <c r="CJ3161" s="230"/>
      <c r="CK3161" s="230"/>
      <c r="CL3161" s="230"/>
      <c r="CM3161" s="231"/>
    </row>
    <row r="3162" spans="1:91">
      <c r="A3162" s="464"/>
      <c r="B3162" s="464"/>
      <c r="C3162" s="656" t="s">
        <v>1295</v>
      </c>
      <c r="D3162" s="689"/>
      <c r="E3162" s="422"/>
      <c r="F3162" s="422"/>
      <c r="G3162" s="461"/>
      <c r="H3162" s="678"/>
      <c r="I3162" s="462"/>
      <c r="J3162" s="462"/>
      <c r="K3162" s="422"/>
      <c r="L3162" s="689"/>
      <c r="M3162" s="422"/>
      <c r="N3162" s="463"/>
      <c r="O3162" s="463"/>
      <c r="P3162" s="689"/>
      <c r="Q3162" s="461"/>
      <c r="R3162" s="491"/>
      <c r="S3162" s="491"/>
      <c r="T3162" s="491"/>
      <c r="U3162" s="214">
        <f t="shared" si="1389"/>
        <v>0</v>
      </c>
      <c r="V3162" s="214">
        <f t="shared" si="1389"/>
        <v>0</v>
      </c>
      <c r="W3162" s="214">
        <f t="shared" si="1389"/>
        <v>141.5552833333337</v>
      </c>
      <c r="X3162" s="214">
        <f t="shared" si="1389"/>
        <v>141.5552833333337</v>
      </c>
      <c r="Y3162" s="214">
        <f t="shared" si="1389"/>
        <v>0</v>
      </c>
      <c r="Z3162" s="214">
        <f t="shared" si="1389"/>
        <v>0</v>
      </c>
      <c r="AA3162" s="214">
        <f t="shared" si="1389"/>
        <v>45.75517</v>
      </c>
      <c r="AB3162" s="214">
        <f t="shared" si="1389"/>
        <v>45.75517</v>
      </c>
      <c r="AC3162" s="214">
        <f t="shared" si="1389"/>
        <v>121.69201</v>
      </c>
      <c r="AD3162" s="214">
        <f t="shared" si="1389"/>
        <v>148.79123000000001</v>
      </c>
      <c r="AE3162" s="214">
        <f t="shared" si="1390"/>
        <v>175.89061000000001</v>
      </c>
      <c r="AF3162" s="214">
        <f t="shared" si="1390"/>
        <v>160.68880000000001</v>
      </c>
      <c r="AG3162" s="214">
        <f t="shared" si="1390"/>
        <v>187.78851999999998</v>
      </c>
      <c r="AH3162" s="214">
        <f t="shared" si="1390"/>
        <v>214.88839999999999</v>
      </c>
      <c r="AI3162" s="214">
        <f t="shared" si="1390"/>
        <v>106.73356000000001</v>
      </c>
      <c r="AJ3162" s="214">
        <f t="shared" si="1390"/>
        <v>134.51725999999999</v>
      </c>
      <c r="AK3162" s="214">
        <f t="shared" si="1390"/>
        <v>162.30499</v>
      </c>
      <c r="AL3162" s="214">
        <f t="shared" si="1390"/>
        <v>79.981549999999999</v>
      </c>
      <c r="AM3162" s="214">
        <f t="shared" si="1390"/>
        <v>107.77744</v>
      </c>
      <c r="AN3162" s="214">
        <f t="shared" si="1390"/>
        <v>135.57745</v>
      </c>
      <c r="AO3162" s="214">
        <f t="shared" si="1390"/>
        <v>45.75517</v>
      </c>
      <c r="AP3162" s="214"/>
      <c r="AQ3162" s="214"/>
      <c r="AR3162" s="214"/>
      <c r="AS3162" s="208">
        <f t="shared" si="1392"/>
        <v>0</v>
      </c>
      <c r="AT3162" s="208">
        <f t="shared" si="1392"/>
        <v>0</v>
      </c>
      <c r="AU3162" s="208">
        <f t="shared" si="1392"/>
        <v>0</v>
      </c>
      <c r="AV3162" s="208">
        <f t="shared" si="1392"/>
        <v>0</v>
      </c>
      <c r="AW3162" s="208">
        <f t="shared" si="1392"/>
        <v>0</v>
      </c>
      <c r="AX3162" s="208">
        <f t="shared" si="1392"/>
        <v>0</v>
      </c>
      <c r="AY3162" s="208">
        <f t="shared" si="1392"/>
        <v>0</v>
      </c>
      <c r="AZ3162" s="208">
        <f t="shared" si="1392"/>
        <v>0</v>
      </c>
      <c r="BA3162" s="208">
        <f t="shared" si="1392"/>
        <v>0</v>
      </c>
      <c r="BB3162" s="208">
        <f t="shared" si="1392"/>
        <v>0</v>
      </c>
      <c r="BC3162" s="208">
        <f t="shared" si="1393"/>
        <v>0</v>
      </c>
      <c r="BD3162" s="208">
        <f t="shared" si="1393"/>
        <v>0</v>
      </c>
      <c r="BE3162" s="208">
        <f t="shared" si="1393"/>
        <v>0</v>
      </c>
      <c r="BF3162" s="208">
        <f t="shared" si="1393"/>
        <v>0</v>
      </c>
      <c r="BG3162" s="208">
        <f t="shared" si="1393"/>
        <v>0</v>
      </c>
      <c r="BH3162" s="208">
        <f t="shared" si="1393"/>
        <v>0</v>
      </c>
      <c r="BI3162" s="208">
        <f t="shared" si="1393"/>
        <v>0</v>
      </c>
      <c r="BJ3162" s="208">
        <f t="shared" si="1393"/>
        <v>0</v>
      </c>
      <c r="BK3162" s="208">
        <f t="shared" si="1393"/>
        <v>0</v>
      </c>
      <c r="BL3162" s="208">
        <f t="shared" si="1393"/>
        <v>0</v>
      </c>
      <c r="BM3162" s="208">
        <f t="shared" si="1394"/>
        <v>0</v>
      </c>
      <c r="BN3162" s="208">
        <f t="shared" si="1394"/>
        <v>0</v>
      </c>
      <c r="BO3162" s="208">
        <f t="shared" si="1394"/>
        <v>0</v>
      </c>
      <c r="BP3162" s="208">
        <f t="shared" si="1394"/>
        <v>0</v>
      </c>
      <c r="BQ3162" s="208">
        <f t="shared" si="1394"/>
        <v>0</v>
      </c>
      <c r="BR3162" s="208">
        <f t="shared" si="1394"/>
        <v>0</v>
      </c>
      <c r="BS3162" s="208">
        <f t="shared" si="1394"/>
        <v>0</v>
      </c>
      <c r="BT3162" s="208">
        <f t="shared" si="1394"/>
        <v>0</v>
      </c>
      <c r="BU3162" s="208">
        <f t="shared" si="1394"/>
        <v>0</v>
      </c>
      <c r="BV3162" s="208">
        <f t="shared" si="1394"/>
        <v>0</v>
      </c>
      <c r="BW3162" s="208">
        <f t="shared" si="1395"/>
        <v>0</v>
      </c>
      <c r="BX3162" s="208">
        <f t="shared" si="1395"/>
        <v>0</v>
      </c>
      <c r="BY3162" s="208">
        <f t="shared" si="1395"/>
        <v>0</v>
      </c>
      <c r="BZ3162" s="208">
        <f t="shared" si="1395"/>
        <v>0</v>
      </c>
      <c r="CA3162" s="208">
        <f t="shared" si="1395"/>
        <v>0</v>
      </c>
      <c r="CB3162" s="208">
        <f t="shared" si="1395"/>
        <v>0</v>
      </c>
      <c r="CC3162" s="208"/>
      <c r="CD3162" s="208"/>
      <c r="CE3162" s="222"/>
      <c r="CF3162" s="222"/>
      <c r="CG3162" s="222"/>
      <c r="CH3162" s="270"/>
      <c r="CI3162" s="76" t="str">
        <f t="shared" si="1391"/>
        <v>N10R&amp;D Deferral - GasNCR</v>
      </c>
      <c r="CJ3162" s="230"/>
      <c r="CK3162" s="230"/>
      <c r="CL3162" s="230"/>
      <c r="CM3162" s="231"/>
    </row>
    <row r="3163" spans="1:91">
      <c r="A3163" s="464"/>
      <c r="B3163" s="464"/>
      <c r="C3163" s="656" t="s">
        <v>1124</v>
      </c>
      <c r="D3163" s="689"/>
      <c r="E3163" s="422"/>
      <c r="F3163" s="422"/>
      <c r="G3163" s="461"/>
      <c r="H3163" s="678"/>
      <c r="I3163" s="462"/>
      <c r="J3163" s="462"/>
      <c r="K3163" s="422"/>
      <c r="L3163" s="689"/>
      <c r="M3163" s="422"/>
      <c r="N3163" s="463"/>
      <c r="O3163" s="463"/>
      <c r="P3163" s="689"/>
      <c r="Q3163" s="461"/>
      <c r="R3163" s="491"/>
      <c r="S3163" s="491"/>
      <c r="T3163" s="491"/>
      <c r="U3163" s="214">
        <f t="shared" si="1389"/>
        <v>0</v>
      </c>
      <c r="V3163" s="214">
        <f t="shared" si="1389"/>
        <v>0</v>
      </c>
      <c r="W3163" s="214">
        <f t="shared" si="1389"/>
        <v>-134.029856666667</v>
      </c>
      <c r="X3163" s="214">
        <f t="shared" si="1389"/>
        <v>-134.029856666667</v>
      </c>
      <c r="Y3163" s="214">
        <f t="shared" si="1389"/>
        <v>0</v>
      </c>
      <c r="Z3163" s="214">
        <f t="shared" si="1389"/>
        <v>0</v>
      </c>
      <c r="AA3163" s="214">
        <f t="shared" si="1389"/>
        <v>-175.29481000000001</v>
      </c>
      <c r="AB3163" s="214">
        <f t="shared" si="1389"/>
        <v>-175.29480999999996</v>
      </c>
      <c r="AC3163" s="214">
        <f t="shared" si="1389"/>
        <v>-90.975009999999983</v>
      </c>
      <c r="AD3163" s="214">
        <f t="shared" si="1389"/>
        <v>-129.38165000000001</v>
      </c>
      <c r="AE3163" s="214">
        <f t="shared" si="1390"/>
        <v>-128.18683999999999</v>
      </c>
      <c r="AF3163" s="214">
        <f t="shared" si="1390"/>
        <v>-126.98526</v>
      </c>
      <c r="AG3163" s="214">
        <f t="shared" si="1390"/>
        <v>-125.77687</v>
      </c>
      <c r="AH3163" s="214">
        <f t="shared" si="1390"/>
        <v>-124.56162999999999</v>
      </c>
      <c r="AI3163" s="214">
        <f t="shared" si="1390"/>
        <v>-123.33949999999999</v>
      </c>
      <c r="AJ3163" s="214">
        <f t="shared" si="1390"/>
        <v>-122.11044999999999</v>
      </c>
      <c r="AK3163" s="214">
        <f t="shared" si="1390"/>
        <v>-120.87442999999998</v>
      </c>
      <c r="AL3163" s="214">
        <f t="shared" si="1390"/>
        <v>-119.63140999999997</v>
      </c>
      <c r="AM3163" s="214">
        <f t="shared" si="1390"/>
        <v>-177.81623999999996</v>
      </c>
      <c r="AN3163" s="214">
        <f t="shared" si="1390"/>
        <v>-176.55908999999997</v>
      </c>
      <c r="AO3163" s="214">
        <f t="shared" si="1390"/>
        <v>-175.29480999999996</v>
      </c>
      <c r="AP3163" s="214"/>
      <c r="AQ3163" s="214"/>
      <c r="AR3163" s="214"/>
      <c r="AS3163" s="208">
        <f t="shared" si="1392"/>
        <v>0</v>
      </c>
      <c r="AT3163" s="208">
        <f t="shared" si="1392"/>
        <v>0</v>
      </c>
      <c r="AU3163" s="208">
        <f t="shared" si="1392"/>
        <v>0</v>
      </c>
      <c r="AV3163" s="208">
        <f t="shared" si="1392"/>
        <v>0</v>
      </c>
      <c r="AW3163" s="208">
        <f t="shared" si="1392"/>
        <v>0</v>
      </c>
      <c r="AX3163" s="208">
        <f t="shared" si="1392"/>
        <v>0</v>
      </c>
      <c r="AY3163" s="208">
        <f t="shared" si="1392"/>
        <v>0</v>
      </c>
      <c r="AZ3163" s="208">
        <f t="shared" si="1392"/>
        <v>0</v>
      </c>
      <c r="BA3163" s="208">
        <f t="shared" si="1392"/>
        <v>0</v>
      </c>
      <c r="BB3163" s="208">
        <f t="shared" si="1392"/>
        <v>0</v>
      </c>
      <c r="BC3163" s="208">
        <f t="shared" si="1393"/>
        <v>0</v>
      </c>
      <c r="BD3163" s="208">
        <f t="shared" si="1393"/>
        <v>0</v>
      </c>
      <c r="BE3163" s="208">
        <f t="shared" si="1393"/>
        <v>0</v>
      </c>
      <c r="BF3163" s="208">
        <f t="shared" si="1393"/>
        <v>0</v>
      </c>
      <c r="BG3163" s="208">
        <f t="shared" si="1393"/>
        <v>0</v>
      </c>
      <c r="BH3163" s="208">
        <f t="shared" si="1393"/>
        <v>0</v>
      </c>
      <c r="BI3163" s="208">
        <f t="shared" si="1393"/>
        <v>0</v>
      </c>
      <c r="BJ3163" s="208">
        <f t="shared" si="1393"/>
        <v>0</v>
      </c>
      <c r="BK3163" s="208">
        <f t="shared" si="1393"/>
        <v>0</v>
      </c>
      <c r="BL3163" s="208">
        <f t="shared" si="1393"/>
        <v>0</v>
      </c>
      <c r="BM3163" s="208">
        <f t="shared" si="1394"/>
        <v>0</v>
      </c>
      <c r="BN3163" s="208">
        <f t="shared" si="1394"/>
        <v>0</v>
      </c>
      <c r="BO3163" s="208">
        <f t="shared" si="1394"/>
        <v>0</v>
      </c>
      <c r="BP3163" s="208">
        <f t="shared" si="1394"/>
        <v>0</v>
      </c>
      <c r="BQ3163" s="208">
        <f t="shared" si="1394"/>
        <v>0</v>
      </c>
      <c r="BR3163" s="208">
        <f t="shared" si="1394"/>
        <v>0</v>
      </c>
      <c r="BS3163" s="208">
        <f t="shared" si="1394"/>
        <v>0</v>
      </c>
      <c r="BT3163" s="208">
        <f t="shared" si="1394"/>
        <v>0</v>
      </c>
      <c r="BU3163" s="208">
        <f t="shared" si="1394"/>
        <v>0</v>
      </c>
      <c r="BV3163" s="208">
        <f t="shared" si="1394"/>
        <v>0</v>
      </c>
      <c r="BW3163" s="208">
        <f t="shared" si="1395"/>
        <v>0</v>
      </c>
      <c r="BX3163" s="208">
        <f t="shared" si="1395"/>
        <v>0</v>
      </c>
      <c r="BY3163" s="208">
        <f t="shared" si="1395"/>
        <v>0</v>
      </c>
      <c r="BZ3163" s="208">
        <f t="shared" si="1395"/>
        <v>0</v>
      </c>
      <c r="CA3163" s="208">
        <f t="shared" si="1395"/>
        <v>0</v>
      </c>
      <c r="CB3163" s="208">
        <f t="shared" si="1395"/>
        <v>0</v>
      </c>
      <c r="CC3163" s="208"/>
      <c r="CD3163" s="208"/>
      <c r="CE3163" s="222"/>
      <c r="CF3163" s="222"/>
      <c r="CG3163" s="222"/>
      <c r="CH3163" s="270"/>
      <c r="CI3163" s="76" t="str">
        <f t="shared" si="1391"/>
        <v>N10R&amp;D Tax Credit DeferralNCR</v>
      </c>
      <c r="CJ3163" s="230"/>
      <c r="CK3163" s="230"/>
      <c r="CL3163" s="230"/>
      <c r="CM3163" s="231"/>
    </row>
    <row r="3164" spans="1:91">
      <c r="A3164" s="464"/>
      <c r="B3164" s="464"/>
      <c r="C3164" s="656" t="s">
        <v>823</v>
      </c>
      <c r="D3164" s="689"/>
      <c r="E3164" s="422"/>
      <c r="F3164" s="422"/>
      <c r="G3164" s="461"/>
      <c r="H3164" s="678"/>
      <c r="I3164" s="462"/>
      <c r="J3164" s="462"/>
      <c r="K3164" s="422"/>
      <c r="L3164" s="689"/>
      <c r="M3164" s="422"/>
      <c r="N3164" s="463"/>
      <c r="O3164" s="463"/>
      <c r="P3164" s="689"/>
      <c r="Q3164" s="461"/>
      <c r="R3164" s="491"/>
      <c r="S3164" s="491"/>
      <c r="T3164" s="491"/>
      <c r="U3164" s="214">
        <f t="shared" ref="U3164:AD3170" si="1396">SUMIF($AR:$AR,$CI3164,U:U)</f>
        <v>0</v>
      </c>
      <c r="V3164" s="214">
        <f t="shared" si="1396"/>
        <v>0</v>
      </c>
      <c r="W3164" s="214">
        <f t="shared" si="1396"/>
        <v>1997.2848779166552</v>
      </c>
      <c r="X3164" s="214">
        <f t="shared" si="1396"/>
        <v>1997.2848779166552</v>
      </c>
      <c r="Y3164" s="214">
        <f t="shared" si="1396"/>
        <v>0</v>
      </c>
      <c r="Z3164" s="214">
        <f t="shared" si="1396"/>
        <v>0</v>
      </c>
      <c r="AA3164" s="214">
        <f t="shared" si="1396"/>
        <v>7229.0783499999989</v>
      </c>
      <c r="AB3164" s="214">
        <f t="shared" si="1396"/>
        <v>7229.078349999997</v>
      </c>
      <c r="AC3164" s="214">
        <f t="shared" si="1396"/>
        <v>-450.04078000000078</v>
      </c>
      <c r="AD3164" s="214">
        <f t="shared" si="1396"/>
        <v>1625.7920499999991</v>
      </c>
      <c r="AE3164" s="214">
        <f t="shared" ref="AE3164:AO3170" si="1397">SUMIF($AR:$AR,$CI3164,AE:AE)</f>
        <v>702.54714999999851</v>
      </c>
      <c r="AF3164" s="214">
        <f t="shared" si="1397"/>
        <v>2376.2512499999984</v>
      </c>
      <c r="AG3164" s="214">
        <f t="shared" si="1397"/>
        <v>3424.6925899999983</v>
      </c>
      <c r="AH3164" s="214">
        <f t="shared" si="1397"/>
        <v>2859.7112899999988</v>
      </c>
      <c r="AI3164" s="214">
        <f t="shared" si="1397"/>
        <v>1590.6157599999988</v>
      </c>
      <c r="AJ3164" s="214">
        <f t="shared" si="1397"/>
        <v>1273.3866399999993</v>
      </c>
      <c r="AK3164" s="214">
        <f t="shared" si="1397"/>
        <v>1638.8655499999988</v>
      </c>
      <c r="AL3164" s="214">
        <f t="shared" si="1397"/>
        <v>1654.8214799999976</v>
      </c>
      <c r="AM3164" s="214">
        <f t="shared" si="1397"/>
        <v>1275.2312399999987</v>
      </c>
      <c r="AN3164" s="214">
        <f t="shared" si="1397"/>
        <v>2155.9847499999973</v>
      </c>
      <c r="AO3164" s="214">
        <f t="shared" si="1397"/>
        <v>7229.078349999997</v>
      </c>
      <c r="AP3164" s="214"/>
      <c r="AQ3164" s="214"/>
      <c r="AR3164" s="214"/>
      <c r="AS3164" s="208">
        <f t="shared" si="1392"/>
        <v>0</v>
      </c>
      <c r="AT3164" s="208">
        <f t="shared" si="1392"/>
        <v>0</v>
      </c>
      <c r="AU3164" s="208">
        <f t="shared" si="1392"/>
        <v>0</v>
      </c>
      <c r="AV3164" s="208">
        <f t="shared" si="1392"/>
        <v>0</v>
      </c>
      <c r="AW3164" s="208">
        <f t="shared" si="1392"/>
        <v>0</v>
      </c>
      <c r="AX3164" s="208">
        <f t="shared" si="1392"/>
        <v>0</v>
      </c>
      <c r="AY3164" s="208">
        <f t="shared" si="1392"/>
        <v>0</v>
      </c>
      <c r="AZ3164" s="208">
        <f t="shared" si="1392"/>
        <v>0</v>
      </c>
      <c r="BA3164" s="208">
        <f t="shared" si="1392"/>
        <v>0</v>
      </c>
      <c r="BB3164" s="208">
        <f t="shared" si="1392"/>
        <v>0</v>
      </c>
      <c r="BC3164" s="208">
        <f t="shared" si="1393"/>
        <v>0</v>
      </c>
      <c r="BD3164" s="208">
        <f t="shared" si="1393"/>
        <v>0</v>
      </c>
      <c r="BE3164" s="208">
        <f t="shared" si="1393"/>
        <v>0</v>
      </c>
      <c r="BF3164" s="208">
        <f t="shared" si="1393"/>
        <v>0</v>
      </c>
      <c r="BG3164" s="208">
        <f t="shared" si="1393"/>
        <v>0</v>
      </c>
      <c r="BH3164" s="208">
        <f t="shared" si="1393"/>
        <v>0</v>
      </c>
      <c r="BI3164" s="208">
        <f t="shared" si="1393"/>
        <v>0</v>
      </c>
      <c r="BJ3164" s="208">
        <f t="shared" si="1393"/>
        <v>0</v>
      </c>
      <c r="BK3164" s="208">
        <f t="shared" si="1393"/>
        <v>0</v>
      </c>
      <c r="BL3164" s="208">
        <f t="shared" si="1393"/>
        <v>0</v>
      </c>
      <c r="BM3164" s="208">
        <f t="shared" si="1394"/>
        <v>0</v>
      </c>
      <c r="BN3164" s="208">
        <f t="shared" si="1394"/>
        <v>0</v>
      </c>
      <c r="BO3164" s="208">
        <f t="shared" si="1394"/>
        <v>0</v>
      </c>
      <c r="BP3164" s="208">
        <f t="shared" si="1394"/>
        <v>0</v>
      </c>
      <c r="BQ3164" s="208">
        <f t="shared" si="1394"/>
        <v>0</v>
      </c>
      <c r="BR3164" s="208">
        <f t="shared" si="1394"/>
        <v>0</v>
      </c>
      <c r="BS3164" s="208">
        <f t="shared" si="1394"/>
        <v>0</v>
      </c>
      <c r="BT3164" s="208">
        <f t="shared" si="1394"/>
        <v>0</v>
      </c>
      <c r="BU3164" s="208">
        <f t="shared" si="1394"/>
        <v>0</v>
      </c>
      <c r="BV3164" s="208">
        <f t="shared" si="1394"/>
        <v>0</v>
      </c>
      <c r="BW3164" s="208">
        <f t="shared" si="1395"/>
        <v>0</v>
      </c>
      <c r="BX3164" s="208">
        <f t="shared" si="1395"/>
        <v>0</v>
      </c>
      <c r="BY3164" s="208">
        <f t="shared" si="1395"/>
        <v>0</v>
      </c>
      <c r="BZ3164" s="208">
        <f t="shared" si="1395"/>
        <v>0</v>
      </c>
      <c r="CA3164" s="208">
        <f t="shared" si="1395"/>
        <v>0</v>
      </c>
      <c r="CB3164" s="208">
        <f t="shared" si="1395"/>
        <v>0</v>
      </c>
      <c r="CC3164" s="208"/>
      <c r="CD3164" s="208"/>
      <c r="CE3164" s="222"/>
      <c r="CF3164" s="222"/>
      <c r="CG3164" s="222"/>
      <c r="CH3164" s="270"/>
      <c r="CI3164" s="76" t="str">
        <f t="shared" si="1391"/>
        <v>N10RDMNCR</v>
      </c>
      <c r="CJ3164" s="230"/>
      <c r="CK3164" s="230"/>
      <c r="CL3164" s="230"/>
      <c r="CM3164" s="231"/>
    </row>
    <row r="3165" spans="1:91">
      <c r="A3165" s="464"/>
      <c r="B3165" s="464"/>
      <c r="C3165" s="656" t="s">
        <v>1210</v>
      </c>
      <c r="D3165" s="689"/>
      <c r="E3165" s="422"/>
      <c r="F3165" s="422"/>
      <c r="G3165" s="461"/>
      <c r="H3165" s="678"/>
      <c r="I3165" s="462"/>
      <c r="J3165" s="462"/>
      <c r="K3165" s="422"/>
      <c r="L3165" s="689"/>
      <c r="M3165" s="422"/>
      <c r="N3165" s="463"/>
      <c r="O3165" s="463"/>
      <c r="P3165" s="689"/>
      <c r="Q3165" s="461"/>
      <c r="R3165" s="491"/>
      <c r="S3165" s="491"/>
      <c r="T3165" s="491"/>
      <c r="U3165" s="214">
        <f t="shared" si="1396"/>
        <v>0</v>
      </c>
      <c r="V3165" s="214">
        <f t="shared" si="1396"/>
        <v>0</v>
      </c>
      <c r="W3165" s="214">
        <f t="shared" si="1396"/>
        <v>0</v>
      </c>
      <c r="X3165" s="214">
        <f t="shared" si="1396"/>
        <v>0</v>
      </c>
      <c r="Y3165" s="214">
        <f t="shared" si="1396"/>
        <v>0</v>
      </c>
      <c r="Z3165" s="214">
        <f t="shared" si="1396"/>
        <v>0</v>
      </c>
      <c r="AA3165" s="214">
        <f t="shared" si="1396"/>
        <v>0</v>
      </c>
      <c r="AB3165" s="214">
        <f t="shared" si="1396"/>
        <v>0</v>
      </c>
      <c r="AC3165" s="214">
        <f t="shared" si="1396"/>
        <v>0</v>
      </c>
      <c r="AD3165" s="214">
        <f t="shared" si="1396"/>
        <v>0</v>
      </c>
      <c r="AE3165" s="214">
        <f t="shared" si="1397"/>
        <v>0</v>
      </c>
      <c r="AF3165" s="214">
        <f t="shared" si="1397"/>
        <v>0</v>
      </c>
      <c r="AG3165" s="214">
        <f t="shared" si="1397"/>
        <v>0</v>
      </c>
      <c r="AH3165" s="214">
        <f t="shared" si="1397"/>
        <v>0</v>
      </c>
      <c r="AI3165" s="214">
        <f t="shared" si="1397"/>
        <v>0</v>
      </c>
      <c r="AJ3165" s="214">
        <f t="shared" si="1397"/>
        <v>0</v>
      </c>
      <c r="AK3165" s="214">
        <f t="shared" si="1397"/>
        <v>0</v>
      </c>
      <c r="AL3165" s="214">
        <f t="shared" si="1397"/>
        <v>0</v>
      </c>
      <c r="AM3165" s="214">
        <f t="shared" si="1397"/>
        <v>0</v>
      </c>
      <c r="AN3165" s="214">
        <f t="shared" si="1397"/>
        <v>0</v>
      </c>
      <c r="AO3165" s="214">
        <f t="shared" si="1397"/>
        <v>0</v>
      </c>
      <c r="AP3165" s="214"/>
      <c r="AQ3165" s="214"/>
      <c r="AR3165" s="214"/>
      <c r="AS3165" s="208">
        <f t="shared" si="1392"/>
        <v>0</v>
      </c>
      <c r="AT3165" s="208">
        <f t="shared" si="1392"/>
        <v>0</v>
      </c>
      <c r="AU3165" s="208">
        <f t="shared" si="1392"/>
        <v>0</v>
      </c>
      <c r="AV3165" s="208">
        <f t="shared" si="1392"/>
        <v>0</v>
      </c>
      <c r="AW3165" s="208">
        <f t="shared" si="1392"/>
        <v>0</v>
      </c>
      <c r="AX3165" s="208">
        <f t="shared" si="1392"/>
        <v>0</v>
      </c>
      <c r="AY3165" s="208">
        <f t="shared" si="1392"/>
        <v>0</v>
      </c>
      <c r="AZ3165" s="208">
        <f t="shared" si="1392"/>
        <v>0</v>
      </c>
      <c r="BA3165" s="208">
        <f t="shared" si="1392"/>
        <v>0</v>
      </c>
      <c r="BB3165" s="208">
        <f t="shared" si="1392"/>
        <v>0</v>
      </c>
      <c r="BC3165" s="208">
        <f t="shared" si="1393"/>
        <v>0</v>
      </c>
      <c r="BD3165" s="208">
        <f t="shared" si="1393"/>
        <v>0</v>
      </c>
      <c r="BE3165" s="208">
        <f t="shared" si="1393"/>
        <v>0</v>
      </c>
      <c r="BF3165" s="208">
        <f t="shared" si="1393"/>
        <v>0</v>
      </c>
      <c r="BG3165" s="208">
        <f t="shared" si="1393"/>
        <v>0</v>
      </c>
      <c r="BH3165" s="208">
        <f t="shared" si="1393"/>
        <v>0</v>
      </c>
      <c r="BI3165" s="208">
        <f t="shared" si="1393"/>
        <v>0</v>
      </c>
      <c r="BJ3165" s="208">
        <f t="shared" si="1393"/>
        <v>0</v>
      </c>
      <c r="BK3165" s="208">
        <f t="shared" si="1393"/>
        <v>0</v>
      </c>
      <c r="BL3165" s="208">
        <f t="shared" si="1393"/>
        <v>0</v>
      </c>
      <c r="BM3165" s="208">
        <f t="shared" si="1394"/>
        <v>0</v>
      </c>
      <c r="BN3165" s="208">
        <f t="shared" si="1394"/>
        <v>0</v>
      </c>
      <c r="BO3165" s="208">
        <f t="shared" si="1394"/>
        <v>0</v>
      </c>
      <c r="BP3165" s="208">
        <f t="shared" si="1394"/>
        <v>0</v>
      </c>
      <c r="BQ3165" s="208">
        <f t="shared" si="1394"/>
        <v>0</v>
      </c>
      <c r="BR3165" s="208">
        <f t="shared" si="1394"/>
        <v>0</v>
      </c>
      <c r="BS3165" s="208">
        <f t="shared" si="1394"/>
        <v>0</v>
      </c>
      <c r="BT3165" s="208">
        <f t="shared" si="1394"/>
        <v>0</v>
      </c>
      <c r="BU3165" s="208">
        <f t="shared" si="1394"/>
        <v>0</v>
      </c>
      <c r="BV3165" s="208">
        <f t="shared" si="1394"/>
        <v>0</v>
      </c>
      <c r="BW3165" s="208">
        <f t="shared" si="1395"/>
        <v>0</v>
      </c>
      <c r="BX3165" s="208">
        <f t="shared" si="1395"/>
        <v>0</v>
      </c>
      <c r="BY3165" s="208">
        <f t="shared" si="1395"/>
        <v>0</v>
      </c>
      <c r="BZ3165" s="208">
        <f t="shared" si="1395"/>
        <v>0</v>
      </c>
      <c r="CA3165" s="208">
        <f t="shared" si="1395"/>
        <v>0</v>
      </c>
      <c r="CB3165" s="208">
        <f t="shared" si="1395"/>
        <v>0</v>
      </c>
      <c r="CC3165" s="208"/>
      <c r="CD3165" s="208"/>
      <c r="CE3165" s="222"/>
      <c r="CF3165" s="222"/>
      <c r="CG3165" s="222"/>
      <c r="CH3165" s="270"/>
      <c r="CI3165" s="76" t="str">
        <f t="shared" si="1391"/>
        <v>N10SBCNCR</v>
      </c>
      <c r="CJ3165" s="230"/>
      <c r="CK3165" s="230"/>
      <c r="CL3165" s="230"/>
      <c r="CM3165" s="231"/>
    </row>
    <row r="3166" spans="1:91" s="41" customFormat="1">
      <c r="A3166" s="1009"/>
      <c r="B3166" s="1009"/>
      <c r="C3166" s="1021" t="s">
        <v>1122</v>
      </c>
      <c r="D3166" s="1011"/>
      <c r="E3166" s="1012"/>
      <c r="F3166" s="1012"/>
      <c r="G3166" s="1013"/>
      <c r="H3166" s="1014"/>
      <c r="I3166" s="1015"/>
      <c r="J3166" s="1015"/>
      <c r="K3166" s="1012"/>
      <c r="L3166" s="1011"/>
      <c r="M3166" s="1012"/>
      <c r="N3166" s="1017"/>
      <c r="O3166" s="1017"/>
      <c r="P3166" s="1011"/>
      <c r="Q3166" s="1013"/>
      <c r="R3166" s="1018"/>
      <c r="S3166" s="1018"/>
      <c r="T3166" s="1018"/>
      <c r="U3166" s="165">
        <f t="shared" si="1396"/>
        <v>0</v>
      </c>
      <c r="V3166" s="165">
        <f t="shared" si="1396"/>
        <v>0</v>
      </c>
      <c r="W3166" s="165">
        <f t="shared" si="1396"/>
        <v>0</v>
      </c>
      <c r="X3166" s="165">
        <f t="shared" si="1396"/>
        <v>0</v>
      </c>
      <c r="Y3166" s="165">
        <f t="shared" si="1396"/>
        <v>0</v>
      </c>
      <c r="Z3166" s="165">
        <f t="shared" si="1396"/>
        <v>0</v>
      </c>
      <c r="AA3166" s="165">
        <f t="shared" si="1396"/>
        <v>0</v>
      </c>
      <c r="AB3166" s="165">
        <f t="shared" si="1396"/>
        <v>0</v>
      </c>
      <c r="AC3166" s="165">
        <f t="shared" si="1396"/>
        <v>0</v>
      </c>
      <c r="AD3166" s="165">
        <f t="shared" si="1396"/>
        <v>0</v>
      </c>
      <c r="AE3166" s="165">
        <f t="shared" si="1397"/>
        <v>0</v>
      </c>
      <c r="AF3166" s="165">
        <f t="shared" si="1397"/>
        <v>0</v>
      </c>
      <c r="AG3166" s="165">
        <f t="shared" si="1397"/>
        <v>0</v>
      </c>
      <c r="AH3166" s="165">
        <f t="shared" si="1397"/>
        <v>0</v>
      </c>
      <c r="AI3166" s="165">
        <f t="shared" si="1397"/>
        <v>0</v>
      </c>
      <c r="AJ3166" s="165">
        <f t="shared" si="1397"/>
        <v>0</v>
      </c>
      <c r="AK3166" s="165">
        <f t="shared" si="1397"/>
        <v>0</v>
      </c>
      <c r="AL3166" s="165">
        <f t="shared" si="1397"/>
        <v>0</v>
      </c>
      <c r="AM3166" s="165">
        <f t="shared" si="1397"/>
        <v>0</v>
      </c>
      <c r="AN3166" s="165">
        <f t="shared" si="1397"/>
        <v>0</v>
      </c>
      <c r="AO3166" s="165">
        <f t="shared" si="1397"/>
        <v>0</v>
      </c>
      <c r="AP3166" s="165"/>
      <c r="AQ3166" s="165"/>
      <c r="AR3166" s="165"/>
      <c r="AS3166" s="266">
        <f t="shared" si="1392"/>
        <v>0</v>
      </c>
      <c r="AT3166" s="266">
        <f t="shared" si="1392"/>
        <v>0</v>
      </c>
      <c r="AU3166" s="266">
        <f t="shared" si="1392"/>
        <v>0</v>
      </c>
      <c r="AV3166" s="266">
        <f t="shared" si="1392"/>
        <v>0</v>
      </c>
      <c r="AW3166" s="266">
        <f t="shared" si="1392"/>
        <v>0</v>
      </c>
      <c r="AX3166" s="266">
        <f t="shared" si="1392"/>
        <v>0</v>
      </c>
      <c r="AY3166" s="266">
        <f t="shared" si="1392"/>
        <v>0</v>
      </c>
      <c r="AZ3166" s="266">
        <f t="shared" si="1392"/>
        <v>0</v>
      </c>
      <c r="BA3166" s="266">
        <f t="shared" si="1392"/>
        <v>0</v>
      </c>
      <c r="BB3166" s="266">
        <f t="shared" si="1392"/>
        <v>0</v>
      </c>
      <c r="BC3166" s="266">
        <f t="shared" si="1393"/>
        <v>0</v>
      </c>
      <c r="BD3166" s="266">
        <f t="shared" si="1393"/>
        <v>0</v>
      </c>
      <c r="BE3166" s="266">
        <f t="shared" si="1393"/>
        <v>0</v>
      </c>
      <c r="BF3166" s="266">
        <f t="shared" si="1393"/>
        <v>0</v>
      </c>
      <c r="BG3166" s="266">
        <f t="shared" si="1393"/>
        <v>0</v>
      </c>
      <c r="BH3166" s="266">
        <f t="shared" si="1393"/>
        <v>0</v>
      </c>
      <c r="BI3166" s="266">
        <f t="shared" si="1393"/>
        <v>0</v>
      </c>
      <c r="BJ3166" s="266">
        <f t="shared" si="1393"/>
        <v>0</v>
      </c>
      <c r="BK3166" s="266">
        <f t="shared" si="1393"/>
        <v>0</v>
      </c>
      <c r="BL3166" s="266">
        <f t="shared" si="1393"/>
        <v>0</v>
      </c>
      <c r="BM3166" s="266">
        <f t="shared" si="1394"/>
        <v>0</v>
      </c>
      <c r="BN3166" s="266">
        <f t="shared" si="1394"/>
        <v>0</v>
      </c>
      <c r="BO3166" s="266">
        <f t="shared" si="1394"/>
        <v>0</v>
      </c>
      <c r="BP3166" s="266">
        <f t="shared" si="1394"/>
        <v>0</v>
      </c>
      <c r="BQ3166" s="266">
        <f t="shared" si="1394"/>
        <v>0</v>
      </c>
      <c r="BR3166" s="266">
        <f t="shared" si="1394"/>
        <v>0</v>
      </c>
      <c r="BS3166" s="266">
        <f t="shared" si="1394"/>
        <v>0</v>
      </c>
      <c r="BT3166" s="266">
        <f t="shared" si="1394"/>
        <v>0</v>
      </c>
      <c r="BU3166" s="266">
        <f t="shared" si="1394"/>
        <v>0</v>
      </c>
      <c r="BV3166" s="266">
        <f t="shared" si="1394"/>
        <v>0</v>
      </c>
      <c r="BW3166" s="266">
        <f t="shared" si="1395"/>
        <v>0</v>
      </c>
      <c r="BX3166" s="266">
        <f t="shared" si="1395"/>
        <v>0</v>
      </c>
      <c r="BY3166" s="266">
        <f t="shared" si="1395"/>
        <v>0</v>
      </c>
      <c r="BZ3166" s="266">
        <f t="shared" si="1395"/>
        <v>0</v>
      </c>
      <c r="CA3166" s="266">
        <f t="shared" si="1395"/>
        <v>0</v>
      </c>
      <c r="CB3166" s="266">
        <f t="shared" si="1395"/>
        <v>0</v>
      </c>
      <c r="CC3166" s="266"/>
      <c r="CD3166" s="266"/>
      <c r="CE3166" s="1025"/>
      <c r="CF3166" s="1025"/>
      <c r="CG3166" s="1025"/>
      <c r="CH3166" s="270"/>
      <c r="CI3166" s="76" t="str">
        <f t="shared" si="1391"/>
        <v>N10Service Quality PerformanceNCR</v>
      </c>
      <c r="CJ3166" s="1019"/>
      <c r="CK3166" s="1019"/>
      <c r="CL3166" s="1019"/>
      <c r="CM3166" s="1020"/>
    </row>
    <row r="3167" spans="1:91" s="41" customFormat="1">
      <c r="A3167" s="1009"/>
      <c r="B3167" s="1009"/>
      <c r="C3167" s="1021" t="s">
        <v>1129</v>
      </c>
      <c r="D3167" s="1011"/>
      <c r="E3167" s="1012"/>
      <c r="F3167" s="1012"/>
      <c r="G3167" s="1013"/>
      <c r="H3167" s="1014"/>
      <c r="I3167" s="1015"/>
      <c r="J3167" s="1015"/>
      <c r="K3167" s="1012"/>
      <c r="L3167" s="1011"/>
      <c r="M3167" s="1012"/>
      <c r="N3167" s="1017"/>
      <c r="O3167" s="1017"/>
      <c r="P3167" s="1011"/>
      <c r="Q3167" s="1013"/>
      <c r="R3167" s="1018"/>
      <c r="S3167" s="1018"/>
      <c r="T3167" s="1018"/>
      <c r="U3167" s="165">
        <f t="shared" si="1396"/>
        <v>0</v>
      </c>
      <c r="V3167" s="165">
        <f t="shared" si="1396"/>
        <v>0</v>
      </c>
      <c r="W3167" s="165">
        <f t="shared" si="1396"/>
        <v>98.5504058333334</v>
      </c>
      <c r="X3167" s="165">
        <f t="shared" si="1396"/>
        <v>98.5504058333334</v>
      </c>
      <c r="Y3167" s="165">
        <f t="shared" si="1396"/>
        <v>0</v>
      </c>
      <c r="Z3167" s="165">
        <f t="shared" si="1396"/>
        <v>0</v>
      </c>
      <c r="AA3167" s="165">
        <f t="shared" si="1396"/>
        <v>105.15798000000001</v>
      </c>
      <c r="AB3167" s="165">
        <f t="shared" si="1396"/>
        <v>105.15797999999998</v>
      </c>
      <c r="AC3167" s="165">
        <f t="shared" si="1396"/>
        <v>98.263120000000001</v>
      </c>
      <c r="AD3167" s="165">
        <f t="shared" si="1396"/>
        <v>98.263120000000001</v>
      </c>
      <c r="AE3167" s="165">
        <f t="shared" si="1397"/>
        <v>98.263120000000001</v>
      </c>
      <c r="AF3167" s="165">
        <f t="shared" si="1397"/>
        <v>98.263120000000001</v>
      </c>
      <c r="AG3167" s="165">
        <f t="shared" si="1397"/>
        <v>98.263120000000001</v>
      </c>
      <c r="AH3167" s="165">
        <f t="shared" si="1397"/>
        <v>98.263120000000001</v>
      </c>
      <c r="AI3167" s="165">
        <f t="shared" si="1397"/>
        <v>98.263120000000001</v>
      </c>
      <c r="AJ3167" s="165">
        <f t="shared" si="1397"/>
        <v>98.263120000000001</v>
      </c>
      <c r="AK3167" s="165">
        <f t="shared" si="1397"/>
        <v>98.263120000000001</v>
      </c>
      <c r="AL3167" s="165">
        <f t="shared" si="1397"/>
        <v>98.263120000000001</v>
      </c>
      <c r="AM3167" s="165">
        <f t="shared" si="1397"/>
        <v>98.263120000000001</v>
      </c>
      <c r="AN3167" s="165">
        <f t="shared" si="1397"/>
        <v>98.263120000000001</v>
      </c>
      <c r="AO3167" s="165">
        <f t="shared" si="1397"/>
        <v>105.15797999999998</v>
      </c>
      <c r="AP3167" s="165"/>
      <c r="AQ3167" s="165"/>
      <c r="AR3167" s="165"/>
      <c r="AS3167" s="266">
        <f t="shared" si="1392"/>
        <v>0</v>
      </c>
      <c r="AT3167" s="266">
        <f t="shared" si="1392"/>
        <v>0</v>
      </c>
      <c r="AU3167" s="266">
        <f t="shared" si="1392"/>
        <v>0</v>
      </c>
      <c r="AV3167" s="266">
        <f t="shared" si="1392"/>
        <v>0</v>
      </c>
      <c r="AW3167" s="266">
        <f t="shared" si="1392"/>
        <v>0</v>
      </c>
      <c r="AX3167" s="266">
        <f t="shared" si="1392"/>
        <v>0</v>
      </c>
      <c r="AY3167" s="266">
        <f t="shared" si="1392"/>
        <v>0</v>
      </c>
      <c r="AZ3167" s="266">
        <f t="shared" si="1392"/>
        <v>0</v>
      </c>
      <c r="BA3167" s="266">
        <f t="shared" si="1392"/>
        <v>0</v>
      </c>
      <c r="BB3167" s="266">
        <f t="shared" si="1392"/>
        <v>0</v>
      </c>
      <c r="BC3167" s="266">
        <f t="shared" si="1393"/>
        <v>0</v>
      </c>
      <c r="BD3167" s="266">
        <f t="shared" si="1393"/>
        <v>0</v>
      </c>
      <c r="BE3167" s="266">
        <f t="shared" si="1393"/>
        <v>0</v>
      </c>
      <c r="BF3167" s="266">
        <f t="shared" si="1393"/>
        <v>0</v>
      </c>
      <c r="BG3167" s="266">
        <f t="shared" si="1393"/>
        <v>0</v>
      </c>
      <c r="BH3167" s="266">
        <f t="shared" si="1393"/>
        <v>0</v>
      </c>
      <c r="BI3167" s="266">
        <f t="shared" si="1393"/>
        <v>0</v>
      </c>
      <c r="BJ3167" s="266">
        <f t="shared" si="1393"/>
        <v>0</v>
      </c>
      <c r="BK3167" s="266">
        <f t="shared" si="1393"/>
        <v>0</v>
      </c>
      <c r="BL3167" s="266">
        <f t="shared" si="1393"/>
        <v>0</v>
      </c>
      <c r="BM3167" s="266">
        <f t="shared" si="1394"/>
        <v>0</v>
      </c>
      <c r="BN3167" s="266">
        <f t="shared" si="1394"/>
        <v>0</v>
      </c>
      <c r="BO3167" s="266">
        <f t="shared" si="1394"/>
        <v>0</v>
      </c>
      <c r="BP3167" s="266">
        <f t="shared" si="1394"/>
        <v>0</v>
      </c>
      <c r="BQ3167" s="266">
        <f t="shared" si="1394"/>
        <v>0</v>
      </c>
      <c r="BR3167" s="266">
        <f t="shared" si="1394"/>
        <v>0</v>
      </c>
      <c r="BS3167" s="266">
        <f t="shared" si="1394"/>
        <v>0</v>
      </c>
      <c r="BT3167" s="266">
        <f t="shared" si="1394"/>
        <v>0</v>
      </c>
      <c r="BU3167" s="266">
        <f t="shared" si="1394"/>
        <v>0</v>
      </c>
      <c r="BV3167" s="266">
        <f t="shared" si="1394"/>
        <v>0</v>
      </c>
      <c r="BW3167" s="266">
        <f t="shared" si="1395"/>
        <v>0</v>
      </c>
      <c r="BX3167" s="266">
        <f t="shared" si="1395"/>
        <v>0</v>
      </c>
      <c r="BY3167" s="266">
        <f t="shared" si="1395"/>
        <v>0</v>
      </c>
      <c r="BZ3167" s="266">
        <f t="shared" si="1395"/>
        <v>0</v>
      </c>
      <c r="CA3167" s="266">
        <f t="shared" si="1395"/>
        <v>0</v>
      </c>
      <c r="CB3167" s="266">
        <f t="shared" si="1395"/>
        <v>0</v>
      </c>
      <c r="CC3167" s="266"/>
      <c r="CD3167" s="266"/>
      <c r="CE3167" s="1025"/>
      <c r="CF3167" s="1025"/>
      <c r="CG3167" s="1025"/>
      <c r="CH3167" s="270"/>
      <c r="CI3167" s="76" t="str">
        <f t="shared" si="1391"/>
        <v>N10Unit of Property CTANCR</v>
      </c>
      <c r="CJ3167" s="1019"/>
      <c r="CK3167" s="1019"/>
      <c r="CL3167" s="1019"/>
      <c r="CM3167" s="1020"/>
    </row>
    <row r="3168" spans="1:91" s="41" customFormat="1">
      <c r="A3168" s="1009"/>
      <c r="B3168" s="1009"/>
      <c r="C3168" s="1021" t="s">
        <v>822</v>
      </c>
      <c r="D3168" s="1011"/>
      <c r="E3168" s="1012"/>
      <c r="F3168" s="1012"/>
      <c r="G3168" s="1013"/>
      <c r="H3168" s="1014"/>
      <c r="I3168" s="1015"/>
      <c r="J3168" s="1015"/>
      <c r="K3168" s="1012"/>
      <c r="L3168" s="1011"/>
      <c r="M3168" s="1012"/>
      <c r="N3168" s="1017"/>
      <c r="O3168" s="1017"/>
      <c r="P3168" s="1011"/>
      <c r="Q3168" s="1013"/>
      <c r="R3168" s="1018"/>
      <c r="S3168" s="1018"/>
      <c r="T3168" s="1018"/>
      <c r="U3168" s="165">
        <f t="shared" si="1396"/>
        <v>0</v>
      </c>
      <c r="V3168" s="165">
        <f t="shared" si="1396"/>
        <v>0</v>
      </c>
      <c r="W3168" s="165">
        <f t="shared" si="1396"/>
        <v>-114.17029791666639</v>
      </c>
      <c r="X3168" s="165">
        <f t="shared" si="1396"/>
        <v>-114.17029791666639</v>
      </c>
      <c r="Y3168" s="165">
        <f t="shared" si="1396"/>
        <v>0</v>
      </c>
      <c r="Z3168" s="165">
        <f t="shared" si="1396"/>
        <v>0</v>
      </c>
      <c r="AA3168" s="165">
        <f t="shared" si="1396"/>
        <v>-248.90153000000001</v>
      </c>
      <c r="AB3168" s="165">
        <f t="shared" si="1396"/>
        <v>-248.90152999999995</v>
      </c>
      <c r="AC3168" s="165">
        <f t="shared" si="1396"/>
        <v>20.724600000000066</v>
      </c>
      <c r="AD3168" s="165">
        <f t="shared" si="1396"/>
        <v>-1.5045900000000074</v>
      </c>
      <c r="AE3168" s="165">
        <f t="shared" si="1397"/>
        <v>-26.328450000000032</v>
      </c>
      <c r="AF3168" s="165">
        <f t="shared" si="1397"/>
        <v>-50.614120000000014</v>
      </c>
      <c r="AG3168" s="165">
        <f t="shared" si="1397"/>
        <v>-73.331319999999991</v>
      </c>
      <c r="AH3168" s="165">
        <f t="shared" si="1397"/>
        <v>-93.648960000000017</v>
      </c>
      <c r="AI3168" s="165">
        <f t="shared" si="1397"/>
        <v>-113.90925999999996</v>
      </c>
      <c r="AJ3168" s="165">
        <f t="shared" si="1397"/>
        <v>-134.79219999999992</v>
      </c>
      <c r="AK3168" s="165">
        <f t="shared" si="1397"/>
        <v>-156.73222999999993</v>
      </c>
      <c r="AL3168" s="165">
        <f t="shared" si="1397"/>
        <v>-178.99267</v>
      </c>
      <c r="AM3168" s="165">
        <f t="shared" si="1397"/>
        <v>-201.15429999999995</v>
      </c>
      <c r="AN3168" s="165">
        <f t="shared" si="1397"/>
        <v>-224.94701000000001</v>
      </c>
      <c r="AO3168" s="165">
        <f t="shared" si="1397"/>
        <v>-248.90152999999995</v>
      </c>
      <c r="AP3168" s="165"/>
      <c r="AQ3168" s="165"/>
      <c r="AR3168" s="165"/>
      <c r="AS3168" s="266">
        <f t="shared" si="1392"/>
        <v>0</v>
      </c>
      <c r="AT3168" s="266">
        <f t="shared" si="1392"/>
        <v>0</v>
      </c>
      <c r="AU3168" s="266">
        <f t="shared" si="1392"/>
        <v>0</v>
      </c>
      <c r="AV3168" s="266">
        <f t="shared" si="1392"/>
        <v>0</v>
      </c>
      <c r="AW3168" s="266">
        <f t="shared" si="1392"/>
        <v>0</v>
      </c>
      <c r="AX3168" s="266">
        <f t="shared" si="1392"/>
        <v>0</v>
      </c>
      <c r="AY3168" s="266">
        <f t="shared" si="1392"/>
        <v>0</v>
      </c>
      <c r="AZ3168" s="266">
        <f t="shared" si="1392"/>
        <v>0</v>
      </c>
      <c r="BA3168" s="266">
        <f t="shared" si="1392"/>
        <v>0</v>
      </c>
      <c r="BB3168" s="266">
        <f t="shared" si="1392"/>
        <v>0</v>
      </c>
      <c r="BC3168" s="266">
        <f t="shared" si="1393"/>
        <v>0</v>
      </c>
      <c r="BD3168" s="266">
        <f t="shared" si="1393"/>
        <v>0</v>
      </c>
      <c r="BE3168" s="266">
        <f t="shared" si="1393"/>
        <v>0</v>
      </c>
      <c r="BF3168" s="266">
        <f t="shared" si="1393"/>
        <v>0</v>
      </c>
      <c r="BG3168" s="266">
        <f t="shared" si="1393"/>
        <v>0</v>
      </c>
      <c r="BH3168" s="266">
        <f t="shared" si="1393"/>
        <v>0</v>
      </c>
      <c r="BI3168" s="266">
        <f t="shared" si="1393"/>
        <v>0</v>
      </c>
      <c r="BJ3168" s="266">
        <f t="shared" si="1393"/>
        <v>0</v>
      </c>
      <c r="BK3168" s="266">
        <f t="shared" si="1393"/>
        <v>0</v>
      </c>
      <c r="BL3168" s="266">
        <f t="shared" si="1393"/>
        <v>0</v>
      </c>
      <c r="BM3168" s="266">
        <f t="shared" si="1394"/>
        <v>0</v>
      </c>
      <c r="BN3168" s="266">
        <f t="shared" si="1394"/>
        <v>0</v>
      </c>
      <c r="BO3168" s="266">
        <f t="shared" si="1394"/>
        <v>0</v>
      </c>
      <c r="BP3168" s="266">
        <f t="shared" si="1394"/>
        <v>0</v>
      </c>
      <c r="BQ3168" s="266">
        <f t="shared" si="1394"/>
        <v>0</v>
      </c>
      <c r="BR3168" s="266">
        <f t="shared" si="1394"/>
        <v>0</v>
      </c>
      <c r="BS3168" s="266">
        <f t="shared" si="1394"/>
        <v>0</v>
      </c>
      <c r="BT3168" s="266">
        <f t="shared" si="1394"/>
        <v>0</v>
      </c>
      <c r="BU3168" s="266">
        <f t="shared" si="1394"/>
        <v>0</v>
      </c>
      <c r="BV3168" s="266">
        <f t="shared" si="1394"/>
        <v>0</v>
      </c>
      <c r="BW3168" s="266">
        <f t="shared" si="1395"/>
        <v>0</v>
      </c>
      <c r="BX3168" s="266">
        <f t="shared" si="1395"/>
        <v>0</v>
      </c>
      <c r="BY3168" s="266">
        <f t="shared" si="1395"/>
        <v>0</v>
      </c>
      <c r="BZ3168" s="266">
        <f t="shared" si="1395"/>
        <v>0</v>
      </c>
      <c r="CA3168" s="266">
        <f t="shared" si="1395"/>
        <v>0</v>
      </c>
      <c r="CB3168" s="266">
        <f t="shared" si="1395"/>
        <v>0</v>
      </c>
      <c r="CC3168" s="266"/>
      <c r="CD3168" s="266"/>
      <c r="CE3168" s="1025"/>
      <c r="CF3168" s="1025"/>
      <c r="CG3168" s="1025"/>
      <c r="CH3168" s="270"/>
      <c r="CI3168" s="76" t="str">
        <f t="shared" si="1391"/>
        <v>N10Variable Rate DebtNCR</v>
      </c>
      <c r="CJ3168" s="1019"/>
      <c r="CK3168" s="1019"/>
      <c r="CL3168" s="1019"/>
      <c r="CM3168" s="1020"/>
    </row>
    <row r="3169" spans="1:91" s="41" customFormat="1">
      <c r="A3169" s="1009"/>
      <c r="B3169" s="1009"/>
      <c r="C3169" s="1021" t="s">
        <v>1119</v>
      </c>
      <c r="D3169" s="1011"/>
      <c r="E3169" s="1012"/>
      <c r="F3169" s="1012"/>
      <c r="G3169" s="1013"/>
      <c r="H3169" s="1014"/>
      <c r="I3169" s="1015"/>
      <c r="J3169" s="1015"/>
      <c r="K3169" s="1012"/>
      <c r="L3169" s="1011"/>
      <c r="M3169" s="1012"/>
      <c r="N3169" s="1017"/>
      <c r="O3169" s="1017"/>
      <c r="P3169" s="1011"/>
      <c r="Q3169" s="1013"/>
      <c r="R3169" s="1018"/>
      <c r="S3169" s="1018"/>
      <c r="T3169" s="1018"/>
      <c r="U3169" s="165">
        <f t="shared" si="1396"/>
        <v>0</v>
      </c>
      <c r="V3169" s="165">
        <f t="shared" si="1396"/>
        <v>0</v>
      </c>
      <c r="W3169" s="165">
        <f t="shared" si="1396"/>
        <v>614.26525541666661</v>
      </c>
      <c r="X3169" s="165">
        <f t="shared" si="1396"/>
        <v>614.26525541666661</v>
      </c>
      <c r="Y3169" s="165">
        <f t="shared" si="1396"/>
        <v>0</v>
      </c>
      <c r="Z3169" s="165">
        <f t="shared" si="1396"/>
        <v>0</v>
      </c>
      <c r="AA3169" s="165">
        <f t="shared" si="1396"/>
        <v>785.25950000000034</v>
      </c>
      <c r="AB3169" s="165">
        <f t="shared" si="1396"/>
        <v>785.25949999999989</v>
      </c>
      <c r="AC3169" s="165">
        <f t="shared" si="1396"/>
        <v>852.61178999999993</v>
      </c>
      <c r="AD3169" s="165">
        <f t="shared" si="1396"/>
        <v>731.52539000000036</v>
      </c>
      <c r="AE3169" s="165">
        <f t="shared" si="1397"/>
        <v>668.25145000000032</v>
      </c>
      <c r="AF3169" s="165">
        <f t="shared" si="1397"/>
        <v>629.37142000000017</v>
      </c>
      <c r="AG3169" s="165">
        <f t="shared" si="1397"/>
        <v>712.62666000000013</v>
      </c>
      <c r="AH3169" s="165">
        <f t="shared" si="1397"/>
        <v>608.55155999999988</v>
      </c>
      <c r="AI3169" s="165">
        <f t="shared" si="1397"/>
        <v>543.04052000000024</v>
      </c>
      <c r="AJ3169" s="165">
        <f t="shared" si="1397"/>
        <v>537.07750000000033</v>
      </c>
      <c r="AK3169" s="165">
        <f t="shared" si="1397"/>
        <v>596.3093100000001</v>
      </c>
      <c r="AL3169" s="165">
        <f t="shared" si="1397"/>
        <v>463.01709000000005</v>
      </c>
      <c r="AM3169" s="165">
        <f t="shared" si="1397"/>
        <v>469.26186000000013</v>
      </c>
      <c r="AN3169" s="165">
        <f t="shared" si="1397"/>
        <v>593.21466000000009</v>
      </c>
      <c r="AO3169" s="165">
        <f t="shared" si="1397"/>
        <v>785.25949999999989</v>
      </c>
      <c r="AP3169" s="165"/>
      <c r="AQ3169" s="165"/>
      <c r="AR3169" s="165"/>
      <c r="AS3169" s="266">
        <f t="shared" si="1392"/>
        <v>0</v>
      </c>
      <c r="AT3169" s="266">
        <f t="shared" si="1392"/>
        <v>0</v>
      </c>
      <c r="AU3169" s="266">
        <f t="shared" si="1392"/>
        <v>0</v>
      </c>
      <c r="AV3169" s="266">
        <f t="shared" si="1392"/>
        <v>0</v>
      </c>
      <c r="AW3169" s="266">
        <f t="shared" si="1392"/>
        <v>0</v>
      </c>
      <c r="AX3169" s="266">
        <f t="shared" si="1392"/>
        <v>0</v>
      </c>
      <c r="AY3169" s="266">
        <f t="shared" si="1392"/>
        <v>0</v>
      </c>
      <c r="AZ3169" s="266">
        <f t="shared" si="1392"/>
        <v>0</v>
      </c>
      <c r="BA3169" s="266">
        <f t="shared" si="1392"/>
        <v>0</v>
      </c>
      <c r="BB3169" s="266">
        <f t="shared" si="1392"/>
        <v>0</v>
      </c>
      <c r="BC3169" s="266">
        <f t="shared" si="1393"/>
        <v>0</v>
      </c>
      <c r="BD3169" s="266">
        <f t="shared" si="1393"/>
        <v>0</v>
      </c>
      <c r="BE3169" s="266">
        <f t="shared" si="1393"/>
        <v>0</v>
      </c>
      <c r="BF3169" s="266">
        <f t="shared" si="1393"/>
        <v>0</v>
      </c>
      <c r="BG3169" s="266">
        <f t="shared" si="1393"/>
        <v>0</v>
      </c>
      <c r="BH3169" s="266">
        <f t="shared" si="1393"/>
        <v>0</v>
      </c>
      <c r="BI3169" s="266">
        <f t="shared" si="1393"/>
        <v>0</v>
      </c>
      <c r="BJ3169" s="266">
        <f t="shared" si="1393"/>
        <v>0</v>
      </c>
      <c r="BK3169" s="266">
        <f t="shared" si="1393"/>
        <v>0</v>
      </c>
      <c r="BL3169" s="266">
        <f t="shared" si="1393"/>
        <v>0</v>
      </c>
      <c r="BM3169" s="266">
        <f t="shared" si="1394"/>
        <v>0</v>
      </c>
      <c r="BN3169" s="266">
        <f t="shared" si="1394"/>
        <v>0</v>
      </c>
      <c r="BO3169" s="266">
        <f t="shared" si="1394"/>
        <v>0</v>
      </c>
      <c r="BP3169" s="266">
        <f t="shared" si="1394"/>
        <v>0</v>
      </c>
      <c r="BQ3169" s="266">
        <f t="shared" si="1394"/>
        <v>0</v>
      </c>
      <c r="BR3169" s="266">
        <f t="shared" si="1394"/>
        <v>0</v>
      </c>
      <c r="BS3169" s="266">
        <f t="shared" si="1394"/>
        <v>0</v>
      </c>
      <c r="BT3169" s="266">
        <f t="shared" si="1394"/>
        <v>0</v>
      </c>
      <c r="BU3169" s="266">
        <f t="shared" si="1394"/>
        <v>0</v>
      </c>
      <c r="BV3169" s="266">
        <f t="shared" si="1394"/>
        <v>0</v>
      </c>
      <c r="BW3169" s="266">
        <f t="shared" si="1395"/>
        <v>0</v>
      </c>
      <c r="BX3169" s="266">
        <f t="shared" si="1395"/>
        <v>0</v>
      </c>
      <c r="BY3169" s="266">
        <f t="shared" si="1395"/>
        <v>0</v>
      </c>
      <c r="BZ3169" s="266">
        <f t="shared" si="1395"/>
        <v>0</v>
      </c>
      <c r="CA3169" s="266">
        <f t="shared" si="1395"/>
        <v>0</v>
      </c>
      <c r="CB3169" s="266">
        <f t="shared" si="1395"/>
        <v>0</v>
      </c>
      <c r="CC3169" s="266"/>
      <c r="CD3169" s="266"/>
      <c r="CE3169" s="1025"/>
      <c r="CF3169" s="1025"/>
      <c r="CG3169" s="1025"/>
      <c r="CH3169" s="270"/>
      <c r="CI3169" s="76" t="str">
        <f t="shared" si="1391"/>
        <v>N10Vegetation ManagementNCR</v>
      </c>
      <c r="CJ3169" s="1019"/>
      <c r="CK3169" s="1019"/>
      <c r="CL3169" s="1019"/>
      <c r="CM3169" s="1020"/>
    </row>
    <row r="3170" spans="1:91" s="41" customFormat="1">
      <c r="A3170" s="1009"/>
      <c r="B3170" s="1009"/>
      <c r="C3170" s="1021" t="s">
        <v>1330</v>
      </c>
      <c r="D3170" s="705" t="s">
        <v>2706</v>
      </c>
      <c r="E3170" s="1012"/>
      <c r="F3170" s="1012"/>
      <c r="G3170" s="1013"/>
      <c r="H3170" s="1014"/>
      <c r="I3170" s="1015"/>
      <c r="J3170" s="1015"/>
      <c r="K3170" s="1012"/>
      <c r="L3170" s="1011"/>
      <c r="M3170" s="1012"/>
      <c r="N3170" s="1017"/>
      <c r="O3170" s="1017"/>
      <c r="P3170" s="1011"/>
      <c r="Q3170" s="1013"/>
      <c r="R3170" s="1018"/>
      <c r="S3170" s="1018"/>
      <c r="T3170" s="1018"/>
      <c r="U3170" s="165">
        <f t="shared" si="1396"/>
        <v>0</v>
      </c>
      <c r="V3170" s="165">
        <f t="shared" si="1396"/>
        <v>0</v>
      </c>
      <c r="W3170" s="165">
        <f t="shared" si="1396"/>
        <v>-9305.9389145834139</v>
      </c>
      <c r="X3170" s="165">
        <f t="shared" si="1396"/>
        <v>-9305.9389145832974</v>
      </c>
      <c r="Y3170" s="165">
        <f t="shared" si="1396"/>
        <v>0</v>
      </c>
      <c r="Z3170" s="165">
        <f t="shared" si="1396"/>
        <v>0</v>
      </c>
      <c r="AA3170" s="165">
        <f t="shared" si="1396"/>
        <v>-9943.1269599999778</v>
      </c>
      <c r="AB3170" s="165">
        <f t="shared" si="1396"/>
        <v>-9943.1269600000523</v>
      </c>
      <c r="AC3170" s="165">
        <f t="shared" si="1396"/>
        <v>-7766.9019100000223</v>
      </c>
      <c r="AD3170" s="165">
        <f t="shared" si="1396"/>
        <v>-6873.724139999993</v>
      </c>
      <c r="AE3170" s="165">
        <f t="shared" si="1397"/>
        <v>-9345.2508200000302</v>
      </c>
      <c r="AF3170" s="165">
        <f t="shared" si="1397"/>
        <v>-9396.6888499999932</v>
      </c>
      <c r="AG3170" s="165">
        <f t="shared" si="1397"/>
        <v>-9448.4183900000098</v>
      </c>
      <c r="AH3170" s="165">
        <f t="shared" si="1397"/>
        <v>-9500.4410900000294</v>
      </c>
      <c r="AI3170" s="165">
        <f t="shared" si="1397"/>
        <v>-9552.6989400000111</v>
      </c>
      <c r="AJ3170" s="165">
        <f t="shared" si="1397"/>
        <v>-9605.2934599999626</v>
      </c>
      <c r="AK3170" s="165">
        <f t="shared" si="1397"/>
        <v>-9658.2054099999514</v>
      </c>
      <c r="AL3170" s="165">
        <f t="shared" si="1397"/>
        <v>-9711.4171999999344</v>
      </c>
      <c r="AM3170" s="165">
        <f t="shared" si="1397"/>
        <v>-9835.1094099999536</v>
      </c>
      <c r="AN3170" s="165">
        <f t="shared" si="1397"/>
        <v>-9889.0048300000308</v>
      </c>
      <c r="AO3170" s="165">
        <f t="shared" si="1397"/>
        <v>-9943.1269600000523</v>
      </c>
      <c r="AP3170" s="165"/>
      <c r="AQ3170" s="165"/>
      <c r="AR3170" s="165"/>
      <c r="AS3170" s="266">
        <f t="shared" si="1392"/>
        <v>0</v>
      </c>
      <c r="AT3170" s="266">
        <f t="shared" si="1392"/>
        <v>0</v>
      </c>
      <c r="AU3170" s="266">
        <f t="shared" si="1392"/>
        <v>0</v>
      </c>
      <c r="AV3170" s="266">
        <f t="shared" si="1392"/>
        <v>0</v>
      </c>
      <c r="AW3170" s="266">
        <f t="shared" si="1392"/>
        <v>0</v>
      </c>
      <c r="AX3170" s="266">
        <f t="shared" si="1392"/>
        <v>0</v>
      </c>
      <c r="AY3170" s="266">
        <f t="shared" si="1392"/>
        <v>0</v>
      </c>
      <c r="AZ3170" s="266">
        <f t="shared" si="1392"/>
        <v>0</v>
      </c>
      <c r="BA3170" s="266">
        <f t="shared" si="1392"/>
        <v>0</v>
      </c>
      <c r="BB3170" s="266">
        <f t="shared" si="1392"/>
        <v>0</v>
      </c>
      <c r="BC3170" s="266">
        <f t="shared" si="1393"/>
        <v>0</v>
      </c>
      <c r="BD3170" s="266">
        <f t="shared" si="1393"/>
        <v>0</v>
      </c>
      <c r="BE3170" s="266">
        <f t="shared" si="1393"/>
        <v>0</v>
      </c>
      <c r="BF3170" s="266">
        <f t="shared" si="1393"/>
        <v>0</v>
      </c>
      <c r="BG3170" s="266">
        <f t="shared" si="1393"/>
        <v>0</v>
      </c>
      <c r="BH3170" s="266">
        <f t="shared" si="1393"/>
        <v>0</v>
      </c>
      <c r="BI3170" s="266">
        <f t="shared" si="1393"/>
        <v>0</v>
      </c>
      <c r="BJ3170" s="266">
        <f t="shared" si="1393"/>
        <v>0</v>
      </c>
      <c r="BK3170" s="266">
        <f t="shared" si="1393"/>
        <v>0</v>
      </c>
      <c r="BL3170" s="266">
        <f t="shared" si="1393"/>
        <v>0</v>
      </c>
      <c r="BM3170" s="266">
        <f t="shared" si="1394"/>
        <v>0</v>
      </c>
      <c r="BN3170" s="266">
        <f t="shared" si="1394"/>
        <v>0</v>
      </c>
      <c r="BO3170" s="266">
        <f t="shared" si="1394"/>
        <v>0</v>
      </c>
      <c r="BP3170" s="266">
        <f t="shared" si="1394"/>
        <v>0</v>
      </c>
      <c r="BQ3170" s="266">
        <f t="shared" si="1394"/>
        <v>0</v>
      </c>
      <c r="BR3170" s="266">
        <f t="shared" si="1394"/>
        <v>0</v>
      </c>
      <c r="BS3170" s="266">
        <f t="shared" si="1394"/>
        <v>0</v>
      </c>
      <c r="BT3170" s="266">
        <f t="shared" si="1394"/>
        <v>0</v>
      </c>
      <c r="BU3170" s="266">
        <f t="shared" si="1394"/>
        <v>0</v>
      </c>
      <c r="BV3170" s="266">
        <f t="shared" si="1394"/>
        <v>0</v>
      </c>
      <c r="BW3170" s="266">
        <f t="shared" si="1395"/>
        <v>0</v>
      </c>
      <c r="BX3170" s="266">
        <f t="shared" si="1395"/>
        <v>0</v>
      </c>
      <c r="BY3170" s="266">
        <f t="shared" si="1395"/>
        <v>0</v>
      </c>
      <c r="BZ3170" s="266">
        <f t="shared" si="1395"/>
        <v>0</v>
      </c>
      <c r="CA3170" s="266">
        <f t="shared" si="1395"/>
        <v>0</v>
      </c>
      <c r="CB3170" s="266">
        <f t="shared" si="1395"/>
        <v>0</v>
      </c>
      <c r="CC3170" s="266"/>
      <c r="CD3170" s="266"/>
      <c r="CE3170" s="1025"/>
      <c r="CF3170" s="1025"/>
      <c r="CG3170" s="1025"/>
      <c r="CH3170" s="270"/>
      <c r="CI3170" s="76" t="str">
        <f>CONCATENATE("N8",C3170,"NCR")</f>
        <v>N8ASGANCR</v>
      </c>
      <c r="CJ3170" s="1019"/>
      <c r="CK3170" s="1019"/>
      <c r="CL3170" s="1019"/>
      <c r="CM3170" s="1020"/>
    </row>
    <row r="3171" spans="1:91" s="41" customFormat="1">
      <c r="A3171" s="1009"/>
      <c r="B3171" s="1009"/>
      <c r="C3171" s="1021"/>
      <c r="D3171" s="1011"/>
      <c r="E3171" s="1012"/>
      <c r="F3171" s="1012"/>
      <c r="G3171" s="1013"/>
      <c r="H3171" s="1014"/>
      <c r="I3171" s="1015"/>
      <c r="J3171" s="1015"/>
      <c r="K3171" s="1012"/>
      <c r="L3171" s="1011"/>
      <c r="M3171" s="1012"/>
      <c r="N3171" s="1017"/>
      <c r="O3171" s="1017"/>
      <c r="P3171" s="1011"/>
      <c r="Q3171" s="1013"/>
      <c r="R3171" s="1018"/>
      <c r="S3171" s="1018"/>
      <c r="T3171" s="1018"/>
      <c r="U3171" s="165"/>
      <c r="V3171" s="165"/>
      <c r="W3171" s="165"/>
      <c r="X3171" s="165"/>
      <c r="Y3171" s="165"/>
      <c r="Z3171" s="165"/>
      <c r="AA3171" s="165"/>
      <c r="AB3171" s="165"/>
      <c r="AC3171" s="165"/>
      <c r="AD3171" s="165"/>
      <c r="AE3171" s="165"/>
      <c r="AF3171" s="165"/>
      <c r="AG3171" s="165"/>
      <c r="AH3171" s="165"/>
      <c r="AI3171" s="165"/>
      <c r="AJ3171" s="165"/>
      <c r="AK3171" s="165"/>
      <c r="AL3171" s="165"/>
      <c r="AM3171" s="165"/>
      <c r="AN3171" s="165"/>
      <c r="AO3171" s="165"/>
      <c r="AP3171" s="165"/>
      <c r="AQ3171" s="165"/>
      <c r="AR3171" s="165"/>
      <c r="AS3171" s="266"/>
      <c r="AT3171" s="266"/>
      <c r="AU3171" s="266"/>
      <c r="AV3171" s="266"/>
      <c r="AW3171" s="266"/>
      <c r="AX3171" s="266"/>
      <c r="AY3171" s="266"/>
      <c r="AZ3171" s="266"/>
      <c r="BA3171" s="266"/>
      <c r="BB3171" s="266"/>
      <c r="BC3171" s="266"/>
      <c r="BD3171" s="266"/>
      <c r="BE3171" s="266"/>
      <c r="BF3171" s="266"/>
      <c r="BG3171" s="266"/>
      <c r="BH3171" s="266"/>
      <c r="BI3171" s="266"/>
      <c r="BJ3171" s="266"/>
      <c r="BK3171" s="266"/>
      <c r="BL3171" s="266"/>
      <c r="BM3171" s="266"/>
      <c r="BN3171" s="266"/>
      <c r="BO3171" s="266"/>
      <c r="BP3171" s="266"/>
      <c r="BQ3171" s="266"/>
      <c r="BR3171" s="266"/>
      <c r="BS3171" s="266"/>
      <c r="BT3171" s="266"/>
      <c r="BU3171" s="266"/>
      <c r="BV3171" s="266"/>
      <c r="BW3171" s="266"/>
      <c r="BX3171" s="266"/>
      <c r="BY3171" s="266"/>
      <c r="BZ3171" s="266"/>
      <c r="CA3171" s="266"/>
      <c r="CB3171" s="266"/>
      <c r="CC3171" s="266"/>
      <c r="CD3171" s="266"/>
      <c r="CE3171" s="1025"/>
      <c r="CF3171" s="1025"/>
      <c r="CG3171" s="1025"/>
      <c r="CH3171" s="220"/>
      <c r="CI3171" s="1019"/>
      <c r="CJ3171" s="1019"/>
      <c r="CK3171" s="1019"/>
      <c r="CL3171" s="1019"/>
      <c r="CM3171" s="1020"/>
    </row>
    <row r="3172" spans="1:91" s="41" customFormat="1" ht="15">
      <c r="A3172" s="1009"/>
      <c r="B3172" s="1009"/>
      <c r="C3172" s="1021" t="s">
        <v>2391</v>
      </c>
      <c r="D3172" s="1011"/>
      <c r="E3172" s="1012"/>
      <c r="F3172" s="1012"/>
      <c r="G3172" s="1013"/>
      <c r="H3172" s="1014"/>
      <c r="I3172" s="1015"/>
      <c r="J3172" s="1015"/>
      <c r="K3172" s="1012"/>
      <c r="L3172" s="1011"/>
      <c r="M3172" s="1012"/>
      <c r="N3172" s="1017"/>
      <c r="O3172" s="1017"/>
      <c r="P3172" s="1011"/>
      <c r="Q3172" s="1013"/>
      <c r="R3172" s="1018"/>
      <c r="S3172" s="1018"/>
      <c r="T3172" s="1018"/>
      <c r="U3172" s="161">
        <f t="shared" ref="U3172:AC3172" si="1398">+U3174-SUM(U3143:U3171)</f>
        <v>0</v>
      </c>
      <c r="V3172" s="161">
        <f t="shared" si="1398"/>
        <v>0</v>
      </c>
      <c r="W3172" s="161">
        <f t="shared" si="1398"/>
        <v>38783.96851045842</v>
      </c>
      <c r="X3172" s="161">
        <f t="shared" si="1398"/>
        <v>38783.96851045842</v>
      </c>
      <c r="Y3172" s="161">
        <f t="shared" si="1398"/>
        <v>0</v>
      </c>
      <c r="Z3172" s="161">
        <f t="shared" si="1398"/>
        <v>0</v>
      </c>
      <c r="AA3172" s="161">
        <f t="shared" si="1398"/>
        <v>33744.835500000074</v>
      </c>
      <c r="AB3172" s="161">
        <f t="shared" si="1398"/>
        <v>33744.835500000103</v>
      </c>
      <c r="AC3172" s="161">
        <f t="shared" si="1398"/>
        <v>23342.60247100002</v>
      </c>
      <c r="AD3172" s="161">
        <f t="shared" ref="AD3172:AE3172" si="1399">+AD3174-SUM(AD3143:AD3171)</f>
        <v>25578.330170000001</v>
      </c>
      <c r="AE3172" s="161">
        <f t="shared" si="1399"/>
        <v>26592.608830000056</v>
      </c>
      <c r="AF3172" s="161">
        <f t="shared" ref="AF3172:AG3172" si="1400">+AF3174-SUM(AF3143:AF3171)</f>
        <v>27872.720320000008</v>
      </c>
      <c r="AG3172" s="161">
        <f t="shared" si="1400"/>
        <v>35173.273850000041</v>
      </c>
      <c r="AH3172" s="161">
        <f t="shared" ref="AH3172:AI3172" si="1401">+AH3174-SUM(AH3143:AH3171)</f>
        <v>50272.97524</v>
      </c>
      <c r="AI3172" s="161">
        <f t="shared" si="1401"/>
        <v>48339.90978000006</v>
      </c>
      <c r="AJ3172" s="161">
        <f t="shared" ref="AJ3172:AK3172" si="1402">+AJ3174-SUM(AJ3143:AJ3171)</f>
        <v>53799.26393000003</v>
      </c>
      <c r="AK3172" s="161">
        <f t="shared" si="1402"/>
        <v>55170.236380000046</v>
      </c>
      <c r="AL3172" s="161">
        <f t="shared" ref="AL3172:AM3172" si="1403">+AL3174-SUM(AL3143:AL3171)</f>
        <v>44597.711520000012</v>
      </c>
      <c r="AM3172" s="161">
        <f t="shared" si="1403"/>
        <v>37018.110560000059</v>
      </c>
      <c r="AN3172" s="161">
        <f t="shared" ref="AN3172:AO3172" si="1404">+AN3174-SUM(AN3143:AN3171)</f>
        <v>32448.762560000032</v>
      </c>
      <c r="AO3172" s="161">
        <f t="shared" si="1404"/>
        <v>33744.835500000103</v>
      </c>
      <c r="AP3172" s="161"/>
      <c r="AQ3172" s="161"/>
      <c r="AR3172" s="161"/>
      <c r="AS3172" s="1026">
        <f t="shared" ref="AS3172:CB3172" si="1405">+AS3174-SUM(AS3143:AS3171)</f>
        <v>0</v>
      </c>
      <c r="AT3172" s="1026">
        <f t="shared" si="1405"/>
        <v>0</v>
      </c>
      <c r="AU3172" s="1026">
        <f t="shared" si="1405"/>
        <v>0</v>
      </c>
      <c r="AV3172" s="1026">
        <f t="shared" si="1405"/>
        <v>0</v>
      </c>
      <c r="AW3172" s="1026">
        <f t="shared" si="1405"/>
        <v>0</v>
      </c>
      <c r="AX3172" s="1026">
        <f t="shared" si="1405"/>
        <v>0</v>
      </c>
      <c r="AY3172" s="1026">
        <f t="shared" si="1405"/>
        <v>0</v>
      </c>
      <c r="AZ3172" s="1026">
        <f t="shared" si="1405"/>
        <v>0</v>
      </c>
      <c r="BA3172" s="1026">
        <f t="shared" si="1405"/>
        <v>0</v>
      </c>
      <c r="BB3172" s="1026">
        <f t="shared" si="1405"/>
        <v>0</v>
      </c>
      <c r="BC3172" s="1026">
        <f t="shared" si="1405"/>
        <v>0</v>
      </c>
      <c r="BD3172" s="1026">
        <f t="shared" si="1405"/>
        <v>0</v>
      </c>
      <c r="BE3172" s="1026">
        <f t="shared" si="1405"/>
        <v>0</v>
      </c>
      <c r="BF3172" s="1026">
        <f t="shared" si="1405"/>
        <v>0</v>
      </c>
      <c r="BG3172" s="1026">
        <f t="shared" si="1405"/>
        <v>0</v>
      </c>
      <c r="BH3172" s="1026">
        <f t="shared" si="1405"/>
        <v>0</v>
      </c>
      <c r="BI3172" s="1026">
        <f t="shared" si="1405"/>
        <v>0</v>
      </c>
      <c r="BJ3172" s="1026">
        <f t="shared" si="1405"/>
        <v>0</v>
      </c>
      <c r="BK3172" s="1026">
        <f t="shared" si="1405"/>
        <v>0</v>
      </c>
      <c r="BL3172" s="1026">
        <f t="shared" si="1405"/>
        <v>0</v>
      </c>
      <c r="BM3172" s="1026">
        <f t="shared" si="1405"/>
        <v>0</v>
      </c>
      <c r="BN3172" s="1026">
        <f t="shared" si="1405"/>
        <v>0</v>
      </c>
      <c r="BO3172" s="1026">
        <f t="shared" si="1405"/>
        <v>0</v>
      </c>
      <c r="BP3172" s="1026">
        <f t="shared" si="1405"/>
        <v>0</v>
      </c>
      <c r="BQ3172" s="1026">
        <f t="shared" si="1405"/>
        <v>0</v>
      </c>
      <c r="BR3172" s="1026">
        <f t="shared" si="1405"/>
        <v>0</v>
      </c>
      <c r="BS3172" s="1026">
        <f t="shared" si="1405"/>
        <v>0</v>
      </c>
      <c r="BT3172" s="1026">
        <f t="shared" si="1405"/>
        <v>0</v>
      </c>
      <c r="BU3172" s="1026">
        <f t="shared" si="1405"/>
        <v>0</v>
      </c>
      <c r="BV3172" s="1026">
        <f t="shared" si="1405"/>
        <v>0</v>
      </c>
      <c r="BW3172" s="1026">
        <f t="shared" si="1405"/>
        <v>0</v>
      </c>
      <c r="BX3172" s="1026">
        <f t="shared" si="1405"/>
        <v>0</v>
      </c>
      <c r="BY3172" s="1026">
        <f t="shared" si="1405"/>
        <v>0</v>
      </c>
      <c r="BZ3172" s="1026">
        <f t="shared" si="1405"/>
        <v>0</v>
      </c>
      <c r="CA3172" s="1026">
        <f t="shared" si="1405"/>
        <v>0</v>
      </c>
      <c r="CB3172" s="1026">
        <f t="shared" si="1405"/>
        <v>0</v>
      </c>
      <c r="CC3172" s="1026"/>
      <c r="CD3172" s="1026"/>
      <c r="CE3172" s="1025"/>
      <c r="CF3172" s="1025"/>
      <c r="CG3172" s="1025"/>
      <c r="CH3172" s="220"/>
      <c r="CI3172" s="1019"/>
      <c r="CJ3172" s="1019"/>
      <c r="CK3172" s="1019"/>
      <c r="CL3172" s="1019"/>
      <c r="CM3172" s="1020"/>
    </row>
    <row r="3173" spans="1:91" s="41" customFormat="1">
      <c r="A3173" s="1009"/>
      <c r="B3173" s="1009"/>
      <c r="C3173" s="1021"/>
      <c r="D3173" s="1011"/>
      <c r="E3173" s="1012"/>
      <c r="F3173" s="1012"/>
      <c r="G3173" s="1013"/>
      <c r="H3173" s="1014"/>
      <c r="I3173" s="1015"/>
      <c r="J3173" s="1015"/>
      <c r="K3173" s="1012"/>
      <c r="L3173" s="1011"/>
      <c r="M3173" s="1012"/>
      <c r="N3173" s="1017"/>
      <c r="O3173" s="1017"/>
      <c r="P3173" s="1011"/>
      <c r="Q3173" s="1013"/>
      <c r="R3173" s="1018"/>
      <c r="S3173" s="1018"/>
      <c r="T3173" s="1018"/>
      <c r="U3173" s="258"/>
      <c r="V3173" s="258"/>
      <c r="W3173" s="258"/>
      <c r="X3173" s="258"/>
      <c r="Y3173" s="258"/>
      <c r="Z3173" s="258"/>
      <c r="AA3173" s="258"/>
      <c r="AB3173" s="258"/>
      <c r="AC3173" s="258"/>
      <c r="AD3173" s="258"/>
      <c r="AE3173" s="258"/>
      <c r="AF3173" s="258"/>
      <c r="AG3173" s="258"/>
      <c r="AH3173" s="258"/>
      <c r="AI3173" s="258"/>
      <c r="AJ3173" s="258"/>
      <c r="AK3173" s="258"/>
      <c r="AL3173" s="258"/>
      <c r="AM3173" s="258"/>
      <c r="AN3173" s="258"/>
      <c r="AO3173" s="258"/>
      <c r="AP3173" s="258"/>
      <c r="AQ3173" s="258"/>
      <c r="AR3173" s="258"/>
      <c r="AS3173" s="1027"/>
      <c r="AT3173" s="1027"/>
      <c r="AU3173" s="1027"/>
      <c r="AV3173" s="1027"/>
      <c r="AW3173" s="1027"/>
      <c r="AX3173" s="1027"/>
      <c r="AY3173" s="1027"/>
      <c r="AZ3173" s="1027"/>
      <c r="BA3173" s="1027"/>
      <c r="BB3173" s="1027"/>
      <c r="BC3173" s="1027"/>
      <c r="BD3173" s="1027"/>
      <c r="BE3173" s="1027"/>
      <c r="BF3173" s="1027"/>
      <c r="BG3173" s="1027"/>
      <c r="BH3173" s="1027"/>
      <c r="BI3173" s="1027"/>
      <c r="BJ3173" s="1027"/>
      <c r="BK3173" s="1027"/>
      <c r="BL3173" s="1027"/>
      <c r="BM3173" s="1027"/>
      <c r="BN3173" s="1027"/>
      <c r="BO3173" s="1027"/>
      <c r="BP3173" s="1027"/>
      <c r="BQ3173" s="1027"/>
      <c r="BR3173" s="1027"/>
      <c r="BS3173" s="1027"/>
      <c r="BT3173" s="1027"/>
      <c r="BU3173" s="1027"/>
      <c r="BV3173" s="1027"/>
      <c r="BW3173" s="1027"/>
      <c r="BX3173" s="1027"/>
      <c r="BY3173" s="1027"/>
      <c r="BZ3173" s="1027"/>
      <c r="CA3173" s="1027"/>
      <c r="CB3173" s="1027"/>
      <c r="CC3173" s="1027"/>
      <c r="CD3173" s="1027"/>
      <c r="CE3173" s="1025"/>
      <c r="CF3173" s="1025"/>
      <c r="CG3173" s="1025"/>
      <c r="CH3173" s="220"/>
      <c r="CI3173" s="1019"/>
      <c r="CJ3173" s="1019"/>
      <c r="CK3173" s="1019"/>
      <c r="CL3173" s="1019"/>
      <c r="CM3173" s="1020"/>
    </row>
    <row r="3174" spans="1:91" s="41" customFormat="1">
      <c r="A3174" s="421"/>
      <c r="B3174" s="421"/>
      <c r="C3174" s="1021" t="s">
        <v>2475</v>
      </c>
      <c r="D3174" s="1021" t="s">
        <v>2436</v>
      </c>
      <c r="E3174" s="1028" t="s">
        <v>2432</v>
      </c>
      <c r="F3174" s="1028"/>
      <c r="G3174" s="1028"/>
      <c r="H3174" s="1029"/>
      <c r="I3174" s="1030"/>
      <c r="J3174" s="1030"/>
      <c r="K3174" s="427"/>
      <c r="L3174" s="1016"/>
      <c r="M3174" s="427"/>
      <c r="N3174" s="1031"/>
      <c r="O3174" s="1031"/>
      <c r="P3174" s="1016"/>
      <c r="Q3174" s="1028"/>
      <c r="R3174" s="1032"/>
      <c r="S3174" s="1032"/>
      <c r="T3174" s="1032"/>
      <c r="U3174" s="165">
        <f t="shared" ref="U3174:AO3174" si="1406">SUMIF($L:$L,$D3174,U:U)+SUMIF($L:$L,$E3174,U:U)</f>
        <v>0</v>
      </c>
      <c r="V3174" s="165">
        <f t="shared" si="1406"/>
        <v>0</v>
      </c>
      <c r="W3174" s="165">
        <f t="shared" si="1406"/>
        <v>-104011.53097920833</v>
      </c>
      <c r="X3174" s="165">
        <f t="shared" si="1406"/>
        <v>-104011.53097920821</v>
      </c>
      <c r="Y3174" s="165">
        <f t="shared" si="1406"/>
        <v>0</v>
      </c>
      <c r="Z3174" s="165">
        <f t="shared" si="1406"/>
        <v>0</v>
      </c>
      <c r="AA3174" s="165">
        <f t="shared" si="1406"/>
        <v>-138485.94064299992</v>
      </c>
      <c r="AB3174" s="165">
        <f t="shared" si="1406"/>
        <v>-138485.94064300001</v>
      </c>
      <c r="AC3174" s="165">
        <f t="shared" si="1406"/>
        <v>-69782.496092000016</v>
      </c>
      <c r="AD3174" s="165">
        <f t="shared" si="1406"/>
        <v>-70559.127072999996</v>
      </c>
      <c r="AE3174" s="165">
        <f t="shared" si="1406"/>
        <v>-77127.122022999989</v>
      </c>
      <c r="AF3174" s="165">
        <f t="shared" si="1406"/>
        <v>-80375.068742999967</v>
      </c>
      <c r="AG3174" s="165">
        <f t="shared" si="1406"/>
        <v>-109876.07511299998</v>
      </c>
      <c r="AH3174" s="165">
        <f t="shared" si="1406"/>
        <v>-100088.76949300009</v>
      </c>
      <c r="AI3174" s="165">
        <f t="shared" si="1406"/>
        <v>-106328.84453299995</v>
      </c>
      <c r="AJ3174" s="165">
        <f t="shared" si="1406"/>
        <v>-104891.60785299992</v>
      </c>
      <c r="AK3174" s="165">
        <f t="shared" si="1406"/>
        <v>-104502.99312299993</v>
      </c>
      <c r="AL3174" s="165">
        <f t="shared" si="1406"/>
        <v>-120361.76426299996</v>
      </c>
      <c r="AM3174" s="165">
        <f t="shared" si="1406"/>
        <v>-131218.4903629999</v>
      </c>
      <c r="AN3174" s="165">
        <f t="shared" si="1406"/>
        <v>-138674.29080300001</v>
      </c>
      <c r="AO3174" s="165">
        <f t="shared" si="1406"/>
        <v>-138485.94064300001</v>
      </c>
      <c r="AP3174" s="165"/>
      <c r="AQ3174" s="165"/>
      <c r="AR3174" s="165"/>
      <c r="AS3174" s="266">
        <f t="shared" ref="AS3174:CB3174" si="1407">SUMIF($L:$L,$D3174,AS:AS)+SUMIF($L:$L,$E3174,AS:AS)</f>
        <v>0</v>
      </c>
      <c r="AT3174" s="266">
        <f t="shared" si="1407"/>
        <v>0</v>
      </c>
      <c r="AU3174" s="266">
        <f t="shared" si="1407"/>
        <v>0</v>
      </c>
      <c r="AV3174" s="266">
        <f t="shared" si="1407"/>
        <v>0</v>
      </c>
      <c r="AW3174" s="266">
        <f t="shared" si="1407"/>
        <v>0</v>
      </c>
      <c r="AX3174" s="266">
        <f t="shared" si="1407"/>
        <v>0</v>
      </c>
      <c r="AY3174" s="266">
        <f t="shared" si="1407"/>
        <v>0</v>
      </c>
      <c r="AZ3174" s="266">
        <f t="shared" si="1407"/>
        <v>0</v>
      </c>
      <c r="BA3174" s="266">
        <f t="shared" si="1407"/>
        <v>0</v>
      </c>
      <c r="BB3174" s="266">
        <f t="shared" si="1407"/>
        <v>0</v>
      </c>
      <c r="BC3174" s="266">
        <f t="shared" si="1407"/>
        <v>0</v>
      </c>
      <c r="BD3174" s="266">
        <f t="shared" si="1407"/>
        <v>0</v>
      </c>
      <c r="BE3174" s="266">
        <f t="shared" si="1407"/>
        <v>0</v>
      </c>
      <c r="BF3174" s="266">
        <f t="shared" si="1407"/>
        <v>0</v>
      </c>
      <c r="BG3174" s="266">
        <f t="shared" si="1407"/>
        <v>0</v>
      </c>
      <c r="BH3174" s="266">
        <f t="shared" si="1407"/>
        <v>0</v>
      </c>
      <c r="BI3174" s="266">
        <f t="shared" si="1407"/>
        <v>0</v>
      </c>
      <c r="BJ3174" s="266">
        <f t="shared" si="1407"/>
        <v>0</v>
      </c>
      <c r="BK3174" s="266">
        <f t="shared" si="1407"/>
        <v>0</v>
      </c>
      <c r="BL3174" s="266">
        <f t="shared" si="1407"/>
        <v>0</v>
      </c>
      <c r="BM3174" s="266">
        <f t="shared" si="1407"/>
        <v>0</v>
      </c>
      <c r="BN3174" s="266">
        <f t="shared" si="1407"/>
        <v>0</v>
      </c>
      <c r="BO3174" s="266">
        <f t="shared" si="1407"/>
        <v>0</v>
      </c>
      <c r="BP3174" s="266">
        <f t="shared" si="1407"/>
        <v>0</v>
      </c>
      <c r="BQ3174" s="266">
        <f t="shared" si="1407"/>
        <v>0</v>
      </c>
      <c r="BR3174" s="266">
        <f t="shared" si="1407"/>
        <v>0</v>
      </c>
      <c r="BS3174" s="266">
        <f t="shared" si="1407"/>
        <v>0</v>
      </c>
      <c r="BT3174" s="266">
        <f t="shared" si="1407"/>
        <v>0</v>
      </c>
      <c r="BU3174" s="266">
        <f t="shared" si="1407"/>
        <v>0</v>
      </c>
      <c r="BV3174" s="266">
        <f t="shared" si="1407"/>
        <v>0</v>
      </c>
      <c r="BW3174" s="266">
        <f t="shared" si="1407"/>
        <v>0</v>
      </c>
      <c r="BX3174" s="266">
        <f t="shared" si="1407"/>
        <v>0</v>
      </c>
      <c r="BY3174" s="266">
        <f t="shared" si="1407"/>
        <v>0</v>
      </c>
      <c r="BZ3174" s="266">
        <f t="shared" si="1407"/>
        <v>0</v>
      </c>
      <c r="CA3174" s="266">
        <f t="shared" si="1407"/>
        <v>0</v>
      </c>
      <c r="CB3174" s="266">
        <f t="shared" si="1407"/>
        <v>0</v>
      </c>
      <c r="CC3174" s="266"/>
      <c r="CD3174" s="266"/>
      <c r="CE3174" s="220"/>
      <c r="CF3174" s="220"/>
      <c r="CG3174" s="220"/>
      <c r="CH3174" s="220"/>
      <c r="CI3174" s="76"/>
      <c r="CJ3174" s="76"/>
      <c r="CK3174" s="76"/>
      <c r="CL3174" s="76"/>
      <c r="CM3174" s="1033"/>
    </row>
    <row r="3175" spans="1:91" s="76" customFormat="1" ht="12.75" customHeight="1">
      <c r="A3175" s="1034"/>
      <c r="B3175" s="421"/>
      <c r="C3175" s="1021"/>
      <c r="D3175" s="1016"/>
      <c r="E3175" s="427"/>
      <c r="F3175" s="427"/>
      <c r="G3175" s="1028"/>
      <c r="H3175" s="1029"/>
      <c r="I3175" s="1030"/>
      <c r="J3175" s="1030"/>
      <c r="K3175" s="427"/>
      <c r="L3175" s="1016"/>
      <c r="M3175" s="427"/>
      <c r="N3175" s="1031"/>
      <c r="O3175" s="1031"/>
      <c r="P3175" s="1016"/>
      <c r="Q3175" s="1028"/>
      <c r="R3175" s="1032"/>
      <c r="S3175" s="1032"/>
      <c r="T3175" s="1032"/>
      <c r="U3175" s="161"/>
      <c r="V3175" s="161"/>
      <c r="W3175" s="161"/>
      <c r="X3175" s="161"/>
      <c r="Y3175" s="161"/>
      <c r="Z3175" s="161"/>
      <c r="AA3175" s="161"/>
      <c r="AB3175" s="161"/>
      <c r="AC3175" s="161"/>
      <c r="AD3175" s="161"/>
      <c r="AE3175" s="161"/>
      <c r="AF3175" s="161"/>
      <c r="AG3175" s="161"/>
      <c r="AH3175" s="161"/>
      <c r="AI3175" s="161"/>
      <c r="AJ3175" s="161"/>
      <c r="AK3175" s="161"/>
      <c r="AL3175" s="161"/>
      <c r="AM3175" s="161"/>
      <c r="AN3175" s="161"/>
      <c r="AO3175" s="161"/>
      <c r="AP3175" s="161"/>
      <c r="AQ3175" s="161"/>
      <c r="AR3175" s="161"/>
      <c r="AS3175" s="1026"/>
      <c r="AT3175" s="1026"/>
      <c r="AU3175" s="1026"/>
      <c r="AV3175" s="1026"/>
      <c r="AW3175" s="1026"/>
      <c r="AX3175" s="1026"/>
      <c r="AY3175" s="1026"/>
      <c r="AZ3175" s="1026"/>
      <c r="BA3175" s="1026"/>
      <c r="BB3175" s="1026"/>
      <c r="BC3175" s="1026"/>
      <c r="BD3175" s="1026"/>
      <c r="BE3175" s="1026"/>
      <c r="BF3175" s="1026"/>
      <c r="BG3175" s="1026"/>
      <c r="BH3175" s="1026"/>
      <c r="BI3175" s="1026"/>
      <c r="BJ3175" s="1026"/>
      <c r="BK3175" s="1026"/>
      <c r="BL3175" s="1026"/>
      <c r="BM3175" s="1026"/>
      <c r="BN3175" s="1026"/>
      <c r="BO3175" s="1026"/>
      <c r="BP3175" s="1026"/>
      <c r="BQ3175" s="1026"/>
      <c r="BR3175" s="1026"/>
      <c r="BS3175" s="1026"/>
      <c r="BT3175" s="1026"/>
      <c r="BU3175" s="1026"/>
      <c r="BV3175" s="1026"/>
      <c r="BW3175" s="1026"/>
      <c r="BX3175" s="1026"/>
      <c r="BY3175" s="1026"/>
      <c r="BZ3175" s="1026"/>
      <c r="CA3175" s="1026"/>
      <c r="CB3175" s="1026"/>
      <c r="CC3175" s="1026"/>
      <c r="CD3175" s="1026"/>
      <c r="CE3175" s="1035"/>
      <c r="CF3175" s="1035"/>
      <c r="CG3175" s="1035"/>
      <c r="CH3175" s="220"/>
      <c r="CM3175" s="1033"/>
    </row>
    <row r="3176" spans="1:91" s="41" customFormat="1">
      <c r="A3176" s="421"/>
      <c r="B3176" s="421"/>
      <c r="C3176" s="1021"/>
      <c r="D3176" s="1016"/>
      <c r="E3176" s="427"/>
      <c r="F3176" s="427"/>
      <c r="G3176" s="1028"/>
      <c r="H3176" s="1029"/>
      <c r="I3176" s="1030"/>
      <c r="J3176" s="1030"/>
      <c r="K3176" s="427"/>
      <c r="L3176" s="1016"/>
      <c r="M3176" s="427"/>
      <c r="N3176" s="1031"/>
      <c r="O3176" s="1031"/>
      <c r="P3176" s="1016"/>
      <c r="Q3176" s="1028"/>
      <c r="R3176" s="1032"/>
      <c r="S3176" s="1032"/>
      <c r="T3176" s="1032"/>
      <c r="U3176" s="165"/>
      <c r="V3176" s="165"/>
      <c r="W3176" s="165"/>
      <c r="X3176" s="165"/>
      <c r="Y3176" s="165"/>
      <c r="Z3176" s="165"/>
      <c r="AA3176" s="165"/>
      <c r="AB3176" s="165"/>
      <c r="AC3176" s="165"/>
      <c r="AD3176" s="165"/>
      <c r="AE3176" s="165"/>
      <c r="AF3176" s="165"/>
      <c r="AG3176" s="165"/>
      <c r="AH3176" s="165"/>
      <c r="AI3176" s="165"/>
      <c r="AJ3176" s="165"/>
      <c r="AK3176" s="165"/>
      <c r="AL3176" s="165"/>
      <c r="AM3176" s="165"/>
      <c r="AN3176" s="165"/>
      <c r="AO3176" s="165"/>
      <c r="AP3176" s="165"/>
      <c r="AQ3176" s="165"/>
      <c r="AR3176" s="165"/>
      <c r="AS3176" s="266"/>
      <c r="AT3176" s="266"/>
      <c r="AU3176" s="266"/>
      <c r="AV3176" s="266"/>
      <c r="AW3176" s="266"/>
      <c r="AX3176" s="266"/>
      <c r="AY3176" s="266"/>
      <c r="AZ3176" s="266"/>
      <c r="BA3176" s="266"/>
      <c r="BB3176" s="266"/>
      <c r="BC3176" s="266"/>
      <c r="BD3176" s="266"/>
      <c r="BE3176" s="266"/>
      <c r="BF3176" s="266"/>
      <c r="BG3176" s="266"/>
      <c r="BH3176" s="266"/>
      <c r="BI3176" s="266"/>
      <c r="BJ3176" s="266"/>
      <c r="BK3176" s="266"/>
      <c r="BL3176" s="266"/>
      <c r="BM3176" s="266"/>
      <c r="BN3176" s="266"/>
      <c r="BO3176" s="266"/>
      <c r="BP3176" s="266"/>
      <c r="BQ3176" s="266"/>
      <c r="BR3176" s="266"/>
      <c r="BS3176" s="266"/>
      <c r="BT3176" s="266"/>
      <c r="BU3176" s="266"/>
      <c r="BV3176" s="266"/>
      <c r="BW3176" s="266"/>
      <c r="BX3176" s="266"/>
      <c r="BY3176" s="266"/>
      <c r="BZ3176" s="266"/>
      <c r="CA3176" s="266"/>
      <c r="CB3176" s="266"/>
      <c r="CC3176" s="266"/>
      <c r="CD3176" s="266"/>
      <c r="CE3176" s="220"/>
      <c r="CF3176" s="220"/>
      <c r="CG3176" s="220"/>
      <c r="CH3176" s="220"/>
      <c r="CI3176" s="76"/>
      <c r="CJ3176" s="76"/>
      <c r="CK3176" s="76"/>
      <c r="CL3176" s="76"/>
      <c r="CM3176" s="1033"/>
    </row>
    <row r="3177" spans="1:91" s="41" customFormat="1">
      <c r="A3177" s="421"/>
      <c r="B3177" s="421"/>
      <c r="C3177" s="1021"/>
      <c r="D3177" s="1016"/>
      <c r="E3177" s="427"/>
      <c r="F3177" s="427"/>
      <c r="G3177" s="1028"/>
      <c r="H3177" s="1029"/>
      <c r="I3177" s="1030"/>
      <c r="J3177" s="1030"/>
      <c r="K3177" s="427"/>
      <c r="L3177" s="1016"/>
      <c r="M3177" s="427"/>
      <c r="N3177" s="1031"/>
      <c r="O3177" s="1031"/>
      <c r="P3177" s="1016"/>
      <c r="Q3177" s="1028"/>
      <c r="R3177" s="1032"/>
      <c r="S3177" s="1032"/>
      <c r="T3177" s="1032"/>
      <c r="U3177" s="258"/>
      <c r="V3177" s="258"/>
      <c r="W3177" s="258"/>
      <c r="X3177" s="258"/>
      <c r="Y3177" s="258"/>
      <c r="Z3177" s="258"/>
      <c r="AA3177" s="258"/>
      <c r="AB3177" s="258"/>
      <c r="AC3177" s="258"/>
      <c r="AD3177" s="258"/>
      <c r="AE3177" s="258"/>
      <c r="AF3177" s="258"/>
      <c r="AG3177" s="258"/>
      <c r="AH3177" s="258"/>
      <c r="AI3177" s="258"/>
      <c r="AJ3177" s="258"/>
      <c r="AK3177" s="258"/>
      <c r="AL3177" s="258"/>
      <c r="AM3177" s="258"/>
      <c r="AN3177" s="258"/>
      <c r="AO3177" s="258"/>
      <c r="AP3177" s="258"/>
      <c r="AQ3177" s="258"/>
      <c r="AR3177" s="258"/>
      <c r="AS3177" s="1027"/>
      <c r="AT3177" s="1027"/>
      <c r="AU3177" s="1027"/>
      <c r="AV3177" s="1027"/>
      <c r="AW3177" s="1027"/>
      <c r="AX3177" s="1027"/>
      <c r="AY3177" s="1027"/>
      <c r="AZ3177" s="1027"/>
      <c r="BA3177" s="1027"/>
      <c r="BB3177" s="1027"/>
      <c r="BC3177" s="1027"/>
      <c r="BD3177" s="1027"/>
      <c r="BE3177" s="1027"/>
      <c r="BF3177" s="1027"/>
      <c r="BG3177" s="1027"/>
      <c r="BH3177" s="1027"/>
      <c r="BI3177" s="1027"/>
      <c r="BJ3177" s="1027"/>
      <c r="BK3177" s="1027"/>
      <c r="BL3177" s="1027"/>
      <c r="BM3177" s="1027"/>
      <c r="BN3177" s="1027"/>
      <c r="BO3177" s="1027"/>
      <c r="BP3177" s="1027"/>
      <c r="BQ3177" s="1027"/>
      <c r="BR3177" s="1027"/>
      <c r="BS3177" s="1027"/>
      <c r="BT3177" s="1027"/>
      <c r="BU3177" s="1027"/>
      <c r="BV3177" s="1027"/>
      <c r="BW3177" s="1027"/>
      <c r="BX3177" s="1027"/>
      <c r="BY3177" s="1027"/>
      <c r="BZ3177" s="1027"/>
      <c r="CA3177" s="1027"/>
      <c r="CB3177" s="1027"/>
      <c r="CC3177" s="1027"/>
      <c r="CD3177" s="1027"/>
      <c r="CE3177" s="1025"/>
      <c r="CF3177" s="1025"/>
      <c r="CG3177" s="1025"/>
      <c r="CH3177" s="220"/>
      <c r="CI3177" s="76"/>
      <c r="CJ3177" s="76"/>
      <c r="CK3177" s="76"/>
      <c r="CL3177" s="76"/>
      <c r="CM3177" s="1033"/>
    </row>
    <row r="3178" spans="1:91" s="41" customFormat="1">
      <c r="A3178" s="421"/>
      <c r="B3178" s="421"/>
      <c r="C3178" s="1016"/>
      <c r="D3178" s="1016"/>
      <c r="E3178" s="427"/>
      <c r="F3178" s="1028"/>
      <c r="G3178" s="1028"/>
      <c r="H3178" s="1021"/>
      <c r="I3178" s="1028"/>
      <c r="J3178" s="427"/>
      <c r="K3178" s="427"/>
      <c r="L3178" s="1016"/>
      <c r="M3178" s="427"/>
      <c r="N3178" s="1036"/>
      <c r="O3178" s="1036"/>
      <c r="P3178" s="1016"/>
      <c r="Q3178" s="427"/>
      <c r="R3178" s="1032"/>
      <c r="S3178" s="1032"/>
      <c r="T3178" s="1032"/>
      <c r="U3178" s="76"/>
      <c r="V3178" s="76"/>
      <c r="W3178" s="76"/>
      <c r="X3178" s="76"/>
      <c r="Y3178" s="76"/>
      <c r="Z3178" s="76"/>
      <c r="AA3178" s="76"/>
      <c r="AB3178" s="76"/>
      <c r="AC3178" s="76"/>
      <c r="AD3178" s="76"/>
      <c r="AE3178" s="76"/>
      <c r="AF3178" s="76"/>
      <c r="AG3178" s="76"/>
      <c r="AH3178" s="76"/>
      <c r="AI3178" s="76"/>
      <c r="AJ3178" s="76"/>
      <c r="AK3178" s="76"/>
      <c r="AL3178" s="76"/>
      <c r="AM3178" s="76"/>
      <c r="AN3178" s="76"/>
      <c r="AO3178" s="76"/>
      <c r="AP3178" s="76"/>
      <c r="AQ3178" s="76"/>
      <c r="AR3178" s="76"/>
      <c r="AS3178" s="220"/>
      <c r="AT3178" s="220"/>
      <c r="AU3178" s="220"/>
      <c r="AV3178" s="220"/>
      <c r="AW3178" s="220"/>
      <c r="AX3178" s="220"/>
      <c r="AY3178" s="220"/>
      <c r="AZ3178" s="220"/>
      <c r="BA3178" s="220"/>
      <c r="BB3178" s="220"/>
      <c r="BC3178" s="220"/>
      <c r="BD3178" s="220"/>
      <c r="BE3178" s="220"/>
      <c r="BF3178" s="220"/>
      <c r="BG3178" s="220"/>
      <c r="BH3178" s="220"/>
      <c r="BI3178" s="220"/>
      <c r="BJ3178" s="220"/>
      <c r="BK3178" s="220"/>
      <c r="BL3178" s="220"/>
      <c r="BM3178" s="220"/>
      <c r="BN3178" s="220"/>
      <c r="BO3178" s="220"/>
      <c r="BP3178" s="220"/>
      <c r="BQ3178" s="220"/>
      <c r="BR3178" s="220"/>
      <c r="BS3178" s="220"/>
      <c r="BT3178" s="220"/>
      <c r="BU3178" s="220"/>
      <c r="BV3178" s="220"/>
      <c r="BW3178" s="220"/>
      <c r="BX3178" s="220"/>
      <c r="BY3178" s="220"/>
      <c r="BZ3178" s="220"/>
      <c r="CA3178" s="220"/>
      <c r="CB3178" s="220"/>
      <c r="CC3178" s="220"/>
      <c r="CD3178" s="220"/>
      <c r="CE3178" s="220"/>
      <c r="CF3178" s="220"/>
      <c r="CG3178" s="220"/>
      <c r="CH3178" s="220"/>
      <c r="CI3178" s="76"/>
      <c r="CJ3178" s="76"/>
      <c r="CK3178" s="76"/>
      <c r="CL3178" s="76"/>
      <c r="CM3178" s="1033"/>
    </row>
    <row r="3179" spans="1:91" s="41" customFormat="1" ht="20.25">
      <c r="A3179" s="1037"/>
      <c r="B3179" s="1037"/>
      <c r="C3179" s="1016"/>
      <c r="D3179" s="1016"/>
      <c r="E3179" s="427"/>
      <c r="F3179" s="1038"/>
      <c r="G3179" s="1038"/>
      <c r="H3179" s="1039"/>
      <c r="I3179" s="1038"/>
      <c r="J3179" s="1040"/>
      <c r="K3179" s="1040"/>
      <c r="L3179" s="1041"/>
      <c r="M3179" s="1040"/>
      <c r="N3179" s="1042"/>
      <c r="O3179" s="1042"/>
      <c r="P3179" s="1041"/>
      <c r="Q3179" s="1040"/>
      <c r="R3179" s="1043"/>
      <c r="S3179" s="1043"/>
      <c r="T3179" s="1043"/>
      <c r="U3179" s="1044"/>
      <c r="V3179" s="1044"/>
      <c r="W3179" s="1044"/>
      <c r="X3179" s="1044"/>
      <c r="Y3179" s="1044"/>
      <c r="Z3179" s="1044"/>
      <c r="AA3179" s="1044"/>
      <c r="AB3179" s="1044"/>
      <c r="AC3179" s="1044"/>
      <c r="AD3179" s="1044"/>
      <c r="AE3179" s="1044"/>
      <c r="AF3179" s="1044"/>
      <c r="AG3179" s="1044"/>
      <c r="AH3179" s="1044"/>
      <c r="AI3179" s="1044"/>
      <c r="AJ3179" s="1044"/>
      <c r="AK3179" s="1044"/>
      <c r="AL3179" s="1044"/>
      <c r="AM3179" s="1044"/>
      <c r="AN3179" s="1044"/>
      <c r="AO3179" s="1044"/>
      <c r="AP3179" s="1044"/>
      <c r="AQ3179" s="1044"/>
      <c r="AR3179" s="1044"/>
      <c r="AS3179" s="271"/>
      <c r="AT3179" s="271"/>
      <c r="AU3179" s="271"/>
      <c r="AV3179" s="271"/>
      <c r="AW3179" s="271"/>
      <c r="AX3179" s="271"/>
      <c r="AY3179" s="271"/>
      <c r="AZ3179" s="271"/>
      <c r="BA3179" s="271"/>
      <c r="BB3179" s="271"/>
      <c r="BC3179" s="271"/>
      <c r="BD3179" s="271"/>
      <c r="BE3179" s="271"/>
      <c r="BF3179" s="271"/>
      <c r="BG3179" s="271"/>
      <c r="BH3179" s="271"/>
      <c r="BI3179" s="271"/>
      <c r="BJ3179" s="271"/>
      <c r="BK3179" s="271"/>
      <c r="BL3179" s="271"/>
      <c r="BM3179" s="271"/>
      <c r="BN3179" s="271"/>
      <c r="BO3179" s="271"/>
      <c r="BP3179" s="271"/>
      <c r="BQ3179" s="271"/>
      <c r="BR3179" s="271"/>
      <c r="BS3179" s="271"/>
      <c r="BT3179" s="271"/>
      <c r="BU3179" s="271"/>
      <c r="BV3179" s="271"/>
      <c r="BW3179" s="271"/>
      <c r="BX3179" s="271"/>
      <c r="BY3179" s="271"/>
      <c r="BZ3179" s="271"/>
      <c r="CA3179" s="271"/>
      <c r="CB3179" s="271"/>
      <c r="CC3179" s="271"/>
      <c r="CD3179" s="271"/>
      <c r="CE3179" s="271"/>
      <c r="CF3179" s="271"/>
      <c r="CG3179" s="271"/>
      <c r="CH3179" s="271"/>
      <c r="CI3179" s="1044"/>
      <c r="CJ3179" s="1044"/>
      <c r="CK3179" s="1044"/>
      <c r="CL3179" s="1044"/>
      <c r="CM3179" s="1045"/>
    </row>
  </sheetData>
  <autoFilter ref="A5:CM2493"/>
  <sortState ref="C2607:C2632">
    <sortCondition ref="C2606"/>
  </sortState>
  <mergeCells count="5">
    <mergeCell ref="U1:X1"/>
    <mergeCell ref="Y1:AB1"/>
    <mergeCell ref="C1:K1"/>
    <mergeCell ref="L1:O1"/>
    <mergeCell ref="P1:T1"/>
  </mergeCells>
  <conditionalFormatting sqref="A7">
    <cfRule type="cellIs" dxfId="262" priority="294" operator="equal">
      <formula>"""GL"""</formula>
    </cfRule>
  </conditionalFormatting>
  <conditionalFormatting sqref="A7:A2493">
    <cfRule type="cellIs" dxfId="261" priority="291" stopIfTrue="1" operator="equal">
      <formula>"Def Tax"</formula>
    </cfRule>
    <cfRule type="cellIs" dxfId="260" priority="292" stopIfTrue="1" operator="equal">
      <formula>"Reg Asset"</formula>
    </cfRule>
    <cfRule type="cellIs" dxfId="259" priority="293" stopIfTrue="1" operator="equal">
      <formula>"GL"</formula>
    </cfRule>
  </conditionalFormatting>
  <conditionalFormatting sqref="H2845:H2848">
    <cfRule type="expression" dxfId="258" priority="288" stopIfTrue="1">
      <formula>H2845&lt;&gt;H1735</formula>
    </cfRule>
  </conditionalFormatting>
  <conditionalFormatting sqref="H2849">
    <cfRule type="expression" dxfId="257" priority="287" stopIfTrue="1">
      <formula>H2849&lt;&gt;H1740</formula>
    </cfRule>
  </conditionalFormatting>
  <conditionalFormatting sqref="R3079:T3093 R2998:V3078 R3095:T3177 Z2842:AB2850 W2843:AB2848 Z2852:AB2875 Z2877:Z2915 Z2917:Z2919 AA2877:AB2919 Z2920:AB3018 U3040:AB3040 U3017:AB3017 U2938:AB2938 U3030:AB3030 U3033:AB3033 AC2993:AP2995 AC2843:AO2850 V2909:CB2911 V3001:AO3078 V2921:AO2982 U2954:AB2954 U2957:AB2957 U3044:AB3044 U3049:AB3049 AC2916:AO2917 N3060:O3093 M2998:O3055 P2998:Q3018 N3141:O3179 N3095:O3139 P2975:AB2975 M2842:V2850 M2852:V2875 M2877:V2997 M2939:AB2939 M2941:AB2941">
    <cfRule type="cellIs" dxfId="256" priority="286" stopIfTrue="1" operator="equal">
      <formula>"NO ALLOC"</formula>
    </cfRule>
  </conditionalFormatting>
  <conditionalFormatting sqref="N3095:O3177 N2842:O2850 N2852:O2875 N2877:O2915 N2917:O3093">
    <cfRule type="cellIs" dxfId="255" priority="285" stopIfTrue="1" operator="equal">
      <formula>"NO CAT"</formula>
    </cfRule>
  </conditionalFormatting>
  <conditionalFormatting sqref="H3055 H3137 H2850 H2885">
    <cfRule type="expression" dxfId="254" priority="284" stopIfTrue="1">
      <formula>H2850&lt;&gt;#REF!</formula>
    </cfRule>
  </conditionalFormatting>
  <conditionalFormatting sqref="H2842">
    <cfRule type="expression" dxfId="253" priority="283" stopIfTrue="1">
      <formula>H2842&lt;&gt;H1731</formula>
    </cfRule>
  </conditionalFormatting>
  <conditionalFormatting sqref="H2843">
    <cfRule type="expression" dxfId="252" priority="282" stopIfTrue="1">
      <formula>H2843&lt;&gt;H1976</formula>
    </cfRule>
  </conditionalFormatting>
  <conditionalFormatting sqref="J2849:J2850">
    <cfRule type="expression" dxfId="251" priority="281" stopIfTrue="1">
      <formula>J2849&lt;&gt;J1600</formula>
    </cfRule>
  </conditionalFormatting>
  <conditionalFormatting sqref="J2848 J2844 J2862:J2863 J2873:J2874">
    <cfRule type="expression" dxfId="250" priority="280" stopIfTrue="1">
      <formula>J2844&lt;&gt;#REF!</formula>
    </cfRule>
  </conditionalFormatting>
  <conditionalFormatting sqref="J3046:J3049">
    <cfRule type="expression" dxfId="249" priority="278" stopIfTrue="1">
      <formula>J3046&lt;&gt;J1804</formula>
    </cfRule>
  </conditionalFormatting>
  <conditionalFormatting sqref="J3050:J3054">
    <cfRule type="expression" dxfId="248" priority="277" stopIfTrue="1">
      <formula>J3050&lt;&gt;J1807</formula>
    </cfRule>
  </conditionalFormatting>
  <conditionalFormatting sqref="J2875">
    <cfRule type="expression" dxfId="247" priority="267" stopIfTrue="1">
      <formula>J2875&lt;&gt;J1621</formula>
    </cfRule>
  </conditionalFormatting>
  <conditionalFormatting sqref="J2872 J2864:J2870">
    <cfRule type="expression" dxfId="246" priority="266" stopIfTrue="1">
      <formula>J2864&lt;&gt;J1612</formula>
    </cfRule>
  </conditionalFormatting>
  <conditionalFormatting sqref="H2990:H2991">
    <cfRule type="expression" dxfId="245" priority="265" stopIfTrue="1">
      <formula>H2990&lt;&gt;H1735</formula>
    </cfRule>
  </conditionalFormatting>
  <conditionalFormatting sqref="H2867:H2875 H2915 H2939">
    <cfRule type="expression" dxfId="244" priority="264" stopIfTrue="1">
      <formula>H2867&lt;&gt;H1739</formula>
    </cfRule>
  </conditionalFormatting>
  <conditionalFormatting sqref="H2856:H2857 H2859 H2852 H2861">
    <cfRule type="expression" dxfId="243" priority="263" stopIfTrue="1">
      <formula>H2852&lt;&gt;H1756</formula>
    </cfRule>
  </conditionalFormatting>
  <conditionalFormatting sqref="H2865:H2866">
    <cfRule type="expression" dxfId="242" priority="262" stopIfTrue="1">
      <formula>H2865&lt;&gt;H1740</formula>
    </cfRule>
  </conditionalFormatting>
  <conditionalFormatting sqref="H2858">
    <cfRule type="expression" dxfId="241" priority="261" stopIfTrue="1">
      <formula>H2858&lt;&gt;H1995</formula>
    </cfRule>
  </conditionalFormatting>
  <conditionalFormatting sqref="H2860">
    <cfRule type="expression" dxfId="240" priority="260" stopIfTrue="1">
      <formula>H2860&lt;&gt;H1784</formula>
    </cfRule>
  </conditionalFormatting>
  <conditionalFormatting sqref="H2862">
    <cfRule type="expression" dxfId="239" priority="259" stopIfTrue="1">
      <formula>H2862&lt;&gt;H1773</formula>
    </cfRule>
  </conditionalFormatting>
  <conditionalFormatting sqref="A2852:A2875 A2877:A3054">
    <cfRule type="cellIs" dxfId="238" priority="255" stopIfTrue="1" operator="equal">
      <formula>"Def Tax"</formula>
    </cfRule>
  </conditionalFormatting>
  <conditionalFormatting sqref="J2871">
    <cfRule type="expression" dxfId="237" priority="254" stopIfTrue="1">
      <formula>J2871&lt;&gt;J1391</formula>
    </cfRule>
  </conditionalFormatting>
  <conditionalFormatting sqref="H2863:H2864">
    <cfRule type="expression" dxfId="236" priority="253" stopIfTrue="1">
      <formula>H2863&lt;&gt;H1739</formula>
    </cfRule>
  </conditionalFormatting>
  <conditionalFormatting sqref="H2903">
    <cfRule type="expression" dxfId="235" priority="252" stopIfTrue="1">
      <formula>H2903&lt;&gt;H1821</formula>
    </cfRule>
  </conditionalFormatting>
  <conditionalFormatting sqref="J2857">
    <cfRule type="expression" dxfId="234" priority="251" stopIfTrue="1">
      <formula>J2857&lt;&gt;#REF!</formula>
    </cfRule>
  </conditionalFormatting>
  <conditionalFormatting sqref="J2852:J2856">
    <cfRule type="expression" dxfId="233" priority="250" stopIfTrue="1">
      <formula>J2852&lt;&gt;J1603</formula>
    </cfRule>
  </conditionalFormatting>
  <conditionalFormatting sqref="H2855">
    <cfRule type="expression" dxfId="232" priority="248" stopIfTrue="1">
      <formula>H2855&lt;&gt;H1760</formula>
    </cfRule>
  </conditionalFormatting>
  <conditionalFormatting sqref="H2854">
    <cfRule type="expression" dxfId="231" priority="245" stopIfTrue="1">
      <formula>H2854&lt;&gt;H1746</formula>
    </cfRule>
  </conditionalFormatting>
  <conditionalFormatting sqref="J2854 J2842:J2843">
    <cfRule type="expression" dxfId="230" priority="244" stopIfTrue="1">
      <formula>J2842&lt;&gt;J1596</formula>
    </cfRule>
  </conditionalFormatting>
  <conditionalFormatting sqref="J2891">
    <cfRule type="expression" dxfId="229" priority="243" stopIfTrue="1">
      <formula>J2891&lt;&gt;J1635</formula>
    </cfRule>
  </conditionalFormatting>
  <conditionalFormatting sqref="J2889:J2890">
    <cfRule type="expression" dxfId="228" priority="242" stopIfTrue="1">
      <formula>J2889&lt;&gt;J1631</formula>
    </cfRule>
  </conditionalFormatting>
  <conditionalFormatting sqref="H3018">
    <cfRule type="expression" dxfId="227" priority="241" stopIfTrue="1">
      <formula>H3018&lt;&gt;H1760</formula>
    </cfRule>
  </conditionalFormatting>
  <conditionalFormatting sqref="H3016:H3017 J2884:J2887">
    <cfRule type="expression" dxfId="226" priority="240" stopIfTrue="1">
      <formula>H2884&lt;&gt;H1627</formula>
    </cfRule>
  </conditionalFormatting>
  <conditionalFormatting sqref="J2877:J2879">
    <cfRule type="expression" dxfId="225" priority="239" stopIfTrue="1">
      <formula>J2877&lt;&gt;J1623</formula>
    </cfRule>
  </conditionalFormatting>
  <conditionalFormatting sqref="H2890:H2893">
    <cfRule type="expression" dxfId="224" priority="238" stopIfTrue="1">
      <formula>H2890&lt;&gt;H1816</formula>
    </cfRule>
  </conditionalFormatting>
  <conditionalFormatting sqref="H2878:H2883">
    <cfRule type="expression" dxfId="223" priority="237" stopIfTrue="1">
      <formula>H2878&lt;&gt;H1750</formula>
    </cfRule>
  </conditionalFormatting>
  <conditionalFormatting sqref="H2895:H2899">
    <cfRule type="expression" dxfId="222" priority="236" stopIfTrue="1">
      <formula>H2895&lt;&gt;H1818</formula>
    </cfRule>
  </conditionalFormatting>
  <conditionalFormatting sqref="J2892">
    <cfRule type="expression" dxfId="221" priority="230" stopIfTrue="1">
      <formula>J2892&lt;&gt;J1420</formula>
    </cfRule>
  </conditionalFormatting>
  <conditionalFormatting sqref="H2884">
    <cfRule type="expression" dxfId="220" priority="229" stopIfTrue="1">
      <formula>H2884&lt;&gt;H1759</formula>
    </cfRule>
  </conditionalFormatting>
  <conditionalFormatting sqref="H2886:H2889">
    <cfRule type="expression" dxfId="219" priority="228" stopIfTrue="1">
      <formula>H2886&lt;&gt;H1801</formula>
    </cfRule>
  </conditionalFormatting>
  <conditionalFormatting sqref="H2894">
    <cfRule type="expression" dxfId="218" priority="227" stopIfTrue="1">
      <formula>H2894&lt;&gt;H1818</formula>
    </cfRule>
  </conditionalFormatting>
  <conditionalFormatting sqref="H2877">
    <cfRule type="expression" dxfId="217" priority="226" stopIfTrue="1">
      <formula>H2877&lt;&gt;H2016</formula>
    </cfRule>
  </conditionalFormatting>
  <conditionalFormatting sqref="J2880 J2888 J2882:J2883">
    <cfRule type="expression" dxfId="216" priority="225" stopIfTrue="1">
      <formula>J2880&lt;&gt;#REF!</formula>
    </cfRule>
  </conditionalFormatting>
  <conditionalFormatting sqref="J2904:J2905">
    <cfRule type="expression" dxfId="215" priority="222" stopIfTrue="1">
      <formula>J2904&lt;&gt;J1646</formula>
    </cfRule>
  </conditionalFormatting>
  <conditionalFormatting sqref="J2881">
    <cfRule type="expression" dxfId="214" priority="221" stopIfTrue="1">
      <formula>J2881&lt;&gt;J1626</formula>
    </cfRule>
  </conditionalFormatting>
  <conditionalFormatting sqref="J2900">
    <cfRule type="expression" dxfId="213" priority="220" stopIfTrue="1">
      <formula>J2900&lt;&gt;J1643</formula>
    </cfRule>
  </conditionalFormatting>
  <conditionalFormatting sqref="H2909:H2914">
    <cfRule type="expression" dxfId="212" priority="219" stopIfTrue="1">
      <formula>H2909&lt;&gt;H1755</formula>
    </cfRule>
  </conditionalFormatting>
  <conditionalFormatting sqref="H2916">
    <cfRule type="expression" dxfId="211" priority="218" stopIfTrue="1">
      <formula>H2916&lt;&gt;H1798</formula>
    </cfRule>
  </conditionalFormatting>
  <conditionalFormatting sqref="H2942:H2949">
    <cfRule type="expression" dxfId="210" priority="217" stopIfTrue="1">
      <formula>H2942&lt;&gt;H1816</formula>
    </cfRule>
  </conditionalFormatting>
  <conditionalFormatting sqref="H2919:H2927">
    <cfRule type="expression" dxfId="209" priority="216" stopIfTrue="1">
      <formula>H2919&lt;&gt;H1794</formula>
    </cfRule>
  </conditionalFormatting>
  <conditionalFormatting sqref="H2908">
    <cfRule type="expression" dxfId="208" priority="215" stopIfTrue="1">
      <formula>H2908&lt;&gt;H1834</formula>
    </cfRule>
  </conditionalFormatting>
  <conditionalFormatting sqref="H2906">
    <cfRule type="expression" dxfId="207" priority="213" stopIfTrue="1">
      <formula>H2906&lt;&gt;H1832</formula>
    </cfRule>
  </conditionalFormatting>
  <conditionalFormatting sqref="J2913">
    <cfRule type="expression" dxfId="206" priority="209" stopIfTrue="1">
      <formula>J2913&lt;&gt;#REF!</formula>
    </cfRule>
  </conditionalFormatting>
  <conditionalFormatting sqref="J2907:J2911">
    <cfRule type="expression" dxfId="205" priority="207" stopIfTrue="1">
      <formula>J2907&lt;&gt;J1648</formula>
    </cfRule>
  </conditionalFormatting>
  <conditionalFormatting sqref="J3073">
    <cfRule type="expression" dxfId="204" priority="206" stopIfTrue="1">
      <formula>J3073&lt;&gt;J1817</formula>
    </cfRule>
  </conditionalFormatting>
  <conditionalFormatting sqref="J2906 H2983 H2987 H2985">
    <cfRule type="expression" dxfId="203" priority="205" stopIfTrue="1">
      <formula>H2906&lt;&gt;#REF!</formula>
    </cfRule>
  </conditionalFormatting>
  <conditionalFormatting sqref="H2907">
    <cfRule type="expression" dxfId="202" priority="204" stopIfTrue="1">
      <formula>H2907&lt;&gt;H1825</formula>
    </cfRule>
  </conditionalFormatting>
  <conditionalFormatting sqref="H2902">
    <cfRule type="expression" dxfId="201" priority="299" stopIfTrue="1">
      <formula>H2902&lt;&gt;H1821</formula>
    </cfRule>
  </conditionalFormatting>
  <conditionalFormatting sqref="H2901 H2904:H2905">
    <cfRule type="expression" dxfId="200" priority="305" stopIfTrue="1">
      <formula>H2901&lt;&gt;H1821</formula>
    </cfRule>
  </conditionalFormatting>
  <conditionalFormatting sqref="J2901">
    <cfRule type="expression" dxfId="199" priority="306" stopIfTrue="1">
      <formula>J2901&lt;&gt;J1642</formula>
    </cfRule>
  </conditionalFormatting>
  <conditionalFormatting sqref="H2900">
    <cfRule type="expression" dxfId="198" priority="310" stopIfTrue="1">
      <formula>H2900&lt;&gt;H1822</formula>
    </cfRule>
  </conditionalFormatting>
  <conditionalFormatting sqref="J2900">
    <cfRule type="expression" dxfId="197" priority="202" stopIfTrue="1">
      <formula>J2900&lt;&gt;J1642</formula>
    </cfRule>
  </conditionalFormatting>
  <conditionalFormatting sqref="J2899">
    <cfRule type="expression" dxfId="196" priority="201" stopIfTrue="1">
      <formula>J2899&lt;&gt;J1642</formula>
    </cfRule>
  </conditionalFormatting>
  <conditionalFormatting sqref="J2893:J2899">
    <cfRule type="expression" dxfId="195" priority="200" stopIfTrue="1">
      <formula>J2893&lt;&gt;J1637</formula>
    </cfRule>
  </conditionalFormatting>
  <conditionalFormatting sqref="H2898">
    <cfRule type="expression" dxfId="194" priority="199" stopIfTrue="1">
      <formula>H2898&lt;&gt;H1821</formula>
    </cfRule>
  </conditionalFormatting>
  <conditionalFormatting sqref="H2901">
    <cfRule type="expression" dxfId="193" priority="198" stopIfTrue="1">
      <formula>H2901&lt;&gt;H1821</formula>
    </cfRule>
  </conditionalFormatting>
  <conditionalFormatting sqref="H2900">
    <cfRule type="expression" dxfId="192" priority="193" stopIfTrue="1">
      <formula>H2900&lt;&gt;H1821</formula>
    </cfRule>
  </conditionalFormatting>
  <conditionalFormatting sqref="H2899">
    <cfRule type="expression" dxfId="191" priority="192" stopIfTrue="1">
      <formula>H2899&lt;&gt;H1821</formula>
    </cfRule>
  </conditionalFormatting>
  <conditionalFormatting sqref="J2901">
    <cfRule type="expression" dxfId="190" priority="191" stopIfTrue="1">
      <formula>J2901&lt;&gt;J1642</formula>
    </cfRule>
  </conditionalFormatting>
  <conditionalFormatting sqref="J2972:J2975">
    <cfRule type="expression" dxfId="189" priority="189" stopIfTrue="1">
      <formula>J2972&lt;&gt;J1677</formula>
    </cfRule>
  </conditionalFormatting>
  <conditionalFormatting sqref="J2964:J2971">
    <cfRule type="expression" dxfId="188" priority="188" stopIfTrue="1">
      <formula>J2964&lt;&gt;J1670</formula>
    </cfRule>
  </conditionalFormatting>
  <conditionalFormatting sqref="J2961:J2963">
    <cfRule type="expression" dxfId="187" priority="187" stopIfTrue="1">
      <formula>J2961&lt;&gt;J1668</formula>
    </cfRule>
  </conditionalFormatting>
  <conditionalFormatting sqref="H2992 H3020">
    <cfRule type="expression" dxfId="186" priority="185" stopIfTrue="1">
      <formula>H2992&lt;&gt;H1730</formula>
    </cfRule>
  </conditionalFormatting>
  <conditionalFormatting sqref="H2981:H2982">
    <cfRule type="expression" dxfId="185" priority="184" stopIfTrue="1">
      <formula>H2981&lt;&gt;H1728</formula>
    </cfRule>
  </conditionalFormatting>
  <conditionalFormatting sqref="H2986">
    <cfRule type="expression" dxfId="184" priority="183" stopIfTrue="1">
      <formula>H2986&lt;&gt;H1731</formula>
    </cfRule>
  </conditionalFormatting>
  <conditionalFormatting sqref="J2858:J2861">
    <cfRule type="expression" dxfId="183" priority="181" stopIfTrue="1">
      <formula>J2858&lt;&gt;J1608</formula>
    </cfRule>
  </conditionalFormatting>
  <conditionalFormatting sqref="H2966">
    <cfRule type="expression" dxfId="182" priority="179" stopIfTrue="1">
      <formula>H2966&lt;&gt;H1850</formula>
    </cfRule>
  </conditionalFormatting>
  <conditionalFormatting sqref="H2959">
    <cfRule type="expression" dxfId="181" priority="178" stopIfTrue="1">
      <formula>H2959&lt;&gt;H1899</formula>
    </cfRule>
  </conditionalFormatting>
  <conditionalFormatting sqref="H2972">
    <cfRule type="expression" dxfId="180" priority="177" stopIfTrue="1">
      <formula>H2972&lt;&gt;H1863</formula>
    </cfRule>
  </conditionalFormatting>
  <conditionalFormatting sqref="H2928:H2938">
    <cfRule type="expression" dxfId="179" priority="176" stopIfTrue="1">
      <formula>H2928&lt;&gt;H1801</formula>
    </cfRule>
  </conditionalFormatting>
  <conditionalFormatting sqref="H2970">
    <cfRule type="expression" dxfId="178" priority="175" stopIfTrue="1">
      <formula>H2970&lt;&gt;H1861</formula>
    </cfRule>
  </conditionalFormatting>
  <conditionalFormatting sqref="H2960">
    <cfRule type="expression" dxfId="177" priority="174" stopIfTrue="1">
      <formula>H2960&lt;&gt;H1820</formula>
    </cfRule>
  </conditionalFormatting>
  <conditionalFormatting sqref="H2965">
    <cfRule type="expression" dxfId="176" priority="173" stopIfTrue="1">
      <formula>H2965&lt;&gt;H1850</formula>
    </cfRule>
  </conditionalFormatting>
  <conditionalFormatting sqref="H2961:H2962">
    <cfRule type="expression" dxfId="175" priority="172" stopIfTrue="1">
      <formula>H2961&lt;&gt;H1844</formula>
    </cfRule>
  </conditionalFormatting>
  <conditionalFormatting sqref="H2967">
    <cfRule type="expression" dxfId="174" priority="171" stopIfTrue="1">
      <formula>H2967&lt;&gt;H1844</formula>
    </cfRule>
  </conditionalFormatting>
  <conditionalFormatting sqref="J2987">
    <cfRule type="expression" dxfId="173" priority="166" stopIfTrue="1">
      <formula>J2987&lt;&gt;#REF!</formula>
    </cfRule>
  </conditionalFormatting>
  <conditionalFormatting sqref="J2988:J2997">
    <cfRule type="expression" dxfId="172" priority="165" stopIfTrue="1">
      <formula>J2988&lt;&gt;J1684</formula>
    </cfRule>
  </conditionalFormatting>
  <conditionalFormatting sqref="J2983:J2986">
    <cfRule type="expression" dxfId="171" priority="164" stopIfTrue="1">
      <formula>J2983&lt;&gt;J1680</formula>
    </cfRule>
  </conditionalFormatting>
  <conditionalFormatting sqref="J2960">
    <cfRule type="expression" dxfId="170" priority="163" stopIfTrue="1">
      <formula>J2960&lt;&gt;J1665</formula>
    </cfRule>
  </conditionalFormatting>
  <conditionalFormatting sqref="J2955:J2957">
    <cfRule type="expression" dxfId="169" priority="162" stopIfTrue="1">
      <formula>J2955&lt;&gt;J1663</formula>
    </cfRule>
  </conditionalFormatting>
  <conditionalFormatting sqref="J2981:J2982">
    <cfRule type="expression" dxfId="168" priority="161" stopIfTrue="1">
      <formula>J2981&lt;&gt;J1679</formula>
    </cfRule>
  </conditionalFormatting>
  <conditionalFormatting sqref="H2963:H2964">
    <cfRule type="expression" dxfId="167" priority="160" stopIfTrue="1">
      <formula>H2963&lt;&gt;H1849</formula>
    </cfRule>
  </conditionalFormatting>
  <conditionalFormatting sqref="J2976:J2979">
    <cfRule type="expression" dxfId="166" priority="159" stopIfTrue="1">
      <formula>J2976&lt;&gt;J1677</formula>
    </cfRule>
  </conditionalFormatting>
  <conditionalFormatting sqref="J2958:J2959">
    <cfRule type="expression" dxfId="165" priority="158" stopIfTrue="1">
      <formula>J2958&lt;&gt;J1664</formula>
    </cfRule>
  </conditionalFormatting>
  <conditionalFormatting sqref="H2952">
    <cfRule type="expression" dxfId="164" priority="157" stopIfTrue="1">
      <formula>H2952&lt;&gt;H1799</formula>
    </cfRule>
  </conditionalFormatting>
  <conditionalFormatting sqref="H2953:H2954">
    <cfRule type="expression" dxfId="163" priority="156" stopIfTrue="1">
      <formula>H2953&lt;&gt;H2076</formula>
    </cfRule>
  </conditionalFormatting>
  <conditionalFormatting sqref="H2997">
    <cfRule type="expression" dxfId="162" priority="155" stopIfTrue="1">
      <formula>H2997&lt;&gt;#REF!</formula>
    </cfRule>
  </conditionalFormatting>
  <conditionalFormatting sqref="J3055">
    <cfRule type="expression" dxfId="161" priority="154" stopIfTrue="1">
      <formula>J3055&lt;&gt;J1797</formula>
    </cfRule>
  </conditionalFormatting>
  <conditionalFormatting sqref="H2969">
    <cfRule type="expression" dxfId="160" priority="151" stopIfTrue="1">
      <formula>H2969&lt;&gt;H1846</formula>
    </cfRule>
  </conditionalFormatting>
  <conditionalFormatting sqref="J2917:J2927 J2903 H3019 J2914:J2915">
    <cfRule type="expression" dxfId="159" priority="149" stopIfTrue="1">
      <formula>H2903&lt;&gt;H1642</formula>
    </cfRule>
  </conditionalFormatting>
  <conditionalFormatting sqref="H2968">
    <cfRule type="expression" dxfId="158" priority="148" stopIfTrue="1">
      <formula>H2968&lt;&gt;H2090</formula>
    </cfRule>
  </conditionalFormatting>
  <conditionalFormatting sqref="J3071:J3072">
    <cfRule type="expression" dxfId="157" priority="147" stopIfTrue="1">
      <formula>J3071&lt;&gt;J1816</formula>
    </cfRule>
  </conditionalFormatting>
  <conditionalFormatting sqref="H2984">
    <cfRule type="expression" dxfId="156" priority="146" stopIfTrue="1">
      <formula>H2984&lt;&gt;H1730</formula>
    </cfRule>
  </conditionalFormatting>
  <conditionalFormatting sqref="J3095">
    <cfRule type="expression" dxfId="155" priority="145" stopIfTrue="1">
      <formula>J3095&lt;&gt;J1858</formula>
    </cfRule>
  </conditionalFormatting>
  <conditionalFormatting sqref="H2958 H3003 J3003">
    <cfRule type="expression" dxfId="154" priority="144" stopIfTrue="1">
      <formula>H2958&lt;&gt;#REF!</formula>
    </cfRule>
  </conditionalFormatting>
  <conditionalFormatting sqref="H2973:H2975">
    <cfRule type="expression" dxfId="153" priority="143" stopIfTrue="1">
      <formula>H2973&lt;&gt;H1848</formula>
    </cfRule>
  </conditionalFormatting>
  <conditionalFormatting sqref="J2952:J2954">
    <cfRule type="expression" dxfId="152" priority="312" stopIfTrue="1">
      <formula>J2952&lt;&gt;J1662</formula>
    </cfRule>
  </conditionalFormatting>
  <conditionalFormatting sqref="J3059:J3060">
    <cfRule type="expression" dxfId="151" priority="314" stopIfTrue="1">
      <formula>J3059&lt;&gt;J1800</formula>
    </cfRule>
  </conditionalFormatting>
  <conditionalFormatting sqref="J3075">
    <cfRule type="expression" dxfId="150" priority="318" stopIfTrue="1">
      <formula>J3075&lt;&gt;J1817</formula>
    </cfRule>
  </conditionalFormatting>
  <conditionalFormatting sqref="J3074">
    <cfRule type="expression" dxfId="149" priority="142" stopIfTrue="1">
      <formula>J3074&lt;&gt;J1817</formula>
    </cfRule>
  </conditionalFormatting>
  <conditionalFormatting sqref="J2928:J2938 H3021 H2993">
    <cfRule type="expression" dxfId="148" priority="141" stopIfTrue="1">
      <formula>H2928&lt;&gt;H1665</formula>
    </cfRule>
  </conditionalFormatting>
  <conditionalFormatting sqref="J3076:J3077">
    <cfRule type="expression" dxfId="147" priority="140" stopIfTrue="1">
      <formula>J3076&lt;&gt;J1817</formula>
    </cfRule>
  </conditionalFormatting>
  <conditionalFormatting sqref="J2902 J2912">
    <cfRule type="expression" dxfId="146" priority="139" stopIfTrue="1">
      <formula>J2902&lt;&gt;J1642</formula>
    </cfRule>
  </conditionalFormatting>
  <conditionalFormatting sqref="H3023 H2995:H2996">
    <cfRule type="expression" dxfId="145" priority="136" stopIfTrue="1">
      <formula>H2995&lt;&gt;H1730</formula>
    </cfRule>
  </conditionalFormatting>
  <conditionalFormatting sqref="H3011:H3012">
    <cfRule type="expression" dxfId="144" priority="132" stopIfTrue="1">
      <formula>H3011&lt;&gt;H1759</formula>
    </cfRule>
  </conditionalFormatting>
  <conditionalFormatting sqref="H3006:H3007 H2978:H2979">
    <cfRule type="expression" dxfId="143" priority="131" stopIfTrue="1">
      <formula>H2978&lt;&gt;H1730</formula>
    </cfRule>
  </conditionalFormatting>
  <conditionalFormatting sqref="J3041:J3042">
    <cfRule type="expression" dxfId="142" priority="130" stopIfTrue="1">
      <formula>J3041&lt;&gt;J1802</formula>
    </cfRule>
  </conditionalFormatting>
  <conditionalFormatting sqref="H3000">
    <cfRule type="expression" dxfId="141" priority="129" stopIfTrue="1">
      <formula>H3000&lt;&gt;H1758</formula>
    </cfRule>
  </conditionalFormatting>
  <conditionalFormatting sqref="J3062:J3066">
    <cfRule type="expression" dxfId="140" priority="128" stopIfTrue="1">
      <formula>J3062&lt;&gt;J1802</formula>
    </cfRule>
  </conditionalFormatting>
  <conditionalFormatting sqref="J3026:J3030">
    <cfRule type="expression" dxfId="139" priority="127" stopIfTrue="1">
      <formula>J3026&lt;&gt;J1796</formula>
    </cfRule>
  </conditionalFormatting>
  <conditionalFormatting sqref="J3057:J3058">
    <cfRule type="expression" dxfId="138" priority="126" stopIfTrue="1">
      <formula>J3057&lt;&gt;J1799</formula>
    </cfRule>
  </conditionalFormatting>
  <conditionalFormatting sqref="H3043:H3044">
    <cfRule type="expression" dxfId="137" priority="120" stopIfTrue="1">
      <formula>H3043&lt;&gt;H1773</formula>
    </cfRule>
  </conditionalFormatting>
  <conditionalFormatting sqref="H3046:H3049">
    <cfRule type="expression" dxfId="136" priority="119" stopIfTrue="1">
      <formula>H3046&lt;&gt;H1774</formula>
    </cfRule>
  </conditionalFormatting>
  <conditionalFormatting sqref="J3013:J3015">
    <cfRule type="expression" dxfId="135" priority="118" stopIfTrue="1">
      <formula>J3013&lt;&gt;J1778</formula>
    </cfRule>
  </conditionalFormatting>
  <conditionalFormatting sqref="H3022 H2994">
    <cfRule type="expression" dxfId="134" priority="117" stopIfTrue="1">
      <formula>H2994&lt;&gt;H1730</formula>
    </cfRule>
  </conditionalFormatting>
  <conditionalFormatting sqref="J3008">
    <cfRule type="expression" dxfId="133" priority="116" stopIfTrue="1">
      <formula>J3008&lt;&gt;J1735</formula>
    </cfRule>
  </conditionalFormatting>
  <conditionalFormatting sqref="J3021:J3024">
    <cfRule type="expression" dxfId="132" priority="115" stopIfTrue="1">
      <formula>J3021&lt;&gt;J1793</formula>
    </cfRule>
  </conditionalFormatting>
  <conditionalFormatting sqref="J3034:J3038">
    <cfRule type="expression" dxfId="131" priority="114" stopIfTrue="1">
      <formula>J3034&lt;&gt;J1802</formula>
    </cfRule>
  </conditionalFormatting>
  <conditionalFormatting sqref="J3016:J3019">
    <cfRule type="expression" dxfId="130" priority="113" stopIfTrue="1">
      <formula>J3016&lt;&gt;J1780</formula>
    </cfRule>
  </conditionalFormatting>
  <conditionalFormatting sqref="J3025 J3031:J3033">
    <cfRule type="expression" dxfId="129" priority="112" stopIfTrue="1">
      <formula>J3025&lt;&gt;J1794</formula>
    </cfRule>
  </conditionalFormatting>
  <conditionalFormatting sqref="J3056">
    <cfRule type="expression" dxfId="128" priority="111" stopIfTrue="1">
      <formula>J3056&lt;&gt;J1797</formula>
    </cfRule>
  </conditionalFormatting>
  <conditionalFormatting sqref="J2950:J2951 H3024">
    <cfRule type="expression" dxfId="127" priority="110" stopIfTrue="1">
      <formula>H2950&lt;&gt;H1684</formula>
    </cfRule>
  </conditionalFormatting>
  <conditionalFormatting sqref="H3035:H3038">
    <cfRule type="expression" dxfId="126" priority="109" stopIfTrue="1">
      <formula>H3035&lt;&gt;H1773</formula>
    </cfRule>
  </conditionalFormatting>
  <conditionalFormatting sqref="J3067:J3070">
    <cfRule type="expression" dxfId="125" priority="107" stopIfTrue="1">
      <formula>J3067&lt;&gt;J1805</formula>
    </cfRule>
  </conditionalFormatting>
  <conditionalFormatting sqref="J3061">
    <cfRule type="expression" dxfId="124" priority="106" stopIfTrue="1">
      <formula>J3061&lt;&gt;J1800</formula>
    </cfRule>
  </conditionalFormatting>
  <conditionalFormatting sqref="H3015">
    <cfRule type="expression" dxfId="123" priority="105" stopIfTrue="1">
      <formula>H3015&lt;&gt;#REF!</formula>
    </cfRule>
  </conditionalFormatting>
  <conditionalFormatting sqref="H3008:H3009">
    <cfRule type="expression" dxfId="122" priority="104" stopIfTrue="1">
      <formula>H3008&lt;&gt;H1758</formula>
    </cfRule>
  </conditionalFormatting>
  <conditionalFormatting sqref="H3010">
    <cfRule type="expression" dxfId="121" priority="103" stopIfTrue="1">
      <formula>H3010&lt;&gt;#REF!</formula>
    </cfRule>
  </conditionalFormatting>
  <conditionalFormatting sqref="H3001:H3002">
    <cfRule type="expression" dxfId="120" priority="102" stopIfTrue="1">
      <formula>H3001&lt;&gt;H1758</formula>
    </cfRule>
  </conditionalFormatting>
  <conditionalFormatting sqref="H3093">
    <cfRule type="expression" dxfId="119" priority="99" stopIfTrue="1">
      <formula>H3093&lt;&gt;H1608</formula>
    </cfRule>
  </conditionalFormatting>
  <conditionalFormatting sqref="H3092 H3061 H3067">
    <cfRule type="expression" dxfId="118" priority="98" stopIfTrue="1">
      <formula>H3061&lt;&gt;#REF!</formula>
    </cfRule>
  </conditionalFormatting>
  <conditionalFormatting sqref="H3060">
    <cfRule type="expression" dxfId="117" priority="97" stopIfTrue="1">
      <formula>H3060&lt;&gt;H1584</formula>
    </cfRule>
  </conditionalFormatting>
  <conditionalFormatting sqref="H3062:H3066">
    <cfRule type="expression" dxfId="116" priority="96" stopIfTrue="1">
      <formula>H3062&lt;&gt;H1585</formula>
    </cfRule>
  </conditionalFormatting>
  <conditionalFormatting sqref="H3013:H3014">
    <cfRule type="expression" dxfId="115" priority="92" stopIfTrue="1">
      <formula>H3013&lt;&gt;H1758</formula>
    </cfRule>
  </conditionalFormatting>
  <conditionalFormatting sqref="J3085">
    <cfRule type="expression" dxfId="114" priority="327" stopIfTrue="1">
      <formula>J3085&lt;&gt;J1822</formula>
    </cfRule>
  </conditionalFormatting>
  <conditionalFormatting sqref="H3078:H3091">
    <cfRule type="expression" dxfId="113" priority="336" stopIfTrue="1">
      <formula>H3078&lt;&gt;H1594</formula>
    </cfRule>
  </conditionalFormatting>
  <conditionalFormatting sqref="H3076:H3077">
    <cfRule type="expression" dxfId="112" priority="341" stopIfTrue="1">
      <formula>H3076&lt;&gt;H1594</formula>
    </cfRule>
  </conditionalFormatting>
  <conditionalFormatting sqref="H3075">
    <cfRule type="expression" dxfId="111" priority="346" stopIfTrue="1">
      <formula>H3075&lt;&gt;H1594</formula>
    </cfRule>
  </conditionalFormatting>
  <conditionalFormatting sqref="H3074">
    <cfRule type="expression" dxfId="110" priority="351" stopIfTrue="1">
      <formula>H3074&lt;&gt;H1594</formula>
    </cfRule>
  </conditionalFormatting>
  <conditionalFormatting sqref="H3073">
    <cfRule type="expression" dxfId="109" priority="356" stopIfTrue="1">
      <formula>H3073&lt;&gt;H1594</formula>
    </cfRule>
  </conditionalFormatting>
  <conditionalFormatting sqref="J3004">
    <cfRule type="expression" dxfId="108" priority="362" stopIfTrue="1">
      <formula>J3004&lt;&gt;J1731</formula>
    </cfRule>
  </conditionalFormatting>
  <conditionalFormatting sqref="H3068:H3072">
    <cfRule type="expression" dxfId="107" priority="416" stopIfTrue="1">
      <formula>H3068&lt;&gt;H1590</formula>
    </cfRule>
  </conditionalFormatting>
  <conditionalFormatting sqref="H3119">
    <cfRule type="expression" dxfId="106" priority="90" stopIfTrue="1">
      <formula>H3119&lt;&gt;H1437</formula>
    </cfRule>
  </conditionalFormatting>
  <conditionalFormatting sqref="H3095">
    <cfRule type="expression" dxfId="105" priority="89" stopIfTrue="1">
      <formula>H3095&lt;&gt;H1399</formula>
    </cfRule>
  </conditionalFormatting>
  <conditionalFormatting sqref="J3117">
    <cfRule type="expression" dxfId="104" priority="87" stopIfTrue="1">
      <formula>J3117&lt;&gt;J1903</formula>
    </cfRule>
  </conditionalFormatting>
  <conditionalFormatting sqref="H3096:H3099">
    <cfRule type="expression" dxfId="103" priority="86" stopIfTrue="1">
      <formula>H3096&lt;&gt;H1636</formula>
    </cfRule>
  </conditionalFormatting>
  <conditionalFormatting sqref="J3118">
    <cfRule type="expression" dxfId="102" priority="83" stopIfTrue="1">
      <formula>J3118&lt;&gt;J1920</formula>
    </cfRule>
  </conditionalFormatting>
  <conditionalFormatting sqref="J3109">
    <cfRule type="expression" dxfId="101" priority="82" stopIfTrue="1">
      <formula>J3109&lt;&gt;J1902</formula>
    </cfRule>
  </conditionalFormatting>
  <conditionalFormatting sqref="J3115">
    <cfRule type="expression" dxfId="100" priority="81" stopIfTrue="1">
      <formula>J3115&lt;&gt;J1901</formula>
    </cfRule>
  </conditionalFormatting>
  <conditionalFormatting sqref="J3162:J3163">
    <cfRule type="expression" dxfId="99" priority="80" stopIfTrue="1">
      <formula>J3162&lt;&gt;J1961</formula>
    </cfRule>
  </conditionalFormatting>
  <conditionalFormatting sqref="J3119">
    <cfRule type="expression" dxfId="98" priority="79" stopIfTrue="1">
      <formula>J3119&lt;&gt;J1686</formula>
    </cfRule>
  </conditionalFormatting>
  <conditionalFormatting sqref="J3103:J3105">
    <cfRule type="expression" dxfId="97" priority="78" stopIfTrue="1">
      <formula>J3103&lt;&gt;J1899</formula>
    </cfRule>
  </conditionalFormatting>
  <conditionalFormatting sqref="J3100:J3102">
    <cfRule type="expression" dxfId="96" priority="77" stopIfTrue="1">
      <formula>J3100&lt;&gt;J1892</formula>
    </cfRule>
  </conditionalFormatting>
  <conditionalFormatting sqref="J3116 H3115 H3109">
    <cfRule type="expression" dxfId="95" priority="76" stopIfTrue="1">
      <formula>H3109&lt;&gt;#REF!</formula>
    </cfRule>
  </conditionalFormatting>
  <conditionalFormatting sqref="H3110:H3113">
    <cfRule type="expression" dxfId="94" priority="73" stopIfTrue="1">
      <formula>H3110&lt;&gt;H1648</formula>
    </cfRule>
  </conditionalFormatting>
  <conditionalFormatting sqref="H3118">
    <cfRule type="expression" dxfId="93" priority="72" stopIfTrue="1">
      <formula>H3118&lt;&gt;H1657</formula>
    </cfRule>
  </conditionalFormatting>
  <conditionalFormatting sqref="H3116:H3117">
    <cfRule type="expression" dxfId="92" priority="71" stopIfTrue="1">
      <formula>H3116&lt;&gt;H1650</formula>
    </cfRule>
  </conditionalFormatting>
  <conditionalFormatting sqref="H3120:H3123">
    <cfRule type="expression" dxfId="91" priority="70" stopIfTrue="1">
      <formula>H3120&lt;&gt;H1658</formula>
    </cfRule>
  </conditionalFormatting>
  <conditionalFormatting sqref="J3108 J3110:J3113">
    <cfRule type="expression" dxfId="90" priority="69" stopIfTrue="1">
      <formula>J3108&lt;&gt;#REF!</formula>
    </cfRule>
  </conditionalFormatting>
  <conditionalFormatting sqref="J3120:J3123 J3140">
    <cfRule type="expression" dxfId="89" priority="67" stopIfTrue="1">
      <formula>J3120&lt;&gt;J1937</formula>
    </cfRule>
  </conditionalFormatting>
  <conditionalFormatting sqref="J3114">
    <cfRule type="expression" dxfId="88" priority="66" stopIfTrue="1">
      <formula>J3114&lt;&gt;J1902</formula>
    </cfRule>
  </conditionalFormatting>
  <conditionalFormatting sqref="H3100:H3108">
    <cfRule type="expression" dxfId="87" priority="439" stopIfTrue="1">
      <formula>H3100&lt;&gt;H1639</formula>
    </cfRule>
  </conditionalFormatting>
  <conditionalFormatting sqref="H3114 H3141:H3142">
    <cfRule type="expression" dxfId="86" priority="441" stopIfTrue="1">
      <formula>H3114&lt;&gt;H1650</formula>
    </cfRule>
  </conditionalFormatting>
  <conditionalFormatting sqref="H3138:H3139">
    <cfRule type="expression" dxfId="85" priority="63" stopIfTrue="1">
      <formula>H3138&lt;&gt;H1674</formula>
    </cfRule>
  </conditionalFormatting>
  <conditionalFormatting sqref="J3173:J3174">
    <cfRule type="expression" dxfId="84" priority="62" stopIfTrue="1">
      <formula>J3173&lt;&gt;J1976</formula>
    </cfRule>
  </conditionalFormatting>
  <conditionalFormatting sqref="J3177">
    <cfRule type="expression" dxfId="83" priority="61" stopIfTrue="1">
      <formula>J3177&lt;&gt;J1979</formula>
    </cfRule>
  </conditionalFormatting>
  <conditionalFormatting sqref="J3169">
    <cfRule type="expression" dxfId="82" priority="60" stopIfTrue="1">
      <formula>J3169&lt;&gt;J1961</formula>
    </cfRule>
  </conditionalFormatting>
  <conditionalFormatting sqref="H3166:H3168">
    <cfRule type="expression" dxfId="81" priority="58" stopIfTrue="1">
      <formula>H3166&lt;&gt;H1691</formula>
    </cfRule>
  </conditionalFormatting>
  <conditionalFormatting sqref="H3128:H3133">
    <cfRule type="expression" dxfId="80" priority="57" stopIfTrue="1">
      <formula>H3128&lt;&gt;H1668</formula>
    </cfRule>
  </conditionalFormatting>
  <conditionalFormatting sqref="H3136">
    <cfRule type="expression" dxfId="79" priority="56" stopIfTrue="1">
      <formula>H3136&lt;&gt;#REF!</formula>
    </cfRule>
  </conditionalFormatting>
  <conditionalFormatting sqref="H3150:H3151 H3170:H3173">
    <cfRule type="expression" dxfId="78" priority="55" stopIfTrue="1">
      <formula>H3150&lt;&gt;H1681</formula>
    </cfRule>
  </conditionalFormatting>
  <conditionalFormatting sqref="H3169">
    <cfRule type="expression" dxfId="77" priority="53" stopIfTrue="1">
      <formula>H3169&lt;&gt;H1691</formula>
    </cfRule>
  </conditionalFormatting>
  <conditionalFormatting sqref="H3158:H3165">
    <cfRule type="expression" dxfId="76" priority="52" stopIfTrue="1">
      <formula>H3158&lt;&gt;H1684</formula>
    </cfRule>
  </conditionalFormatting>
  <conditionalFormatting sqref="J3138">
    <cfRule type="expression" dxfId="75" priority="48" stopIfTrue="1">
      <formula>J3138&lt;&gt;J1955</formula>
    </cfRule>
  </conditionalFormatting>
  <conditionalFormatting sqref="J3158:J3159">
    <cfRule type="expression" dxfId="74" priority="47" stopIfTrue="1">
      <formula>J3158&lt;&gt;J1966</formula>
    </cfRule>
  </conditionalFormatting>
  <conditionalFormatting sqref="J3175">
    <cfRule type="expression" dxfId="73" priority="46" stopIfTrue="1">
      <formula>J3175&lt;&gt;J1728</formula>
    </cfRule>
  </conditionalFormatting>
  <conditionalFormatting sqref="J3168">
    <cfRule type="expression" dxfId="72" priority="45" stopIfTrue="1">
      <formula>J3168&lt;&gt;J1961</formula>
    </cfRule>
  </conditionalFormatting>
  <conditionalFormatting sqref="J3147:J3149">
    <cfRule type="expression" dxfId="71" priority="44" stopIfTrue="1">
      <formula>J3147&lt;&gt;J1960</formula>
    </cfRule>
  </conditionalFormatting>
  <conditionalFormatting sqref="J3166:J3167">
    <cfRule type="expression" dxfId="70" priority="43" stopIfTrue="1">
      <formula>J3166&lt;&gt;J1962</formula>
    </cfRule>
  </conditionalFormatting>
  <conditionalFormatting sqref="J3150">
    <cfRule type="expression" dxfId="69" priority="41" stopIfTrue="1">
      <formula>J3150&lt;&gt;J1961</formula>
    </cfRule>
  </conditionalFormatting>
  <conditionalFormatting sqref="J3151">
    <cfRule type="expression" dxfId="68" priority="40" stopIfTrue="1">
      <formula>J3151&lt;&gt;J1961</formula>
    </cfRule>
  </conditionalFormatting>
  <conditionalFormatting sqref="J3139">
    <cfRule type="expression" dxfId="67" priority="39" stopIfTrue="1">
      <formula>J3139&lt;&gt;J1710</formula>
    </cfRule>
  </conditionalFormatting>
  <conditionalFormatting sqref="J3160:J3161">
    <cfRule type="expression" dxfId="66" priority="38" stopIfTrue="1">
      <formula>J3160&lt;&gt;J1960</formula>
    </cfRule>
  </conditionalFormatting>
  <conditionalFormatting sqref="J3170:J3171">
    <cfRule type="expression" dxfId="65" priority="37" stopIfTrue="1">
      <formula>J3170&lt;&gt;J1974</formula>
    </cfRule>
  </conditionalFormatting>
  <conditionalFormatting sqref="J3176">
    <cfRule type="expression" dxfId="64" priority="36" stopIfTrue="1">
      <formula>J3176&lt;&gt;#REF!</formula>
    </cfRule>
  </conditionalFormatting>
  <conditionalFormatting sqref="H3174:H3179">
    <cfRule type="expression" dxfId="63" priority="35" stopIfTrue="1">
      <formula>H3174&lt;&gt;H1707</formula>
    </cfRule>
  </conditionalFormatting>
  <conditionalFormatting sqref="H3154">
    <cfRule type="expression" dxfId="62" priority="33" stopIfTrue="1">
      <formula>H3154&lt;&gt;H1683</formula>
    </cfRule>
  </conditionalFormatting>
  <conditionalFormatting sqref="H3155">
    <cfRule type="expression" dxfId="61" priority="32" stopIfTrue="1">
      <formula>H3155&lt;&gt;#REF!</formula>
    </cfRule>
  </conditionalFormatting>
  <conditionalFormatting sqref="H3157">
    <cfRule type="expression" dxfId="60" priority="31" stopIfTrue="1">
      <formula>H3157&lt;&gt;H1684</formula>
    </cfRule>
  </conditionalFormatting>
  <conditionalFormatting sqref="H3152:H3153">
    <cfRule type="expression" dxfId="59" priority="30" stopIfTrue="1">
      <formula>H3152&lt;&gt;H1682</formula>
    </cfRule>
  </conditionalFormatting>
  <conditionalFormatting sqref="H3147:H3149">
    <cfRule type="expression" dxfId="58" priority="29" stopIfTrue="1">
      <formula>H3147&lt;&gt;H1680</formula>
    </cfRule>
  </conditionalFormatting>
  <conditionalFormatting sqref="H3143 H3156">
    <cfRule type="expression" dxfId="57" priority="28" stopIfTrue="1">
      <formula>H3143&lt;&gt;#REF!</formula>
    </cfRule>
  </conditionalFormatting>
  <conditionalFormatting sqref="H3126:H3127">
    <cfRule type="expression" dxfId="56" priority="27" stopIfTrue="1">
      <formula>H3126&lt;&gt;H1665</formula>
    </cfRule>
  </conditionalFormatting>
  <conditionalFormatting sqref="H3124:H3125 H3134:H3135">
    <cfRule type="expression" dxfId="55" priority="26" stopIfTrue="1">
      <formula>H3124&lt;&gt;#REF!</formula>
    </cfRule>
  </conditionalFormatting>
  <conditionalFormatting sqref="H3144">
    <cfRule type="expression" dxfId="54" priority="24" stopIfTrue="1">
      <formula>H3144&lt;&gt;H1679</formula>
    </cfRule>
  </conditionalFormatting>
  <conditionalFormatting sqref="H3145:H3146">
    <cfRule type="expression" dxfId="53" priority="23" stopIfTrue="1">
      <formula>H3145&lt;&gt;#REF!</formula>
    </cfRule>
  </conditionalFormatting>
  <conditionalFormatting sqref="J3124:J3131">
    <cfRule type="expression" dxfId="52" priority="21" stopIfTrue="1">
      <formula>J3124&lt;&gt;J1944</formula>
    </cfRule>
  </conditionalFormatting>
  <conditionalFormatting sqref="J3132 J3136:J3137 J3143">
    <cfRule type="expression" dxfId="51" priority="20" stopIfTrue="1">
      <formula>J3132&lt;&gt;#REF!</formula>
    </cfRule>
  </conditionalFormatting>
  <conditionalFormatting sqref="J3133:J3135">
    <cfRule type="expression" dxfId="50" priority="19" stopIfTrue="1">
      <formula>J3133&lt;&gt;J1952</formula>
    </cfRule>
  </conditionalFormatting>
  <conditionalFormatting sqref="J3144:J3145">
    <cfRule type="expression" dxfId="49" priority="18" stopIfTrue="1">
      <formula>J3144&lt;&gt;J1962</formula>
    </cfRule>
  </conditionalFormatting>
  <conditionalFormatting sqref="J3164">
    <cfRule type="expression" dxfId="48" priority="17" stopIfTrue="1">
      <formula>J3164&lt;&gt;J1961</formula>
    </cfRule>
  </conditionalFormatting>
  <conditionalFormatting sqref="J3165">
    <cfRule type="expression" dxfId="47" priority="16" stopIfTrue="1">
      <formula>J3165&lt;&gt;#REF!</formula>
    </cfRule>
  </conditionalFormatting>
  <conditionalFormatting sqref="J3152">
    <cfRule type="expression" dxfId="46" priority="15" stopIfTrue="1">
      <formula>J3152&lt;&gt;J1961</formula>
    </cfRule>
  </conditionalFormatting>
  <conditionalFormatting sqref="J3153 J3156">
    <cfRule type="expression" dxfId="45" priority="14" stopIfTrue="1">
      <formula>J3153&lt;&gt;#REF!</formula>
    </cfRule>
  </conditionalFormatting>
  <conditionalFormatting sqref="J3154:J3155">
    <cfRule type="expression" dxfId="44" priority="12" stopIfTrue="1">
      <formula>J3154&lt;&gt;J1962</formula>
    </cfRule>
  </conditionalFormatting>
  <conditionalFormatting sqref="J3172">
    <cfRule type="expression" dxfId="43" priority="10" stopIfTrue="1">
      <formula>J3172&lt;&gt;#REF!</formula>
    </cfRule>
  </conditionalFormatting>
  <conditionalFormatting sqref="H2976:H2977">
    <cfRule type="expression" dxfId="42" priority="453" stopIfTrue="1">
      <formula>H2976&lt;&gt;H1850</formula>
    </cfRule>
  </conditionalFormatting>
  <conditionalFormatting sqref="H2917:H2918">
    <cfRule type="expression" dxfId="41" priority="9" stopIfTrue="1">
      <formula>H2917&lt;&gt;H1789</formula>
    </cfRule>
  </conditionalFormatting>
  <conditionalFormatting sqref="J2939:J2949">
    <cfRule type="expression" dxfId="40" priority="8" stopIfTrue="1">
      <formula>J2939&lt;&gt;J1674</formula>
    </cfRule>
  </conditionalFormatting>
  <conditionalFormatting sqref="H2971">
    <cfRule type="expression" dxfId="39" priority="514" stopIfTrue="1">
      <formula>H2971&lt;&gt;H1847</formula>
    </cfRule>
  </conditionalFormatting>
  <conditionalFormatting sqref="H2955:H2957">
    <cfRule type="expression" dxfId="38" priority="517" stopIfTrue="1">
      <formula>H2955&lt;&gt;H1802</formula>
    </cfRule>
  </conditionalFormatting>
  <conditionalFormatting sqref="J3078">
    <cfRule type="expression" dxfId="37" priority="526" stopIfTrue="1">
      <formula>J3078&lt;&gt;J1817</formula>
    </cfRule>
  </conditionalFormatting>
  <conditionalFormatting sqref="H3050:H3054">
    <cfRule type="expression" dxfId="36" priority="542" stopIfTrue="1">
      <formula>H3050&lt;&gt;H1777</formula>
    </cfRule>
  </conditionalFormatting>
  <conditionalFormatting sqref="J3045">
    <cfRule type="expression" dxfId="35" priority="593" stopIfTrue="1">
      <formula>J3045&lt;&gt;J1804</formula>
    </cfRule>
  </conditionalFormatting>
  <conditionalFormatting sqref="H2844">
    <cfRule type="expression" dxfId="34" priority="594" stopIfTrue="1">
      <formula>H2844&lt;&gt;H1731</formula>
    </cfRule>
  </conditionalFormatting>
  <conditionalFormatting sqref="H2989">
    <cfRule type="expression" dxfId="33" priority="604" stopIfTrue="1">
      <formula>H2989&lt;&gt;H1731</formula>
    </cfRule>
  </conditionalFormatting>
  <conditionalFormatting sqref="H2950:H2951">
    <cfRule type="expression" dxfId="32" priority="613" stopIfTrue="1">
      <formula>H2950&lt;&gt;H1823</formula>
    </cfRule>
  </conditionalFormatting>
  <conditionalFormatting sqref="H2988">
    <cfRule type="expression" dxfId="31" priority="614" stopIfTrue="1">
      <formula>H2988&lt;&gt;H1731</formula>
    </cfRule>
  </conditionalFormatting>
  <conditionalFormatting sqref="J3096:J3099">
    <cfRule type="expression" dxfId="30" priority="628" stopIfTrue="1">
      <formula>J3096&lt;&gt;J1860</formula>
    </cfRule>
  </conditionalFormatting>
  <conditionalFormatting sqref="H3045">
    <cfRule type="expression" dxfId="29" priority="639" stopIfTrue="1">
      <formula>H3045&lt;&gt;H1774</formula>
    </cfRule>
  </conditionalFormatting>
  <conditionalFormatting sqref="H2853:H2854">
    <cfRule type="expression" dxfId="28" priority="643" stopIfTrue="1">
      <formula>H2853&lt;&gt;H1759</formula>
    </cfRule>
  </conditionalFormatting>
  <conditionalFormatting sqref="J2939">
    <cfRule type="expression" dxfId="27" priority="660" stopIfTrue="1">
      <formula>J2939&lt;&gt;J1675</formula>
    </cfRule>
  </conditionalFormatting>
  <conditionalFormatting sqref="J3020">
    <cfRule type="expression" dxfId="26" priority="667" stopIfTrue="1">
      <formula>J3020&lt;&gt;J1787</formula>
    </cfRule>
  </conditionalFormatting>
  <conditionalFormatting sqref="J3009:J3012">
    <cfRule type="expression" dxfId="25" priority="668" stopIfTrue="1">
      <formula>J3009&lt;&gt;J1735</formula>
    </cfRule>
  </conditionalFormatting>
  <conditionalFormatting sqref="J3039:J3040">
    <cfRule type="expression" dxfId="24" priority="708" stopIfTrue="1">
      <formula>J3039&lt;&gt;J1801</formula>
    </cfRule>
  </conditionalFormatting>
  <conditionalFormatting sqref="J3141:J3142">
    <cfRule type="expression" dxfId="23" priority="737" stopIfTrue="1">
      <formula>J3141&lt;&gt;J1960</formula>
    </cfRule>
  </conditionalFormatting>
  <conditionalFormatting sqref="J3146">
    <cfRule type="expression" dxfId="22" priority="740" stopIfTrue="1">
      <formula>J3146&lt;&gt;J1957</formula>
    </cfRule>
  </conditionalFormatting>
  <conditionalFormatting sqref="J3157">
    <cfRule type="expression" dxfId="21" priority="772" stopIfTrue="1">
      <formula>J3157&lt;&gt;J1964</formula>
    </cfRule>
  </conditionalFormatting>
  <conditionalFormatting sqref="J3106:J3107">
    <cfRule type="expression" dxfId="20" priority="800" stopIfTrue="1">
      <formula>J3106&lt;&gt;J1901</formula>
    </cfRule>
  </conditionalFormatting>
  <conditionalFormatting sqref="J3079:J3084">
    <cfRule type="expression" dxfId="19" priority="816" stopIfTrue="1">
      <formula>J3079&lt;&gt;J1817</formula>
    </cfRule>
  </conditionalFormatting>
  <conditionalFormatting sqref="J2980">
    <cfRule type="expression" dxfId="18" priority="824" stopIfTrue="1">
      <formula>J2980&lt;&gt;J1680</formula>
    </cfRule>
  </conditionalFormatting>
  <conditionalFormatting sqref="J3087:J3093">
    <cfRule type="expression" dxfId="17" priority="829" stopIfTrue="1">
      <formula>J3087&lt;&gt;J1822</formula>
    </cfRule>
  </conditionalFormatting>
  <conditionalFormatting sqref="J3043:J3044">
    <cfRule type="expression" dxfId="16" priority="836" stopIfTrue="1">
      <formula>J3043&lt;&gt;J1803</formula>
    </cfRule>
  </conditionalFormatting>
  <conditionalFormatting sqref="H2998:H2999">
    <cfRule type="expression" dxfId="15" priority="889" stopIfTrue="1">
      <formula>H2998&lt;&gt;H1759</formula>
    </cfRule>
  </conditionalFormatting>
  <conditionalFormatting sqref="J3006:J3007">
    <cfRule type="expression" dxfId="14" priority="918" stopIfTrue="1">
      <formula>J3006&lt;&gt;J1735</formula>
    </cfRule>
  </conditionalFormatting>
  <conditionalFormatting sqref="J3086">
    <cfRule type="expression" dxfId="13" priority="950" stopIfTrue="1">
      <formula>J3086&lt;&gt;J1822</formula>
    </cfRule>
  </conditionalFormatting>
  <conditionalFormatting sqref="H2980">
    <cfRule type="expression" dxfId="12" priority="952" stopIfTrue="1">
      <formula>H2980&lt;&gt;H1731</formula>
    </cfRule>
  </conditionalFormatting>
  <conditionalFormatting sqref="H3033 H3026:H3030">
    <cfRule type="expression" dxfId="11" priority="964" stopIfTrue="1">
      <formula>H3026&lt;&gt;H1758</formula>
    </cfRule>
  </conditionalFormatting>
  <conditionalFormatting sqref="J2845:J2847">
    <cfRule type="expression" dxfId="10" priority="966" stopIfTrue="1">
      <formula>J2845&lt;&gt;J1598</formula>
    </cfRule>
  </conditionalFormatting>
  <conditionalFormatting sqref="J2998:J3000">
    <cfRule type="expression" dxfId="9" priority="990" stopIfTrue="1">
      <formula>J2998&lt;&gt;J1721</formula>
    </cfRule>
  </conditionalFormatting>
  <conditionalFormatting sqref="H3041:H3042 J3001:J3002 H3039">
    <cfRule type="expression" dxfId="8" priority="1012" stopIfTrue="1">
      <formula>H3001&lt;&gt;H1725</formula>
    </cfRule>
  </conditionalFormatting>
  <conditionalFormatting sqref="J3005">
    <cfRule type="expression" dxfId="7" priority="1016" stopIfTrue="1">
      <formula>J3005&lt;&gt;J1735</formula>
    </cfRule>
  </conditionalFormatting>
  <conditionalFormatting sqref="H3004:H3005">
    <cfRule type="expression" dxfId="6" priority="1017" stopIfTrue="1">
      <formula>H3004&lt;&gt;H1759</formula>
    </cfRule>
  </conditionalFormatting>
  <conditionalFormatting sqref="H3040">
    <cfRule type="expression" dxfId="5" priority="1037" stopIfTrue="1">
      <formula>H3040&lt;&gt;H1765</formula>
    </cfRule>
  </conditionalFormatting>
  <conditionalFormatting sqref="H3031:H3032 H3034">
    <cfRule type="expression" dxfId="4" priority="1038" stopIfTrue="1">
      <formula>H3031&lt;&gt;H1762</formula>
    </cfRule>
  </conditionalFormatting>
  <conditionalFormatting sqref="H2939:H2941">
    <cfRule type="expression" dxfId="3" priority="1061" stopIfTrue="1">
      <formula>H2939&lt;&gt;H1810</formula>
    </cfRule>
  </conditionalFormatting>
  <conditionalFormatting sqref="H3025">
    <cfRule type="expression" dxfId="2" priority="1081" stopIfTrue="1">
      <formula>H3025&lt;&gt;H1758</formula>
    </cfRule>
  </conditionalFormatting>
  <pageMargins left="0.7" right="0.7" top="0.75" bottom="0.75" header="0.3" footer="0.3"/>
  <pageSetup scale="5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102"/>
  <sheetViews>
    <sheetView view="pageBreakPreview" zoomScale="60" zoomScaleNormal="80" workbookViewId="0">
      <pane ySplit="7" topLeftCell="A990" activePane="bottomLeft" state="frozen"/>
      <selection pane="bottomLeft" activeCell="I1033" sqref="I1033"/>
    </sheetView>
  </sheetViews>
  <sheetFormatPr defaultRowHeight="15"/>
  <cols>
    <col min="1" max="1" width="3.75" style="753" customWidth="1"/>
    <col min="2" max="2" width="9.125" style="761" customWidth="1"/>
    <col min="3" max="3" width="2.625" style="753" customWidth="1"/>
    <col min="4" max="4" width="17.125" style="761" bestFit="1" customWidth="1"/>
    <col min="5" max="5" width="2.625" style="753" customWidth="1"/>
    <col min="6" max="6" width="16.375" style="761" bestFit="1" customWidth="1"/>
    <col min="7" max="7" width="2.625" style="753" customWidth="1"/>
    <col min="8" max="8" width="23.25" style="753" bestFit="1" customWidth="1"/>
    <col min="9" max="9" width="2.625" style="753" customWidth="1"/>
    <col min="10" max="10" width="31" style="753" customWidth="1"/>
    <col min="11" max="12" width="2.625" style="753" customWidth="1"/>
    <col min="13" max="13" width="10.625" style="753" customWidth="1"/>
    <col min="14" max="15" width="9" style="753"/>
    <col min="16" max="16" width="14.375" style="753" customWidth="1"/>
    <col min="17" max="17" width="9" style="753" customWidth="1"/>
    <col min="18" max="16384" width="9" style="753"/>
  </cols>
  <sheetData>
    <row r="1" spans="1:17" ht="15.75">
      <c r="A1" s="818" t="s">
        <v>2682</v>
      </c>
      <c r="P1" s="907"/>
    </row>
    <row r="2" spans="1:17">
      <c r="A2" s="818" t="s">
        <v>2825</v>
      </c>
    </row>
    <row r="3" spans="1:17">
      <c r="A3" s="818"/>
    </row>
    <row r="5" spans="1:17">
      <c r="A5" s="818"/>
    </row>
    <row r="6" spans="1:17" ht="44.25" customHeight="1">
      <c r="P6" s="908" t="str">
        <f>'Balance Sheet Detail'!U1</f>
        <v>Monthly Average - Year Ended December 2014</v>
      </c>
    </row>
    <row r="7" spans="1:17">
      <c r="B7" s="909" t="s">
        <v>2625</v>
      </c>
      <c r="C7" s="816"/>
      <c r="D7" s="909" t="s">
        <v>2</v>
      </c>
      <c r="E7" s="816"/>
      <c r="F7" s="909" t="s">
        <v>2826</v>
      </c>
      <c r="G7" s="816"/>
      <c r="H7" s="910" t="s">
        <v>2827</v>
      </c>
      <c r="I7" s="816"/>
      <c r="J7" s="910" t="s">
        <v>2828</v>
      </c>
      <c r="K7" s="816"/>
      <c r="L7" s="816"/>
      <c r="M7" s="818"/>
      <c r="N7" s="818" t="s">
        <v>2829</v>
      </c>
      <c r="O7" s="818"/>
      <c r="P7" s="911"/>
    </row>
    <row r="8" spans="1:17">
      <c r="B8" s="815"/>
      <c r="C8" s="816"/>
      <c r="D8" s="815"/>
      <c r="E8" s="816"/>
      <c r="F8" s="815"/>
      <c r="G8" s="816"/>
      <c r="H8" s="816"/>
      <c r="I8" s="816"/>
      <c r="J8" s="817"/>
      <c r="K8" s="816"/>
      <c r="L8" s="816"/>
      <c r="M8" s="818"/>
      <c r="N8" s="818"/>
      <c r="O8" s="818"/>
      <c r="P8" s="757"/>
    </row>
    <row r="9" spans="1:17">
      <c r="A9" s="760" t="s">
        <v>1824</v>
      </c>
      <c r="B9" s="819"/>
      <c r="C9" s="820"/>
      <c r="D9" s="819"/>
      <c r="E9" s="820"/>
      <c r="F9" s="819"/>
      <c r="G9" s="820"/>
      <c r="H9" s="820"/>
      <c r="I9" s="820"/>
      <c r="J9" s="821"/>
      <c r="K9" s="820"/>
      <c r="L9" s="820"/>
      <c r="P9" s="757"/>
    </row>
    <row r="10" spans="1:17">
      <c r="A10" s="760"/>
      <c r="B10" s="761">
        <v>190006</v>
      </c>
      <c r="D10" s="762" t="s">
        <v>1822</v>
      </c>
      <c r="F10" s="762" t="s">
        <v>1821</v>
      </c>
      <c r="H10" s="763" t="s">
        <v>1824</v>
      </c>
      <c r="J10" s="753" t="s">
        <v>1823</v>
      </c>
      <c r="N10" s="753" t="s">
        <v>2421</v>
      </c>
      <c r="P10" s="754">
        <f>SUMIF('Balance Sheet Detail'!$B:$B,$Q10,'Balance Sheet Detail'!W:W)</f>
        <v>0</v>
      </c>
      <c r="Q10" s="753" t="s">
        <v>2970</v>
      </c>
    </row>
    <row r="11" spans="1:17">
      <c r="A11" s="760"/>
      <c r="B11" s="761">
        <v>190007</v>
      </c>
      <c r="D11" s="762" t="s">
        <v>1822</v>
      </c>
      <c r="F11" s="762" t="s">
        <v>1821</v>
      </c>
      <c r="H11" s="763" t="s">
        <v>1824</v>
      </c>
      <c r="J11" s="753" t="s">
        <v>1823</v>
      </c>
      <c r="N11" s="753" t="s">
        <v>2421</v>
      </c>
      <c r="P11" s="754">
        <f>SUMIF('Balance Sheet Detail'!$B:$B,$Q11,'Balance Sheet Detail'!W:W)</f>
        <v>0</v>
      </c>
      <c r="Q11" s="753" t="s">
        <v>2971</v>
      </c>
    </row>
    <row r="12" spans="1:17">
      <c r="A12" s="760"/>
      <c r="B12" s="761">
        <v>190016</v>
      </c>
      <c r="D12" s="762" t="s">
        <v>1822</v>
      </c>
      <c r="F12" s="762" t="s">
        <v>1821</v>
      </c>
      <c r="H12" s="763" t="s">
        <v>1824</v>
      </c>
      <c r="J12" s="753" t="s">
        <v>1864</v>
      </c>
      <c r="N12" s="753" t="s">
        <v>2421</v>
      </c>
      <c r="P12" s="754">
        <f>SUMIF('Balance Sheet Detail'!$B:$B,$Q12,'Balance Sheet Detail'!W:W)</f>
        <v>0</v>
      </c>
      <c r="Q12" s="753" t="s">
        <v>2972</v>
      </c>
    </row>
    <row r="13" spans="1:17">
      <c r="A13" s="760"/>
      <c r="B13" s="761">
        <v>190017</v>
      </c>
      <c r="D13" s="762" t="s">
        <v>1822</v>
      </c>
      <c r="F13" s="762" t="s">
        <v>1821</v>
      </c>
      <c r="H13" s="763" t="s">
        <v>1824</v>
      </c>
      <c r="J13" s="753" t="s">
        <v>1823</v>
      </c>
      <c r="N13" s="753" t="s">
        <v>2421</v>
      </c>
      <c r="P13" s="754">
        <f>SUMIF('Balance Sheet Detail'!$B:$B,$Q13,'Balance Sheet Detail'!W:W)</f>
        <v>0</v>
      </c>
      <c r="Q13" s="753" t="s">
        <v>2973</v>
      </c>
    </row>
    <row r="14" spans="1:17">
      <c r="A14" s="760"/>
      <c r="D14" s="762"/>
      <c r="F14" s="762"/>
      <c r="H14" s="763"/>
      <c r="P14" s="754"/>
    </row>
    <row r="15" spans="1:17">
      <c r="A15" s="760"/>
      <c r="D15" s="762"/>
      <c r="F15" s="762"/>
      <c r="H15" s="763"/>
      <c r="P15" s="755"/>
    </row>
    <row r="16" spans="1:17" s="818" customFormat="1" ht="14.25">
      <c r="A16" s="760"/>
      <c r="B16" s="764" t="s">
        <v>2974</v>
      </c>
      <c r="C16" s="814"/>
      <c r="D16" s="815"/>
      <c r="E16" s="814"/>
      <c r="F16" s="815"/>
      <c r="G16" s="814"/>
      <c r="H16" s="816"/>
      <c r="I16" s="814"/>
      <c r="J16" s="817"/>
      <c r="K16" s="814"/>
      <c r="L16" s="814"/>
      <c r="O16" s="791" t="str">
        <f>IF(SUMIF('Balance Sheet Detail'!$H$7:$H$2493,'Items Not in Rate Base'!H10,'Balance Sheet Detail'!$W$7:$W$2493)=P16,"OK", "Missing Line Item")</f>
        <v>OK</v>
      </c>
      <c r="P16" s="756">
        <f>SUM(P10:P15)</f>
        <v>0</v>
      </c>
      <c r="Q16" s="791"/>
    </row>
    <row r="17" spans="1:17" s="818" customFormat="1" ht="14.25">
      <c r="A17" s="760"/>
      <c r="B17" s="764"/>
      <c r="C17" s="814"/>
      <c r="D17" s="815"/>
      <c r="E17" s="814"/>
      <c r="F17" s="815"/>
      <c r="G17" s="814"/>
      <c r="H17" s="816"/>
      <c r="I17" s="814"/>
      <c r="J17" s="817"/>
      <c r="K17" s="814"/>
      <c r="L17" s="814"/>
      <c r="P17" s="756"/>
    </row>
    <row r="18" spans="1:17" s="818" customFormat="1" ht="14.25">
      <c r="A18" s="760" t="s">
        <v>4371</v>
      </c>
      <c r="B18" s="764"/>
      <c r="C18" s="814"/>
      <c r="D18" s="815"/>
      <c r="E18" s="814"/>
      <c r="F18" s="815"/>
      <c r="G18" s="814"/>
      <c r="H18" s="816"/>
      <c r="I18" s="814"/>
      <c r="J18" s="817"/>
      <c r="K18" s="814"/>
      <c r="L18" s="814"/>
      <c r="P18" s="756"/>
    </row>
    <row r="19" spans="1:17" s="818" customFormat="1">
      <c r="A19" s="760"/>
      <c r="B19" s="761">
        <v>182301</v>
      </c>
      <c r="C19" s="814"/>
      <c r="D19" s="762" t="s">
        <v>986</v>
      </c>
      <c r="E19" s="814"/>
      <c r="F19" s="762"/>
      <c r="G19" s="814"/>
      <c r="H19" s="763" t="s">
        <v>4371</v>
      </c>
      <c r="I19" s="814"/>
      <c r="J19" s="753" t="s">
        <v>242</v>
      </c>
      <c r="K19" s="814"/>
      <c r="L19" s="814"/>
      <c r="N19" s="753" t="s">
        <v>2436</v>
      </c>
      <c r="P19" s="754">
        <f>SUMIF('Balance Sheet Detail'!$B:$B,$Q19,'Balance Sheet Detail'!W:W)</f>
        <v>1037.9323633333299</v>
      </c>
      <c r="Q19" s="753" t="s">
        <v>4372</v>
      </c>
    </row>
    <row r="20" spans="1:17" s="818" customFormat="1">
      <c r="A20" s="760"/>
      <c r="B20" s="761">
        <v>182301</v>
      </c>
      <c r="C20" s="814"/>
      <c r="D20" s="762" t="s">
        <v>986</v>
      </c>
      <c r="E20" s="814"/>
      <c r="F20" s="738">
        <v>601266</v>
      </c>
      <c r="G20" s="814"/>
      <c r="H20" s="763" t="s">
        <v>4371</v>
      </c>
      <c r="I20" s="814"/>
      <c r="J20" s="753" t="s">
        <v>4383</v>
      </c>
      <c r="K20" s="814"/>
      <c r="L20" s="814"/>
      <c r="N20" s="753" t="s">
        <v>2436</v>
      </c>
      <c r="P20" s="754">
        <f>SUMIF('Balance Sheet Detail'!$B:$B,$Q20,'Balance Sheet Detail'!W:W)</f>
        <v>7.5713350000000004</v>
      </c>
      <c r="Q20" s="753" t="s">
        <v>4388</v>
      </c>
    </row>
    <row r="21" spans="1:17" s="818" customFormat="1">
      <c r="A21" s="760"/>
      <c r="B21" s="761">
        <v>186255</v>
      </c>
      <c r="C21" s="814"/>
      <c r="D21" s="762"/>
      <c r="E21" s="814"/>
      <c r="F21" s="762" t="s">
        <v>4368</v>
      </c>
      <c r="G21" s="814"/>
      <c r="H21" s="763" t="s">
        <v>4371</v>
      </c>
      <c r="I21" s="814"/>
      <c r="J21" s="753" t="s">
        <v>314</v>
      </c>
      <c r="K21" s="814"/>
      <c r="L21" s="814"/>
      <c r="N21" s="753" t="s">
        <v>2436</v>
      </c>
      <c r="P21" s="754">
        <f>SUMIF('Balance Sheet Detail'!$B:$B,$Q21,'Balance Sheet Detail'!W:W)</f>
        <v>-37.947980000000001</v>
      </c>
      <c r="Q21" s="753" t="s">
        <v>4373</v>
      </c>
    </row>
    <row r="22" spans="1:17" s="818" customFormat="1">
      <c r="A22" s="760"/>
      <c r="B22" s="761">
        <v>190501</v>
      </c>
      <c r="C22" s="814"/>
      <c r="D22" s="762" t="s">
        <v>986</v>
      </c>
      <c r="E22" s="814"/>
      <c r="F22" s="762"/>
      <c r="G22" s="814"/>
      <c r="H22" s="763" t="s">
        <v>4371</v>
      </c>
      <c r="I22" s="814"/>
      <c r="J22" s="753" t="s">
        <v>352</v>
      </c>
      <c r="K22" s="814"/>
      <c r="L22" s="814"/>
      <c r="N22" s="753" t="s">
        <v>2436</v>
      </c>
      <c r="P22" s="754">
        <f>SUMIF('Balance Sheet Detail'!$B:$B,$Q22,'Balance Sheet Detail'!W:W)</f>
        <v>-339.94552750000003</v>
      </c>
      <c r="Q22" s="753" t="s">
        <v>4374</v>
      </c>
    </row>
    <row r="23" spans="1:17" s="818" customFormat="1">
      <c r="A23" s="760"/>
      <c r="B23" s="761">
        <v>190511</v>
      </c>
      <c r="C23" s="814"/>
      <c r="D23" s="762" t="s">
        <v>986</v>
      </c>
      <c r="E23" s="814"/>
      <c r="F23" s="762"/>
      <c r="G23" s="814"/>
      <c r="H23" s="763" t="s">
        <v>4371</v>
      </c>
      <c r="I23" s="814"/>
      <c r="J23" s="753" t="s">
        <v>354</v>
      </c>
      <c r="K23" s="814"/>
      <c r="L23" s="814"/>
      <c r="N23" s="753" t="s">
        <v>2436</v>
      </c>
      <c r="P23" s="754">
        <f>SUMIF('Balance Sheet Detail'!$B:$B,$Q23,'Balance Sheet Detail'!W:W)</f>
        <v>-60.908593750000001</v>
      </c>
      <c r="Q23" s="753" t="s">
        <v>4375</v>
      </c>
    </row>
    <row r="24" spans="1:17" s="818" customFormat="1">
      <c r="A24" s="760"/>
      <c r="B24" s="761">
        <v>282240</v>
      </c>
      <c r="C24" s="814"/>
      <c r="D24" s="762"/>
      <c r="E24" s="814"/>
      <c r="F24" s="762"/>
      <c r="G24" s="814"/>
      <c r="H24" s="763" t="s">
        <v>4371</v>
      </c>
      <c r="I24" s="814"/>
      <c r="J24" s="753" t="s">
        <v>4365</v>
      </c>
      <c r="K24" s="814"/>
      <c r="L24" s="814"/>
      <c r="N24" s="753" t="s">
        <v>2436</v>
      </c>
      <c r="P24" s="754">
        <f>SUMIF('Balance Sheet Detail'!$B:$B,$Q24,'Balance Sheet Detail'!W:W)</f>
        <v>0.25778000000000001</v>
      </c>
      <c r="Q24" s="753" t="s">
        <v>4389</v>
      </c>
    </row>
    <row r="25" spans="1:17" s="818" customFormat="1">
      <c r="A25" s="760"/>
      <c r="B25" s="761">
        <v>282200</v>
      </c>
      <c r="C25" s="814"/>
      <c r="D25" s="762" t="s">
        <v>986</v>
      </c>
      <c r="E25" s="814"/>
      <c r="F25" s="762"/>
      <c r="G25" s="814"/>
      <c r="H25" s="763" t="s">
        <v>4371</v>
      </c>
      <c r="I25" s="814"/>
      <c r="J25" s="753" t="s">
        <v>709</v>
      </c>
      <c r="K25" s="814"/>
      <c r="L25" s="814"/>
      <c r="N25" s="753" t="s">
        <v>2436</v>
      </c>
      <c r="P25" s="755">
        <f>SUMIF('Balance Sheet Detail'!$B:$B,$Q25,'Balance Sheet Detail'!W:W)</f>
        <v>-1467.7327600000001</v>
      </c>
      <c r="Q25" s="753" t="s">
        <v>4376</v>
      </c>
    </row>
    <row r="26" spans="1:17" s="818" customFormat="1">
      <c r="A26" s="760"/>
      <c r="B26" s="764"/>
      <c r="C26" s="814"/>
      <c r="D26" s="815"/>
      <c r="E26" s="814"/>
      <c r="F26" s="815"/>
      <c r="G26" s="814"/>
      <c r="H26" s="816"/>
      <c r="I26" s="814"/>
      <c r="J26" s="817"/>
      <c r="K26" s="814"/>
      <c r="L26" s="814"/>
      <c r="O26" s="791" t="str">
        <f>IF(SUMIF('Balance Sheet Detail'!$H$7:$H$2493,'Items Not in Rate Base'!H19,'Balance Sheet Detail'!$W$7:$W$2493)=P26,"OK", "Missing Line Item")</f>
        <v>OK</v>
      </c>
      <c r="P26" s="754">
        <f>SUM(P19:P25)</f>
        <v>-860.77338291667013</v>
      </c>
      <c r="Q26" s="791"/>
    </row>
    <row r="27" spans="1:17" s="818" customFormat="1" ht="14.25">
      <c r="A27" s="760"/>
      <c r="B27" s="764"/>
      <c r="C27" s="814"/>
      <c r="D27" s="815"/>
      <c r="E27" s="814"/>
      <c r="F27" s="815"/>
      <c r="G27" s="814"/>
      <c r="H27" s="816"/>
      <c r="I27" s="814"/>
      <c r="J27" s="817"/>
      <c r="K27" s="814"/>
      <c r="L27" s="814"/>
      <c r="P27" s="756"/>
    </row>
    <row r="28" spans="1:17">
      <c r="A28" s="760" t="s">
        <v>1330</v>
      </c>
      <c r="B28" s="819"/>
      <c r="C28" s="820"/>
      <c r="D28" s="819"/>
      <c r="E28" s="820"/>
      <c r="F28" s="819"/>
      <c r="G28" s="820"/>
      <c r="H28" s="820"/>
      <c r="I28" s="820"/>
      <c r="J28" s="821"/>
      <c r="K28" s="820"/>
      <c r="L28" s="820"/>
      <c r="P28" s="757"/>
    </row>
    <row r="29" spans="1:17">
      <c r="A29" s="760"/>
      <c r="B29" s="761">
        <v>254680</v>
      </c>
      <c r="D29" s="762" t="s">
        <v>1328</v>
      </c>
      <c r="F29" s="762"/>
      <c r="H29" s="763" t="s">
        <v>1330</v>
      </c>
      <c r="J29" s="753" t="s">
        <v>1329</v>
      </c>
      <c r="N29" s="753" t="s">
        <v>2432</v>
      </c>
      <c r="P29" s="754">
        <f>SUMIF('Balance Sheet Detail'!$B:$B,$Q29,'Balance Sheet Detail'!W:W)</f>
        <v>0</v>
      </c>
      <c r="Q29" s="753" t="s">
        <v>2975</v>
      </c>
    </row>
    <row r="30" spans="1:17">
      <c r="A30" s="760"/>
      <c r="B30" s="761">
        <v>254270</v>
      </c>
      <c r="D30" s="762"/>
      <c r="F30" s="762"/>
      <c r="H30" s="763" t="s">
        <v>1330</v>
      </c>
      <c r="J30" s="753" t="s">
        <v>1333</v>
      </c>
      <c r="N30" s="753" t="s">
        <v>2432</v>
      </c>
      <c r="P30" s="754">
        <f>SUMIF('Balance Sheet Detail'!$B:$B,$Q30,'Balance Sheet Detail'!W:W)</f>
        <v>0</v>
      </c>
      <c r="Q30" s="753" t="s">
        <v>2976</v>
      </c>
    </row>
    <row r="31" spans="1:17">
      <c r="A31" s="760"/>
      <c r="B31" s="761">
        <v>254270</v>
      </c>
      <c r="D31" s="762"/>
      <c r="F31" s="762"/>
      <c r="H31" s="763" t="s">
        <v>1330</v>
      </c>
      <c r="J31" s="753" t="s">
        <v>1334</v>
      </c>
      <c r="N31" s="753" t="s">
        <v>2432</v>
      </c>
      <c r="P31" s="754">
        <f>SUMIF('Balance Sheet Detail'!$B:$B,$Q31,'Balance Sheet Detail'!W:W)</f>
        <v>0</v>
      </c>
      <c r="Q31" s="753" t="s">
        <v>2976</v>
      </c>
    </row>
    <row r="32" spans="1:17">
      <c r="A32" s="760"/>
      <c r="B32" s="761">
        <v>254270</v>
      </c>
      <c r="D32" s="762" t="s">
        <v>1335</v>
      </c>
      <c r="F32" s="762">
        <v>600180</v>
      </c>
      <c r="H32" s="763" t="s">
        <v>1330</v>
      </c>
      <c r="J32" s="753" t="s">
        <v>1336</v>
      </c>
      <c r="N32" s="753" t="s">
        <v>2432</v>
      </c>
      <c r="P32" s="754">
        <f>SUMIF('Balance Sheet Detail'!$B:$B,$Q32,'Balance Sheet Detail'!W:W)</f>
        <v>-229915.00550999999</v>
      </c>
      <c r="Q32" s="753" t="s">
        <v>2977</v>
      </c>
    </row>
    <row r="33" spans="1:17">
      <c r="A33" s="760"/>
      <c r="B33" s="761">
        <v>254270</v>
      </c>
      <c r="D33" s="762" t="s">
        <v>1337</v>
      </c>
      <c r="F33" s="762" t="s">
        <v>1338</v>
      </c>
      <c r="H33" s="763" t="s">
        <v>1330</v>
      </c>
      <c r="J33" s="753" t="s">
        <v>1339</v>
      </c>
      <c r="N33" s="753" t="s">
        <v>2432</v>
      </c>
      <c r="P33" s="754">
        <f>SUMIF('Balance Sheet Detail'!$B:$B,$Q33,'Balance Sheet Detail'!W:W)</f>
        <v>-142169.37463000001</v>
      </c>
      <c r="Q33" s="753" t="s">
        <v>2978</v>
      </c>
    </row>
    <row r="34" spans="1:17">
      <c r="A34" s="760"/>
      <c r="B34" s="761">
        <v>254270</v>
      </c>
      <c r="D34" s="762" t="s">
        <v>1340</v>
      </c>
      <c r="F34" s="762" t="s">
        <v>1341</v>
      </c>
      <c r="H34" s="763" t="s">
        <v>1330</v>
      </c>
      <c r="J34" s="753" t="s">
        <v>1342</v>
      </c>
      <c r="N34" s="753" t="s">
        <v>2432</v>
      </c>
      <c r="P34" s="754">
        <f>SUMIF('Balance Sheet Detail'!$B:$B,$Q34,'Balance Sheet Detail'!W:W)</f>
        <v>1702.934</v>
      </c>
      <c r="Q34" s="753" t="s">
        <v>2979</v>
      </c>
    </row>
    <row r="35" spans="1:17">
      <c r="A35" s="760"/>
      <c r="B35" s="761">
        <v>254270</v>
      </c>
      <c r="D35" s="762" t="s">
        <v>1343</v>
      </c>
      <c r="F35" s="762" t="s">
        <v>1344</v>
      </c>
      <c r="H35" s="763" t="s">
        <v>1330</v>
      </c>
      <c r="J35" s="753" t="s">
        <v>1345</v>
      </c>
      <c r="N35" s="753" t="s">
        <v>2432</v>
      </c>
      <c r="P35" s="754">
        <f>SUMIF('Balance Sheet Detail'!$B:$B,$Q35,'Balance Sheet Detail'!W:W)</f>
        <v>59973.157839999898</v>
      </c>
      <c r="Q35" s="753" t="s">
        <v>2980</v>
      </c>
    </row>
    <row r="36" spans="1:17">
      <c r="A36" s="760"/>
      <c r="B36" s="761">
        <v>254270</v>
      </c>
      <c r="D36" s="762" t="s">
        <v>1343</v>
      </c>
      <c r="F36" s="762" t="s">
        <v>1346</v>
      </c>
      <c r="H36" s="763" t="s">
        <v>1330</v>
      </c>
      <c r="J36" s="753" t="s">
        <v>1347</v>
      </c>
      <c r="N36" s="753" t="s">
        <v>2432</v>
      </c>
      <c r="P36" s="754">
        <f>SUMIF('Balance Sheet Detail'!$B:$B,$Q36,'Balance Sheet Detail'!W:W)</f>
        <v>-23914.366999999998</v>
      </c>
      <c r="Q36" s="753" t="s">
        <v>2981</v>
      </c>
    </row>
    <row r="37" spans="1:17">
      <c r="A37" s="760"/>
      <c r="B37" s="761">
        <v>254270</v>
      </c>
      <c r="D37" s="762" t="s">
        <v>1343</v>
      </c>
      <c r="F37" s="762" t="s">
        <v>1348</v>
      </c>
      <c r="H37" s="763" t="s">
        <v>1330</v>
      </c>
      <c r="J37" s="753" t="s">
        <v>1349</v>
      </c>
      <c r="N37" s="753" t="s">
        <v>2432</v>
      </c>
      <c r="P37" s="754">
        <f>SUMIF('Balance Sheet Detail'!$B:$B,$Q37,'Balance Sheet Detail'!W:W)</f>
        <v>25269.659319999999</v>
      </c>
      <c r="Q37" s="753" t="s">
        <v>2982</v>
      </c>
    </row>
    <row r="38" spans="1:17">
      <c r="A38" s="760"/>
      <c r="B38" s="761">
        <v>254270</v>
      </c>
      <c r="D38" s="762" t="s">
        <v>1343</v>
      </c>
      <c r="F38" s="762" t="s">
        <v>1350</v>
      </c>
      <c r="H38" s="763" t="s">
        <v>1330</v>
      </c>
      <c r="J38" s="753" t="s">
        <v>1351</v>
      </c>
      <c r="N38" s="753" t="s">
        <v>2432</v>
      </c>
      <c r="P38" s="754">
        <f>SUMIF('Balance Sheet Detail'!$B:$B,$Q38,'Balance Sheet Detail'!W:W)</f>
        <v>-10186.476210000001</v>
      </c>
      <c r="Q38" s="753" t="s">
        <v>2983</v>
      </c>
    </row>
    <row r="39" spans="1:17">
      <c r="A39" s="760"/>
      <c r="B39" s="761">
        <v>254270</v>
      </c>
      <c r="D39" s="762" t="s">
        <v>1343</v>
      </c>
      <c r="F39" s="762" t="s">
        <v>1352</v>
      </c>
      <c r="H39" s="763" t="s">
        <v>1330</v>
      </c>
      <c r="J39" s="753" t="s">
        <v>1353</v>
      </c>
      <c r="N39" s="753" t="s">
        <v>2432</v>
      </c>
      <c r="P39" s="754">
        <f>SUMIF('Balance Sheet Detail'!$B:$B,$Q39,'Balance Sheet Detail'!W:W)</f>
        <v>15426.18288</v>
      </c>
      <c r="Q39" s="753" t="s">
        <v>2984</v>
      </c>
    </row>
    <row r="40" spans="1:17">
      <c r="A40" s="760"/>
      <c r="B40" s="761">
        <v>254270</v>
      </c>
      <c r="D40" s="762" t="s">
        <v>1343</v>
      </c>
      <c r="F40" s="762" t="s">
        <v>1354</v>
      </c>
      <c r="H40" s="763" t="s">
        <v>1330</v>
      </c>
      <c r="J40" s="753" t="s">
        <v>1355</v>
      </c>
      <c r="N40" s="753" t="s">
        <v>2432</v>
      </c>
      <c r="P40" s="754">
        <f>SUMIF('Balance Sheet Detail'!$B:$B,$Q40,'Balance Sheet Detail'!W:W)</f>
        <v>-6150.0820000000003</v>
      </c>
      <c r="Q40" s="753" t="s">
        <v>2985</v>
      </c>
    </row>
    <row r="41" spans="1:17">
      <c r="A41" s="760"/>
      <c r="B41" s="761">
        <v>254270</v>
      </c>
      <c r="D41" s="762" t="s">
        <v>1343</v>
      </c>
      <c r="F41" s="762" t="s">
        <v>1356</v>
      </c>
      <c r="H41" s="763" t="s">
        <v>1330</v>
      </c>
      <c r="J41" s="753" t="s">
        <v>1357</v>
      </c>
      <c r="N41" s="753" t="s">
        <v>2432</v>
      </c>
      <c r="P41" s="754">
        <f>SUMIF('Balance Sheet Detail'!$B:$B,$Q41,'Balance Sheet Detail'!W:W)</f>
        <v>10056.34332</v>
      </c>
      <c r="Q41" s="753" t="s">
        <v>2986</v>
      </c>
    </row>
    <row r="42" spans="1:17">
      <c r="A42" s="760"/>
      <c r="B42" s="761">
        <v>254270</v>
      </c>
      <c r="D42" s="762" t="s">
        <v>1343</v>
      </c>
      <c r="F42" s="762" t="s">
        <v>1358</v>
      </c>
      <c r="H42" s="763" t="s">
        <v>1330</v>
      </c>
      <c r="J42" s="753" t="s">
        <v>1359</v>
      </c>
      <c r="N42" s="753" t="s">
        <v>2432</v>
      </c>
      <c r="P42" s="754">
        <f>SUMIF('Balance Sheet Detail'!$B:$B,$Q42,'Balance Sheet Detail'!W:W)</f>
        <v>-4006.12</v>
      </c>
      <c r="Q42" s="753" t="s">
        <v>2987</v>
      </c>
    </row>
    <row r="43" spans="1:17">
      <c r="A43" s="760"/>
      <c r="B43" s="761">
        <v>254270</v>
      </c>
      <c r="D43" s="762" t="s">
        <v>1360</v>
      </c>
      <c r="F43" s="762">
        <v>600212</v>
      </c>
      <c r="H43" s="763" t="s">
        <v>1330</v>
      </c>
      <c r="J43" s="753" t="s">
        <v>1361</v>
      </c>
      <c r="N43" s="753" t="s">
        <v>2432</v>
      </c>
      <c r="P43" s="754">
        <f>SUMIF('Balance Sheet Detail'!$B:$B,$Q43,'Balance Sheet Detail'!W:W)</f>
        <v>-1828</v>
      </c>
      <c r="Q43" s="753" t="s">
        <v>2988</v>
      </c>
    </row>
    <row r="44" spans="1:17">
      <c r="A44" s="760"/>
      <c r="B44" s="761">
        <v>254270</v>
      </c>
      <c r="D44" s="762" t="s">
        <v>1362</v>
      </c>
      <c r="F44" s="762">
        <v>600212</v>
      </c>
      <c r="H44" s="763" t="s">
        <v>1330</v>
      </c>
      <c r="J44" s="753" t="s">
        <v>1363</v>
      </c>
      <c r="N44" s="753" t="s">
        <v>2432</v>
      </c>
      <c r="P44" s="754">
        <f>SUMIF('Balance Sheet Detail'!$B:$B,$Q44,'Balance Sheet Detail'!W:W)</f>
        <v>394</v>
      </c>
      <c r="Q44" s="753" t="s">
        <v>2989</v>
      </c>
    </row>
    <row r="45" spans="1:17">
      <c r="A45" s="760"/>
      <c r="B45" s="761">
        <v>254270</v>
      </c>
      <c r="D45" s="762" t="s">
        <v>1364</v>
      </c>
      <c r="F45" s="762">
        <v>600006</v>
      </c>
      <c r="H45" s="763" t="s">
        <v>1330</v>
      </c>
      <c r="J45" s="753" t="s">
        <v>1365</v>
      </c>
      <c r="N45" s="753" t="s">
        <v>2432</v>
      </c>
      <c r="P45" s="754">
        <f>SUMIF('Balance Sheet Detail'!$B:$B,$Q45,'Balance Sheet Detail'!W:W)</f>
        <v>730.45935999999995</v>
      </c>
      <c r="Q45" s="753" t="s">
        <v>2990</v>
      </c>
    </row>
    <row r="46" spans="1:17">
      <c r="A46" s="760"/>
      <c r="B46" s="761">
        <v>254270</v>
      </c>
      <c r="D46" s="762" t="s">
        <v>1366</v>
      </c>
      <c r="F46" s="762">
        <v>600006</v>
      </c>
      <c r="H46" s="763" t="s">
        <v>1330</v>
      </c>
      <c r="J46" s="753" t="s">
        <v>1367</v>
      </c>
      <c r="N46" s="753" t="s">
        <v>2432</v>
      </c>
      <c r="P46" s="754">
        <f>SUMIF('Balance Sheet Detail'!$B:$B,$Q46,'Balance Sheet Detail'!W:W)</f>
        <v>-289.50200000000001</v>
      </c>
      <c r="Q46" s="753" t="s">
        <v>2991</v>
      </c>
    </row>
    <row r="47" spans="1:17">
      <c r="A47" s="760"/>
      <c r="B47" s="761">
        <v>254270</v>
      </c>
      <c r="D47" s="762" t="s">
        <v>1368</v>
      </c>
      <c r="F47" s="762" t="s">
        <v>1369</v>
      </c>
      <c r="H47" s="763" t="s">
        <v>1330</v>
      </c>
      <c r="J47" s="753" t="s">
        <v>1370</v>
      </c>
      <c r="N47" s="753" t="s">
        <v>2432</v>
      </c>
      <c r="P47" s="754">
        <f>SUMIF('Balance Sheet Detail'!$B:$B,$Q47,'Balance Sheet Detail'!W:W)</f>
        <v>873.51</v>
      </c>
      <c r="Q47" s="753" t="s">
        <v>2992</v>
      </c>
    </row>
    <row r="48" spans="1:17">
      <c r="A48" s="760"/>
      <c r="B48" s="761">
        <v>254270</v>
      </c>
      <c r="D48" s="762" t="s">
        <v>1371</v>
      </c>
      <c r="F48" s="762">
        <v>600213</v>
      </c>
      <c r="H48" s="763" t="s">
        <v>1330</v>
      </c>
      <c r="J48" s="753" t="s">
        <v>1372</v>
      </c>
      <c r="N48" s="753" t="s">
        <v>2432</v>
      </c>
      <c r="P48" s="754">
        <f>SUMIF('Balance Sheet Detail'!$B:$B,$Q48,'Balance Sheet Detail'!W:W)</f>
        <v>-397</v>
      </c>
      <c r="Q48" s="753" t="s">
        <v>2993</v>
      </c>
    </row>
    <row r="49" spans="1:17">
      <c r="A49" s="760"/>
      <c r="B49" s="761">
        <v>254270</v>
      </c>
      <c r="D49" s="762" t="s">
        <v>1373</v>
      </c>
      <c r="F49" s="762" t="s">
        <v>1374</v>
      </c>
      <c r="H49" s="763" t="s">
        <v>1330</v>
      </c>
      <c r="J49" s="753" t="s">
        <v>1375</v>
      </c>
      <c r="N49" s="753" t="s">
        <v>2432</v>
      </c>
      <c r="P49" s="754">
        <f>SUMIF('Balance Sheet Detail'!$B:$B,$Q49,'Balance Sheet Detail'!W:W)</f>
        <v>158.304</v>
      </c>
      <c r="Q49" s="753" t="s">
        <v>2994</v>
      </c>
    </row>
    <row r="50" spans="1:17">
      <c r="A50" s="760"/>
      <c r="B50" s="761">
        <v>254270</v>
      </c>
      <c r="D50" s="762" t="s">
        <v>1376</v>
      </c>
      <c r="F50" s="762">
        <v>601026</v>
      </c>
      <c r="H50" s="763" t="s">
        <v>1330</v>
      </c>
      <c r="J50" s="753" t="s">
        <v>1377</v>
      </c>
      <c r="N50" s="753" t="s">
        <v>2432</v>
      </c>
      <c r="P50" s="754">
        <f>SUMIF('Balance Sheet Detail'!$B:$B,$Q50,'Balance Sheet Detail'!W:W)</f>
        <v>-46319.905503333299</v>
      </c>
      <c r="Q50" s="753" t="s">
        <v>2995</v>
      </c>
    </row>
    <row r="51" spans="1:17">
      <c r="A51" s="760"/>
      <c r="B51" s="761">
        <v>254270</v>
      </c>
      <c r="D51" s="762" t="s">
        <v>1376</v>
      </c>
      <c r="F51" s="762" t="s">
        <v>1378</v>
      </c>
      <c r="H51" s="763" t="s">
        <v>1330</v>
      </c>
      <c r="J51" s="753" t="s">
        <v>1379</v>
      </c>
      <c r="N51" s="753" t="s">
        <v>2432</v>
      </c>
      <c r="P51" s="754">
        <f>SUMIF('Balance Sheet Detail'!$B:$B,$Q51,'Balance Sheet Detail'!W:W)</f>
        <v>17418.67742</v>
      </c>
      <c r="Q51" s="753" t="s">
        <v>2996</v>
      </c>
    </row>
    <row r="52" spans="1:17">
      <c r="A52" s="760"/>
      <c r="B52" s="761">
        <v>254270</v>
      </c>
      <c r="D52" s="762"/>
      <c r="F52" s="762"/>
      <c r="H52" s="763" t="s">
        <v>1330</v>
      </c>
      <c r="J52" s="753" t="s">
        <v>1380</v>
      </c>
      <c r="N52" s="753" t="s">
        <v>2432</v>
      </c>
      <c r="P52" s="754">
        <f>SUMIF('Balance Sheet Detail'!$B:$B,$Q52,'Balance Sheet Detail'!W:W)</f>
        <v>0</v>
      </c>
      <c r="Q52" s="753" t="s">
        <v>2976</v>
      </c>
    </row>
    <row r="53" spans="1:17">
      <c r="A53" s="760"/>
      <c r="B53" s="761">
        <v>254270</v>
      </c>
      <c r="D53" s="762" t="s">
        <v>1381</v>
      </c>
      <c r="F53" s="762" t="s">
        <v>1382</v>
      </c>
      <c r="H53" s="763" t="s">
        <v>1330</v>
      </c>
      <c r="J53" s="753" t="s">
        <v>1383</v>
      </c>
      <c r="N53" s="753" t="s">
        <v>2432</v>
      </c>
      <c r="P53" s="754">
        <f>SUMIF('Balance Sheet Detail'!$B:$B,$Q53,'Balance Sheet Detail'!W:W)</f>
        <v>-21826.62789</v>
      </c>
      <c r="Q53" s="753" t="s">
        <v>2997</v>
      </c>
    </row>
    <row r="54" spans="1:17">
      <c r="A54" s="760"/>
      <c r="B54" s="761">
        <v>254270</v>
      </c>
      <c r="D54" s="762" t="s">
        <v>1384</v>
      </c>
      <c r="F54" s="762" t="s">
        <v>1385</v>
      </c>
      <c r="H54" s="763" t="s">
        <v>1330</v>
      </c>
      <c r="J54" s="753" t="s">
        <v>1386</v>
      </c>
      <c r="N54" s="753" t="s">
        <v>2432</v>
      </c>
      <c r="P54" s="754">
        <f>SUMIF('Balance Sheet Detail'!$B:$B,$Q54,'Balance Sheet Detail'!W:W)</f>
        <v>9461.4714999999997</v>
      </c>
      <c r="Q54" s="753" t="s">
        <v>2998</v>
      </c>
    </row>
    <row r="55" spans="1:17">
      <c r="A55" s="760"/>
      <c r="B55" s="761">
        <v>254270</v>
      </c>
      <c r="D55" s="762" t="s">
        <v>1387</v>
      </c>
      <c r="F55" s="762" t="s">
        <v>1388</v>
      </c>
      <c r="H55" s="763" t="s">
        <v>1330</v>
      </c>
      <c r="J55" s="753" t="s">
        <v>1389</v>
      </c>
      <c r="N55" s="753" t="s">
        <v>2432</v>
      </c>
      <c r="P55" s="754">
        <f>SUMIF('Balance Sheet Detail'!$B:$B,$Q55,'Balance Sheet Detail'!W:W)</f>
        <v>-11180.5</v>
      </c>
      <c r="Q55" s="753" t="s">
        <v>2999</v>
      </c>
    </row>
    <row r="56" spans="1:17">
      <c r="A56" s="760"/>
      <c r="B56" s="761">
        <v>254270</v>
      </c>
      <c r="D56" s="762" t="s">
        <v>1387</v>
      </c>
      <c r="F56" s="762">
        <v>601025</v>
      </c>
      <c r="H56" s="763" t="s">
        <v>1330</v>
      </c>
      <c r="J56" s="753" t="s">
        <v>1390</v>
      </c>
      <c r="N56" s="753" t="s">
        <v>2432</v>
      </c>
      <c r="P56" s="754">
        <f>SUMIF('Balance Sheet Detail'!$B:$B,$Q56,'Balance Sheet Detail'!W:W)</f>
        <v>28038.873100000001</v>
      </c>
      <c r="Q56" s="753" t="s">
        <v>3000</v>
      </c>
    </row>
    <row r="57" spans="1:17">
      <c r="A57" s="760"/>
      <c r="B57" s="761">
        <v>254270</v>
      </c>
      <c r="D57" s="762" t="s">
        <v>1387</v>
      </c>
      <c r="F57" s="762" t="s">
        <v>1391</v>
      </c>
      <c r="H57" s="763" t="s">
        <v>1330</v>
      </c>
      <c r="J57" s="753" t="s">
        <v>1392</v>
      </c>
      <c r="N57" s="753" t="s">
        <v>2432</v>
      </c>
      <c r="P57" s="754">
        <f>SUMIF('Balance Sheet Detail'!$B:$B,$Q57,'Balance Sheet Detail'!W:W)</f>
        <v>0</v>
      </c>
      <c r="Q57" s="753" t="s">
        <v>3001</v>
      </c>
    </row>
    <row r="58" spans="1:17">
      <c r="A58" s="760"/>
      <c r="B58" s="761">
        <v>254270</v>
      </c>
      <c r="D58" s="762" t="s">
        <v>1393</v>
      </c>
      <c r="F58" s="762" t="s">
        <v>1394</v>
      </c>
      <c r="H58" s="763" t="s">
        <v>1330</v>
      </c>
      <c r="J58" s="753" t="s">
        <v>1395</v>
      </c>
      <c r="N58" s="753" t="s">
        <v>2432</v>
      </c>
      <c r="P58" s="754">
        <f>SUMIF('Balance Sheet Detail'!$B:$B,$Q58,'Balance Sheet Detail'!W:W)</f>
        <v>-7245.7965700000004</v>
      </c>
      <c r="Q58" s="753" t="s">
        <v>3002</v>
      </c>
    </row>
    <row r="59" spans="1:17">
      <c r="A59" s="760"/>
      <c r="B59" s="761">
        <v>254270</v>
      </c>
      <c r="D59" s="762" t="s">
        <v>1396</v>
      </c>
      <c r="F59" s="762" t="s">
        <v>1397</v>
      </c>
      <c r="H59" s="763" t="s">
        <v>1330</v>
      </c>
      <c r="J59" s="753" t="s">
        <v>1398</v>
      </c>
      <c r="N59" s="753" t="s">
        <v>2432</v>
      </c>
      <c r="P59" s="754">
        <f>SUMIF('Balance Sheet Detail'!$B:$B,$Q59,'Balance Sheet Detail'!W:W)</f>
        <v>142164.3126</v>
      </c>
      <c r="Q59" s="753" t="s">
        <v>3003</v>
      </c>
    </row>
    <row r="60" spans="1:17">
      <c r="A60" s="760"/>
      <c r="B60" s="761">
        <v>254270</v>
      </c>
      <c r="D60" s="762" t="s">
        <v>1399</v>
      </c>
      <c r="F60" s="762">
        <v>600109</v>
      </c>
      <c r="H60" s="763" t="s">
        <v>1330</v>
      </c>
      <c r="J60" s="753" t="s">
        <v>1400</v>
      </c>
      <c r="N60" s="753" t="s">
        <v>2432</v>
      </c>
      <c r="P60" s="754">
        <f>SUMIF('Balance Sheet Detail'!$B:$B,$Q60,'Balance Sheet Detail'!W:W)</f>
        <v>559.74405000000002</v>
      </c>
      <c r="Q60" s="753" t="s">
        <v>3004</v>
      </c>
    </row>
    <row r="61" spans="1:17">
      <c r="A61" s="760"/>
      <c r="B61" s="761">
        <v>254270</v>
      </c>
      <c r="D61" s="762" t="s">
        <v>1401</v>
      </c>
      <c r="F61" s="762" t="s">
        <v>1402</v>
      </c>
      <c r="H61" s="763" t="s">
        <v>1330</v>
      </c>
      <c r="J61" s="753" t="s">
        <v>1403</v>
      </c>
      <c r="N61" s="753" t="s">
        <v>2432</v>
      </c>
      <c r="P61" s="754">
        <f>SUMIF('Balance Sheet Detail'!$B:$B,$Q61,'Balance Sheet Detail'!W:W)</f>
        <v>-223.19800000000001</v>
      </c>
      <c r="Q61" s="753" t="s">
        <v>3005</v>
      </c>
    </row>
    <row r="62" spans="1:17">
      <c r="A62" s="760"/>
      <c r="B62" s="761">
        <v>254270</v>
      </c>
      <c r="D62" s="762" t="s">
        <v>1387</v>
      </c>
      <c r="F62" s="762">
        <v>601050</v>
      </c>
      <c r="H62" s="763" t="s">
        <v>1330</v>
      </c>
      <c r="J62" s="753" t="s">
        <v>1404</v>
      </c>
      <c r="N62" s="753" t="s">
        <v>2432</v>
      </c>
      <c r="P62" s="754">
        <f>SUMIF('Balance Sheet Detail'!$B:$B,$Q62,'Balance Sheet Detail'!W:W)</f>
        <v>30545.231</v>
      </c>
      <c r="Q62" s="753" t="s">
        <v>3006</v>
      </c>
    </row>
    <row r="63" spans="1:17">
      <c r="A63" s="760"/>
      <c r="B63" s="761">
        <v>254270</v>
      </c>
      <c r="D63" s="762" t="s">
        <v>1387</v>
      </c>
      <c r="F63" s="762" t="s">
        <v>1405</v>
      </c>
      <c r="H63" s="763" t="s">
        <v>1330</v>
      </c>
      <c r="J63" s="753" t="s">
        <v>1406</v>
      </c>
      <c r="N63" s="753" t="s">
        <v>2432</v>
      </c>
      <c r="P63" s="754">
        <f>SUMIF('Balance Sheet Detail'!$B:$B,$Q63,'Balance Sheet Detail'!W:W)</f>
        <v>-12179.911</v>
      </c>
      <c r="Q63" s="753" t="s">
        <v>3007</v>
      </c>
    </row>
    <row r="64" spans="1:17">
      <c r="A64" s="760"/>
      <c r="B64" s="761">
        <v>254270</v>
      </c>
      <c r="D64" s="762" t="s">
        <v>1387</v>
      </c>
      <c r="F64" s="762">
        <v>601077</v>
      </c>
      <c r="H64" s="763" t="s">
        <v>1330</v>
      </c>
      <c r="J64" s="753" t="s">
        <v>1407</v>
      </c>
      <c r="N64" s="753" t="s">
        <v>2432</v>
      </c>
      <c r="P64" s="754">
        <f>SUMIF('Balance Sheet Detail'!$B:$B,$Q64,'Balance Sheet Detail'!W:W)</f>
        <v>55419.58</v>
      </c>
      <c r="Q64" s="753" t="s">
        <v>3008</v>
      </c>
    </row>
    <row r="65" spans="1:17">
      <c r="A65" s="760"/>
      <c r="B65" s="761">
        <v>254270</v>
      </c>
      <c r="D65" s="762" t="s">
        <v>1387</v>
      </c>
      <c r="F65" s="762" t="s">
        <v>1408</v>
      </c>
      <c r="H65" s="763" t="s">
        <v>1330</v>
      </c>
      <c r="J65" s="753" t="s">
        <v>1409</v>
      </c>
      <c r="N65" s="753" t="s">
        <v>2432</v>
      </c>
      <c r="P65" s="754">
        <f>SUMIF('Balance Sheet Detail'!$B:$B,$Q65,'Balance Sheet Detail'!W:W)</f>
        <v>-22098.558000000001</v>
      </c>
      <c r="Q65" s="753" t="s">
        <v>3009</v>
      </c>
    </row>
    <row r="66" spans="1:17">
      <c r="A66" s="760"/>
      <c r="B66" s="761">
        <v>254270</v>
      </c>
      <c r="D66" s="762" t="s">
        <v>1410</v>
      </c>
      <c r="F66" s="762" t="s">
        <v>1411</v>
      </c>
      <c r="H66" s="763" t="s">
        <v>1330</v>
      </c>
      <c r="J66" s="753" t="s">
        <v>1412</v>
      </c>
      <c r="N66" s="753" t="s">
        <v>2432</v>
      </c>
      <c r="P66" s="754">
        <f>SUMIF('Balance Sheet Detail'!$B:$B,$Q66,'Balance Sheet Detail'!W:W)</f>
        <v>46.44491</v>
      </c>
      <c r="Q66" s="753" t="s">
        <v>3010</v>
      </c>
    </row>
    <row r="67" spans="1:17">
      <c r="A67" s="760"/>
      <c r="B67" s="761">
        <v>254270</v>
      </c>
      <c r="D67" s="762" t="s">
        <v>1413</v>
      </c>
      <c r="F67" s="762" t="s">
        <v>1414</v>
      </c>
      <c r="H67" s="763" t="s">
        <v>1330</v>
      </c>
      <c r="J67" s="753" t="s">
        <v>1415</v>
      </c>
      <c r="N67" s="753" t="s">
        <v>2432</v>
      </c>
      <c r="P67" s="754">
        <f>SUMIF('Balance Sheet Detail'!$B:$B,$Q67,'Balance Sheet Detail'!W:W)</f>
        <v>-296.15996000000001</v>
      </c>
      <c r="Q67" s="753" t="s">
        <v>3011</v>
      </c>
    </row>
    <row r="68" spans="1:17">
      <c r="A68" s="760"/>
      <c r="B68" s="761">
        <v>254270</v>
      </c>
      <c r="D68" s="762"/>
      <c r="F68" s="762"/>
      <c r="H68" s="763" t="s">
        <v>1330</v>
      </c>
      <c r="J68" s="753" t="s">
        <v>1416</v>
      </c>
      <c r="N68" s="753" t="s">
        <v>2432</v>
      </c>
      <c r="P68" s="754">
        <f>SUMIF('Balance Sheet Detail'!$B:$B,$Q68,'Balance Sheet Detail'!W:W)</f>
        <v>0</v>
      </c>
      <c r="Q68" s="753" t="s">
        <v>2976</v>
      </c>
    </row>
    <row r="69" spans="1:17">
      <c r="A69" s="760"/>
      <c r="B69" s="761">
        <v>254270</v>
      </c>
      <c r="D69" s="762" t="s">
        <v>1417</v>
      </c>
      <c r="F69" s="762">
        <v>601001</v>
      </c>
      <c r="H69" s="763" t="s">
        <v>1330</v>
      </c>
      <c r="J69" s="753" t="s">
        <v>1418</v>
      </c>
      <c r="N69" s="753" t="s">
        <v>2432</v>
      </c>
      <c r="P69" s="754">
        <f>SUMIF('Balance Sheet Detail'!$B:$B,$Q69,'Balance Sheet Detail'!W:W)</f>
        <v>-5066.2</v>
      </c>
      <c r="Q69" s="753" t="s">
        <v>3012</v>
      </c>
    </row>
    <row r="70" spans="1:17">
      <c r="A70" s="760"/>
      <c r="B70" s="761">
        <v>254270</v>
      </c>
      <c r="D70" s="762" t="s">
        <v>1417</v>
      </c>
      <c r="F70" s="762" t="s">
        <v>1419</v>
      </c>
      <c r="H70" s="763" t="s">
        <v>1330</v>
      </c>
      <c r="J70" s="753" t="s">
        <v>1420</v>
      </c>
      <c r="N70" s="753" t="s">
        <v>2432</v>
      </c>
      <c r="P70" s="754">
        <f>SUMIF('Balance Sheet Detail'!$B:$B,$Q70,'Balance Sheet Detail'!W:W)</f>
        <v>2020.1469999999999</v>
      </c>
      <c r="Q70" s="753" t="s">
        <v>3013</v>
      </c>
    </row>
    <row r="71" spans="1:17">
      <c r="A71" s="760"/>
      <c r="B71" s="761">
        <v>254270</v>
      </c>
      <c r="D71" s="762" t="s">
        <v>1421</v>
      </c>
      <c r="F71" s="762">
        <v>601002</v>
      </c>
      <c r="H71" s="763" t="s">
        <v>1330</v>
      </c>
      <c r="J71" s="753" t="s">
        <v>1422</v>
      </c>
      <c r="N71" s="753" t="s">
        <v>2432</v>
      </c>
      <c r="P71" s="754">
        <f>SUMIF('Balance Sheet Detail'!$B:$B,$Q71,'Balance Sheet Detail'!W:W)</f>
        <v>-984.96667000000002</v>
      </c>
      <c r="Q71" s="753" t="s">
        <v>3014</v>
      </c>
    </row>
    <row r="72" spans="1:17">
      <c r="A72" s="760"/>
      <c r="B72" s="761">
        <v>254270</v>
      </c>
      <c r="D72" s="762" t="s">
        <v>1421</v>
      </c>
      <c r="F72" s="762" t="s">
        <v>1423</v>
      </c>
      <c r="H72" s="763" t="s">
        <v>1330</v>
      </c>
      <c r="J72" s="753" t="s">
        <v>1424</v>
      </c>
      <c r="N72" s="753" t="s">
        <v>2432</v>
      </c>
      <c r="P72" s="754">
        <f>SUMIF('Balance Sheet Detail'!$B:$B,$Q72,'Balance Sheet Detail'!W:W)</f>
        <v>392.75599999999997</v>
      </c>
      <c r="Q72" s="753" t="s">
        <v>3015</v>
      </c>
    </row>
    <row r="73" spans="1:17">
      <c r="A73" s="760"/>
      <c r="B73" s="761">
        <v>254270</v>
      </c>
      <c r="D73" s="762" t="s">
        <v>1425</v>
      </c>
      <c r="F73" s="762">
        <v>600208</v>
      </c>
      <c r="H73" s="763" t="s">
        <v>1330</v>
      </c>
      <c r="J73" s="753" t="s">
        <v>1426</v>
      </c>
      <c r="N73" s="753" t="s">
        <v>2432</v>
      </c>
      <c r="P73" s="754">
        <f>SUMIF('Balance Sheet Detail'!$B:$B,$Q73,'Balance Sheet Detail'!W:W)</f>
        <v>16603.371609999998</v>
      </c>
      <c r="Q73" s="753" t="s">
        <v>3016</v>
      </c>
    </row>
    <row r="74" spans="1:17">
      <c r="A74" s="760"/>
      <c r="B74" s="761">
        <v>254270</v>
      </c>
      <c r="D74" s="762" t="s">
        <v>1427</v>
      </c>
      <c r="F74" s="762" t="s">
        <v>1428</v>
      </c>
      <c r="H74" s="763" t="s">
        <v>1330</v>
      </c>
      <c r="J74" s="753" t="s">
        <v>1429</v>
      </c>
      <c r="N74" s="753" t="s">
        <v>2432</v>
      </c>
      <c r="P74" s="754">
        <f>SUMIF('Balance Sheet Detail'!$B:$B,$Q74,'Balance Sheet Detail'!W:W)</f>
        <v>-6614.5513499999997</v>
      </c>
      <c r="Q74" s="753" t="s">
        <v>3017</v>
      </c>
    </row>
    <row r="75" spans="1:17">
      <c r="A75" s="760"/>
      <c r="B75" s="761">
        <v>254270</v>
      </c>
      <c r="D75" s="762" t="s">
        <v>1430</v>
      </c>
      <c r="F75" s="762">
        <v>601003</v>
      </c>
      <c r="H75" s="763" t="s">
        <v>1330</v>
      </c>
      <c r="J75" s="753" t="s">
        <v>1431</v>
      </c>
      <c r="N75" s="753" t="s">
        <v>2432</v>
      </c>
      <c r="P75" s="754">
        <f>SUMIF('Balance Sheet Detail'!$B:$B,$Q75,'Balance Sheet Detail'!W:W)</f>
        <v>12666.666660000001</v>
      </c>
      <c r="Q75" s="753" t="s">
        <v>3018</v>
      </c>
    </row>
    <row r="76" spans="1:17">
      <c r="A76" s="760"/>
      <c r="B76" s="761">
        <v>254270</v>
      </c>
      <c r="D76" s="762" t="s">
        <v>1430</v>
      </c>
      <c r="F76" s="762" t="s">
        <v>1432</v>
      </c>
      <c r="H76" s="763" t="s">
        <v>1330</v>
      </c>
      <c r="J76" s="753" t="s">
        <v>1433</v>
      </c>
      <c r="N76" s="753" t="s">
        <v>2432</v>
      </c>
      <c r="P76" s="754">
        <f>SUMIF('Balance Sheet Detail'!$B:$B,$Q76,'Balance Sheet Detail'!W:W)</f>
        <v>-5031.7669999999998</v>
      </c>
      <c r="Q76" s="753" t="s">
        <v>3019</v>
      </c>
    </row>
    <row r="77" spans="1:17">
      <c r="A77" s="760"/>
      <c r="B77" s="761">
        <v>254270</v>
      </c>
      <c r="D77" s="762" t="s">
        <v>1434</v>
      </c>
      <c r="F77" s="762">
        <v>601005</v>
      </c>
      <c r="H77" s="763" t="s">
        <v>1330</v>
      </c>
      <c r="J77" s="753" t="s">
        <v>1435</v>
      </c>
      <c r="N77" s="753" t="s">
        <v>2432</v>
      </c>
      <c r="P77" s="754">
        <f>SUMIF('Balance Sheet Detail'!$B:$B,$Q77,'Balance Sheet Detail'!W:W)</f>
        <v>6000</v>
      </c>
      <c r="Q77" s="753" t="s">
        <v>3020</v>
      </c>
    </row>
    <row r="78" spans="1:17">
      <c r="A78" s="760"/>
      <c r="B78" s="761">
        <v>254270</v>
      </c>
      <c r="D78" s="762" t="s">
        <v>1434</v>
      </c>
      <c r="F78" s="762" t="s">
        <v>1436</v>
      </c>
      <c r="H78" s="763" t="s">
        <v>1330</v>
      </c>
      <c r="J78" s="753" t="s">
        <v>1437</v>
      </c>
      <c r="N78" s="753" t="s">
        <v>2432</v>
      </c>
      <c r="P78" s="754">
        <f>SUMIF('Balance Sheet Detail'!$B:$B,$Q78,'Balance Sheet Detail'!W:W)</f>
        <v>-2392.5</v>
      </c>
      <c r="Q78" s="753" t="s">
        <v>3021</v>
      </c>
    </row>
    <row r="79" spans="1:17">
      <c r="A79" s="760"/>
      <c r="B79" s="761">
        <v>254270</v>
      </c>
      <c r="D79" s="762"/>
      <c r="F79" s="762"/>
      <c r="H79" s="763" t="s">
        <v>1330</v>
      </c>
      <c r="J79" s="753" t="s">
        <v>1438</v>
      </c>
      <c r="N79" s="753" t="s">
        <v>2432</v>
      </c>
      <c r="P79" s="754">
        <f>SUMIF('Balance Sheet Detail'!$B:$B,$Q79,'Balance Sheet Detail'!W:W)</f>
        <v>0</v>
      </c>
      <c r="Q79" s="753" t="s">
        <v>2976</v>
      </c>
    </row>
    <row r="80" spans="1:17">
      <c r="A80" s="760"/>
      <c r="B80" s="761">
        <v>254270</v>
      </c>
      <c r="D80" s="762" t="s">
        <v>1439</v>
      </c>
      <c r="F80" s="762" t="s">
        <v>1440</v>
      </c>
      <c r="H80" s="763" t="s">
        <v>1330</v>
      </c>
      <c r="J80" s="753" t="s">
        <v>1441</v>
      </c>
      <c r="N80" s="753" t="s">
        <v>2432</v>
      </c>
      <c r="P80" s="754">
        <f>SUMIF('Balance Sheet Detail'!$B:$B,$Q80,'Balance Sheet Detail'!W:W)</f>
        <v>-694</v>
      </c>
      <c r="Q80" s="753" t="s">
        <v>3022</v>
      </c>
    </row>
    <row r="81" spans="1:17">
      <c r="A81" s="760"/>
      <c r="B81" s="761">
        <v>254270</v>
      </c>
      <c r="D81" s="762" t="s">
        <v>1439</v>
      </c>
      <c r="F81" s="762" t="s">
        <v>1442</v>
      </c>
      <c r="H81" s="763" t="s">
        <v>1330</v>
      </c>
      <c r="J81" s="753" t="s">
        <v>1443</v>
      </c>
      <c r="N81" s="753" t="s">
        <v>2432</v>
      </c>
      <c r="P81" s="754">
        <f>SUMIF('Balance Sheet Detail'!$B:$B,$Q81,'Balance Sheet Detail'!W:W)</f>
        <v>276.733</v>
      </c>
      <c r="Q81" s="753" t="s">
        <v>3023</v>
      </c>
    </row>
    <row r="82" spans="1:17">
      <c r="A82" s="760"/>
      <c r="B82" s="761">
        <v>254270</v>
      </c>
      <c r="D82" s="762" t="s">
        <v>1387</v>
      </c>
      <c r="F82" s="762">
        <v>601089</v>
      </c>
      <c r="H82" s="763" t="s">
        <v>1330</v>
      </c>
      <c r="J82" s="753" t="s">
        <v>1444</v>
      </c>
      <c r="N82" s="753" t="s">
        <v>2432</v>
      </c>
      <c r="P82" s="754">
        <f>SUMIF('Balance Sheet Detail'!$B:$B,$Q82,'Balance Sheet Detail'!W:W)</f>
        <v>63837.205320000001</v>
      </c>
      <c r="Q82" s="753" t="s">
        <v>3024</v>
      </c>
    </row>
    <row r="83" spans="1:17">
      <c r="A83" s="760"/>
      <c r="B83" s="761">
        <v>254270</v>
      </c>
      <c r="D83" s="762" t="s">
        <v>1387</v>
      </c>
      <c r="F83" s="762" t="s">
        <v>1445</v>
      </c>
      <c r="H83" s="763" t="s">
        <v>1330</v>
      </c>
      <c r="J83" s="753" t="s">
        <v>1446</v>
      </c>
      <c r="N83" s="753" t="s">
        <v>2432</v>
      </c>
      <c r="P83" s="754">
        <f>SUMIF('Balance Sheet Detail'!$B:$B,$Q83,'Balance Sheet Detail'!W:W)</f>
        <v>-25122.294989999999</v>
      </c>
      <c r="Q83" s="753" t="s">
        <v>3025</v>
      </c>
    </row>
    <row r="84" spans="1:17">
      <c r="A84" s="760"/>
      <c r="B84" s="761">
        <v>254270</v>
      </c>
      <c r="D84" s="762" t="s">
        <v>1393</v>
      </c>
      <c r="F84" s="762">
        <v>601076</v>
      </c>
      <c r="H84" s="763" t="s">
        <v>1330</v>
      </c>
      <c r="J84" s="753" t="s">
        <v>1447</v>
      </c>
      <c r="N84" s="753" t="s">
        <v>2432</v>
      </c>
      <c r="P84" s="754">
        <f>SUMIF('Balance Sheet Detail'!$B:$B,$Q84,'Balance Sheet Detail'!W:W)</f>
        <v>-2467.5412200000001</v>
      </c>
      <c r="Q84" s="753" t="s">
        <v>3026</v>
      </c>
    </row>
    <row r="85" spans="1:17">
      <c r="A85" s="760"/>
      <c r="B85" s="761">
        <v>254270</v>
      </c>
      <c r="D85" s="762" t="s">
        <v>1413</v>
      </c>
      <c r="F85" s="762" t="s">
        <v>1448</v>
      </c>
      <c r="H85" s="763" t="s">
        <v>1330</v>
      </c>
      <c r="J85" s="753" t="s">
        <v>1415</v>
      </c>
      <c r="N85" s="753" t="s">
        <v>2432</v>
      </c>
      <c r="P85" s="754">
        <f>SUMIF('Balance Sheet Detail'!$B:$B,$Q85,'Balance Sheet Detail'!W:W)</f>
        <v>-730.97793999999999</v>
      </c>
      <c r="Q85" s="753" t="s">
        <v>3027</v>
      </c>
    </row>
    <row r="86" spans="1:17">
      <c r="A86" s="760"/>
      <c r="B86" s="761">
        <v>254270</v>
      </c>
      <c r="D86" s="762" t="s">
        <v>1387</v>
      </c>
      <c r="F86" s="762">
        <v>601104</v>
      </c>
      <c r="H86" s="763" t="s">
        <v>1330</v>
      </c>
      <c r="J86" s="753" t="s">
        <v>1449</v>
      </c>
      <c r="N86" s="753" t="s">
        <v>2432</v>
      </c>
      <c r="P86" s="754">
        <f>SUMIF('Balance Sheet Detail'!$B:$B,$Q86,'Balance Sheet Detail'!W:W)</f>
        <v>57021.809730000001</v>
      </c>
      <c r="Q86" s="753" t="s">
        <v>3028</v>
      </c>
    </row>
    <row r="87" spans="1:17">
      <c r="A87" s="760"/>
      <c r="B87" s="761">
        <v>254270</v>
      </c>
      <c r="D87" s="762" t="s">
        <v>1387</v>
      </c>
      <c r="F87" s="762" t="s">
        <v>1450</v>
      </c>
      <c r="H87" s="763" t="s">
        <v>1330</v>
      </c>
      <c r="J87" s="753" t="s">
        <v>1451</v>
      </c>
      <c r="N87" s="753" t="s">
        <v>2432</v>
      </c>
      <c r="P87" s="754">
        <f>SUMIF('Balance Sheet Detail'!$B:$B,$Q87,'Balance Sheet Detail'!W:W)</f>
        <v>-22453.177759999999</v>
      </c>
      <c r="Q87" s="753" t="s">
        <v>3029</v>
      </c>
    </row>
    <row r="88" spans="1:17">
      <c r="A88" s="760"/>
      <c r="B88" s="761">
        <v>254270</v>
      </c>
      <c r="D88" s="762" t="s">
        <v>1328</v>
      </c>
      <c r="F88" s="762" t="s">
        <v>1452</v>
      </c>
      <c r="H88" s="763" t="s">
        <v>1330</v>
      </c>
      <c r="J88" s="753" t="s">
        <v>1453</v>
      </c>
      <c r="N88" s="753" t="s">
        <v>2432</v>
      </c>
      <c r="P88" s="754">
        <f>SUMIF('Balance Sheet Detail'!$B:$B,$Q88,'Balance Sheet Detail'!W:W)</f>
        <v>-1938.27153</v>
      </c>
      <c r="Q88" s="753" t="s">
        <v>3030</v>
      </c>
    </row>
    <row r="89" spans="1:17">
      <c r="A89" s="760"/>
      <c r="B89" s="761">
        <v>254270</v>
      </c>
      <c r="D89" s="762" t="s">
        <v>1328</v>
      </c>
      <c r="F89" s="762" t="s">
        <v>1454</v>
      </c>
      <c r="H89" s="763" t="s">
        <v>1330</v>
      </c>
      <c r="J89" s="753" t="s">
        <v>1455</v>
      </c>
      <c r="N89" s="753" t="s">
        <v>2432</v>
      </c>
      <c r="P89" s="754">
        <f>SUMIF('Balance Sheet Detail'!$B:$B,$Q89,'Balance Sheet Detail'!W:W)</f>
        <v>791.19579999999996</v>
      </c>
      <c r="Q89" s="753" t="s">
        <v>3031</v>
      </c>
    </row>
    <row r="90" spans="1:17">
      <c r="A90" s="760"/>
      <c r="B90" s="761">
        <v>254270</v>
      </c>
      <c r="D90" s="762" t="s">
        <v>1387</v>
      </c>
      <c r="F90" s="762">
        <v>601133</v>
      </c>
      <c r="H90" s="763" t="s">
        <v>1330</v>
      </c>
      <c r="J90" s="753" t="s">
        <v>1456</v>
      </c>
      <c r="N90" s="753" t="s">
        <v>2432</v>
      </c>
      <c r="P90" s="754">
        <f>SUMIF('Balance Sheet Detail'!$B:$B,$Q90,'Balance Sheet Detail'!W:W)</f>
        <v>56950.896840000001</v>
      </c>
      <c r="Q90" s="753" t="s">
        <v>3032</v>
      </c>
    </row>
    <row r="91" spans="1:17">
      <c r="A91" s="760"/>
      <c r="B91" s="761">
        <v>254270</v>
      </c>
      <c r="D91" s="762" t="s">
        <v>1387</v>
      </c>
      <c r="F91" s="762" t="s">
        <v>1457</v>
      </c>
      <c r="H91" s="763" t="s">
        <v>1330</v>
      </c>
      <c r="J91" s="753" t="s">
        <v>1458</v>
      </c>
      <c r="N91" s="753" t="s">
        <v>2432</v>
      </c>
      <c r="P91" s="754">
        <f>SUMIF('Balance Sheet Detail'!$B:$B,$Q91,'Balance Sheet Detail'!W:W)</f>
        <v>-23585.397349999999</v>
      </c>
      <c r="Q91" s="753" t="s">
        <v>3033</v>
      </c>
    </row>
    <row r="92" spans="1:17">
      <c r="A92" s="760"/>
      <c r="B92" s="761">
        <v>254270</v>
      </c>
      <c r="D92" s="762" t="s">
        <v>1459</v>
      </c>
      <c r="F92" s="762">
        <v>601135</v>
      </c>
      <c r="H92" s="763" t="s">
        <v>1330</v>
      </c>
      <c r="J92" s="753" t="s">
        <v>1460</v>
      </c>
      <c r="N92" s="753" t="s">
        <v>2432</v>
      </c>
      <c r="P92" s="754">
        <f>SUMIF('Balance Sheet Detail'!$B:$B,$Q92,'Balance Sheet Detail'!W:W)</f>
        <v>29001.178</v>
      </c>
      <c r="Q92" s="753" t="s">
        <v>3034</v>
      </c>
    </row>
    <row r="93" spans="1:17">
      <c r="A93" s="760"/>
      <c r="B93" s="761">
        <v>254270</v>
      </c>
      <c r="D93" s="762" t="s">
        <v>1459</v>
      </c>
      <c r="F93" s="762" t="s">
        <v>1461</v>
      </c>
      <c r="H93" s="763" t="s">
        <v>1330</v>
      </c>
      <c r="J93" s="753" t="s">
        <v>1462</v>
      </c>
      <c r="N93" s="753" t="s">
        <v>2432</v>
      </c>
      <c r="P93" s="754">
        <f>SUMIF('Balance Sheet Detail'!$B:$B,$Q93,'Balance Sheet Detail'!W:W)</f>
        <v>-11488.81667</v>
      </c>
      <c r="Q93" s="753" t="s">
        <v>3035</v>
      </c>
    </row>
    <row r="94" spans="1:17">
      <c r="A94" s="760"/>
      <c r="B94" s="761">
        <v>254270</v>
      </c>
      <c r="D94" s="762" t="s">
        <v>1463</v>
      </c>
      <c r="F94" s="762" t="s">
        <v>1464</v>
      </c>
      <c r="H94" s="763" t="s">
        <v>1330</v>
      </c>
      <c r="J94" s="753" t="s">
        <v>1465</v>
      </c>
      <c r="N94" s="753" t="s">
        <v>2432</v>
      </c>
      <c r="P94" s="754">
        <f>SUMIF('Balance Sheet Detail'!$B:$B,$Q94,'Balance Sheet Detail'!W:W)</f>
        <v>-151.41014999999999</v>
      </c>
      <c r="Q94" s="753" t="s">
        <v>3036</v>
      </c>
    </row>
    <row r="95" spans="1:17">
      <c r="A95" s="760"/>
      <c r="B95" s="761">
        <v>254270</v>
      </c>
      <c r="D95" s="762" t="s">
        <v>1376</v>
      </c>
      <c r="F95" s="762" t="s">
        <v>1469</v>
      </c>
      <c r="H95" s="763" t="s">
        <v>1330</v>
      </c>
      <c r="J95" s="753" t="s">
        <v>1470</v>
      </c>
      <c r="N95" s="753" t="s">
        <v>2432</v>
      </c>
      <c r="P95" s="754">
        <f>SUMIF('Balance Sheet Detail'!$B:$B,$Q95,'Balance Sheet Detail'!W:W)</f>
        <v>-61.778469999999999</v>
      </c>
      <c r="Q95" s="753" t="s">
        <v>3037</v>
      </c>
    </row>
    <row r="96" spans="1:17">
      <c r="A96" s="760"/>
      <c r="B96" s="761">
        <v>254270</v>
      </c>
      <c r="D96" s="762" t="s">
        <v>1413</v>
      </c>
      <c r="F96" s="762" t="s">
        <v>1471</v>
      </c>
      <c r="H96" s="763" t="s">
        <v>1330</v>
      </c>
      <c r="J96" s="753" t="s">
        <v>1415</v>
      </c>
      <c r="N96" s="753" t="s">
        <v>2432</v>
      </c>
      <c r="P96" s="754">
        <f>SUMIF('Balance Sheet Detail'!$B:$B,$Q96,'Balance Sheet Detail'!W:W)</f>
        <v>-122.51578000000001</v>
      </c>
      <c r="Q96" s="753" t="s">
        <v>3038</v>
      </c>
    </row>
    <row r="97" spans="1:17">
      <c r="A97" s="760"/>
      <c r="B97" s="761">
        <v>254270</v>
      </c>
      <c r="D97" s="762" t="s">
        <v>1343</v>
      </c>
      <c r="F97" s="762" t="s">
        <v>1472</v>
      </c>
      <c r="H97" s="763" t="s">
        <v>1330</v>
      </c>
      <c r="J97" s="753" t="s">
        <v>1473</v>
      </c>
      <c r="N97" s="753" t="s">
        <v>2432</v>
      </c>
      <c r="P97" s="754">
        <f>SUMIF('Balance Sheet Detail'!$B:$B,$Q97,'Balance Sheet Detail'!W:W)</f>
        <v>-803.01306999999997</v>
      </c>
      <c r="Q97" s="753" t="s">
        <v>3039</v>
      </c>
    </row>
    <row r="98" spans="1:17">
      <c r="A98" s="760"/>
      <c r="B98" s="761">
        <v>254270</v>
      </c>
      <c r="D98" s="762" t="s">
        <v>1466</v>
      </c>
      <c r="F98" s="762">
        <v>6012000</v>
      </c>
      <c r="H98" s="763" t="s">
        <v>1330</v>
      </c>
      <c r="J98" s="753" t="s">
        <v>1474</v>
      </c>
      <c r="N98" s="753" t="s">
        <v>2432</v>
      </c>
      <c r="P98" s="754">
        <f>SUMIF('Balance Sheet Detail'!$B:$B,$Q98,'Balance Sheet Detail'!W:W)</f>
        <v>0</v>
      </c>
      <c r="Q98" s="753" t="s">
        <v>3040</v>
      </c>
    </row>
    <row r="99" spans="1:17">
      <c r="A99" s="760"/>
      <c r="B99" s="761">
        <v>254270</v>
      </c>
      <c r="D99" s="762" t="s">
        <v>1475</v>
      </c>
      <c r="F99" s="762">
        <v>601254</v>
      </c>
      <c r="H99" s="763" t="s">
        <v>1330</v>
      </c>
      <c r="J99" s="753" t="s">
        <v>1476</v>
      </c>
      <c r="N99" s="753" t="s">
        <v>2432</v>
      </c>
      <c r="P99" s="754">
        <f>SUMIF('Balance Sheet Detail'!$B:$B,$Q99,'Balance Sheet Detail'!W:W)</f>
        <v>-10000</v>
      </c>
      <c r="Q99" s="753" t="s">
        <v>3041</v>
      </c>
    </row>
    <row r="100" spans="1:17">
      <c r="A100" s="760"/>
      <c r="B100" s="761">
        <v>254270</v>
      </c>
      <c r="D100" s="762" t="s">
        <v>1477</v>
      </c>
      <c r="F100" s="762"/>
      <c r="H100" s="763" t="s">
        <v>1330</v>
      </c>
      <c r="J100" s="753" t="s">
        <v>1478</v>
      </c>
      <c r="N100" s="753" t="s">
        <v>2432</v>
      </c>
      <c r="P100" s="754">
        <f>SUMIF('Balance Sheet Detail'!$B:$B,$Q100,'Balance Sheet Detail'!W:W)</f>
        <v>6828.9800487499997</v>
      </c>
      <c r="Q100" s="753" t="s">
        <v>3042</v>
      </c>
    </row>
    <row r="101" spans="1:17">
      <c r="A101" s="760"/>
      <c r="B101" s="761">
        <v>190001</v>
      </c>
      <c r="D101" s="762" t="s">
        <v>1617</v>
      </c>
      <c r="F101" s="762" t="s">
        <v>1616</v>
      </c>
      <c r="H101" s="763" t="s">
        <v>1330</v>
      </c>
      <c r="J101" s="753" t="s">
        <v>1618</v>
      </c>
      <c r="N101" s="753" t="s">
        <v>2421</v>
      </c>
      <c r="P101" s="754">
        <f>SUMIF('Balance Sheet Detail'!$B:$B,$Q101,'Balance Sheet Detail'!W:W)</f>
        <v>591.70399999999995</v>
      </c>
      <c r="Q101" s="753" t="s">
        <v>3043</v>
      </c>
    </row>
    <row r="102" spans="1:17">
      <c r="A102" s="760"/>
      <c r="B102" s="761">
        <v>190006</v>
      </c>
      <c r="D102" s="762" t="s">
        <v>1831</v>
      </c>
      <c r="F102" s="762" t="s">
        <v>1830</v>
      </c>
      <c r="H102" s="763" t="s">
        <v>1330</v>
      </c>
      <c r="J102" s="753" t="s">
        <v>1832</v>
      </c>
      <c r="N102" s="753" t="s">
        <v>2421</v>
      </c>
      <c r="P102" s="754">
        <f>SUMIF('Balance Sheet Detail'!$B:$B,$Q102,'Balance Sheet Detail'!W:W)</f>
        <v>0</v>
      </c>
      <c r="Q102" s="753" t="s">
        <v>3044</v>
      </c>
    </row>
    <row r="103" spans="1:17">
      <c r="A103" s="760"/>
      <c r="B103" s="761">
        <v>190011</v>
      </c>
      <c r="D103" s="762" t="s">
        <v>1617</v>
      </c>
      <c r="F103" s="762" t="s">
        <v>1616</v>
      </c>
      <c r="H103" s="763" t="s">
        <v>1330</v>
      </c>
      <c r="J103" s="753" t="s">
        <v>1618</v>
      </c>
      <c r="N103" s="753" t="s">
        <v>2421</v>
      </c>
      <c r="P103" s="754">
        <f>SUMIF('Balance Sheet Detail'!$B:$B,$Q103,'Balance Sheet Detail'!W:W)</f>
        <v>129.20400000000001</v>
      </c>
      <c r="Q103" s="753" t="s">
        <v>3045</v>
      </c>
    </row>
    <row r="104" spans="1:17">
      <c r="A104" s="760"/>
      <c r="B104" s="761">
        <v>190016</v>
      </c>
      <c r="D104" s="762" t="s">
        <v>1831</v>
      </c>
      <c r="F104" s="762" t="s">
        <v>1830</v>
      </c>
      <c r="H104" s="763" t="s">
        <v>1330</v>
      </c>
      <c r="J104" s="753" t="s">
        <v>1865</v>
      </c>
      <c r="N104" s="753" t="s">
        <v>2421</v>
      </c>
      <c r="P104" s="754">
        <f>SUMIF('Balance Sheet Detail'!$B:$B,$Q104,'Balance Sheet Detail'!W:W)</f>
        <v>0</v>
      </c>
      <c r="Q104" s="753" t="s">
        <v>3046</v>
      </c>
    </row>
    <row r="105" spans="1:17">
      <c r="A105" s="760"/>
      <c r="B105" s="761">
        <v>190501</v>
      </c>
      <c r="D105" s="762"/>
      <c r="F105" s="762" t="s">
        <v>1830</v>
      </c>
      <c r="H105" s="763" t="s">
        <v>1330</v>
      </c>
      <c r="J105" s="753" t="s">
        <v>1929</v>
      </c>
      <c r="N105" s="753" t="s">
        <v>2421</v>
      </c>
      <c r="P105" s="754">
        <f>SUMIF('Balance Sheet Detail'!$B:$B,$Q105,'Balance Sheet Detail'!W:W)</f>
        <v>0</v>
      </c>
      <c r="Q105" s="753" t="s">
        <v>3047</v>
      </c>
    </row>
    <row r="106" spans="1:17">
      <c r="A106" s="760"/>
      <c r="B106" s="761">
        <v>190501</v>
      </c>
      <c r="D106" s="762" t="s">
        <v>1477</v>
      </c>
      <c r="F106" s="762" t="s">
        <v>1930</v>
      </c>
      <c r="H106" s="763" t="s">
        <v>1330</v>
      </c>
      <c r="J106" s="753" t="s">
        <v>1929</v>
      </c>
      <c r="N106" s="753" t="s">
        <v>2421</v>
      </c>
      <c r="P106" s="754">
        <f>SUMIF('Balance Sheet Detail'!$B:$B,$Q106,'Balance Sheet Detail'!W:W)</f>
        <v>-1918.9957216666701</v>
      </c>
      <c r="Q106" s="753" t="s">
        <v>3048</v>
      </c>
    </row>
    <row r="107" spans="1:17">
      <c r="A107" s="760"/>
      <c r="B107" s="761">
        <v>190511</v>
      </c>
      <c r="D107" s="762" t="s">
        <v>1477</v>
      </c>
      <c r="F107" s="762" t="s">
        <v>1830</v>
      </c>
      <c r="H107" s="763" t="s">
        <v>1330</v>
      </c>
      <c r="J107" s="753" t="s">
        <v>1929</v>
      </c>
      <c r="N107" s="753" t="s">
        <v>2421</v>
      </c>
      <c r="P107" s="754">
        <f>SUMIF('Balance Sheet Detail'!$B:$B,$Q107,'Balance Sheet Detail'!W:W)</f>
        <v>-419.03338916666701</v>
      </c>
      <c r="Q107" s="753" t="s">
        <v>3049</v>
      </c>
    </row>
    <row r="108" spans="1:17">
      <c r="A108" s="760"/>
      <c r="B108" s="761">
        <v>190511</v>
      </c>
      <c r="D108" s="762"/>
      <c r="F108" s="762" t="s">
        <v>2038</v>
      </c>
      <c r="H108" s="763" t="s">
        <v>1330</v>
      </c>
      <c r="J108" s="753" t="s">
        <v>1929</v>
      </c>
      <c r="N108" s="753" t="s">
        <v>2421</v>
      </c>
      <c r="P108" s="754">
        <f>SUMIF('Balance Sheet Detail'!$B:$B,$Q108,'Balance Sheet Detail'!W:W)</f>
        <v>0</v>
      </c>
      <c r="Q108" s="753" t="s">
        <v>3050</v>
      </c>
    </row>
    <row r="109" spans="1:17">
      <c r="A109" s="760"/>
      <c r="B109" s="761">
        <v>283200</v>
      </c>
      <c r="D109" s="762"/>
      <c r="F109" s="762" t="s">
        <v>2214</v>
      </c>
      <c r="H109" s="763" t="s">
        <v>1330</v>
      </c>
      <c r="J109" s="753" t="s">
        <v>2215</v>
      </c>
      <c r="N109" s="753" t="s">
        <v>2421</v>
      </c>
      <c r="P109" s="754">
        <f>SUMIF('Balance Sheet Detail'!$B:$B,$Q109,'Balance Sheet Detail'!W:W)</f>
        <v>0</v>
      </c>
      <c r="Q109" s="753" t="s">
        <v>3051</v>
      </c>
    </row>
    <row r="110" spans="1:17">
      <c r="A110" s="760"/>
      <c r="B110" s="761">
        <v>283400</v>
      </c>
      <c r="D110" s="762"/>
      <c r="F110" s="762" t="s">
        <v>2214</v>
      </c>
      <c r="H110" s="763" t="s">
        <v>1330</v>
      </c>
      <c r="J110" s="753" t="s">
        <v>2215</v>
      </c>
      <c r="N110" s="753" t="s">
        <v>2421</v>
      </c>
      <c r="P110" s="754">
        <f>SUMIF('Balance Sheet Detail'!$B:$B,$Q110,'Balance Sheet Detail'!W:W)</f>
        <v>0</v>
      </c>
      <c r="Q110" s="753" t="s">
        <v>3052</v>
      </c>
    </row>
    <row r="111" spans="1:17">
      <c r="A111" s="760"/>
      <c r="B111" s="761">
        <v>283500</v>
      </c>
      <c r="D111" s="762" t="s">
        <v>1477</v>
      </c>
      <c r="F111" s="762"/>
      <c r="H111" s="763" t="s">
        <v>1330</v>
      </c>
      <c r="J111" s="753" t="s">
        <v>2306</v>
      </c>
      <c r="N111" s="753" t="s">
        <v>2421</v>
      </c>
      <c r="P111" s="754">
        <f>SUMIF('Balance Sheet Detail'!$B:$B,$Q111,'Balance Sheet Detail'!W:W)</f>
        <v>1418.9836700000001</v>
      </c>
      <c r="Q111" s="753" t="s">
        <v>3053</v>
      </c>
    </row>
    <row r="112" spans="1:17">
      <c r="A112" s="760"/>
      <c r="B112" s="761">
        <v>283500</v>
      </c>
      <c r="D112" s="762" t="s">
        <v>1463</v>
      </c>
      <c r="F112" s="762" t="s">
        <v>2214</v>
      </c>
      <c r="H112" s="763" t="s">
        <v>1330</v>
      </c>
      <c r="J112" s="753" t="s">
        <v>2215</v>
      </c>
      <c r="N112" s="753" t="s">
        <v>2421</v>
      </c>
      <c r="P112" s="754">
        <f>SUMIF('Balance Sheet Detail'!$B:$B,$Q112,'Balance Sheet Detail'!W:W)</f>
        <v>-1670.42382</v>
      </c>
      <c r="Q112" s="753" t="s">
        <v>3054</v>
      </c>
    </row>
    <row r="113" spans="1:17">
      <c r="A113" s="760"/>
      <c r="B113" s="761">
        <v>283550</v>
      </c>
      <c r="D113" s="762"/>
      <c r="F113" s="762" t="s">
        <v>1830</v>
      </c>
      <c r="H113" s="763" t="s">
        <v>1330</v>
      </c>
      <c r="J113" s="753" t="s">
        <v>2376</v>
      </c>
      <c r="N113" s="753" t="s">
        <v>2421</v>
      </c>
      <c r="P113" s="754">
        <f>SUMIF('Balance Sheet Detail'!$B:$B,$Q113,'Balance Sheet Detail'!W:W)</f>
        <v>0</v>
      </c>
      <c r="Q113" s="753" t="s">
        <v>3055</v>
      </c>
    </row>
    <row r="114" spans="1:17">
      <c r="A114" s="760"/>
      <c r="B114" s="761">
        <v>283550</v>
      </c>
      <c r="D114" s="762" t="s">
        <v>1463</v>
      </c>
      <c r="F114" s="762" t="s">
        <v>2214</v>
      </c>
      <c r="H114" s="763" t="s">
        <v>1330</v>
      </c>
      <c r="J114" s="753" t="s">
        <v>2215</v>
      </c>
      <c r="N114" s="753" t="s">
        <v>2421</v>
      </c>
      <c r="P114" s="754">
        <f>SUMIF('Balance Sheet Detail'!$B:$B,$Q114,'Balance Sheet Detail'!W:W)</f>
        <v>-365.32499000000001</v>
      </c>
      <c r="Q114" s="753" t="s">
        <v>3056</v>
      </c>
    </row>
    <row r="115" spans="1:17">
      <c r="A115" s="760"/>
      <c r="B115" s="761">
        <v>283550</v>
      </c>
      <c r="D115" s="762" t="s">
        <v>1477</v>
      </c>
      <c r="F115" s="762"/>
      <c r="H115" s="763" t="s">
        <v>1330</v>
      </c>
      <c r="J115" s="753" t="s">
        <v>2306</v>
      </c>
      <c r="N115" s="753" t="s">
        <v>2421</v>
      </c>
      <c r="P115" s="754">
        <f>SUMIF('Balance Sheet Detail'!$B:$B,$Q115,'Balance Sheet Detail'!W:W)</f>
        <v>309.85034999999999</v>
      </c>
      <c r="Q115" s="753" t="s">
        <v>3057</v>
      </c>
    </row>
    <row r="116" spans="1:17">
      <c r="A116" s="760"/>
      <c r="D116" s="762"/>
      <c r="F116" s="762"/>
      <c r="H116" s="763"/>
      <c r="P116" s="754"/>
    </row>
    <row r="117" spans="1:17">
      <c r="A117" s="760"/>
      <c r="D117" s="762"/>
      <c r="F117" s="762"/>
      <c r="H117" s="763"/>
      <c r="P117" s="755"/>
    </row>
    <row r="118" spans="1:17" s="818" customFormat="1" ht="14.25">
      <c r="A118" s="760"/>
      <c r="B118" s="764" t="s">
        <v>2830</v>
      </c>
      <c r="C118" s="814"/>
      <c r="D118" s="815"/>
      <c r="E118" s="814"/>
      <c r="F118" s="815"/>
      <c r="G118" s="814"/>
      <c r="H118" s="816"/>
      <c r="I118" s="814"/>
      <c r="J118" s="817"/>
      <c r="K118" s="814"/>
      <c r="L118" s="814"/>
      <c r="O118" s="791" t="str">
        <f>IF(SUMIF('Balance Sheet Detail'!$H$7:$H$2493,'Items Not in Rate Base'!H29,'Balance Sheet Detail'!$W$7:$W$2493)=P118,"OK", "Missing Line Item")</f>
        <v>OK</v>
      </c>
      <c r="P118" s="756">
        <f>SUM(P29:P117)</f>
        <v>-11229.97481541675</v>
      </c>
      <c r="Q118" s="791"/>
    </row>
    <row r="119" spans="1:17">
      <c r="A119" s="760"/>
      <c r="B119" s="819"/>
      <c r="C119" s="820"/>
      <c r="D119" s="819"/>
      <c r="E119" s="820"/>
      <c r="F119" s="819"/>
      <c r="G119" s="820"/>
      <c r="H119" s="820"/>
      <c r="I119" s="820"/>
      <c r="J119" s="821"/>
      <c r="K119" s="820"/>
      <c r="L119" s="820"/>
      <c r="P119" s="757"/>
    </row>
    <row r="120" spans="1:17">
      <c r="A120" s="760" t="s">
        <v>1138</v>
      </c>
      <c r="B120" s="819"/>
      <c r="C120" s="820"/>
      <c r="D120" s="819"/>
      <c r="E120" s="820"/>
      <c r="F120" s="819"/>
      <c r="G120" s="820"/>
      <c r="H120" s="820"/>
      <c r="I120" s="820"/>
      <c r="J120" s="821"/>
      <c r="K120" s="820"/>
      <c r="L120" s="820"/>
      <c r="P120" s="757"/>
    </row>
    <row r="121" spans="1:17">
      <c r="B121" s="761">
        <v>118010</v>
      </c>
      <c r="D121" s="762"/>
      <c r="F121" s="762"/>
      <c r="H121" s="763" t="s">
        <v>1138</v>
      </c>
      <c r="J121" s="753" t="s">
        <v>56</v>
      </c>
      <c r="P121" s="754">
        <f>SUMIF('Balance Sheet Detail'!$B:$B,$Q121,'Balance Sheet Detail'!W:W)</f>
        <v>8836.3191195833406</v>
      </c>
      <c r="Q121" s="753" t="s">
        <v>3058</v>
      </c>
    </row>
    <row r="122" spans="1:17">
      <c r="B122" s="761">
        <v>118030</v>
      </c>
      <c r="D122" s="762"/>
      <c r="F122" s="762"/>
      <c r="H122" s="763" t="s">
        <v>1138</v>
      </c>
      <c r="J122" s="753" t="s">
        <v>57</v>
      </c>
      <c r="P122" s="754">
        <f>SUMIF('Balance Sheet Detail'!$B:$B,$Q122,'Balance Sheet Detail'!W:W)</f>
        <v>165.59869</v>
      </c>
      <c r="Q122" s="753" t="s">
        <v>3059</v>
      </c>
    </row>
    <row r="123" spans="1:17">
      <c r="B123" s="761">
        <v>119010</v>
      </c>
      <c r="D123" s="762"/>
      <c r="F123" s="762"/>
      <c r="H123" s="763" t="s">
        <v>1138</v>
      </c>
      <c r="J123" s="753" t="s">
        <v>58</v>
      </c>
      <c r="P123" s="754">
        <f>SUMIF('Balance Sheet Detail'!$B:$B,$Q123,'Balance Sheet Detail'!W:W)</f>
        <v>-5815.0444120833299</v>
      </c>
      <c r="Q123" s="753" t="s">
        <v>3060</v>
      </c>
    </row>
    <row r="124" spans="1:17">
      <c r="B124" s="761">
        <v>119030</v>
      </c>
      <c r="D124" s="762"/>
      <c r="F124" s="762"/>
      <c r="H124" s="763" t="s">
        <v>1138</v>
      </c>
      <c r="J124" s="753" t="s">
        <v>59</v>
      </c>
      <c r="P124" s="754">
        <f>SUMIF('Balance Sheet Detail'!$B:$B,$Q124,'Balance Sheet Detail'!W:W)</f>
        <v>-96.115020000000001</v>
      </c>
      <c r="Q124" s="753" t="s">
        <v>3061</v>
      </c>
    </row>
    <row r="125" spans="1:17">
      <c r="B125" s="761">
        <v>228450</v>
      </c>
      <c r="D125" s="762"/>
      <c r="F125" s="762"/>
      <c r="H125" s="763" t="s">
        <v>1138</v>
      </c>
      <c r="J125" s="753" t="s">
        <v>431</v>
      </c>
      <c r="P125" s="754">
        <f>SUMIF('Balance Sheet Detail'!$B:$B,$Q125,'Balance Sheet Detail'!W:W)</f>
        <v>0</v>
      </c>
      <c r="Q125" s="753" t="s">
        <v>3062</v>
      </c>
    </row>
    <row r="126" spans="1:17">
      <c r="B126" s="761">
        <v>228460</v>
      </c>
      <c r="D126" s="762"/>
      <c r="F126" s="762"/>
      <c r="H126" s="763" t="s">
        <v>1138</v>
      </c>
      <c r="J126" s="753" t="s">
        <v>432</v>
      </c>
      <c r="P126" s="754">
        <f>SUMIF('Balance Sheet Detail'!$B:$B,$Q126,'Balance Sheet Detail'!W:W)</f>
        <v>3706.2943725</v>
      </c>
      <c r="Q126" s="753" t="s">
        <v>3063</v>
      </c>
    </row>
    <row r="127" spans="1:17">
      <c r="B127" s="761">
        <v>230010</v>
      </c>
      <c r="D127" s="762"/>
      <c r="F127" s="762"/>
      <c r="H127" s="763" t="s">
        <v>1138</v>
      </c>
      <c r="J127" s="753" t="s">
        <v>431</v>
      </c>
      <c r="P127" s="754">
        <f>SUMIF('Balance Sheet Detail'!$B:$B,$Q127,'Balance Sheet Detail'!W:W)</f>
        <v>-17636.0684145833</v>
      </c>
      <c r="Q127" s="753" t="s">
        <v>3064</v>
      </c>
    </row>
    <row r="128" spans="1:17">
      <c r="B128" s="761">
        <v>230030</v>
      </c>
      <c r="D128" s="762"/>
      <c r="F128" s="762"/>
      <c r="H128" s="763" t="s">
        <v>1138</v>
      </c>
      <c r="J128" s="753" t="s">
        <v>432</v>
      </c>
      <c r="P128" s="754">
        <f>SUMIF('Balance Sheet Detail'!$B:$B,$Q128,'Balance Sheet Detail'!W:W)</f>
        <v>-1954.6017325</v>
      </c>
      <c r="Q128" s="753" t="s">
        <v>3065</v>
      </c>
    </row>
    <row r="129" spans="2:17">
      <c r="B129" s="761">
        <v>182355</v>
      </c>
      <c r="D129" s="762" t="s">
        <v>983</v>
      </c>
      <c r="F129" s="762"/>
      <c r="H129" s="763" t="s">
        <v>1138</v>
      </c>
      <c r="J129" s="753" t="s">
        <v>1103</v>
      </c>
      <c r="P129" s="754">
        <f>SUMIF('Balance Sheet Detail'!$B:$B,$Q129,'Balance Sheet Detail'!W:W)</f>
        <v>0</v>
      </c>
      <c r="Q129" s="753" t="s">
        <v>3066</v>
      </c>
    </row>
    <row r="130" spans="2:17">
      <c r="B130" s="761">
        <v>182355</v>
      </c>
      <c r="D130" s="762" t="s">
        <v>983</v>
      </c>
      <c r="F130" s="762" t="s">
        <v>928</v>
      </c>
      <c r="H130" s="763" t="s">
        <v>1138</v>
      </c>
      <c r="P130" s="754">
        <f>SUMIF('Balance Sheet Detail'!$B:$B,$Q130,'Balance Sheet Detail'!W:W)</f>
        <v>-9326.6925874999997</v>
      </c>
      <c r="Q130" s="753" t="s">
        <v>3067</v>
      </c>
    </row>
    <row r="131" spans="2:17">
      <c r="B131" s="761">
        <v>182355</v>
      </c>
      <c r="D131" s="762" t="s">
        <v>983</v>
      </c>
      <c r="F131" s="762" t="s">
        <v>929</v>
      </c>
      <c r="H131" s="763" t="s">
        <v>1138</v>
      </c>
      <c r="J131" s="753" t="s">
        <v>1104</v>
      </c>
      <c r="P131" s="754">
        <f>SUMIF('Balance Sheet Detail'!$B:$B,$Q131,'Balance Sheet Detail'!W:W)</f>
        <v>23941.486294583301</v>
      </c>
      <c r="Q131" s="753" t="s">
        <v>3068</v>
      </c>
    </row>
    <row r="132" spans="2:17">
      <c r="B132" s="761">
        <v>182356</v>
      </c>
      <c r="D132" s="762" t="s">
        <v>984</v>
      </c>
      <c r="F132" s="762" t="s">
        <v>930</v>
      </c>
      <c r="H132" s="763" t="s">
        <v>1138</v>
      </c>
      <c r="J132" s="753" t="s">
        <v>1106</v>
      </c>
      <c r="P132" s="754">
        <f>SUMIF('Balance Sheet Detail'!$B:$B,$Q132,'Balance Sheet Detail'!W:W)</f>
        <v>-446.74382708333297</v>
      </c>
      <c r="Q132" s="753" t="s">
        <v>3069</v>
      </c>
    </row>
    <row r="133" spans="2:17">
      <c r="B133" s="761">
        <v>254670</v>
      </c>
      <c r="D133" s="762" t="s">
        <v>1326</v>
      </c>
      <c r="F133" s="762" t="s">
        <v>930</v>
      </c>
      <c r="H133" s="763" t="s">
        <v>1138</v>
      </c>
      <c r="J133" s="753" t="s">
        <v>1327</v>
      </c>
      <c r="P133" s="754">
        <f>SUMIF('Balance Sheet Detail'!$B:$B,$Q133,'Balance Sheet Detail'!W:W)</f>
        <v>-1374.4324829166701</v>
      </c>
      <c r="Q133" s="753" t="s">
        <v>3070</v>
      </c>
    </row>
    <row r="134" spans="2:17">
      <c r="B134" s="761">
        <v>190001</v>
      </c>
      <c r="D134" s="762" t="s">
        <v>1614</v>
      </c>
      <c r="F134" s="762" t="s">
        <v>1613</v>
      </c>
      <c r="H134" s="763" t="s">
        <v>1138</v>
      </c>
      <c r="J134" s="753" t="s">
        <v>1615</v>
      </c>
      <c r="P134" s="754">
        <f>SUMIF('Balance Sheet Detail'!$B:$B,$Q134,'Balance Sheet Detail'!W:W)</f>
        <v>5733.2447725000002</v>
      </c>
      <c r="Q134" s="753" t="s">
        <v>3071</v>
      </c>
    </row>
    <row r="135" spans="2:17">
      <c r="B135" s="761">
        <v>190002</v>
      </c>
      <c r="D135" s="762" t="s">
        <v>1614</v>
      </c>
      <c r="F135" s="762" t="s">
        <v>1613</v>
      </c>
      <c r="H135" s="763" t="s">
        <v>1138</v>
      </c>
      <c r="J135" s="753" t="s">
        <v>1615</v>
      </c>
      <c r="P135" s="754">
        <f>SUMIF('Balance Sheet Detail'!$B:$B,$Q135,'Balance Sheet Detail'!W:W)</f>
        <v>-521.99727208333297</v>
      </c>
      <c r="Q135" s="753" t="s">
        <v>3072</v>
      </c>
    </row>
    <row r="136" spans="2:17">
      <c r="B136" s="761">
        <v>190011</v>
      </c>
      <c r="D136" s="762" t="s">
        <v>1614</v>
      </c>
      <c r="F136" s="762" t="s">
        <v>1613</v>
      </c>
      <c r="H136" s="763" t="s">
        <v>1138</v>
      </c>
      <c r="J136" s="753" t="s">
        <v>1615</v>
      </c>
      <c r="P136" s="754">
        <f>SUMIF('Balance Sheet Detail'!$B:$B,$Q136,'Balance Sheet Detail'!W:W)</f>
        <v>1252.16085875</v>
      </c>
      <c r="Q136" s="753" t="s">
        <v>3073</v>
      </c>
    </row>
    <row r="137" spans="2:17">
      <c r="B137" s="761">
        <v>190012</v>
      </c>
      <c r="D137" s="762" t="s">
        <v>1614</v>
      </c>
      <c r="F137" s="762" t="s">
        <v>1613</v>
      </c>
      <c r="H137" s="763" t="s">
        <v>1138</v>
      </c>
      <c r="J137" s="753" t="s">
        <v>1615</v>
      </c>
      <c r="P137" s="754">
        <f>SUMIF('Balance Sheet Detail'!$B:$B,$Q137,'Balance Sheet Detail'!W:W)</f>
        <v>-113.983717916667</v>
      </c>
      <c r="Q137" s="753" t="s">
        <v>3074</v>
      </c>
    </row>
    <row r="138" spans="2:17">
      <c r="B138" s="761">
        <v>190502</v>
      </c>
      <c r="D138" s="762" t="s">
        <v>1614</v>
      </c>
      <c r="F138" s="762" t="s">
        <v>1613</v>
      </c>
      <c r="H138" s="763" t="s">
        <v>1138</v>
      </c>
      <c r="J138" s="753" t="s">
        <v>1615</v>
      </c>
      <c r="P138" s="754">
        <f>SUMIF('Balance Sheet Detail'!$B:$B,$Q138,'Balance Sheet Detail'!W:W)</f>
        <v>439.948314583333</v>
      </c>
      <c r="Q138" s="753" t="s">
        <v>3075</v>
      </c>
    </row>
    <row r="139" spans="2:17">
      <c r="B139" s="761">
        <v>190512</v>
      </c>
      <c r="D139" s="762" t="s">
        <v>1614</v>
      </c>
      <c r="F139" s="762" t="s">
        <v>1613</v>
      </c>
      <c r="H139" s="763" t="s">
        <v>1138</v>
      </c>
      <c r="J139" s="753" t="s">
        <v>1615</v>
      </c>
      <c r="P139" s="754">
        <f>SUMIF('Balance Sheet Detail'!$B:$B,$Q139,'Balance Sheet Detail'!W:W)</f>
        <v>96.067442499999999</v>
      </c>
      <c r="Q139" s="753" t="s">
        <v>3076</v>
      </c>
    </row>
    <row r="140" spans="2:17">
      <c r="B140" s="761">
        <v>282200</v>
      </c>
      <c r="D140" s="762" t="s">
        <v>1614</v>
      </c>
      <c r="F140" s="762" t="s">
        <v>1613</v>
      </c>
      <c r="H140" s="763" t="s">
        <v>1138</v>
      </c>
      <c r="J140" s="753" t="s">
        <v>1615</v>
      </c>
      <c r="P140" s="754">
        <f>SUMIF('Balance Sheet Detail'!$B:$B,$Q140,'Balance Sheet Detail'!W:W)</f>
        <v>-982.36747041666695</v>
      </c>
      <c r="Q140" s="753" t="s">
        <v>3077</v>
      </c>
    </row>
    <row r="141" spans="2:17">
      <c r="B141" s="761">
        <v>282210</v>
      </c>
      <c r="D141" s="762" t="s">
        <v>1614</v>
      </c>
      <c r="F141" s="762" t="s">
        <v>1613</v>
      </c>
      <c r="H141" s="763" t="s">
        <v>1138</v>
      </c>
      <c r="J141" s="753" t="s">
        <v>1615</v>
      </c>
      <c r="P141" s="754">
        <f>SUMIF('Balance Sheet Detail'!$B:$B,$Q141,'Balance Sheet Detail'!W:W)</f>
        <v>-22.592629166666701</v>
      </c>
      <c r="Q141" s="753" t="s">
        <v>3078</v>
      </c>
    </row>
    <row r="142" spans="2:17">
      <c r="B142" s="761">
        <v>282240</v>
      </c>
      <c r="D142" s="762" t="s">
        <v>1614</v>
      </c>
      <c r="F142" s="762" t="s">
        <v>1613</v>
      </c>
      <c r="H142" s="763" t="s">
        <v>1138</v>
      </c>
      <c r="J142" s="753" t="s">
        <v>1615</v>
      </c>
      <c r="P142" s="754">
        <f>SUMIF('Balance Sheet Detail'!$B:$B,$Q142,'Balance Sheet Detail'!W:W)</f>
        <v>-214.510507916667</v>
      </c>
      <c r="Q142" s="753" t="s">
        <v>3079</v>
      </c>
    </row>
    <row r="143" spans="2:17">
      <c r="B143" s="761">
        <v>282250</v>
      </c>
      <c r="D143" s="762" t="s">
        <v>1614</v>
      </c>
      <c r="F143" s="762" t="s">
        <v>1613</v>
      </c>
      <c r="H143" s="763" t="s">
        <v>1138</v>
      </c>
      <c r="J143" s="753" t="s">
        <v>1615</v>
      </c>
      <c r="P143" s="754">
        <f>SUMIF('Balance Sheet Detail'!$B:$B,$Q143,'Balance Sheet Detail'!W:W)</f>
        <v>-4.9333316666666702</v>
      </c>
      <c r="Q143" s="753" t="s">
        <v>4278</v>
      </c>
    </row>
    <row r="144" spans="2:17">
      <c r="B144" s="761">
        <v>283500</v>
      </c>
      <c r="D144" s="762" t="s">
        <v>2304</v>
      </c>
      <c r="F144" s="762" t="s">
        <v>1613</v>
      </c>
      <c r="H144" s="763" t="s">
        <v>1138</v>
      </c>
      <c r="J144" s="753" t="s">
        <v>2305</v>
      </c>
      <c r="P144" s="754">
        <f>SUMIF('Balance Sheet Detail'!$B:$B,$Q144,'Balance Sheet Detail'!W:W)</f>
        <v>-4728.8432337499999</v>
      </c>
      <c r="Q144" s="753" t="s">
        <v>3080</v>
      </c>
    </row>
    <row r="145" spans="1:17">
      <c r="B145" s="761">
        <v>283510</v>
      </c>
      <c r="D145" s="762" t="s">
        <v>2304</v>
      </c>
      <c r="F145" s="762" t="s">
        <v>1613</v>
      </c>
      <c r="H145" s="763" t="s">
        <v>1138</v>
      </c>
      <c r="J145" s="753" t="s">
        <v>2305</v>
      </c>
      <c r="P145" s="754">
        <f>SUMIF('Balance Sheet Detail'!$B:$B,$Q145,'Balance Sheet Detail'!W:W)</f>
        <v>145.258749166667</v>
      </c>
      <c r="Q145" s="753" t="s">
        <v>3081</v>
      </c>
    </row>
    <row r="146" spans="1:17">
      <c r="B146" s="761">
        <v>283550</v>
      </c>
      <c r="D146" s="762" t="s">
        <v>2304</v>
      </c>
      <c r="F146" s="762" t="s">
        <v>1613</v>
      </c>
      <c r="H146" s="763" t="s">
        <v>1138</v>
      </c>
      <c r="J146" s="753" t="s">
        <v>2305</v>
      </c>
      <c r="P146" s="754">
        <f>SUMIF('Balance Sheet Detail'!$B:$B,$Q146,'Balance Sheet Detail'!W:W)</f>
        <v>-1037.6503495833299</v>
      </c>
      <c r="Q146" s="753" t="s">
        <v>3082</v>
      </c>
    </row>
    <row r="147" spans="1:17">
      <c r="B147" s="761">
        <v>283560</v>
      </c>
      <c r="D147" s="762" t="s">
        <v>2304</v>
      </c>
      <c r="F147" s="762" t="s">
        <v>1613</v>
      </c>
      <c r="H147" s="763" t="s">
        <v>1138</v>
      </c>
      <c r="J147" s="753" t="s">
        <v>2305</v>
      </c>
      <c r="P147" s="754">
        <f>SUMIF('Balance Sheet Detail'!$B:$B,$Q147,'Balance Sheet Detail'!W:W)</f>
        <v>31.718804583333299</v>
      </c>
      <c r="Q147" s="753" t="s">
        <v>3083</v>
      </c>
    </row>
    <row r="148" spans="1:17">
      <c r="D148" s="762"/>
      <c r="F148" s="762"/>
      <c r="H148" s="763"/>
      <c r="P148" s="755"/>
    </row>
    <row r="149" spans="1:17" s="818" customFormat="1" ht="14.25">
      <c r="A149" s="760"/>
      <c r="B149" s="764" t="s">
        <v>2831</v>
      </c>
      <c r="C149" s="814"/>
      <c r="D149" s="815"/>
      <c r="E149" s="814"/>
      <c r="F149" s="815"/>
      <c r="G149" s="814"/>
      <c r="H149" s="816"/>
      <c r="I149" s="814"/>
      <c r="J149" s="817"/>
      <c r="K149" s="814"/>
      <c r="L149" s="814"/>
      <c r="P149" s="756">
        <f>SUM(P121:P148)</f>
        <v>71.520429583347223</v>
      </c>
      <c r="Q149" s="791"/>
    </row>
    <row r="150" spans="1:17">
      <c r="A150" s="760"/>
      <c r="B150" s="819"/>
      <c r="C150" s="820"/>
      <c r="D150" s="819"/>
      <c r="E150" s="820"/>
      <c r="F150" s="819"/>
      <c r="G150" s="820"/>
      <c r="H150" s="820"/>
      <c r="I150" s="820"/>
      <c r="J150" s="821"/>
      <c r="K150" s="820"/>
      <c r="L150" s="820"/>
      <c r="P150" s="757"/>
    </row>
    <row r="151" spans="1:17">
      <c r="A151" s="760" t="s">
        <v>1186</v>
      </c>
      <c r="B151" s="819"/>
      <c r="C151" s="820"/>
      <c r="D151" s="819"/>
      <c r="E151" s="820"/>
      <c r="F151" s="819"/>
      <c r="G151" s="820"/>
      <c r="H151" s="820"/>
      <c r="I151" s="820"/>
      <c r="J151" s="821"/>
      <c r="K151" s="820"/>
      <c r="L151" s="820"/>
      <c r="P151" s="757"/>
    </row>
    <row r="152" spans="1:17">
      <c r="B152" s="761">
        <v>254016</v>
      </c>
      <c r="D152" s="762" t="s">
        <v>1183</v>
      </c>
      <c r="F152" s="762" t="s">
        <v>1184</v>
      </c>
      <c r="H152" s="763" t="s">
        <v>2832</v>
      </c>
      <c r="J152" s="753" t="s">
        <v>1185</v>
      </c>
      <c r="N152" s="763" t="s">
        <v>2436</v>
      </c>
      <c r="P152" s="754">
        <f>SUMIF('Balance Sheet Detail'!$B:$B,$Q152,'Balance Sheet Detail'!W:W)</f>
        <v>-1499.6562008333301</v>
      </c>
      <c r="Q152" s="753" t="s">
        <v>3084</v>
      </c>
    </row>
    <row r="153" spans="1:17">
      <c r="B153" s="761">
        <v>254016</v>
      </c>
      <c r="D153" s="762" t="s">
        <v>1183</v>
      </c>
      <c r="F153" s="762">
        <v>601248</v>
      </c>
      <c r="H153" s="763" t="s">
        <v>2832</v>
      </c>
      <c r="J153" s="753" t="s">
        <v>1185</v>
      </c>
      <c r="N153" s="763" t="s">
        <v>2436</v>
      </c>
      <c r="P153" s="754">
        <f>SUMIF('Balance Sheet Detail'!$B:$B,$Q153,'Balance Sheet Detail'!W:W)</f>
        <v>-9807.0447650000006</v>
      </c>
      <c r="Q153" s="753" t="s">
        <v>4114</v>
      </c>
    </row>
    <row r="154" spans="1:17">
      <c r="B154" s="761">
        <v>254017</v>
      </c>
      <c r="D154" s="762" t="s">
        <v>1240</v>
      </c>
      <c r="F154" s="762" t="s">
        <v>1241</v>
      </c>
      <c r="H154" s="763" t="s">
        <v>2832</v>
      </c>
      <c r="J154" s="753" t="s">
        <v>1185</v>
      </c>
      <c r="N154" s="763" t="s">
        <v>2436</v>
      </c>
      <c r="P154" s="754">
        <f>SUMIF('Balance Sheet Detail'!$B:$B,$Q154,'Balance Sheet Detail'!W:W)</f>
        <v>-4016.2946533333302</v>
      </c>
      <c r="Q154" s="753" t="s">
        <v>3085</v>
      </c>
    </row>
    <row r="155" spans="1:17">
      <c r="B155" s="761">
        <v>254022</v>
      </c>
      <c r="D155" s="762" t="s">
        <v>4468</v>
      </c>
      <c r="F155" s="762">
        <v>601139</v>
      </c>
      <c r="H155" s="763" t="s">
        <v>2832</v>
      </c>
      <c r="J155" s="753" t="s">
        <v>4470</v>
      </c>
      <c r="N155" s="763" t="s">
        <v>2436</v>
      </c>
      <c r="P155" s="754">
        <f>SUMIF('Balance Sheet Detail'!$B:$B,$Q155,'Balance Sheet Detail'!W:W)</f>
        <v>-1312.9946154166701</v>
      </c>
      <c r="Q155" s="753" t="s">
        <v>4474</v>
      </c>
    </row>
    <row r="156" spans="1:17">
      <c r="B156" s="761">
        <v>254022</v>
      </c>
      <c r="D156" s="762" t="s">
        <v>1240</v>
      </c>
      <c r="F156" s="762">
        <v>601140</v>
      </c>
      <c r="H156" s="763" t="s">
        <v>2832</v>
      </c>
      <c r="J156" s="753" t="s">
        <v>4471</v>
      </c>
      <c r="N156" s="763" t="s">
        <v>2436</v>
      </c>
      <c r="P156" s="754">
        <f>SUMIF('Balance Sheet Detail'!$B:$B,$Q156,'Balance Sheet Detail'!W:W)</f>
        <v>-629.70364541666697</v>
      </c>
      <c r="Q156" s="753" t="s">
        <v>4475</v>
      </c>
    </row>
    <row r="157" spans="1:17">
      <c r="B157" s="761">
        <v>254022</v>
      </c>
      <c r="D157" s="762" t="s">
        <v>1183</v>
      </c>
      <c r="F157" s="762">
        <v>601248</v>
      </c>
      <c r="H157" s="763" t="s">
        <v>2832</v>
      </c>
      <c r="J157" s="753" t="s">
        <v>4472</v>
      </c>
      <c r="N157" s="763" t="s">
        <v>2436</v>
      </c>
      <c r="P157" s="754">
        <f>SUMIF('Balance Sheet Detail'!$B:$B,$Q157,'Balance Sheet Detail'!W:W)</f>
        <v>-10600.578987499999</v>
      </c>
      <c r="Q157" s="753" t="s">
        <v>4476</v>
      </c>
    </row>
    <row r="158" spans="1:17">
      <c r="B158" s="761">
        <v>254022</v>
      </c>
      <c r="D158" s="762" t="s">
        <v>4469</v>
      </c>
      <c r="F158" s="762">
        <v>601249</v>
      </c>
      <c r="H158" s="763" t="s">
        <v>2832</v>
      </c>
      <c r="J158" s="753" t="s">
        <v>4473</v>
      </c>
      <c r="N158" s="763" t="s">
        <v>2436</v>
      </c>
      <c r="P158" s="754">
        <f>SUMIF('Balance Sheet Detail'!$B:$B,$Q158,'Balance Sheet Detail'!W:W)</f>
        <v>-3431.2004525000002</v>
      </c>
      <c r="Q158" s="753" t="s">
        <v>4477</v>
      </c>
    </row>
    <row r="159" spans="1:17">
      <c r="B159" s="761">
        <v>190501</v>
      </c>
      <c r="D159" s="762" t="s">
        <v>1917</v>
      </c>
      <c r="F159" s="762" t="s">
        <v>1916</v>
      </c>
      <c r="H159" s="763" t="s">
        <v>2832</v>
      </c>
      <c r="J159" s="753" t="s">
        <v>1918</v>
      </c>
      <c r="N159" s="763" t="s">
        <v>2421</v>
      </c>
      <c r="P159" s="754">
        <f>SUMIF('Balance Sheet Detail'!$B:$B,$Q159,'Balance Sheet Detail'!W:W)</f>
        <v>7550.0722945833304</v>
      </c>
      <c r="Q159" s="753" t="s">
        <v>3086</v>
      </c>
    </row>
    <row r="160" spans="1:17">
      <c r="B160" s="761">
        <v>190502</v>
      </c>
      <c r="D160" s="762" t="s">
        <v>1917</v>
      </c>
      <c r="F160" s="762" t="s">
        <v>1916</v>
      </c>
      <c r="H160" s="763" t="s">
        <v>2832</v>
      </c>
      <c r="J160" s="753" t="s">
        <v>1918</v>
      </c>
      <c r="N160" s="763" t="s">
        <v>2421</v>
      </c>
      <c r="P160" s="754">
        <f>SUMIF('Balance Sheet Detail'!$B:$B,$Q160,'Balance Sheet Detail'!W:W)</f>
        <v>2626.3012591666702</v>
      </c>
      <c r="Q160" s="753" t="s">
        <v>3087</v>
      </c>
    </row>
    <row r="161" spans="1:17">
      <c r="B161" s="761">
        <v>190511</v>
      </c>
      <c r="D161" s="762" t="s">
        <v>1917</v>
      </c>
      <c r="F161" s="762" t="s">
        <v>1916</v>
      </c>
      <c r="H161" s="763" t="s">
        <v>2832</v>
      </c>
      <c r="J161" s="753" t="s">
        <v>1918</v>
      </c>
      <c r="N161" s="763" t="s">
        <v>2421</v>
      </c>
      <c r="P161" s="754">
        <f>SUMIF('Balance Sheet Detail'!$B:$B,$Q161,'Balance Sheet Detail'!W:W)</f>
        <v>1648.63950083333</v>
      </c>
      <c r="Q161" s="753" t="s">
        <v>3088</v>
      </c>
    </row>
    <row r="162" spans="1:17">
      <c r="B162" s="761">
        <v>190512</v>
      </c>
      <c r="D162" s="762" t="s">
        <v>1917</v>
      </c>
      <c r="F162" s="762" t="s">
        <v>1916</v>
      </c>
      <c r="H162" s="763" t="s">
        <v>2832</v>
      </c>
      <c r="J162" s="753" t="s">
        <v>1918</v>
      </c>
      <c r="N162" s="763" t="s">
        <v>2421</v>
      </c>
      <c r="P162" s="755">
        <f>SUMIF('Balance Sheet Detail'!$B:$B,$Q162,'Balance Sheet Detail'!W:W)</f>
        <v>573.48111749999998</v>
      </c>
      <c r="Q162" s="753" t="s">
        <v>3089</v>
      </c>
    </row>
    <row r="163" spans="1:17">
      <c r="A163" s="760"/>
      <c r="B163" s="764" t="s">
        <v>2833</v>
      </c>
      <c r="C163" s="814"/>
      <c r="D163" s="819"/>
      <c r="E163" s="814"/>
      <c r="F163" s="819"/>
      <c r="G163" s="814"/>
      <c r="H163" s="820"/>
      <c r="I163" s="814"/>
      <c r="J163" s="821"/>
      <c r="K163" s="814"/>
      <c r="L163" s="814"/>
      <c r="O163" s="791" t="str">
        <f>IF(SUMIF('Balance Sheet Detail'!$H$7:$H$2493,"Bonus Depreciation Deferral",'Balance Sheet Detail'!$W$7:$W$2493)=P163,"OK", "Missing Line Item")</f>
        <v>OK</v>
      </c>
      <c r="P163" s="756">
        <f>SUM(P152:P162)</f>
        <v>-18898.979147916667</v>
      </c>
      <c r="Q163" s="791"/>
    </row>
    <row r="164" spans="1:17">
      <c r="A164" s="760"/>
      <c r="B164" s="819"/>
      <c r="C164" s="820"/>
      <c r="D164" s="819"/>
      <c r="E164" s="820"/>
      <c r="F164" s="819"/>
      <c r="G164" s="820"/>
      <c r="H164" s="820"/>
      <c r="I164" s="820"/>
      <c r="J164" s="821"/>
      <c r="K164" s="820"/>
      <c r="L164" s="820"/>
      <c r="P164" s="757"/>
    </row>
    <row r="165" spans="1:17">
      <c r="A165" s="760" t="s">
        <v>2834</v>
      </c>
      <c r="B165" s="819"/>
      <c r="C165" s="820"/>
      <c r="D165" s="819"/>
      <c r="E165" s="820"/>
      <c r="F165" s="819"/>
      <c r="G165" s="820"/>
      <c r="H165" s="820"/>
      <c r="I165" s="820"/>
      <c r="J165" s="821"/>
      <c r="K165" s="820"/>
      <c r="L165" s="820"/>
      <c r="P165" s="757"/>
    </row>
    <row r="166" spans="1:17">
      <c r="B166" s="761">
        <v>182301</v>
      </c>
      <c r="D166" s="762" t="s">
        <v>770</v>
      </c>
      <c r="F166" s="762">
        <v>601218</v>
      </c>
      <c r="H166" s="763" t="s">
        <v>824</v>
      </c>
      <c r="J166" s="753" t="s">
        <v>806</v>
      </c>
      <c r="N166" s="763" t="s">
        <v>2436</v>
      </c>
      <c r="P166" s="754">
        <f>SUMIF('Balance Sheet Detail'!$B:$B,$Q166,'Balance Sheet Detail'!W:W)</f>
        <v>83.913702916666693</v>
      </c>
      <c r="Q166" s="753" t="s">
        <v>3090</v>
      </c>
    </row>
    <row r="167" spans="1:17">
      <c r="B167" s="761">
        <v>254016</v>
      </c>
      <c r="D167" s="762" t="s">
        <v>767</v>
      </c>
      <c r="F167" s="762">
        <v>601218</v>
      </c>
      <c r="H167" s="763" t="s">
        <v>824</v>
      </c>
      <c r="J167" s="753" t="s">
        <v>4243</v>
      </c>
      <c r="N167" s="763" t="s">
        <v>2436</v>
      </c>
      <c r="P167" s="754">
        <f>SUMIF('Balance Sheet Detail'!$B:$B,$Q167,'Balance Sheet Detail'!W:W)</f>
        <v>0</v>
      </c>
      <c r="Q167" s="753" t="s">
        <v>4245</v>
      </c>
    </row>
    <row r="168" spans="1:17" ht="15.75">
      <c r="B168" s="761">
        <v>283500</v>
      </c>
      <c r="D168" s="762" t="s">
        <v>770</v>
      </c>
      <c r="F168" s="762"/>
      <c r="H168" s="763" t="s">
        <v>824</v>
      </c>
      <c r="J168" s="822" t="s">
        <v>4047</v>
      </c>
      <c r="N168" s="763" t="s">
        <v>2421</v>
      </c>
      <c r="P168" s="754">
        <f>SUMIF('Balance Sheet Detail'!$B:$B,$Q168,'Balance Sheet Detail'!W:W)</f>
        <v>-27.284545833333301</v>
      </c>
      <c r="Q168" s="753" t="s">
        <v>4126</v>
      </c>
    </row>
    <row r="169" spans="1:17" ht="15.75">
      <c r="B169" s="761">
        <v>283550</v>
      </c>
      <c r="D169" s="762" t="s">
        <v>770</v>
      </c>
      <c r="F169" s="762"/>
      <c r="H169" s="763" t="s">
        <v>824</v>
      </c>
      <c r="J169" s="822" t="s">
        <v>4047</v>
      </c>
      <c r="N169" s="763" t="s">
        <v>2421</v>
      </c>
      <c r="P169" s="754">
        <f>SUMIF('Balance Sheet Detail'!$B:$B,$Q169,'Balance Sheet Detail'!W:W)</f>
        <v>-5.9578679166666699</v>
      </c>
      <c r="Q169" s="753" t="s">
        <v>4127</v>
      </c>
    </row>
    <row r="170" spans="1:17">
      <c r="D170" s="762"/>
      <c r="F170" s="762"/>
      <c r="H170" s="763"/>
      <c r="N170" s="763"/>
      <c r="P170" s="755"/>
    </row>
    <row r="171" spans="1:17">
      <c r="A171" s="760"/>
      <c r="B171" s="764" t="s">
        <v>2835</v>
      </c>
      <c r="C171" s="814"/>
      <c r="D171" s="819"/>
      <c r="E171" s="814"/>
      <c r="F171" s="819"/>
      <c r="G171" s="814"/>
      <c r="H171" s="820"/>
      <c r="I171" s="814"/>
      <c r="J171" s="821"/>
      <c r="K171" s="814"/>
      <c r="L171" s="814"/>
      <c r="O171" s="791" t="str">
        <f>IF(SUMIF('Balance Sheet Detail'!$H$7:$H$2493,'Items Not in Rate Base'!H166,'Balance Sheet Detail'!$W$7:$W$2493)=P171,"OK", "Missing Line Item")</f>
        <v>OK</v>
      </c>
      <c r="P171" s="756">
        <f>SUM(P165:P170)</f>
        <v>50.671289166666725</v>
      </c>
      <c r="Q171" s="791"/>
    </row>
    <row r="172" spans="1:17">
      <c r="A172" s="760"/>
      <c r="B172" s="819"/>
      <c r="C172" s="820"/>
      <c r="D172" s="819"/>
      <c r="E172" s="820"/>
      <c r="F172" s="819"/>
      <c r="G172" s="820"/>
      <c r="H172" s="820"/>
      <c r="I172" s="820"/>
      <c r="J172" s="821"/>
      <c r="K172" s="820"/>
      <c r="L172" s="820"/>
      <c r="P172" s="757"/>
    </row>
    <row r="173" spans="1:17">
      <c r="A173" s="760" t="s">
        <v>1218</v>
      </c>
      <c r="B173" s="819"/>
      <c r="C173" s="820"/>
      <c r="D173" s="819"/>
      <c r="E173" s="820"/>
      <c r="F173" s="819"/>
      <c r="G173" s="820"/>
      <c r="H173" s="820"/>
      <c r="I173" s="820"/>
      <c r="J173" s="821"/>
      <c r="K173" s="820"/>
      <c r="L173" s="820"/>
      <c r="P173" s="757"/>
    </row>
    <row r="174" spans="1:17">
      <c r="B174" s="761">
        <v>254016</v>
      </c>
      <c r="D174" s="762" t="s">
        <v>765</v>
      </c>
      <c r="F174" s="762">
        <v>601254</v>
      </c>
      <c r="H174" s="763" t="s">
        <v>1218</v>
      </c>
      <c r="J174" s="753" t="s">
        <v>1218</v>
      </c>
      <c r="N174" s="753" t="s">
        <v>2421</v>
      </c>
      <c r="P174" s="754">
        <f>SUMIF('Balance Sheet Detail'!$B:$B,$Q174,'Balance Sheet Detail'!W:W)</f>
        <v>-10000</v>
      </c>
      <c r="Q174" s="753" t="s">
        <v>3091</v>
      </c>
    </row>
    <row r="175" spans="1:17">
      <c r="B175" s="761">
        <v>190501</v>
      </c>
      <c r="D175" s="762" t="s">
        <v>765</v>
      </c>
      <c r="F175" s="762"/>
      <c r="H175" s="763" t="s">
        <v>1218</v>
      </c>
      <c r="J175" s="753" t="s">
        <v>1896</v>
      </c>
      <c r="N175" s="753" t="s">
        <v>2421</v>
      </c>
      <c r="P175" s="754">
        <f>SUMIF('Balance Sheet Detail'!$B:$B,$Q175,'Balance Sheet Detail'!W:W)</f>
        <v>3251.5</v>
      </c>
      <c r="Q175" s="753" t="s">
        <v>3092</v>
      </c>
    </row>
    <row r="176" spans="1:17">
      <c r="B176" s="761">
        <v>190511</v>
      </c>
      <c r="D176" s="762" t="s">
        <v>765</v>
      </c>
      <c r="F176" s="762"/>
      <c r="H176" s="763" t="s">
        <v>1218</v>
      </c>
      <c r="J176" s="753" t="s">
        <v>1896</v>
      </c>
      <c r="N176" s="753" t="s">
        <v>2421</v>
      </c>
      <c r="P176" s="754">
        <f>SUMIF('Balance Sheet Detail'!$B:$B,$Q176,'Balance Sheet Detail'!W:W)</f>
        <v>710</v>
      </c>
      <c r="Q176" s="753" t="s">
        <v>3093</v>
      </c>
    </row>
    <row r="177" spans="1:17">
      <c r="D177" s="762"/>
      <c r="F177" s="762"/>
      <c r="H177" s="763"/>
      <c r="P177" s="755"/>
    </row>
    <row r="178" spans="1:17">
      <c r="A178" s="760"/>
      <c r="B178" s="764" t="s">
        <v>2836</v>
      </c>
      <c r="C178" s="814"/>
      <c r="D178" s="819"/>
      <c r="E178" s="814"/>
      <c r="F178" s="819"/>
      <c r="G178" s="814"/>
      <c r="H178" s="820"/>
      <c r="I178" s="814"/>
      <c r="J178" s="821"/>
      <c r="K178" s="814"/>
      <c r="L178" s="814"/>
      <c r="O178" s="791" t="str">
        <f>IF(SUMIF('Balance Sheet Detail'!$H$7:$H$2493,'Items Not in Rate Base'!H174,'Balance Sheet Detail'!$W$7:$W$2493)=P178,"OK", "Missing Line Item")</f>
        <v>OK</v>
      </c>
      <c r="P178" s="756">
        <f>SUM(P174:P177)</f>
        <v>-6038.5</v>
      </c>
      <c r="Q178" s="791"/>
    </row>
    <row r="179" spans="1:17">
      <c r="A179" s="760"/>
      <c r="B179" s="819"/>
      <c r="C179" s="820"/>
      <c r="D179" s="819"/>
      <c r="E179" s="820"/>
      <c r="F179" s="819"/>
      <c r="G179" s="820"/>
      <c r="H179" s="820"/>
      <c r="I179" s="820"/>
      <c r="J179" s="821"/>
      <c r="K179" s="820"/>
      <c r="L179" s="820"/>
      <c r="P179" s="757"/>
    </row>
    <row r="180" spans="1:17">
      <c r="A180" s="760" t="s">
        <v>1784</v>
      </c>
      <c r="B180" s="819"/>
      <c r="C180" s="820"/>
      <c r="D180" s="819"/>
      <c r="E180" s="820"/>
      <c r="F180" s="819"/>
      <c r="G180" s="820"/>
      <c r="H180" s="820"/>
      <c r="I180" s="820"/>
      <c r="J180" s="821"/>
      <c r="K180" s="820"/>
      <c r="L180" s="820"/>
      <c r="P180" s="757"/>
    </row>
    <row r="181" spans="1:17">
      <c r="B181" s="761">
        <v>190501</v>
      </c>
      <c r="D181" s="762" t="s">
        <v>1782</v>
      </c>
      <c r="F181" s="762" t="s">
        <v>1897</v>
      </c>
      <c r="H181" s="763" t="s">
        <v>1784</v>
      </c>
      <c r="J181" s="753" t="s">
        <v>1898</v>
      </c>
      <c r="N181" s="753" t="s">
        <v>2421</v>
      </c>
      <c r="P181" s="754">
        <f>SUMIF('Balance Sheet Detail'!$B:$B,$Q181,'Balance Sheet Detail'!W:W)</f>
        <v>262.04269499999998</v>
      </c>
      <c r="Q181" s="753" t="s">
        <v>3094</v>
      </c>
    </row>
    <row r="182" spans="1:17">
      <c r="B182" s="761">
        <v>190511</v>
      </c>
      <c r="D182" s="762" t="s">
        <v>1782</v>
      </c>
      <c r="F182" s="762" t="s">
        <v>1897</v>
      </c>
      <c r="H182" s="763" t="s">
        <v>1784</v>
      </c>
      <c r="J182" s="753" t="s">
        <v>1898</v>
      </c>
      <c r="N182" s="753" t="s">
        <v>2421</v>
      </c>
      <c r="P182" s="754">
        <f>SUMIF('Balance Sheet Detail'!$B:$B,$Q182,'Balance Sheet Detail'!W:W)</f>
        <v>48.524932499999998</v>
      </c>
      <c r="Q182" s="753" t="s">
        <v>3095</v>
      </c>
    </row>
    <row r="183" spans="1:17">
      <c r="D183" s="762"/>
      <c r="F183" s="762"/>
      <c r="H183" s="763"/>
      <c r="P183" s="755"/>
    </row>
    <row r="184" spans="1:17">
      <c r="A184" s="760"/>
      <c r="B184" s="764" t="s">
        <v>3096</v>
      </c>
      <c r="C184" s="814"/>
      <c r="D184" s="819"/>
      <c r="E184" s="814"/>
      <c r="F184" s="819"/>
      <c r="G184" s="814"/>
      <c r="H184" s="820"/>
      <c r="I184" s="814"/>
      <c r="J184" s="821"/>
      <c r="K184" s="814"/>
      <c r="L184" s="814"/>
      <c r="O184" s="791" t="str">
        <f>IF(SUMIF('Balance Sheet Detail'!$H$7:$H$2493,'Items Not in Rate Base'!H181,'Balance Sheet Detail'!$W$7:$W$2493)=P184,"OK", "Missing Line Item")</f>
        <v>OK</v>
      </c>
      <c r="P184" s="756">
        <f>SUM(P181:P183)</f>
        <v>310.56762749999996</v>
      </c>
      <c r="Q184" s="791"/>
    </row>
    <row r="185" spans="1:17">
      <c r="A185" s="760"/>
      <c r="B185" s="764"/>
      <c r="C185" s="814"/>
      <c r="D185" s="819"/>
      <c r="E185" s="814"/>
      <c r="F185" s="819"/>
      <c r="G185" s="814"/>
      <c r="H185" s="820"/>
      <c r="I185" s="814"/>
      <c r="J185" s="821"/>
      <c r="K185" s="814"/>
      <c r="L185" s="814"/>
      <c r="P185" s="756"/>
    </row>
    <row r="186" spans="1:17">
      <c r="A186" s="760" t="s">
        <v>1552</v>
      </c>
      <c r="B186" s="764"/>
      <c r="C186" s="814"/>
      <c r="D186" s="819"/>
      <c r="E186" s="814"/>
      <c r="F186" s="819"/>
      <c r="G186" s="814"/>
      <c r="H186" s="820"/>
      <c r="I186" s="814"/>
      <c r="J186" s="821"/>
      <c r="K186" s="814"/>
      <c r="L186" s="814"/>
      <c r="P186" s="756"/>
    </row>
    <row r="187" spans="1:17">
      <c r="B187" s="761">
        <v>253040</v>
      </c>
      <c r="D187" s="762"/>
      <c r="F187" s="762"/>
      <c r="H187" s="763" t="s">
        <v>1552</v>
      </c>
      <c r="J187" s="753" t="s">
        <v>1569</v>
      </c>
      <c r="N187" s="753" t="s">
        <v>2421</v>
      </c>
      <c r="P187" s="754">
        <f>SUMIF('Balance Sheet Detail'!$B:$B,$Q187,'Balance Sheet Detail'!W:W)</f>
        <v>-81.421715833333295</v>
      </c>
      <c r="Q187" s="753" t="s">
        <v>3097</v>
      </c>
    </row>
    <row r="188" spans="1:17">
      <c r="B188" s="761">
        <v>253341</v>
      </c>
      <c r="D188" s="762"/>
      <c r="F188" s="762"/>
      <c r="H188" s="763" t="s">
        <v>1552</v>
      </c>
      <c r="J188" s="753" t="s">
        <v>1581</v>
      </c>
      <c r="N188" s="753" t="s">
        <v>2421</v>
      </c>
      <c r="P188" s="754">
        <f>SUMIF('Balance Sheet Detail'!$B:$B,$Q188,'Balance Sheet Detail'!W:W)</f>
        <v>-300.95049499999999</v>
      </c>
      <c r="Q188" s="753" t="s">
        <v>3098</v>
      </c>
    </row>
    <row r="189" spans="1:17">
      <c r="D189" s="762"/>
      <c r="F189" s="762"/>
      <c r="H189" s="763"/>
      <c r="P189" s="755"/>
    </row>
    <row r="190" spans="1:17">
      <c r="A190" s="760"/>
      <c r="B190" s="764" t="s">
        <v>3099</v>
      </c>
      <c r="C190" s="814"/>
      <c r="D190" s="819"/>
      <c r="E190" s="814"/>
      <c r="F190" s="819"/>
      <c r="G190" s="814"/>
      <c r="H190" s="820"/>
      <c r="I190" s="814"/>
      <c r="J190" s="821"/>
      <c r="K190" s="814"/>
      <c r="L190" s="814"/>
      <c r="O190" s="791" t="str">
        <f>IF(SUMIF('Balance Sheet Detail'!$H$7:$H$2493,'Items Not in Rate Base'!H187,'Balance Sheet Detail'!$W$7:$W$2493)=P190,"OK", "Missing Line Item")</f>
        <v>OK</v>
      </c>
      <c r="P190" s="756">
        <f>SUM(P187:P189)</f>
        <v>-382.37221083333327</v>
      </c>
      <c r="Q190" s="791"/>
    </row>
    <row r="191" spans="1:17">
      <c r="A191" s="760"/>
      <c r="B191" s="764"/>
      <c r="C191" s="814"/>
      <c r="D191" s="819"/>
      <c r="E191" s="814"/>
      <c r="F191" s="819"/>
      <c r="G191" s="814"/>
      <c r="H191" s="820"/>
      <c r="I191" s="814"/>
      <c r="J191" s="821"/>
      <c r="K191" s="814"/>
      <c r="L191" s="814"/>
      <c r="P191" s="756"/>
    </row>
    <row r="192" spans="1:17">
      <c r="A192" s="760" t="s">
        <v>1121</v>
      </c>
      <c r="B192" s="764"/>
      <c r="C192" s="814"/>
      <c r="D192" s="819"/>
      <c r="E192" s="814"/>
      <c r="F192" s="819"/>
      <c r="G192" s="814"/>
      <c r="H192" s="820"/>
      <c r="I192" s="814"/>
      <c r="J192" s="821"/>
      <c r="K192" s="814"/>
      <c r="L192" s="814"/>
      <c r="P192" s="756"/>
    </row>
    <row r="193" spans="1:17">
      <c r="B193" s="761">
        <v>182305</v>
      </c>
      <c r="D193" s="762" t="s">
        <v>759</v>
      </c>
      <c r="F193" s="762" t="s">
        <v>871</v>
      </c>
      <c r="H193" s="763" t="s">
        <v>1121</v>
      </c>
      <c r="J193" s="753" t="s">
        <v>1038</v>
      </c>
      <c r="N193" s="753" t="s">
        <v>2436</v>
      </c>
      <c r="P193" s="754">
        <f>SUMIF('Balance Sheet Detail'!$B:$B,$Q193,'Balance Sheet Detail'!W:W)</f>
        <v>0</v>
      </c>
      <c r="Q193" s="753" t="s">
        <v>3100</v>
      </c>
    </row>
    <row r="194" spans="1:17">
      <c r="B194" s="761">
        <v>254016</v>
      </c>
      <c r="D194" s="762" t="s">
        <v>952</v>
      </c>
      <c r="F194" s="762" t="s">
        <v>871</v>
      </c>
      <c r="H194" s="763" t="s">
        <v>1121</v>
      </c>
      <c r="J194" s="753" t="s">
        <v>1217</v>
      </c>
      <c r="N194" s="753" t="s">
        <v>2436</v>
      </c>
      <c r="P194" s="790">
        <f>SUMIF('Balance Sheet Detail'!$B:$B,$Q194,'Balance Sheet Detail'!W:W)</f>
        <v>-3405.6990183333301</v>
      </c>
      <c r="Q194" s="753" t="s">
        <v>3435</v>
      </c>
    </row>
    <row r="195" spans="1:17">
      <c r="B195" s="761">
        <v>190501</v>
      </c>
      <c r="D195" s="762" t="s">
        <v>952</v>
      </c>
      <c r="F195" s="762" t="s">
        <v>1949</v>
      </c>
      <c r="H195" s="763" t="s">
        <v>1174</v>
      </c>
      <c r="J195" s="753" t="s">
        <v>1950</v>
      </c>
      <c r="N195" s="753" t="s">
        <v>2436</v>
      </c>
      <c r="P195" s="754">
        <f>SUMIF('Balance Sheet Detail'!$B:$B,$Q195,'Balance Sheet Detail'!W:W)</f>
        <v>3713.7718450000002</v>
      </c>
      <c r="Q195" s="753" t="s">
        <v>4353</v>
      </c>
    </row>
    <row r="196" spans="1:17">
      <c r="B196" s="761">
        <v>190511</v>
      </c>
      <c r="D196" s="762" t="s">
        <v>2042</v>
      </c>
      <c r="F196" s="762" t="s">
        <v>1949</v>
      </c>
      <c r="H196" s="763" t="s">
        <v>1174</v>
      </c>
      <c r="J196" s="753" t="s">
        <v>1950</v>
      </c>
      <c r="N196" s="753" t="s">
        <v>2436</v>
      </c>
      <c r="P196" s="790">
        <f>SUMIF('Balance Sheet Detail'!$B:$B,$Q196,'Balance Sheet Detail'!W:W)</f>
        <v>697.03192458333297</v>
      </c>
      <c r="Q196" s="753" t="s">
        <v>4354</v>
      </c>
    </row>
    <row r="197" spans="1:17">
      <c r="B197" s="761">
        <v>254021</v>
      </c>
      <c r="D197" s="762" t="s">
        <v>952</v>
      </c>
      <c r="F197" s="762" t="s">
        <v>871</v>
      </c>
      <c r="H197" s="763" t="s">
        <v>1121</v>
      </c>
      <c r="J197" s="753" t="s">
        <v>4449</v>
      </c>
      <c r="N197" s="753" t="s">
        <v>2436</v>
      </c>
      <c r="P197" s="755">
        <f>SUMIF('Balance Sheet Detail'!$B:$B,$Q197,'Balance Sheet Detail'!W:W)</f>
        <v>-4681.6464962500004</v>
      </c>
      <c r="Q197" s="753" t="s">
        <v>4460</v>
      </c>
    </row>
    <row r="198" spans="1:17">
      <c r="A198" s="760"/>
      <c r="B198" s="764" t="s">
        <v>3101</v>
      </c>
      <c r="C198" s="814"/>
      <c r="D198" s="819"/>
      <c r="E198" s="814"/>
      <c r="F198" s="819"/>
      <c r="G198" s="814"/>
      <c r="H198" s="820"/>
      <c r="I198" s="814"/>
      <c r="J198" s="821"/>
      <c r="K198" s="814"/>
      <c r="L198" s="814"/>
      <c r="O198" s="791" t="str">
        <f>(IF(SUMIF('Balance Sheet Detail'!$H$7:$H$2493,'Items Not in Rate Base'!H193,'Balance Sheet Detail'!$W$7:$W$2493)+(SUMIF('Balance Sheet Detail'!$H$7:$H$2493,'Items Not in Rate Base'!H195,'Balance Sheet Detail'!$W$7:$W$2493))=P198,"OK","Missing Line Item"))</f>
        <v>OK</v>
      </c>
      <c r="P198" s="756">
        <f>SUM(P193:P197)</f>
        <v>-3676.5417449999973</v>
      </c>
      <c r="Q198" s="791"/>
    </row>
    <row r="199" spans="1:17">
      <c r="A199" s="760"/>
      <c r="B199" s="764"/>
      <c r="C199" s="814"/>
      <c r="D199" s="819"/>
      <c r="E199" s="814"/>
      <c r="F199" s="819"/>
      <c r="G199" s="814"/>
      <c r="H199" s="820"/>
      <c r="I199" s="814"/>
      <c r="J199" s="821"/>
      <c r="K199" s="814"/>
      <c r="L199" s="814"/>
      <c r="P199" s="756"/>
    </row>
    <row r="200" spans="1:17">
      <c r="A200" s="760" t="s">
        <v>1309</v>
      </c>
      <c r="B200" s="819"/>
      <c r="C200" s="820"/>
      <c r="D200" s="819"/>
      <c r="E200" s="820"/>
      <c r="F200" s="819"/>
      <c r="G200" s="820"/>
      <c r="H200" s="820"/>
      <c r="I200" s="820"/>
      <c r="J200" s="821"/>
      <c r="K200" s="820"/>
      <c r="L200" s="820"/>
      <c r="P200" s="757"/>
    </row>
    <row r="201" spans="1:17">
      <c r="B201" s="761">
        <v>254025</v>
      </c>
      <c r="D201" s="762" t="s">
        <v>1306</v>
      </c>
      <c r="F201" s="762" t="s">
        <v>1310</v>
      </c>
      <c r="H201" s="763" t="s">
        <v>1309</v>
      </c>
      <c r="J201" s="753" t="s">
        <v>1311</v>
      </c>
      <c r="N201" s="753" t="s">
        <v>2436</v>
      </c>
      <c r="P201" s="754">
        <f>SUMIF('Balance Sheet Detail'!$B:$B,$Q201,'Balance Sheet Detail'!W:W)</f>
        <v>-14406.1403466667</v>
      </c>
      <c r="Q201" s="753" t="s">
        <v>3102</v>
      </c>
    </row>
    <row r="202" spans="1:17">
      <c r="B202" s="761">
        <v>254025</v>
      </c>
      <c r="D202" s="762" t="s">
        <v>1306</v>
      </c>
      <c r="F202" s="762">
        <v>601233</v>
      </c>
      <c r="H202" s="763" t="s">
        <v>1309</v>
      </c>
      <c r="J202" s="753" t="s">
        <v>1314</v>
      </c>
      <c r="N202" s="753" t="s">
        <v>2436</v>
      </c>
      <c r="P202" s="754">
        <f>SUMIF('Balance Sheet Detail'!$B:$B,$Q202,'Balance Sheet Detail'!W:W)</f>
        <v>-1695.39586333333</v>
      </c>
      <c r="Q202" s="753" t="s">
        <v>3103</v>
      </c>
    </row>
    <row r="203" spans="1:17">
      <c r="B203" s="761">
        <v>254026</v>
      </c>
      <c r="D203" s="762" t="s">
        <v>1306</v>
      </c>
      <c r="F203" s="762">
        <v>601234</v>
      </c>
      <c r="H203" s="763" t="s">
        <v>1309</v>
      </c>
      <c r="J203" s="753" t="s">
        <v>1315</v>
      </c>
      <c r="N203" s="753" t="s">
        <v>2436</v>
      </c>
      <c r="P203" s="754">
        <f>SUMIF('Balance Sheet Detail'!$B:$B,$Q203,'Balance Sheet Detail'!W:W)</f>
        <v>-796.33164333333298</v>
      </c>
      <c r="Q203" s="753" t="s">
        <v>3104</v>
      </c>
    </row>
    <row r="204" spans="1:17">
      <c r="B204" s="761">
        <v>190501</v>
      </c>
      <c r="D204" s="762" t="s">
        <v>1903</v>
      </c>
      <c r="F204" s="762" t="s">
        <v>1902</v>
      </c>
      <c r="H204" s="763" t="s">
        <v>1309</v>
      </c>
      <c r="J204" s="753" t="s">
        <v>1904</v>
      </c>
      <c r="N204" s="753" t="s">
        <v>2421</v>
      </c>
      <c r="P204" s="754">
        <f>SUMIF('Balance Sheet Detail'!$B:$B,$Q204,'Balance Sheet Detail'!W:W)</f>
        <v>4662.5129754166701</v>
      </c>
      <c r="Q204" s="753" t="s">
        <v>3105</v>
      </c>
    </row>
    <row r="205" spans="1:17">
      <c r="B205" s="761">
        <v>190502</v>
      </c>
      <c r="D205" s="762" t="s">
        <v>1903</v>
      </c>
      <c r="F205" s="762" t="s">
        <v>1902</v>
      </c>
      <c r="H205" s="763" t="s">
        <v>1309</v>
      </c>
      <c r="J205" s="753" t="s">
        <v>1904</v>
      </c>
      <c r="N205" s="753" t="s">
        <v>2436</v>
      </c>
      <c r="P205" s="754">
        <f>SUMIF('Balance Sheet Detail'!$B:$B,$Q205,'Balance Sheet Detail'!W:W)</f>
        <v>258.92723791666702</v>
      </c>
      <c r="Q205" s="753" t="s">
        <v>3106</v>
      </c>
    </row>
    <row r="206" spans="1:17">
      <c r="B206" s="761">
        <v>190511</v>
      </c>
      <c r="D206" s="762" t="s">
        <v>1903</v>
      </c>
      <c r="F206" s="762" t="s">
        <v>1902</v>
      </c>
      <c r="H206" s="763" t="s">
        <v>1309</v>
      </c>
      <c r="J206" s="753" t="s">
        <v>1904</v>
      </c>
      <c r="N206" s="753" t="s">
        <v>2421</v>
      </c>
      <c r="P206" s="754">
        <f>SUMIF('Balance Sheet Detail'!$B:$B,$Q206,'Balance Sheet Detail'!W:W)</f>
        <v>1018.10986958333</v>
      </c>
      <c r="Q206" s="753" t="s">
        <v>3107</v>
      </c>
    </row>
    <row r="207" spans="1:17">
      <c r="B207" s="761">
        <v>190512</v>
      </c>
      <c r="D207" s="762" t="s">
        <v>1903</v>
      </c>
      <c r="F207" s="762" t="s">
        <v>1902</v>
      </c>
      <c r="H207" s="763" t="s">
        <v>1309</v>
      </c>
      <c r="J207" s="753" t="s">
        <v>1904</v>
      </c>
      <c r="N207" s="753" t="s">
        <v>2436</v>
      </c>
      <c r="P207" s="754">
        <f>SUMIF('Balance Sheet Detail'!$B:$B,$Q207,'Balance Sheet Detail'!W:W)</f>
        <v>56.5395416666667</v>
      </c>
      <c r="Q207" s="753" t="s">
        <v>3108</v>
      </c>
    </row>
    <row r="208" spans="1:17">
      <c r="B208" s="761">
        <v>283200</v>
      </c>
      <c r="D208" s="762"/>
      <c r="F208" s="762" t="s">
        <v>2162</v>
      </c>
      <c r="H208" s="763" t="s">
        <v>1309</v>
      </c>
      <c r="J208" s="753" t="s">
        <v>2163</v>
      </c>
      <c r="N208" s="753" t="s">
        <v>2421</v>
      </c>
      <c r="P208" s="754">
        <f>SUMIF('Balance Sheet Detail'!$B:$B,$Q208,'Balance Sheet Detail'!W:W)</f>
        <v>0</v>
      </c>
      <c r="Q208" s="753" t="s">
        <v>3109</v>
      </c>
    </row>
    <row r="209" spans="1:17">
      <c r="B209" s="761">
        <v>283210</v>
      </c>
      <c r="D209" s="762"/>
      <c r="F209" s="762" t="s">
        <v>2162</v>
      </c>
      <c r="H209" s="763" t="s">
        <v>1309</v>
      </c>
      <c r="J209" s="753" t="s">
        <v>2163</v>
      </c>
      <c r="N209" s="753" t="s">
        <v>2421</v>
      </c>
      <c r="P209" s="754">
        <f>SUMIF('Balance Sheet Detail'!$B:$B,$Q209,'Balance Sheet Detail'!W:W)</f>
        <v>0</v>
      </c>
      <c r="Q209" s="753" t="s">
        <v>3110</v>
      </c>
    </row>
    <row r="210" spans="1:17">
      <c r="B210" s="761">
        <v>283400</v>
      </c>
      <c r="D210" s="762"/>
      <c r="F210" s="762" t="s">
        <v>2162</v>
      </c>
      <c r="H210" s="763" t="s">
        <v>1309</v>
      </c>
      <c r="J210" s="753" t="s">
        <v>2163</v>
      </c>
      <c r="N210" s="753" t="s">
        <v>2421</v>
      </c>
      <c r="P210" s="754">
        <f>SUMIF('Balance Sheet Detail'!$B:$B,$Q210,'Balance Sheet Detail'!W:W)</f>
        <v>0</v>
      </c>
      <c r="Q210" s="753" t="s">
        <v>3111</v>
      </c>
    </row>
    <row r="211" spans="1:17">
      <c r="B211" s="761">
        <v>283410</v>
      </c>
      <c r="D211" s="762"/>
      <c r="F211" s="762" t="s">
        <v>2162</v>
      </c>
      <c r="H211" s="763" t="s">
        <v>1309</v>
      </c>
      <c r="J211" s="753" t="s">
        <v>2163</v>
      </c>
      <c r="N211" s="753" t="s">
        <v>2421</v>
      </c>
      <c r="P211" s="754">
        <f>SUMIF('Balance Sheet Detail'!$B:$B,$Q211,'Balance Sheet Detail'!W:W)</f>
        <v>0</v>
      </c>
      <c r="Q211" s="753" t="s">
        <v>3112</v>
      </c>
    </row>
    <row r="212" spans="1:17">
      <c r="D212" s="762"/>
      <c r="F212" s="762"/>
      <c r="H212" s="763"/>
      <c r="P212" s="755"/>
    </row>
    <row r="213" spans="1:17">
      <c r="A213" s="760"/>
      <c r="B213" s="764" t="s">
        <v>2837</v>
      </c>
      <c r="C213" s="814"/>
      <c r="D213" s="819"/>
      <c r="E213" s="814"/>
      <c r="F213" s="819"/>
      <c r="G213" s="814"/>
      <c r="H213" s="820"/>
      <c r="I213" s="814"/>
      <c r="J213" s="821"/>
      <c r="K213" s="814"/>
      <c r="L213" s="814"/>
      <c r="O213" s="791" t="str">
        <f>IF(SUMIF('Balance Sheet Detail'!$H$7:$H$2493,'Items Not in Rate Base'!H201,'Balance Sheet Detail'!$W$7:$W$2493)=P213,"OK", "Missing Line Item")</f>
        <v>OK</v>
      </c>
      <c r="P213" s="756">
        <f>SUM(P201:P212)</f>
        <v>-10901.778228750029</v>
      </c>
      <c r="Q213" s="791"/>
    </row>
    <row r="214" spans="1:17">
      <c r="A214" s="760"/>
      <c r="B214" s="819"/>
      <c r="C214" s="820"/>
      <c r="D214" s="819"/>
      <c r="E214" s="820"/>
      <c r="F214" s="819"/>
      <c r="G214" s="820"/>
      <c r="H214" s="820"/>
      <c r="I214" s="820"/>
      <c r="J214" s="821"/>
      <c r="K214" s="820"/>
      <c r="L214" s="820"/>
      <c r="P214" s="757"/>
    </row>
    <row r="215" spans="1:17">
      <c r="A215" s="760" t="s">
        <v>1131</v>
      </c>
      <c r="B215" s="819"/>
      <c r="C215" s="820"/>
      <c r="D215" s="819"/>
      <c r="E215" s="820"/>
      <c r="F215" s="819"/>
      <c r="G215" s="820"/>
      <c r="H215" s="820"/>
      <c r="I215" s="820"/>
      <c r="J215" s="821"/>
      <c r="K215" s="820"/>
      <c r="L215" s="820"/>
      <c r="P215" s="757"/>
    </row>
    <row r="216" spans="1:17" ht="15" customHeight="1">
      <c r="B216" s="761">
        <v>182306</v>
      </c>
      <c r="D216" s="762" t="s">
        <v>968</v>
      </c>
      <c r="F216" s="762">
        <v>601146</v>
      </c>
      <c r="H216" s="763" t="s">
        <v>1131</v>
      </c>
      <c r="J216" s="753" t="s">
        <v>1084</v>
      </c>
      <c r="N216" s="753" t="s">
        <v>2421</v>
      </c>
      <c r="P216" s="754">
        <f>SUMIF('Balance Sheet Detail'!$B:$B,$Q216,'Balance Sheet Detail'!W:W)</f>
        <v>35.368000000000002</v>
      </c>
      <c r="Q216" s="753" t="s">
        <v>3113</v>
      </c>
    </row>
    <row r="217" spans="1:17" ht="15" customHeight="1">
      <c r="B217" s="761">
        <v>190501</v>
      </c>
      <c r="D217" s="762" t="s">
        <v>4491</v>
      </c>
      <c r="F217" s="762"/>
      <c r="H217" s="763" t="s">
        <v>1131</v>
      </c>
      <c r="J217" s="753" t="s">
        <v>4490</v>
      </c>
      <c r="N217" s="753" t="s">
        <v>2436</v>
      </c>
      <c r="P217" s="754">
        <f>SUMIF('Balance Sheet Detail'!$B:$B,$Q217,'Balance Sheet Detail'!W:W)</f>
        <v>906.61538333333306</v>
      </c>
      <c r="Q217" s="753" t="s">
        <v>4520</v>
      </c>
    </row>
    <row r="218" spans="1:17" ht="15" customHeight="1">
      <c r="B218" s="761">
        <v>190501</v>
      </c>
      <c r="D218" s="762" t="s">
        <v>4491</v>
      </c>
      <c r="F218" s="762"/>
      <c r="H218" s="763" t="s">
        <v>1131</v>
      </c>
      <c r="J218" s="626" t="s">
        <v>4490</v>
      </c>
      <c r="N218" s="753" t="s">
        <v>2436</v>
      </c>
      <c r="P218" s="754">
        <f>SUMIF('Balance Sheet Detail'!$B:$B,$Q218,'Balance Sheet Detail'!W:W)</f>
        <v>188.98220499999999</v>
      </c>
      <c r="Q218" s="753" t="s">
        <v>4524</v>
      </c>
    </row>
    <row r="219" spans="1:17" ht="15" customHeight="1">
      <c r="B219" s="761">
        <v>190502</v>
      </c>
      <c r="D219" s="762" t="s">
        <v>4491</v>
      </c>
      <c r="F219" s="762"/>
      <c r="H219" s="763" t="s">
        <v>1131</v>
      </c>
      <c r="J219" s="753" t="s">
        <v>4490</v>
      </c>
      <c r="N219" s="753" t="s">
        <v>2436</v>
      </c>
      <c r="P219" s="754">
        <f>SUMIF('Balance Sheet Detail'!$B:$B,$Q219,'Balance Sheet Detail'!W:W)</f>
        <v>865.45864708333295</v>
      </c>
      <c r="Q219" s="753" t="s">
        <v>4521</v>
      </c>
    </row>
    <row r="220" spans="1:17" ht="15" customHeight="1">
      <c r="B220" s="761">
        <v>190511</v>
      </c>
      <c r="D220" s="626" t="s">
        <v>4491</v>
      </c>
      <c r="F220" s="762"/>
      <c r="H220" s="763" t="s">
        <v>1131</v>
      </c>
      <c r="J220" s="753" t="s">
        <v>4490</v>
      </c>
      <c r="N220" s="753" t="s">
        <v>2436</v>
      </c>
      <c r="P220" s="754">
        <f>SUMIF('Balance Sheet Detail'!$B:$B,$Q220,'Balance Sheet Detail'!W:W)</f>
        <v>197.969220833333</v>
      </c>
      <c r="Q220" s="753" t="s">
        <v>4523</v>
      </c>
    </row>
    <row r="221" spans="1:17" ht="15" customHeight="1">
      <c r="B221" s="761">
        <v>254016</v>
      </c>
      <c r="D221" s="762" t="s">
        <v>4504</v>
      </c>
      <c r="F221" s="762">
        <v>601120</v>
      </c>
      <c r="H221" s="763" t="s">
        <v>1131</v>
      </c>
      <c r="J221" s="753" t="s">
        <v>4503</v>
      </c>
      <c r="N221" s="753" t="s">
        <v>2421</v>
      </c>
      <c r="P221" s="754">
        <f>SUMIF('Balance Sheet Detail'!$B:$B,$Q221,'Balance Sheet Detail'!W:W)</f>
        <v>-2929.61986958333</v>
      </c>
      <c r="Q221" s="753" t="s">
        <v>4516</v>
      </c>
    </row>
    <row r="222" spans="1:17" ht="15" customHeight="1">
      <c r="B222" s="761">
        <v>254017</v>
      </c>
      <c r="D222" s="762" t="s">
        <v>4504</v>
      </c>
      <c r="F222" s="762">
        <v>601123</v>
      </c>
      <c r="H222" s="763" t="s">
        <v>1131</v>
      </c>
      <c r="J222" s="753" t="s">
        <v>4503</v>
      </c>
      <c r="N222" s="753" t="s">
        <v>2421</v>
      </c>
      <c r="P222" s="754">
        <f>SUMIF('Balance Sheet Detail'!$B:$B,$Q222,'Balance Sheet Detail'!W:W)</f>
        <v>-2473.9947770833301</v>
      </c>
      <c r="Q222" s="442" t="s">
        <v>4517</v>
      </c>
    </row>
    <row r="223" spans="1:17">
      <c r="A223" s="760"/>
      <c r="B223" s="761">
        <v>283510</v>
      </c>
      <c r="D223" s="762" t="s">
        <v>968</v>
      </c>
      <c r="F223" s="762" t="s">
        <v>2366</v>
      </c>
      <c r="H223" s="763"/>
      <c r="J223" s="753" t="s">
        <v>2367</v>
      </c>
      <c r="N223" s="753" t="s">
        <v>2421</v>
      </c>
      <c r="P223" s="754">
        <f>SUMIF('Balance Sheet Detail'!$B:$B,$Q223,'Balance Sheet Detail'!W:W)</f>
        <v>-11.49991</v>
      </c>
      <c r="Q223" s="753" t="s">
        <v>3498</v>
      </c>
    </row>
    <row r="224" spans="1:17">
      <c r="A224" s="760"/>
      <c r="B224" s="761">
        <v>283560</v>
      </c>
      <c r="D224" s="762" t="s">
        <v>968</v>
      </c>
      <c r="F224" s="762" t="s">
        <v>2366</v>
      </c>
      <c r="H224" s="763"/>
      <c r="J224" s="753" t="s">
        <v>2367</v>
      </c>
      <c r="N224" s="753" t="s">
        <v>2421</v>
      </c>
      <c r="P224" s="755">
        <f>SUMIF('Balance Sheet Detail'!$B:$B,$Q224,'Balance Sheet Detail'!W:W)</f>
        <v>-2.5111300000000001</v>
      </c>
      <c r="Q224" s="753" t="s">
        <v>3499</v>
      </c>
    </row>
    <row r="225" spans="1:17">
      <c r="A225" s="760"/>
      <c r="B225" s="764" t="s">
        <v>2838</v>
      </c>
      <c r="C225" s="814"/>
      <c r="D225" s="819"/>
      <c r="E225" s="814"/>
      <c r="F225" s="819"/>
      <c r="G225" s="814"/>
      <c r="H225" s="820"/>
      <c r="I225" s="814"/>
      <c r="J225" s="821"/>
      <c r="K225" s="814"/>
      <c r="L225" s="814"/>
      <c r="O225" s="791" t="str">
        <f>IF(SUMIF('Balance Sheet Detail'!$H$7:$H$2493,'Items Not in Rate Base'!H216,'Balance Sheet Detail'!$W$7:$W$2493)=P225,"OK", "Missing Line Item")</f>
        <v>OK</v>
      </c>
      <c r="P225" s="756">
        <f>SUM(P216:P224)</f>
        <v>-3223.232230416661</v>
      </c>
      <c r="Q225" s="791"/>
    </row>
    <row r="226" spans="1:17">
      <c r="A226" s="760"/>
      <c r="B226" s="819"/>
      <c r="C226" s="820"/>
      <c r="D226" s="819"/>
      <c r="E226" s="820"/>
      <c r="F226" s="819"/>
      <c r="G226" s="820"/>
      <c r="H226" s="820"/>
      <c r="I226" s="820"/>
      <c r="J226" s="821"/>
      <c r="K226" s="820"/>
      <c r="L226" s="820"/>
      <c r="P226" s="757"/>
    </row>
    <row r="227" spans="1:17">
      <c r="A227" s="760" t="s">
        <v>1134</v>
      </c>
      <c r="B227" s="819"/>
      <c r="C227" s="820"/>
      <c r="D227" s="819"/>
      <c r="E227" s="820"/>
      <c r="F227" s="819"/>
      <c r="G227" s="820"/>
      <c r="H227" s="820"/>
      <c r="I227" s="820"/>
      <c r="J227" s="821"/>
      <c r="K227" s="820"/>
      <c r="L227" s="820"/>
      <c r="P227" s="757"/>
    </row>
    <row r="228" spans="1:17">
      <c r="B228" s="761">
        <v>182320</v>
      </c>
      <c r="D228" s="762" t="s">
        <v>977</v>
      </c>
      <c r="F228" s="762">
        <v>601223</v>
      </c>
      <c r="H228" s="763" t="s">
        <v>1134</v>
      </c>
      <c r="J228" s="753" t="s">
        <v>1095</v>
      </c>
      <c r="N228" s="753" t="s">
        <v>2436</v>
      </c>
      <c r="P228" s="754">
        <f>SUMIF('Balance Sheet Detail'!$B:$B,$Q228,'Balance Sheet Detail'!W:W)</f>
        <v>-12116.795909583299</v>
      </c>
      <c r="Q228" s="753" t="s">
        <v>3114</v>
      </c>
    </row>
    <row r="229" spans="1:17">
      <c r="B229" s="761">
        <v>182320</v>
      </c>
      <c r="D229" s="762" t="s">
        <v>978</v>
      </c>
      <c r="F229" s="762">
        <v>601224</v>
      </c>
      <c r="H229" s="763" t="s">
        <v>1134</v>
      </c>
      <c r="J229" s="753" t="s">
        <v>1096</v>
      </c>
      <c r="N229" s="753" t="s">
        <v>2436</v>
      </c>
      <c r="P229" s="754">
        <f>SUMIF('Balance Sheet Detail'!$B:$B,$Q229,'Balance Sheet Detail'!W:W)</f>
        <v>-6138.2630745833303</v>
      </c>
      <c r="Q229" s="753" t="s">
        <v>3115</v>
      </c>
    </row>
    <row r="230" spans="1:17">
      <c r="B230" s="761">
        <v>190001</v>
      </c>
      <c r="D230" s="762" t="s">
        <v>1707</v>
      </c>
      <c r="F230" s="762" t="s">
        <v>1706</v>
      </c>
      <c r="H230" s="763" t="s">
        <v>1134</v>
      </c>
      <c r="J230" s="753" t="s">
        <v>1708</v>
      </c>
      <c r="N230" s="753" t="s">
        <v>2421</v>
      </c>
      <c r="P230" s="754">
        <f>SUMIF('Balance Sheet Detail'!$B:$B,$Q230,'Balance Sheet Detail'!W:W)</f>
        <v>21925.238334166701</v>
      </c>
      <c r="Q230" s="753" t="s">
        <v>3879</v>
      </c>
    </row>
    <row r="231" spans="1:17">
      <c r="B231" s="761">
        <v>190002</v>
      </c>
      <c r="D231" s="762" t="s">
        <v>1707</v>
      </c>
      <c r="F231" s="762" t="s">
        <v>1772</v>
      </c>
      <c r="H231" s="763" t="s">
        <v>1134</v>
      </c>
      <c r="J231" s="753" t="s">
        <v>1708</v>
      </c>
      <c r="N231" s="753" t="s">
        <v>2421</v>
      </c>
      <c r="P231" s="754">
        <f>SUMIF('Balance Sheet Detail'!$B:$B,$Q231,'Balance Sheet Detail'!W:W)</f>
        <v>10101.689992916699</v>
      </c>
      <c r="Q231" s="753" t="s">
        <v>3880</v>
      </c>
    </row>
    <row r="232" spans="1:17">
      <c r="B232" s="761">
        <v>190006</v>
      </c>
      <c r="D232" s="762" t="s">
        <v>1707</v>
      </c>
      <c r="F232" s="762" t="s">
        <v>1706</v>
      </c>
      <c r="H232" s="763" t="s">
        <v>1134</v>
      </c>
      <c r="J232" s="753" t="s">
        <v>1825</v>
      </c>
      <c r="N232" s="753" t="s">
        <v>2421</v>
      </c>
      <c r="P232" s="754">
        <f>SUMIF('Balance Sheet Detail'!$B:$B,$Q232,'Balance Sheet Detail'!W:W)</f>
        <v>2477.5945716666702</v>
      </c>
      <c r="Q232" s="753" t="s">
        <v>3881</v>
      </c>
    </row>
    <row r="233" spans="1:17">
      <c r="B233" s="761">
        <v>190007</v>
      </c>
      <c r="D233" s="762" t="s">
        <v>1707</v>
      </c>
      <c r="F233" s="762" t="s">
        <v>1706</v>
      </c>
      <c r="H233" s="763" t="s">
        <v>1134</v>
      </c>
      <c r="J233" s="753" t="s">
        <v>1825</v>
      </c>
      <c r="N233" s="753" t="s">
        <v>2421</v>
      </c>
      <c r="P233" s="754">
        <f>SUMIF('Balance Sheet Detail'!$B:$B,$Q233,'Balance Sheet Detail'!W:W)</f>
        <v>1834.23708291667</v>
      </c>
      <c r="Q233" s="753" t="s">
        <v>3882</v>
      </c>
    </row>
    <row r="234" spans="1:17">
      <c r="B234" s="761">
        <v>190011</v>
      </c>
      <c r="D234" s="762" t="s">
        <v>1707</v>
      </c>
      <c r="F234" s="762" t="s">
        <v>1706</v>
      </c>
      <c r="H234" s="763" t="s">
        <v>1134</v>
      </c>
      <c r="J234" s="753" t="s">
        <v>1708</v>
      </c>
      <c r="N234" s="753" t="s">
        <v>2421</v>
      </c>
      <c r="P234" s="754">
        <f>SUMIF('Balance Sheet Detail'!$B:$B,$Q234,'Balance Sheet Detail'!W:W)</f>
        <v>4378.20386375</v>
      </c>
      <c r="Q234" s="753" t="s">
        <v>3883</v>
      </c>
    </row>
    <row r="235" spans="1:17">
      <c r="B235" s="761">
        <v>190012</v>
      </c>
      <c r="D235" s="762" t="s">
        <v>1707</v>
      </c>
      <c r="F235" s="762" t="s">
        <v>1706</v>
      </c>
      <c r="H235" s="763" t="s">
        <v>1134</v>
      </c>
      <c r="J235" s="753" t="s">
        <v>1708</v>
      </c>
      <c r="N235" s="753" t="s">
        <v>2421</v>
      </c>
      <c r="P235" s="754">
        <f>SUMIF('Balance Sheet Detail'!$B:$B,$Q235,'Balance Sheet Detail'!W:W)</f>
        <v>2111.2924754166702</v>
      </c>
      <c r="Q235" s="753" t="s">
        <v>3884</v>
      </c>
    </row>
    <row r="236" spans="1:17">
      <c r="B236" s="761">
        <v>190016</v>
      </c>
      <c r="D236" s="762" t="s">
        <v>1707</v>
      </c>
      <c r="F236" s="762" t="s">
        <v>1706</v>
      </c>
      <c r="H236" s="763" t="s">
        <v>1134</v>
      </c>
      <c r="J236" s="753" t="s">
        <v>1825</v>
      </c>
      <c r="N236" s="753" t="s">
        <v>2421</v>
      </c>
      <c r="P236" s="754">
        <f>SUMIF('Balance Sheet Detail'!$B:$B,$Q236,'Balance Sheet Detail'!W:W)</f>
        <v>541.00942416666703</v>
      </c>
      <c r="Q236" s="753" t="s">
        <v>3885</v>
      </c>
    </row>
    <row r="237" spans="1:17">
      <c r="B237" s="761">
        <v>190017</v>
      </c>
      <c r="D237" s="762" t="s">
        <v>1707</v>
      </c>
      <c r="F237" s="762" t="s">
        <v>1706</v>
      </c>
      <c r="H237" s="763" t="s">
        <v>1134</v>
      </c>
      <c r="J237" s="753" t="s">
        <v>1825</v>
      </c>
      <c r="N237" s="753" t="s">
        <v>2421</v>
      </c>
      <c r="P237" s="754">
        <f>SUMIF('Balance Sheet Detail'!$B:$B,$Q237,'Balance Sheet Detail'!W:W)</f>
        <v>400.52540125000002</v>
      </c>
      <c r="Q237" s="753" t="s">
        <v>3886</v>
      </c>
    </row>
    <row r="238" spans="1:17">
      <c r="B238" s="761">
        <v>190501</v>
      </c>
      <c r="D238" s="762" t="s">
        <v>1906</v>
      </c>
      <c r="F238" s="762" t="s">
        <v>1905</v>
      </c>
      <c r="H238" s="763" t="s">
        <v>1134</v>
      </c>
      <c r="J238" s="753" t="s">
        <v>1907</v>
      </c>
      <c r="N238" s="753" t="s">
        <v>2421</v>
      </c>
      <c r="P238" s="754">
        <f>SUMIF('Balance Sheet Detail'!$B:$B,$Q238,'Balance Sheet Detail'!W:W)</f>
        <v>1300.5999999999999</v>
      </c>
      <c r="Q238" s="753" t="s">
        <v>3887</v>
      </c>
    </row>
    <row r="239" spans="1:17">
      <c r="B239" s="761">
        <v>190511</v>
      </c>
      <c r="D239" s="762" t="s">
        <v>1906</v>
      </c>
      <c r="F239" s="762" t="s">
        <v>1905</v>
      </c>
      <c r="H239" s="763" t="s">
        <v>1134</v>
      </c>
      <c r="J239" s="753" t="s">
        <v>1907</v>
      </c>
      <c r="N239" s="753" t="s">
        <v>2421</v>
      </c>
      <c r="P239" s="754">
        <f>SUMIF('Balance Sheet Detail'!$B:$B,$Q239,'Balance Sheet Detail'!W:W)</f>
        <v>284</v>
      </c>
      <c r="Q239" s="753" t="s">
        <v>3888</v>
      </c>
    </row>
    <row r="240" spans="1:17">
      <c r="B240" s="761">
        <v>283200</v>
      </c>
      <c r="D240" s="762"/>
      <c r="F240" s="762" t="s">
        <v>1706</v>
      </c>
      <c r="H240" s="763" t="s">
        <v>1134</v>
      </c>
      <c r="J240" s="753" t="s">
        <v>2243</v>
      </c>
      <c r="N240" s="753" t="s">
        <v>2421</v>
      </c>
      <c r="P240" s="754">
        <f>SUMIF('Balance Sheet Detail'!$B:$B,$Q240,'Balance Sheet Detail'!W:W)</f>
        <v>0</v>
      </c>
      <c r="Q240" s="753" t="s">
        <v>3889</v>
      </c>
    </row>
    <row r="241" spans="1:17">
      <c r="B241" s="761">
        <v>283210</v>
      </c>
      <c r="D241" s="762"/>
      <c r="F241" s="762" t="s">
        <v>1706</v>
      </c>
      <c r="H241" s="763" t="s">
        <v>1134</v>
      </c>
      <c r="J241" s="753" t="s">
        <v>2243</v>
      </c>
      <c r="N241" s="753" t="s">
        <v>2421</v>
      </c>
      <c r="P241" s="754">
        <f>SUMIF('Balance Sheet Detail'!$B:$B,$Q241,'Balance Sheet Detail'!W:W)</f>
        <v>0</v>
      </c>
      <c r="Q241" s="753" t="s">
        <v>3890</v>
      </c>
    </row>
    <row r="242" spans="1:17">
      <c r="B242" s="761">
        <v>283400</v>
      </c>
      <c r="D242" s="762"/>
      <c r="F242" s="762" t="s">
        <v>1706</v>
      </c>
      <c r="H242" s="763" t="s">
        <v>1134</v>
      </c>
      <c r="J242" s="753" t="s">
        <v>2243</v>
      </c>
      <c r="N242" s="753" t="s">
        <v>2421</v>
      </c>
      <c r="P242" s="754">
        <f>SUMIF('Balance Sheet Detail'!$B:$B,$Q242,'Balance Sheet Detail'!W:W)</f>
        <v>0</v>
      </c>
      <c r="Q242" s="753" t="s">
        <v>3891</v>
      </c>
    </row>
    <row r="243" spans="1:17">
      <c r="B243" s="761">
        <v>283410</v>
      </c>
      <c r="D243" s="762"/>
      <c r="F243" s="762" t="s">
        <v>1706</v>
      </c>
      <c r="H243" s="763" t="s">
        <v>1134</v>
      </c>
      <c r="J243" s="753" t="s">
        <v>2243</v>
      </c>
      <c r="N243" s="753" t="s">
        <v>2421</v>
      </c>
      <c r="P243" s="754">
        <f>SUMIF('Balance Sheet Detail'!$B:$B,$Q243,'Balance Sheet Detail'!W:W)</f>
        <v>0</v>
      </c>
      <c r="Q243" s="753" t="s">
        <v>3892</v>
      </c>
    </row>
    <row r="244" spans="1:17">
      <c r="B244" s="761">
        <v>283500</v>
      </c>
      <c r="D244" s="762" t="s">
        <v>2310</v>
      </c>
      <c r="F244" s="762" t="s">
        <v>2309</v>
      </c>
      <c r="H244" s="763" t="s">
        <v>1134</v>
      </c>
      <c r="J244" s="753" t="s">
        <v>2311</v>
      </c>
      <c r="N244" s="753" t="s">
        <v>2421</v>
      </c>
      <c r="P244" s="754">
        <f>SUMIF('Balance Sheet Detail'!$B:$B,$Q244,'Balance Sheet Detail'!W:W)</f>
        <v>-19739.370170833299</v>
      </c>
      <c r="Q244" s="753" t="s">
        <v>3893</v>
      </c>
    </row>
    <row r="245" spans="1:17">
      <c r="B245" s="761">
        <v>283500</v>
      </c>
      <c r="D245" s="762" t="s">
        <v>1707</v>
      </c>
      <c r="F245" s="762" t="s">
        <v>1706</v>
      </c>
      <c r="H245" s="763" t="s">
        <v>1134</v>
      </c>
      <c r="J245" s="753" t="s">
        <v>2243</v>
      </c>
      <c r="N245" s="753" t="s">
        <v>2421</v>
      </c>
      <c r="P245" s="754">
        <f>SUMIF('Balance Sheet Detail'!$B:$B,$Q245,'Balance Sheet Detail'!W:W)</f>
        <v>0</v>
      </c>
      <c r="Q245" s="753" t="s">
        <v>3894</v>
      </c>
    </row>
    <row r="246" spans="1:17">
      <c r="B246" s="761">
        <v>283510</v>
      </c>
      <c r="D246" s="762" t="s">
        <v>2373</v>
      </c>
      <c r="F246" s="762" t="s">
        <v>1706</v>
      </c>
      <c r="H246" s="763" t="s">
        <v>1134</v>
      </c>
      <c r="J246" s="753" t="s">
        <v>2243</v>
      </c>
      <c r="N246" s="753" t="s">
        <v>2421</v>
      </c>
      <c r="P246" s="754">
        <f>SUMIF('Balance Sheet Detail'!$B:$B,$Q246,'Balance Sheet Detail'!W:W)</f>
        <v>-11148.088451666699</v>
      </c>
      <c r="Q246" s="753" t="s">
        <v>3895</v>
      </c>
    </row>
    <row r="247" spans="1:17">
      <c r="B247" s="761">
        <v>283550</v>
      </c>
      <c r="D247" s="762" t="s">
        <v>2373</v>
      </c>
      <c r="F247" s="762" t="s">
        <v>1706</v>
      </c>
      <c r="H247" s="763" t="s">
        <v>1134</v>
      </c>
      <c r="J247" s="753" t="s">
        <v>2243</v>
      </c>
      <c r="N247" s="753" t="s">
        <v>2421</v>
      </c>
      <c r="P247" s="754">
        <f>SUMIF('Balance Sheet Detail'!$B:$B,$Q247,'Balance Sheet Detail'!W:W)</f>
        <v>-4394.4642541666699</v>
      </c>
      <c r="Q247" s="753" t="s">
        <v>3896</v>
      </c>
    </row>
    <row r="248" spans="1:17">
      <c r="B248" s="761">
        <v>283560</v>
      </c>
      <c r="D248" s="762" t="s">
        <v>2373</v>
      </c>
      <c r="F248" s="762" t="s">
        <v>1706</v>
      </c>
      <c r="H248" s="763" t="s">
        <v>1134</v>
      </c>
      <c r="J248" s="753" t="s">
        <v>2243</v>
      </c>
      <c r="N248" s="753" t="s">
        <v>2421</v>
      </c>
      <c r="P248" s="754">
        <f>SUMIF('Balance Sheet Detail'!$B:$B,$Q248,'Balance Sheet Detail'!W:W)</f>
        <v>-2476.8405666666699</v>
      </c>
      <c r="Q248" s="753" t="s">
        <v>3897</v>
      </c>
    </row>
    <row r="249" spans="1:17">
      <c r="B249" s="761">
        <v>283986</v>
      </c>
      <c r="D249" s="762" t="s">
        <v>1707</v>
      </c>
      <c r="F249" s="762" t="s">
        <v>1706</v>
      </c>
      <c r="H249" s="763" t="s">
        <v>1134</v>
      </c>
      <c r="J249" s="753" t="s">
        <v>2385</v>
      </c>
      <c r="N249" s="753" t="s">
        <v>2421</v>
      </c>
      <c r="P249" s="754">
        <f>SUMIF('Balance Sheet Detail'!$B:$B,$Q249,'Balance Sheet Detail'!W:W)</f>
        <v>0</v>
      </c>
      <c r="Q249" s="753" t="s">
        <v>3898</v>
      </c>
    </row>
    <row r="250" spans="1:17">
      <c r="B250" s="761">
        <v>283987</v>
      </c>
      <c r="D250" s="762" t="s">
        <v>1707</v>
      </c>
      <c r="F250" s="762" t="s">
        <v>1706</v>
      </c>
      <c r="H250" s="763" t="s">
        <v>1134</v>
      </c>
      <c r="J250" s="753" t="s">
        <v>2385</v>
      </c>
      <c r="N250" s="753" t="s">
        <v>2421</v>
      </c>
      <c r="P250" s="754">
        <f>SUMIF('Balance Sheet Detail'!$B:$B,$Q250,'Balance Sheet Detail'!W:W)</f>
        <v>0</v>
      </c>
      <c r="Q250" s="753" t="s">
        <v>3899</v>
      </c>
    </row>
    <row r="251" spans="1:17">
      <c r="B251" s="761">
        <v>283988</v>
      </c>
      <c r="D251" s="762" t="s">
        <v>1707</v>
      </c>
      <c r="F251" s="762" t="s">
        <v>1706</v>
      </c>
      <c r="H251" s="763" t="s">
        <v>1134</v>
      </c>
      <c r="J251" s="753" t="s">
        <v>2385</v>
      </c>
      <c r="N251" s="753" t="s">
        <v>2421</v>
      </c>
      <c r="P251" s="754">
        <f>SUMIF('Balance Sheet Detail'!$B:$B,$Q251,'Balance Sheet Detail'!W:W)</f>
        <v>0</v>
      </c>
      <c r="Q251" s="753" t="s">
        <v>3900</v>
      </c>
    </row>
    <row r="252" spans="1:17">
      <c r="B252" s="761">
        <v>283989</v>
      </c>
      <c r="D252" s="762" t="s">
        <v>1707</v>
      </c>
      <c r="F252" s="762" t="s">
        <v>1706</v>
      </c>
      <c r="H252" s="763" t="s">
        <v>1134</v>
      </c>
      <c r="J252" s="753" t="s">
        <v>2385</v>
      </c>
      <c r="N252" s="753" t="s">
        <v>2421</v>
      </c>
      <c r="P252" s="754">
        <f>SUMIF('Balance Sheet Detail'!$B:$B,$Q252,'Balance Sheet Detail'!W:W)</f>
        <v>0</v>
      </c>
      <c r="Q252" s="753" t="s">
        <v>3901</v>
      </c>
    </row>
    <row r="253" spans="1:17">
      <c r="D253" s="762"/>
      <c r="F253" s="762"/>
      <c r="H253" s="763"/>
      <c r="P253" s="755"/>
    </row>
    <row r="254" spans="1:17">
      <c r="A254" s="760"/>
      <c r="B254" s="764" t="s">
        <v>2839</v>
      </c>
      <c r="C254" s="814"/>
      <c r="D254" s="819"/>
      <c r="E254" s="814"/>
      <c r="F254" s="819"/>
      <c r="G254" s="814"/>
      <c r="H254" s="820"/>
      <c r="I254" s="814"/>
      <c r="J254" s="821"/>
      <c r="K254" s="814"/>
      <c r="L254" s="814"/>
      <c r="O254" s="791" t="str">
        <f>IF(SUMIF('Balance Sheet Detail'!$H$7:$H$2493,'Items Not in Rate Base'!H228,'Balance Sheet Detail'!$W$7:$W$2493)=P254,"OK", "Missing Line Item")</f>
        <v>OK</v>
      </c>
      <c r="P254" s="756">
        <f>SUM(P228:P253)</f>
        <v>-10659.431281249892</v>
      </c>
      <c r="Q254" s="791"/>
    </row>
    <row r="255" spans="1:17">
      <c r="A255" s="760"/>
      <c r="B255" s="819"/>
      <c r="C255" s="820"/>
      <c r="D255" s="819"/>
      <c r="E255" s="820"/>
      <c r="F255" s="819"/>
      <c r="G255" s="820"/>
      <c r="H255" s="820"/>
      <c r="I255" s="820"/>
      <c r="J255" s="821"/>
      <c r="K255" s="820"/>
      <c r="L255" s="820"/>
      <c r="P255" s="757"/>
    </row>
    <row r="256" spans="1:17">
      <c r="A256" s="760" t="s">
        <v>1562</v>
      </c>
      <c r="B256" s="819"/>
      <c r="C256" s="820"/>
      <c r="D256" s="819"/>
      <c r="E256" s="820"/>
      <c r="F256" s="819"/>
      <c r="G256" s="820"/>
      <c r="H256" s="820"/>
      <c r="I256" s="820"/>
      <c r="J256" s="821"/>
      <c r="K256" s="820"/>
      <c r="L256" s="820"/>
      <c r="P256" s="757"/>
    </row>
    <row r="257" spans="1:17">
      <c r="B257" s="761">
        <v>253040</v>
      </c>
      <c r="D257" s="762"/>
      <c r="F257" s="762" t="s">
        <v>1560</v>
      </c>
      <c r="H257" s="763" t="s">
        <v>1562</v>
      </c>
      <c r="J257" s="753" t="s">
        <v>1561</v>
      </c>
      <c r="N257" s="753" t="s">
        <v>2421</v>
      </c>
      <c r="P257" s="754">
        <f>SUMIF('Balance Sheet Detail'!$B:$B,$Q257,'Balance Sheet Detail'!W:W)</f>
        <v>-75.529166666666697</v>
      </c>
      <c r="Q257" s="753" t="s">
        <v>3116</v>
      </c>
    </row>
    <row r="258" spans="1:17">
      <c r="D258" s="762"/>
      <c r="F258" s="762"/>
      <c r="H258" s="763"/>
      <c r="P258" s="755"/>
    </row>
    <row r="259" spans="1:17">
      <c r="A259" s="760"/>
      <c r="B259" s="764" t="s">
        <v>3117</v>
      </c>
      <c r="C259" s="814"/>
      <c r="D259" s="819"/>
      <c r="E259" s="814"/>
      <c r="F259" s="819"/>
      <c r="G259" s="814"/>
      <c r="H259" s="820"/>
      <c r="I259" s="814"/>
      <c r="J259" s="821"/>
      <c r="K259" s="814"/>
      <c r="L259" s="814"/>
      <c r="O259" s="791" t="str">
        <f>IF(SUMIF('Balance Sheet Detail'!$H$7:$H$2493,'Items Not in Rate Base'!H257,'Balance Sheet Detail'!$W$7:$W$2493)=P259,"OK", "Missing Line Item")</f>
        <v>OK</v>
      </c>
      <c r="P259" s="756">
        <f>SUM(P257:P258)</f>
        <v>-75.529166666666697</v>
      </c>
      <c r="Q259" s="791"/>
    </row>
    <row r="260" spans="1:17">
      <c r="A260" s="760"/>
      <c r="B260" s="764"/>
      <c r="C260" s="814"/>
      <c r="D260" s="819"/>
      <c r="E260" s="814"/>
      <c r="F260" s="819"/>
      <c r="G260" s="814"/>
      <c r="H260" s="820"/>
      <c r="I260" s="814"/>
      <c r="J260" s="821"/>
      <c r="K260" s="814"/>
      <c r="L260" s="814"/>
      <c r="P260" s="756"/>
    </row>
    <row r="261" spans="1:17">
      <c r="A261" s="760" t="s">
        <v>813</v>
      </c>
      <c r="B261" s="764"/>
      <c r="C261" s="814"/>
      <c r="D261" s="819"/>
      <c r="E261" s="814"/>
      <c r="F261" s="819"/>
      <c r="G261" s="814"/>
      <c r="H261" s="820"/>
      <c r="I261" s="814"/>
      <c r="J261" s="821"/>
      <c r="K261" s="814"/>
      <c r="L261" s="814"/>
      <c r="P261" s="756"/>
    </row>
    <row r="262" spans="1:17">
      <c r="B262" s="761">
        <v>182301</v>
      </c>
      <c r="D262" s="762" t="s">
        <v>759</v>
      </c>
      <c r="F262" s="762" t="s">
        <v>774</v>
      </c>
      <c r="H262" s="763" t="s">
        <v>813</v>
      </c>
      <c r="N262" s="753" t="s">
        <v>2436</v>
      </c>
      <c r="P262" s="754">
        <f>SUMIF('Balance Sheet Detail'!$B:$B,$Q262,'Balance Sheet Detail'!W:W)</f>
        <v>0</v>
      </c>
      <c r="Q262" s="753" t="s">
        <v>3118</v>
      </c>
    </row>
    <row r="263" spans="1:17">
      <c r="B263" s="761">
        <v>182305</v>
      </c>
      <c r="D263" s="762" t="s">
        <v>759</v>
      </c>
      <c r="F263" s="762" t="s">
        <v>874</v>
      </c>
      <c r="H263" s="763" t="s">
        <v>813</v>
      </c>
      <c r="J263" s="753" t="s">
        <v>1040</v>
      </c>
      <c r="N263" s="753" t="s">
        <v>2436</v>
      </c>
      <c r="P263" s="754">
        <f>SUMIF('Balance Sheet Detail'!$B:$B,$Q263,'Balance Sheet Detail'!W:W)</f>
        <v>0</v>
      </c>
      <c r="Q263" s="753" t="s">
        <v>3119</v>
      </c>
    </row>
    <row r="264" spans="1:17">
      <c r="B264" s="761">
        <v>182305</v>
      </c>
      <c r="D264" s="762" t="s">
        <v>759</v>
      </c>
      <c r="F264" s="762" t="s">
        <v>875</v>
      </c>
      <c r="H264" s="763" t="s">
        <v>813</v>
      </c>
      <c r="J264" s="753" t="s">
        <v>1041</v>
      </c>
      <c r="N264" s="753" t="s">
        <v>2436</v>
      </c>
      <c r="P264" s="754">
        <f>SUMIF('Balance Sheet Detail'!$B:$B,$Q264,'Balance Sheet Detail'!W:W)</f>
        <v>0</v>
      </c>
      <c r="Q264" s="753" t="s">
        <v>3120</v>
      </c>
    </row>
    <row r="265" spans="1:17">
      <c r="B265" s="761">
        <v>254012</v>
      </c>
      <c r="D265" s="762" t="s">
        <v>759</v>
      </c>
      <c r="F265" s="762">
        <v>601207</v>
      </c>
      <c r="H265" s="763" t="s">
        <v>813</v>
      </c>
      <c r="J265" s="753" t="s">
        <v>1146</v>
      </c>
      <c r="N265" s="753" t="s">
        <v>2436</v>
      </c>
      <c r="P265" s="754">
        <f>SUMIF('Balance Sheet Detail'!$B:$B,$Q265,'Balance Sheet Detail'!W:W)</f>
        <v>0</v>
      </c>
      <c r="Q265" s="753" t="s">
        <v>3121</v>
      </c>
    </row>
    <row r="266" spans="1:17">
      <c r="B266" s="761">
        <v>254012</v>
      </c>
      <c r="D266" s="762" t="s">
        <v>4128</v>
      </c>
      <c r="F266" s="762">
        <v>601257</v>
      </c>
      <c r="H266" s="763" t="s">
        <v>813</v>
      </c>
      <c r="J266" s="753" t="s">
        <v>4101</v>
      </c>
      <c r="N266" s="753" t="s">
        <v>2436</v>
      </c>
      <c r="P266" s="754">
        <f>SUMIF('Balance Sheet Detail'!$B:$B,$Q266,'Balance Sheet Detail'!W:W)</f>
        <v>-987.09427916666698</v>
      </c>
      <c r="Q266" s="753" t="s">
        <v>4129</v>
      </c>
    </row>
    <row r="267" spans="1:17">
      <c r="B267" s="761">
        <v>254012</v>
      </c>
      <c r="D267" s="762" t="s">
        <v>759</v>
      </c>
      <c r="F267" s="762" t="s">
        <v>4256</v>
      </c>
      <c r="H267" s="763" t="s">
        <v>813</v>
      </c>
      <c r="J267" s="753" t="s">
        <v>1146</v>
      </c>
      <c r="N267" s="753" t="s">
        <v>2436</v>
      </c>
      <c r="P267" s="754">
        <f>SUMIF('Balance Sheet Detail'!$B:$B,$Q267,'Balance Sheet Detail'!W:W)</f>
        <v>-5320.0053138333296</v>
      </c>
      <c r="Q267" s="753" t="s">
        <v>4260</v>
      </c>
    </row>
    <row r="268" spans="1:17">
      <c r="B268" s="761">
        <v>254012</v>
      </c>
      <c r="D268" s="762" t="s">
        <v>759</v>
      </c>
      <c r="F268" s="762" t="s">
        <v>4257</v>
      </c>
      <c r="H268" s="763" t="s">
        <v>813</v>
      </c>
      <c r="J268" s="753" t="s">
        <v>1146</v>
      </c>
      <c r="N268" s="753" t="s">
        <v>2436</v>
      </c>
      <c r="P268" s="754">
        <f>SUMIF('Balance Sheet Detail'!$B:$B,$Q268,'Balance Sheet Detail'!W:W)</f>
        <v>-2313.75777666667</v>
      </c>
      <c r="Q268" s="753" t="s">
        <v>4261</v>
      </c>
    </row>
    <row r="269" spans="1:17">
      <c r="D269" s="762"/>
      <c r="F269" s="762"/>
      <c r="H269" s="763"/>
      <c r="P269" s="755"/>
    </row>
    <row r="270" spans="1:17">
      <c r="A270" s="760"/>
      <c r="B270" s="764" t="s">
        <v>2840</v>
      </c>
      <c r="C270" s="814"/>
      <c r="D270" s="819"/>
      <c r="E270" s="814"/>
      <c r="F270" s="819"/>
      <c r="G270" s="814"/>
      <c r="H270" s="820"/>
      <c r="I270" s="814"/>
      <c r="J270" s="821"/>
      <c r="K270" s="814"/>
      <c r="L270" s="814"/>
      <c r="O270" s="791" t="str">
        <f>IF(SUMIF('Balance Sheet Detail'!$H$7:$H$2493,'Items Not in Rate Base'!H262,'Balance Sheet Detail'!$W$7:$W$2493)=P270,"OK", "Missing Line Item")</f>
        <v>OK</v>
      </c>
      <c r="P270" s="756">
        <f>SUM(P262:P269)</f>
        <v>-8620.8573696666663</v>
      </c>
      <c r="Q270" s="791"/>
    </row>
    <row r="271" spans="1:17">
      <c r="A271" s="760"/>
      <c r="B271" s="764"/>
      <c r="C271" s="814"/>
      <c r="D271" s="819"/>
      <c r="E271" s="814"/>
      <c r="F271" s="819"/>
      <c r="G271" s="814"/>
      <c r="H271" s="820"/>
      <c r="I271" s="814"/>
      <c r="J271" s="821"/>
      <c r="K271" s="814"/>
      <c r="L271" s="814"/>
      <c r="P271" s="756"/>
    </row>
    <row r="272" spans="1:17">
      <c r="A272" s="760" t="s">
        <v>2312</v>
      </c>
      <c r="B272" s="764"/>
      <c r="C272" s="814"/>
      <c r="D272" s="819"/>
      <c r="E272" s="814"/>
      <c r="F272" s="819"/>
      <c r="G272" s="814"/>
      <c r="H272" s="820"/>
      <c r="I272" s="814"/>
      <c r="J272" s="821"/>
      <c r="K272" s="814"/>
      <c r="L272" s="814"/>
      <c r="P272" s="756"/>
    </row>
    <row r="273" spans="1:17">
      <c r="A273" s="760"/>
      <c r="B273" s="761">
        <v>283500</v>
      </c>
      <c r="C273" s="814"/>
      <c r="D273" s="819" t="s">
        <v>4113</v>
      </c>
      <c r="E273" s="814"/>
      <c r="F273" s="819">
        <v>601145</v>
      </c>
      <c r="G273" s="814"/>
      <c r="H273" s="763" t="s">
        <v>2312</v>
      </c>
      <c r="I273" s="814"/>
      <c r="J273" s="753" t="s">
        <v>2312</v>
      </c>
      <c r="K273" s="814"/>
      <c r="L273" s="814"/>
      <c r="N273" s="753" t="s">
        <v>2421</v>
      </c>
      <c r="P273" s="754">
        <f>SUMIF('Balance Sheet Detail'!$B:$B,$Q273,'Balance Sheet Detail'!W:W)</f>
        <v>0</v>
      </c>
      <c r="Q273" s="753" t="s">
        <v>4293</v>
      </c>
    </row>
    <row r="274" spans="1:17">
      <c r="B274" s="761">
        <v>283500</v>
      </c>
      <c r="D274" s="762" t="s">
        <v>1387</v>
      </c>
      <c r="F274" s="762" t="s">
        <v>2312</v>
      </c>
      <c r="H274" s="763" t="s">
        <v>2312</v>
      </c>
      <c r="J274" s="753" t="s">
        <v>2312</v>
      </c>
      <c r="N274" s="753" t="s">
        <v>2421</v>
      </c>
      <c r="P274" s="754">
        <f>SUMIF('Balance Sheet Detail'!$B:$B,$Q274,'Balance Sheet Detail'!W:W)</f>
        <v>183.57946999999999</v>
      </c>
      <c r="Q274" s="753" t="s">
        <v>3122</v>
      </c>
    </row>
    <row r="275" spans="1:17">
      <c r="B275" s="761">
        <v>283550</v>
      </c>
      <c r="D275" s="762"/>
      <c r="F275" s="762" t="s">
        <v>2312</v>
      </c>
      <c r="H275" s="763" t="s">
        <v>2312</v>
      </c>
      <c r="J275" s="753" t="s">
        <v>2312</v>
      </c>
      <c r="N275" s="753" t="s">
        <v>2421</v>
      </c>
      <c r="P275" s="754">
        <f>SUMIF('Balance Sheet Detail'!$B:$B,$Q275,'Balance Sheet Detail'!W:W)</f>
        <v>0</v>
      </c>
      <c r="Q275" s="753" t="s">
        <v>3123</v>
      </c>
    </row>
    <row r="276" spans="1:17">
      <c r="D276" s="762"/>
      <c r="F276" s="762"/>
      <c r="H276" s="763"/>
      <c r="P276" s="755"/>
    </row>
    <row r="277" spans="1:17">
      <c r="A277" s="760"/>
      <c r="B277" s="764" t="s">
        <v>2840</v>
      </c>
      <c r="C277" s="814"/>
      <c r="D277" s="819"/>
      <c r="E277" s="814"/>
      <c r="F277" s="819"/>
      <c r="G277" s="814"/>
      <c r="H277" s="820"/>
      <c r="I277" s="814"/>
      <c r="J277" s="821"/>
      <c r="K277" s="814"/>
      <c r="L277" s="814"/>
      <c r="O277" s="791" t="str">
        <f>IF(SUMIF('Balance Sheet Detail'!$H$7:$H$2493,'Items Not in Rate Base'!H273,'Balance Sheet Detail'!$W$7:$W$2493)=P277,"OK", "Missing Line Item")</f>
        <v>OK</v>
      </c>
      <c r="P277" s="756">
        <f>SUM(P273:P276)</f>
        <v>183.57946999999999</v>
      </c>
      <c r="Q277" s="791"/>
    </row>
    <row r="278" spans="1:17">
      <c r="A278" s="760"/>
      <c r="B278" s="819"/>
      <c r="C278" s="820"/>
      <c r="D278" s="819"/>
      <c r="E278" s="820"/>
      <c r="F278" s="819"/>
      <c r="G278" s="820"/>
      <c r="H278" s="820"/>
      <c r="I278" s="820"/>
      <c r="J278" s="821"/>
      <c r="K278" s="820"/>
      <c r="L278" s="820"/>
      <c r="P278" s="757"/>
    </row>
    <row r="279" spans="1:17">
      <c r="A279" s="760" t="s">
        <v>3431</v>
      </c>
      <c r="B279" s="819"/>
      <c r="C279" s="820"/>
      <c r="D279" s="819"/>
      <c r="E279" s="820"/>
      <c r="F279" s="819"/>
      <c r="G279" s="820"/>
      <c r="H279" s="820"/>
      <c r="I279" s="820"/>
      <c r="J279" s="821"/>
      <c r="K279" s="820"/>
      <c r="L279" s="820"/>
      <c r="P279" s="757"/>
    </row>
    <row r="280" spans="1:17">
      <c r="B280" s="761">
        <v>242035</v>
      </c>
      <c r="D280" s="762"/>
      <c r="F280" s="762"/>
      <c r="H280" s="763" t="s">
        <v>3431</v>
      </c>
      <c r="J280" s="753" t="s">
        <v>600</v>
      </c>
      <c r="P280" s="754">
        <f>SUMIF('Balance Sheet Detail'!$B:$B,$Q280,'Balance Sheet Detail'!W:W)</f>
        <v>-810.88014541666701</v>
      </c>
      <c r="Q280" s="753" t="s">
        <v>3432</v>
      </c>
    </row>
    <row r="281" spans="1:17">
      <c r="B281" s="761">
        <v>242070</v>
      </c>
      <c r="D281" s="762"/>
      <c r="F281" s="762"/>
      <c r="H281" s="763" t="s">
        <v>3431</v>
      </c>
      <c r="J281" s="753" t="s">
        <v>602</v>
      </c>
      <c r="P281" s="754">
        <f>SUMIF('Balance Sheet Detail'!$B:$B,$Q281,'Balance Sheet Detail'!W:W)</f>
        <v>-547.31847333333303</v>
      </c>
      <c r="Q281" s="753" t="s">
        <v>3433</v>
      </c>
    </row>
    <row r="282" spans="1:17">
      <c r="B282" s="761">
        <v>242036</v>
      </c>
      <c r="D282" s="762"/>
      <c r="F282" s="762"/>
      <c r="H282" s="763" t="s">
        <v>3431</v>
      </c>
      <c r="J282" s="753" t="s">
        <v>4542</v>
      </c>
      <c r="N282" s="753" t="s">
        <v>2421</v>
      </c>
      <c r="P282" s="754">
        <f>SUMIF('Balance Sheet Detail'!$B:$B,$Q282,'Balance Sheet Detail'!W:W)</f>
        <v>-52.687021250000001</v>
      </c>
      <c r="Q282" s="753" t="s">
        <v>4553</v>
      </c>
    </row>
    <row r="283" spans="1:17">
      <c r="B283" s="761">
        <v>242037</v>
      </c>
      <c r="D283" s="762"/>
      <c r="F283" s="762"/>
      <c r="H283" s="763" t="s">
        <v>3431</v>
      </c>
      <c r="J283" s="753" t="s">
        <v>4543</v>
      </c>
      <c r="N283" s="753" t="s">
        <v>2421</v>
      </c>
      <c r="P283" s="754">
        <f>SUMIF('Balance Sheet Detail'!$B:$B,$Q283,'Balance Sheet Detail'!W:W)</f>
        <v>-53.3834175</v>
      </c>
      <c r="Q283" s="753" t="s">
        <v>4554</v>
      </c>
    </row>
    <row r="284" spans="1:17">
      <c r="B284" s="761">
        <v>190003</v>
      </c>
      <c r="D284" s="762" t="s">
        <v>1794</v>
      </c>
      <c r="F284" s="762" t="s">
        <v>1793</v>
      </c>
      <c r="H284" s="763" t="s">
        <v>1796</v>
      </c>
      <c r="J284" s="753" t="s">
        <v>1796</v>
      </c>
      <c r="N284" s="753" t="s">
        <v>2421</v>
      </c>
      <c r="P284" s="754">
        <f>SUMIF('Balance Sheet Detail'!$B:$B,$Q284,'Balance Sheet Detail'!W:W)</f>
        <v>0</v>
      </c>
      <c r="Q284" s="753" t="s">
        <v>4280</v>
      </c>
    </row>
    <row r="285" spans="1:17">
      <c r="B285" s="761">
        <v>190004</v>
      </c>
      <c r="D285" s="762" t="s">
        <v>1794</v>
      </c>
      <c r="F285" s="762" t="s">
        <v>1793</v>
      </c>
      <c r="H285" s="763" t="s">
        <v>1796</v>
      </c>
      <c r="J285" s="753" t="s">
        <v>1796</v>
      </c>
      <c r="N285" s="753" t="s">
        <v>2421</v>
      </c>
      <c r="P285" s="754">
        <f>SUMIF('Balance Sheet Detail'!$B:$B,$Q285,'Balance Sheet Detail'!W:W)</f>
        <v>0</v>
      </c>
      <c r="Q285" s="753" t="s">
        <v>4281</v>
      </c>
    </row>
    <row r="286" spans="1:17">
      <c r="B286" s="761">
        <v>190013</v>
      </c>
      <c r="D286" s="762" t="s">
        <v>1794</v>
      </c>
      <c r="F286" s="762" t="s">
        <v>1793</v>
      </c>
      <c r="H286" s="763" t="s">
        <v>1796</v>
      </c>
      <c r="J286" s="753" t="s">
        <v>1796</v>
      </c>
      <c r="N286" s="753" t="s">
        <v>2421</v>
      </c>
      <c r="P286" s="754">
        <f>SUMIF('Balance Sheet Detail'!$B:$B,$Q286,'Balance Sheet Detail'!W:W)</f>
        <v>0</v>
      </c>
      <c r="Q286" s="753" t="s">
        <v>4282</v>
      </c>
    </row>
    <row r="287" spans="1:17">
      <c r="B287" s="761">
        <v>190014</v>
      </c>
      <c r="D287" s="762" t="s">
        <v>1794</v>
      </c>
      <c r="F287" s="762" t="s">
        <v>1793</v>
      </c>
      <c r="H287" s="763" t="s">
        <v>1796</v>
      </c>
      <c r="J287" s="753" t="s">
        <v>1796</v>
      </c>
      <c r="N287" s="753" t="s">
        <v>2421</v>
      </c>
      <c r="P287" s="754">
        <f>SUMIF('Balance Sheet Detail'!$B:$B,$Q287,'Balance Sheet Detail'!W:W)</f>
        <v>0</v>
      </c>
      <c r="Q287" s="753" t="s">
        <v>4283</v>
      </c>
    </row>
    <row r="288" spans="1:17">
      <c r="B288" s="761">
        <v>190031</v>
      </c>
      <c r="D288" s="762" t="s">
        <v>1794</v>
      </c>
      <c r="F288" s="762"/>
      <c r="H288" s="763" t="s">
        <v>1796</v>
      </c>
      <c r="J288" s="753" t="s">
        <v>1796</v>
      </c>
      <c r="N288" s="753" t="s">
        <v>2421</v>
      </c>
      <c r="P288" s="754">
        <f>SUMIF('Balance Sheet Detail'!$B:$B,$Q288,'Balance Sheet Detail'!W:W)</f>
        <v>241.88941750000001</v>
      </c>
      <c r="Q288" s="753" t="s">
        <v>4284</v>
      </c>
    </row>
    <row r="289" spans="1:17">
      <c r="B289" s="761">
        <v>190032</v>
      </c>
      <c r="D289" s="762" t="s">
        <v>1794</v>
      </c>
      <c r="F289" s="762"/>
      <c r="H289" s="763" t="s">
        <v>1796</v>
      </c>
      <c r="J289" s="753" t="s">
        <v>1796</v>
      </c>
      <c r="N289" s="753" t="s">
        <v>2421</v>
      </c>
      <c r="P289" s="754">
        <f>SUMIF('Balance Sheet Detail'!$B:$B,$Q289,'Balance Sheet Detail'!W:W)</f>
        <v>149.70575833333299</v>
      </c>
      <c r="Q289" s="753" t="s">
        <v>4285</v>
      </c>
    </row>
    <row r="290" spans="1:17">
      <c r="B290" s="761">
        <v>190041</v>
      </c>
      <c r="D290" s="762" t="s">
        <v>1794</v>
      </c>
      <c r="F290" s="762"/>
      <c r="H290" s="763" t="s">
        <v>1796</v>
      </c>
      <c r="J290" s="753" t="s">
        <v>1796</v>
      </c>
      <c r="N290" s="753" t="s">
        <v>2421</v>
      </c>
      <c r="P290" s="754">
        <f>SUMIF('Balance Sheet Detail'!$B:$B,$Q290,'Balance Sheet Detail'!W:W)</f>
        <v>40.717117916666702</v>
      </c>
      <c r="Q290" s="753" t="s">
        <v>4286</v>
      </c>
    </row>
    <row r="291" spans="1:17">
      <c r="B291" s="761">
        <v>190042</v>
      </c>
      <c r="D291" s="762" t="s">
        <v>1794</v>
      </c>
      <c r="F291" s="762"/>
      <c r="H291" s="763" t="s">
        <v>1796</v>
      </c>
      <c r="J291" s="753" t="s">
        <v>1796</v>
      </c>
      <c r="N291" s="753" t="s">
        <v>2421</v>
      </c>
      <c r="P291" s="754">
        <f>SUMIF('Balance Sheet Detail'!$B:$B,$Q291,'Balance Sheet Detail'!W:W)</f>
        <v>26.173524166666699</v>
      </c>
      <c r="Q291" s="753" t="s">
        <v>3124</v>
      </c>
    </row>
    <row r="292" spans="1:17">
      <c r="D292" s="762"/>
      <c r="F292" s="762"/>
      <c r="H292" s="763"/>
      <c r="P292" s="755"/>
    </row>
    <row r="293" spans="1:17">
      <c r="A293" s="760"/>
      <c r="B293" s="764" t="s">
        <v>3434</v>
      </c>
      <c r="C293" s="814"/>
      <c r="D293" s="819"/>
      <c r="E293" s="814"/>
      <c r="F293" s="819"/>
      <c r="G293" s="814"/>
      <c r="H293" s="820"/>
      <c r="I293" s="814"/>
      <c r="J293" s="821"/>
      <c r="K293" s="814"/>
      <c r="L293" s="814"/>
      <c r="O293" s="791" t="str">
        <f>IF((SUMIF('Balance Sheet Detail'!$H$7:$H$2493,'Items Not in Rate Base'!H280,'Balance Sheet Detail'!$W$7:$W$2493)+SUMIF('Balance Sheet Detail'!$H$7:$H$2493,'Items Not in Rate Base'!H284,'Balance Sheet Detail'!$W$7:$W$2493))=P293,"OK", "Missing Line Item")</f>
        <v>OK</v>
      </c>
      <c r="P293" s="756">
        <f>SUM(P280:P292)</f>
        <v>-1005.7832395833337</v>
      </c>
      <c r="Q293" s="791"/>
    </row>
    <row r="294" spans="1:17">
      <c r="A294" s="760"/>
      <c r="B294" s="819"/>
      <c r="C294" s="820"/>
      <c r="D294" s="819"/>
      <c r="E294" s="820"/>
      <c r="F294" s="819"/>
      <c r="G294" s="820"/>
      <c r="H294" s="820"/>
      <c r="I294" s="820"/>
      <c r="J294" s="821"/>
      <c r="K294" s="820"/>
      <c r="L294" s="820"/>
      <c r="P294" s="757"/>
    </row>
    <row r="295" spans="1:17">
      <c r="A295" s="760" t="s">
        <v>2841</v>
      </c>
      <c r="B295" s="764"/>
      <c r="C295" s="814"/>
      <c r="D295" s="762"/>
      <c r="E295" s="814"/>
      <c r="F295" s="762"/>
      <c r="G295" s="814"/>
      <c r="H295" s="763"/>
      <c r="I295" s="814"/>
      <c r="K295" s="814"/>
      <c r="L295" s="814"/>
      <c r="P295" s="756"/>
    </row>
    <row r="296" spans="1:17">
      <c r="B296" s="761">
        <v>236007</v>
      </c>
      <c r="D296" s="762"/>
      <c r="F296" s="762"/>
      <c r="H296" s="763" t="s">
        <v>2841</v>
      </c>
      <c r="J296" s="753" t="s">
        <v>522</v>
      </c>
      <c r="N296" s="753" t="s">
        <v>2421</v>
      </c>
      <c r="P296" s="754">
        <f>SUMIF('Balance Sheet Detail'!$B:$B,$Q296,'Balance Sheet Detail'!W:W)</f>
        <v>0</v>
      </c>
      <c r="Q296" s="753" t="s">
        <v>2842</v>
      </c>
    </row>
    <row r="297" spans="1:17">
      <c r="B297" s="761">
        <v>236008</v>
      </c>
      <c r="D297" s="762"/>
      <c r="F297" s="762"/>
      <c r="H297" s="763" t="s">
        <v>2841</v>
      </c>
      <c r="J297" s="753" t="s">
        <v>523</v>
      </c>
      <c r="N297" s="753" t="s">
        <v>2421</v>
      </c>
      <c r="P297" s="754">
        <f>SUMIF('Balance Sheet Detail'!$B:$B,$Q297,'Balance Sheet Detail'!W:W)</f>
        <v>0</v>
      </c>
      <c r="Q297" s="753" t="s">
        <v>2843</v>
      </c>
    </row>
    <row r="298" spans="1:17">
      <c r="B298" s="761">
        <v>236009</v>
      </c>
      <c r="D298" s="762"/>
      <c r="F298" s="762"/>
      <c r="H298" s="763" t="s">
        <v>2841</v>
      </c>
      <c r="J298" s="753" t="s">
        <v>524</v>
      </c>
      <c r="N298" s="753" t="s">
        <v>2421</v>
      </c>
      <c r="P298" s="754">
        <f>SUMIF('Balance Sheet Detail'!$B:$B,$Q298,'Balance Sheet Detail'!W:W)</f>
        <v>0</v>
      </c>
      <c r="Q298" s="753" t="s">
        <v>2844</v>
      </c>
    </row>
    <row r="299" spans="1:17" ht="15" customHeight="1">
      <c r="D299" s="762"/>
      <c r="F299" s="762"/>
      <c r="H299" s="763"/>
      <c r="P299" s="754"/>
    </row>
    <row r="300" spans="1:17" ht="15" customHeight="1">
      <c r="D300" s="762"/>
      <c r="F300" s="762"/>
      <c r="H300" s="763"/>
      <c r="P300" s="755"/>
    </row>
    <row r="301" spans="1:17">
      <c r="A301" s="760"/>
      <c r="B301" s="764" t="s">
        <v>2845</v>
      </c>
      <c r="C301" s="814"/>
      <c r="D301" s="762"/>
      <c r="E301" s="814"/>
      <c r="F301" s="762"/>
      <c r="G301" s="814"/>
      <c r="H301" s="763"/>
      <c r="I301" s="814"/>
      <c r="K301" s="814"/>
      <c r="L301" s="814"/>
      <c r="O301" s="791" t="str">
        <f>IF(SUMIF('Balance Sheet Detail'!$H$7:$H$2493,'Items Not in Rate Base'!H296,'Balance Sheet Detail'!$W$7:$W$2493)=P301,"OK", "Missing Line Item")</f>
        <v>OK</v>
      </c>
      <c r="P301" s="756">
        <f>SUM(P296:P300)</f>
        <v>0</v>
      </c>
      <c r="Q301" s="791"/>
    </row>
    <row r="302" spans="1:17">
      <c r="A302" s="760"/>
      <c r="B302" s="764"/>
      <c r="C302" s="814"/>
      <c r="D302" s="762"/>
      <c r="E302" s="814"/>
      <c r="F302" s="762"/>
      <c r="G302" s="814"/>
      <c r="H302" s="763"/>
      <c r="I302" s="814"/>
      <c r="K302" s="814"/>
      <c r="L302" s="814"/>
      <c r="P302" s="756"/>
    </row>
    <row r="303" spans="1:17">
      <c r="A303" s="760" t="s">
        <v>1142</v>
      </c>
      <c r="D303" s="762"/>
      <c r="F303" s="762"/>
      <c r="H303" s="763"/>
      <c r="P303" s="757"/>
    </row>
    <row r="304" spans="1:17">
      <c r="B304" s="761">
        <v>182371</v>
      </c>
      <c r="D304" s="762" t="s">
        <v>989</v>
      </c>
      <c r="F304" s="762">
        <v>182371</v>
      </c>
      <c r="H304" s="763" t="s">
        <v>1142</v>
      </c>
      <c r="J304" s="753" t="s">
        <v>259</v>
      </c>
      <c r="N304" s="753" t="s">
        <v>2436</v>
      </c>
      <c r="P304" s="754">
        <f>SUMIF('Balance Sheet Detail'!$B:$B,$Q304,'Balance Sheet Detail'!W:W)</f>
        <v>-210.90293708333201</v>
      </c>
      <c r="Q304" s="753" t="s">
        <v>3178</v>
      </c>
    </row>
    <row r="305" spans="2:17">
      <c r="B305" s="761">
        <v>182371</v>
      </c>
      <c r="D305" s="762" t="s">
        <v>988</v>
      </c>
      <c r="F305" s="762" t="s">
        <v>4330</v>
      </c>
      <c r="H305" s="763" t="s">
        <v>1142</v>
      </c>
      <c r="J305" s="753" t="s">
        <v>1142</v>
      </c>
      <c r="N305" s="753" t="s">
        <v>2436</v>
      </c>
      <c r="P305" s="754">
        <f>SUMIF('Balance Sheet Detail'!$B:$B,$Q305,'Balance Sheet Detail'!W:W)</f>
        <v>165.34335250000001</v>
      </c>
      <c r="Q305" s="753" t="s">
        <v>4400</v>
      </c>
    </row>
    <row r="306" spans="2:17">
      <c r="B306" s="761">
        <v>182371</v>
      </c>
      <c r="D306" s="762" t="s">
        <v>988</v>
      </c>
      <c r="F306" s="762" t="s">
        <v>4328</v>
      </c>
      <c r="H306" s="763" t="s">
        <v>1142</v>
      </c>
      <c r="J306" s="753" t="s">
        <v>1142</v>
      </c>
      <c r="N306" s="753" t="s">
        <v>2436</v>
      </c>
      <c r="P306" s="754">
        <f>SUMIF('Balance Sheet Detail'!$B:$B,$Q306,'Balance Sheet Detail'!W:W)</f>
        <v>357.72701458333302</v>
      </c>
      <c r="Q306" s="753" t="s">
        <v>4401</v>
      </c>
    </row>
    <row r="307" spans="2:17">
      <c r="B307" s="761">
        <v>186255</v>
      </c>
      <c r="D307" s="753"/>
      <c r="F307" s="762" t="s">
        <v>4387</v>
      </c>
      <c r="H307" s="763" t="s">
        <v>1142</v>
      </c>
      <c r="J307" s="753" t="s">
        <v>4386</v>
      </c>
      <c r="N307" s="753" t="s">
        <v>2436</v>
      </c>
      <c r="P307" s="754">
        <f>SUMIF('Balance Sheet Detail'!$B:$B,$Q307,'Balance Sheet Detail'!W:W)</f>
        <v>0.78315666666666695</v>
      </c>
      <c r="Q307" s="753" t="s">
        <v>4390</v>
      </c>
    </row>
    <row r="308" spans="2:17">
      <c r="B308" s="761">
        <v>254015</v>
      </c>
      <c r="D308" s="762" t="s">
        <v>1148</v>
      </c>
      <c r="F308" s="762"/>
      <c r="H308" s="763" t="s">
        <v>1142</v>
      </c>
      <c r="J308" s="753" t="s">
        <v>1149</v>
      </c>
      <c r="N308" s="753" t="s">
        <v>2436</v>
      </c>
      <c r="P308" s="754">
        <f>SUMIF('Balance Sheet Detail'!$B:$B,$Q308,'Balance Sheet Detail'!W:W)</f>
        <v>0</v>
      </c>
      <c r="Q308" s="753" t="s">
        <v>3179</v>
      </c>
    </row>
    <row r="309" spans="2:17">
      <c r="B309" s="761">
        <v>254015</v>
      </c>
      <c r="D309" s="762" t="s">
        <v>1150</v>
      </c>
      <c r="F309" s="762">
        <v>601136</v>
      </c>
      <c r="H309" s="763" t="s">
        <v>1142</v>
      </c>
      <c r="J309" s="753" t="s">
        <v>1151</v>
      </c>
      <c r="N309" s="753" t="s">
        <v>2436</v>
      </c>
      <c r="P309" s="754">
        <f>SUMIF('Balance Sheet Detail'!$B:$B,$Q309,'Balance Sheet Detail'!W:W)</f>
        <v>1.4E-14</v>
      </c>
      <c r="Q309" s="753" t="s">
        <v>2848</v>
      </c>
    </row>
    <row r="310" spans="2:17">
      <c r="B310" s="761">
        <v>254015</v>
      </c>
      <c r="D310" s="762" t="s">
        <v>1148</v>
      </c>
      <c r="F310" s="762" t="s">
        <v>4328</v>
      </c>
      <c r="H310" s="763" t="s">
        <v>1142</v>
      </c>
      <c r="J310" s="753" t="s">
        <v>4409</v>
      </c>
      <c r="N310" s="753" t="s">
        <v>2436</v>
      </c>
      <c r="P310" s="754">
        <f>SUMIF('Balance Sheet Detail'!$B:$B,$Q310,'Balance Sheet Detail'!W:W)</f>
        <v>-1242.563375</v>
      </c>
      <c r="Q310" s="753" t="s">
        <v>4412</v>
      </c>
    </row>
    <row r="311" spans="2:17">
      <c r="B311" s="761">
        <v>254015</v>
      </c>
      <c r="D311" s="762" t="s">
        <v>1148</v>
      </c>
      <c r="F311" s="762" t="s">
        <v>4497</v>
      </c>
      <c r="H311" s="763" t="s">
        <v>1142</v>
      </c>
      <c r="J311" s="753" t="s">
        <v>4409</v>
      </c>
      <c r="N311" s="753" t="s">
        <v>2436</v>
      </c>
      <c r="P311" s="754">
        <f>SUMIF('Balance Sheet Detail'!$B:$B,$Q311,'Balance Sheet Detail'!W:W)</f>
        <v>-106.738727083333</v>
      </c>
      <c r="Q311" s="753" t="s">
        <v>4580</v>
      </c>
    </row>
    <row r="312" spans="2:17">
      <c r="B312" s="761">
        <v>254015</v>
      </c>
      <c r="D312" s="762" t="s">
        <v>1150</v>
      </c>
      <c r="F312" s="762">
        <v>601137</v>
      </c>
      <c r="H312" s="763" t="s">
        <v>1142</v>
      </c>
      <c r="J312" s="753" t="s">
        <v>4576</v>
      </c>
      <c r="N312" s="753" t="s">
        <v>2436</v>
      </c>
      <c r="P312" s="754">
        <f>SUMIF('Balance Sheet Detail'!$B:$B,$Q312,'Balance Sheet Detail'!W:W)</f>
        <v>-170.30775750000001</v>
      </c>
      <c r="Q312" s="753" t="s">
        <v>4581</v>
      </c>
    </row>
    <row r="313" spans="2:17">
      <c r="B313" s="761">
        <v>186255</v>
      </c>
      <c r="D313" s="762"/>
      <c r="F313" s="762">
        <v>601136</v>
      </c>
      <c r="H313" s="763" t="s">
        <v>1142</v>
      </c>
      <c r="J313" s="753" t="s">
        <v>1509</v>
      </c>
      <c r="N313" s="753" t="s">
        <v>2421</v>
      </c>
      <c r="P313" s="754">
        <f>SUMIF('Balance Sheet Detail'!$B:$B,$Q313,'Balance Sheet Detail'!W:W)</f>
        <v>0</v>
      </c>
      <c r="Q313" s="753" t="s">
        <v>3180</v>
      </c>
    </row>
    <row r="314" spans="2:17">
      <c r="B314" s="761">
        <v>253040</v>
      </c>
      <c r="D314" s="762"/>
      <c r="F314" s="762">
        <v>601138</v>
      </c>
      <c r="H314" s="763" t="s">
        <v>1142</v>
      </c>
      <c r="J314" s="753" t="s">
        <v>1558</v>
      </c>
      <c r="N314" s="753" t="s">
        <v>2436</v>
      </c>
      <c r="P314" s="754">
        <f>SUMIF('Balance Sheet Detail'!$B:$B,$Q314,'Balance Sheet Detail'!W:W)</f>
        <v>0</v>
      </c>
      <c r="Q314" s="753" t="s">
        <v>3181</v>
      </c>
    </row>
    <row r="315" spans="2:17">
      <c r="B315" s="761">
        <v>253040</v>
      </c>
      <c r="D315" s="762"/>
      <c r="F315" s="762" t="s">
        <v>1559</v>
      </c>
      <c r="H315" s="763" t="s">
        <v>1142</v>
      </c>
      <c r="J315" s="753" t="s">
        <v>1558</v>
      </c>
      <c r="N315" s="753" t="s">
        <v>2436</v>
      </c>
      <c r="P315" s="754">
        <f>SUMIF('Balance Sheet Detail'!$B:$B,$Q315,'Balance Sheet Detail'!W:W)</f>
        <v>0</v>
      </c>
      <c r="Q315" s="753" t="s">
        <v>3182</v>
      </c>
    </row>
    <row r="316" spans="2:17">
      <c r="B316" s="761">
        <v>190502</v>
      </c>
      <c r="D316" s="762" t="s">
        <v>1150</v>
      </c>
      <c r="F316" s="762" t="s">
        <v>2033</v>
      </c>
      <c r="H316" s="763" t="s">
        <v>1142</v>
      </c>
      <c r="J316" s="753" t="s">
        <v>1509</v>
      </c>
      <c r="N316" s="753" t="s">
        <v>2436</v>
      </c>
      <c r="P316" s="754">
        <f>SUMIF('Balance Sheet Detail'!$B:$B,$Q316,'Balance Sheet Detail'!W:W)</f>
        <v>55.375628333333303</v>
      </c>
      <c r="Q316" s="753" t="s">
        <v>2849</v>
      </c>
    </row>
    <row r="317" spans="2:17">
      <c r="B317" s="761">
        <v>190512</v>
      </c>
      <c r="D317" s="762" t="s">
        <v>1150</v>
      </c>
      <c r="F317" s="762" t="s">
        <v>2033</v>
      </c>
      <c r="H317" s="763" t="s">
        <v>1142</v>
      </c>
      <c r="J317" s="753" t="s">
        <v>1509</v>
      </c>
      <c r="N317" s="753" t="s">
        <v>2436</v>
      </c>
      <c r="P317" s="754">
        <f>SUMIF('Balance Sheet Detail'!$B:$B,$Q317,'Balance Sheet Detail'!W:W)</f>
        <v>12.091863333333301</v>
      </c>
      <c r="Q317" s="753" t="s">
        <v>2850</v>
      </c>
    </row>
    <row r="318" spans="2:17">
      <c r="B318" s="761">
        <v>283210</v>
      </c>
      <c r="D318" s="762" t="s">
        <v>1734</v>
      </c>
      <c r="F318" s="762" t="s">
        <v>2254</v>
      </c>
      <c r="H318" s="763" t="s">
        <v>1142</v>
      </c>
      <c r="J318" s="753" t="s">
        <v>2255</v>
      </c>
      <c r="N318" s="753" t="s">
        <v>2436</v>
      </c>
      <c r="P318" s="754">
        <f>SUMIF('Balance Sheet Detail'!$B:$B,$Q318,'Balance Sheet Detail'!W:W)</f>
        <v>0</v>
      </c>
      <c r="Q318" s="753" t="s">
        <v>3183</v>
      </c>
    </row>
    <row r="319" spans="2:17">
      <c r="B319" s="761">
        <v>283210</v>
      </c>
      <c r="D319" s="762" t="s">
        <v>1734</v>
      </c>
      <c r="F319" s="762" t="s">
        <v>2257</v>
      </c>
      <c r="H319" s="763" t="s">
        <v>1142</v>
      </c>
      <c r="J319" s="753" t="s">
        <v>2258</v>
      </c>
      <c r="N319" s="753" t="s">
        <v>2436</v>
      </c>
      <c r="P319" s="754">
        <f>SUMIF('Balance Sheet Detail'!$B:$B,$Q319,'Balance Sheet Detail'!W:W)</f>
        <v>0</v>
      </c>
      <c r="Q319" s="753" t="s">
        <v>3184</v>
      </c>
    </row>
    <row r="320" spans="2:17">
      <c r="B320" s="761">
        <v>283210</v>
      </c>
      <c r="D320" s="762" t="s">
        <v>4125</v>
      </c>
      <c r="F320" s="762" t="s">
        <v>2257</v>
      </c>
      <c r="H320" s="763" t="s">
        <v>1142</v>
      </c>
      <c r="J320" s="753" t="s">
        <v>4124</v>
      </c>
      <c r="N320" s="753" t="s">
        <v>2436</v>
      </c>
      <c r="P320" s="754">
        <f>SUMIF('Balance Sheet Detail'!$B:$B,$Q320,'Balance Sheet Detail'!W:W)</f>
        <v>4659.2942133333299</v>
      </c>
      <c r="Q320" s="753" t="s">
        <v>4130</v>
      </c>
    </row>
    <row r="321" spans="1:17">
      <c r="B321" s="761">
        <v>283210</v>
      </c>
      <c r="D321" s="762" t="s">
        <v>1150</v>
      </c>
      <c r="F321" s="762" t="s">
        <v>2033</v>
      </c>
      <c r="H321" s="763" t="s">
        <v>1142</v>
      </c>
      <c r="J321" s="753" t="s">
        <v>1509</v>
      </c>
      <c r="N321" s="753" t="s">
        <v>2436</v>
      </c>
      <c r="P321" s="754">
        <f>SUMIF('Balance Sheet Detail'!$B:$B,$Q321,'Balance Sheet Detail'!W:W)</f>
        <v>-8.0000000000000007E-5</v>
      </c>
      <c r="Q321" s="753" t="s">
        <v>2851</v>
      </c>
    </row>
    <row r="322" spans="1:17">
      <c r="B322" s="761">
        <v>283410</v>
      </c>
      <c r="D322" s="762" t="s">
        <v>1734</v>
      </c>
      <c r="F322" s="762" t="s">
        <v>2257</v>
      </c>
      <c r="H322" s="763" t="s">
        <v>1142</v>
      </c>
      <c r="J322" s="753" t="s">
        <v>2296</v>
      </c>
      <c r="N322" s="753" t="s">
        <v>2436</v>
      </c>
      <c r="P322" s="754">
        <f>SUMIF('Balance Sheet Detail'!$B:$B,$Q322,'Balance Sheet Detail'!W:W)</f>
        <v>890.48371583333301</v>
      </c>
      <c r="Q322" s="753" t="s">
        <v>3185</v>
      </c>
    </row>
    <row r="323" spans="1:17">
      <c r="B323" s="761">
        <v>283410</v>
      </c>
      <c r="D323" s="762" t="s">
        <v>1150</v>
      </c>
      <c r="F323" s="762" t="s">
        <v>2033</v>
      </c>
      <c r="H323" s="763" t="s">
        <v>1142</v>
      </c>
      <c r="J323" s="753" t="s">
        <v>1509</v>
      </c>
      <c r="N323" s="753" t="s">
        <v>2436</v>
      </c>
      <c r="P323" s="754">
        <f>SUMIF('Balance Sheet Detail'!$B:$B,$Q323,'Balance Sheet Detail'!W:W)</f>
        <v>0</v>
      </c>
      <c r="Q323" s="753" t="s">
        <v>2852</v>
      </c>
    </row>
    <row r="324" spans="1:17" ht="15" customHeight="1">
      <c r="D324" s="762"/>
      <c r="F324" s="762"/>
      <c r="H324" s="763"/>
      <c r="P324" s="755"/>
    </row>
    <row r="325" spans="1:17">
      <c r="A325" s="760"/>
      <c r="B325" s="764" t="s">
        <v>2846</v>
      </c>
      <c r="C325" s="814"/>
      <c r="D325" s="762"/>
      <c r="E325" s="814"/>
      <c r="F325" s="762"/>
      <c r="G325" s="814"/>
      <c r="H325" s="763"/>
      <c r="I325" s="814"/>
      <c r="K325" s="814"/>
      <c r="L325" s="814"/>
      <c r="O325" s="791" t="str">
        <f>IF(SUMIF('Balance Sheet Detail'!$H$7:$H$2493,'Items Not in Rate Base'!H304,'Balance Sheet Detail'!$W$7:$W$2493)=P325,"OK", "Missing Line Item")</f>
        <v>OK</v>
      </c>
      <c r="P325" s="756">
        <f>SUM(P304:P324)</f>
        <v>4410.5860679166644</v>
      </c>
      <c r="Q325" s="791"/>
    </row>
    <row r="326" spans="1:17">
      <c r="A326" s="760"/>
      <c r="B326" s="764"/>
      <c r="C326" s="814"/>
      <c r="D326" s="762"/>
      <c r="E326" s="814"/>
      <c r="F326" s="762"/>
      <c r="G326" s="814"/>
      <c r="H326" s="763"/>
      <c r="I326" s="814"/>
      <c r="K326" s="814"/>
      <c r="L326" s="814"/>
      <c r="P326" s="756"/>
    </row>
    <row r="327" spans="1:17">
      <c r="A327" s="760" t="s">
        <v>1132</v>
      </c>
      <c r="D327" s="762"/>
      <c r="F327" s="762"/>
      <c r="H327" s="763"/>
      <c r="P327" s="757"/>
    </row>
    <row r="328" spans="1:17">
      <c r="B328" s="761">
        <v>182306</v>
      </c>
      <c r="D328" s="762" t="s">
        <v>969</v>
      </c>
      <c r="F328" s="762">
        <v>601248</v>
      </c>
      <c r="H328" s="763" t="s">
        <v>1132</v>
      </c>
      <c r="J328" s="753" t="s">
        <v>1086</v>
      </c>
      <c r="N328" s="753" t="s">
        <v>2436</v>
      </c>
      <c r="P328" s="754">
        <f>SUMIF('Balance Sheet Detail'!$B:$B,$Q328,'Balance Sheet Detail'!W:W)</f>
        <v>0</v>
      </c>
      <c r="Q328" s="753" t="s">
        <v>3186</v>
      </c>
    </row>
    <row r="329" spans="1:17">
      <c r="B329" s="761">
        <v>182306</v>
      </c>
      <c r="D329" s="762" t="s">
        <v>971</v>
      </c>
      <c r="F329" s="762" t="s">
        <v>920</v>
      </c>
      <c r="H329" s="763" t="s">
        <v>1132</v>
      </c>
      <c r="J329" s="753" t="s">
        <v>1088</v>
      </c>
      <c r="N329" s="753" t="s">
        <v>2436</v>
      </c>
      <c r="P329" s="754">
        <f>SUMIF('Balance Sheet Detail'!$B:$B,$Q329,'Balance Sheet Detail'!W:W)</f>
        <v>1391.8770391666701</v>
      </c>
      <c r="Q329" s="753" t="s">
        <v>3187</v>
      </c>
    </row>
    <row r="330" spans="1:17">
      <c r="B330" s="761">
        <v>254017</v>
      </c>
      <c r="D330" s="762" t="s">
        <v>969</v>
      </c>
      <c r="F330" s="762">
        <v>601248</v>
      </c>
      <c r="H330" s="763" t="s">
        <v>1132</v>
      </c>
      <c r="J330" s="753" t="s">
        <v>4244</v>
      </c>
      <c r="N330" s="753" t="s">
        <v>2436</v>
      </c>
      <c r="P330" s="754">
        <f>SUMIF('Balance Sheet Detail'!$B:$B,$Q330,'Balance Sheet Detail'!W:W)</f>
        <v>0</v>
      </c>
      <c r="Q330" s="753" t="s">
        <v>4246</v>
      </c>
    </row>
    <row r="331" spans="1:17">
      <c r="B331" s="761">
        <v>254017</v>
      </c>
      <c r="D331" s="762" t="s">
        <v>969</v>
      </c>
      <c r="F331" s="762">
        <v>601084</v>
      </c>
      <c r="H331" s="763" t="s">
        <v>1132</v>
      </c>
      <c r="J331" s="753" t="s">
        <v>1300</v>
      </c>
      <c r="N331" s="753" t="s">
        <v>2436</v>
      </c>
      <c r="P331" s="754">
        <f>SUMIF('Balance Sheet Detail'!$B:$B,$Q331,'Balance Sheet Detail'!W:W)</f>
        <v>-838.76365916666703</v>
      </c>
      <c r="Q331" s="753" t="s">
        <v>3188</v>
      </c>
    </row>
    <row r="332" spans="1:17" ht="15" customHeight="1">
      <c r="D332" s="762"/>
      <c r="F332" s="762"/>
      <c r="H332" s="763"/>
      <c r="P332" s="755"/>
    </row>
    <row r="333" spans="1:17">
      <c r="A333" s="760"/>
      <c r="B333" s="764" t="s">
        <v>2847</v>
      </c>
      <c r="C333" s="814"/>
      <c r="D333" s="762"/>
      <c r="E333" s="814"/>
      <c r="F333" s="762"/>
      <c r="G333" s="814"/>
      <c r="H333" s="763"/>
      <c r="I333" s="814"/>
      <c r="K333" s="814"/>
      <c r="L333" s="814"/>
      <c r="O333" s="791" t="str">
        <f>IF(SUMIF('Balance Sheet Detail'!$H$7:$H$2493,'Items Not in Rate Base'!H328,'Balance Sheet Detail'!$W$7:$W$2493)=P333,"OK", "Missing Line Item")</f>
        <v>OK</v>
      </c>
      <c r="P333" s="756">
        <f>SUM(P328:P332)</f>
        <v>553.11338000000308</v>
      </c>
      <c r="Q333" s="791"/>
    </row>
    <row r="334" spans="1:17">
      <c r="A334" s="760"/>
      <c r="D334" s="762"/>
      <c r="F334" s="762"/>
      <c r="H334" s="763"/>
      <c r="P334" s="757"/>
    </row>
    <row r="335" spans="1:17">
      <c r="A335" s="760" t="s">
        <v>1143</v>
      </c>
      <c r="D335" s="762"/>
      <c r="F335" s="762"/>
      <c r="H335" s="763"/>
      <c r="P335" s="757"/>
    </row>
    <row r="336" spans="1:17">
      <c r="A336" s="760"/>
      <c r="B336" s="761">
        <v>182370</v>
      </c>
      <c r="D336" s="762" t="s">
        <v>990</v>
      </c>
      <c r="F336" s="762" t="s">
        <v>4575</v>
      </c>
      <c r="H336" s="763" t="s">
        <v>1143</v>
      </c>
      <c r="J336" s="753" t="s">
        <v>4574</v>
      </c>
      <c r="N336" s="753" t="s">
        <v>2421</v>
      </c>
      <c r="P336" s="754">
        <f>SUMIF('Balance Sheet Detail'!$B:$B,$Q336,'Balance Sheet Detail'!W:W)</f>
        <v>1.0416666666666701</v>
      </c>
      <c r="Q336" s="753" t="s">
        <v>4579</v>
      </c>
    </row>
    <row r="337" spans="1:17" ht="14.25" customHeight="1">
      <c r="B337" s="761">
        <v>182372</v>
      </c>
      <c r="D337" s="762" t="s">
        <v>990</v>
      </c>
      <c r="F337" s="762">
        <v>182372</v>
      </c>
      <c r="H337" s="763" t="s">
        <v>1143</v>
      </c>
      <c r="J337" s="753" t="s">
        <v>260</v>
      </c>
      <c r="N337" s="753" t="s">
        <v>2421</v>
      </c>
      <c r="P337" s="754">
        <f>SUMIF('Balance Sheet Detail'!$B:$B,$Q337,'Balance Sheet Detail'!W:W)</f>
        <v>0</v>
      </c>
      <c r="Q337" s="753" t="s">
        <v>3189</v>
      </c>
    </row>
    <row r="338" spans="1:17" ht="15" customHeight="1">
      <c r="D338" s="762"/>
      <c r="F338" s="762"/>
      <c r="H338" s="763"/>
      <c r="P338" s="755"/>
    </row>
    <row r="339" spans="1:17">
      <c r="A339" s="760"/>
      <c r="B339" s="764" t="s">
        <v>2853</v>
      </c>
      <c r="C339" s="814"/>
      <c r="D339" s="762"/>
      <c r="E339" s="814"/>
      <c r="F339" s="762"/>
      <c r="G339" s="814"/>
      <c r="H339" s="763"/>
      <c r="I339" s="814"/>
      <c r="K339" s="814"/>
      <c r="L339" s="814"/>
      <c r="O339" s="791" t="str">
        <f>IF(SUMIF('Balance Sheet Detail'!$H$7:$H$2493,'Items Not in Rate Base'!H337,'Balance Sheet Detail'!$W$7:$W$2493)=P339,"OK", "Missing Line Item")</f>
        <v>OK</v>
      </c>
      <c r="P339" s="756">
        <f>SUM(P336:P338)</f>
        <v>1.0416666666666701</v>
      </c>
      <c r="Q339" s="791"/>
    </row>
    <row r="340" spans="1:17">
      <c r="A340" s="760"/>
      <c r="B340" s="764"/>
      <c r="C340" s="814"/>
      <c r="D340" s="762"/>
      <c r="E340" s="814"/>
      <c r="F340" s="762"/>
      <c r="G340" s="814"/>
      <c r="H340" s="763"/>
      <c r="I340" s="814"/>
      <c r="K340" s="814"/>
      <c r="L340" s="814"/>
      <c r="P340" s="756"/>
    </row>
    <row r="341" spans="1:17">
      <c r="A341" s="760" t="s">
        <v>1536</v>
      </c>
      <c r="B341" s="764"/>
      <c r="C341" s="814"/>
      <c r="D341" s="762"/>
      <c r="E341" s="814"/>
      <c r="F341" s="762"/>
      <c r="G341" s="814"/>
      <c r="H341" s="763"/>
      <c r="I341" s="814"/>
      <c r="K341" s="814"/>
      <c r="L341" s="814"/>
      <c r="P341" s="756"/>
    </row>
    <row r="342" spans="1:17">
      <c r="B342" s="761">
        <v>186255</v>
      </c>
      <c r="D342" s="762"/>
      <c r="F342" s="762">
        <v>601094</v>
      </c>
      <c r="H342" s="763" t="s">
        <v>1536</v>
      </c>
      <c r="J342" s="753" t="s">
        <v>1513</v>
      </c>
      <c r="N342" s="753" t="s">
        <v>2421</v>
      </c>
      <c r="P342" s="755">
        <f>SUMIF('Balance Sheet Detail'!$B:$B,$Q342,'Balance Sheet Detail'!W:W)</f>
        <v>1.3801749999999999</v>
      </c>
      <c r="Q342" s="753" t="s">
        <v>3190</v>
      </c>
    </row>
    <row r="343" spans="1:17">
      <c r="A343" s="760"/>
      <c r="B343" s="764" t="s">
        <v>3191</v>
      </c>
      <c r="C343" s="814"/>
      <c r="D343" s="762"/>
      <c r="E343" s="814"/>
      <c r="F343" s="762"/>
      <c r="G343" s="814"/>
      <c r="H343" s="763"/>
      <c r="I343" s="814"/>
      <c r="K343" s="814"/>
      <c r="L343" s="814"/>
      <c r="O343" s="791" t="str">
        <f>IF(SUMIF('Balance Sheet Detail'!$H$7:$H$2493,'Items Not in Rate Base'!H342,'Balance Sheet Detail'!$W$7:$W$2493)=P343,"OK", "Missing Line Item")</f>
        <v>OK</v>
      </c>
      <c r="P343" s="756">
        <f>SUM(P342)</f>
        <v>1.3801749999999999</v>
      </c>
      <c r="Q343" s="791"/>
    </row>
    <row r="344" spans="1:17">
      <c r="A344" s="760"/>
      <c r="B344" s="764"/>
      <c r="C344" s="814"/>
      <c r="D344" s="762"/>
      <c r="E344" s="814"/>
      <c r="F344" s="762"/>
      <c r="G344" s="814"/>
      <c r="H344" s="763"/>
      <c r="I344" s="814"/>
      <c r="K344" s="814"/>
      <c r="L344" s="814"/>
      <c r="P344" s="756"/>
    </row>
    <row r="345" spans="1:17">
      <c r="A345" s="760" t="s">
        <v>1542</v>
      </c>
      <c r="B345" s="764"/>
      <c r="C345" s="814"/>
      <c r="D345" s="762"/>
      <c r="E345" s="814"/>
      <c r="F345" s="762"/>
      <c r="G345" s="814"/>
      <c r="H345" s="763"/>
      <c r="I345" s="814"/>
      <c r="K345" s="814"/>
      <c r="L345" s="814"/>
      <c r="P345" s="756"/>
    </row>
    <row r="346" spans="1:17">
      <c r="B346" s="761">
        <v>186255</v>
      </c>
      <c r="D346" s="762"/>
      <c r="F346" s="762" t="s">
        <v>2166</v>
      </c>
      <c r="H346" s="763" t="s">
        <v>1542</v>
      </c>
      <c r="J346" s="753" t="s">
        <v>1525</v>
      </c>
      <c r="P346" s="754">
        <f>SUMIF('Balance Sheet Detail'!$B:$B,$Q346,'Balance Sheet Detail'!W:W)</f>
        <v>0</v>
      </c>
      <c r="Q346" s="753" t="s">
        <v>3197</v>
      </c>
    </row>
    <row r="347" spans="1:17">
      <c r="B347" s="761">
        <v>283200</v>
      </c>
      <c r="D347" s="762" t="s">
        <v>2167</v>
      </c>
      <c r="F347" s="762" t="s">
        <v>2166</v>
      </c>
      <c r="H347" s="763" t="s">
        <v>1542</v>
      </c>
      <c r="J347" s="753" t="s">
        <v>2168</v>
      </c>
      <c r="P347" s="754">
        <f>SUMIF('Balance Sheet Detail'!$B:$B,$Q347,'Balance Sheet Detail'!W:W)</f>
        <v>-69.751170000000002</v>
      </c>
      <c r="Q347" s="753" t="s">
        <v>3192</v>
      </c>
    </row>
    <row r="348" spans="1:17">
      <c r="B348" s="761">
        <v>283210</v>
      </c>
      <c r="D348" s="762" t="s">
        <v>2167</v>
      </c>
      <c r="F348" s="762" t="s">
        <v>2166</v>
      </c>
      <c r="H348" s="763" t="s">
        <v>1542</v>
      </c>
      <c r="J348" s="753" t="s">
        <v>2168</v>
      </c>
      <c r="P348" s="754">
        <f>SUMIF('Balance Sheet Detail'!$B:$B,$Q348,'Balance Sheet Detail'!W:W)</f>
        <v>-249.30552</v>
      </c>
      <c r="Q348" s="753" t="s">
        <v>3193</v>
      </c>
    </row>
    <row r="349" spans="1:17">
      <c r="B349" s="761">
        <v>283400</v>
      </c>
      <c r="D349" s="762" t="s">
        <v>2167</v>
      </c>
      <c r="F349" s="762" t="s">
        <v>2166</v>
      </c>
      <c r="H349" s="763" t="s">
        <v>1542</v>
      </c>
      <c r="J349" s="753" t="s">
        <v>2168</v>
      </c>
      <c r="P349" s="754">
        <f>SUMIF('Balance Sheet Detail'!$B:$B,$Q349,'Balance Sheet Detail'!W:W)</f>
        <v>-15.230919999999999</v>
      </c>
      <c r="Q349" s="753" t="s">
        <v>3194</v>
      </c>
    </row>
    <row r="350" spans="1:17">
      <c r="B350" s="761">
        <v>283410</v>
      </c>
      <c r="D350" s="762" t="s">
        <v>2167</v>
      </c>
      <c r="F350" s="762" t="s">
        <v>2166</v>
      </c>
      <c r="H350" s="763" t="s">
        <v>1542</v>
      </c>
      <c r="J350" s="753" t="s">
        <v>2168</v>
      </c>
      <c r="P350" s="754">
        <f>SUMIF('Balance Sheet Detail'!$B:$B,$Q350,'Balance Sheet Detail'!W:W)</f>
        <v>-54.438540000000003</v>
      </c>
      <c r="Q350" s="753" t="s">
        <v>3195</v>
      </c>
    </row>
    <row r="351" spans="1:17" ht="15" customHeight="1">
      <c r="D351" s="762"/>
      <c r="F351" s="762"/>
      <c r="H351" s="763"/>
      <c r="P351" s="755"/>
    </row>
    <row r="352" spans="1:17">
      <c r="A352" s="760"/>
      <c r="B352" s="764" t="s">
        <v>3196</v>
      </c>
      <c r="C352" s="814"/>
      <c r="D352" s="762"/>
      <c r="E352" s="814"/>
      <c r="F352" s="762"/>
      <c r="G352" s="814"/>
      <c r="H352" s="763"/>
      <c r="I352" s="814"/>
      <c r="K352" s="814"/>
      <c r="L352" s="814"/>
      <c r="O352" s="791" t="str">
        <f>IF(SUMIF('Balance Sheet Detail'!$H$7:$H$2493,'Items Not in Rate Base'!H346,'Balance Sheet Detail'!$W$7:$W$2493)=P352,"OK", "Missing Line Item")</f>
        <v>OK</v>
      </c>
      <c r="P352" s="756">
        <f>SUM(P346:P351)</f>
        <v>-388.72615000000002</v>
      </c>
      <c r="Q352" s="791"/>
    </row>
    <row r="353" spans="1:17">
      <c r="A353" s="760"/>
      <c r="B353" s="764"/>
      <c r="C353" s="814"/>
      <c r="D353" s="762"/>
      <c r="E353" s="814"/>
      <c r="F353" s="762"/>
      <c r="G353" s="814"/>
      <c r="H353" s="763"/>
      <c r="I353" s="814"/>
      <c r="K353" s="814"/>
      <c r="L353" s="814"/>
      <c r="P353" s="756"/>
    </row>
    <row r="354" spans="1:17">
      <c r="A354" s="760" t="s">
        <v>1540</v>
      </c>
      <c r="B354" s="764"/>
      <c r="C354" s="814"/>
      <c r="D354" s="762"/>
      <c r="E354" s="814"/>
      <c r="F354" s="762"/>
      <c r="G354" s="814"/>
      <c r="H354" s="763"/>
      <c r="I354" s="814"/>
      <c r="K354" s="814"/>
      <c r="L354" s="814"/>
      <c r="P354" s="756"/>
    </row>
    <row r="355" spans="1:17">
      <c r="B355" s="761">
        <v>186255</v>
      </c>
      <c r="D355" s="762"/>
      <c r="F355" s="762" t="s">
        <v>1516</v>
      </c>
      <c r="H355" s="763" t="s">
        <v>1540</v>
      </c>
      <c r="J355" s="753" t="s">
        <v>1517</v>
      </c>
      <c r="P355" s="754">
        <f>SUMIF('Balance Sheet Detail'!$B:$B,$Q355,'Balance Sheet Detail'!W:W)</f>
        <v>99.72457</v>
      </c>
      <c r="Q355" s="753" t="s">
        <v>3198</v>
      </c>
    </row>
    <row r="356" spans="1:17" ht="15" customHeight="1">
      <c r="D356" s="762"/>
      <c r="F356" s="762"/>
      <c r="H356" s="763"/>
      <c r="P356" s="755"/>
    </row>
    <row r="357" spans="1:17">
      <c r="A357" s="760"/>
      <c r="B357" s="764" t="s">
        <v>3199</v>
      </c>
      <c r="C357" s="814"/>
      <c r="D357" s="762"/>
      <c r="E357" s="814"/>
      <c r="F357" s="762"/>
      <c r="G357" s="814"/>
      <c r="H357" s="763"/>
      <c r="I357" s="814"/>
      <c r="K357" s="814"/>
      <c r="L357" s="814"/>
      <c r="O357" s="791" t="str">
        <f>IF(SUMIF('Balance Sheet Detail'!$H$7:$H$2493,'Items Not in Rate Base'!H355,'Balance Sheet Detail'!$W$7:$W$2493)=P357,"OK", "Missing Line Item")</f>
        <v>OK</v>
      </c>
      <c r="P357" s="756">
        <f>SUM(P355:P356)</f>
        <v>99.72457</v>
      </c>
      <c r="Q357" s="791"/>
    </row>
    <row r="358" spans="1:17">
      <c r="A358" s="760"/>
      <c r="D358" s="762"/>
      <c r="F358" s="762"/>
      <c r="H358" s="763"/>
      <c r="P358" s="757"/>
    </row>
    <row r="359" spans="1:17">
      <c r="A359" s="760" t="s">
        <v>2428</v>
      </c>
      <c r="D359" s="762"/>
      <c r="F359" s="762"/>
      <c r="H359" s="763"/>
      <c r="P359" s="757"/>
    </row>
    <row r="360" spans="1:17" ht="15" customHeight="1">
      <c r="A360" s="760"/>
      <c r="B360" s="761">
        <v>176100</v>
      </c>
      <c r="D360" s="762"/>
      <c r="F360" s="762"/>
      <c r="H360" s="763" t="s">
        <v>1133</v>
      </c>
      <c r="J360" s="753" t="s">
        <v>209</v>
      </c>
      <c r="N360" s="753" t="s">
        <v>2427</v>
      </c>
      <c r="P360" s="754">
        <f>SUMIF('Balance Sheet Detail'!$B:$B,$Q360,'Balance Sheet Detail'!W:W)</f>
        <v>0</v>
      </c>
      <c r="Q360" s="753" t="s">
        <v>3166</v>
      </c>
    </row>
    <row r="361" spans="1:17" ht="15" customHeight="1">
      <c r="A361" s="760"/>
      <c r="B361" s="761">
        <v>176200</v>
      </c>
      <c r="D361" s="762"/>
      <c r="F361" s="762"/>
      <c r="H361" s="763" t="s">
        <v>1133</v>
      </c>
      <c r="J361" s="753" t="s">
        <v>210</v>
      </c>
      <c r="N361" s="753" t="s">
        <v>2427</v>
      </c>
      <c r="P361" s="754">
        <f>SUMIF('Balance Sheet Detail'!$B:$B,$Q361,'Balance Sheet Detail'!W:W)</f>
        <v>0</v>
      </c>
      <c r="Q361" s="753" t="s">
        <v>3167</v>
      </c>
    </row>
    <row r="362" spans="1:17" ht="15" customHeight="1">
      <c r="A362" s="760"/>
      <c r="B362" s="761">
        <v>176300</v>
      </c>
      <c r="D362" s="762"/>
      <c r="F362" s="762"/>
      <c r="H362" s="763" t="s">
        <v>1133</v>
      </c>
      <c r="J362" s="753" t="s">
        <v>211</v>
      </c>
      <c r="N362" s="753" t="s">
        <v>2427</v>
      </c>
      <c r="P362" s="754">
        <f>SUMIF('Balance Sheet Detail'!$B:$B,$Q362,'Balance Sheet Detail'!W:W)</f>
        <v>0</v>
      </c>
      <c r="Q362" s="753" t="s">
        <v>3168</v>
      </c>
    </row>
    <row r="363" spans="1:17" ht="15" customHeight="1">
      <c r="A363" s="760"/>
      <c r="B363" s="761">
        <v>176301</v>
      </c>
      <c r="D363" s="762"/>
      <c r="F363" s="762"/>
      <c r="H363" s="763" t="s">
        <v>1133</v>
      </c>
      <c r="J363" s="753" t="s">
        <v>211</v>
      </c>
      <c r="N363" s="753" t="s">
        <v>2427</v>
      </c>
      <c r="P363" s="754">
        <f>SUMIF('Balance Sheet Detail'!$B:$B,$Q363,'Balance Sheet Detail'!W:W)</f>
        <v>0</v>
      </c>
      <c r="Q363" s="753" t="s">
        <v>3169</v>
      </c>
    </row>
    <row r="364" spans="1:17" ht="15" customHeight="1">
      <c r="A364" s="760"/>
      <c r="B364" s="761">
        <v>176350</v>
      </c>
      <c r="D364" s="762"/>
      <c r="F364" s="762"/>
      <c r="H364" s="763" t="s">
        <v>1133</v>
      </c>
      <c r="J364" s="753" t="s">
        <v>212</v>
      </c>
      <c r="N364" s="753" t="s">
        <v>2427</v>
      </c>
      <c r="P364" s="754">
        <f>SUMIF('Balance Sheet Detail'!$B:$B,$Q364,'Balance Sheet Detail'!W:W)</f>
        <v>0</v>
      </c>
      <c r="Q364" s="753" t="s">
        <v>3170</v>
      </c>
    </row>
    <row r="365" spans="1:17" ht="15" customHeight="1">
      <c r="A365" s="760"/>
      <c r="B365" s="761">
        <v>176351</v>
      </c>
      <c r="D365" s="762"/>
      <c r="F365" s="762"/>
      <c r="H365" s="763" t="s">
        <v>1133</v>
      </c>
      <c r="J365" s="753" t="s">
        <v>212</v>
      </c>
      <c r="N365" s="753" t="s">
        <v>2427</v>
      </c>
      <c r="P365" s="754">
        <f>SUMIF('Balance Sheet Detail'!$B:$B,$Q365,'Balance Sheet Detail'!W:W)</f>
        <v>0</v>
      </c>
      <c r="Q365" s="753" t="s">
        <v>3171</v>
      </c>
    </row>
    <row r="366" spans="1:17" ht="15" customHeight="1">
      <c r="A366" s="760"/>
      <c r="B366" s="761">
        <v>176401</v>
      </c>
      <c r="D366" s="762"/>
      <c r="F366" s="762"/>
      <c r="H366" s="763" t="s">
        <v>1133</v>
      </c>
      <c r="J366" s="753" t="s">
        <v>213</v>
      </c>
      <c r="N366" s="753" t="s">
        <v>2427</v>
      </c>
      <c r="P366" s="754">
        <f>SUMIF('Balance Sheet Detail'!$B:$B,$Q366,'Balance Sheet Detail'!W:W)</f>
        <v>3725.7415000000001</v>
      </c>
      <c r="Q366" s="753" t="s">
        <v>2854</v>
      </c>
    </row>
    <row r="367" spans="1:17" ht="15" customHeight="1">
      <c r="A367" s="760"/>
      <c r="B367" s="761">
        <v>176500</v>
      </c>
      <c r="D367" s="762"/>
      <c r="F367" s="762"/>
      <c r="H367" s="763" t="s">
        <v>1133</v>
      </c>
      <c r="J367" s="753" t="s">
        <v>214</v>
      </c>
      <c r="N367" s="753" t="s">
        <v>2427</v>
      </c>
      <c r="P367" s="754">
        <f>SUMIF('Balance Sheet Detail'!$B:$B,$Q367,'Balance Sheet Detail'!W:W)</f>
        <v>0</v>
      </c>
      <c r="Q367" s="753" t="s">
        <v>3172</v>
      </c>
    </row>
    <row r="368" spans="1:17" ht="15" customHeight="1">
      <c r="A368" s="760"/>
      <c r="B368" s="761">
        <v>176990</v>
      </c>
      <c r="D368" s="762"/>
      <c r="F368" s="762"/>
      <c r="H368" s="763" t="s">
        <v>1133</v>
      </c>
      <c r="J368" s="753" t="s">
        <v>215</v>
      </c>
      <c r="N368" s="753" t="s">
        <v>2427</v>
      </c>
      <c r="P368" s="754">
        <f>SUMIF('Balance Sheet Detail'!$B:$B,$Q368,'Balance Sheet Detail'!W:W)</f>
        <v>0</v>
      </c>
      <c r="Q368" s="753" t="s">
        <v>2855</v>
      </c>
    </row>
    <row r="369" spans="1:17" ht="15" customHeight="1">
      <c r="A369" s="760"/>
      <c r="B369" s="761">
        <v>176991</v>
      </c>
      <c r="D369" s="762"/>
      <c r="F369" s="762"/>
      <c r="H369" s="763" t="s">
        <v>1133</v>
      </c>
      <c r="J369" s="753" t="s">
        <v>216</v>
      </c>
      <c r="N369" s="753" t="s">
        <v>2427</v>
      </c>
      <c r="P369" s="754">
        <f>SUMIF('Balance Sheet Detail'!$B:$B,$Q369,'Balance Sheet Detail'!W:W)</f>
        <v>0</v>
      </c>
      <c r="Q369" s="753" t="s">
        <v>2856</v>
      </c>
    </row>
    <row r="370" spans="1:17" ht="15" customHeight="1">
      <c r="A370" s="760"/>
      <c r="B370" s="761">
        <v>176992</v>
      </c>
      <c r="D370" s="762"/>
      <c r="F370" s="762"/>
      <c r="H370" s="763" t="s">
        <v>1133</v>
      </c>
      <c r="J370" s="753" t="s">
        <v>2551</v>
      </c>
      <c r="N370" s="753" t="s">
        <v>2427</v>
      </c>
      <c r="P370" s="754">
        <f>SUMIF('Balance Sheet Detail'!$B:$B,$Q370,'Balance Sheet Detail'!W:W)</f>
        <v>96.778000000000006</v>
      </c>
      <c r="Q370" s="753" t="s">
        <v>2857</v>
      </c>
    </row>
    <row r="371" spans="1:17" ht="15" customHeight="1">
      <c r="A371" s="760"/>
      <c r="B371" s="761">
        <v>219500</v>
      </c>
      <c r="D371" s="762"/>
      <c r="F371" s="762"/>
      <c r="H371" s="763" t="s">
        <v>1133</v>
      </c>
      <c r="J371" s="753" t="s">
        <v>385</v>
      </c>
      <c r="N371" s="753" t="s">
        <v>2427</v>
      </c>
      <c r="P371" s="754">
        <f>SUMIF('Balance Sheet Detail'!$B:$B,$Q371,'Balance Sheet Detail'!W:W)</f>
        <v>1676.4526716666701</v>
      </c>
      <c r="Q371" s="753" t="s">
        <v>2858</v>
      </c>
    </row>
    <row r="372" spans="1:17" ht="15" customHeight="1">
      <c r="A372" s="760"/>
      <c r="B372" s="761">
        <v>219510</v>
      </c>
      <c r="D372" s="762"/>
      <c r="F372" s="762"/>
      <c r="H372" s="763" t="s">
        <v>1133</v>
      </c>
      <c r="J372" s="753" t="s">
        <v>386</v>
      </c>
      <c r="N372" s="753" t="s">
        <v>2427</v>
      </c>
      <c r="P372" s="754">
        <f>SUMIF('Balance Sheet Detail'!$B:$B,$Q372,'Balance Sheet Detail'!W:W)</f>
        <v>-545.09872625000003</v>
      </c>
      <c r="Q372" s="753" t="s">
        <v>2859</v>
      </c>
    </row>
    <row r="373" spans="1:17" ht="15" customHeight="1">
      <c r="A373" s="760"/>
      <c r="B373" s="761">
        <v>219530</v>
      </c>
      <c r="D373" s="762"/>
      <c r="F373" s="762"/>
      <c r="H373" s="763" t="s">
        <v>1133</v>
      </c>
      <c r="J373" s="753" t="s">
        <v>387</v>
      </c>
      <c r="N373" s="753" t="s">
        <v>2427</v>
      </c>
      <c r="P373" s="754">
        <f>SUMIF('Balance Sheet Detail'!$B:$B,$Q373,'Balance Sheet Detail'!W:W)</f>
        <v>241.649164583333</v>
      </c>
      <c r="Q373" s="753" t="s">
        <v>2860</v>
      </c>
    </row>
    <row r="374" spans="1:17" ht="15" customHeight="1">
      <c r="A374" s="760"/>
      <c r="B374" s="761">
        <v>219532</v>
      </c>
      <c r="D374" s="762"/>
      <c r="F374" s="762"/>
      <c r="H374" s="763" t="s">
        <v>1133</v>
      </c>
      <c r="J374" s="753" t="s">
        <v>388</v>
      </c>
      <c r="N374" s="753" t="s">
        <v>2427</v>
      </c>
      <c r="P374" s="754">
        <f>SUMIF('Balance Sheet Detail'!$B:$B,$Q374,'Balance Sheet Detail'!W:W)</f>
        <v>0</v>
      </c>
      <c r="Q374" s="753" t="s">
        <v>2861</v>
      </c>
    </row>
    <row r="375" spans="1:17" ht="15" customHeight="1">
      <c r="A375" s="760"/>
      <c r="B375" s="761">
        <v>219535</v>
      </c>
      <c r="D375" s="762"/>
      <c r="F375" s="762"/>
      <c r="H375" s="763" t="s">
        <v>1133</v>
      </c>
      <c r="J375" s="753" t="s">
        <v>390</v>
      </c>
      <c r="N375" s="753" t="s">
        <v>2427</v>
      </c>
      <c r="P375" s="754">
        <f>SUMIF('Balance Sheet Detail'!$B:$B,$Q375,'Balance Sheet Detail'!W:W)</f>
        <v>-52.416328333333297</v>
      </c>
      <c r="Q375" s="753" t="s">
        <v>2862</v>
      </c>
    </row>
    <row r="376" spans="1:17" ht="15" customHeight="1">
      <c r="A376" s="760"/>
      <c r="B376" s="761">
        <v>219540</v>
      </c>
      <c r="D376" s="762"/>
      <c r="F376" s="762"/>
      <c r="H376" s="763" t="s">
        <v>1133</v>
      </c>
      <c r="J376" s="753" t="s">
        <v>392</v>
      </c>
      <c r="N376" s="753" t="s">
        <v>2427</v>
      </c>
      <c r="P376" s="754">
        <f>SUMIF('Balance Sheet Detail'!$B:$B,$Q376,'Balance Sheet Detail'!W:W)</f>
        <v>-78.572232083333304</v>
      </c>
      <c r="Q376" s="753" t="s">
        <v>2863</v>
      </c>
    </row>
    <row r="377" spans="1:17" ht="15" customHeight="1">
      <c r="A377" s="760"/>
      <c r="B377" s="761">
        <v>219542</v>
      </c>
      <c r="D377" s="762"/>
      <c r="F377" s="762"/>
      <c r="H377" s="763" t="s">
        <v>1133</v>
      </c>
      <c r="J377" s="753" t="s">
        <v>393</v>
      </c>
      <c r="N377" s="753" t="s">
        <v>2427</v>
      </c>
      <c r="P377" s="754">
        <f>SUMIF('Balance Sheet Detail'!$B:$B,$Q377,'Balance Sheet Detail'!W:W)</f>
        <v>1.3999999999999999E-4</v>
      </c>
      <c r="Q377" s="753" t="s">
        <v>2864</v>
      </c>
    </row>
    <row r="378" spans="1:17" ht="15" customHeight="1">
      <c r="A378" s="760"/>
      <c r="B378" s="761">
        <v>219543</v>
      </c>
      <c r="D378" s="762"/>
      <c r="F378" s="762"/>
      <c r="H378" s="763" t="s">
        <v>1133</v>
      </c>
      <c r="J378" s="753" t="s">
        <v>394</v>
      </c>
      <c r="N378" s="753" t="s">
        <v>2427</v>
      </c>
      <c r="P378" s="754">
        <f>SUMIF('Balance Sheet Detail'!$B:$B,$Q378,'Balance Sheet Detail'!W:W)</f>
        <v>-27889.338814999999</v>
      </c>
      <c r="Q378" s="753" t="s">
        <v>2865</v>
      </c>
    </row>
    <row r="379" spans="1:17" ht="15" customHeight="1">
      <c r="A379" s="760"/>
      <c r="B379" s="761">
        <v>219545</v>
      </c>
      <c r="D379" s="762"/>
      <c r="F379" s="762"/>
      <c r="H379" s="763" t="s">
        <v>1133</v>
      </c>
      <c r="J379" s="753" t="s">
        <v>395</v>
      </c>
      <c r="N379" s="753" t="s">
        <v>2427</v>
      </c>
      <c r="P379" s="754">
        <f>SUMIF('Balance Sheet Detail'!$B:$B,$Q379,'Balance Sheet Detail'!W:W)</f>
        <v>17.043295416666702</v>
      </c>
      <c r="Q379" s="753" t="s">
        <v>2866</v>
      </c>
    </row>
    <row r="380" spans="1:17" ht="15" customHeight="1">
      <c r="A380" s="760"/>
      <c r="B380" s="761">
        <v>219547</v>
      </c>
      <c r="D380" s="762"/>
      <c r="F380" s="762"/>
      <c r="H380" s="763" t="s">
        <v>1133</v>
      </c>
      <c r="J380" s="753" t="s">
        <v>396</v>
      </c>
      <c r="N380" s="753" t="s">
        <v>2427</v>
      </c>
      <c r="P380" s="754">
        <f>SUMIF('Balance Sheet Detail'!$B:$B,$Q380,'Balance Sheet Detail'!W:W)</f>
        <v>1015.813565</v>
      </c>
      <c r="Q380" s="753" t="s">
        <v>2867</v>
      </c>
    </row>
    <row r="381" spans="1:17" ht="15" customHeight="1">
      <c r="A381" s="760"/>
      <c r="B381" s="761">
        <v>219550</v>
      </c>
      <c r="D381" s="762"/>
      <c r="F381" s="762"/>
      <c r="H381" s="763" t="s">
        <v>1133</v>
      </c>
      <c r="J381" s="753" t="s">
        <v>397</v>
      </c>
      <c r="N381" s="753" t="s">
        <v>2427</v>
      </c>
      <c r="P381" s="754">
        <f>SUMIF('Balance Sheet Detail'!$B:$B,$Q381,'Balance Sheet Detail'!W:W)</f>
        <v>-119.028059583333</v>
      </c>
      <c r="Q381" s="753" t="s">
        <v>2868</v>
      </c>
    </row>
    <row r="382" spans="1:17" ht="15" customHeight="1">
      <c r="A382" s="760"/>
      <c r="B382" s="761">
        <v>219553</v>
      </c>
      <c r="D382" s="762"/>
      <c r="F382" s="762"/>
      <c r="H382" s="763" t="s">
        <v>1133</v>
      </c>
      <c r="J382" s="753" t="s">
        <v>398</v>
      </c>
      <c r="N382" s="753" t="s">
        <v>2427</v>
      </c>
      <c r="P382" s="754">
        <f>SUMIF('Balance Sheet Detail'!$B:$B,$Q382,'Balance Sheet Detail'!W:W)</f>
        <v>-6089.9371316666702</v>
      </c>
      <c r="Q382" s="753" t="s">
        <v>2869</v>
      </c>
    </row>
    <row r="383" spans="1:17" ht="15" customHeight="1">
      <c r="A383" s="760"/>
      <c r="B383" s="761">
        <v>219565</v>
      </c>
      <c r="D383" s="762"/>
      <c r="F383" s="762"/>
      <c r="H383" s="763" t="s">
        <v>1133</v>
      </c>
      <c r="J383" s="753" t="s">
        <v>399</v>
      </c>
      <c r="N383" s="753" t="s">
        <v>2427</v>
      </c>
      <c r="P383" s="754">
        <f>SUMIF('Balance Sheet Detail'!$B:$B,$Q383,'Balance Sheet Detail'!W:W)</f>
        <v>-17.157102083333299</v>
      </c>
      <c r="Q383" s="753" t="s">
        <v>2870</v>
      </c>
    </row>
    <row r="384" spans="1:17" ht="15" customHeight="1">
      <c r="A384" s="760"/>
      <c r="B384" s="761">
        <v>219567</v>
      </c>
      <c r="D384" s="762"/>
      <c r="F384" s="762"/>
      <c r="H384" s="763" t="s">
        <v>1133</v>
      </c>
      <c r="J384" s="753" t="s">
        <v>400</v>
      </c>
      <c r="N384" s="753" t="s">
        <v>2427</v>
      </c>
      <c r="P384" s="754">
        <f>SUMIF('Balance Sheet Detail'!$B:$B,$Q384,'Balance Sheet Detail'!W:W)</f>
        <v>3.0000000000000001E-5</v>
      </c>
      <c r="Q384" s="753" t="s">
        <v>2871</v>
      </c>
    </row>
    <row r="385" spans="1:17" ht="15" customHeight="1">
      <c r="A385" s="760"/>
      <c r="B385" s="761">
        <v>219570</v>
      </c>
      <c r="D385" s="762"/>
      <c r="F385" s="762"/>
      <c r="H385" s="763" t="s">
        <v>1133</v>
      </c>
      <c r="J385" s="753" t="s">
        <v>401</v>
      </c>
      <c r="N385" s="753" t="s">
        <v>2427</v>
      </c>
      <c r="P385" s="754">
        <f>SUMIF('Balance Sheet Detail'!$B:$B,$Q385,'Balance Sheet Detail'!W:W)</f>
        <v>3.7215808333333298</v>
      </c>
      <c r="Q385" s="753" t="s">
        <v>2872</v>
      </c>
    </row>
    <row r="386" spans="1:17" ht="15" customHeight="1">
      <c r="A386" s="760"/>
      <c r="B386" s="761">
        <v>219572</v>
      </c>
      <c r="D386" s="762"/>
      <c r="F386" s="762"/>
      <c r="H386" s="763" t="s">
        <v>1133</v>
      </c>
      <c r="J386" s="753" t="s">
        <v>402</v>
      </c>
      <c r="N386" s="753" t="s">
        <v>2427</v>
      </c>
      <c r="P386" s="754">
        <f>SUMIF('Balance Sheet Detail'!$B:$B,$Q386,'Balance Sheet Detail'!W:W)</f>
        <v>221.81381833333299</v>
      </c>
      <c r="Q386" s="753" t="s">
        <v>2873</v>
      </c>
    </row>
    <row r="387" spans="1:17" ht="15" customHeight="1">
      <c r="A387" s="760"/>
      <c r="B387" s="761">
        <v>219575</v>
      </c>
      <c r="D387" s="762"/>
      <c r="F387" s="762"/>
      <c r="H387" s="763" t="s">
        <v>1133</v>
      </c>
      <c r="J387" s="753" t="s">
        <v>403</v>
      </c>
      <c r="N387" s="753" t="s">
        <v>2427</v>
      </c>
      <c r="P387" s="754">
        <f>SUMIF('Balance Sheet Detail'!$B:$B,$Q387,'Balance Sheet Detail'!W:W)</f>
        <v>-20.489953750000002</v>
      </c>
      <c r="Q387" s="753" t="s">
        <v>3173</v>
      </c>
    </row>
    <row r="388" spans="1:17" ht="15" customHeight="1">
      <c r="A388" s="760"/>
      <c r="B388" s="761">
        <v>219580</v>
      </c>
      <c r="D388" s="762"/>
      <c r="F388" s="762"/>
      <c r="H388" s="763" t="s">
        <v>1133</v>
      </c>
      <c r="J388" s="753" t="s">
        <v>404</v>
      </c>
      <c r="N388" s="753" t="s">
        <v>2427</v>
      </c>
      <c r="P388" s="754">
        <f>SUMIF('Balance Sheet Detail'!$B:$B,$Q388,'Balance Sheet Detail'!W:W)</f>
        <v>6.66244208333333</v>
      </c>
      <c r="Q388" s="753" t="s">
        <v>3174</v>
      </c>
    </row>
    <row r="389" spans="1:17" ht="15" customHeight="1">
      <c r="A389" s="760"/>
      <c r="B389" s="761">
        <v>219582</v>
      </c>
      <c r="D389" s="762"/>
      <c r="F389" s="762"/>
      <c r="H389" s="763" t="s">
        <v>1133</v>
      </c>
      <c r="J389" s="753" t="s">
        <v>405</v>
      </c>
      <c r="N389" s="753" t="s">
        <v>2427</v>
      </c>
      <c r="P389" s="754">
        <f>SUMIF('Balance Sheet Detail'!$B:$B,$Q389,'Balance Sheet Detail'!W:W)</f>
        <v>1.4548270833333301</v>
      </c>
      <c r="Q389" s="753" t="s">
        <v>3175</v>
      </c>
    </row>
    <row r="390" spans="1:17" ht="15" customHeight="1">
      <c r="A390" s="760"/>
      <c r="B390" s="761">
        <v>245401</v>
      </c>
      <c r="D390" s="762"/>
      <c r="F390" s="762"/>
      <c r="H390" s="763" t="s">
        <v>1133</v>
      </c>
      <c r="J390" s="753" t="s">
        <v>622</v>
      </c>
      <c r="N390" s="753" t="s">
        <v>2427</v>
      </c>
      <c r="P390" s="754">
        <f>SUMIF('Balance Sheet Detail'!$B:$B,$Q390,'Balance Sheet Detail'!W:W)</f>
        <v>-767.269169583333</v>
      </c>
      <c r="Q390" s="753" t="s">
        <v>2874</v>
      </c>
    </row>
    <row r="391" spans="1:17" ht="15" customHeight="1">
      <c r="A391" s="760"/>
      <c r="B391" s="761">
        <v>245410</v>
      </c>
      <c r="D391" s="762"/>
      <c r="F391" s="762"/>
      <c r="H391" s="763" t="s">
        <v>1133</v>
      </c>
      <c r="J391" s="753" t="s">
        <v>623</v>
      </c>
      <c r="N391" s="753" t="s">
        <v>2427</v>
      </c>
      <c r="P391" s="754">
        <f>SUMIF('Balance Sheet Detail'!$B:$B,$Q391,'Balance Sheet Detail'!W:W)</f>
        <v>0</v>
      </c>
      <c r="Q391" s="753" t="s">
        <v>3176</v>
      </c>
    </row>
    <row r="392" spans="1:17" ht="15" customHeight="1">
      <c r="A392" s="760"/>
      <c r="B392" s="761">
        <v>245411</v>
      </c>
      <c r="D392" s="762"/>
      <c r="F392" s="762"/>
      <c r="H392" s="763" t="s">
        <v>1133</v>
      </c>
      <c r="J392" s="753" t="s">
        <v>623</v>
      </c>
      <c r="N392" s="753" t="s">
        <v>2427</v>
      </c>
      <c r="P392" s="754">
        <f>SUMIF('Balance Sheet Detail'!$B:$B,$Q392,'Balance Sheet Detail'!W:W)</f>
        <v>0</v>
      </c>
      <c r="Q392" s="753" t="s">
        <v>3177</v>
      </c>
    </row>
    <row r="393" spans="1:17" ht="15" customHeight="1">
      <c r="A393" s="760"/>
      <c r="B393" s="761">
        <v>245420</v>
      </c>
      <c r="D393" s="762"/>
      <c r="F393" s="762"/>
      <c r="H393" s="763" t="s">
        <v>1133</v>
      </c>
      <c r="J393" s="753" t="s">
        <v>624</v>
      </c>
      <c r="N393" s="753" t="s">
        <v>2427</v>
      </c>
      <c r="P393" s="754">
        <f>SUMIF('Balance Sheet Detail'!$B:$B,$Q393,'Balance Sheet Detail'!W:W)</f>
        <v>0</v>
      </c>
      <c r="Q393" s="753" t="s">
        <v>2875</v>
      </c>
    </row>
    <row r="394" spans="1:17" ht="15" customHeight="1">
      <c r="A394" s="760"/>
      <c r="B394" s="761">
        <v>245451</v>
      </c>
      <c r="D394" s="762"/>
      <c r="F394" s="762"/>
      <c r="H394" s="763" t="s">
        <v>1133</v>
      </c>
      <c r="J394" s="753" t="s">
        <v>625</v>
      </c>
      <c r="N394" s="753" t="s">
        <v>2427</v>
      </c>
      <c r="P394" s="754">
        <f>SUMIF('Balance Sheet Detail'!$B:$B,$Q394,'Balance Sheet Detail'!W:W)</f>
        <v>0</v>
      </c>
      <c r="Q394" s="753" t="s">
        <v>2876</v>
      </c>
    </row>
    <row r="395" spans="1:17" ht="15" customHeight="1">
      <c r="A395" s="760"/>
      <c r="B395" s="761">
        <v>245990</v>
      </c>
      <c r="D395" s="762"/>
      <c r="F395" s="762"/>
      <c r="H395" s="763" t="s">
        <v>1133</v>
      </c>
      <c r="J395" s="753" t="s">
        <v>626</v>
      </c>
      <c r="N395" s="753" t="s">
        <v>2427</v>
      </c>
      <c r="P395" s="754">
        <f>SUMIF('Balance Sheet Detail'!$B:$B,$Q395,'Balance Sheet Detail'!W:W)</f>
        <v>0</v>
      </c>
      <c r="Q395" s="753" t="s">
        <v>2949</v>
      </c>
    </row>
    <row r="396" spans="1:17" ht="15" customHeight="1">
      <c r="A396" s="760"/>
      <c r="B396" s="761">
        <v>245991</v>
      </c>
      <c r="D396" s="762"/>
      <c r="F396" s="762"/>
      <c r="H396" s="763" t="s">
        <v>1133</v>
      </c>
      <c r="J396" s="753" t="s">
        <v>627</v>
      </c>
      <c r="N396" s="753" t="s">
        <v>2427</v>
      </c>
      <c r="P396" s="754">
        <f>SUMIF('Balance Sheet Detail'!$B:$B,$Q396,'Balance Sheet Detail'!W:W)</f>
        <v>0</v>
      </c>
      <c r="Q396" s="753" t="s">
        <v>2950</v>
      </c>
    </row>
    <row r="397" spans="1:17" ht="15" customHeight="1">
      <c r="A397" s="760"/>
      <c r="B397" s="761">
        <v>245992</v>
      </c>
      <c r="D397" s="762"/>
      <c r="F397" s="762"/>
      <c r="H397" s="763" t="s">
        <v>1133</v>
      </c>
      <c r="J397" s="753" t="s">
        <v>628</v>
      </c>
      <c r="N397" s="753" t="s">
        <v>2427</v>
      </c>
      <c r="P397" s="754">
        <f>SUMIF('Balance Sheet Detail'!$B:$B,$Q397,'Balance Sheet Detail'!W:W)</f>
        <v>-1363.0374999999999</v>
      </c>
      <c r="Q397" s="753" t="s">
        <v>2877</v>
      </c>
    </row>
    <row r="398" spans="1:17" ht="15" customHeight="1">
      <c r="A398" s="760"/>
      <c r="B398" s="761">
        <v>182366</v>
      </c>
      <c r="D398" s="762" t="s">
        <v>987</v>
      </c>
      <c r="F398" s="762" t="s">
        <v>932</v>
      </c>
      <c r="H398" s="763" t="s">
        <v>1133</v>
      </c>
      <c r="J398" s="753" t="s">
        <v>256</v>
      </c>
      <c r="N398" s="753" t="s">
        <v>2427</v>
      </c>
      <c r="P398" s="754">
        <f>SUMIF('Balance Sheet Detail'!$B:$B,$Q398,'Balance Sheet Detail'!W:W)</f>
        <v>1213.42075</v>
      </c>
      <c r="Q398" s="753" t="s">
        <v>2878</v>
      </c>
    </row>
    <row r="399" spans="1:17" ht="15" customHeight="1">
      <c r="A399" s="760"/>
      <c r="B399" s="761">
        <v>182375</v>
      </c>
      <c r="D399" s="762" t="s">
        <v>991</v>
      </c>
      <c r="F399" s="762" t="s">
        <v>933</v>
      </c>
      <c r="H399" s="763" t="s">
        <v>1133</v>
      </c>
      <c r="J399" s="753" t="s">
        <v>1111</v>
      </c>
      <c r="N399" s="753" t="s">
        <v>2427</v>
      </c>
      <c r="P399" s="754">
        <f>SUMIF('Balance Sheet Detail'!$B:$B,$Q399,'Balance Sheet Detail'!W:W)</f>
        <v>300.25875000000002</v>
      </c>
      <c r="Q399" s="753" t="s">
        <v>3125</v>
      </c>
    </row>
    <row r="400" spans="1:17" ht="15" customHeight="1">
      <c r="A400" s="760"/>
      <c r="B400" s="761">
        <v>254085</v>
      </c>
      <c r="D400" s="762" t="s">
        <v>4268</v>
      </c>
      <c r="F400" s="762"/>
      <c r="H400" s="763" t="s">
        <v>1133</v>
      </c>
      <c r="J400" s="753" t="s">
        <v>668</v>
      </c>
      <c r="N400" s="753" t="s">
        <v>2427</v>
      </c>
      <c r="P400" s="754">
        <f>SUMIF('Balance Sheet Detail'!$B:$B,$Q400,'Balance Sheet Detail'!W:W)</f>
        <v>-617.84416666666698</v>
      </c>
      <c r="Q400" s="753" t="s">
        <v>4269</v>
      </c>
    </row>
    <row r="401" spans="1:17" ht="15" customHeight="1">
      <c r="A401" s="760"/>
      <c r="B401" s="761">
        <v>254266</v>
      </c>
      <c r="D401" s="762" t="s">
        <v>987</v>
      </c>
      <c r="F401" s="762" t="s">
        <v>932</v>
      </c>
      <c r="H401" s="763" t="s">
        <v>1133</v>
      </c>
      <c r="N401" s="753" t="s">
        <v>2421</v>
      </c>
      <c r="P401" s="754">
        <f>SUMIF('Balance Sheet Detail'!$B:$B,$Q401,'Balance Sheet Detail'!W:W)</f>
        <v>-2777.2809999999999</v>
      </c>
      <c r="Q401" s="753" t="s">
        <v>3126</v>
      </c>
    </row>
    <row r="402" spans="1:17" ht="15" customHeight="1">
      <c r="A402" s="760"/>
      <c r="B402" s="761">
        <v>186850</v>
      </c>
      <c r="D402" s="762"/>
      <c r="F402" s="762"/>
      <c r="H402" s="763" t="s">
        <v>1133</v>
      </c>
      <c r="J402" s="753" t="s">
        <v>1534</v>
      </c>
      <c r="N402" s="753" t="s">
        <v>2421</v>
      </c>
      <c r="P402" s="754">
        <f>SUMIF('Balance Sheet Detail'!$B:$B,$Q402,'Balance Sheet Detail'!W:W)</f>
        <v>0</v>
      </c>
      <c r="Q402" s="753" t="s">
        <v>3127</v>
      </c>
    </row>
    <row r="403" spans="1:17" ht="15" customHeight="1">
      <c r="A403" s="760"/>
      <c r="B403" s="761">
        <v>253230</v>
      </c>
      <c r="D403" s="762"/>
      <c r="F403" s="762" t="s">
        <v>1574</v>
      </c>
      <c r="H403" s="763" t="s">
        <v>1576</v>
      </c>
      <c r="J403" s="753" t="s">
        <v>1575</v>
      </c>
      <c r="N403" s="753" t="s">
        <v>2421</v>
      </c>
      <c r="P403" s="754">
        <f>SUMIF('Balance Sheet Detail'!$B:$B,$Q403,'Balance Sheet Detail'!W:W)</f>
        <v>-227.70998</v>
      </c>
      <c r="Q403" s="753" t="s">
        <v>3128</v>
      </c>
    </row>
    <row r="404" spans="1:17" ht="15" customHeight="1">
      <c r="A404" s="760"/>
      <c r="B404" s="761">
        <v>190000</v>
      </c>
      <c r="D404" s="762" t="s">
        <v>1592</v>
      </c>
      <c r="F404" s="762" t="s">
        <v>1591</v>
      </c>
      <c r="H404" s="763" t="s">
        <v>1594</v>
      </c>
      <c r="J404" s="753" t="s">
        <v>1593</v>
      </c>
      <c r="N404" s="753" t="s">
        <v>2421</v>
      </c>
      <c r="P404" s="754">
        <f>SUMIF('Balance Sheet Detail'!$B:$B,$Q404,'Balance Sheet Detail'!W:W)</f>
        <v>58.690802083333303</v>
      </c>
      <c r="Q404" s="753" t="s">
        <v>3129</v>
      </c>
    </row>
    <row r="405" spans="1:17" ht="15" customHeight="1">
      <c r="A405" s="760"/>
      <c r="B405" s="761">
        <v>190000</v>
      </c>
      <c r="D405" s="762" t="s">
        <v>1596</v>
      </c>
      <c r="F405" s="762" t="s">
        <v>1595</v>
      </c>
      <c r="H405" s="763" t="s">
        <v>1594</v>
      </c>
      <c r="J405" s="753" t="s">
        <v>1597</v>
      </c>
      <c r="N405" s="753" t="s">
        <v>2421</v>
      </c>
      <c r="P405" s="754">
        <f>SUMIF('Balance Sheet Detail'!$B:$B,$Q405,'Balance Sheet Detail'!W:W)</f>
        <v>6.3399645833333302</v>
      </c>
      <c r="Q405" s="753" t="s">
        <v>3130</v>
      </c>
    </row>
    <row r="406" spans="1:17" ht="15" customHeight="1">
      <c r="A406" s="760"/>
      <c r="B406" s="761">
        <v>190000</v>
      </c>
      <c r="D406" s="762" t="s">
        <v>1599</v>
      </c>
      <c r="F406" s="762" t="s">
        <v>1598</v>
      </c>
      <c r="H406" s="763" t="s">
        <v>1594</v>
      </c>
      <c r="J406" s="753" t="s">
        <v>1600</v>
      </c>
      <c r="N406" s="753" t="s">
        <v>2421</v>
      </c>
      <c r="P406" s="754">
        <f>SUMIF('Balance Sheet Detail'!$B:$B,$Q406,'Balance Sheet Detail'!W:W)</f>
        <v>27885.836985000002</v>
      </c>
      <c r="Q406" s="753" t="s">
        <v>3131</v>
      </c>
    </row>
    <row r="407" spans="1:17" ht="15" customHeight="1">
      <c r="A407" s="760"/>
      <c r="B407" s="761">
        <v>190000</v>
      </c>
      <c r="D407" s="762" t="s">
        <v>1602</v>
      </c>
      <c r="F407" s="762" t="s">
        <v>1601</v>
      </c>
      <c r="H407" s="763" t="s">
        <v>1594</v>
      </c>
      <c r="J407" s="753" t="s">
        <v>1603</v>
      </c>
      <c r="N407" s="753" t="s">
        <v>2421</v>
      </c>
      <c r="P407" s="754">
        <f>SUMIF('Balance Sheet Detail'!$B:$B,$Q407,'Balance Sheet Detail'!W:W)</f>
        <v>1719.06897</v>
      </c>
      <c r="Q407" s="753" t="s">
        <v>3132</v>
      </c>
    </row>
    <row r="408" spans="1:17" ht="15" customHeight="1">
      <c r="A408" s="760"/>
      <c r="B408" s="761">
        <v>190000</v>
      </c>
      <c r="D408" s="762" t="s">
        <v>1605</v>
      </c>
      <c r="F408" s="762" t="s">
        <v>1604</v>
      </c>
      <c r="H408" s="763" t="s">
        <v>1594</v>
      </c>
      <c r="J408" s="753" t="s">
        <v>1606</v>
      </c>
      <c r="N408" s="753" t="s">
        <v>2421</v>
      </c>
      <c r="P408" s="754">
        <f>SUMIF('Balance Sheet Detail'!$B:$B,$Q408,'Balance Sheet Detail'!W:W)</f>
        <v>-2734.8826749999998</v>
      </c>
      <c r="Q408" s="753" t="s">
        <v>3133</v>
      </c>
    </row>
    <row r="409" spans="1:17" ht="15" customHeight="1">
      <c r="A409" s="760"/>
      <c r="B409" s="761">
        <v>190000</v>
      </c>
      <c r="D409" s="762" t="s">
        <v>1608</v>
      </c>
      <c r="F409" s="762" t="s">
        <v>1607</v>
      </c>
      <c r="H409" s="763" t="s">
        <v>1594</v>
      </c>
      <c r="J409" s="753" t="s">
        <v>1609</v>
      </c>
      <c r="N409" s="753" t="s">
        <v>2421</v>
      </c>
      <c r="P409" s="754">
        <f>SUMIF('Balance Sheet Detail'!$B:$B,$Q409,'Balance Sheet Detail'!W:W)</f>
        <v>0</v>
      </c>
      <c r="Q409" s="753" t="s">
        <v>3134</v>
      </c>
    </row>
    <row r="410" spans="1:17" ht="15" customHeight="1">
      <c r="A410" s="760"/>
      <c r="B410" s="761">
        <v>190000</v>
      </c>
      <c r="D410" s="762" t="s">
        <v>1611</v>
      </c>
      <c r="F410" s="762" t="s">
        <v>1610</v>
      </c>
      <c r="H410" s="763" t="s">
        <v>1594</v>
      </c>
      <c r="J410" s="753" t="s">
        <v>1612</v>
      </c>
      <c r="N410" s="753" t="s">
        <v>2421</v>
      </c>
      <c r="P410" s="754">
        <f>SUMIF('Balance Sheet Detail'!$B:$B,$Q410,'Balance Sheet Detail'!W:W)</f>
        <v>-6.66244208333333</v>
      </c>
      <c r="Q410" s="753" t="s">
        <v>3135</v>
      </c>
    </row>
    <row r="411" spans="1:17" ht="15" customHeight="1">
      <c r="A411" s="760"/>
      <c r="B411" s="761">
        <v>190002</v>
      </c>
      <c r="D411" s="762" t="s">
        <v>1776</v>
      </c>
      <c r="F411" s="762" t="s">
        <v>1594</v>
      </c>
      <c r="H411" s="763" t="s">
        <v>1594</v>
      </c>
      <c r="J411" s="753" t="s">
        <v>1777</v>
      </c>
      <c r="N411" s="753" t="s">
        <v>2421</v>
      </c>
      <c r="P411" s="754">
        <f>SUMIF('Balance Sheet Detail'!$B:$B,$Q411,'Balance Sheet Detail'!W:W)</f>
        <v>2255.5771320833301</v>
      </c>
      <c r="Q411" s="753" t="s">
        <v>3136</v>
      </c>
    </row>
    <row r="412" spans="1:17" ht="15" customHeight="1">
      <c r="A412" s="760"/>
      <c r="B412" s="761">
        <v>190006</v>
      </c>
      <c r="D412" s="762" t="s">
        <v>1834</v>
      </c>
      <c r="F412" s="762" t="s">
        <v>1833</v>
      </c>
      <c r="H412" s="763" t="s">
        <v>1594</v>
      </c>
      <c r="J412" s="753" t="s">
        <v>1835</v>
      </c>
      <c r="N412" s="753" t="s">
        <v>2421</v>
      </c>
      <c r="P412" s="754">
        <f>SUMIF('Balance Sheet Detail'!$B:$B,$Q412,'Balance Sheet Detail'!W:W)</f>
        <v>-869.185655</v>
      </c>
      <c r="Q412" s="753" t="s">
        <v>2926</v>
      </c>
    </row>
    <row r="413" spans="1:17" ht="15" customHeight="1">
      <c r="A413" s="760"/>
      <c r="B413" s="761">
        <v>190006</v>
      </c>
      <c r="D413" s="762"/>
      <c r="F413" s="762" t="s">
        <v>1841</v>
      </c>
      <c r="H413" s="763" t="s">
        <v>1594</v>
      </c>
      <c r="J413" s="753" t="s">
        <v>1842</v>
      </c>
      <c r="N413" s="753" t="s">
        <v>2421</v>
      </c>
      <c r="P413" s="754">
        <f>SUMIF('Balance Sheet Detail'!$B:$B,$Q413,'Balance Sheet Detail'!W:W)</f>
        <v>0</v>
      </c>
      <c r="Q413" s="753" t="s">
        <v>3137</v>
      </c>
    </row>
    <row r="414" spans="1:17" ht="15" customHeight="1">
      <c r="A414" s="760"/>
      <c r="B414" s="761">
        <v>190006</v>
      </c>
      <c r="D414" s="762" t="s">
        <v>1844</v>
      </c>
      <c r="F414" s="762" t="s">
        <v>1843</v>
      </c>
      <c r="H414" s="763" t="s">
        <v>1594</v>
      </c>
      <c r="J414" s="753" t="s">
        <v>1845</v>
      </c>
      <c r="N414" s="753" t="s">
        <v>2421</v>
      </c>
      <c r="P414" s="754">
        <f>SUMIF('Balance Sheet Detail'!$B:$B,$Q414,'Balance Sheet Detail'!W:W)</f>
        <v>0</v>
      </c>
      <c r="Q414" s="753" t="s">
        <v>3138</v>
      </c>
    </row>
    <row r="415" spans="1:17" ht="15" customHeight="1">
      <c r="A415" s="760"/>
      <c r="B415" s="761">
        <v>190007</v>
      </c>
      <c r="D415" s="762" t="s">
        <v>1834</v>
      </c>
      <c r="F415" s="762" t="s">
        <v>1833</v>
      </c>
      <c r="H415" s="763" t="s">
        <v>1594</v>
      </c>
      <c r="J415" s="753" t="s">
        <v>1845</v>
      </c>
      <c r="N415" s="753" t="s">
        <v>2421</v>
      </c>
      <c r="P415" s="754">
        <f>SUMIF('Balance Sheet Detail'!$B:$B,$Q415,'Balance Sheet Detail'!W:W)</f>
        <v>-92.765358333333296</v>
      </c>
      <c r="Q415" s="753" t="s">
        <v>2927</v>
      </c>
    </row>
    <row r="416" spans="1:17" ht="15" customHeight="1">
      <c r="A416" s="760"/>
      <c r="B416" s="761">
        <v>190007</v>
      </c>
      <c r="D416" s="762"/>
      <c r="F416" s="762" t="s">
        <v>1841</v>
      </c>
      <c r="H416" s="763" t="s">
        <v>1594</v>
      </c>
      <c r="J416" s="753" t="s">
        <v>1842</v>
      </c>
      <c r="N416" s="753" t="s">
        <v>2421</v>
      </c>
      <c r="P416" s="754">
        <f>SUMIF('Balance Sheet Detail'!$B:$B,$Q416,'Balance Sheet Detail'!W:W)</f>
        <v>0</v>
      </c>
      <c r="Q416" s="753" t="s">
        <v>3139</v>
      </c>
    </row>
    <row r="417" spans="1:17" ht="15" customHeight="1">
      <c r="A417" s="760"/>
      <c r="B417" s="761">
        <v>190008</v>
      </c>
      <c r="D417" s="762" t="s">
        <v>1834</v>
      </c>
      <c r="F417" s="762" t="s">
        <v>1833</v>
      </c>
      <c r="H417" s="763" t="s">
        <v>1594</v>
      </c>
      <c r="J417" s="753" t="s">
        <v>1848</v>
      </c>
      <c r="N417" s="753" t="s">
        <v>2421</v>
      </c>
      <c r="P417" s="754">
        <f>SUMIF('Balance Sheet Detail'!$B:$B,$Q417,'Balance Sheet Detail'!W:W)</f>
        <v>0</v>
      </c>
      <c r="Q417" s="753" t="s">
        <v>2928</v>
      </c>
    </row>
    <row r="418" spans="1:17" ht="15" customHeight="1">
      <c r="A418" s="760"/>
      <c r="B418" s="761">
        <v>190008</v>
      </c>
      <c r="D418" s="762" t="s">
        <v>1844</v>
      </c>
      <c r="F418" s="762" t="s">
        <v>1843</v>
      </c>
      <c r="H418" s="763" t="s">
        <v>1594</v>
      </c>
      <c r="J418" s="753" t="s">
        <v>1849</v>
      </c>
      <c r="N418" s="753" t="s">
        <v>2421</v>
      </c>
      <c r="P418" s="754">
        <f>SUMIF('Balance Sheet Detail'!$B:$B,$Q418,'Balance Sheet Detail'!W:W)</f>
        <v>0</v>
      </c>
      <c r="Q418" s="753" t="s">
        <v>3140</v>
      </c>
    </row>
    <row r="419" spans="1:17" ht="15" customHeight="1">
      <c r="A419" s="760"/>
      <c r="B419" s="761">
        <v>190010</v>
      </c>
      <c r="D419" s="762" t="s">
        <v>1592</v>
      </c>
      <c r="F419" s="762" t="s">
        <v>1591</v>
      </c>
      <c r="H419" s="763" t="s">
        <v>1594</v>
      </c>
      <c r="J419" s="753" t="s">
        <v>1593</v>
      </c>
      <c r="N419" s="753" t="s">
        <v>2421</v>
      </c>
      <c r="P419" s="754">
        <f>SUMIF('Balance Sheet Detail'!$B:$B,$Q419,'Balance Sheet Detail'!W:W)</f>
        <v>0</v>
      </c>
      <c r="Q419" s="753" t="s">
        <v>3141</v>
      </c>
    </row>
    <row r="420" spans="1:17" ht="15" customHeight="1">
      <c r="A420" s="760"/>
      <c r="B420" s="761">
        <v>190010</v>
      </c>
      <c r="D420" s="762" t="s">
        <v>1596</v>
      </c>
      <c r="F420" s="762" t="s">
        <v>1595</v>
      </c>
      <c r="H420" s="763" t="s">
        <v>1594</v>
      </c>
      <c r="J420" s="753" t="s">
        <v>1597</v>
      </c>
      <c r="N420" s="753" t="s">
        <v>2421</v>
      </c>
      <c r="P420" s="754">
        <f>SUMIF('Balance Sheet Detail'!$B:$B,$Q420,'Balance Sheet Detail'!W:W)</f>
        <v>17.157102083333299</v>
      </c>
      <c r="Q420" s="753" t="s">
        <v>3142</v>
      </c>
    </row>
    <row r="421" spans="1:17" ht="15" customHeight="1">
      <c r="A421" s="760"/>
      <c r="B421" s="761">
        <v>190010</v>
      </c>
      <c r="D421" s="762" t="s">
        <v>1599</v>
      </c>
      <c r="F421" s="762" t="s">
        <v>1598</v>
      </c>
      <c r="H421" s="763" t="s">
        <v>1594</v>
      </c>
      <c r="J421" s="753" t="s">
        <v>1600</v>
      </c>
      <c r="N421" s="753" t="s">
        <v>2421</v>
      </c>
      <c r="P421" s="754">
        <f>SUMIF('Balance Sheet Detail'!$B:$B,$Q421,'Balance Sheet Detail'!W:W)</f>
        <v>-2.3750000000000001E-5</v>
      </c>
      <c r="Q421" s="753" t="s">
        <v>3143</v>
      </c>
    </row>
    <row r="422" spans="1:17" ht="15" customHeight="1">
      <c r="A422" s="760"/>
      <c r="B422" s="761">
        <v>190010</v>
      </c>
      <c r="D422" s="762" t="s">
        <v>1602</v>
      </c>
      <c r="F422" s="762" t="s">
        <v>1601</v>
      </c>
      <c r="H422" s="763" t="s">
        <v>1594</v>
      </c>
      <c r="J422" s="753" t="s">
        <v>1603</v>
      </c>
      <c r="N422" s="753" t="s">
        <v>2421</v>
      </c>
      <c r="P422" s="754">
        <f>SUMIF('Balance Sheet Detail'!$B:$B,$Q422,'Balance Sheet Detail'!W:W)</f>
        <v>6060.0775729166699</v>
      </c>
      <c r="Q422" s="753" t="s">
        <v>3144</v>
      </c>
    </row>
    <row r="423" spans="1:17" ht="15" customHeight="1">
      <c r="A423" s="760"/>
      <c r="B423" s="761">
        <v>190010</v>
      </c>
      <c r="D423" s="762" t="s">
        <v>1605</v>
      </c>
      <c r="F423" s="762" t="s">
        <v>1604</v>
      </c>
      <c r="H423" s="763" t="s">
        <v>1594</v>
      </c>
      <c r="J423" s="753" t="s">
        <v>1606</v>
      </c>
      <c r="N423" s="753" t="s">
        <v>2421</v>
      </c>
      <c r="P423" s="754">
        <f>SUMIF('Balance Sheet Detail'!$B:$B,$Q423,'Balance Sheet Detail'!W:W)</f>
        <v>-3.7215808333333298</v>
      </c>
      <c r="Q423" s="753" t="s">
        <v>3145</v>
      </c>
    </row>
    <row r="424" spans="1:17" ht="15" customHeight="1">
      <c r="A424" s="760"/>
      <c r="B424" s="761">
        <v>190010</v>
      </c>
      <c r="D424" s="762" t="s">
        <v>1608</v>
      </c>
      <c r="F424" s="762" t="s">
        <v>1607</v>
      </c>
      <c r="H424" s="763" t="s">
        <v>1594</v>
      </c>
      <c r="J424" s="753" t="s">
        <v>1609</v>
      </c>
      <c r="N424" s="753" t="s">
        <v>2421</v>
      </c>
      <c r="P424" s="754">
        <f>SUMIF('Balance Sheet Detail'!$B:$B,$Q424,'Balance Sheet Detail'!W:W)</f>
        <v>-191.954259583333</v>
      </c>
      <c r="Q424" s="753" t="s">
        <v>3146</v>
      </c>
    </row>
    <row r="425" spans="1:17" ht="15" customHeight="1">
      <c r="A425" s="760"/>
      <c r="B425" s="761">
        <v>190010</v>
      </c>
      <c r="D425" s="762" t="s">
        <v>1611</v>
      </c>
      <c r="F425" s="762" t="s">
        <v>1610</v>
      </c>
      <c r="H425" s="763" t="s">
        <v>1594</v>
      </c>
      <c r="J425" s="753" t="s">
        <v>1612</v>
      </c>
      <c r="N425" s="753" t="s">
        <v>2421</v>
      </c>
      <c r="P425" s="754">
        <f>SUMIF('Balance Sheet Detail'!$B:$B,$Q425,'Balance Sheet Detail'!W:W)</f>
        <v>-1.4548270833333301</v>
      </c>
      <c r="Q425" s="753" t="s">
        <v>3147</v>
      </c>
    </row>
    <row r="426" spans="1:17" ht="15" customHeight="1">
      <c r="A426" s="760"/>
      <c r="B426" s="761">
        <v>190012</v>
      </c>
      <c r="D426" s="762" t="s">
        <v>1776</v>
      </c>
      <c r="F426" s="762" t="s">
        <v>1594</v>
      </c>
      <c r="H426" s="763" t="s">
        <v>1594</v>
      </c>
      <c r="J426" s="753" t="s">
        <v>1777</v>
      </c>
      <c r="N426" s="753" t="s">
        <v>2421</v>
      </c>
      <c r="P426" s="754">
        <f>SUMIF('Balance Sheet Detail'!$B:$B,$Q426,'Balance Sheet Detail'!W:W)</f>
        <v>492.52948458333299</v>
      </c>
      <c r="Q426" s="753" t="s">
        <v>3148</v>
      </c>
    </row>
    <row r="427" spans="1:17" ht="15" customHeight="1">
      <c r="A427" s="760"/>
      <c r="B427" s="761">
        <v>190016</v>
      </c>
      <c r="D427" s="762" t="s">
        <v>1834</v>
      </c>
      <c r="F427" s="762" t="s">
        <v>1833</v>
      </c>
      <c r="H427" s="763" t="s">
        <v>1594</v>
      </c>
      <c r="J427" s="753" t="s">
        <v>1845</v>
      </c>
      <c r="N427" s="753" t="s">
        <v>2421</v>
      </c>
      <c r="P427" s="754">
        <f>SUMIF('Balance Sheet Detail'!$B:$B,$Q427,'Balance Sheet Detail'!W:W)</f>
        <v>-189.79026833333299</v>
      </c>
      <c r="Q427" s="753" t="s">
        <v>2929</v>
      </c>
    </row>
    <row r="428" spans="1:17" ht="15" customHeight="1">
      <c r="A428" s="760"/>
      <c r="B428" s="761">
        <v>190016</v>
      </c>
      <c r="D428" s="762"/>
      <c r="F428" s="762" t="s">
        <v>1841</v>
      </c>
      <c r="H428" s="763" t="s">
        <v>1594</v>
      </c>
      <c r="J428" s="753" t="s">
        <v>1842</v>
      </c>
      <c r="N428" s="753" t="s">
        <v>2421</v>
      </c>
      <c r="P428" s="754">
        <f>SUMIF('Balance Sheet Detail'!$B:$B,$Q428,'Balance Sheet Detail'!W:W)</f>
        <v>0</v>
      </c>
      <c r="Q428" s="753" t="s">
        <v>3149</v>
      </c>
    </row>
    <row r="429" spans="1:17" ht="15" customHeight="1">
      <c r="A429" s="760"/>
      <c r="B429" s="761">
        <v>190017</v>
      </c>
      <c r="D429" s="762" t="s">
        <v>1834</v>
      </c>
      <c r="F429" s="762" t="s">
        <v>1833</v>
      </c>
      <c r="H429" s="763" t="s">
        <v>1594</v>
      </c>
      <c r="J429" s="753" t="s">
        <v>1845</v>
      </c>
      <c r="N429" s="753" t="s">
        <v>2421</v>
      </c>
      <c r="P429" s="754">
        <f>SUMIF('Balance Sheet Detail'!$B:$B,$Q429,'Balance Sheet Detail'!W:W)</f>
        <v>-20.258085000000001</v>
      </c>
      <c r="Q429" s="753" t="s">
        <v>2930</v>
      </c>
    </row>
    <row r="430" spans="1:17" ht="15" customHeight="1">
      <c r="A430" s="760"/>
      <c r="B430" s="761">
        <v>190017</v>
      </c>
      <c r="D430" s="762" t="s">
        <v>1620</v>
      </c>
      <c r="F430" s="762" t="s">
        <v>1843</v>
      </c>
      <c r="H430" s="763" t="s">
        <v>1594</v>
      </c>
      <c r="J430" s="753" t="s">
        <v>1867</v>
      </c>
      <c r="N430" s="753" t="s">
        <v>2421</v>
      </c>
      <c r="P430" s="754">
        <f>SUMIF('Balance Sheet Detail'!$B:$B,$Q430,'Balance Sheet Detail'!W:W)</f>
        <v>0</v>
      </c>
      <c r="Q430" s="753" t="s">
        <v>3150</v>
      </c>
    </row>
    <row r="431" spans="1:17" ht="15" customHeight="1">
      <c r="A431" s="760"/>
      <c r="B431" s="761">
        <v>190017</v>
      </c>
      <c r="D431" s="762"/>
      <c r="F431" s="762" t="s">
        <v>1841</v>
      </c>
      <c r="H431" s="763" t="s">
        <v>1594</v>
      </c>
      <c r="J431" s="753" t="s">
        <v>1842</v>
      </c>
      <c r="N431" s="753" t="s">
        <v>2421</v>
      </c>
      <c r="P431" s="754">
        <f>SUMIF('Balance Sheet Detail'!$B:$B,$Q431,'Balance Sheet Detail'!W:W)</f>
        <v>0</v>
      </c>
      <c r="Q431" s="753" t="s">
        <v>3151</v>
      </c>
    </row>
    <row r="432" spans="1:17" ht="15" customHeight="1">
      <c r="A432" s="760"/>
      <c r="B432" s="761">
        <v>190018</v>
      </c>
      <c r="D432" s="762" t="s">
        <v>1834</v>
      </c>
      <c r="F432" s="762" t="s">
        <v>1833</v>
      </c>
      <c r="H432" s="763" t="s">
        <v>1594</v>
      </c>
      <c r="J432" s="753" t="s">
        <v>1845</v>
      </c>
      <c r="N432" s="753" t="s">
        <v>2421</v>
      </c>
      <c r="P432" s="754">
        <f>SUMIF('Balance Sheet Detail'!$B:$B,$Q432,'Balance Sheet Detail'!W:W)</f>
        <v>0</v>
      </c>
      <c r="Q432" s="753" t="s">
        <v>2931</v>
      </c>
    </row>
    <row r="433" spans="1:17" ht="15" customHeight="1">
      <c r="A433" s="760"/>
      <c r="B433" s="761">
        <v>190018</v>
      </c>
      <c r="D433" s="762" t="s">
        <v>1844</v>
      </c>
      <c r="F433" s="762" t="s">
        <v>1843</v>
      </c>
      <c r="H433" s="763" t="s">
        <v>1594</v>
      </c>
      <c r="J433" s="753" t="s">
        <v>1868</v>
      </c>
      <c r="N433" s="753" t="s">
        <v>2421</v>
      </c>
      <c r="P433" s="754">
        <f>SUMIF('Balance Sheet Detail'!$B:$B,$Q433,'Balance Sheet Detail'!W:W)</f>
        <v>0</v>
      </c>
      <c r="Q433" s="753" t="s">
        <v>3152</v>
      </c>
    </row>
    <row r="434" spans="1:17" ht="15" customHeight="1">
      <c r="A434" s="760"/>
      <c r="B434" s="761">
        <v>190019</v>
      </c>
      <c r="D434" s="762" t="s">
        <v>1620</v>
      </c>
      <c r="F434" s="762">
        <v>0</v>
      </c>
      <c r="H434" s="763" t="s">
        <v>1594</v>
      </c>
      <c r="J434" s="753" t="s">
        <v>1870</v>
      </c>
      <c r="N434" s="753" t="s">
        <v>2421</v>
      </c>
      <c r="P434" s="754">
        <f>SUMIF('Balance Sheet Detail'!$B:$B,$Q434,'Balance Sheet Detail'!W:W)</f>
        <v>0</v>
      </c>
      <c r="Q434" s="753" t="s">
        <v>3153</v>
      </c>
    </row>
    <row r="435" spans="1:17" ht="15" customHeight="1">
      <c r="A435" s="760"/>
      <c r="B435" s="761">
        <v>190030</v>
      </c>
      <c r="D435" s="762" t="s">
        <v>1592</v>
      </c>
      <c r="F435" s="762"/>
      <c r="H435" s="763" t="s">
        <v>1594</v>
      </c>
      <c r="J435" s="753" t="s">
        <v>1871</v>
      </c>
      <c r="N435" s="753" t="s">
        <v>2421</v>
      </c>
      <c r="P435" s="754">
        <f>SUMIF('Balance Sheet Detail'!$B:$B,$Q435,'Balance Sheet Detail'!W:W)</f>
        <v>545.09972625</v>
      </c>
      <c r="Q435" s="753" t="s">
        <v>3154</v>
      </c>
    </row>
    <row r="436" spans="1:17" ht="15" customHeight="1">
      <c r="A436" s="760"/>
      <c r="B436" s="761">
        <v>190040</v>
      </c>
      <c r="D436" s="762" t="s">
        <v>1592</v>
      </c>
      <c r="F436" s="762"/>
      <c r="H436" s="763" t="s">
        <v>1594</v>
      </c>
      <c r="J436" s="753" t="s">
        <v>1871</v>
      </c>
      <c r="N436" s="753" t="s">
        <v>2421</v>
      </c>
      <c r="P436" s="754">
        <f>SUMIF('Balance Sheet Detail'!$B:$B,$Q436,'Balance Sheet Detail'!W:W)</f>
        <v>119.027059583333</v>
      </c>
      <c r="Q436" s="753" t="s">
        <v>3155</v>
      </c>
    </row>
    <row r="437" spans="1:17" ht="15" customHeight="1">
      <c r="A437" s="760"/>
      <c r="B437" s="761">
        <v>190990</v>
      </c>
      <c r="D437" s="762" t="s">
        <v>1834</v>
      </c>
      <c r="F437" s="762" t="s">
        <v>1833</v>
      </c>
      <c r="H437" s="763" t="s">
        <v>1594</v>
      </c>
      <c r="J437" s="753" t="s">
        <v>1870</v>
      </c>
      <c r="N437" s="753" t="s">
        <v>2421</v>
      </c>
      <c r="P437" s="754">
        <f>SUMIF('Balance Sheet Detail'!$B:$B,$Q437,'Balance Sheet Detail'!W:W)</f>
        <v>869.185655</v>
      </c>
      <c r="Q437" s="753" t="s">
        <v>3156</v>
      </c>
    </row>
    <row r="438" spans="1:17" ht="15" customHeight="1">
      <c r="A438" s="760"/>
      <c r="B438" s="761">
        <v>190991</v>
      </c>
      <c r="D438" s="762" t="s">
        <v>1834</v>
      </c>
      <c r="F438" s="762" t="s">
        <v>1833</v>
      </c>
      <c r="H438" s="763" t="s">
        <v>1594</v>
      </c>
      <c r="J438" s="753" t="s">
        <v>1870</v>
      </c>
      <c r="N438" s="753" t="s">
        <v>2421</v>
      </c>
      <c r="P438" s="754">
        <f>SUMIF('Balance Sheet Detail'!$B:$B,$Q438,'Balance Sheet Detail'!W:W)</f>
        <v>189.79026833333299</v>
      </c>
      <c r="Q438" s="753" t="s">
        <v>3157</v>
      </c>
    </row>
    <row r="439" spans="1:17" ht="15" customHeight="1">
      <c r="A439" s="760"/>
      <c r="B439" s="761">
        <v>190992</v>
      </c>
      <c r="D439" s="762" t="s">
        <v>1834</v>
      </c>
      <c r="F439" s="762" t="s">
        <v>1833</v>
      </c>
      <c r="H439" s="763" t="s">
        <v>1594</v>
      </c>
      <c r="J439" s="753" t="s">
        <v>1870</v>
      </c>
      <c r="N439" s="753" t="s">
        <v>2421</v>
      </c>
      <c r="P439" s="754">
        <f>SUMIF('Balance Sheet Detail'!$B:$B,$Q439,'Balance Sheet Detail'!W:W)</f>
        <v>92.765358333333296</v>
      </c>
      <c r="Q439" s="753" t="s">
        <v>3158</v>
      </c>
    </row>
    <row r="440" spans="1:17" ht="15" customHeight="1">
      <c r="A440" s="760"/>
      <c r="B440" s="761">
        <v>190993</v>
      </c>
      <c r="D440" s="762" t="s">
        <v>1834</v>
      </c>
      <c r="F440" s="762" t="s">
        <v>1833</v>
      </c>
      <c r="H440" s="763" t="s">
        <v>1594</v>
      </c>
      <c r="J440" s="753" t="s">
        <v>1870</v>
      </c>
      <c r="N440" s="753" t="s">
        <v>2421</v>
      </c>
      <c r="P440" s="754">
        <f>SUMIF('Balance Sheet Detail'!$B:$B,$Q440,'Balance Sheet Detail'!W:W)</f>
        <v>20.258085000000001</v>
      </c>
      <c r="Q440" s="753" t="s">
        <v>3159</v>
      </c>
    </row>
    <row r="441" spans="1:17" ht="15" customHeight="1">
      <c r="A441" s="760"/>
      <c r="B441" s="761">
        <v>283510</v>
      </c>
      <c r="D441" s="762" t="s">
        <v>1776</v>
      </c>
      <c r="F441" s="762" t="s">
        <v>1594</v>
      </c>
      <c r="H441" s="763" t="s">
        <v>1594</v>
      </c>
      <c r="J441" s="753" t="s">
        <v>1777</v>
      </c>
      <c r="N441" s="753" t="s">
        <v>2421</v>
      </c>
      <c r="P441" s="754">
        <f>SUMIF('Balance Sheet Detail'!$B:$B,$Q441,'Balance Sheet Detail'!W:W)</f>
        <v>-2255.2010420833299</v>
      </c>
      <c r="Q441" s="753" t="s">
        <v>3160</v>
      </c>
    </row>
    <row r="442" spans="1:17" ht="15" customHeight="1">
      <c r="A442" s="760"/>
      <c r="B442" s="761">
        <v>283560</v>
      </c>
      <c r="D442" s="762" t="s">
        <v>1776</v>
      </c>
      <c r="F442" s="762" t="s">
        <v>1594</v>
      </c>
      <c r="H442" s="763" t="s">
        <v>1594</v>
      </c>
      <c r="J442" s="753" t="s">
        <v>1777</v>
      </c>
      <c r="N442" s="753" t="s">
        <v>2421</v>
      </c>
      <c r="P442" s="754">
        <f>SUMIF('Balance Sheet Detail'!$B:$B,$Q442,'Balance Sheet Detail'!W:W)</f>
        <v>-492.44736124999997</v>
      </c>
      <c r="Q442" s="753" t="s">
        <v>3161</v>
      </c>
    </row>
    <row r="443" spans="1:17" ht="15" customHeight="1">
      <c r="A443" s="760"/>
      <c r="B443" s="761">
        <v>283987</v>
      </c>
      <c r="D443" s="762"/>
      <c r="F443" s="762">
        <v>0</v>
      </c>
      <c r="H443" s="763" t="s">
        <v>1594</v>
      </c>
      <c r="J443" s="753" t="s">
        <v>2384</v>
      </c>
      <c r="N443" s="753" t="s">
        <v>2421</v>
      </c>
      <c r="P443" s="754">
        <f>SUMIF('Balance Sheet Detail'!$B:$B,$Q443,'Balance Sheet Detail'!W:W)</f>
        <v>0</v>
      </c>
      <c r="Q443" s="753" t="s">
        <v>3162</v>
      </c>
    </row>
    <row r="444" spans="1:17" ht="15" customHeight="1">
      <c r="A444" s="760"/>
      <c r="B444" s="761">
        <v>283987</v>
      </c>
      <c r="D444" s="762" t="s">
        <v>1834</v>
      </c>
      <c r="F444" s="762" t="s">
        <v>1833</v>
      </c>
      <c r="H444" s="763" t="s">
        <v>1594</v>
      </c>
      <c r="J444" s="753" t="s">
        <v>2386</v>
      </c>
      <c r="N444" s="753" t="s">
        <v>2421</v>
      </c>
      <c r="P444" s="754">
        <f>SUMIF('Balance Sheet Detail'!$B:$B,$Q444,'Balance Sheet Detail'!W:W)</f>
        <v>0</v>
      </c>
      <c r="Q444" s="753" t="s">
        <v>3163</v>
      </c>
    </row>
    <row r="445" spans="1:17" ht="15" customHeight="1">
      <c r="A445" s="760"/>
      <c r="B445" s="761">
        <v>283989</v>
      </c>
      <c r="D445" s="762"/>
      <c r="F445" s="762">
        <v>0</v>
      </c>
      <c r="H445" s="763" t="s">
        <v>1594</v>
      </c>
      <c r="J445" s="753" t="s">
        <v>2384</v>
      </c>
      <c r="N445" s="753" t="s">
        <v>2421</v>
      </c>
      <c r="P445" s="754">
        <f>SUMIF('Balance Sheet Detail'!$B:$B,$Q445,'Balance Sheet Detail'!W:W)</f>
        <v>0</v>
      </c>
      <c r="Q445" s="753" t="s">
        <v>3164</v>
      </c>
    </row>
    <row r="446" spans="1:17" ht="15" customHeight="1">
      <c r="A446" s="760"/>
      <c r="B446" s="761">
        <v>283989</v>
      </c>
      <c r="D446" s="762" t="s">
        <v>1834</v>
      </c>
      <c r="F446" s="762" t="s">
        <v>1833</v>
      </c>
      <c r="H446" s="763" t="s">
        <v>1594</v>
      </c>
      <c r="J446" s="753" t="s">
        <v>2386</v>
      </c>
      <c r="N446" s="753" t="s">
        <v>2421</v>
      </c>
      <c r="P446" s="754">
        <f>SUMIF('Balance Sheet Detail'!$B:$B,$Q446,'Balance Sheet Detail'!W:W)</f>
        <v>0</v>
      </c>
      <c r="Q446" s="753" t="s">
        <v>3165</v>
      </c>
    </row>
    <row r="447" spans="1:17" ht="15" customHeight="1">
      <c r="A447" s="760"/>
      <c r="D447" s="762"/>
      <c r="F447" s="762"/>
      <c r="H447" s="763"/>
      <c r="P447" s="755"/>
    </row>
    <row r="448" spans="1:17">
      <c r="A448" s="760"/>
      <c r="B448" s="764" t="s">
        <v>2879</v>
      </c>
      <c r="C448" s="814"/>
      <c r="D448" s="762"/>
      <c r="E448" s="814"/>
      <c r="F448" s="762"/>
      <c r="G448" s="814"/>
      <c r="H448" s="763"/>
      <c r="I448" s="814"/>
      <c r="K448" s="814"/>
      <c r="L448" s="814"/>
      <c r="O448" s="791" t="str">
        <f>IF((SUMIF('Balance Sheet Detail'!$H$7:$H$2493,'Items Not in Rate Base'!H360,'Balance Sheet Detail'!$W$7:$W$2493)+SUMIF('Balance Sheet Detail'!$H$7:$H$2493,'Items Not in Rate Base'!H404,'Balance Sheet Detail'!$W$7:$W$2493))=P448,"OK", "Missing Line Item")</f>
        <v>OK</v>
      </c>
      <c r="P448" s="756">
        <f>SUM(P360:P447)</f>
        <v>1428.710957500015</v>
      </c>
      <c r="Q448" s="791"/>
    </row>
    <row r="449" spans="1:17">
      <c r="A449" s="760"/>
      <c r="B449" s="764"/>
      <c r="C449" s="814"/>
      <c r="D449" s="762"/>
      <c r="E449" s="814"/>
      <c r="F449" s="762"/>
      <c r="G449" s="814"/>
      <c r="H449" s="763"/>
      <c r="I449" s="814"/>
      <c r="K449" s="814"/>
      <c r="L449" s="814"/>
      <c r="P449" s="756"/>
    </row>
    <row r="450" spans="1:17">
      <c r="A450" s="760" t="s">
        <v>2880</v>
      </c>
      <c r="B450" s="764"/>
      <c r="C450" s="814"/>
      <c r="D450" s="762"/>
      <c r="E450" s="814"/>
      <c r="F450" s="762"/>
      <c r="G450" s="814"/>
      <c r="H450" s="763"/>
      <c r="I450" s="814"/>
      <c r="K450" s="814"/>
      <c r="L450" s="814"/>
      <c r="P450" s="756"/>
    </row>
    <row r="451" spans="1:17" ht="15" customHeight="1">
      <c r="A451" s="760"/>
      <c r="B451" s="761">
        <v>190003</v>
      </c>
      <c r="D451" s="762" t="s">
        <v>1624</v>
      </c>
      <c r="F451" s="762" t="s">
        <v>1797</v>
      </c>
      <c r="H451" s="763" t="s">
        <v>2880</v>
      </c>
      <c r="J451" s="753" t="s">
        <v>1798</v>
      </c>
      <c r="N451" s="753" t="s">
        <v>2421</v>
      </c>
      <c r="P451" s="754">
        <f>SUMIF('Balance Sheet Detail'!$B:$B,$Q451,'Balance Sheet Detail'!W:W)</f>
        <v>0</v>
      </c>
      <c r="Q451" s="753" t="s">
        <v>3440</v>
      </c>
    </row>
    <row r="452" spans="1:17" ht="15" customHeight="1">
      <c r="A452" s="760"/>
      <c r="B452" s="761">
        <v>190003</v>
      </c>
      <c r="D452" s="762" t="s">
        <v>1624</v>
      </c>
      <c r="F452" s="762" t="s">
        <v>1799</v>
      </c>
      <c r="H452" s="763" t="s">
        <v>2880</v>
      </c>
      <c r="J452" s="753" t="s">
        <v>1800</v>
      </c>
      <c r="N452" s="753" t="s">
        <v>2421</v>
      </c>
      <c r="P452" s="754">
        <f>SUMIF('Balance Sheet Detail'!$B:$B,$Q452,'Balance Sheet Detail'!W:W)</f>
        <v>0</v>
      </c>
      <c r="Q452" s="753" t="s">
        <v>3441</v>
      </c>
    </row>
    <row r="453" spans="1:17" ht="15" customHeight="1">
      <c r="A453" s="760"/>
      <c r="B453" s="761">
        <v>190003</v>
      </c>
      <c r="D453" s="762" t="s">
        <v>1624</v>
      </c>
      <c r="F453" s="762" t="s">
        <v>1725</v>
      </c>
      <c r="H453" s="763" t="s">
        <v>2880</v>
      </c>
      <c r="J453" s="753" t="s">
        <v>1801</v>
      </c>
      <c r="N453" s="753" t="s">
        <v>2421</v>
      </c>
      <c r="P453" s="754">
        <f>SUMIF('Balance Sheet Detail'!$B:$B,$Q453,'Balance Sheet Detail'!W:W)</f>
        <v>0</v>
      </c>
      <c r="Q453" s="753" t="s">
        <v>3442</v>
      </c>
    </row>
    <row r="454" spans="1:17" ht="15" customHeight="1">
      <c r="A454" s="760"/>
      <c r="B454" s="761">
        <v>190003</v>
      </c>
      <c r="D454" s="762" t="s">
        <v>1624</v>
      </c>
      <c r="F454" s="762" t="s">
        <v>1802</v>
      </c>
      <c r="H454" s="763" t="s">
        <v>2880</v>
      </c>
      <c r="J454" s="753" t="s">
        <v>1803</v>
      </c>
      <c r="N454" s="753" t="s">
        <v>2421</v>
      </c>
      <c r="P454" s="754">
        <f>SUMIF('Balance Sheet Detail'!$B:$B,$Q454,'Balance Sheet Detail'!W:W)</f>
        <v>0</v>
      </c>
      <c r="Q454" s="753" t="s">
        <v>3443</v>
      </c>
    </row>
    <row r="455" spans="1:17" ht="15" customHeight="1">
      <c r="A455" s="760"/>
      <c r="B455" s="761">
        <v>190003</v>
      </c>
      <c r="D455" s="762" t="s">
        <v>1624</v>
      </c>
      <c r="F455" s="762" t="s">
        <v>1804</v>
      </c>
      <c r="H455" s="763" t="s">
        <v>2880</v>
      </c>
      <c r="J455" s="753" t="s">
        <v>1805</v>
      </c>
      <c r="N455" s="753" t="s">
        <v>2421</v>
      </c>
      <c r="P455" s="754">
        <f>SUMIF('Balance Sheet Detail'!$B:$B,$Q455,'Balance Sheet Detail'!W:W)</f>
        <v>0</v>
      </c>
      <c r="Q455" s="753" t="s">
        <v>3444</v>
      </c>
    </row>
    <row r="456" spans="1:17" ht="15" customHeight="1">
      <c r="A456" s="760"/>
      <c r="B456" s="761">
        <v>190004</v>
      </c>
      <c r="D456" s="762" t="s">
        <v>1624</v>
      </c>
      <c r="F456" s="762" t="s">
        <v>1797</v>
      </c>
      <c r="H456" s="763" t="s">
        <v>2880</v>
      </c>
      <c r="J456" s="753" t="s">
        <v>1798</v>
      </c>
      <c r="N456" s="753" t="s">
        <v>2421</v>
      </c>
      <c r="P456" s="754">
        <f>SUMIF('Balance Sheet Detail'!$B:$B,$Q456,'Balance Sheet Detail'!W:W)</f>
        <v>0</v>
      </c>
      <c r="Q456" s="753" t="s">
        <v>3445</v>
      </c>
    </row>
    <row r="457" spans="1:17" ht="15" customHeight="1">
      <c r="A457" s="760"/>
      <c r="B457" s="761">
        <v>190004</v>
      </c>
      <c r="D457" s="762" t="s">
        <v>1624</v>
      </c>
      <c r="F457" s="762" t="s">
        <v>1799</v>
      </c>
      <c r="H457" s="763" t="s">
        <v>2880</v>
      </c>
      <c r="J457" s="753" t="s">
        <v>1800</v>
      </c>
      <c r="N457" s="753" t="s">
        <v>2421</v>
      </c>
      <c r="P457" s="754">
        <f>SUMIF('Balance Sheet Detail'!$B:$B,$Q457,'Balance Sheet Detail'!W:W)</f>
        <v>0</v>
      </c>
      <c r="Q457" s="753" t="s">
        <v>3446</v>
      </c>
    </row>
    <row r="458" spans="1:17" ht="15" customHeight="1">
      <c r="A458" s="760"/>
      <c r="B458" s="761">
        <v>190004</v>
      </c>
      <c r="D458" s="762" t="s">
        <v>1624</v>
      </c>
      <c r="F458" s="762" t="s">
        <v>1725</v>
      </c>
      <c r="H458" s="763" t="s">
        <v>2880</v>
      </c>
      <c r="J458" s="753" t="s">
        <v>1801</v>
      </c>
      <c r="N458" s="753" t="s">
        <v>2421</v>
      </c>
      <c r="P458" s="754">
        <f>SUMIF('Balance Sheet Detail'!$B:$B,$Q458,'Balance Sheet Detail'!W:W)</f>
        <v>0</v>
      </c>
      <c r="Q458" s="753" t="s">
        <v>3447</v>
      </c>
    </row>
    <row r="459" spans="1:17" ht="15" customHeight="1">
      <c r="A459" s="760"/>
      <c r="B459" s="761">
        <v>190004</v>
      </c>
      <c r="D459" s="762" t="s">
        <v>1624</v>
      </c>
      <c r="F459" s="762" t="s">
        <v>1802</v>
      </c>
      <c r="H459" s="763" t="s">
        <v>2880</v>
      </c>
      <c r="J459" s="753" t="s">
        <v>1803</v>
      </c>
      <c r="N459" s="753" t="s">
        <v>2421</v>
      </c>
      <c r="P459" s="754">
        <f>SUMIF('Balance Sheet Detail'!$B:$B,$Q459,'Balance Sheet Detail'!W:W)</f>
        <v>0</v>
      </c>
      <c r="Q459" s="753" t="s">
        <v>3448</v>
      </c>
    </row>
    <row r="460" spans="1:17" ht="15" customHeight="1">
      <c r="A460" s="760"/>
      <c r="B460" s="761">
        <v>190004</v>
      </c>
      <c r="D460" s="762" t="s">
        <v>1624</v>
      </c>
      <c r="F460" s="762" t="s">
        <v>1804</v>
      </c>
      <c r="H460" s="763" t="s">
        <v>2880</v>
      </c>
      <c r="J460" s="753" t="s">
        <v>1805</v>
      </c>
      <c r="N460" s="753" t="s">
        <v>2421</v>
      </c>
      <c r="P460" s="754">
        <f>SUMIF('Balance Sheet Detail'!$B:$B,$Q460,'Balance Sheet Detail'!W:W)</f>
        <v>0</v>
      </c>
      <c r="Q460" s="753" t="s">
        <v>3449</v>
      </c>
    </row>
    <row r="461" spans="1:17" ht="15" customHeight="1">
      <c r="A461" s="760"/>
      <c r="B461" s="761">
        <v>190013</v>
      </c>
      <c r="D461" s="762" t="s">
        <v>1624</v>
      </c>
      <c r="F461" s="762" t="s">
        <v>1725</v>
      </c>
      <c r="H461" s="763" t="s">
        <v>2880</v>
      </c>
      <c r="J461" s="753" t="s">
        <v>1726</v>
      </c>
      <c r="N461" s="753" t="s">
        <v>2421</v>
      </c>
      <c r="P461" s="754">
        <f>SUMIF('Balance Sheet Detail'!$B:$B,$Q461,'Balance Sheet Detail'!W:W)</f>
        <v>0</v>
      </c>
      <c r="Q461" s="753" t="s">
        <v>3450</v>
      </c>
    </row>
    <row r="462" spans="1:17" ht="15" customHeight="1">
      <c r="A462" s="760"/>
      <c r="B462" s="761">
        <v>190013</v>
      </c>
      <c r="D462" s="762" t="s">
        <v>1624</v>
      </c>
      <c r="F462" s="762" t="s">
        <v>1802</v>
      </c>
      <c r="H462" s="763" t="s">
        <v>2880</v>
      </c>
      <c r="J462" s="753" t="s">
        <v>1803</v>
      </c>
      <c r="N462" s="753" t="s">
        <v>2421</v>
      </c>
      <c r="P462" s="754">
        <f>SUMIF('Balance Sheet Detail'!$B:$B,$Q462,'Balance Sheet Detail'!W:W)</f>
        <v>0</v>
      </c>
      <c r="Q462" s="753" t="s">
        <v>3451</v>
      </c>
    </row>
    <row r="463" spans="1:17" ht="15" customHeight="1">
      <c r="A463" s="760"/>
      <c r="B463" s="761">
        <v>190014</v>
      </c>
      <c r="D463" s="762" t="s">
        <v>1624</v>
      </c>
      <c r="F463" s="762" t="s">
        <v>1725</v>
      </c>
      <c r="H463" s="763" t="s">
        <v>2880</v>
      </c>
      <c r="J463" s="753" t="s">
        <v>1726</v>
      </c>
      <c r="N463" s="753" t="s">
        <v>2421</v>
      </c>
      <c r="P463" s="754">
        <f>SUMIF('Balance Sheet Detail'!$B:$B,$Q463,'Balance Sheet Detail'!W:W)</f>
        <v>0</v>
      </c>
      <c r="Q463" s="753" t="s">
        <v>3452</v>
      </c>
    </row>
    <row r="464" spans="1:17" ht="15" customHeight="1">
      <c r="A464" s="760"/>
      <c r="B464" s="761">
        <v>190014</v>
      </c>
      <c r="D464" s="762" t="s">
        <v>1624</v>
      </c>
      <c r="F464" s="762" t="s">
        <v>1802</v>
      </c>
      <c r="H464" s="763" t="s">
        <v>2880</v>
      </c>
      <c r="J464" s="753" t="s">
        <v>1803</v>
      </c>
      <c r="N464" s="753" t="s">
        <v>2421</v>
      </c>
      <c r="P464" s="754">
        <f>SUMIF('Balance Sheet Detail'!$B:$B,$Q464,'Balance Sheet Detail'!W:W)</f>
        <v>0</v>
      </c>
      <c r="Q464" s="753" t="s">
        <v>3453</v>
      </c>
    </row>
    <row r="465" spans="1:17" ht="15" customHeight="1">
      <c r="A465" s="760"/>
      <c r="B465" s="761">
        <v>283200</v>
      </c>
      <c r="D465" s="762" t="s">
        <v>1624</v>
      </c>
      <c r="F465" s="762" t="s">
        <v>2196</v>
      </c>
      <c r="H465" s="763" t="s">
        <v>2880</v>
      </c>
      <c r="J465" s="753" t="s">
        <v>2197</v>
      </c>
      <c r="N465" s="753" t="s">
        <v>2421</v>
      </c>
      <c r="P465" s="754">
        <f>SUMIF('Balance Sheet Detail'!$B:$B,$Q465,'Balance Sheet Detail'!W:W)</f>
        <v>0</v>
      </c>
      <c r="Q465" s="753" t="s">
        <v>3454</v>
      </c>
    </row>
    <row r="466" spans="1:17" ht="15" customHeight="1">
      <c r="A466" s="760"/>
      <c r="B466" s="761">
        <v>283300</v>
      </c>
      <c r="D466" s="762" t="s">
        <v>1624</v>
      </c>
      <c r="F466" s="762" t="s">
        <v>2150</v>
      </c>
      <c r="H466" s="763" t="s">
        <v>2880</v>
      </c>
      <c r="J466" s="753" t="s">
        <v>2151</v>
      </c>
      <c r="N466" s="753" t="s">
        <v>2421</v>
      </c>
      <c r="P466" s="754">
        <f>SUMIF('Balance Sheet Detail'!$B:$B,$Q466,'Balance Sheet Detail'!W:W)</f>
        <v>0</v>
      </c>
      <c r="Q466" s="753" t="s">
        <v>3455</v>
      </c>
    </row>
    <row r="467" spans="1:17" ht="15" customHeight="1">
      <c r="A467" s="760"/>
      <c r="B467" s="761">
        <v>283300</v>
      </c>
      <c r="D467" s="762" t="s">
        <v>1624</v>
      </c>
      <c r="F467" s="762" t="s">
        <v>2267</v>
      </c>
      <c r="H467" s="763" t="s">
        <v>2880</v>
      </c>
      <c r="J467" s="753" t="s">
        <v>2268</v>
      </c>
      <c r="N467" s="753" t="s">
        <v>2421</v>
      </c>
      <c r="P467" s="754">
        <f>SUMIF('Balance Sheet Detail'!$B:$B,$Q467,'Balance Sheet Detail'!W:W)</f>
        <v>0</v>
      </c>
      <c r="Q467" s="753" t="s">
        <v>3456</v>
      </c>
    </row>
    <row r="468" spans="1:17" ht="15" customHeight="1">
      <c r="A468" s="760"/>
      <c r="B468" s="761">
        <v>283300</v>
      </c>
      <c r="D468" s="762" t="s">
        <v>1624</v>
      </c>
      <c r="F468" s="762" t="s">
        <v>2269</v>
      </c>
      <c r="H468" s="763" t="s">
        <v>2880</v>
      </c>
      <c r="J468" s="753" t="s">
        <v>2270</v>
      </c>
      <c r="N468" s="753" t="s">
        <v>2421</v>
      </c>
      <c r="P468" s="754">
        <f>SUMIF('Balance Sheet Detail'!$B:$B,$Q468,'Balance Sheet Detail'!W:W)</f>
        <v>0</v>
      </c>
      <c r="Q468" s="753" t="s">
        <v>3457</v>
      </c>
    </row>
    <row r="469" spans="1:17" ht="15" customHeight="1">
      <c r="A469" s="760"/>
      <c r="B469" s="761">
        <v>283300</v>
      </c>
      <c r="D469" s="762" t="s">
        <v>1624</v>
      </c>
      <c r="F469" s="762" t="s">
        <v>2271</v>
      </c>
      <c r="H469" s="763" t="s">
        <v>2880</v>
      </c>
      <c r="J469" s="753" t="s">
        <v>2272</v>
      </c>
      <c r="N469" s="753" t="s">
        <v>2421</v>
      </c>
      <c r="P469" s="754">
        <f>SUMIF('Balance Sheet Detail'!$B:$B,$Q469,'Balance Sheet Detail'!W:W)</f>
        <v>0</v>
      </c>
      <c r="Q469" s="753" t="s">
        <v>3458</v>
      </c>
    </row>
    <row r="470" spans="1:17" ht="15" customHeight="1">
      <c r="A470" s="760"/>
      <c r="B470" s="761">
        <v>283300</v>
      </c>
      <c r="D470" s="762" t="s">
        <v>1624</v>
      </c>
      <c r="F470" s="762" t="s">
        <v>2194</v>
      </c>
      <c r="H470" s="763" t="s">
        <v>2880</v>
      </c>
      <c r="J470" s="753" t="s">
        <v>2195</v>
      </c>
      <c r="N470" s="753" t="s">
        <v>2421</v>
      </c>
      <c r="P470" s="754">
        <f>SUMIF('Balance Sheet Detail'!$B:$B,$Q470,'Balance Sheet Detail'!W:W)</f>
        <v>0</v>
      </c>
      <c r="Q470" s="753" t="s">
        <v>3459</v>
      </c>
    </row>
    <row r="471" spans="1:17" ht="15" customHeight="1">
      <c r="A471" s="760"/>
      <c r="B471" s="761">
        <v>283300</v>
      </c>
      <c r="D471" s="762" t="s">
        <v>1624</v>
      </c>
      <c r="F471" s="762" t="s">
        <v>2196</v>
      </c>
      <c r="H471" s="763" t="s">
        <v>2880</v>
      </c>
      <c r="J471" s="753" t="s">
        <v>2197</v>
      </c>
      <c r="N471" s="753" t="s">
        <v>2421</v>
      </c>
      <c r="P471" s="754">
        <f>SUMIF('Balance Sheet Detail'!$B:$B,$Q471,'Balance Sheet Detail'!W:W)</f>
        <v>0</v>
      </c>
      <c r="Q471" s="753" t="s">
        <v>3460</v>
      </c>
    </row>
    <row r="472" spans="1:17" ht="15" customHeight="1">
      <c r="A472" s="760"/>
      <c r="B472" s="761">
        <v>283300</v>
      </c>
      <c r="D472" s="762" t="s">
        <v>1624</v>
      </c>
      <c r="F472" s="762" t="s">
        <v>2209</v>
      </c>
      <c r="H472" s="763" t="s">
        <v>2880</v>
      </c>
      <c r="J472" s="753" t="s">
        <v>2210</v>
      </c>
      <c r="N472" s="753" t="s">
        <v>2421</v>
      </c>
      <c r="P472" s="754">
        <f>SUMIF('Balance Sheet Detail'!$B:$B,$Q472,'Balance Sheet Detail'!W:W)</f>
        <v>0</v>
      </c>
      <c r="Q472" s="753" t="s">
        <v>3461</v>
      </c>
    </row>
    <row r="473" spans="1:17" ht="15" customHeight="1">
      <c r="A473" s="760"/>
      <c r="B473" s="761">
        <v>283300</v>
      </c>
      <c r="D473" s="762" t="s">
        <v>1624</v>
      </c>
      <c r="F473" s="762" t="s">
        <v>2280</v>
      </c>
      <c r="H473" s="763" t="s">
        <v>2880</v>
      </c>
      <c r="J473" s="753" t="s">
        <v>2281</v>
      </c>
      <c r="N473" s="753" t="s">
        <v>2421</v>
      </c>
      <c r="P473" s="754">
        <f>SUMIF('Balance Sheet Detail'!$B:$B,$Q473,'Balance Sheet Detail'!W:W)</f>
        <v>0</v>
      </c>
      <c r="Q473" s="753" t="s">
        <v>3462</v>
      </c>
    </row>
    <row r="474" spans="1:17" ht="15" customHeight="1">
      <c r="A474" s="760"/>
      <c r="B474" s="761">
        <v>283310</v>
      </c>
      <c r="D474" s="762" t="s">
        <v>1624</v>
      </c>
      <c r="F474" s="762" t="s">
        <v>2150</v>
      </c>
      <c r="H474" s="763" t="s">
        <v>2880</v>
      </c>
      <c r="J474" s="753" t="s">
        <v>2151</v>
      </c>
      <c r="N474" s="753" t="s">
        <v>2421</v>
      </c>
      <c r="P474" s="754">
        <f>SUMIF('Balance Sheet Detail'!$B:$B,$Q474,'Balance Sheet Detail'!W:W)</f>
        <v>0</v>
      </c>
      <c r="Q474" s="753" t="s">
        <v>3463</v>
      </c>
    </row>
    <row r="475" spans="1:17" ht="15" customHeight="1">
      <c r="A475" s="760"/>
      <c r="B475" s="761">
        <v>283310</v>
      </c>
      <c r="D475" s="762" t="s">
        <v>1624</v>
      </c>
      <c r="F475" s="762" t="s">
        <v>2267</v>
      </c>
      <c r="H475" s="763" t="s">
        <v>2880</v>
      </c>
      <c r="J475" s="753" t="s">
        <v>2268</v>
      </c>
      <c r="N475" s="753" t="s">
        <v>2421</v>
      </c>
      <c r="P475" s="754">
        <f>SUMIF('Balance Sheet Detail'!$B:$B,$Q475,'Balance Sheet Detail'!W:W)</f>
        <v>0</v>
      </c>
      <c r="Q475" s="753" t="s">
        <v>3464</v>
      </c>
    </row>
    <row r="476" spans="1:17" ht="15" customHeight="1">
      <c r="A476" s="760"/>
      <c r="B476" s="761">
        <v>283310</v>
      </c>
      <c r="D476" s="762" t="s">
        <v>1624</v>
      </c>
      <c r="F476" s="762" t="s">
        <v>2269</v>
      </c>
      <c r="H476" s="763" t="s">
        <v>2880</v>
      </c>
      <c r="J476" s="753" t="s">
        <v>2270</v>
      </c>
      <c r="N476" s="753" t="s">
        <v>2421</v>
      </c>
      <c r="P476" s="754">
        <f>SUMIF('Balance Sheet Detail'!$B:$B,$Q476,'Balance Sheet Detail'!W:W)</f>
        <v>0</v>
      </c>
      <c r="Q476" s="753" t="s">
        <v>3465</v>
      </c>
    </row>
    <row r="477" spans="1:17" ht="15" customHeight="1">
      <c r="A477" s="760"/>
      <c r="B477" s="761">
        <v>283310</v>
      </c>
      <c r="D477" s="762" t="s">
        <v>1624</v>
      </c>
      <c r="F477" s="762" t="s">
        <v>2271</v>
      </c>
      <c r="H477" s="763" t="s">
        <v>2880</v>
      </c>
      <c r="J477" s="753" t="s">
        <v>2272</v>
      </c>
      <c r="N477" s="753" t="s">
        <v>2421</v>
      </c>
      <c r="P477" s="754">
        <f>SUMIF('Balance Sheet Detail'!$B:$B,$Q477,'Balance Sheet Detail'!W:W)</f>
        <v>0</v>
      </c>
      <c r="Q477" s="753" t="s">
        <v>3466</v>
      </c>
    </row>
    <row r="478" spans="1:17" ht="15" customHeight="1">
      <c r="A478" s="760"/>
      <c r="B478" s="761">
        <v>283310</v>
      </c>
      <c r="D478" s="762" t="s">
        <v>1624</v>
      </c>
      <c r="F478" s="762" t="s">
        <v>2194</v>
      </c>
      <c r="H478" s="763" t="s">
        <v>2880</v>
      </c>
      <c r="J478" s="753" t="s">
        <v>2195</v>
      </c>
      <c r="N478" s="753" t="s">
        <v>2421</v>
      </c>
      <c r="P478" s="754">
        <f>SUMIF('Balance Sheet Detail'!$B:$B,$Q478,'Balance Sheet Detail'!W:W)</f>
        <v>0</v>
      </c>
      <c r="Q478" s="753" t="s">
        <v>3467</v>
      </c>
    </row>
    <row r="479" spans="1:17" ht="15" customHeight="1">
      <c r="A479" s="760"/>
      <c r="B479" s="761">
        <v>283310</v>
      </c>
      <c r="D479" s="762" t="s">
        <v>1624</v>
      </c>
      <c r="F479" s="762" t="s">
        <v>2196</v>
      </c>
      <c r="H479" s="763" t="s">
        <v>2880</v>
      </c>
      <c r="J479" s="753" t="s">
        <v>2197</v>
      </c>
      <c r="N479" s="753" t="s">
        <v>2421</v>
      </c>
      <c r="P479" s="754">
        <f>SUMIF('Balance Sheet Detail'!$B:$B,$Q479,'Balance Sheet Detail'!W:W)</f>
        <v>0</v>
      </c>
      <c r="Q479" s="753" t="s">
        <v>3468</v>
      </c>
    </row>
    <row r="480" spans="1:17" ht="15" customHeight="1">
      <c r="A480" s="760"/>
      <c r="B480" s="761">
        <v>283310</v>
      </c>
      <c r="D480" s="762" t="s">
        <v>1624</v>
      </c>
      <c r="F480" s="762" t="s">
        <v>2209</v>
      </c>
      <c r="H480" s="763" t="s">
        <v>2880</v>
      </c>
      <c r="J480" s="753" t="s">
        <v>2210</v>
      </c>
      <c r="N480" s="753" t="s">
        <v>2421</v>
      </c>
      <c r="P480" s="754">
        <f>SUMIF('Balance Sheet Detail'!$B:$B,$Q480,'Balance Sheet Detail'!W:W)</f>
        <v>0</v>
      </c>
      <c r="Q480" s="753" t="s">
        <v>3469</v>
      </c>
    </row>
    <row r="481" spans="1:17" ht="15" customHeight="1">
      <c r="A481" s="760"/>
      <c r="B481" s="761">
        <v>283310</v>
      </c>
      <c r="D481" s="762" t="s">
        <v>1624</v>
      </c>
      <c r="F481" s="762" t="s">
        <v>2280</v>
      </c>
      <c r="H481" s="763" t="s">
        <v>2880</v>
      </c>
      <c r="J481" s="753" t="s">
        <v>2281</v>
      </c>
      <c r="N481" s="753" t="s">
        <v>2421</v>
      </c>
      <c r="P481" s="754">
        <f>SUMIF('Balance Sheet Detail'!$B:$B,$Q481,'Balance Sheet Detail'!W:W)</f>
        <v>0</v>
      </c>
      <c r="Q481" s="753" t="s">
        <v>3470</v>
      </c>
    </row>
    <row r="482" spans="1:17" ht="15" customHeight="1">
      <c r="A482" s="760"/>
      <c r="B482" s="761">
        <v>283420</v>
      </c>
      <c r="D482" s="762" t="s">
        <v>1624</v>
      </c>
      <c r="F482" s="762" t="s">
        <v>2150</v>
      </c>
      <c r="H482" s="763" t="s">
        <v>2880</v>
      </c>
      <c r="J482" s="753" t="s">
        <v>2151</v>
      </c>
      <c r="N482" s="753" t="s">
        <v>2421</v>
      </c>
      <c r="P482" s="754">
        <f>SUMIF('Balance Sheet Detail'!$B:$B,$Q482,'Balance Sheet Detail'!W:W)</f>
        <v>0</v>
      </c>
      <c r="Q482" s="753" t="s">
        <v>3471</v>
      </c>
    </row>
    <row r="483" spans="1:17" ht="15" customHeight="1">
      <c r="A483" s="760"/>
      <c r="B483" s="761">
        <v>283420</v>
      </c>
      <c r="D483" s="762" t="s">
        <v>1624</v>
      </c>
      <c r="F483" s="762" t="s">
        <v>2194</v>
      </c>
      <c r="H483" s="763" t="s">
        <v>2880</v>
      </c>
      <c r="J483" s="753" t="s">
        <v>2195</v>
      </c>
      <c r="N483" s="753" t="s">
        <v>2421</v>
      </c>
      <c r="P483" s="754">
        <f>SUMIF('Balance Sheet Detail'!$B:$B,$Q483,'Balance Sheet Detail'!W:W)</f>
        <v>0</v>
      </c>
      <c r="Q483" s="753" t="s">
        <v>3472</v>
      </c>
    </row>
    <row r="484" spans="1:17" ht="15" customHeight="1">
      <c r="A484" s="760"/>
      <c r="B484" s="761">
        <v>283420</v>
      </c>
      <c r="D484" s="762" t="s">
        <v>1624</v>
      </c>
      <c r="F484" s="762" t="s">
        <v>2209</v>
      </c>
      <c r="H484" s="763" t="s">
        <v>2880</v>
      </c>
      <c r="J484" s="753" t="s">
        <v>2210</v>
      </c>
      <c r="N484" s="753" t="s">
        <v>2421</v>
      </c>
      <c r="P484" s="754">
        <f>SUMIF('Balance Sheet Detail'!$B:$B,$Q484,'Balance Sheet Detail'!W:W)</f>
        <v>0</v>
      </c>
      <c r="Q484" s="753" t="s">
        <v>3473</v>
      </c>
    </row>
    <row r="485" spans="1:17" ht="15" customHeight="1">
      <c r="A485" s="760"/>
      <c r="B485" s="761">
        <v>283420</v>
      </c>
      <c r="D485" s="762" t="s">
        <v>1624</v>
      </c>
      <c r="F485" s="762" t="s">
        <v>2196</v>
      </c>
      <c r="H485" s="763" t="s">
        <v>2880</v>
      </c>
      <c r="J485" s="753" t="s">
        <v>2197</v>
      </c>
      <c r="N485" s="753" t="s">
        <v>2421</v>
      </c>
      <c r="P485" s="754">
        <f>SUMIF('Balance Sheet Detail'!$B:$B,$Q485,'Balance Sheet Detail'!W:W)</f>
        <v>0</v>
      </c>
      <c r="Q485" s="753" t="s">
        <v>3474</v>
      </c>
    </row>
    <row r="486" spans="1:17" ht="15" customHeight="1">
      <c r="A486" s="760"/>
      <c r="B486" s="761">
        <v>283420</v>
      </c>
      <c r="D486" s="762" t="s">
        <v>1624</v>
      </c>
      <c r="F486" s="762" t="s">
        <v>2271</v>
      </c>
      <c r="H486" s="763" t="s">
        <v>2880</v>
      </c>
      <c r="J486" s="753" t="s">
        <v>2272</v>
      </c>
      <c r="N486" s="753" t="s">
        <v>2421</v>
      </c>
      <c r="P486" s="754">
        <f>SUMIF('Balance Sheet Detail'!$B:$B,$Q486,'Balance Sheet Detail'!W:W)</f>
        <v>0</v>
      </c>
      <c r="Q486" s="753" t="s">
        <v>3475</v>
      </c>
    </row>
    <row r="487" spans="1:17" ht="15" customHeight="1">
      <c r="A487" s="760"/>
      <c r="B487" s="761">
        <v>283430</v>
      </c>
      <c r="D487" s="762" t="s">
        <v>1624</v>
      </c>
      <c r="F487" s="762" t="s">
        <v>2150</v>
      </c>
      <c r="H487" s="763" t="s">
        <v>2880</v>
      </c>
      <c r="J487" s="753" t="s">
        <v>2151</v>
      </c>
      <c r="N487" s="753" t="s">
        <v>2421</v>
      </c>
      <c r="P487" s="754">
        <f>SUMIF('Balance Sheet Detail'!$B:$B,$Q487,'Balance Sheet Detail'!W:W)</f>
        <v>0</v>
      </c>
      <c r="Q487" s="753" t="s">
        <v>3476</v>
      </c>
    </row>
    <row r="488" spans="1:17" ht="15" customHeight="1">
      <c r="A488" s="760"/>
      <c r="B488" s="761">
        <v>283430</v>
      </c>
      <c r="D488" s="762" t="s">
        <v>1624</v>
      </c>
      <c r="F488" s="762" t="s">
        <v>2194</v>
      </c>
      <c r="H488" s="763" t="s">
        <v>2880</v>
      </c>
      <c r="J488" s="753" t="s">
        <v>2195</v>
      </c>
      <c r="N488" s="753" t="s">
        <v>2421</v>
      </c>
      <c r="P488" s="754">
        <f>SUMIF('Balance Sheet Detail'!$B:$B,$Q488,'Balance Sheet Detail'!W:W)</f>
        <v>0</v>
      </c>
      <c r="Q488" s="753" t="s">
        <v>3477</v>
      </c>
    </row>
    <row r="489" spans="1:17" ht="15" customHeight="1">
      <c r="A489" s="760"/>
      <c r="B489" s="761">
        <v>283430</v>
      </c>
      <c r="D489" s="762" t="s">
        <v>1624</v>
      </c>
      <c r="F489" s="762" t="s">
        <v>2209</v>
      </c>
      <c r="H489" s="763" t="s">
        <v>2880</v>
      </c>
      <c r="J489" s="753" t="s">
        <v>2210</v>
      </c>
      <c r="N489" s="753" t="s">
        <v>2421</v>
      </c>
      <c r="P489" s="754">
        <f>SUMIF('Balance Sheet Detail'!$B:$B,$Q489,'Balance Sheet Detail'!W:W)</f>
        <v>0</v>
      </c>
      <c r="Q489" s="753" t="s">
        <v>3478</v>
      </c>
    </row>
    <row r="490" spans="1:17" ht="15" customHeight="1">
      <c r="A490" s="760"/>
      <c r="B490" s="761">
        <v>283430</v>
      </c>
      <c r="D490" s="762" t="s">
        <v>1624</v>
      </c>
      <c r="F490" s="762" t="s">
        <v>2196</v>
      </c>
      <c r="H490" s="763" t="s">
        <v>2880</v>
      </c>
      <c r="J490" s="753" t="s">
        <v>2197</v>
      </c>
      <c r="N490" s="753" t="s">
        <v>2421</v>
      </c>
      <c r="P490" s="754">
        <f>SUMIF('Balance Sheet Detail'!$B:$B,$Q490,'Balance Sheet Detail'!W:W)</f>
        <v>0</v>
      </c>
      <c r="Q490" s="753" t="s">
        <v>3479</v>
      </c>
    </row>
    <row r="491" spans="1:17" ht="15" customHeight="1">
      <c r="A491" s="760"/>
      <c r="B491" s="761">
        <v>283430</v>
      </c>
      <c r="D491" s="762" t="s">
        <v>1624</v>
      </c>
      <c r="F491" s="762" t="s">
        <v>2271</v>
      </c>
      <c r="H491" s="763" t="s">
        <v>2880</v>
      </c>
      <c r="J491" s="753" t="s">
        <v>2272</v>
      </c>
      <c r="N491" s="753" t="s">
        <v>2421</v>
      </c>
      <c r="P491" s="754">
        <f>SUMIF('Balance Sheet Detail'!$B:$B,$Q491,'Balance Sheet Detail'!W:W)</f>
        <v>0</v>
      </c>
      <c r="Q491" s="753" t="s">
        <v>3480</v>
      </c>
    </row>
    <row r="492" spans="1:17" ht="15" customHeight="1">
      <c r="A492" s="760"/>
      <c r="D492" s="762"/>
      <c r="F492" s="762"/>
      <c r="H492" s="763"/>
      <c r="P492" s="755"/>
    </row>
    <row r="493" spans="1:17">
      <c r="A493" s="760"/>
      <c r="B493" s="764" t="s">
        <v>2881</v>
      </c>
      <c r="C493" s="814"/>
      <c r="D493" s="762"/>
      <c r="E493" s="814"/>
      <c r="F493" s="762"/>
      <c r="G493" s="814"/>
      <c r="H493" s="763"/>
      <c r="I493" s="814"/>
      <c r="K493" s="814"/>
      <c r="L493" s="814"/>
      <c r="O493" s="791" t="str">
        <f>IF(SUMIF('Balance Sheet Detail'!$H$7:$H$2493,'Items Not in Rate Base'!H451,'Balance Sheet Detail'!$W$7:$W$2493)=P493,"OK", "Missing Line Item")</f>
        <v>OK</v>
      </c>
      <c r="P493" s="756">
        <f>SUM(P451:P492)</f>
        <v>0</v>
      </c>
      <c r="Q493" s="791"/>
    </row>
    <row r="494" spans="1:17">
      <c r="A494" s="760"/>
      <c r="B494" s="764"/>
      <c r="C494" s="814"/>
      <c r="D494" s="762"/>
      <c r="E494" s="814"/>
      <c r="F494" s="762"/>
      <c r="G494" s="814"/>
      <c r="H494" s="763"/>
      <c r="I494" s="814"/>
      <c r="K494" s="814"/>
      <c r="L494" s="814"/>
      <c r="P494" s="756"/>
    </row>
    <row r="495" spans="1:17">
      <c r="A495" s="760" t="s">
        <v>1705</v>
      </c>
      <c r="B495" s="764"/>
      <c r="C495" s="814"/>
      <c r="D495" s="762"/>
      <c r="E495" s="814"/>
      <c r="F495" s="762"/>
      <c r="G495" s="814"/>
      <c r="H495" s="763"/>
      <c r="I495" s="814"/>
      <c r="K495" s="814"/>
      <c r="L495" s="814"/>
      <c r="P495" s="756"/>
    </row>
    <row r="496" spans="1:17" ht="15" customHeight="1">
      <c r="A496" s="760"/>
      <c r="B496" s="761">
        <v>190001</v>
      </c>
      <c r="D496" s="762" t="s">
        <v>1703</v>
      </c>
      <c r="F496" s="762" t="s">
        <v>1702</v>
      </c>
      <c r="H496" s="763" t="s">
        <v>1705</v>
      </c>
      <c r="J496" s="753" t="s">
        <v>1704</v>
      </c>
      <c r="N496" s="753" t="s">
        <v>2421</v>
      </c>
      <c r="P496" s="754">
        <f>SUMIF('Balance Sheet Detail'!$B:$B,$Q496,'Balance Sheet Detail'!W:W)</f>
        <v>0</v>
      </c>
      <c r="Q496" s="753" t="s">
        <v>3200</v>
      </c>
    </row>
    <row r="497" spans="1:17" ht="15" customHeight="1">
      <c r="A497" s="760"/>
      <c r="B497" s="761">
        <v>190002</v>
      </c>
      <c r="D497" s="762" t="s">
        <v>1703</v>
      </c>
      <c r="F497" s="762" t="s">
        <v>1702</v>
      </c>
      <c r="H497" s="763" t="s">
        <v>1705</v>
      </c>
      <c r="J497" s="753" t="s">
        <v>1704</v>
      </c>
      <c r="N497" s="753" t="s">
        <v>2421</v>
      </c>
      <c r="P497" s="754">
        <f>SUMIF('Balance Sheet Detail'!$B:$B,$Q497,'Balance Sheet Detail'!W:W)</f>
        <v>0</v>
      </c>
      <c r="Q497" s="753" t="s">
        <v>3201</v>
      </c>
    </row>
    <row r="498" spans="1:17" ht="15" customHeight="1">
      <c r="A498" s="760"/>
      <c r="B498" s="761">
        <v>190011</v>
      </c>
      <c r="D498" s="762" t="s">
        <v>1703</v>
      </c>
      <c r="F498" s="762" t="s">
        <v>1702</v>
      </c>
      <c r="H498" s="763" t="s">
        <v>1705</v>
      </c>
      <c r="J498" s="753" t="s">
        <v>1704</v>
      </c>
      <c r="N498" s="753" t="s">
        <v>2421</v>
      </c>
      <c r="P498" s="754">
        <f>SUMIF('Balance Sheet Detail'!$B:$B,$Q498,'Balance Sheet Detail'!W:W)</f>
        <v>0</v>
      </c>
      <c r="Q498" s="753" t="s">
        <v>3202</v>
      </c>
    </row>
    <row r="499" spans="1:17" ht="15" customHeight="1">
      <c r="A499" s="760"/>
      <c r="B499" s="761">
        <v>190012</v>
      </c>
      <c r="D499" s="762" t="s">
        <v>1703</v>
      </c>
      <c r="F499" s="762" t="s">
        <v>1702</v>
      </c>
      <c r="H499" s="763" t="s">
        <v>1705</v>
      </c>
      <c r="J499" s="753" t="s">
        <v>1704</v>
      </c>
      <c r="N499" s="753" t="s">
        <v>2421</v>
      </c>
      <c r="P499" s="754">
        <f>SUMIF('Balance Sheet Detail'!$B:$B,$Q499,'Balance Sheet Detail'!W:W)</f>
        <v>0</v>
      </c>
      <c r="Q499" s="753" t="s">
        <v>3203</v>
      </c>
    </row>
    <row r="500" spans="1:17" ht="15" customHeight="1">
      <c r="A500" s="760"/>
      <c r="B500" s="761">
        <v>190031</v>
      </c>
      <c r="D500" s="762" t="s">
        <v>1703</v>
      </c>
      <c r="F500" s="762"/>
      <c r="H500" s="763" t="s">
        <v>1705</v>
      </c>
      <c r="J500" s="753" t="s">
        <v>1704</v>
      </c>
      <c r="N500" s="753" t="s">
        <v>2421</v>
      </c>
      <c r="P500" s="754">
        <f>SUMIF('Balance Sheet Detail'!$B:$B,$Q500,'Balance Sheet Detail'!W:W)</f>
        <v>0</v>
      </c>
      <c r="Q500" s="753" t="s">
        <v>3204</v>
      </c>
    </row>
    <row r="501" spans="1:17" ht="15" customHeight="1">
      <c r="A501" s="760"/>
      <c r="B501" s="761">
        <v>190032</v>
      </c>
      <c r="D501" s="762" t="s">
        <v>1703</v>
      </c>
      <c r="F501" s="762"/>
      <c r="H501" s="763" t="s">
        <v>1705</v>
      </c>
      <c r="J501" s="753" t="s">
        <v>1704</v>
      </c>
      <c r="N501" s="753" t="s">
        <v>2421</v>
      </c>
      <c r="P501" s="754">
        <f>SUMIF('Balance Sheet Detail'!$B:$B,$Q501,'Balance Sheet Detail'!W:W)</f>
        <v>0</v>
      </c>
      <c r="Q501" s="753" t="s">
        <v>3205</v>
      </c>
    </row>
    <row r="502" spans="1:17" ht="15" customHeight="1">
      <c r="A502" s="760"/>
      <c r="B502" s="761">
        <v>190041</v>
      </c>
      <c r="D502" s="762" t="s">
        <v>1703</v>
      </c>
      <c r="F502" s="762"/>
      <c r="H502" s="763" t="s">
        <v>1705</v>
      </c>
      <c r="J502" s="753" t="s">
        <v>1704</v>
      </c>
      <c r="N502" s="753" t="s">
        <v>2421</v>
      </c>
      <c r="P502" s="754">
        <f>SUMIF('Balance Sheet Detail'!$B:$B,$Q502,'Balance Sheet Detail'!W:W)</f>
        <v>0</v>
      </c>
      <c r="Q502" s="753" t="s">
        <v>3206</v>
      </c>
    </row>
    <row r="503" spans="1:17" ht="15" customHeight="1">
      <c r="A503" s="760"/>
      <c r="B503" s="761">
        <v>190042</v>
      </c>
      <c r="D503" s="762" t="s">
        <v>1703</v>
      </c>
      <c r="F503" s="762"/>
      <c r="H503" s="763" t="s">
        <v>1705</v>
      </c>
      <c r="J503" s="753" t="s">
        <v>1704</v>
      </c>
      <c r="N503" s="753" t="s">
        <v>2421</v>
      </c>
      <c r="P503" s="754">
        <f>SUMIF('Balance Sheet Detail'!$B:$B,$Q503,'Balance Sheet Detail'!W:W)</f>
        <v>0</v>
      </c>
      <c r="Q503" s="753" t="s">
        <v>3207</v>
      </c>
    </row>
    <row r="504" spans="1:17" ht="15" customHeight="1">
      <c r="A504" s="760"/>
      <c r="B504" s="761">
        <v>282200</v>
      </c>
      <c r="D504" s="762" t="s">
        <v>1703</v>
      </c>
      <c r="F504" s="762" t="s">
        <v>2122</v>
      </c>
      <c r="H504" s="763" t="s">
        <v>1705</v>
      </c>
      <c r="J504" s="753" t="s">
        <v>2123</v>
      </c>
      <c r="N504" s="753" t="s">
        <v>2421</v>
      </c>
      <c r="P504" s="754">
        <f>SUMIF('Balance Sheet Detail'!$B:$B,$Q504,'Balance Sheet Detail'!W:W)</f>
        <v>0</v>
      </c>
      <c r="Q504" s="753" t="s">
        <v>3208</v>
      </c>
    </row>
    <row r="505" spans="1:17" ht="15" customHeight="1">
      <c r="A505" s="760"/>
      <c r="B505" s="761">
        <v>282200</v>
      </c>
      <c r="D505" s="762" t="s">
        <v>1703</v>
      </c>
      <c r="F505" s="762" t="s">
        <v>1702</v>
      </c>
      <c r="H505" s="763" t="s">
        <v>1705</v>
      </c>
      <c r="J505" s="753" t="s">
        <v>2123</v>
      </c>
      <c r="N505" s="753" t="s">
        <v>2421</v>
      </c>
      <c r="P505" s="754">
        <f>SUMIF('Balance Sheet Detail'!$B:$B,$Q505,'Balance Sheet Detail'!W:W)</f>
        <v>0</v>
      </c>
      <c r="Q505" s="753" t="s">
        <v>3209</v>
      </c>
    </row>
    <row r="506" spans="1:17" ht="15" customHeight="1">
      <c r="A506" s="760"/>
      <c r="B506" s="761">
        <v>282210</v>
      </c>
      <c r="D506" s="762" t="s">
        <v>1703</v>
      </c>
      <c r="F506" s="762" t="s">
        <v>2122</v>
      </c>
      <c r="H506" s="763" t="s">
        <v>1705</v>
      </c>
      <c r="J506" s="753" t="s">
        <v>2123</v>
      </c>
      <c r="N506" s="753" t="s">
        <v>2421</v>
      </c>
      <c r="P506" s="754">
        <f>SUMIF('Balance Sheet Detail'!$B:$B,$Q506,'Balance Sheet Detail'!W:W)</f>
        <v>0</v>
      </c>
      <c r="Q506" s="753" t="s">
        <v>3210</v>
      </c>
    </row>
    <row r="507" spans="1:17" ht="15" customHeight="1">
      <c r="A507" s="760"/>
      <c r="B507" s="761">
        <v>282210</v>
      </c>
      <c r="D507" s="762" t="s">
        <v>1703</v>
      </c>
      <c r="F507" s="762" t="s">
        <v>1702</v>
      </c>
      <c r="H507" s="763" t="s">
        <v>1705</v>
      </c>
      <c r="J507" s="753" t="s">
        <v>2123</v>
      </c>
      <c r="N507" s="753" t="s">
        <v>2421</v>
      </c>
      <c r="P507" s="754">
        <f>SUMIF('Balance Sheet Detail'!$B:$B,$Q507,'Balance Sheet Detail'!W:W)</f>
        <v>0</v>
      </c>
      <c r="Q507" s="753" t="s">
        <v>3211</v>
      </c>
    </row>
    <row r="508" spans="1:17" ht="15" customHeight="1">
      <c r="A508" s="760"/>
      <c r="B508" s="761">
        <v>282240</v>
      </c>
      <c r="D508" s="762" t="s">
        <v>1703</v>
      </c>
      <c r="F508" s="762" t="s">
        <v>1702</v>
      </c>
      <c r="H508" s="763" t="s">
        <v>1705</v>
      </c>
      <c r="J508" s="753" t="s">
        <v>2123</v>
      </c>
      <c r="N508" s="753" t="s">
        <v>2421</v>
      </c>
      <c r="P508" s="754">
        <f>SUMIF('Balance Sheet Detail'!$B:$B,$Q508,'Balance Sheet Detail'!W:W)</f>
        <v>0</v>
      </c>
      <c r="Q508" s="753" t="s">
        <v>3212</v>
      </c>
    </row>
    <row r="509" spans="1:17" ht="15" customHeight="1">
      <c r="A509" s="760"/>
      <c r="B509" s="761">
        <v>282250</v>
      </c>
      <c r="D509" s="762" t="s">
        <v>1703</v>
      </c>
      <c r="F509" s="762" t="s">
        <v>1702</v>
      </c>
      <c r="H509" s="763" t="s">
        <v>1705</v>
      </c>
      <c r="J509" s="753" t="s">
        <v>2123</v>
      </c>
      <c r="N509" s="753" t="s">
        <v>2421</v>
      </c>
      <c r="P509" s="754">
        <f>SUMIF('Balance Sheet Detail'!$B:$B,$Q509,'Balance Sheet Detail'!W:W)</f>
        <v>0</v>
      </c>
      <c r="Q509" s="753" t="s">
        <v>3213</v>
      </c>
    </row>
    <row r="510" spans="1:17" ht="15" customHeight="1">
      <c r="A510" s="760"/>
      <c r="D510" s="762"/>
      <c r="F510" s="762"/>
      <c r="H510" s="763"/>
      <c r="P510" s="755"/>
    </row>
    <row r="511" spans="1:17">
      <c r="A511" s="760"/>
      <c r="B511" s="764" t="s">
        <v>3214</v>
      </c>
      <c r="C511" s="814"/>
      <c r="D511" s="762"/>
      <c r="E511" s="814"/>
      <c r="F511" s="762"/>
      <c r="G511" s="814"/>
      <c r="H511" s="763"/>
      <c r="I511" s="814"/>
      <c r="K511" s="814"/>
      <c r="L511" s="814"/>
      <c r="O511" s="791" t="str">
        <f>IF(SUMIF('Balance Sheet Detail'!$H$7:$H$2493,'Items Not in Rate Base'!H496,'Balance Sheet Detail'!$W$7:$W$2493)=P511,"OK", "Missing Line Item")</f>
        <v>OK</v>
      </c>
      <c r="P511" s="756">
        <f>SUM(P496:P510)</f>
        <v>0</v>
      </c>
      <c r="Q511" s="791"/>
    </row>
    <row r="512" spans="1:17">
      <c r="A512" s="760"/>
      <c r="D512" s="762"/>
      <c r="F512" s="762"/>
      <c r="H512" s="763"/>
      <c r="P512" s="757"/>
    </row>
    <row r="513" spans="1:17">
      <c r="A513" s="760" t="s">
        <v>1195</v>
      </c>
      <c r="D513" s="762"/>
      <c r="F513" s="762"/>
      <c r="H513" s="763"/>
      <c r="P513" s="757"/>
    </row>
    <row r="514" spans="1:17" ht="15" customHeight="1">
      <c r="B514" s="761">
        <v>254016</v>
      </c>
      <c r="D514" s="762" t="s">
        <v>1193</v>
      </c>
      <c r="F514" s="762">
        <v>601221</v>
      </c>
      <c r="H514" s="763" t="s">
        <v>1195</v>
      </c>
      <c r="J514" s="753" t="s">
        <v>1194</v>
      </c>
      <c r="N514" s="753" t="s">
        <v>2436</v>
      </c>
      <c r="P514" s="754">
        <f>SUMIF('Balance Sheet Detail'!$B:$B,$Q514,'Balance Sheet Detail'!W:W)</f>
        <v>-512.13457749999998</v>
      </c>
      <c r="Q514" s="753" t="s">
        <v>3215</v>
      </c>
    </row>
    <row r="515" spans="1:17" ht="15" customHeight="1">
      <c r="B515" s="761">
        <v>254017</v>
      </c>
      <c r="D515" s="762" t="s">
        <v>1288</v>
      </c>
      <c r="F515" s="762">
        <v>601222</v>
      </c>
      <c r="H515" s="763" t="s">
        <v>1195</v>
      </c>
      <c r="J515" s="753" t="s">
        <v>1289</v>
      </c>
      <c r="N515" s="753" t="s">
        <v>2436</v>
      </c>
      <c r="P515" s="754">
        <f>SUMIF('Balance Sheet Detail'!$B:$B,$Q515,'Balance Sheet Detail'!W:W)</f>
        <v>-366.475672083333</v>
      </c>
      <c r="Q515" s="753" t="s">
        <v>3216</v>
      </c>
    </row>
    <row r="516" spans="1:17" ht="15" customHeight="1">
      <c r="B516" s="761">
        <v>190501</v>
      </c>
      <c r="D516" s="762" t="s">
        <v>1193</v>
      </c>
      <c r="F516" s="762" t="s">
        <v>1931</v>
      </c>
      <c r="H516" s="763" t="s">
        <v>1195</v>
      </c>
      <c r="J516" s="753" t="s">
        <v>1932</v>
      </c>
      <c r="N516" s="753" t="s">
        <v>2436</v>
      </c>
      <c r="P516" s="754">
        <f>SUMIF('Balance Sheet Detail'!$B:$B,$Q516,'Balance Sheet Detail'!W:W)</f>
        <v>166.5205575</v>
      </c>
      <c r="Q516" s="753" t="s">
        <v>3217</v>
      </c>
    </row>
    <row r="517" spans="1:17" ht="15" customHeight="1">
      <c r="B517" s="761">
        <v>190502</v>
      </c>
      <c r="D517" s="762" t="s">
        <v>1288</v>
      </c>
      <c r="F517" s="762" t="s">
        <v>1931</v>
      </c>
      <c r="H517" s="763" t="s">
        <v>1195</v>
      </c>
      <c r="J517" s="753" t="s">
        <v>1932</v>
      </c>
      <c r="N517" s="753" t="s">
        <v>2436</v>
      </c>
      <c r="P517" s="754">
        <f>SUMIF('Balance Sheet Detail'!$B:$B,$Q517,'Balance Sheet Detail'!W:W)</f>
        <v>119.159567916667</v>
      </c>
      <c r="Q517" s="753" t="s">
        <v>3218</v>
      </c>
    </row>
    <row r="518" spans="1:17" ht="15" customHeight="1">
      <c r="B518" s="761">
        <v>190511</v>
      </c>
      <c r="D518" s="762" t="s">
        <v>1193</v>
      </c>
      <c r="F518" s="762" t="s">
        <v>1931</v>
      </c>
      <c r="H518" s="763" t="s">
        <v>1195</v>
      </c>
      <c r="J518" s="753" t="s">
        <v>1932</v>
      </c>
      <c r="N518" s="753" t="s">
        <v>2436</v>
      </c>
      <c r="P518" s="754">
        <f>SUMIF('Balance Sheet Detail'!$B:$B,$Q518,'Balance Sheet Detail'!W:W)</f>
        <v>36.361555833333298</v>
      </c>
      <c r="Q518" s="753" t="s">
        <v>3219</v>
      </c>
    </row>
    <row r="519" spans="1:17" ht="15" customHeight="1">
      <c r="B519" s="761">
        <v>190512</v>
      </c>
      <c r="D519" s="762" t="s">
        <v>1288</v>
      </c>
      <c r="F519" s="762" t="s">
        <v>1931</v>
      </c>
      <c r="H519" s="763" t="s">
        <v>1195</v>
      </c>
      <c r="J519" s="753" t="s">
        <v>1932</v>
      </c>
      <c r="N519" s="753" t="s">
        <v>2436</v>
      </c>
      <c r="P519" s="755">
        <f>SUMIF('Balance Sheet Detail'!$B:$B,$Q519,'Balance Sheet Detail'!W:W)</f>
        <v>26.019771250000002</v>
      </c>
      <c r="Q519" s="753" t="s">
        <v>3220</v>
      </c>
    </row>
    <row r="520" spans="1:17">
      <c r="A520" s="760"/>
      <c r="B520" s="764" t="s">
        <v>2882</v>
      </c>
      <c r="C520" s="814"/>
      <c r="D520" s="762"/>
      <c r="E520" s="814"/>
      <c r="F520" s="762"/>
      <c r="G520" s="814"/>
      <c r="H520" s="763"/>
      <c r="I520" s="814"/>
      <c r="K520" s="814"/>
      <c r="L520" s="814"/>
      <c r="O520" s="791" t="str">
        <f>IF(SUMIF('Balance Sheet Detail'!$H$7:$H$2493,'Items Not in Rate Base'!H514,'Balance Sheet Detail'!$W$7:$W$2493)=P520,"OK", "Missing Line Item")</f>
        <v>OK</v>
      </c>
      <c r="P520" s="756">
        <f>SUM(P514:P519)</f>
        <v>-530.5487970833326</v>
      </c>
      <c r="Q520" s="791"/>
    </row>
    <row r="521" spans="1:17">
      <c r="A521" s="760"/>
      <c r="D521" s="762"/>
      <c r="F521" s="762"/>
      <c r="H521" s="763"/>
      <c r="P521" s="757"/>
    </row>
    <row r="522" spans="1:17">
      <c r="A522" s="760" t="s">
        <v>1661</v>
      </c>
      <c r="D522" s="762"/>
      <c r="F522" s="762"/>
      <c r="H522" s="763"/>
      <c r="P522" s="757"/>
    </row>
    <row r="523" spans="1:17" ht="15" customHeight="1">
      <c r="B523" s="761">
        <v>190001</v>
      </c>
      <c r="D523" s="762" t="s">
        <v>1660</v>
      </c>
      <c r="F523" s="762" t="s">
        <v>1659</v>
      </c>
      <c r="H523" s="763" t="s">
        <v>1661</v>
      </c>
      <c r="J523" s="753" t="s">
        <v>1661</v>
      </c>
      <c r="N523" s="753" t="s">
        <v>2421</v>
      </c>
      <c r="P523" s="754">
        <f>SUMIF('Balance Sheet Detail'!$B:$B,$Q523,'Balance Sheet Detail'!W:W)</f>
        <v>1.1228800000000001</v>
      </c>
      <c r="Q523" s="753" t="s">
        <v>3221</v>
      </c>
    </row>
    <row r="524" spans="1:17" ht="15" customHeight="1">
      <c r="B524" s="761">
        <v>190002</v>
      </c>
      <c r="D524" s="762" t="s">
        <v>1660</v>
      </c>
      <c r="F524" s="762" t="s">
        <v>1659</v>
      </c>
      <c r="H524" s="763" t="s">
        <v>1661</v>
      </c>
      <c r="J524" s="753" t="s">
        <v>1661</v>
      </c>
      <c r="N524" s="753" t="s">
        <v>2421</v>
      </c>
      <c r="P524" s="754">
        <f>SUMIF('Balance Sheet Detail'!$B:$B,$Q524,'Balance Sheet Detail'!W:W)</f>
        <v>0</v>
      </c>
      <c r="Q524" s="753" t="s">
        <v>3222</v>
      </c>
    </row>
    <row r="525" spans="1:17" ht="15" customHeight="1">
      <c r="B525" s="761">
        <v>190011</v>
      </c>
      <c r="D525" s="762" t="s">
        <v>1660</v>
      </c>
      <c r="F525" s="762" t="s">
        <v>1659</v>
      </c>
      <c r="H525" s="763" t="s">
        <v>1661</v>
      </c>
      <c r="J525" s="753" t="s">
        <v>1661</v>
      </c>
      <c r="N525" s="753" t="s">
        <v>2421</v>
      </c>
      <c r="P525" s="754">
        <f>SUMIF('Balance Sheet Detail'!$B:$B,$Q525,'Balance Sheet Detail'!W:W)</f>
        <v>0</v>
      </c>
      <c r="Q525" s="753" t="s">
        <v>3223</v>
      </c>
    </row>
    <row r="526" spans="1:17" ht="15" customHeight="1">
      <c r="B526" s="761">
        <v>190012</v>
      </c>
      <c r="D526" s="762" t="s">
        <v>1660</v>
      </c>
      <c r="F526" s="762" t="s">
        <v>1659</v>
      </c>
      <c r="H526" s="763" t="s">
        <v>1661</v>
      </c>
      <c r="J526" s="753" t="s">
        <v>1661</v>
      </c>
      <c r="N526" s="753" t="s">
        <v>2421</v>
      </c>
      <c r="P526" s="754">
        <f>SUMIF('Balance Sheet Detail'!$B:$B,$Q526,'Balance Sheet Detail'!W:W)</f>
        <v>0</v>
      </c>
      <c r="Q526" s="753" t="s">
        <v>3224</v>
      </c>
    </row>
    <row r="527" spans="1:17" ht="15" customHeight="1">
      <c r="B527" s="761">
        <v>190031</v>
      </c>
      <c r="D527" s="762" t="s">
        <v>1660</v>
      </c>
      <c r="F527" s="762"/>
      <c r="H527" s="763" t="s">
        <v>1661</v>
      </c>
      <c r="J527" s="753" t="s">
        <v>1661</v>
      </c>
      <c r="N527" s="753" t="s">
        <v>2421</v>
      </c>
      <c r="P527" s="754">
        <f>SUMIF('Balance Sheet Detail'!$B:$B,$Q527,'Balance Sheet Detail'!W:W)</f>
        <v>176.2193475</v>
      </c>
      <c r="Q527" s="753" t="s">
        <v>3225</v>
      </c>
    </row>
    <row r="528" spans="1:17" ht="15" customHeight="1">
      <c r="B528" s="761">
        <v>190032</v>
      </c>
      <c r="D528" s="762" t="s">
        <v>1660</v>
      </c>
      <c r="F528" s="762"/>
      <c r="H528" s="763" t="s">
        <v>1661</v>
      </c>
      <c r="J528" s="753" t="s">
        <v>1661</v>
      </c>
      <c r="N528" s="753" t="s">
        <v>2421</v>
      </c>
      <c r="P528" s="754">
        <f>SUMIF('Balance Sheet Detail'!$B:$B,$Q528,'Balance Sheet Detail'!W:W)</f>
        <v>94.887437083333396</v>
      </c>
      <c r="Q528" s="753" t="s">
        <v>3226</v>
      </c>
    </row>
    <row r="529" spans="1:17" ht="15" customHeight="1">
      <c r="B529" s="761">
        <v>190036</v>
      </c>
      <c r="D529" s="762" t="s">
        <v>1660</v>
      </c>
      <c r="F529" s="762"/>
      <c r="H529" s="763" t="s">
        <v>1661</v>
      </c>
      <c r="J529" s="753" t="s">
        <v>1661</v>
      </c>
      <c r="N529" s="753" t="s">
        <v>2421</v>
      </c>
      <c r="P529" s="754">
        <f>SUMIF('Balance Sheet Detail'!$B:$B,$Q529,'Balance Sheet Detail'!W:W)</f>
        <v>0</v>
      </c>
      <c r="Q529" s="753" t="s">
        <v>3227</v>
      </c>
    </row>
    <row r="530" spans="1:17" ht="15" customHeight="1">
      <c r="B530" s="761">
        <v>190037</v>
      </c>
      <c r="D530" s="762" t="s">
        <v>1660</v>
      </c>
      <c r="F530" s="762"/>
      <c r="H530" s="763" t="s">
        <v>1661</v>
      </c>
      <c r="J530" s="753" t="s">
        <v>1661</v>
      </c>
      <c r="N530" s="753" t="s">
        <v>2421</v>
      </c>
      <c r="P530" s="754">
        <f>SUMIF('Balance Sheet Detail'!$B:$B,$Q530,'Balance Sheet Detail'!W:W)</f>
        <v>0</v>
      </c>
      <c r="Q530" s="753" t="s">
        <v>3228</v>
      </c>
    </row>
    <row r="531" spans="1:17" ht="15" customHeight="1">
      <c r="B531" s="761">
        <v>190041</v>
      </c>
      <c r="D531" s="762" t="s">
        <v>1660</v>
      </c>
      <c r="F531" s="762"/>
      <c r="H531" s="763" t="s">
        <v>1661</v>
      </c>
      <c r="J531" s="753" t="s">
        <v>1661</v>
      </c>
      <c r="N531" s="753" t="s">
        <v>2421</v>
      </c>
      <c r="P531" s="754">
        <f>SUMIF('Balance Sheet Detail'!$B:$B,$Q531,'Balance Sheet Detail'!W:W)</f>
        <v>44.485176250000002</v>
      </c>
      <c r="Q531" s="753" t="s">
        <v>3229</v>
      </c>
    </row>
    <row r="532" spans="1:17" ht="15" customHeight="1">
      <c r="B532" s="761">
        <v>190042</v>
      </c>
      <c r="D532" s="762" t="s">
        <v>1660</v>
      </c>
      <c r="F532" s="762"/>
      <c r="H532" s="763" t="s">
        <v>1661</v>
      </c>
      <c r="J532" s="753" t="s">
        <v>1661</v>
      </c>
      <c r="N532" s="753" t="s">
        <v>2421</v>
      </c>
      <c r="P532" s="754">
        <f>SUMIF('Balance Sheet Detail'!$B:$B,$Q532,'Balance Sheet Detail'!W:W)</f>
        <v>20.719690833333299</v>
      </c>
      <c r="Q532" s="753" t="s">
        <v>3230</v>
      </c>
    </row>
    <row r="533" spans="1:17" ht="15" customHeight="1">
      <c r="B533" s="761">
        <v>190046</v>
      </c>
      <c r="D533" s="762" t="s">
        <v>1660</v>
      </c>
      <c r="F533" s="762"/>
      <c r="H533" s="763" t="s">
        <v>1661</v>
      </c>
      <c r="J533" s="753" t="s">
        <v>1661</v>
      </c>
      <c r="N533" s="753" t="s">
        <v>2421</v>
      </c>
      <c r="P533" s="754">
        <f>SUMIF('Balance Sheet Detail'!$B:$B,$Q533,'Balance Sheet Detail'!W:W)</f>
        <v>0</v>
      </c>
      <c r="Q533" s="753" t="s">
        <v>3231</v>
      </c>
    </row>
    <row r="534" spans="1:17" ht="15" customHeight="1">
      <c r="B534" s="761">
        <v>190047</v>
      </c>
      <c r="D534" s="762" t="s">
        <v>1660</v>
      </c>
      <c r="F534" s="762"/>
      <c r="H534" s="763" t="s">
        <v>1661</v>
      </c>
      <c r="J534" s="753" t="s">
        <v>1661</v>
      </c>
      <c r="N534" s="753" t="s">
        <v>2421</v>
      </c>
      <c r="P534" s="754">
        <f>SUMIF('Balance Sheet Detail'!$B:$B,$Q534,'Balance Sheet Detail'!W:W)</f>
        <v>0</v>
      </c>
      <c r="Q534" s="753" t="s">
        <v>3232</v>
      </c>
    </row>
    <row r="535" spans="1:17" ht="15" customHeight="1">
      <c r="D535" s="762"/>
      <c r="F535" s="762"/>
      <c r="H535" s="763"/>
      <c r="P535" s="755"/>
    </row>
    <row r="536" spans="1:17">
      <c r="A536" s="760"/>
      <c r="B536" s="764" t="s">
        <v>2883</v>
      </c>
      <c r="C536" s="814"/>
      <c r="D536" s="762"/>
      <c r="E536" s="814"/>
      <c r="F536" s="762"/>
      <c r="G536" s="814"/>
      <c r="H536" s="763"/>
      <c r="I536" s="814"/>
      <c r="K536" s="814"/>
      <c r="L536" s="814"/>
      <c r="O536" s="791" t="str">
        <f>IF(SUMIF('Balance Sheet Detail'!$H$7:$H$2493,'Items Not in Rate Base'!H523,'Balance Sheet Detail'!$W$7:$W$2493)=P536,"OK", "Missing Line Item")</f>
        <v>OK</v>
      </c>
      <c r="P536" s="756">
        <f>SUM(P523:P535)</f>
        <v>337.43453166666666</v>
      </c>
      <c r="Q536" s="791"/>
    </row>
    <row r="537" spans="1:17">
      <c r="A537" s="760"/>
      <c r="D537" s="762"/>
      <c r="F537" s="762"/>
      <c r="H537" s="763"/>
      <c r="P537" s="757"/>
    </row>
    <row r="538" spans="1:17">
      <c r="A538" s="760" t="s">
        <v>821</v>
      </c>
      <c r="D538" s="762"/>
      <c r="F538" s="762"/>
      <c r="H538" s="763"/>
      <c r="P538" s="757"/>
    </row>
    <row r="539" spans="1:17" ht="15" customHeight="1">
      <c r="B539" s="761">
        <v>182301</v>
      </c>
      <c r="D539" s="762" t="s">
        <v>767</v>
      </c>
      <c r="F539" s="762">
        <v>601205</v>
      </c>
      <c r="H539" s="763" t="s">
        <v>821</v>
      </c>
      <c r="J539" s="753" t="s">
        <v>799</v>
      </c>
      <c r="N539" s="753" t="s">
        <v>2436</v>
      </c>
      <c r="P539" s="754">
        <f>SUMIF('Balance Sheet Detail'!$B:$B,$Q539,'Balance Sheet Detail'!W:W)</f>
        <v>0</v>
      </c>
      <c r="Q539" s="753" t="s">
        <v>3233</v>
      </c>
    </row>
    <row r="540" spans="1:17" ht="15" customHeight="1">
      <c r="B540" s="761">
        <v>182301</v>
      </c>
      <c r="D540" s="762" t="s">
        <v>767</v>
      </c>
      <c r="F540" s="762">
        <v>601201</v>
      </c>
      <c r="H540" s="763" t="s">
        <v>821</v>
      </c>
      <c r="J540" s="753" t="s">
        <v>801</v>
      </c>
      <c r="N540" s="753" t="s">
        <v>2436</v>
      </c>
      <c r="P540" s="754">
        <f>SUMIF('Balance Sheet Detail'!$B:$B,$Q540,'Balance Sheet Detail'!W:W)</f>
        <v>0</v>
      </c>
      <c r="Q540" s="753" t="s">
        <v>3234</v>
      </c>
    </row>
    <row r="541" spans="1:17" ht="15" customHeight="1">
      <c r="B541" s="761">
        <v>182301</v>
      </c>
      <c r="D541" s="762" t="s">
        <v>767</v>
      </c>
      <c r="F541" s="762">
        <v>601203</v>
      </c>
      <c r="H541" s="763" t="s">
        <v>821</v>
      </c>
      <c r="J541" s="753" t="s">
        <v>802</v>
      </c>
      <c r="N541" s="753" t="s">
        <v>2436</v>
      </c>
      <c r="P541" s="754">
        <f>SUMIF('Balance Sheet Detail'!$B:$B,$Q541,'Balance Sheet Detail'!W:W)</f>
        <v>0</v>
      </c>
      <c r="Q541" s="753" t="s">
        <v>3235</v>
      </c>
    </row>
    <row r="542" spans="1:17" ht="15" customHeight="1">
      <c r="B542" s="761">
        <v>182301</v>
      </c>
      <c r="D542" s="762" t="s">
        <v>767</v>
      </c>
      <c r="F542" s="762">
        <v>601240</v>
      </c>
      <c r="H542" s="763" t="s">
        <v>821</v>
      </c>
      <c r="J542" s="753" t="s">
        <v>804</v>
      </c>
      <c r="N542" s="753" t="s">
        <v>2436</v>
      </c>
      <c r="P542" s="754">
        <f>SUMIF('Balance Sheet Detail'!$B:$B,$Q542,'Balance Sheet Detail'!W:W)</f>
        <v>0</v>
      </c>
      <c r="Q542" s="753" t="s">
        <v>3236</v>
      </c>
    </row>
    <row r="543" spans="1:17" ht="15" customHeight="1">
      <c r="B543" s="761">
        <v>182303</v>
      </c>
      <c r="D543" s="762" t="s">
        <v>942</v>
      </c>
      <c r="F543" s="762">
        <v>601202</v>
      </c>
      <c r="H543" s="763" t="s">
        <v>821</v>
      </c>
      <c r="J543" s="753" t="s">
        <v>1001</v>
      </c>
      <c r="N543" s="753" t="s">
        <v>2436</v>
      </c>
      <c r="P543" s="754">
        <f>SUMIF('Balance Sheet Detail'!$B:$B,$Q543,'Balance Sheet Detail'!W:W)</f>
        <v>0</v>
      </c>
      <c r="Q543" s="753" t="s">
        <v>3237</v>
      </c>
    </row>
    <row r="544" spans="1:17" ht="15" customHeight="1">
      <c r="B544" s="761">
        <v>182303</v>
      </c>
      <c r="D544" s="762" t="s">
        <v>942</v>
      </c>
      <c r="F544" s="762">
        <v>601204</v>
      </c>
      <c r="H544" s="763" t="s">
        <v>821</v>
      </c>
      <c r="J544" s="753" t="s">
        <v>1002</v>
      </c>
      <c r="N544" s="753" t="s">
        <v>2436</v>
      </c>
      <c r="P544" s="754">
        <f>SUMIF('Balance Sheet Detail'!$B:$B,$Q544,'Balance Sheet Detail'!W:W)</f>
        <v>0</v>
      </c>
      <c r="Q544" s="753" t="s">
        <v>3238</v>
      </c>
    </row>
    <row r="545" spans="1:17" ht="15" customHeight="1">
      <c r="B545" s="761">
        <v>182303</v>
      </c>
      <c r="D545" s="762" t="s">
        <v>942</v>
      </c>
      <c r="F545" s="762">
        <v>601241</v>
      </c>
      <c r="H545" s="763" t="s">
        <v>821</v>
      </c>
      <c r="J545" s="753" t="s">
        <v>1005</v>
      </c>
      <c r="N545" s="753" t="s">
        <v>2436</v>
      </c>
      <c r="P545" s="754">
        <f>SUMIF('Balance Sheet Detail'!$B:$B,$Q545,'Balance Sheet Detail'!W:W)</f>
        <v>0</v>
      </c>
      <c r="Q545" s="753" t="s">
        <v>3239</v>
      </c>
    </row>
    <row r="546" spans="1:17" ht="15" customHeight="1">
      <c r="B546" s="761">
        <v>182303</v>
      </c>
      <c r="D546" s="762" t="s">
        <v>942</v>
      </c>
      <c r="F546" s="762">
        <v>601206</v>
      </c>
      <c r="H546" s="763" t="s">
        <v>821</v>
      </c>
      <c r="J546" s="753" t="s">
        <v>1006</v>
      </c>
      <c r="N546" s="753" t="s">
        <v>2436</v>
      </c>
      <c r="P546" s="754">
        <f>SUMIF('Balance Sheet Detail'!$B:$B,$Q546,'Balance Sheet Detail'!W:W)</f>
        <v>0</v>
      </c>
      <c r="Q546" s="753" t="s">
        <v>3240</v>
      </c>
    </row>
    <row r="547" spans="1:17" ht="15" customHeight="1">
      <c r="B547" s="761">
        <v>254016</v>
      </c>
      <c r="D547" s="762" t="s">
        <v>767</v>
      </c>
      <c r="F547" s="762">
        <v>601201</v>
      </c>
      <c r="H547" s="763" t="s">
        <v>821</v>
      </c>
      <c r="J547" s="753" t="s">
        <v>1219</v>
      </c>
      <c r="N547" s="753" t="s">
        <v>2421</v>
      </c>
      <c r="P547" s="754">
        <f>SUMIF('Balance Sheet Detail'!$B:$B,$Q547,'Balance Sheet Detail'!W:W)</f>
        <v>-1846.20341125</v>
      </c>
      <c r="Q547" s="753" t="s">
        <v>3241</v>
      </c>
    </row>
    <row r="548" spans="1:17" ht="15" customHeight="1">
      <c r="B548" s="761">
        <v>254016</v>
      </c>
      <c r="D548" s="762" t="s">
        <v>767</v>
      </c>
      <c r="F548" s="762">
        <v>601203</v>
      </c>
      <c r="H548" s="763" t="s">
        <v>821</v>
      </c>
      <c r="J548" s="753" t="s">
        <v>1220</v>
      </c>
      <c r="N548" s="753" t="s">
        <v>2421</v>
      </c>
      <c r="P548" s="754">
        <f>SUMIF('Balance Sheet Detail'!$B:$B,$Q548,'Balance Sheet Detail'!W:W)</f>
        <v>-1161.47574541667</v>
      </c>
      <c r="Q548" s="753" t="s">
        <v>3242</v>
      </c>
    </row>
    <row r="549" spans="1:17" ht="15" customHeight="1">
      <c r="B549" s="761">
        <v>254016</v>
      </c>
      <c r="D549" s="762" t="s">
        <v>767</v>
      </c>
      <c r="F549" s="762">
        <v>601205</v>
      </c>
      <c r="H549" s="763" t="s">
        <v>821</v>
      </c>
      <c r="J549" s="753" t="s">
        <v>1221</v>
      </c>
      <c r="N549" s="753" t="s">
        <v>2421</v>
      </c>
      <c r="P549" s="754">
        <f>SUMIF('Balance Sheet Detail'!$B:$B,$Q549,'Balance Sheet Detail'!W:W)</f>
        <v>-2.7396991666666701</v>
      </c>
      <c r="Q549" s="753" t="s">
        <v>3243</v>
      </c>
    </row>
    <row r="550" spans="1:17" ht="15" customHeight="1">
      <c r="B550" s="761">
        <v>254016</v>
      </c>
      <c r="D550" s="762" t="s">
        <v>767</v>
      </c>
      <c r="F550" s="762">
        <v>601240</v>
      </c>
      <c r="H550" s="763" t="s">
        <v>821</v>
      </c>
      <c r="J550" s="753" t="s">
        <v>1222</v>
      </c>
      <c r="N550" s="753" t="s">
        <v>2421</v>
      </c>
      <c r="P550" s="754">
        <f>SUMIF('Balance Sheet Detail'!$B:$B,$Q550,'Balance Sheet Detail'!W:W)</f>
        <v>-111.00509125000001</v>
      </c>
      <c r="Q550" s="753" t="s">
        <v>3244</v>
      </c>
    </row>
    <row r="551" spans="1:17" ht="15" customHeight="1">
      <c r="B551" s="761">
        <v>254017</v>
      </c>
      <c r="D551" s="762" t="s">
        <v>942</v>
      </c>
      <c r="F551" s="762">
        <v>601202</v>
      </c>
      <c r="H551" s="763" t="s">
        <v>821</v>
      </c>
      <c r="J551" s="753" t="s">
        <v>1302</v>
      </c>
      <c r="N551" s="753" t="s">
        <v>2421</v>
      </c>
      <c r="P551" s="754">
        <f>SUMIF('Balance Sheet Detail'!$B:$B,$Q551,'Balance Sheet Detail'!W:W)</f>
        <v>-308.97506708333299</v>
      </c>
      <c r="Q551" s="753" t="s">
        <v>3245</v>
      </c>
    </row>
    <row r="552" spans="1:17" ht="15" customHeight="1">
      <c r="B552" s="761">
        <v>254017</v>
      </c>
      <c r="D552" s="762" t="s">
        <v>942</v>
      </c>
      <c r="F552" s="762">
        <v>601204</v>
      </c>
      <c r="H552" s="763" t="s">
        <v>821</v>
      </c>
      <c r="J552" s="753" t="s">
        <v>1303</v>
      </c>
      <c r="N552" s="753" t="s">
        <v>2421</v>
      </c>
      <c r="P552" s="754">
        <f>SUMIF('Balance Sheet Detail'!$B:$B,$Q552,'Balance Sheet Detail'!W:W)</f>
        <v>-389.14838708333298</v>
      </c>
      <c r="Q552" s="753" t="s">
        <v>3246</v>
      </c>
    </row>
    <row r="553" spans="1:17" ht="15" customHeight="1">
      <c r="B553" s="761">
        <v>254017</v>
      </c>
      <c r="D553" s="762" t="s">
        <v>942</v>
      </c>
      <c r="F553" s="762">
        <v>601206</v>
      </c>
      <c r="H553" s="763" t="s">
        <v>821</v>
      </c>
      <c r="J553" s="753" t="s">
        <v>1304</v>
      </c>
      <c r="N553" s="753" t="s">
        <v>2421</v>
      </c>
      <c r="P553" s="754">
        <f>SUMIF('Balance Sheet Detail'!$B:$B,$Q553,'Balance Sheet Detail'!W:W)</f>
        <v>-76.983260000000001</v>
      </c>
      <c r="Q553" s="753" t="s">
        <v>3247</v>
      </c>
    </row>
    <row r="554" spans="1:17" ht="15" customHeight="1">
      <c r="B554" s="761">
        <v>254017</v>
      </c>
      <c r="D554" s="762" t="s">
        <v>942</v>
      </c>
      <c r="F554" s="762">
        <v>601241</v>
      </c>
      <c r="H554" s="763" t="s">
        <v>821</v>
      </c>
      <c r="J554" s="753" t="s">
        <v>1305</v>
      </c>
      <c r="N554" s="753" t="s">
        <v>2421</v>
      </c>
      <c r="P554" s="754">
        <f>SUMIF('Balance Sheet Detail'!$B:$B,$Q554,'Balance Sheet Detail'!W:W)</f>
        <v>-72.166252499999999</v>
      </c>
      <c r="Q554" s="753" t="s">
        <v>3248</v>
      </c>
    </row>
    <row r="555" spans="1:17" ht="15" customHeight="1">
      <c r="B555" s="761">
        <v>190501</v>
      </c>
      <c r="D555" s="762" t="s">
        <v>767</v>
      </c>
      <c r="F555" s="762" t="s">
        <v>1936</v>
      </c>
      <c r="H555" s="763" t="s">
        <v>821</v>
      </c>
      <c r="J555" s="753" t="s">
        <v>1937</v>
      </c>
      <c r="N555" s="753" t="s">
        <v>2436</v>
      </c>
      <c r="P555" s="754">
        <f>SUMIF('Balance Sheet Detail'!$B:$B,$Q555,'Balance Sheet Detail'!W:W)</f>
        <v>1014.9309950000001</v>
      </c>
      <c r="Q555" s="753" t="s">
        <v>3249</v>
      </c>
    </row>
    <row r="556" spans="1:17" ht="15" customHeight="1">
      <c r="B556" s="761">
        <v>190502</v>
      </c>
      <c r="D556" s="762" t="s">
        <v>942</v>
      </c>
      <c r="F556" s="762" t="s">
        <v>1936</v>
      </c>
      <c r="H556" s="763" t="s">
        <v>821</v>
      </c>
      <c r="J556" s="753" t="s">
        <v>1937</v>
      </c>
      <c r="N556" s="753" t="s">
        <v>2436</v>
      </c>
      <c r="P556" s="754">
        <f>SUMIF('Balance Sheet Detail'!$B:$B,$Q556,'Balance Sheet Detail'!W:W)</f>
        <v>275.49081041666699</v>
      </c>
      <c r="Q556" s="753" t="s">
        <v>3250</v>
      </c>
    </row>
    <row r="557" spans="1:17" ht="15" customHeight="1">
      <c r="B557" s="761">
        <v>190511</v>
      </c>
      <c r="D557" s="762" t="s">
        <v>767</v>
      </c>
      <c r="F557" s="762" t="s">
        <v>1936</v>
      </c>
      <c r="H557" s="763" t="s">
        <v>821</v>
      </c>
      <c r="J557" s="753" t="s">
        <v>1937</v>
      </c>
      <c r="N557" s="753" t="s">
        <v>2436</v>
      </c>
      <c r="P557" s="754">
        <f>SUMIF('Balance Sheet Detail'!$B:$B,$Q557,'Balance Sheet Detail'!W:W)</f>
        <v>221.62110000000001</v>
      </c>
      <c r="Q557" s="753" t="s">
        <v>3251</v>
      </c>
    </row>
    <row r="558" spans="1:17" ht="15" customHeight="1">
      <c r="B558" s="761">
        <v>190512</v>
      </c>
      <c r="D558" s="762" t="s">
        <v>942</v>
      </c>
      <c r="F558" s="762" t="s">
        <v>1936</v>
      </c>
      <c r="H558" s="763" t="s">
        <v>821</v>
      </c>
      <c r="J558" s="753" t="s">
        <v>1937</v>
      </c>
      <c r="N558" s="753" t="s">
        <v>2436</v>
      </c>
      <c r="P558" s="754">
        <f>SUMIF('Balance Sheet Detail'!$B:$B,$Q558,'Balance Sheet Detail'!W:W)</f>
        <v>60.156374999999997</v>
      </c>
      <c r="Q558" s="753" t="s">
        <v>3252</v>
      </c>
    </row>
    <row r="559" spans="1:17" ht="15" customHeight="1">
      <c r="D559" s="762"/>
      <c r="F559" s="762"/>
      <c r="H559" s="763"/>
      <c r="P559" s="755"/>
    </row>
    <row r="560" spans="1:17">
      <c r="A560" s="760"/>
      <c r="B560" s="764" t="s">
        <v>2884</v>
      </c>
      <c r="C560" s="814"/>
      <c r="D560" s="762"/>
      <c r="E560" s="814"/>
      <c r="F560" s="762"/>
      <c r="G560" s="814"/>
      <c r="H560" s="763"/>
      <c r="I560" s="814"/>
      <c r="K560" s="814"/>
      <c r="L560" s="814"/>
      <c r="O560" s="791" t="str">
        <f>IF(SUMIF('Balance Sheet Detail'!$H$7:$H$2493,'Items Not in Rate Base'!H539,'Balance Sheet Detail'!$W$7:$W$2493)=P560,"OK", "Missing Line Item")</f>
        <v>OK</v>
      </c>
      <c r="P560" s="756">
        <f>SUM(P539:P559)</f>
        <v>-2396.4976333333352</v>
      </c>
      <c r="Q560" s="791"/>
    </row>
    <row r="561" spans="1:17">
      <c r="A561" s="760"/>
      <c r="D561" s="762"/>
      <c r="F561" s="762"/>
      <c r="H561" s="763"/>
      <c r="P561" s="757"/>
    </row>
    <row r="562" spans="1:17">
      <c r="A562" s="760" t="s">
        <v>1192</v>
      </c>
      <c r="D562" s="762"/>
      <c r="F562" s="762"/>
      <c r="H562" s="763"/>
      <c r="P562" s="757"/>
    </row>
    <row r="563" spans="1:17" ht="15" customHeight="1">
      <c r="B563" s="761">
        <v>254016</v>
      </c>
      <c r="D563" s="762" t="s">
        <v>1190</v>
      </c>
      <c r="F563" s="762">
        <v>601216</v>
      </c>
      <c r="H563" s="763" t="s">
        <v>2885</v>
      </c>
      <c r="J563" s="753" t="s">
        <v>1191</v>
      </c>
      <c r="N563" s="753" t="s">
        <v>2436</v>
      </c>
      <c r="P563" s="754">
        <f>SUMIF('Balance Sheet Detail'!$B:$B,$Q563,'Balance Sheet Detail'!W:W)</f>
        <v>-110.896014583333</v>
      </c>
      <c r="Q563" s="753" t="s">
        <v>3258</v>
      </c>
    </row>
    <row r="564" spans="1:17" ht="15" customHeight="1">
      <c r="B564" s="761">
        <v>254017</v>
      </c>
      <c r="D564" s="762" t="s">
        <v>1284</v>
      </c>
      <c r="F564" s="762">
        <v>601215</v>
      </c>
      <c r="H564" s="763" t="s">
        <v>2885</v>
      </c>
      <c r="J564" s="753" t="s">
        <v>1285</v>
      </c>
      <c r="N564" s="753" t="s">
        <v>2436</v>
      </c>
      <c r="P564" s="754">
        <f>SUMIF('Balance Sheet Detail'!$B:$B,$Q564,'Balance Sheet Detail'!W:W)</f>
        <v>-136.90032124999999</v>
      </c>
      <c r="Q564" s="753" t="s">
        <v>3259</v>
      </c>
    </row>
    <row r="565" spans="1:17" ht="15" customHeight="1">
      <c r="B565" s="761">
        <v>190501</v>
      </c>
      <c r="D565" s="762" t="s">
        <v>1190</v>
      </c>
      <c r="F565" s="762" t="s">
        <v>1939</v>
      </c>
      <c r="H565" s="763" t="s">
        <v>2885</v>
      </c>
      <c r="J565" s="753" t="s">
        <v>1940</v>
      </c>
      <c r="N565" s="753" t="s">
        <v>2436</v>
      </c>
      <c r="P565" s="754">
        <f>SUMIF('Balance Sheet Detail'!$B:$B,$Q565,'Balance Sheet Detail'!W:W)</f>
        <v>36.057834999999997</v>
      </c>
      <c r="Q565" s="753" t="s">
        <v>2886</v>
      </c>
    </row>
    <row r="566" spans="1:17" ht="15" customHeight="1">
      <c r="B566" s="761">
        <v>190502</v>
      </c>
      <c r="D566" s="762" t="s">
        <v>1286</v>
      </c>
      <c r="F566" s="762" t="s">
        <v>1939</v>
      </c>
      <c r="H566" s="763" t="s">
        <v>2885</v>
      </c>
      <c r="J566" s="753" t="s">
        <v>1940</v>
      </c>
      <c r="N566" s="753" t="s">
        <v>2436</v>
      </c>
      <c r="P566" s="754">
        <f>SUMIF('Balance Sheet Detail'!$B:$B,$Q566,'Balance Sheet Detail'!W:W)</f>
        <v>-0.47512375000000001</v>
      </c>
      <c r="Q566" s="753" t="s">
        <v>2887</v>
      </c>
    </row>
    <row r="567" spans="1:17" ht="15" customHeight="1">
      <c r="B567" s="761">
        <v>190511</v>
      </c>
      <c r="D567" s="762" t="s">
        <v>1190</v>
      </c>
      <c r="F567" s="762" t="s">
        <v>1939</v>
      </c>
      <c r="H567" s="763" t="s">
        <v>2885</v>
      </c>
      <c r="J567" s="753" t="s">
        <v>1940</v>
      </c>
      <c r="N567" s="753" t="s">
        <v>2436</v>
      </c>
      <c r="P567" s="754">
        <f>SUMIF('Balance Sheet Detail'!$B:$B,$Q567,'Balance Sheet Detail'!W:W)</f>
        <v>7.8736229166666698</v>
      </c>
      <c r="Q567" s="753" t="s">
        <v>2888</v>
      </c>
    </row>
    <row r="568" spans="1:17" ht="15" customHeight="1">
      <c r="B568" s="761">
        <v>190512</v>
      </c>
      <c r="D568" s="762" t="s">
        <v>1286</v>
      </c>
      <c r="F568" s="762" t="s">
        <v>1939</v>
      </c>
      <c r="H568" s="763" t="s">
        <v>2885</v>
      </c>
      <c r="J568" s="753" t="s">
        <v>1940</v>
      </c>
      <c r="N568" s="753" t="s">
        <v>2436</v>
      </c>
      <c r="P568" s="755">
        <f>SUMIF('Balance Sheet Detail'!$B:$B,$Q568,'Balance Sheet Detail'!W:W)</f>
        <v>-0.10375375000000001</v>
      </c>
      <c r="Q568" s="753" t="s">
        <v>2889</v>
      </c>
    </row>
    <row r="569" spans="1:17" ht="15" customHeight="1">
      <c r="B569" s="764" t="s">
        <v>2890</v>
      </c>
      <c r="C569" s="814"/>
      <c r="D569" s="762"/>
      <c r="E569" s="814"/>
      <c r="F569" s="762"/>
      <c r="G569" s="814"/>
      <c r="H569" s="763"/>
      <c r="I569" s="814"/>
      <c r="K569" s="814"/>
      <c r="L569" s="814"/>
      <c r="O569" s="791" t="str">
        <f>IF(SUMIF('Balance Sheet Detail'!$H$7:$H$2493,"Management Audit Deferral",'Balance Sheet Detail'!$W$7:$W$2493)=P569,"OK", "Missing Line Item")</f>
        <v>Missing Line Item</v>
      </c>
      <c r="P569" s="756">
        <f>SUM(P563:P568)</f>
        <v>-204.44375541666631</v>
      </c>
      <c r="Q569" s="791"/>
    </row>
    <row r="570" spans="1:17">
      <c r="A570" s="760"/>
      <c r="D570" s="762"/>
      <c r="F570" s="762"/>
      <c r="H570" s="763"/>
    </row>
    <row r="571" spans="1:17">
      <c r="A571" s="760" t="s">
        <v>2193</v>
      </c>
      <c r="D571" s="762"/>
      <c r="F571" s="762"/>
      <c r="H571" s="763"/>
    </row>
    <row r="572" spans="1:17">
      <c r="A572" s="760"/>
      <c r="B572" s="761">
        <v>283200</v>
      </c>
      <c r="D572" s="762" t="s">
        <v>2175</v>
      </c>
      <c r="F572" s="762" t="s">
        <v>2191</v>
      </c>
      <c r="H572" s="763" t="s">
        <v>2193</v>
      </c>
      <c r="J572" s="753" t="s">
        <v>2192</v>
      </c>
      <c r="N572" s="753" t="s">
        <v>2421</v>
      </c>
      <c r="P572" s="754">
        <f>SUMIF('Balance Sheet Detail'!$B:$B,$Q572,'Balance Sheet Detail'!W:W)</f>
        <v>-411.58699999999999</v>
      </c>
      <c r="Q572" s="753" t="s">
        <v>3260</v>
      </c>
    </row>
    <row r="573" spans="1:17">
      <c r="A573" s="760"/>
      <c r="B573" s="761">
        <v>283400</v>
      </c>
      <c r="D573" s="762"/>
      <c r="F573" s="762" t="s">
        <v>2191</v>
      </c>
      <c r="H573" s="763" t="s">
        <v>2193</v>
      </c>
      <c r="J573" s="753" t="s">
        <v>2192</v>
      </c>
      <c r="N573" s="753" t="s">
        <v>2421</v>
      </c>
      <c r="P573" s="754">
        <f>SUMIF('Balance Sheet Detail'!$B:$B,$Q573,'Balance Sheet Detail'!W:W)</f>
        <v>0</v>
      </c>
      <c r="Q573" s="753" t="s">
        <v>3261</v>
      </c>
    </row>
    <row r="574" spans="1:17" ht="15" customHeight="1">
      <c r="D574" s="762"/>
      <c r="F574" s="762"/>
      <c r="H574" s="763"/>
      <c r="P574" s="755"/>
    </row>
    <row r="575" spans="1:17">
      <c r="A575" s="760"/>
      <c r="B575" s="764" t="s">
        <v>3262</v>
      </c>
      <c r="C575" s="814"/>
      <c r="D575" s="762"/>
      <c r="E575" s="814"/>
      <c r="F575" s="762"/>
      <c r="G575" s="814"/>
      <c r="H575" s="763"/>
      <c r="I575" s="814"/>
      <c r="K575" s="814"/>
      <c r="L575" s="814"/>
      <c r="O575" s="791" t="str">
        <f>IF(SUMIF('Balance Sheet Detail'!$H$7:$H$2493,'Items Not in Rate Base'!H572,'Balance Sheet Detail'!$W$7:$W$2493)=P575,"OK", "Missing Line Item")</f>
        <v>OK</v>
      </c>
      <c r="P575" s="756">
        <f>SUM(P572:P574)</f>
        <v>-411.58699999999999</v>
      </c>
      <c r="Q575" s="791"/>
    </row>
    <row r="576" spans="1:17">
      <c r="A576" s="760"/>
      <c r="D576" s="762"/>
      <c r="F576" s="762"/>
      <c r="H576" s="763"/>
    </row>
    <row r="577" spans="1:17">
      <c r="A577" s="760" t="s">
        <v>1118</v>
      </c>
      <c r="D577" s="762"/>
      <c r="F577" s="762"/>
      <c r="H577" s="763"/>
    </row>
    <row r="578" spans="1:17" ht="15" customHeight="1">
      <c r="B578" s="761">
        <v>182305</v>
      </c>
      <c r="D578" s="762" t="s">
        <v>950</v>
      </c>
      <c r="F578" s="762" t="s">
        <v>864</v>
      </c>
      <c r="H578" s="763" t="s">
        <v>1118</v>
      </c>
      <c r="J578" s="753" t="s">
        <v>1030</v>
      </c>
      <c r="N578" s="753" t="s">
        <v>2436</v>
      </c>
      <c r="P578" s="754">
        <f>SUMIF('Balance Sheet Detail'!$B:$B,$Q578,'Balance Sheet Detail'!W:W)</f>
        <v>-212.788555</v>
      </c>
      <c r="Q578" s="753" t="s">
        <v>3264</v>
      </c>
    </row>
    <row r="579" spans="1:17" ht="15" customHeight="1">
      <c r="B579" s="761">
        <v>254017</v>
      </c>
      <c r="D579" s="762" t="s">
        <v>1246</v>
      </c>
      <c r="F579" s="762" t="s">
        <v>1258</v>
      </c>
      <c r="H579" s="763" t="s">
        <v>1118</v>
      </c>
      <c r="J579" s="753" t="s">
        <v>1257</v>
      </c>
      <c r="N579" s="753" t="s">
        <v>2436</v>
      </c>
      <c r="P579" s="755">
        <f>SUMIF('Balance Sheet Detail'!$B:$B,$Q579,'Balance Sheet Detail'!W:W)</f>
        <v>-319.99986124999998</v>
      </c>
      <c r="Q579" s="753" t="s">
        <v>3265</v>
      </c>
    </row>
    <row r="580" spans="1:17">
      <c r="A580" s="760"/>
      <c r="B580" s="764" t="s">
        <v>3263</v>
      </c>
      <c r="C580" s="814"/>
      <c r="D580" s="762"/>
      <c r="E580" s="814"/>
      <c r="F580" s="762"/>
      <c r="G580" s="814"/>
      <c r="H580" s="763"/>
      <c r="I580" s="814"/>
      <c r="K580" s="814"/>
      <c r="L580" s="814"/>
      <c r="O580" s="791" t="str">
        <f>IF(SUMIF('Balance Sheet Detail'!$H$7:$H$2493,'Items Not in Rate Base'!H578,'Balance Sheet Detail'!$W$7:$W$2493)=P580,"OK", "Missing Line Item")</f>
        <v>OK</v>
      </c>
      <c r="P580" s="756">
        <f>SUM(P578:P579)</f>
        <v>-532.78841624999995</v>
      </c>
      <c r="Q580" s="791"/>
    </row>
    <row r="581" spans="1:17">
      <c r="A581" s="760"/>
      <c r="D581" s="762"/>
      <c r="F581" s="762"/>
      <c r="H581" s="763"/>
    </row>
    <row r="582" spans="1:17">
      <c r="A582" s="760" t="s">
        <v>1203</v>
      </c>
      <c r="D582" s="762"/>
      <c r="F582" s="762"/>
      <c r="H582" s="763"/>
      <c r="P582" s="757"/>
    </row>
    <row r="583" spans="1:17" ht="15" customHeight="1">
      <c r="B583" s="761">
        <v>254016</v>
      </c>
      <c r="D583" s="762" t="s">
        <v>1200</v>
      </c>
      <c r="F583" s="762" t="s">
        <v>1201</v>
      </c>
      <c r="H583" s="763" t="s">
        <v>2891</v>
      </c>
      <c r="J583" s="753" t="s">
        <v>1202</v>
      </c>
      <c r="N583" s="753" t="s">
        <v>2421</v>
      </c>
      <c r="P583" s="754">
        <f>SUMIF('Balance Sheet Detail'!$B:$B,$Q583,'Balance Sheet Detail'!W:W)</f>
        <v>-0.74355250000004403</v>
      </c>
      <c r="Q583" s="753" t="s">
        <v>3266</v>
      </c>
    </row>
    <row r="584" spans="1:17" ht="15" customHeight="1">
      <c r="B584" s="761">
        <v>254016</v>
      </c>
      <c r="D584" s="762" t="s">
        <v>1200</v>
      </c>
      <c r="F584" s="762" t="s">
        <v>1213</v>
      </c>
      <c r="H584" s="763" t="s">
        <v>2891</v>
      </c>
      <c r="J584" s="753" t="s">
        <v>1214</v>
      </c>
      <c r="N584" s="753" t="s">
        <v>2421</v>
      </c>
      <c r="P584" s="754">
        <f>SUMIF('Balance Sheet Detail'!$B:$B,$Q584,'Balance Sheet Detail'!W:W)</f>
        <v>0.67782499999999501</v>
      </c>
      <c r="Q584" s="753" t="s">
        <v>3267</v>
      </c>
    </row>
    <row r="585" spans="1:17" ht="15" customHeight="1">
      <c r="B585" s="761">
        <v>254016</v>
      </c>
      <c r="D585" s="762" t="s">
        <v>1200</v>
      </c>
      <c r="F585" s="762" t="s">
        <v>2813</v>
      </c>
      <c r="H585" s="763" t="s">
        <v>2891</v>
      </c>
      <c r="J585" s="753" t="s">
        <v>2814</v>
      </c>
      <c r="N585" s="753" t="s">
        <v>2421</v>
      </c>
      <c r="P585" s="754">
        <f>SUMIF('Balance Sheet Detail'!$B:$B,$Q585,'Balance Sheet Detail'!W:W)</f>
        <v>321.15573999999998</v>
      </c>
      <c r="Q585" s="753" t="s">
        <v>3268</v>
      </c>
    </row>
    <row r="586" spans="1:17" ht="15" customHeight="1">
      <c r="B586" s="761">
        <v>254016</v>
      </c>
      <c r="D586" s="762" t="s">
        <v>1200</v>
      </c>
      <c r="F586" s="762" t="s">
        <v>4331</v>
      </c>
      <c r="H586" s="763" t="s">
        <v>2891</v>
      </c>
      <c r="J586" s="753" t="s">
        <v>4332</v>
      </c>
      <c r="P586" s="754">
        <f>SUMIF('Balance Sheet Detail'!$B:$B,$Q586,'Balance Sheet Detail'!W:W)</f>
        <v>-288.61406666666699</v>
      </c>
      <c r="Q586" s="753" t="s">
        <v>4337</v>
      </c>
    </row>
    <row r="587" spans="1:17" ht="15" customHeight="1">
      <c r="B587" s="761">
        <v>254016</v>
      </c>
      <c r="D587" s="762" t="s">
        <v>1200</v>
      </c>
      <c r="F587" s="762" t="s">
        <v>4506</v>
      </c>
      <c r="H587" s="763" t="s">
        <v>2891</v>
      </c>
      <c r="J587" s="753" t="s">
        <v>4505</v>
      </c>
      <c r="N587" s="753" t="s">
        <v>2421</v>
      </c>
      <c r="P587" s="754">
        <f>SUMIF('Balance Sheet Detail'!$B:$B,$Q587,'Balance Sheet Detail'!W:W)</f>
        <v>71.0372520833333</v>
      </c>
      <c r="Q587" s="753" t="s">
        <v>4514</v>
      </c>
    </row>
    <row r="588" spans="1:17">
      <c r="A588" s="760"/>
      <c r="B588" s="761">
        <v>254016</v>
      </c>
      <c r="D588" s="762" t="s">
        <v>1200</v>
      </c>
      <c r="F588" s="762" t="s">
        <v>4548</v>
      </c>
      <c r="H588" s="763" t="s">
        <v>2891</v>
      </c>
      <c r="J588" s="753" t="s">
        <v>4547</v>
      </c>
      <c r="N588" s="753" t="s">
        <v>2421</v>
      </c>
      <c r="P588" s="754">
        <f>SUMIF('Balance Sheet Detail'!$B:$B,$Q588,'Balance Sheet Detail'!W:W)</f>
        <v>68.604131249999995</v>
      </c>
      <c r="Q588" s="753" t="s">
        <v>4552</v>
      </c>
    </row>
    <row r="589" spans="1:17" ht="15" customHeight="1">
      <c r="B589" s="761">
        <v>283500</v>
      </c>
      <c r="D589" s="762" t="s">
        <v>1200</v>
      </c>
      <c r="F589" s="762" t="s">
        <v>2334</v>
      </c>
      <c r="H589" s="763" t="s">
        <v>2891</v>
      </c>
      <c r="J589" s="753" t="s">
        <v>2335</v>
      </c>
      <c r="N589" s="753" t="s">
        <v>2421</v>
      </c>
      <c r="P589" s="754">
        <f>SUMIF('Balance Sheet Detail'!$B:$B,$Q589,'Balance Sheet Detail'!W:W)</f>
        <v>-57.683581666666697</v>
      </c>
      <c r="Q589" s="753" t="s">
        <v>2892</v>
      </c>
    </row>
    <row r="590" spans="1:17" ht="15" customHeight="1">
      <c r="B590" s="761">
        <v>283550</v>
      </c>
      <c r="D590" s="762" t="s">
        <v>1200</v>
      </c>
      <c r="F590" s="762" t="s">
        <v>2334</v>
      </c>
      <c r="H590" s="763" t="s">
        <v>2891</v>
      </c>
      <c r="J590" s="753" t="s">
        <v>2335</v>
      </c>
      <c r="N590" s="753" t="s">
        <v>2421</v>
      </c>
      <c r="P590" s="755">
        <f>SUMIF('Balance Sheet Detail'!$B:$B,$Q590,'Balance Sheet Detail'!W:W)</f>
        <v>-12.802550833333299</v>
      </c>
      <c r="Q590" s="753" t="s">
        <v>2893</v>
      </c>
    </row>
    <row r="591" spans="1:17">
      <c r="A591" s="760"/>
      <c r="B591" s="764" t="s">
        <v>2894</v>
      </c>
      <c r="C591" s="814"/>
      <c r="D591" s="762"/>
      <c r="E591" s="814"/>
      <c r="F591" s="762"/>
      <c r="G591" s="814"/>
      <c r="H591" s="763"/>
      <c r="I591" s="814"/>
      <c r="K591" s="814"/>
      <c r="L591" s="814"/>
      <c r="O591" s="791" t="str">
        <f>IF(SUMIF('Balance Sheet Detail'!$H$7:$H$2493,"Merchant Function Charge - Elec",'Balance Sheet Detail'!$W$7:$W$2493)=P591,"OK", "Missing Line Item")</f>
        <v>OK</v>
      </c>
      <c r="P591" s="756">
        <f>SUM(P583:P590)</f>
        <v>101.63119666666626</v>
      </c>
      <c r="Q591" s="791"/>
    </row>
    <row r="592" spans="1:17">
      <c r="A592" s="760"/>
      <c r="D592" s="762"/>
      <c r="F592" s="762"/>
      <c r="H592" s="763"/>
      <c r="P592" s="757"/>
    </row>
    <row r="593" spans="1:21">
      <c r="A593" s="760" t="s">
        <v>818</v>
      </c>
      <c r="D593" s="762"/>
      <c r="F593" s="762"/>
      <c r="H593" s="763"/>
      <c r="P593" s="757"/>
    </row>
    <row r="594" spans="1:21">
      <c r="A594" s="760"/>
      <c r="B594" s="761">
        <v>182301</v>
      </c>
      <c r="D594" s="762" t="s">
        <v>764</v>
      </c>
      <c r="F594" s="762">
        <v>601137</v>
      </c>
      <c r="H594" s="763" t="s">
        <v>818</v>
      </c>
      <c r="J594" s="753" t="s">
        <v>795</v>
      </c>
      <c r="N594" s="753" t="s">
        <v>2421</v>
      </c>
      <c r="P594" s="754">
        <f>SUMIF('Balance Sheet Detail'!$B:$B,$Q594,'Balance Sheet Detail'!W:W)</f>
        <v>-4.0601799999999999</v>
      </c>
      <c r="Q594" s="753" t="s">
        <v>4275</v>
      </c>
    </row>
    <row r="595" spans="1:21">
      <c r="A595" s="760"/>
      <c r="B595" s="761">
        <v>190501</v>
      </c>
      <c r="D595" s="762" t="s">
        <v>4274</v>
      </c>
      <c r="F595" s="762"/>
      <c r="H595" s="763" t="s">
        <v>818</v>
      </c>
      <c r="J595" s="753" t="s">
        <v>4273</v>
      </c>
      <c r="N595" s="753" t="s">
        <v>2421</v>
      </c>
      <c r="P595" s="754">
        <f>SUMIF('Balance Sheet Detail'!$B:$B,$Q595,'Balance Sheet Detail'!W:W)</f>
        <v>1.3201099999999999</v>
      </c>
      <c r="Q595" s="753" t="s">
        <v>4276</v>
      </c>
    </row>
    <row r="596" spans="1:21">
      <c r="A596" s="760"/>
      <c r="B596" s="761">
        <v>190511</v>
      </c>
      <c r="D596" s="762" t="s">
        <v>4274</v>
      </c>
      <c r="F596" s="762"/>
      <c r="H596" s="763" t="s">
        <v>818</v>
      </c>
      <c r="J596" s="753" t="s">
        <v>4273</v>
      </c>
      <c r="N596" s="753" t="s">
        <v>2421</v>
      </c>
      <c r="P596" s="754">
        <f>SUMIF('Balance Sheet Detail'!$B:$B,$Q596,'Balance Sheet Detail'!W:W)</f>
        <v>0.28826000000000002</v>
      </c>
      <c r="Q596" s="753" t="s">
        <v>4279</v>
      </c>
    </row>
    <row r="597" spans="1:21" ht="15" customHeight="1">
      <c r="B597" s="761">
        <v>283500</v>
      </c>
      <c r="D597" s="762" t="s">
        <v>1620</v>
      </c>
      <c r="F597" s="762" t="s">
        <v>2336</v>
      </c>
      <c r="H597" s="763" t="s">
        <v>818</v>
      </c>
      <c r="J597" s="753" t="s">
        <v>2337</v>
      </c>
      <c r="N597" s="753" t="s">
        <v>2421</v>
      </c>
      <c r="P597" s="754">
        <f>SUMIF('Balance Sheet Detail'!$B:$B,$Q597,'Balance Sheet Detail'!W:W)</f>
        <v>0</v>
      </c>
      <c r="Q597" s="753" t="s">
        <v>3269</v>
      </c>
      <c r="U597" s="823"/>
    </row>
    <row r="598" spans="1:21" ht="15" customHeight="1">
      <c r="B598" s="761">
        <v>283550</v>
      </c>
      <c r="D598" s="762" t="s">
        <v>1620</v>
      </c>
      <c r="F598" s="762" t="s">
        <v>2336</v>
      </c>
      <c r="H598" s="763" t="s">
        <v>818</v>
      </c>
      <c r="J598" s="753" t="s">
        <v>2337</v>
      </c>
      <c r="N598" s="753" t="s">
        <v>2421</v>
      </c>
      <c r="P598" s="755">
        <f>SUMIF('Balance Sheet Detail'!$B:$B,$Q598,'Balance Sheet Detail'!W:W)</f>
        <v>-97.031670416666699</v>
      </c>
      <c r="Q598" s="753" t="s">
        <v>3270</v>
      </c>
    </row>
    <row r="599" spans="1:21">
      <c r="A599" s="760"/>
      <c r="B599" s="764" t="s">
        <v>2895</v>
      </c>
      <c r="C599" s="814"/>
      <c r="D599" s="762"/>
      <c r="E599" s="814"/>
      <c r="F599" s="762"/>
      <c r="G599" s="814"/>
      <c r="H599" s="763"/>
      <c r="I599" s="814"/>
      <c r="K599" s="814"/>
      <c r="L599" s="814"/>
      <c r="O599" s="791" t="str">
        <f>IF(SUMIF('Balance Sheet Detail'!$H$7:$H$2493,'Items Not in Rate Base'!H594,'Balance Sheet Detail'!$W$7:$W$2493)=P599,"OK", "Missing Line Item")</f>
        <v>OK</v>
      </c>
      <c r="P599" s="756">
        <f>SUM(P594:P598)</f>
        <v>-99.483480416666694</v>
      </c>
      <c r="Q599" s="791"/>
    </row>
    <row r="600" spans="1:21">
      <c r="A600" s="760"/>
      <c r="D600" s="762"/>
      <c r="F600" s="762"/>
      <c r="H600" s="763"/>
      <c r="P600" s="757"/>
    </row>
    <row r="601" spans="1:21">
      <c r="A601" s="760" t="s">
        <v>4538</v>
      </c>
      <c r="D601" s="762"/>
      <c r="F601" s="762"/>
      <c r="H601" s="763"/>
      <c r="P601" s="757"/>
    </row>
    <row r="602" spans="1:21">
      <c r="A602" s="760"/>
      <c r="B602" s="761">
        <v>282200</v>
      </c>
      <c r="D602" s="762" t="s">
        <v>2126</v>
      </c>
      <c r="F602" s="762" t="s">
        <v>2125</v>
      </c>
      <c r="H602" s="763" t="s">
        <v>2125</v>
      </c>
      <c r="J602" s="753" t="s">
        <v>2127</v>
      </c>
      <c r="N602" s="753" t="s">
        <v>2436</v>
      </c>
      <c r="P602" s="754">
        <f>SUMIF('Balance Sheet Detail'!$B:$B,$Q602,'Balance Sheet Detail'!W:W)</f>
        <v>-6003.94696916667</v>
      </c>
      <c r="Q602" s="753" t="s">
        <v>4539</v>
      </c>
    </row>
    <row r="603" spans="1:21" ht="15.75" customHeight="1">
      <c r="A603" s="760"/>
      <c r="B603" s="761">
        <v>282240</v>
      </c>
      <c r="D603" s="762" t="s">
        <v>2126</v>
      </c>
      <c r="F603" s="762" t="s">
        <v>2125</v>
      </c>
      <c r="H603" s="763" t="s">
        <v>2125</v>
      </c>
      <c r="J603" s="753" t="s">
        <v>2127</v>
      </c>
      <c r="N603" s="753" t="s">
        <v>2436</v>
      </c>
      <c r="P603" s="790">
        <f>SUMIF('Balance Sheet Detail'!$B:$B,$Q603,'Balance Sheet Detail'!W:W)</f>
        <v>-1069.5934579166701</v>
      </c>
      <c r="Q603" s="753" t="s">
        <v>4540</v>
      </c>
    </row>
    <row r="604" spans="1:21" ht="15.75" customHeight="1">
      <c r="A604" s="760"/>
      <c r="B604" s="761">
        <v>190502</v>
      </c>
      <c r="D604" s="762" t="s">
        <v>2126</v>
      </c>
      <c r="F604" s="762"/>
      <c r="H604" s="763" t="s">
        <v>2125</v>
      </c>
      <c r="J604" s="753" t="s">
        <v>4557</v>
      </c>
      <c r="N604" s="753" t="s">
        <v>2436</v>
      </c>
      <c r="P604" s="790">
        <f>SUMIF('Balance Sheet Detail'!$B:$B,$Q604,'Balance Sheet Detail'!W:W)</f>
        <v>7.9242175000000001</v>
      </c>
      <c r="Q604" s="753" t="s">
        <v>4583</v>
      </c>
    </row>
    <row r="605" spans="1:21" ht="15.75" customHeight="1">
      <c r="A605" s="760"/>
      <c r="B605" s="761">
        <v>190512</v>
      </c>
      <c r="D605" s="762" t="s">
        <v>1917</v>
      </c>
      <c r="F605" s="762"/>
      <c r="H605" s="763" t="s">
        <v>2125</v>
      </c>
      <c r="J605" s="753" t="s">
        <v>4557</v>
      </c>
      <c r="N605" s="753" t="s">
        <v>2436</v>
      </c>
      <c r="P605" s="790">
        <f>SUMIF('Balance Sheet Detail'!$B:$B,$Q605,'Balance Sheet Detail'!W:W)</f>
        <v>1.7303379166666699</v>
      </c>
      <c r="Q605" s="753" t="s">
        <v>4584</v>
      </c>
    </row>
    <row r="606" spans="1:21" ht="15.75" customHeight="1">
      <c r="A606" s="760"/>
      <c r="B606" s="761">
        <v>282210</v>
      </c>
      <c r="D606" s="762" t="s">
        <v>2126</v>
      </c>
      <c r="F606" s="762" t="s">
        <v>2125</v>
      </c>
      <c r="H606" s="763" t="s">
        <v>2125</v>
      </c>
      <c r="J606" s="753" t="s">
        <v>2127</v>
      </c>
      <c r="N606" s="753" t="s">
        <v>2436</v>
      </c>
      <c r="P606" s="790">
        <f>SUMIF('Balance Sheet Detail'!$B:$B,$Q606,'Balance Sheet Detail'!W:W)</f>
        <v>-1773.61712458333</v>
      </c>
      <c r="Q606" s="753" t="s">
        <v>4597</v>
      </c>
    </row>
    <row r="607" spans="1:21" ht="15.75" customHeight="1">
      <c r="A607" s="760"/>
      <c r="B607" s="761">
        <v>282250</v>
      </c>
      <c r="D607" s="762" t="s">
        <v>2126</v>
      </c>
      <c r="F607" s="762"/>
      <c r="H607" s="763" t="s">
        <v>2125</v>
      </c>
      <c r="J607" s="753" t="s">
        <v>2127</v>
      </c>
      <c r="N607" s="753" t="s">
        <v>2436</v>
      </c>
      <c r="P607" s="790">
        <f>SUMIF('Balance Sheet Detail'!$B:$B,$Q607,'Balance Sheet Detail'!W:W)</f>
        <v>-286.257917916667</v>
      </c>
      <c r="Q607" s="753" t="s">
        <v>4598</v>
      </c>
    </row>
    <row r="608" spans="1:21" ht="15.75" customHeight="1">
      <c r="A608" s="760"/>
      <c r="B608" s="761">
        <v>283200</v>
      </c>
      <c r="D608" s="762" t="s">
        <v>2126</v>
      </c>
      <c r="F608" s="762" t="s">
        <v>2125</v>
      </c>
      <c r="H608" s="763" t="s">
        <v>2125</v>
      </c>
      <c r="J608" s="753" t="s">
        <v>2217</v>
      </c>
      <c r="N608" s="753" t="s">
        <v>2436</v>
      </c>
      <c r="P608" s="790">
        <f>SUMIF('Balance Sheet Detail'!$B:$B,$Q608,'Balance Sheet Detail'!W:W)</f>
        <v>0</v>
      </c>
      <c r="Q608" s="753" t="s">
        <v>4599</v>
      </c>
    </row>
    <row r="609" spans="1:18" ht="15.75" customHeight="1">
      <c r="A609" s="760"/>
      <c r="B609" s="761">
        <v>283210</v>
      </c>
      <c r="D609" s="762" t="s">
        <v>2126</v>
      </c>
      <c r="F609" s="762" t="s">
        <v>2125</v>
      </c>
      <c r="H609" s="763" t="s">
        <v>2125</v>
      </c>
      <c r="J609" s="753" t="s">
        <v>2217</v>
      </c>
      <c r="N609" s="753" t="s">
        <v>2436</v>
      </c>
      <c r="P609" s="790">
        <f>SUMIF('Balance Sheet Detail'!$B:$B,$Q609,'Balance Sheet Detail'!W:W)</f>
        <v>0</v>
      </c>
      <c r="Q609" s="753" t="s">
        <v>4600</v>
      </c>
    </row>
    <row r="610" spans="1:18" ht="15.75" customHeight="1">
      <c r="A610" s="760"/>
      <c r="B610" s="761">
        <v>283400</v>
      </c>
      <c r="D610" s="762" t="s">
        <v>2126</v>
      </c>
      <c r="F610" s="762" t="s">
        <v>2125</v>
      </c>
      <c r="H610" s="763" t="s">
        <v>2125</v>
      </c>
      <c r="J610" s="753" t="s">
        <v>2217</v>
      </c>
      <c r="N610" s="753" t="s">
        <v>2436</v>
      </c>
      <c r="P610" s="790">
        <f>SUMIF('Balance Sheet Detail'!$B:$B,$Q610,'Balance Sheet Detail'!W:W)</f>
        <v>0</v>
      </c>
      <c r="Q610" s="753" t="s">
        <v>4601</v>
      </c>
    </row>
    <row r="611" spans="1:18" ht="15.75" customHeight="1">
      <c r="A611" s="760"/>
      <c r="B611" s="761">
        <v>283410</v>
      </c>
      <c r="D611" s="762" t="s">
        <v>2126</v>
      </c>
      <c r="F611" s="762" t="s">
        <v>2125</v>
      </c>
      <c r="H611" s="763" t="s">
        <v>2125</v>
      </c>
      <c r="J611" s="753" t="s">
        <v>2298</v>
      </c>
      <c r="N611" s="753" t="s">
        <v>2436</v>
      </c>
      <c r="P611" s="790">
        <f>SUMIF('Balance Sheet Detail'!$B:$B,$Q611,'Balance Sheet Detail'!W:W)</f>
        <v>0</v>
      </c>
      <c r="Q611" s="753" t="s">
        <v>4602</v>
      </c>
    </row>
    <row r="612" spans="1:18" ht="15.75" customHeight="1">
      <c r="A612" s="760"/>
      <c r="B612" s="761">
        <v>254017</v>
      </c>
      <c r="D612" s="762" t="s">
        <v>4577</v>
      </c>
      <c r="F612" s="738">
        <v>601252</v>
      </c>
      <c r="H612" s="763" t="s">
        <v>2125</v>
      </c>
      <c r="J612" s="626" t="s">
        <v>4578</v>
      </c>
      <c r="N612" s="753" t="s">
        <v>2436</v>
      </c>
      <c r="P612" s="790">
        <f>SUMIF('Balance Sheet Detail'!$B:$B,$Q612,'Balance Sheet Detail'!W:W)</f>
        <v>-24.370959166666701</v>
      </c>
      <c r="Q612" s="912" t="s">
        <v>4582</v>
      </c>
    </row>
    <row r="613" spans="1:18" ht="15.75" customHeight="1">
      <c r="A613" s="760"/>
      <c r="B613" s="761">
        <v>190502</v>
      </c>
      <c r="D613" s="762" t="s">
        <v>2126</v>
      </c>
      <c r="F613" s="762"/>
      <c r="H613" s="763" t="s">
        <v>2125</v>
      </c>
      <c r="J613" s="626" t="s">
        <v>4557</v>
      </c>
      <c r="N613" s="753" t="s">
        <v>2436</v>
      </c>
      <c r="P613" s="790">
        <f>SUMIF('Balance Sheet Detail'!$B:$B,$Q613,'Balance Sheet Detail'!W:W)</f>
        <v>7.9242175000000001</v>
      </c>
      <c r="Q613" s="753" t="s">
        <v>4583</v>
      </c>
    </row>
    <row r="614" spans="1:18" ht="15.75" customHeight="1">
      <c r="A614" s="760"/>
      <c r="B614" s="761">
        <v>190512</v>
      </c>
      <c r="D614" s="762" t="s">
        <v>1917</v>
      </c>
      <c r="F614" s="762"/>
      <c r="H614" s="763" t="s">
        <v>2125</v>
      </c>
      <c r="J614" s="626" t="s">
        <v>4557</v>
      </c>
      <c r="N614" s="753" t="s">
        <v>2436</v>
      </c>
      <c r="P614" s="790">
        <f>SUMIF('Balance Sheet Detail'!$B:$B,$Q614,'Balance Sheet Detail'!W:W)</f>
        <v>1.7303379166666699</v>
      </c>
      <c r="Q614" s="753" t="s">
        <v>4584</v>
      </c>
    </row>
    <row r="615" spans="1:18">
      <c r="A615" s="760"/>
      <c r="B615" s="761">
        <v>190501</v>
      </c>
      <c r="D615" s="762" t="s">
        <v>4556</v>
      </c>
      <c r="F615" s="762"/>
      <c r="H615" s="763" t="s">
        <v>2125</v>
      </c>
      <c r="J615" s="753" t="s">
        <v>4557</v>
      </c>
      <c r="N615" s="753" t="s">
        <v>2436</v>
      </c>
      <c r="P615" s="790">
        <f>SUMIF('Balance Sheet Detail'!$B:$B,$Q615,'Balance Sheet Detail'!W:W)</f>
        <v>44.851242916666699</v>
      </c>
      <c r="Q615" s="753" t="s">
        <v>4558</v>
      </c>
    </row>
    <row r="616" spans="1:18">
      <c r="A616" s="760"/>
      <c r="B616" s="761">
        <v>254016</v>
      </c>
      <c r="D616" s="762" t="s">
        <v>4545</v>
      </c>
      <c r="F616" s="762">
        <v>601251</v>
      </c>
      <c r="H616" s="763" t="s">
        <v>2125</v>
      </c>
      <c r="J616" s="753" t="s">
        <v>4546</v>
      </c>
      <c r="N616" s="753" t="s">
        <v>2436</v>
      </c>
      <c r="P616" s="755">
        <f>SUMIF('Balance Sheet Detail'!$B:$B,$Q616,'Balance Sheet Detail'!W:W)</f>
        <v>-137.94015999999999</v>
      </c>
      <c r="Q616" s="753" t="s">
        <v>4551</v>
      </c>
      <c r="R616" s="753" t="s">
        <v>4546</v>
      </c>
    </row>
    <row r="617" spans="1:18">
      <c r="A617" s="760"/>
      <c r="B617" s="764" t="s">
        <v>4541</v>
      </c>
      <c r="D617" s="762"/>
      <c r="F617" s="762"/>
      <c r="H617" s="763"/>
      <c r="O617" s="791" t="str">
        <f>IF(SUMIF('Balance Sheet Detail'!$H$7:$H$2493,'Items Not in Rate Base'!H602,'Balance Sheet Detail'!$W$7:$W$2493)=P617,"OK", "Missing Line Item")</f>
        <v>Missing Line Item</v>
      </c>
      <c r="P617" s="756">
        <f>SUM(P601:P616)</f>
        <v>-9231.5662350000057</v>
      </c>
      <c r="Q617" s="791"/>
    </row>
    <row r="618" spans="1:18">
      <c r="A618" s="760"/>
      <c r="D618" s="762"/>
      <c r="F618" s="762"/>
      <c r="H618" s="763"/>
      <c r="P618" s="757"/>
    </row>
    <row r="619" spans="1:18">
      <c r="A619" s="760" t="s">
        <v>2896</v>
      </c>
      <c r="D619" s="762"/>
      <c r="F619" s="762"/>
      <c r="H619" s="763"/>
      <c r="P619" s="757"/>
    </row>
    <row r="620" spans="1:18">
      <c r="A620" s="760"/>
      <c r="B620" s="761">
        <v>128400</v>
      </c>
      <c r="D620" s="762"/>
      <c r="F620" s="762"/>
      <c r="H620" s="763" t="s">
        <v>810</v>
      </c>
      <c r="J620" s="753" t="s">
        <v>68</v>
      </c>
      <c r="N620" s="753" t="s">
        <v>2421</v>
      </c>
      <c r="P620" s="754">
        <f>SUMIF('Balance Sheet Detail'!$B:$B,$Q620,'Balance Sheet Detail'!W:W)</f>
        <v>6294.9161075000002</v>
      </c>
      <c r="Q620" s="753" t="s">
        <v>3427</v>
      </c>
    </row>
    <row r="621" spans="1:18" ht="15" customHeight="1">
      <c r="B621" s="761">
        <v>182300</v>
      </c>
      <c r="D621" s="762" t="s">
        <v>749</v>
      </c>
      <c r="F621" s="762"/>
      <c r="H621" s="763" t="s">
        <v>810</v>
      </c>
      <c r="J621" s="753" t="s">
        <v>754</v>
      </c>
      <c r="N621" s="753" t="s">
        <v>2421</v>
      </c>
      <c r="P621" s="754">
        <f>SUMIF('Balance Sheet Detail'!$B:$B,$Q621,'Balance Sheet Detail'!W:W)</f>
        <v>0</v>
      </c>
      <c r="Q621" s="753" t="s">
        <v>3343</v>
      </c>
    </row>
    <row r="622" spans="1:18" ht="15" customHeight="1">
      <c r="B622" s="761">
        <v>254016</v>
      </c>
      <c r="D622" s="762" t="s">
        <v>1156</v>
      </c>
      <c r="F622" s="762" t="s">
        <v>1187</v>
      </c>
      <c r="H622" s="763" t="s">
        <v>810</v>
      </c>
      <c r="J622" s="753" t="s">
        <v>1188</v>
      </c>
      <c r="N622" s="753" t="s">
        <v>2421</v>
      </c>
      <c r="P622" s="754">
        <f>SUMIF('Balance Sheet Detail'!$B:$B,$Q622,'Balance Sheet Detail'!W:W)</f>
        <v>0</v>
      </c>
      <c r="Q622" s="753" t="s">
        <v>3344</v>
      </c>
    </row>
    <row r="623" spans="1:18" ht="15" customHeight="1">
      <c r="B623" s="761">
        <v>254017</v>
      </c>
      <c r="D623" s="762" t="s">
        <v>1223</v>
      </c>
      <c r="F623" s="762" t="s">
        <v>1281</v>
      </c>
      <c r="H623" s="763" t="s">
        <v>810</v>
      </c>
      <c r="J623" s="753" t="s">
        <v>1282</v>
      </c>
      <c r="N623" s="753" t="s">
        <v>2421</v>
      </c>
      <c r="P623" s="754">
        <f>SUMIF('Balance Sheet Detail'!$B:$B,$Q623,'Balance Sheet Detail'!W:W)</f>
        <v>0</v>
      </c>
      <c r="Q623" s="753" t="s">
        <v>3345</v>
      </c>
    </row>
    <row r="624" spans="1:18" ht="15" customHeight="1">
      <c r="B624" s="761">
        <v>253230</v>
      </c>
      <c r="D624" s="762"/>
      <c r="F624" s="762" t="s">
        <v>1577</v>
      </c>
      <c r="H624" s="763" t="s">
        <v>810</v>
      </c>
      <c r="J624" s="753" t="s">
        <v>1578</v>
      </c>
      <c r="N624" s="753" t="s">
        <v>2421</v>
      </c>
      <c r="P624" s="754">
        <f>SUMIF('Balance Sheet Detail'!$B:$B,$Q624,'Balance Sheet Detail'!W:W)</f>
        <v>227.70998</v>
      </c>
      <c r="Q624" s="753" t="s">
        <v>3346</v>
      </c>
    </row>
    <row r="625" spans="1:17" ht="15" customHeight="1">
      <c r="B625" s="761">
        <v>253340</v>
      </c>
      <c r="D625" s="762"/>
      <c r="F625" s="762" t="s">
        <v>810</v>
      </c>
      <c r="H625" s="763" t="s">
        <v>810</v>
      </c>
      <c r="J625" s="753" t="s">
        <v>1580</v>
      </c>
      <c r="N625" s="753" t="s">
        <v>2421</v>
      </c>
      <c r="P625" s="754">
        <f>SUMIF('Balance Sheet Detail'!$B:$B,$Q625,'Balance Sheet Detail'!W:W)</f>
        <v>-12225.565352916699</v>
      </c>
      <c r="Q625" s="753" t="s">
        <v>3347</v>
      </c>
    </row>
    <row r="626" spans="1:17" ht="15" customHeight="1">
      <c r="B626" s="761">
        <v>190001</v>
      </c>
      <c r="D626" s="762" t="s">
        <v>1700</v>
      </c>
      <c r="F626" s="762" t="s">
        <v>1699</v>
      </c>
      <c r="H626" s="763" t="s">
        <v>810</v>
      </c>
      <c r="J626" s="753" t="s">
        <v>1701</v>
      </c>
      <c r="N626" s="753" t="s">
        <v>2421</v>
      </c>
      <c r="P626" s="754">
        <f>SUMIF('Balance Sheet Detail'!$B:$B,$Q626,'Balance Sheet Detail'!W:W)</f>
        <v>0</v>
      </c>
      <c r="Q626" s="753" t="s">
        <v>3348</v>
      </c>
    </row>
    <row r="627" spans="1:17" ht="15" customHeight="1">
      <c r="B627" s="761">
        <v>190002</v>
      </c>
      <c r="D627" s="762" t="s">
        <v>1700</v>
      </c>
      <c r="F627" s="762" t="s">
        <v>1699</v>
      </c>
      <c r="H627" s="763" t="s">
        <v>810</v>
      </c>
      <c r="J627" s="753" t="s">
        <v>1701</v>
      </c>
      <c r="N627" s="753" t="s">
        <v>2421</v>
      </c>
      <c r="P627" s="754">
        <f>SUMIF('Balance Sheet Detail'!$B:$B,$Q627,'Balance Sheet Detail'!W:W)</f>
        <v>0</v>
      </c>
      <c r="Q627" s="753" t="s">
        <v>3349</v>
      </c>
    </row>
    <row r="628" spans="1:17" ht="15" customHeight="1">
      <c r="B628" s="761">
        <v>190011</v>
      </c>
      <c r="D628" s="762" t="s">
        <v>1700</v>
      </c>
      <c r="F628" s="762" t="s">
        <v>1699</v>
      </c>
      <c r="H628" s="763" t="s">
        <v>810</v>
      </c>
      <c r="J628" s="753" t="s">
        <v>1701</v>
      </c>
      <c r="N628" s="753" t="s">
        <v>2421</v>
      </c>
      <c r="P628" s="754">
        <f>SUMIF('Balance Sheet Detail'!$B:$B,$Q628,'Balance Sheet Detail'!W:W)</f>
        <v>0</v>
      </c>
      <c r="Q628" s="753" t="s">
        <v>3350</v>
      </c>
    </row>
    <row r="629" spans="1:17" ht="15" customHeight="1">
      <c r="B629" s="761">
        <v>190012</v>
      </c>
      <c r="D629" s="762" t="s">
        <v>1700</v>
      </c>
      <c r="F629" s="762" t="s">
        <v>1699</v>
      </c>
      <c r="H629" s="763" t="s">
        <v>810</v>
      </c>
      <c r="J629" s="753" t="s">
        <v>1701</v>
      </c>
      <c r="N629" s="753" t="s">
        <v>2421</v>
      </c>
      <c r="P629" s="754">
        <f>SUMIF('Balance Sheet Detail'!$B:$B,$Q629,'Balance Sheet Detail'!W:W)</f>
        <v>0</v>
      </c>
      <c r="Q629" s="753" t="s">
        <v>3351</v>
      </c>
    </row>
    <row r="630" spans="1:17" ht="15" customHeight="1">
      <c r="B630" s="761">
        <v>190031</v>
      </c>
      <c r="D630" s="762" t="s">
        <v>1700</v>
      </c>
      <c r="F630" s="762"/>
      <c r="H630" s="763" t="s">
        <v>810</v>
      </c>
      <c r="J630" s="753" t="s">
        <v>810</v>
      </c>
      <c r="N630" s="753" t="s">
        <v>2421</v>
      </c>
      <c r="P630" s="754">
        <f>SUMIF('Balance Sheet Detail'!$B:$B,$Q630,'Balance Sheet Detail'!W:W)</f>
        <v>308.51519833333299</v>
      </c>
      <c r="Q630" s="753" t="s">
        <v>3352</v>
      </c>
    </row>
    <row r="631" spans="1:17" ht="15" customHeight="1">
      <c r="B631" s="761">
        <v>190032</v>
      </c>
      <c r="D631" s="762" t="s">
        <v>1700</v>
      </c>
      <c r="F631" s="762"/>
      <c r="H631" s="763" t="s">
        <v>810</v>
      </c>
      <c r="J631" s="753" t="s">
        <v>810</v>
      </c>
      <c r="N631" s="753" t="s">
        <v>2421</v>
      </c>
      <c r="P631" s="754">
        <f>SUMIF('Balance Sheet Detail'!$B:$B,$Q631,'Balance Sheet Detail'!W:W)</f>
        <v>-475.90159499999999</v>
      </c>
      <c r="Q631" s="753" t="s">
        <v>3353</v>
      </c>
    </row>
    <row r="632" spans="1:17" ht="15" customHeight="1">
      <c r="B632" s="761">
        <v>190041</v>
      </c>
      <c r="D632" s="762" t="s">
        <v>1700</v>
      </c>
      <c r="F632" s="762"/>
      <c r="H632" s="763" t="s">
        <v>810</v>
      </c>
      <c r="J632" s="753" t="s">
        <v>810</v>
      </c>
      <c r="N632" s="753" t="s">
        <v>2421</v>
      </c>
      <c r="P632" s="754">
        <f>SUMIF('Balance Sheet Detail'!$B:$B,$Q632,'Balance Sheet Detail'!W:W)</f>
        <v>43.406238333333299</v>
      </c>
      <c r="Q632" s="753" t="s">
        <v>3354</v>
      </c>
    </row>
    <row r="633" spans="1:17" ht="15" customHeight="1">
      <c r="B633" s="761">
        <v>190042</v>
      </c>
      <c r="D633" s="762" t="s">
        <v>1700</v>
      </c>
      <c r="F633" s="762"/>
      <c r="H633" s="763" t="s">
        <v>810</v>
      </c>
      <c r="J633" s="753" t="s">
        <v>810</v>
      </c>
      <c r="N633" s="753" t="s">
        <v>2421</v>
      </c>
      <c r="P633" s="754">
        <f>SUMIF('Balance Sheet Detail'!$B:$B,$Q633,'Balance Sheet Detail'!W:W)</f>
        <v>8.9377516666666708</v>
      </c>
      <c r="Q633" s="753" t="s">
        <v>3355</v>
      </c>
    </row>
    <row r="634" spans="1:17" ht="15" customHeight="1">
      <c r="B634" s="761">
        <v>190501</v>
      </c>
      <c r="D634" s="762" t="s">
        <v>1988</v>
      </c>
      <c r="F634" s="762" t="s">
        <v>1987</v>
      </c>
      <c r="H634" s="763" t="s">
        <v>810</v>
      </c>
      <c r="J634" s="753" t="s">
        <v>1989</v>
      </c>
      <c r="N634" s="753" t="s">
        <v>2421</v>
      </c>
      <c r="P634" s="754">
        <f>SUMIF('Balance Sheet Detail'!$B:$B,$Q634,'Balance Sheet Detail'!W:W)</f>
        <v>0</v>
      </c>
      <c r="Q634" s="753" t="s">
        <v>3356</v>
      </c>
    </row>
    <row r="635" spans="1:17" ht="15" customHeight="1">
      <c r="B635" s="761">
        <v>190502</v>
      </c>
      <c r="D635" s="762" t="s">
        <v>1988</v>
      </c>
      <c r="F635" s="762" t="s">
        <v>2011</v>
      </c>
      <c r="H635" s="763" t="s">
        <v>810</v>
      </c>
      <c r="J635" s="753" t="s">
        <v>2012</v>
      </c>
      <c r="N635" s="753" t="s">
        <v>2421</v>
      </c>
      <c r="P635" s="754">
        <f>SUMIF('Balance Sheet Detail'!$B:$B,$Q635,'Balance Sheet Detail'!W:W)</f>
        <v>0</v>
      </c>
      <c r="Q635" s="753" t="s">
        <v>3357</v>
      </c>
    </row>
    <row r="636" spans="1:17" ht="15" customHeight="1">
      <c r="B636" s="761">
        <v>190511</v>
      </c>
      <c r="D636" s="762" t="s">
        <v>1988</v>
      </c>
      <c r="F636" s="762" t="s">
        <v>2011</v>
      </c>
      <c r="H636" s="763" t="s">
        <v>810</v>
      </c>
      <c r="J636" s="753" t="s">
        <v>2035</v>
      </c>
      <c r="N636" s="753" t="s">
        <v>2421</v>
      </c>
      <c r="P636" s="754">
        <f>SUMIF('Balance Sheet Detail'!$B:$B,$Q636,'Balance Sheet Detail'!W:W)</f>
        <v>0</v>
      </c>
      <c r="Q636" s="753" t="s">
        <v>3358</v>
      </c>
    </row>
    <row r="637" spans="1:17" ht="15" customHeight="1">
      <c r="B637" s="761">
        <v>190511</v>
      </c>
      <c r="D637" s="762" t="s">
        <v>4118</v>
      </c>
      <c r="F637" s="762" t="s">
        <v>2011</v>
      </c>
      <c r="H637" s="763" t="s">
        <v>810</v>
      </c>
      <c r="J637" s="753" t="s">
        <v>354</v>
      </c>
      <c r="N637" s="753" t="s">
        <v>2421</v>
      </c>
      <c r="P637" s="754">
        <f>SUMIF('Balance Sheet Detail'!$B:$B,$Q637,'Balance Sheet Detail'!W:W)</f>
        <v>0</v>
      </c>
      <c r="Q637" s="753" t="s">
        <v>4131</v>
      </c>
    </row>
    <row r="638" spans="1:17" ht="15" customHeight="1">
      <c r="B638" s="761">
        <v>190512</v>
      </c>
      <c r="D638" s="762" t="s">
        <v>1988</v>
      </c>
      <c r="F638" s="762" t="s">
        <v>2011</v>
      </c>
      <c r="H638" s="763" t="s">
        <v>810</v>
      </c>
      <c r="J638" s="753" t="s">
        <v>2049</v>
      </c>
      <c r="N638" s="753" t="s">
        <v>2421</v>
      </c>
      <c r="P638" s="755">
        <f>SUMIF('Balance Sheet Detail'!$B:$B,$Q638,'Balance Sheet Detail'!W:W)</f>
        <v>0</v>
      </c>
      <c r="Q638" s="753" t="s">
        <v>3359</v>
      </c>
    </row>
    <row r="639" spans="1:17">
      <c r="A639" s="760"/>
      <c r="B639" s="764" t="s">
        <v>2897</v>
      </c>
      <c r="C639" s="814"/>
      <c r="D639" s="762"/>
      <c r="E639" s="814"/>
      <c r="F639" s="762"/>
      <c r="G639" s="814"/>
      <c r="H639" s="763"/>
      <c r="I639" s="814"/>
      <c r="K639" s="814"/>
      <c r="L639" s="814"/>
      <c r="O639" s="791" t="str">
        <f>IF(SUMIF('Balance Sheet Detail'!$H$7:$H$2493,'Items Not in Rate Base'!H634,'Balance Sheet Detail'!$W$7:$W$2493)=P639,"OK", "Missing Line Item")</f>
        <v>OK</v>
      </c>
      <c r="P639" s="756">
        <f>SUM(P620:P638)</f>
        <v>-5817.9816720833678</v>
      </c>
      <c r="Q639" s="791"/>
    </row>
    <row r="640" spans="1:17">
      <c r="A640" s="760"/>
      <c r="D640" s="762"/>
      <c r="F640" s="762"/>
      <c r="H640" s="763"/>
      <c r="P640" s="757"/>
    </row>
    <row r="641" spans="1:17">
      <c r="A641" s="760" t="s">
        <v>2544</v>
      </c>
      <c r="D641" s="762"/>
      <c r="F641" s="762"/>
      <c r="H641" s="763"/>
      <c r="P641" s="757"/>
    </row>
    <row r="642" spans="1:17" ht="15" customHeight="1">
      <c r="B642" s="761">
        <v>121000</v>
      </c>
      <c r="D642" s="762"/>
      <c r="F642" s="762"/>
      <c r="H642" s="763" t="s">
        <v>2544</v>
      </c>
      <c r="J642" s="753" t="s">
        <v>60</v>
      </c>
      <c r="N642" s="753" t="s">
        <v>2421</v>
      </c>
      <c r="P642" s="754">
        <f>SUMIF('Balance Sheet Detail'!$B:$B,$Q642,'Balance Sheet Detail'!W:W)</f>
        <v>3661.8812491666699</v>
      </c>
      <c r="Q642" s="753" t="s">
        <v>2898</v>
      </c>
    </row>
    <row r="643" spans="1:17" ht="15" customHeight="1">
      <c r="B643" s="761">
        <v>122000</v>
      </c>
      <c r="D643" s="762"/>
      <c r="F643" s="762"/>
      <c r="H643" s="763" t="s">
        <v>2544</v>
      </c>
      <c r="J643" s="753" t="s">
        <v>61</v>
      </c>
      <c r="N643" s="753" t="s">
        <v>2421</v>
      </c>
      <c r="P643" s="754">
        <f>SUMIF('Balance Sheet Detail'!$B:$B,$Q643,'Balance Sheet Detail'!W:W)</f>
        <v>-983.73262124999997</v>
      </c>
      <c r="Q643" s="753" t="s">
        <v>2899</v>
      </c>
    </row>
    <row r="644" spans="1:17" ht="15" customHeight="1">
      <c r="D644" s="762"/>
      <c r="F644" s="762"/>
      <c r="H644" s="763"/>
      <c r="P644" s="755"/>
    </row>
    <row r="645" spans="1:17">
      <c r="A645" s="760"/>
      <c r="B645" s="764" t="s">
        <v>2900</v>
      </c>
      <c r="C645" s="814"/>
      <c r="D645" s="762"/>
      <c r="E645" s="814"/>
      <c r="F645" s="762"/>
      <c r="G645" s="814"/>
      <c r="H645" s="763"/>
      <c r="I645" s="814"/>
      <c r="K645" s="814"/>
      <c r="L645" s="814"/>
      <c r="O645" s="791" t="str">
        <f>IF(SUMIF('Balance Sheet Detail'!$H$7:$H$2493,'Items Not in Rate Base'!H642,'Balance Sheet Detail'!$W$7:$W$2493)=P645,"OK", "Missing Line Item")</f>
        <v>OK</v>
      </c>
      <c r="P645" s="756">
        <f>SUM(P642:P644)</f>
        <v>2678.1486279166702</v>
      </c>
      <c r="Q645" s="791"/>
    </row>
    <row r="646" spans="1:17">
      <c r="A646" s="760"/>
      <c r="D646" s="762"/>
      <c r="F646" s="762"/>
      <c r="H646" s="763"/>
      <c r="P646" s="757"/>
    </row>
    <row r="647" spans="1:17">
      <c r="A647" s="760" t="s">
        <v>812</v>
      </c>
      <c r="D647" s="762"/>
      <c r="F647" s="762"/>
      <c r="H647" s="763"/>
      <c r="P647" s="757"/>
    </row>
    <row r="648" spans="1:17" ht="15" customHeight="1">
      <c r="B648" s="761">
        <v>182301</v>
      </c>
      <c r="D648" s="762" t="s">
        <v>758</v>
      </c>
      <c r="F648" s="762" t="s">
        <v>784</v>
      </c>
      <c r="H648" s="763" t="s">
        <v>812</v>
      </c>
      <c r="J648" s="753" t="s">
        <v>800</v>
      </c>
      <c r="N648" s="753" t="s">
        <v>2436</v>
      </c>
      <c r="P648" s="754">
        <f>SUMIF('Balance Sheet Detail'!$B:$B,$Q648,'Balance Sheet Detail'!W:W)</f>
        <v>-111.64003</v>
      </c>
      <c r="Q648" s="753" t="s">
        <v>3271</v>
      </c>
    </row>
    <row r="649" spans="1:17" ht="15" customHeight="1">
      <c r="B649" s="761">
        <v>182303</v>
      </c>
      <c r="D649" s="762" t="s">
        <v>941</v>
      </c>
      <c r="F649" s="762" t="s">
        <v>834</v>
      </c>
      <c r="H649" s="763" t="s">
        <v>812</v>
      </c>
      <c r="J649" s="753" t="s">
        <v>926</v>
      </c>
      <c r="N649" s="753" t="s">
        <v>2436</v>
      </c>
      <c r="P649" s="754">
        <f>SUMIF('Balance Sheet Detail'!$B:$B,$Q649,'Balance Sheet Detail'!W:W)</f>
        <v>51.6799866666668</v>
      </c>
      <c r="Q649" s="753" t="s">
        <v>3272</v>
      </c>
    </row>
    <row r="650" spans="1:17" ht="15" customHeight="1">
      <c r="B650" s="761">
        <v>254016</v>
      </c>
      <c r="D650" s="762" t="s">
        <v>758</v>
      </c>
      <c r="F650" s="762" t="s">
        <v>1164</v>
      </c>
      <c r="H650" s="763" t="s">
        <v>812</v>
      </c>
      <c r="J650" s="753" t="s">
        <v>800</v>
      </c>
      <c r="N650" s="753" t="s">
        <v>2436</v>
      </c>
      <c r="P650" s="754">
        <f>SUMIF('Balance Sheet Detail'!$B:$B,$Q650,'Balance Sheet Detail'!W:W)</f>
        <v>79.567205416666695</v>
      </c>
      <c r="Q650" s="753" t="s">
        <v>3273</v>
      </c>
    </row>
    <row r="651" spans="1:17" ht="15" customHeight="1">
      <c r="B651" s="761">
        <v>254017</v>
      </c>
      <c r="D651" s="762" t="s">
        <v>941</v>
      </c>
      <c r="F651" s="762" t="s">
        <v>1263</v>
      </c>
      <c r="H651" s="763" t="s">
        <v>812</v>
      </c>
      <c r="J651" s="753" t="s">
        <v>926</v>
      </c>
      <c r="N651" s="753" t="s">
        <v>2436</v>
      </c>
      <c r="P651" s="754">
        <f>SUMIF('Balance Sheet Detail'!$B:$B,$Q651,'Balance Sheet Detail'!W:W)</f>
        <v>-101.92249875</v>
      </c>
      <c r="Q651" s="753" t="s">
        <v>3274</v>
      </c>
    </row>
    <row r="652" spans="1:17" ht="15" customHeight="1">
      <c r="D652" s="762"/>
      <c r="F652" s="762"/>
      <c r="H652" s="763"/>
      <c r="P652" s="755"/>
    </row>
    <row r="653" spans="1:17">
      <c r="A653" s="760"/>
      <c r="B653" s="764" t="s">
        <v>3275</v>
      </c>
      <c r="C653" s="814"/>
      <c r="D653" s="762"/>
      <c r="E653" s="814"/>
      <c r="F653" s="762"/>
      <c r="G653" s="814"/>
      <c r="H653" s="763"/>
      <c r="I653" s="814"/>
      <c r="K653" s="814"/>
      <c r="L653" s="814"/>
      <c r="O653" s="791" t="str">
        <f>IF(SUMIF('Balance Sheet Detail'!$H$7:$H$2493,'Items Not in Rate Base'!H648,'Balance Sheet Detail'!$W$7:$W$2493)=P653,"OK", "Missing Line Item")</f>
        <v>OK</v>
      </c>
      <c r="P653" s="756">
        <f>SUM(P648:P652)</f>
        <v>-82.315336666666497</v>
      </c>
      <c r="Q653" s="791"/>
    </row>
    <row r="654" spans="1:17">
      <c r="A654" s="760"/>
      <c r="D654" s="762"/>
      <c r="F654" s="762"/>
      <c r="H654" s="763"/>
      <c r="P654" s="757"/>
    </row>
    <row r="655" spans="1:17">
      <c r="A655" s="760" t="s">
        <v>2545</v>
      </c>
      <c r="D655" s="762"/>
      <c r="F655" s="762"/>
      <c r="H655" s="763"/>
      <c r="P655" s="757"/>
    </row>
    <row r="656" spans="1:17" ht="15" customHeight="1">
      <c r="B656" s="761">
        <v>124000</v>
      </c>
      <c r="D656" s="762"/>
      <c r="F656" s="762"/>
      <c r="H656" s="763" t="s">
        <v>2545</v>
      </c>
      <c r="J656" s="753" t="s">
        <v>62</v>
      </c>
      <c r="N656" s="753" t="s">
        <v>2421</v>
      </c>
      <c r="P656" s="754">
        <f>SUMIF('Balance Sheet Detail'!$B:$B,$Q656,'Balance Sheet Detail'!W:W)</f>
        <v>100</v>
      </c>
      <c r="Q656" s="753" t="s">
        <v>2901</v>
      </c>
    </row>
    <row r="657" spans="1:17" ht="15" customHeight="1">
      <c r="B657" s="761">
        <v>124200</v>
      </c>
      <c r="D657" s="762"/>
      <c r="F657" s="762"/>
      <c r="H657" s="763" t="s">
        <v>2545</v>
      </c>
      <c r="J657" s="753" t="s">
        <v>63</v>
      </c>
      <c r="N657" s="753" t="s">
        <v>2421</v>
      </c>
      <c r="P657" s="754">
        <f>SUMIF('Balance Sheet Detail'!$B:$B,$Q657,'Balance Sheet Detail'!W:W)</f>
        <v>0</v>
      </c>
      <c r="Q657" s="753" t="s">
        <v>3276</v>
      </c>
    </row>
    <row r="658" spans="1:17" ht="15" customHeight="1">
      <c r="B658" s="761">
        <v>124202</v>
      </c>
      <c r="D658" s="762"/>
      <c r="F658" s="762"/>
      <c r="H658" s="763" t="s">
        <v>2545</v>
      </c>
      <c r="J658" s="753" t="s">
        <v>63</v>
      </c>
      <c r="N658" s="753" t="s">
        <v>2421</v>
      </c>
      <c r="P658" s="754">
        <f>SUMIF('Balance Sheet Detail'!$B:$B,$Q658,'Balance Sheet Detail'!W:W)</f>
        <v>85.024739999999994</v>
      </c>
      <c r="Q658" s="753" t="s">
        <v>3277</v>
      </c>
    </row>
    <row r="659" spans="1:17" ht="15" customHeight="1">
      <c r="B659" s="761">
        <v>124220</v>
      </c>
      <c r="D659" s="762"/>
      <c r="F659" s="762"/>
      <c r="H659" s="763" t="s">
        <v>2545</v>
      </c>
      <c r="J659" s="753" t="s">
        <v>64</v>
      </c>
      <c r="N659" s="753" t="s">
        <v>2421</v>
      </c>
      <c r="P659" s="755">
        <f>SUMIF('Balance Sheet Detail'!$B:$B,$Q659,'Balance Sheet Detail'!W:W)</f>
        <v>0</v>
      </c>
      <c r="Q659" s="753" t="s">
        <v>3278</v>
      </c>
    </row>
    <row r="660" spans="1:17" ht="15" customHeight="1">
      <c r="B660" s="764" t="s">
        <v>2902</v>
      </c>
      <c r="C660" s="814"/>
      <c r="D660" s="762"/>
      <c r="E660" s="814"/>
      <c r="F660" s="762"/>
      <c r="G660" s="814"/>
      <c r="H660" s="763"/>
      <c r="I660" s="814"/>
      <c r="K660" s="814"/>
      <c r="L660" s="814"/>
      <c r="O660" s="791" t="str">
        <f>IF(SUMIF('Balance Sheet Detail'!$H$7:$H$2493,'Items Not in Rate Base'!H656,'Balance Sheet Detail'!$W$7:$W$2493)=P660,"OK", "Missing Line Item")</f>
        <v>OK</v>
      </c>
      <c r="P660" s="756">
        <f>SUM(P656:P659)</f>
        <v>185.02474000000001</v>
      </c>
      <c r="Q660" s="791"/>
    </row>
    <row r="661" spans="1:17">
      <c r="A661" s="760"/>
      <c r="D661" s="762"/>
      <c r="F661" s="762"/>
      <c r="H661" s="763"/>
    </row>
    <row r="662" spans="1:17">
      <c r="A662" s="760" t="s">
        <v>2903</v>
      </c>
      <c r="D662" s="762"/>
      <c r="F662" s="762"/>
      <c r="H662" s="763"/>
    </row>
    <row r="663" spans="1:17">
      <c r="A663" s="760"/>
      <c r="B663" s="761">
        <v>242030</v>
      </c>
      <c r="D663" s="762"/>
      <c r="F663" s="762"/>
      <c r="H663" s="763" t="s">
        <v>2903</v>
      </c>
      <c r="J663" s="753" t="s">
        <v>599</v>
      </c>
      <c r="N663" s="753" t="s">
        <v>2421</v>
      </c>
      <c r="P663" s="754"/>
    </row>
    <row r="664" spans="1:17">
      <c r="A664" s="760"/>
      <c r="B664" s="761">
        <v>190000</v>
      </c>
      <c r="D664" s="762"/>
      <c r="F664" s="762" t="s">
        <v>2904</v>
      </c>
      <c r="H664" s="763" t="s">
        <v>2903</v>
      </c>
      <c r="J664" s="753" t="s">
        <v>2905</v>
      </c>
      <c r="N664" s="753" t="s">
        <v>2421</v>
      </c>
      <c r="P664" s="754"/>
    </row>
    <row r="665" spans="1:17">
      <c r="A665" s="760"/>
      <c r="B665" s="761">
        <v>190000</v>
      </c>
      <c r="D665" s="762"/>
      <c r="F665" s="762" t="s">
        <v>2906</v>
      </c>
      <c r="H665" s="763" t="s">
        <v>2903</v>
      </c>
      <c r="J665" s="753" t="s">
        <v>2907</v>
      </c>
      <c r="N665" s="753" t="s">
        <v>2421</v>
      </c>
      <c r="P665" s="754"/>
    </row>
    <row r="666" spans="1:17">
      <c r="A666" s="760"/>
      <c r="B666" s="761">
        <v>190000</v>
      </c>
      <c r="D666" s="762"/>
      <c r="F666" s="762" t="s">
        <v>2904</v>
      </c>
      <c r="H666" s="763" t="s">
        <v>2903</v>
      </c>
      <c r="J666" s="753" t="s">
        <v>2908</v>
      </c>
      <c r="N666" s="753" t="s">
        <v>2421</v>
      </c>
      <c r="P666" s="754"/>
    </row>
    <row r="667" spans="1:17">
      <c r="A667" s="760"/>
      <c r="B667" s="761">
        <v>190000</v>
      </c>
      <c r="D667" s="762"/>
      <c r="F667" s="762" t="s">
        <v>2906</v>
      </c>
      <c r="H667" s="763" t="s">
        <v>2903</v>
      </c>
      <c r="J667" s="753" t="s">
        <v>2909</v>
      </c>
      <c r="N667" s="753" t="s">
        <v>2421</v>
      </c>
      <c r="P667" s="754"/>
    </row>
    <row r="668" spans="1:17">
      <c r="A668" s="760"/>
      <c r="B668" s="761">
        <v>190002</v>
      </c>
      <c r="D668" s="762" t="s">
        <v>2910</v>
      </c>
      <c r="F668" s="762" t="s">
        <v>2906</v>
      </c>
      <c r="H668" s="763" t="s">
        <v>2903</v>
      </c>
      <c r="J668" s="753" t="s">
        <v>2907</v>
      </c>
      <c r="N668" s="753" t="s">
        <v>2421</v>
      </c>
      <c r="P668" s="754"/>
    </row>
    <row r="669" spans="1:17">
      <c r="A669" s="760"/>
      <c r="B669" s="761">
        <v>190010</v>
      </c>
      <c r="D669" s="762"/>
      <c r="F669" s="762" t="s">
        <v>2911</v>
      </c>
      <c r="H669" s="763" t="s">
        <v>2903</v>
      </c>
      <c r="J669" s="753" t="s">
        <v>2905</v>
      </c>
      <c r="N669" s="753" t="s">
        <v>2421</v>
      </c>
      <c r="P669" s="754"/>
    </row>
    <row r="670" spans="1:17">
      <c r="A670" s="760"/>
      <c r="B670" s="761">
        <v>190010</v>
      </c>
      <c r="D670" s="762"/>
      <c r="F670" s="762" t="s">
        <v>2912</v>
      </c>
      <c r="H670" s="763" t="s">
        <v>2903</v>
      </c>
      <c r="J670" s="753" t="s">
        <v>2907</v>
      </c>
      <c r="N670" s="753" t="s">
        <v>2421</v>
      </c>
      <c r="P670" s="754"/>
    </row>
    <row r="671" spans="1:17">
      <c r="A671" s="760"/>
      <c r="B671" s="761">
        <v>190011</v>
      </c>
      <c r="D671" s="762"/>
      <c r="F671" s="762" t="s">
        <v>2911</v>
      </c>
      <c r="H671" s="763" t="s">
        <v>2903</v>
      </c>
      <c r="J671" s="753" t="s">
        <v>2905</v>
      </c>
      <c r="N671" s="753" t="s">
        <v>2421</v>
      </c>
      <c r="P671" s="754"/>
    </row>
    <row r="672" spans="1:17">
      <c r="A672" s="760"/>
      <c r="B672" s="761">
        <v>190011</v>
      </c>
      <c r="D672" s="762"/>
      <c r="F672" s="762" t="s">
        <v>2911</v>
      </c>
      <c r="H672" s="763" t="s">
        <v>2903</v>
      </c>
      <c r="J672" s="753" t="s">
        <v>2908</v>
      </c>
      <c r="N672" s="753" t="s">
        <v>2421</v>
      </c>
      <c r="P672" s="754"/>
    </row>
    <row r="673" spans="1:17">
      <c r="A673" s="760"/>
      <c r="B673" s="761">
        <v>190012</v>
      </c>
      <c r="D673" s="762"/>
      <c r="F673" s="762" t="s">
        <v>2912</v>
      </c>
      <c r="H673" s="763" t="s">
        <v>2903</v>
      </c>
      <c r="J673" s="753" t="s">
        <v>2907</v>
      </c>
      <c r="N673" s="753" t="s">
        <v>2421</v>
      </c>
      <c r="P673" s="754"/>
    </row>
    <row r="674" spans="1:17">
      <c r="A674" s="760"/>
      <c r="B674" s="761">
        <v>190012</v>
      </c>
      <c r="D674" s="762"/>
      <c r="F674" s="762" t="s">
        <v>2912</v>
      </c>
      <c r="H674" s="763" t="s">
        <v>2903</v>
      </c>
      <c r="J674" s="753" t="s">
        <v>2909</v>
      </c>
      <c r="N674" s="753" t="s">
        <v>2421</v>
      </c>
      <c r="P674" s="754"/>
    </row>
    <row r="675" spans="1:17">
      <c r="A675" s="760"/>
      <c r="B675" s="761">
        <v>190032</v>
      </c>
      <c r="D675" s="762" t="s">
        <v>2910</v>
      </c>
      <c r="F675" s="762">
        <v>1</v>
      </c>
      <c r="H675" s="763" t="s">
        <v>2903</v>
      </c>
      <c r="J675" s="753" t="s">
        <v>2913</v>
      </c>
      <c r="N675" s="753" t="s">
        <v>2421</v>
      </c>
      <c r="P675" s="755"/>
    </row>
    <row r="676" spans="1:17">
      <c r="A676" s="760"/>
      <c r="B676" s="764" t="s">
        <v>2914</v>
      </c>
      <c r="D676" s="762"/>
      <c r="F676" s="762"/>
      <c r="H676" s="763"/>
      <c r="P676" s="756">
        <f>SUM(P663:P675)</f>
        <v>0</v>
      </c>
    </row>
    <row r="677" spans="1:17">
      <c r="A677" s="760"/>
      <c r="B677" s="764"/>
      <c r="D677" s="762"/>
      <c r="F677" s="762"/>
      <c r="H677" s="763"/>
      <c r="P677" s="756"/>
    </row>
    <row r="678" spans="1:17">
      <c r="A678" s="760"/>
      <c r="B678" s="764"/>
      <c r="D678" s="762"/>
      <c r="F678" s="762"/>
      <c r="H678" s="763"/>
      <c r="P678" s="756"/>
    </row>
    <row r="679" spans="1:17">
      <c r="A679" s="760" t="s">
        <v>1159</v>
      </c>
      <c r="D679" s="762"/>
      <c r="F679" s="762"/>
      <c r="H679" s="763"/>
      <c r="P679" s="757"/>
    </row>
    <row r="680" spans="1:17" ht="15" customHeight="1">
      <c r="B680" s="761">
        <v>254016</v>
      </c>
      <c r="D680" s="762" t="s">
        <v>1156</v>
      </c>
      <c r="F680" s="762" t="s">
        <v>1157</v>
      </c>
      <c r="H680" s="763" t="s">
        <v>1159</v>
      </c>
      <c r="J680" s="753" t="s">
        <v>1158</v>
      </c>
      <c r="N680" s="753" t="s">
        <v>2436</v>
      </c>
      <c r="P680" s="754">
        <f>SUMIF('Balance Sheet Detail'!$B:$B,$Q680,'Balance Sheet Detail'!W:W)</f>
        <v>0</v>
      </c>
      <c r="Q680" s="753" t="s">
        <v>4074</v>
      </c>
    </row>
    <row r="681" spans="1:17" ht="15" customHeight="1">
      <c r="B681" s="761">
        <v>254016</v>
      </c>
      <c r="D681" s="762" t="s">
        <v>1156</v>
      </c>
      <c r="F681" s="762" t="s">
        <v>4072</v>
      </c>
      <c r="H681" s="763" t="s">
        <v>1159</v>
      </c>
      <c r="J681" s="753" t="s">
        <v>4071</v>
      </c>
      <c r="N681" s="753" t="s">
        <v>2436</v>
      </c>
      <c r="P681" s="754">
        <f>SUMIF('Balance Sheet Detail'!$B:$B,$Q681,'Balance Sheet Detail'!W:W)</f>
        <v>0</v>
      </c>
      <c r="Q681" s="753" t="s">
        <v>4075</v>
      </c>
    </row>
    <row r="682" spans="1:17" ht="15" customHeight="1">
      <c r="B682" s="761">
        <v>254017</v>
      </c>
      <c r="D682" s="762" t="s">
        <v>1223</v>
      </c>
      <c r="F682" s="762" t="s">
        <v>1224</v>
      </c>
      <c r="H682" s="763" t="s">
        <v>1159</v>
      </c>
      <c r="J682" s="753" t="s">
        <v>1225</v>
      </c>
      <c r="N682" s="753" t="s">
        <v>2436</v>
      </c>
      <c r="P682" s="754">
        <f>SUMIF('Balance Sheet Detail'!$B:$B,$Q682,'Balance Sheet Detail'!W:W)</f>
        <v>4.1666693000000003E-8</v>
      </c>
      <c r="Q682" s="753" t="s">
        <v>4076</v>
      </c>
    </row>
    <row r="683" spans="1:17" ht="15" customHeight="1">
      <c r="B683" s="761">
        <v>254017</v>
      </c>
      <c r="D683" s="762" t="s">
        <v>1223</v>
      </c>
      <c r="F683" s="762" t="s">
        <v>4067</v>
      </c>
      <c r="H683" s="763" t="s">
        <v>1159</v>
      </c>
      <c r="J683" s="753" t="s">
        <v>4066</v>
      </c>
      <c r="N683" s="753" t="s">
        <v>2436</v>
      </c>
      <c r="P683" s="754">
        <f>SUMIF('Balance Sheet Detail'!$B:$B,$Q683,'Balance Sheet Detail'!W:W)</f>
        <v>0</v>
      </c>
      <c r="Q683" s="753" t="s">
        <v>4085</v>
      </c>
    </row>
    <row r="684" spans="1:17" ht="15" customHeight="1">
      <c r="B684" s="761">
        <v>190501</v>
      </c>
      <c r="D684" s="762" t="s">
        <v>1957</v>
      </c>
      <c r="F684" s="762" t="s">
        <v>1742</v>
      </c>
      <c r="H684" s="763" t="s">
        <v>1159</v>
      </c>
      <c r="J684" s="753" t="s">
        <v>1958</v>
      </c>
      <c r="N684" s="753" t="s">
        <v>2421</v>
      </c>
      <c r="P684" s="754">
        <f>SUMIF('Balance Sheet Detail'!$B:$B,$Q684,'Balance Sheet Detail'!W:W)</f>
        <v>0</v>
      </c>
      <c r="Q684" s="753" t="s">
        <v>4077</v>
      </c>
    </row>
    <row r="685" spans="1:17" ht="15" customHeight="1">
      <c r="B685" s="761">
        <v>190502</v>
      </c>
      <c r="D685" s="762" t="s">
        <v>1957</v>
      </c>
      <c r="F685" s="762" t="s">
        <v>1742</v>
      </c>
      <c r="H685" s="763" t="s">
        <v>1159</v>
      </c>
      <c r="J685" s="753" t="s">
        <v>1958</v>
      </c>
      <c r="N685" s="753" t="s">
        <v>2421</v>
      </c>
      <c r="P685" s="754">
        <f>SUMIF('Balance Sheet Detail'!$B:$B,$Q685,'Balance Sheet Detail'!W:W)</f>
        <v>0</v>
      </c>
      <c r="Q685" s="753" t="s">
        <v>4078</v>
      </c>
    </row>
    <row r="686" spans="1:17" ht="15" customHeight="1">
      <c r="B686" s="761">
        <v>190511</v>
      </c>
      <c r="D686" s="762" t="s">
        <v>1957</v>
      </c>
      <c r="F686" s="762" t="s">
        <v>1742</v>
      </c>
      <c r="H686" s="763" t="s">
        <v>1159</v>
      </c>
      <c r="J686" s="753" t="s">
        <v>1958</v>
      </c>
      <c r="N686" s="753" t="s">
        <v>2421</v>
      </c>
      <c r="P686" s="754">
        <f>SUMIF('Balance Sheet Detail'!$B:$B,$Q686,'Balance Sheet Detail'!W:W)</f>
        <v>0</v>
      </c>
      <c r="Q686" s="753" t="s">
        <v>4079</v>
      </c>
    </row>
    <row r="687" spans="1:17" ht="15" customHeight="1">
      <c r="B687" s="761">
        <v>190512</v>
      </c>
      <c r="D687" s="762" t="s">
        <v>1957</v>
      </c>
      <c r="F687" s="762" t="s">
        <v>1742</v>
      </c>
      <c r="H687" s="763" t="s">
        <v>1159</v>
      </c>
      <c r="J687" s="753" t="s">
        <v>1958</v>
      </c>
      <c r="N687" s="753" t="s">
        <v>2421</v>
      </c>
      <c r="P687" s="754">
        <f>SUMIF('Balance Sheet Detail'!$B:$B,$Q687,'Balance Sheet Detail'!W:W)</f>
        <v>0</v>
      </c>
      <c r="Q687" s="753" t="s">
        <v>4080</v>
      </c>
    </row>
    <row r="688" spans="1:17" ht="15" customHeight="1">
      <c r="B688" s="761">
        <v>190531</v>
      </c>
      <c r="D688" s="762" t="s">
        <v>1957</v>
      </c>
      <c r="F688" s="762"/>
      <c r="H688" s="763" t="s">
        <v>1159</v>
      </c>
      <c r="J688" s="753" t="s">
        <v>2054</v>
      </c>
      <c r="N688" s="753" t="s">
        <v>2421</v>
      </c>
      <c r="P688" s="754">
        <f>SUMIF('Balance Sheet Detail'!$B:$B,$Q688,'Balance Sheet Detail'!W:W)</f>
        <v>-1174.50953166667</v>
      </c>
      <c r="Q688" s="753" t="s">
        <v>4081</v>
      </c>
    </row>
    <row r="689" spans="1:17" ht="15" customHeight="1">
      <c r="B689" s="761">
        <v>190532</v>
      </c>
      <c r="D689" s="762" t="s">
        <v>1957</v>
      </c>
      <c r="F689" s="762"/>
      <c r="H689" s="763" t="s">
        <v>1159</v>
      </c>
      <c r="J689" s="753" t="s">
        <v>2054</v>
      </c>
      <c r="N689" s="753" t="s">
        <v>2421</v>
      </c>
      <c r="P689" s="754">
        <f>SUMIF('Balance Sheet Detail'!$B:$B,$Q689,'Balance Sheet Detail'!W:W)</f>
        <v>-846.21940208333297</v>
      </c>
      <c r="Q689" s="753" t="s">
        <v>4082</v>
      </c>
    </row>
    <row r="690" spans="1:17" ht="15" customHeight="1">
      <c r="B690" s="761">
        <v>190541</v>
      </c>
      <c r="D690" s="762" t="s">
        <v>1957</v>
      </c>
      <c r="F690" s="762"/>
      <c r="H690" s="763" t="s">
        <v>1159</v>
      </c>
      <c r="J690" s="753" t="s">
        <v>2054</v>
      </c>
      <c r="N690" s="753" t="s">
        <v>2421</v>
      </c>
      <c r="P690" s="754">
        <f>SUMIF('Balance Sheet Detail'!$B:$B,$Q690,'Balance Sheet Detail'!W:W)</f>
        <v>-256.46719541666698</v>
      </c>
      <c r="Q690" s="753" t="s">
        <v>4083</v>
      </c>
    </row>
    <row r="691" spans="1:17" ht="15" customHeight="1">
      <c r="B691" s="761">
        <v>190542</v>
      </c>
      <c r="D691" s="762" t="s">
        <v>1957</v>
      </c>
      <c r="F691" s="762"/>
      <c r="H691" s="763" t="s">
        <v>1159</v>
      </c>
      <c r="J691" s="753" t="s">
        <v>2054</v>
      </c>
      <c r="N691" s="753" t="s">
        <v>2421</v>
      </c>
      <c r="P691" s="754">
        <f>SUMIF('Balance Sheet Detail'!$B:$B,$Q691,'Balance Sheet Detail'!W:W)</f>
        <v>-184.781409166667</v>
      </c>
      <c r="Q691" s="753" t="s">
        <v>4084</v>
      </c>
    </row>
    <row r="692" spans="1:17" ht="15" customHeight="1">
      <c r="B692" s="761">
        <v>182301</v>
      </c>
      <c r="D692" s="762" t="s">
        <v>1156</v>
      </c>
      <c r="F692" s="762" t="s">
        <v>1157</v>
      </c>
      <c r="H692" s="763" t="s">
        <v>1159</v>
      </c>
      <c r="J692" s="753" t="s">
        <v>4295</v>
      </c>
      <c r="N692" s="753" t="s">
        <v>2436</v>
      </c>
      <c r="P692" s="754">
        <f>SUMIF('Balance Sheet Detail'!$B:$B,$Q692,'Balance Sheet Detail'!W:W)</f>
        <v>9499.5506641666707</v>
      </c>
      <c r="Q692" s="753" t="s">
        <v>4297</v>
      </c>
    </row>
    <row r="693" spans="1:17" ht="15" customHeight="1">
      <c r="B693" s="761">
        <v>182301</v>
      </c>
      <c r="D693" s="762" t="s">
        <v>1156</v>
      </c>
      <c r="F693" s="762" t="s">
        <v>4072</v>
      </c>
      <c r="H693" s="763" t="s">
        <v>1159</v>
      </c>
      <c r="J693" s="753" t="s">
        <v>4295</v>
      </c>
      <c r="N693" s="753" t="s">
        <v>2436</v>
      </c>
      <c r="P693" s="754">
        <f>SUMIF('Balance Sheet Detail'!$B:$B,$Q693,'Balance Sheet Detail'!W:W)</f>
        <v>-3089.2366099999999</v>
      </c>
      <c r="Q693" s="753" t="s">
        <v>4298</v>
      </c>
    </row>
    <row r="694" spans="1:17" ht="15" customHeight="1">
      <c r="B694" s="761">
        <v>182303</v>
      </c>
      <c r="D694" s="762" t="s">
        <v>1223</v>
      </c>
      <c r="F694" s="762" t="s">
        <v>1224</v>
      </c>
      <c r="H694" s="763" t="s">
        <v>1159</v>
      </c>
      <c r="J694" s="753" t="s">
        <v>4296</v>
      </c>
      <c r="N694" s="753" t="s">
        <v>2436</v>
      </c>
      <c r="P694" s="754">
        <f>SUMIF('Balance Sheet Detail'!$B:$B,$Q694,'Balance Sheet Detail'!W:W)</f>
        <v>5946.1692425000001</v>
      </c>
      <c r="Q694" s="753" t="s">
        <v>4299</v>
      </c>
    </row>
    <row r="695" spans="1:17" ht="15" customHeight="1">
      <c r="B695" s="761">
        <v>182303</v>
      </c>
      <c r="D695" s="762" t="s">
        <v>1223</v>
      </c>
      <c r="F695" s="762" t="s">
        <v>4067</v>
      </c>
      <c r="H695" s="763" t="s">
        <v>1159</v>
      </c>
      <c r="J695" s="753" t="s">
        <v>4296</v>
      </c>
      <c r="N695" s="753" t="s">
        <v>2436</v>
      </c>
      <c r="P695" s="754">
        <f>SUMIF('Balance Sheet Detail'!$B:$B,$Q695,'Balance Sheet Detail'!W:W)</f>
        <v>-922.03709000000003</v>
      </c>
      <c r="Q695" s="753" t="s">
        <v>4300</v>
      </c>
    </row>
    <row r="696" spans="1:17" ht="15" customHeight="1">
      <c r="D696" s="762"/>
      <c r="F696" s="762"/>
      <c r="H696" s="763"/>
      <c r="P696" s="755"/>
    </row>
    <row r="697" spans="1:17">
      <c r="A697" s="760"/>
      <c r="B697" s="764" t="s">
        <v>4086</v>
      </c>
      <c r="C697" s="814"/>
      <c r="D697" s="762"/>
      <c r="E697" s="814"/>
      <c r="F697" s="762"/>
      <c r="G697" s="814"/>
      <c r="H697" s="763"/>
      <c r="I697" s="814"/>
      <c r="K697" s="814"/>
      <c r="L697" s="814"/>
      <c r="O697" s="791" t="str">
        <f>IF(SUMIF('Balance Sheet Detail'!$H$7:$H$2493,'Items Not in Rate Base'!H680,'Balance Sheet Detail'!$W$7:$W$2493)=P697,"OK", "Missing Line Item")</f>
        <v>OK</v>
      </c>
      <c r="P697" s="756">
        <f>SUM(P680:P696)</f>
        <v>8972.4686683750006</v>
      </c>
      <c r="Q697" s="791"/>
    </row>
    <row r="698" spans="1:17">
      <c r="A698" s="760"/>
      <c r="B698" s="764"/>
      <c r="D698" s="762"/>
      <c r="F698" s="762"/>
      <c r="H698" s="763"/>
      <c r="P698" s="756"/>
    </row>
    <row r="699" spans="1:17">
      <c r="A699" s="760" t="s">
        <v>1113</v>
      </c>
      <c r="D699" s="762"/>
      <c r="F699" s="762"/>
      <c r="H699" s="763"/>
      <c r="P699" s="757"/>
    </row>
    <row r="700" spans="1:17" ht="15" customHeight="1">
      <c r="B700" s="761">
        <v>182305</v>
      </c>
      <c r="D700" s="762" t="s">
        <v>945</v>
      </c>
      <c r="F700" s="762" t="s">
        <v>838</v>
      </c>
      <c r="H700" s="763" t="s">
        <v>1113</v>
      </c>
      <c r="J700" s="753" t="s">
        <v>1008</v>
      </c>
      <c r="N700" s="753" t="s">
        <v>2436</v>
      </c>
      <c r="P700" s="754">
        <f>SUMIF('Balance Sheet Detail'!$B:$B,$Q700,'Balance Sheet Detail'!W:W)</f>
        <v>0</v>
      </c>
      <c r="Q700" s="753" t="s">
        <v>3279</v>
      </c>
    </row>
    <row r="701" spans="1:17" ht="15" customHeight="1">
      <c r="B701" s="761">
        <v>182305</v>
      </c>
      <c r="D701" s="762" t="s">
        <v>945</v>
      </c>
      <c r="F701" s="762" t="s">
        <v>839</v>
      </c>
      <c r="H701" s="763" t="s">
        <v>1113</v>
      </c>
      <c r="J701" s="753" t="s">
        <v>1009</v>
      </c>
      <c r="N701" s="753" t="s">
        <v>2436</v>
      </c>
      <c r="P701" s="754">
        <f>SUMIF('Balance Sheet Detail'!$B:$B,$Q701,'Balance Sheet Detail'!W:W)</f>
        <v>0</v>
      </c>
      <c r="Q701" s="753" t="s">
        <v>3280</v>
      </c>
    </row>
    <row r="702" spans="1:17" ht="15" customHeight="1">
      <c r="B702" s="761">
        <v>182305</v>
      </c>
      <c r="D702" s="762" t="s">
        <v>945</v>
      </c>
      <c r="F702" s="762" t="s">
        <v>841</v>
      </c>
      <c r="H702" s="763" t="s">
        <v>1113</v>
      </c>
      <c r="J702" s="753" t="s">
        <v>1010</v>
      </c>
      <c r="N702" s="753" t="s">
        <v>2436</v>
      </c>
      <c r="P702" s="754">
        <f>SUMIF('Balance Sheet Detail'!$B:$B,$Q702,'Balance Sheet Detail'!W:W)</f>
        <v>5002.6346599999997</v>
      </c>
      <c r="Q702" s="753" t="s">
        <v>3281</v>
      </c>
    </row>
    <row r="703" spans="1:17" ht="15" customHeight="1">
      <c r="B703" s="761">
        <v>182306</v>
      </c>
      <c r="D703" s="762" t="s">
        <v>962</v>
      </c>
      <c r="F703" s="762" t="s">
        <v>891</v>
      </c>
      <c r="H703" s="763" t="s">
        <v>1113</v>
      </c>
      <c r="J703" s="753" t="s">
        <v>1058</v>
      </c>
      <c r="N703" s="753" t="s">
        <v>2436</v>
      </c>
      <c r="P703" s="754">
        <f>SUMIF('Balance Sheet Detail'!$B:$B,$Q703,'Balance Sheet Detail'!W:W)</f>
        <v>0</v>
      </c>
      <c r="Q703" s="753" t="s">
        <v>3282</v>
      </c>
    </row>
    <row r="704" spans="1:17" ht="15" customHeight="1">
      <c r="B704" s="761">
        <v>182306</v>
      </c>
      <c r="D704" s="762" t="s">
        <v>962</v>
      </c>
      <c r="F704" s="762" t="s">
        <v>892</v>
      </c>
      <c r="H704" s="763" t="s">
        <v>1113</v>
      </c>
      <c r="J704" s="753" t="s">
        <v>1059</v>
      </c>
      <c r="N704" s="753" t="s">
        <v>2436</v>
      </c>
      <c r="P704" s="754">
        <f>SUMIF('Balance Sheet Detail'!$B:$B,$Q704,'Balance Sheet Detail'!W:W)</f>
        <v>0</v>
      </c>
      <c r="Q704" s="753" t="s">
        <v>3283</v>
      </c>
    </row>
    <row r="705" spans="2:17" ht="15" customHeight="1">
      <c r="B705" s="761">
        <v>182306</v>
      </c>
      <c r="D705" s="762" t="s">
        <v>962</v>
      </c>
      <c r="F705" s="762" t="s">
        <v>893</v>
      </c>
      <c r="H705" s="763" t="s">
        <v>1113</v>
      </c>
      <c r="J705" s="753" t="s">
        <v>1060</v>
      </c>
      <c r="N705" s="753" t="s">
        <v>2436</v>
      </c>
      <c r="P705" s="754">
        <f>SUMIF('Balance Sheet Detail'!$B:$B,$Q705,'Balance Sheet Detail'!W:W)</f>
        <v>0</v>
      </c>
      <c r="Q705" s="753" t="s">
        <v>3284</v>
      </c>
    </row>
    <row r="706" spans="2:17" ht="15" customHeight="1">
      <c r="B706" s="761">
        <v>182306</v>
      </c>
      <c r="D706" s="762" t="s">
        <v>962</v>
      </c>
      <c r="F706" s="762" t="s">
        <v>894</v>
      </c>
      <c r="H706" s="763" t="s">
        <v>1113</v>
      </c>
      <c r="J706" s="753" t="s">
        <v>1061</v>
      </c>
      <c r="N706" s="753" t="s">
        <v>2436</v>
      </c>
      <c r="P706" s="754">
        <f>SUMIF('Balance Sheet Detail'!$B:$B,$Q706,'Balance Sheet Detail'!W:W)</f>
        <v>0</v>
      </c>
      <c r="Q706" s="753" t="s">
        <v>3285</v>
      </c>
    </row>
    <row r="707" spans="2:17" ht="15" customHeight="1">
      <c r="B707" s="761">
        <v>182306</v>
      </c>
      <c r="D707" s="762" t="s">
        <v>962</v>
      </c>
      <c r="F707" s="762" t="s">
        <v>895</v>
      </c>
      <c r="H707" s="763" t="s">
        <v>1113</v>
      </c>
      <c r="J707" s="753" t="s">
        <v>1062</v>
      </c>
      <c r="N707" s="753" t="s">
        <v>2436</v>
      </c>
      <c r="P707" s="754">
        <f>SUMIF('Balance Sheet Detail'!$B:$B,$Q707,'Balance Sheet Detail'!W:W)</f>
        <v>0</v>
      </c>
      <c r="Q707" s="753" t="s">
        <v>3286</v>
      </c>
    </row>
    <row r="708" spans="2:17" ht="15" customHeight="1">
      <c r="B708" s="761">
        <v>182306</v>
      </c>
      <c r="D708" s="762" t="s">
        <v>962</v>
      </c>
      <c r="F708" s="762" t="s">
        <v>896</v>
      </c>
      <c r="H708" s="763" t="s">
        <v>1113</v>
      </c>
      <c r="J708" s="753" t="s">
        <v>1063</v>
      </c>
      <c r="N708" s="753" t="s">
        <v>2436</v>
      </c>
      <c r="P708" s="754">
        <f>SUMIF('Balance Sheet Detail'!$B:$B,$Q708,'Balance Sheet Detail'!W:W)</f>
        <v>0</v>
      </c>
      <c r="Q708" s="753" t="s">
        <v>3287</v>
      </c>
    </row>
    <row r="709" spans="2:17" ht="15" customHeight="1">
      <c r="B709" s="761">
        <v>182306</v>
      </c>
      <c r="D709" s="762" t="s">
        <v>962</v>
      </c>
      <c r="F709" s="762" t="s">
        <v>898</v>
      </c>
      <c r="H709" s="763" t="s">
        <v>1113</v>
      </c>
      <c r="J709" s="753" t="s">
        <v>1064</v>
      </c>
      <c r="N709" s="753" t="s">
        <v>2436</v>
      </c>
      <c r="P709" s="754">
        <f>SUMIF('Balance Sheet Detail'!$B:$B,$Q709,'Balance Sheet Detail'!W:W)</f>
        <v>3988.4306537500001</v>
      </c>
      <c r="Q709" s="753" t="s">
        <v>3288</v>
      </c>
    </row>
    <row r="710" spans="2:17" ht="15" customHeight="1">
      <c r="B710" s="761">
        <v>190501</v>
      </c>
      <c r="D710" s="762" t="s">
        <v>1967</v>
      </c>
      <c r="F710" s="762" t="s">
        <v>1966</v>
      </c>
      <c r="H710" s="763" t="s">
        <v>1113</v>
      </c>
      <c r="J710" s="753" t="s">
        <v>1968</v>
      </c>
      <c r="N710" s="753" t="s">
        <v>2436</v>
      </c>
      <c r="P710" s="754">
        <f>SUMIF('Balance Sheet Detail'!$B:$B,$Q710,'Balance Sheet Detail'!W:W)</f>
        <v>11638.407896250001</v>
      </c>
      <c r="Q710" s="753" t="s">
        <v>4344</v>
      </c>
    </row>
    <row r="711" spans="2:17" ht="15" customHeight="1">
      <c r="B711" s="761">
        <v>190502</v>
      </c>
      <c r="D711" s="762" t="s">
        <v>1967</v>
      </c>
      <c r="F711" s="762" t="s">
        <v>1966</v>
      </c>
      <c r="H711" s="763" t="s">
        <v>1113</v>
      </c>
      <c r="J711" s="753" t="s">
        <v>1968</v>
      </c>
      <c r="N711" s="753" t="s">
        <v>2436</v>
      </c>
      <c r="P711" s="754">
        <f>SUMIF('Balance Sheet Detail'!$B:$B,$Q711,'Balance Sheet Detail'!W:W)</f>
        <v>3086.6482283333298</v>
      </c>
      <c r="Q711" s="753" t="s">
        <v>4345</v>
      </c>
    </row>
    <row r="712" spans="2:17" ht="15" customHeight="1">
      <c r="B712" s="761">
        <v>190511</v>
      </c>
      <c r="D712" s="762" t="s">
        <v>1967</v>
      </c>
      <c r="F712" s="762" t="s">
        <v>1966</v>
      </c>
      <c r="H712" s="763" t="s">
        <v>1113</v>
      </c>
      <c r="J712" s="753" t="s">
        <v>1968</v>
      </c>
      <c r="N712" s="753" t="s">
        <v>2436</v>
      </c>
      <c r="P712" s="754">
        <f>SUMIF('Balance Sheet Detail'!$B:$B,$Q712,'Balance Sheet Detail'!W:W)</f>
        <v>2541.3719775</v>
      </c>
      <c r="Q712" s="753" t="s">
        <v>4346</v>
      </c>
    </row>
    <row r="713" spans="2:17" ht="15" customHeight="1">
      <c r="B713" s="761">
        <v>190512</v>
      </c>
      <c r="D713" s="762" t="s">
        <v>1967</v>
      </c>
      <c r="F713" s="762" t="s">
        <v>1966</v>
      </c>
      <c r="H713" s="763" t="s">
        <v>1113</v>
      </c>
      <c r="J713" s="753" t="s">
        <v>1968</v>
      </c>
      <c r="N713" s="753" t="s">
        <v>2436</v>
      </c>
      <c r="P713" s="754">
        <f>SUMIF('Balance Sheet Detail'!$B:$B,$Q713,'Balance Sheet Detail'!W:W)</f>
        <v>674.00331208333296</v>
      </c>
      <c r="Q713" s="753" t="s">
        <v>4347</v>
      </c>
    </row>
    <row r="714" spans="2:17" ht="15" customHeight="1">
      <c r="B714" s="761">
        <v>254016</v>
      </c>
      <c r="D714" s="762" t="s">
        <v>945</v>
      </c>
      <c r="F714" s="762">
        <v>601212</v>
      </c>
      <c r="H714" s="763" t="s">
        <v>1113</v>
      </c>
      <c r="J714" s="753" t="s">
        <v>1189</v>
      </c>
      <c r="N714" s="753" t="s">
        <v>2436</v>
      </c>
      <c r="P714" s="754">
        <f>SUMIF('Balance Sheet Detail'!$B:$B,$Q714,'Balance Sheet Detail'!W:W)</f>
        <v>-12695.3394883333</v>
      </c>
      <c r="Q714" s="753" t="s">
        <v>3289</v>
      </c>
    </row>
    <row r="715" spans="2:17" ht="15" customHeight="1">
      <c r="B715" s="761">
        <v>254017</v>
      </c>
      <c r="D715" s="762" t="s">
        <v>962</v>
      </c>
      <c r="F715" s="762">
        <v>601213</v>
      </c>
      <c r="H715" s="763" t="s">
        <v>1113</v>
      </c>
      <c r="J715" s="753" t="s">
        <v>1283</v>
      </c>
      <c r="N715" s="753" t="s">
        <v>2436</v>
      </c>
      <c r="P715" s="754">
        <f>SUMIF('Balance Sheet Detail'!$B:$B,$Q715,'Balance Sheet Detail'!W:W)</f>
        <v>-4785.3200066666705</v>
      </c>
      <c r="Q715" s="753" t="s">
        <v>3290</v>
      </c>
    </row>
    <row r="716" spans="2:17" ht="15" customHeight="1">
      <c r="B716" s="761">
        <v>254018</v>
      </c>
      <c r="D716" s="762" t="s">
        <v>945</v>
      </c>
      <c r="F716" s="762">
        <v>601212</v>
      </c>
      <c r="H716" s="763" t="s">
        <v>1113</v>
      </c>
      <c r="J716" s="753" t="s">
        <v>4419</v>
      </c>
      <c r="N716" s="753" t="s">
        <v>2436</v>
      </c>
      <c r="P716" s="754">
        <f>SUMIF('Balance Sheet Detail'!$B:$B,$Q716,'Balance Sheet Detail'!W:W)</f>
        <v>-37936.281239166703</v>
      </c>
      <c r="Q716" s="753" t="s">
        <v>4420</v>
      </c>
    </row>
    <row r="717" spans="2:17" ht="15" customHeight="1">
      <c r="B717" s="761">
        <v>254018</v>
      </c>
      <c r="D717" s="762" t="s">
        <v>962</v>
      </c>
      <c r="F717" s="762">
        <v>601213</v>
      </c>
      <c r="H717" s="763" t="s">
        <v>1113</v>
      </c>
      <c r="J717" s="753" t="s">
        <v>1283</v>
      </c>
      <c r="N717" s="753" t="s">
        <v>2436</v>
      </c>
      <c r="P717" s="754">
        <f>SUMIF('Balance Sheet Detail'!$B:$B,$Q717,'Balance Sheet Detail'!W:W)</f>
        <v>-14995.088728750001</v>
      </c>
      <c r="Q717" s="753" t="s">
        <v>4421</v>
      </c>
    </row>
    <row r="718" spans="2:17" ht="15" customHeight="1">
      <c r="B718" s="761">
        <v>254018</v>
      </c>
      <c r="D718" s="41" t="s">
        <v>945</v>
      </c>
      <c r="F718" s="738" t="s">
        <v>841</v>
      </c>
      <c r="H718" s="763" t="s">
        <v>1113</v>
      </c>
      <c r="J718" s="41" t="s">
        <v>4429</v>
      </c>
      <c r="N718" s="753" t="s">
        <v>2436</v>
      </c>
      <c r="P718" s="754">
        <f>SUMIF('Balance Sheet Detail'!$B:$B,$Q718,'Balance Sheet Detail'!W:W)</f>
        <v>12572.8565079167</v>
      </c>
      <c r="Q718" s="753" t="s">
        <v>4525</v>
      </c>
    </row>
    <row r="719" spans="2:17" ht="15" customHeight="1">
      <c r="B719" s="761">
        <v>254018</v>
      </c>
      <c r="D719" s="41" t="s">
        <v>962</v>
      </c>
      <c r="F719" s="738" t="s">
        <v>898</v>
      </c>
      <c r="H719" s="763" t="s">
        <v>1113</v>
      </c>
      <c r="J719" s="41" t="s">
        <v>4430</v>
      </c>
      <c r="N719" s="753" t="s">
        <v>2436</v>
      </c>
      <c r="P719" s="754">
        <f>SUMIF('Balance Sheet Detail'!$B:$B,$Q719,'Balance Sheet Detail'!W:W)</f>
        <v>10023.911344583301</v>
      </c>
      <c r="Q719" s="753" t="s">
        <v>4526</v>
      </c>
    </row>
    <row r="720" spans="2:17" ht="15" customHeight="1">
      <c r="B720" s="761">
        <v>283200</v>
      </c>
      <c r="D720" s="762"/>
      <c r="F720" s="762" t="s">
        <v>2156</v>
      </c>
      <c r="H720" s="763" t="s">
        <v>1113</v>
      </c>
      <c r="J720" s="753" t="s">
        <v>2157</v>
      </c>
      <c r="N720" s="753" t="s">
        <v>2421</v>
      </c>
      <c r="P720" s="754">
        <f>SUMIF('Balance Sheet Detail'!$B:$B,$Q720,'Balance Sheet Detail'!W:W)</f>
        <v>0</v>
      </c>
      <c r="Q720" s="753" t="s">
        <v>3291</v>
      </c>
    </row>
    <row r="721" spans="1:17" ht="15" customHeight="1">
      <c r="B721" s="761">
        <v>283210</v>
      </c>
      <c r="D721" s="762"/>
      <c r="F721" s="762" t="s">
        <v>2156</v>
      </c>
      <c r="H721" s="763" t="s">
        <v>1113</v>
      </c>
      <c r="J721" s="753" t="s">
        <v>2157</v>
      </c>
      <c r="N721" s="753" t="s">
        <v>2421</v>
      </c>
      <c r="P721" s="754">
        <f>SUMIF('Balance Sheet Detail'!$B:$B,$Q721,'Balance Sheet Detail'!W:W)</f>
        <v>0</v>
      </c>
      <c r="Q721" s="753" t="s">
        <v>3292</v>
      </c>
    </row>
    <row r="722" spans="1:17" ht="15" customHeight="1">
      <c r="B722" s="761">
        <v>283400</v>
      </c>
      <c r="D722" s="762"/>
      <c r="F722" s="762" t="s">
        <v>2156</v>
      </c>
      <c r="H722" s="763" t="s">
        <v>1113</v>
      </c>
      <c r="J722" s="753" t="s">
        <v>2157</v>
      </c>
      <c r="N722" s="753" t="s">
        <v>2421</v>
      </c>
      <c r="P722" s="754">
        <f>SUMIF('Balance Sheet Detail'!$B:$B,$Q722,'Balance Sheet Detail'!W:W)</f>
        <v>0</v>
      </c>
      <c r="Q722" s="753" t="s">
        <v>3293</v>
      </c>
    </row>
    <row r="723" spans="1:17" ht="15" customHeight="1">
      <c r="B723" s="761">
        <v>283410</v>
      </c>
      <c r="D723" s="762"/>
      <c r="F723" s="762" t="s">
        <v>2156</v>
      </c>
      <c r="H723" s="763" t="s">
        <v>1113</v>
      </c>
      <c r="J723" s="753" t="s">
        <v>2157</v>
      </c>
      <c r="N723" s="753" t="s">
        <v>2421</v>
      </c>
      <c r="P723" s="754">
        <f>SUMIF('Balance Sheet Detail'!$B:$B,$Q723,'Balance Sheet Detail'!W:W)</f>
        <v>0</v>
      </c>
      <c r="Q723" s="753" t="s">
        <v>3294</v>
      </c>
    </row>
    <row r="724" spans="1:17" ht="15" customHeight="1">
      <c r="B724" s="761">
        <v>283500</v>
      </c>
      <c r="D724" s="762" t="s">
        <v>2307</v>
      </c>
      <c r="F724" s="762" t="s">
        <v>2156</v>
      </c>
      <c r="H724" s="763" t="s">
        <v>1113</v>
      </c>
      <c r="J724" s="753" t="s">
        <v>2308</v>
      </c>
      <c r="N724" s="753" t="s">
        <v>2421</v>
      </c>
      <c r="P724" s="754">
        <f>SUMIF('Balance Sheet Detail'!$B:$B,$Q724,'Balance Sheet Detail'!W:W)</f>
        <v>-1626.6068595833301</v>
      </c>
      <c r="Q724" s="753" t="s">
        <v>3295</v>
      </c>
    </row>
    <row r="725" spans="1:17" ht="15" customHeight="1">
      <c r="B725" s="761">
        <v>283510</v>
      </c>
      <c r="D725" s="762" t="s">
        <v>2307</v>
      </c>
      <c r="F725" s="762" t="s">
        <v>2156</v>
      </c>
      <c r="H725" s="763" t="s">
        <v>1113</v>
      </c>
      <c r="J725" s="753" t="s">
        <v>2308</v>
      </c>
      <c r="N725" s="753" t="s">
        <v>2421</v>
      </c>
      <c r="P725" s="754">
        <f>SUMIF('Balance Sheet Detail'!$B:$B,$Q725,'Balance Sheet Detail'!W:W)</f>
        <v>-1296.8371766666701</v>
      </c>
      <c r="Q725" s="753" t="s">
        <v>3296</v>
      </c>
    </row>
    <row r="726" spans="1:17" ht="15" customHeight="1">
      <c r="B726" s="761">
        <v>283550</v>
      </c>
      <c r="D726" s="762" t="s">
        <v>2307</v>
      </c>
      <c r="F726" s="762" t="s">
        <v>2156</v>
      </c>
      <c r="H726" s="763" t="s">
        <v>1113</v>
      </c>
      <c r="J726" s="753" t="s">
        <v>2308</v>
      </c>
      <c r="N726" s="753" t="s">
        <v>2421</v>
      </c>
      <c r="P726" s="754">
        <f>SUMIF('Balance Sheet Detail'!$B:$B,$Q726,'Balance Sheet Detail'!W:W)</f>
        <v>-355.18722041666598</v>
      </c>
      <c r="Q726" s="753" t="s">
        <v>3297</v>
      </c>
    </row>
    <row r="727" spans="1:17" ht="15" customHeight="1">
      <c r="B727" s="761">
        <v>283560</v>
      </c>
      <c r="D727" s="762" t="s">
        <v>2307</v>
      </c>
      <c r="F727" s="762" t="s">
        <v>2156</v>
      </c>
      <c r="H727" s="763" t="s">
        <v>1113</v>
      </c>
      <c r="J727" s="753" t="s">
        <v>2308</v>
      </c>
      <c r="N727" s="753" t="s">
        <v>2421</v>
      </c>
      <c r="P727" s="755">
        <f>SUMIF('Balance Sheet Detail'!$B:$B,$Q727,'Balance Sheet Detail'!W:W)</f>
        <v>-283.17875458333299</v>
      </c>
      <c r="Q727" s="753" t="s">
        <v>3298</v>
      </c>
    </row>
    <row r="728" spans="1:17">
      <c r="A728" s="760"/>
      <c r="B728" s="764" t="s">
        <v>2915</v>
      </c>
      <c r="C728" s="814"/>
      <c r="D728" s="762"/>
      <c r="E728" s="814"/>
      <c r="F728" s="762"/>
      <c r="G728" s="814"/>
      <c r="H728" s="763"/>
      <c r="I728" s="814"/>
      <c r="K728" s="814"/>
      <c r="L728" s="814"/>
      <c r="O728" s="791" t="str">
        <f>IF(SUMIF('Balance Sheet Detail'!$H$7:$H$2493,'Items Not in Rate Base'!H700,'Balance Sheet Detail'!$W$7:$W$2493)=P728,"OK", "Missing Line Item")</f>
        <v>OK</v>
      </c>
      <c r="P728" s="756">
        <f>SUM(P700:P727)</f>
        <v>-24445.574893750014</v>
      </c>
      <c r="Q728" s="791"/>
    </row>
    <row r="729" spans="1:17">
      <c r="A729" s="760"/>
      <c r="B729" s="764"/>
      <c r="C729" s="814"/>
      <c r="D729" s="762"/>
      <c r="E729" s="814"/>
      <c r="F729" s="762"/>
      <c r="G729" s="814"/>
      <c r="H729" s="763"/>
      <c r="I729" s="814"/>
      <c r="K729" s="814"/>
      <c r="L729" s="814"/>
      <c r="P729" s="756"/>
    </row>
    <row r="730" spans="1:17">
      <c r="A730" s="760" t="s">
        <v>817</v>
      </c>
      <c r="D730" s="762"/>
      <c r="F730" s="762"/>
      <c r="H730" s="763"/>
      <c r="P730" s="792"/>
    </row>
    <row r="731" spans="1:17">
      <c r="A731" s="760"/>
      <c r="B731" s="761">
        <v>174210</v>
      </c>
      <c r="D731" s="762"/>
      <c r="F731" s="762"/>
      <c r="H731" s="763" t="s">
        <v>817</v>
      </c>
      <c r="J731" s="753" t="s">
        <v>4302</v>
      </c>
      <c r="P731" s="754">
        <f>SUMIF('Balance Sheet Detail'!$B:$B,$Q731,'Balance Sheet Detail'!W:W)</f>
        <v>1487.6347066666699</v>
      </c>
      <c r="Q731" s="753" t="s">
        <v>4320</v>
      </c>
    </row>
    <row r="732" spans="1:17">
      <c r="A732" s="760"/>
      <c r="B732" s="761">
        <v>174220</v>
      </c>
      <c r="D732" s="762"/>
      <c r="F732" s="762"/>
      <c r="H732" s="763" t="s">
        <v>817</v>
      </c>
      <c r="J732" s="753" t="s">
        <v>4303</v>
      </c>
      <c r="P732" s="754">
        <f>SUMIF('Balance Sheet Detail'!$B:$B,$Q732,'Balance Sheet Detail'!W:W)</f>
        <v>271.88189583333298</v>
      </c>
      <c r="Q732" s="753" t="s">
        <v>4321</v>
      </c>
    </row>
    <row r="733" spans="1:17" ht="15" customHeight="1">
      <c r="B733" s="761">
        <v>182301</v>
      </c>
      <c r="D733" s="762" t="s">
        <v>763</v>
      </c>
      <c r="F733" s="762" t="s">
        <v>778</v>
      </c>
      <c r="H733" s="763" t="s">
        <v>817</v>
      </c>
      <c r="J733" s="753" t="s">
        <v>794</v>
      </c>
      <c r="N733" s="753" t="s">
        <v>2436</v>
      </c>
      <c r="P733" s="754">
        <f>SUMIF('Balance Sheet Detail'!$B:$B,$Q733,'Balance Sheet Detail'!W:W)</f>
        <v>-49.660175000000002</v>
      </c>
      <c r="Q733" s="753" t="s">
        <v>3299</v>
      </c>
    </row>
    <row r="734" spans="1:17" ht="15" customHeight="1">
      <c r="B734" s="761">
        <v>182301</v>
      </c>
      <c r="D734" s="762" t="s">
        <v>763</v>
      </c>
      <c r="F734" s="762">
        <v>601133</v>
      </c>
      <c r="H734" s="763" t="s">
        <v>817</v>
      </c>
      <c r="J734" s="753" t="s">
        <v>794</v>
      </c>
      <c r="N734" s="753" t="s">
        <v>2436</v>
      </c>
      <c r="P734" s="754">
        <f>SUMIF('Balance Sheet Detail'!$B:$B,$Q734,'Balance Sheet Detail'!W:W)</f>
        <v>1336.7672570833299</v>
      </c>
      <c r="Q734" s="753" t="s">
        <v>4480</v>
      </c>
    </row>
    <row r="735" spans="1:17" ht="15" customHeight="1">
      <c r="B735" s="761">
        <v>182301</v>
      </c>
      <c r="D735" s="762" t="s">
        <v>763</v>
      </c>
      <c r="F735" s="762" t="s">
        <v>4316</v>
      </c>
      <c r="H735" s="763" t="s">
        <v>817</v>
      </c>
      <c r="J735" s="753" t="s">
        <v>794</v>
      </c>
      <c r="N735" s="753" t="s">
        <v>2436</v>
      </c>
      <c r="P735" s="754">
        <f>SUMIF('Balance Sheet Detail'!$B:$B,$Q735,'Balance Sheet Detail'!W:W)</f>
        <v>7.9825362500000097</v>
      </c>
      <c r="Q735" s="753" t="s">
        <v>4481</v>
      </c>
    </row>
    <row r="736" spans="1:17" ht="15" customHeight="1">
      <c r="B736" s="761">
        <v>182301</v>
      </c>
      <c r="D736" s="762" t="s">
        <v>763</v>
      </c>
      <c r="F736" s="762" t="s">
        <v>780</v>
      </c>
      <c r="H736" s="763" t="s">
        <v>817</v>
      </c>
      <c r="J736" s="753" t="s">
        <v>797</v>
      </c>
      <c r="N736" s="753" t="s">
        <v>2436</v>
      </c>
      <c r="P736" s="754">
        <f>SUMIF('Balance Sheet Detail'!$B:$B,$Q736,'Balance Sheet Detail'!W:W)</f>
        <v>52.867187916666701</v>
      </c>
      <c r="Q736" s="753" t="s">
        <v>4482</v>
      </c>
    </row>
    <row r="737" spans="1:17" ht="15" customHeight="1">
      <c r="B737" s="761">
        <v>182303</v>
      </c>
      <c r="D737" s="762" t="s">
        <v>938</v>
      </c>
      <c r="F737" s="762" t="s">
        <v>828</v>
      </c>
      <c r="H737" s="763" t="s">
        <v>817</v>
      </c>
      <c r="J737" s="753" t="s">
        <v>794</v>
      </c>
      <c r="N737" s="753" t="s">
        <v>2436</v>
      </c>
      <c r="P737" s="754">
        <f>SUMIF('Balance Sheet Detail'!$B:$B,$Q737,'Balance Sheet Detail'!W:W)</f>
        <v>0</v>
      </c>
      <c r="Q737" s="753" t="s">
        <v>3300</v>
      </c>
    </row>
    <row r="738" spans="1:17" ht="15" customHeight="1">
      <c r="B738" s="761">
        <v>182303</v>
      </c>
      <c r="D738" s="762" t="s">
        <v>938</v>
      </c>
      <c r="F738" s="762">
        <v>601134</v>
      </c>
      <c r="H738" s="763" t="s">
        <v>817</v>
      </c>
      <c r="J738" s="753" t="s">
        <v>794</v>
      </c>
      <c r="N738" s="753" t="s">
        <v>2436</v>
      </c>
      <c r="P738" s="754">
        <f>SUMIF('Balance Sheet Detail'!$B:$B,$Q738,'Balance Sheet Detail'!W:W)</f>
        <v>897.74727499999995</v>
      </c>
      <c r="Q738" s="753" t="s">
        <v>4478</v>
      </c>
    </row>
    <row r="739" spans="1:17" ht="15" customHeight="1">
      <c r="B739" s="761">
        <v>182303</v>
      </c>
      <c r="D739" s="762" t="s">
        <v>938</v>
      </c>
      <c r="F739" s="762" t="s">
        <v>4318</v>
      </c>
      <c r="H739" s="763" t="s">
        <v>817</v>
      </c>
      <c r="J739" s="753" t="s">
        <v>4467</v>
      </c>
      <c r="N739" s="753" t="s">
        <v>2436</v>
      </c>
      <c r="P739" s="754">
        <f>SUMIF('Balance Sheet Detail'!$B:$B,$Q739,'Balance Sheet Detail'!W:W)</f>
        <v>-6.8064529166666601</v>
      </c>
      <c r="Q739" s="753" t="s">
        <v>4479</v>
      </c>
    </row>
    <row r="740" spans="1:17" ht="15" customHeight="1">
      <c r="B740" s="761">
        <v>283500</v>
      </c>
      <c r="D740" s="762" t="s">
        <v>2356</v>
      </c>
      <c r="F740" s="762" t="s">
        <v>2355</v>
      </c>
      <c r="H740" s="763" t="s">
        <v>817</v>
      </c>
      <c r="J740" s="753" t="s">
        <v>2357</v>
      </c>
      <c r="N740" s="753" t="s">
        <v>2421</v>
      </c>
      <c r="P740" s="754">
        <f>SUMIF('Balance Sheet Detail'!$B:$B,$Q740,'Balance Sheet Detail'!W:W)</f>
        <v>-444.36405541666699</v>
      </c>
      <c r="Q740" s="753" t="s">
        <v>3301</v>
      </c>
    </row>
    <row r="741" spans="1:17" ht="15" customHeight="1">
      <c r="B741" s="761">
        <v>283510</v>
      </c>
      <c r="D741" s="762" t="s">
        <v>2356</v>
      </c>
      <c r="F741" s="762" t="s">
        <v>2355</v>
      </c>
      <c r="H741" s="763" t="s">
        <v>817</v>
      </c>
      <c r="J741" s="753" t="s">
        <v>2357</v>
      </c>
      <c r="N741" s="753" t="s">
        <v>2421</v>
      </c>
      <c r="P741" s="754">
        <f>SUMIF('Balance Sheet Detail'!$B:$B,$Q741,'Balance Sheet Detail'!W:W)</f>
        <v>-285.92999416666697</v>
      </c>
      <c r="Q741" s="753" t="s">
        <v>3302</v>
      </c>
    </row>
    <row r="742" spans="1:17" ht="15" customHeight="1">
      <c r="B742" s="761">
        <v>283550</v>
      </c>
      <c r="D742" s="762" t="s">
        <v>2356</v>
      </c>
      <c r="F742" s="762" t="s">
        <v>2355</v>
      </c>
      <c r="H742" s="763" t="s">
        <v>817</v>
      </c>
      <c r="J742" s="753" t="s">
        <v>2357</v>
      </c>
      <c r="N742" s="753" t="s">
        <v>2421</v>
      </c>
      <c r="P742" s="754">
        <f>SUMIF('Balance Sheet Detail'!$B:$B,$Q742,'Balance Sheet Detail'!W:W)</f>
        <v>0</v>
      </c>
      <c r="Q742" s="753" t="s">
        <v>3303</v>
      </c>
    </row>
    <row r="743" spans="1:17" ht="15" customHeight="1">
      <c r="B743" s="761">
        <v>283560</v>
      </c>
      <c r="D743" s="762" t="s">
        <v>2356</v>
      </c>
      <c r="F743" s="762" t="s">
        <v>2355</v>
      </c>
      <c r="H743" s="763" t="s">
        <v>817</v>
      </c>
      <c r="J743" s="753" t="s">
        <v>2357</v>
      </c>
      <c r="N743" s="753" t="s">
        <v>2421</v>
      </c>
      <c r="P743" s="755">
        <f>SUMIF('Balance Sheet Detail'!$B:$B,$Q743,'Balance Sheet Detail'!W:W)</f>
        <v>-62.435881250000001</v>
      </c>
      <c r="Q743" s="753" t="s">
        <v>3304</v>
      </c>
    </row>
    <row r="744" spans="1:17">
      <c r="A744" s="760"/>
      <c r="B744" s="764" t="s">
        <v>2916</v>
      </c>
      <c r="C744" s="814"/>
      <c r="D744" s="762"/>
      <c r="E744" s="814"/>
      <c r="F744" s="762"/>
      <c r="G744" s="814"/>
      <c r="H744" s="763"/>
      <c r="I744" s="814"/>
      <c r="K744" s="814"/>
      <c r="L744" s="814"/>
      <c r="O744" s="791" t="str">
        <f>IF(SUMIF('Balance Sheet Detail'!$H$7:$H$2493,'Items Not in Rate Base'!H733,'Balance Sheet Detail'!$W$7:$W$2493)=P744,"OK", "Missing Line Item")</f>
        <v>OK</v>
      </c>
      <c r="P744" s="756">
        <f>SUM(P731:P743)</f>
        <v>3205.6842999999994</v>
      </c>
      <c r="Q744" s="791"/>
    </row>
    <row r="745" spans="1:17">
      <c r="A745" s="760"/>
      <c r="B745" s="764"/>
      <c r="C745" s="814"/>
      <c r="D745" s="762"/>
      <c r="E745" s="814"/>
      <c r="F745" s="762"/>
      <c r="G745" s="814"/>
      <c r="H745" s="763"/>
      <c r="I745" s="814"/>
      <c r="K745" s="814"/>
      <c r="L745" s="814"/>
      <c r="P745" s="756"/>
    </row>
    <row r="746" spans="1:17">
      <c r="A746" s="760" t="s">
        <v>1245</v>
      </c>
      <c r="B746" s="764"/>
      <c r="C746" s="814"/>
      <c r="D746" s="762"/>
      <c r="E746" s="814"/>
      <c r="F746" s="762"/>
      <c r="G746" s="814"/>
      <c r="H746" s="763"/>
      <c r="I746" s="814"/>
      <c r="K746" s="814"/>
      <c r="L746" s="814"/>
      <c r="P746" s="756"/>
    </row>
    <row r="747" spans="1:17" ht="15" customHeight="1">
      <c r="B747" s="761">
        <v>254017</v>
      </c>
      <c r="D747" s="762" t="s">
        <v>1148</v>
      </c>
      <c r="F747" s="762" t="s">
        <v>1243</v>
      </c>
      <c r="H747" s="763" t="s">
        <v>1245</v>
      </c>
      <c r="J747" s="753" t="s">
        <v>1244</v>
      </c>
      <c r="N747" s="753" t="s">
        <v>2421</v>
      </c>
      <c r="P747" s="754">
        <f>SUMIF('Balance Sheet Detail'!$B:$B,$Q747,'Balance Sheet Detail'!W:W)</f>
        <v>0</v>
      </c>
      <c r="Q747" s="753" t="s">
        <v>3305</v>
      </c>
    </row>
    <row r="748" spans="1:17" ht="15" customHeight="1">
      <c r="B748" s="761">
        <v>254115</v>
      </c>
      <c r="D748" s="762" t="s">
        <v>1316</v>
      </c>
      <c r="F748" s="762">
        <v>601247</v>
      </c>
      <c r="H748" s="763" t="s">
        <v>1245</v>
      </c>
      <c r="J748" s="753" t="s">
        <v>1317</v>
      </c>
      <c r="N748" s="753" t="s">
        <v>2421</v>
      </c>
      <c r="P748" s="754">
        <f>SUMIF('Balance Sheet Detail'!$B:$B,$Q748,'Balance Sheet Detail'!W:W)</f>
        <v>-731.03935624999997</v>
      </c>
      <c r="Q748" s="753" t="s">
        <v>3306</v>
      </c>
    </row>
    <row r="749" spans="1:17" ht="15" customHeight="1">
      <c r="B749" s="761">
        <v>182303</v>
      </c>
      <c r="D749" s="762" t="s">
        <v>1148</v>
      </c>
      <c r="F749" s="762"/>
      <c r="H749" s="763" t="s">
        <v>1245</v>
      </c>
      <c r="J749" s="753" t="s">
        <v>4358</v>
      </c>
      <c r="N749" s="753" t="s">
        <v>2421</v>
      </c>
      <c r="P749" s="754">
        <f>SUMIF('Balance Sheet Detail'!$B:$B,$Q749,'Balance Sheet Detail'!W:W)</f>
        <v>619.67661416666704</v>
      </c>
      <c r="Q749" s="753" t="s">
        <v>4362</v>
      </c>
    </row>
    <row r="750" spans="1:17" ht="15" customHeight="1">
      <c r="B750" s="761">
        <v>254116</v>
      </c>
      <c r="D750" s="762" t="s">
        <v>1148</v>
      </c>
      <c r="F750" s="762"/>
      <c r="H750" s="763" t="s">
        <v>1245</v>
      </c>
      <c r="J750" s="753" t="s">
        <v>4360</v>
      </c>
      <c r="N750" s="753" t="s">
        <v>2421</v>
      </c>
      <c r="P750" s="754">
        <f>SUMIF('Balance Sheet Detail'!$B:$B,$Q750,'Balance Sheet Detail'!W:W)</f>
        <v>-616.92834875000005</v>
      </c>
      <c r="Q750" s="753" t="s">
        <v>4361</v>
      </c>
    </row>
    <row r="751" spans="1:17" ht="15" customHeight="1">
      <c r="B751" s="761">
        <v>190501</v>
      </c>
      <c r="D751" s="762" t="s">
        <v>1977</v>
      </c>
      <c r="F751" s="762" t="s">
        <v>1976</v>
      </c>
      <c r="H751" s="763" t="s">
        <v>1245</v>
      </c>
      <c r="J751" s="753" t="s">
        <v>1245</v>
      </c>
      <c r="N751" s="753" t="s">
        <v>2421</v>
      </c>
      <c r="P751" s="754">
        <f>SUMIF('Balance Sheet Detail'!$B:$B,$Q751,'Balance Sheet Detail'!W:W)</f>
        <v>-8.3436325</v>
      </c>
      <c r="Q751" s="753" t="s">
        <v>3307</v>
      </c>
    </row>
    <row r="752" spans="1:17" ht="15" customHeight="1">
      <c r="B752" s="761">
        <v>190511</v>
      </c>
      <c r="D752" s="762" t="s">
        <v>1977</v>
      </c>
      <c r="F752" s="762" t="s">
        <v>1976</v>
      </c>
      <c r="H752" s="763" t="s">
        <v>1245</v>
      </c>
      <c r="J752" s="753" t="s">
        <v>1245</v>
      </c>
      <c r="N752" s="753" t="s">
        <v>2421</v>
      </c>
      <c r="P752" s="754">
        <f>SUMIF('Balance Sheet Detail'!$B:$B,$Q752,'Balance Sheet Detail'!W:W)</f>
        <v>-2.6181395833333299</v>
      </c>
      <c r="Q752" s="753" t="s">
        <v>3308</v>
      </c>
    </row>
    <row r="753" spans="1:17" ht="15" customHeight="1">
      <c r="B753" s="761">
        <v>283200</v>
      </c>
      <c r="D753" s="762" t="s">
        <v>1977</v>
      </c>
      <c r="F753" s="762" t="s">
        <v>2026</v>
      </c>
      <c r="H753" s="763" t="s">
        <v>1245</v>
      </c>
      <c r="J753" s="753" t="s">
        <v>2225</v>
      </c>
      <c r="N753" s="753" t="s">
        <v>2421</v>
      </c>
      <c r="P753" s="754">
        <f>SUMIF('Balance Sheet Detail'!$B:$B,$Q753,'Balance Sheet Detail'!W:W)</f>
        <v>0</v>
      </c>
      <c r="Q753" s="753" t="s">
        <v>3309</v>
      </c>
    </row>
    <row r="754" spans="1:17" ht="15" customHeight="1">
      <c r="B754" s="761">
        <v>283210</v>
      </c>
      <c r="D754" s="762" t="s">
        <v>1977</v>
      </c>
      <c r="F754" s="762" t="s">
        <v>2026</v>
      </c>
      <c r="H754" s="763" t="s">
        <v>1245</v>
      </c>
      <c r="J754" s="753" t="s">
        <v>2225</v>
      </c>
      <c r="N754" s="753" t="s">
        <v>2421</v>
      </c>
      <c r="P754" s="754">
        <f>SUMIF('Balance Sheet Detail'!$B:$B,$Q754,'Balance Sheet Detail'!W:W)</f>
        <v>0</v>
      </c>
      <c r="Q754" s="753" t="s">
        <v>3310</v>
      </c>
    </row>
    <row r="755" spans="1:17" ht="15" customHeight="1">
      <c r="B755" s="761">
        <v>283400</v>
      </c>
      <c r="D755" s="762" t="s">
        <v>1977</v>
      </c>
      <c r="F755" s="762" t="s">
        <v>2026</v>
      </c>
      <c r="H755" s="763" t="s">
        <v>1245</v>
      </c>
      <c r="J755" s="753" t="s">
        <v>2225</v>
      </c>
      <c r="N755" s="753" t="s">
        <v>2421</v>
      </c>
      <c r="P755" s="754">
        <f>SUMIF('Balance Sheet Detail'!$B:$B,$Q755,'Balance Sheet Detail'!W:W)</f>
        <v>0</v>
      </c>
      <c r="Q755" s="753" t="s">
        <v>3311</v>
      </c>
    </row>
    <row r="756" spans="1:17" ht="15" customHeight="1">
      <c r="B756" s="761">
        <v>283500</v>
      </c>
      <c r="D756" s="762" t="s">
        <v>1977</v>
      </c>
      <c r="F756" s="762" t="s">
        <v>2026</v>
      </c>
      <c r="H756" s="763" t="s">
        <v>1245</v>
      </c>
      <c r="J756" s="753" t="s">
        <v>2027</v>
      </c>
      <c r="N756" s="753" t="s">
        <v>2421</v>
      </c>
      <c r="P756" s="754">
        <f>SUMIF('Balance Sheet Detail'!$B:$B,$Q756,'Balance Sheet Detail'!W:W)</f>
        <v>0</v>
      </c>
      <c r="Q756" s="753" t="s">
        <v>3312</v>
      </c>
    </row>
    <row r="757" spans="1:17" ht="15" customHeight="1">
      <c r="B757" s="761">
        <v>283560</v>
      </c>
      <c r="D757" s="762" t="s">
        <v>1977</v>
      </c>
      <c r="F757" s="762" t="s">
        <v>2026</v>
      </c>
      <c r="H757" s="763" t="s">
        <v>1245</v>
      </c>
      <c r="J757" s="753" t="s">
        <v>2027</v>
      </c>
      <c r="N757" s="753" t="s">
        <v>2421</v>
      </c>
      <c r="P757" s="754">
        <f>SUMIF('Balance Sheet Detail'!$B:$B,$Q757,'Balance Sheet Detail'!W:W)</f>
        <v>0</v>
      </c>
      <c r="Q757" s="753" t="s">
        <v>3313</v>
      </c>
    </row>
    <row r="758" spans="1:17" ht="15" customHeight="1">
      <c r="D758" s="762"/>
      <c r="F758" s="762"/>
      <c r="H758" s="763"/>
      <c r="P758" s="755"/>
    </row>
    <row r="759" spans="1:17">
      <c r="A759" s="760"/>
      <c r="B759" s="764" t="s">
        <v>3314</v>
      </c>
      <c r="C759" s="814"/>
      <c r="D759" s="762"/>
      <c r="E759" s="814"/>
      <c r="F759" s="762"/>
      <c r="G759" s="814"/>
      <c r="H759" s="763"/>
      <c r="I759" s="814"/>
      <c r="K759" s="814"/>
      <c r="L759" s="814"/>
      <c r="O759" s="791" t="str">
        <f>IF(SUMIF('Balance Sheet Detail'!$H$7:$H$2493,'Items Not in Rate Base'!H747,'Balance Sheet Detail'!$W$7:$W$2493)=P759,"OK", "Missing Line Item")</f>
        <v>OK</v>
      </c>
      <c r="P759" s="756">
        <f>SUM(P747:P758)</f>
        <v>-739.25286291666634</v>
      </c>
      <c r="Q759" s="791"/>
    </row>
    <row r="760" spans="1:17">
      <c r="A760" s="760"/>
      <c r="D760" s="762"/>
      <c r="F760" s="762"/>
      <c r="H760" s="763"/>
      <c r="P760" s="757"/>
    </row>
    <row r="761" spans="1:17">
      <c r="A761" s="760" t="s">
        <v>1295</v>
      </c>
      <c r="D761" s="762"/>
      <c r="F761" s="762"/>
      <c r="H761" s="763"/>
      <c r="P761" s="757"/>
    </row>
    <row r="762" spans="1:17">
      <c r="A762" s="760"/>
      <c r="B762" s="761">
        <v>254017</v>
      </c>
      <c r="D762" s="762" t="s">
        <v>1293</v>
      </c>
      <c r="F762" s="762">
        <v>601235</v>
      </c>
      <c r="H762" s="763" t="s">
        <v>1295</v>
      </c>
      <c r="J762" s="753" t="s">
        <v>1294</v>
      </c>
      <c r="N762" s="753" t="s">
        <v>2421</v>
      </c>
      <c r="P762" s="754">
        <f>SUMIF('Balance Sheet Detail'!$B:$B,$Q762,'Balance Sheet Detail'!W:W)</f>
        <v>-361.89590833333301</v>
      </c>
      <c r="Q762" s="753" t="s">
        <v>3315</v>
      </c>
    </row>
    <row r="763" spans="1:17">
      <c r="A763" s="760"/>
      <c r="B763" s="761">
        <v>190502</v>
      </c>
      <c r="D763" s="762" t="s">
        <v>1293</v>
      </c>
      <c r="F763" s="762"/>
      <c r="H763" s="763" t="s">
        <v>1295</v>
      </c>
      <c r="J763" s="753" t="s">
        <v>2015</v>
      </c>
      <c r="N763" s="753" t="s">
        <v>2436</v>
      </c>
      <c r="P763" s="754">
        <f>SUMIF('Balance Sheet Detail'!$B:$B,$Q763,'Balance Sheet Detail'!W:W)</f>
        <v>116.185026666667</v>
      </c>
      <c r="Q763" s="753" t="s">
        <v>3316</v>
      </c>
    </row>
    <row r="764" spans="1:17">
      <c r="A764" s="760"/>
      <c r="B764" s="761">
        <v>190512</v>
      </c>
      <c r="D764" s="762" t="s">
        <v>1293</v>
      </c>
      <c r="F764" s="762"/>
      <c r="H764" s="763" t="s">
        <v>1295</v>
      </c>
      <c r="J764" s="753" t="s">
        <v>2015</v>
      </c>
      <c r="N764" s="753" t="s">
        <v>2436</v>
      </c>
      <c r="P764" s="754">
        <f>SUMIF('Balance Sheet Detail'!$B:$B,$Q764,'Balance Sheet Detail'!W:W)</f>
        <v>25.370256666666702</v>
      </c>
      <c r="Q764" s="753" t="s">
        <v>3317</v>
      </c>
    </row>
    <row r="765" spans="1:17" ht="15" customHeight="1">
      <c r="D765" s="762"/>
      <c r="F765" s="762"/>
      <c r="H765" s="763"/>
      <c r="P765" s="755"/>
    </row>
    <row r="766" spans="1:17">
      <c r="A766" s="760"/>
      <c r="B766" s="764" t="s">
        <v>3318</v>
      </c>
      <c r="C766" s="814"/>
      <c r="D766" s="762"/>
      <c r="E766" s="814"/>
      <c r="F766" s="762"/>
      <c r="G766" s="814"/>
      <c r="H766" s="763"/>
      <c r="I766" s="814"/>
      <c r="K766" s="814"/>
      <c r="L766" s="814"/>
      <c r="O766" s="791" t="str">
        <f>IF(SUMIF('Balance Sheet Detail'!$H$7:$H$2493,'Items Not in Rate Base'!H762,'Balance Sheet Detail'!$W$7:$W$2493)=P766,"OK", "Missing Line Item")</f>
        <v>OK</v>
      </c>
      <c r="P766" s="756">
        <f>SUM(P762:P765)</f>
        <v>-220.34062499999931</v>
      </c>
      <c r="Q766" s="791"/>
    </row>
    <row r="767" spans="1:17">
      <c r="A767" s="760"/>
      <c r="B767" s="764"/>
      <c r="C767" s="814"/>
      <c r="D767" s="762"/>
      <c r="E767" s="814"/>
      <c r="F767" s="762"/>
      <c r="G767" s="814"/>
      <c r="H767" s="763"/>
      <c r="I767" s="814"/>
      <c r="K767" s="814"/>
      <c r="L767" s="814"/>
      <c r="P767" s="756"/>
    </row>
    <row r="768" spans="1:17">
      <c r="A768" s="760" t="s">
        <v>1124</v>
      </c>
      <c r="B768" s="764"/>
      <c r="C768" s="814"/>
      <c r="D768" s="762"/>
      <c r="E768" s="814"/>
      <c r="F768" s="762"/>
      <c r="G768" s="814"/>
      <c r="H768" s="763"/>
      <c r="I768" s="814"/>
      <c r="K768" s="814"/>
      <c r="L768" s="814"/>
      <c r="P768" s="756"/>
    </row>
    <row r="769" spans="1:17">
      <c r="A769" s="760"/>
      <c r="B769" s="761">
        <v>254017</v>
      </c>
      <c r="D769" s="762" t="s">
        <v>1293</v>
      </c>
      <c r="F769" s="762">
        <v>601258</v>
      </c>
      <c r="H769" s="763" t="s">
        <v>1124</v>
      </c>
      <c r="J769" s="753" t="s">
        <v>1301</v>
      </c>
      <c r="N769" s="753" t="s">
        <v>2436</v>
      </c>
      <c r="P769" s="754">
        <f>SUMIF('Balance Sheet Detail'!$B:$B,$Q769,'Balance Sheet Detail'!W:W)</f>
        <v>0</v>
      </c>
      <c r="Q769" s="753" t="s">
        <v>3319</v>
      </c>
    </row>
    <row r="770" spans="1:17">
      <c r="A770" s="760"/>
      <c r="B770" s="761">
        <v>254017</v>
      </c>
      <c r="D770" s="762" t="s">
        <v>1293</v>
      </c>
      <c r="F770" s="762">
        <v>601262</v>
      </c>
      <c r="H770" s="763" t="s">
        <v>1124</v>
      </c>
      <c r="J770" s="753" t="s">
        <v>1301</v>
      </c>
      <c r="N770" s="753" t="s">
        <v>2436</v>
      </c>
      <c r="P770" s="754">
        <f>SUMIF('Balance Sheet Detail'!$B:$B,$Q770,'Balance Sheet Detail'!W:W)</f>
        <v>-134.029856666667</v>
      </c>
      <c r="Q770" s="753" t="s">
        <v>4277</v>
      </c>
    </row>
    <row r="771" spans="1:17">
      <c r="A771" s="760"/>
      <c r="B771" s="761">
        <v>283210</v>
      </c>
      <c r="D771" s="762" t="s">
        <v>1684</v>
      </c>
      <c r="F771" s="762" t="s">
        <v>1683</v>
      </c>
      <c r="H771" s="763" t="s">
        <v>1124</v>
      </c>
      <c r="J771" s="753" t="s">
        <v>1685</v>
      </c>
      <c r="N771" s="753" t="s">
        <v>2421</v>
      </c>
      <c r="P771" s="754">
        <f>SUMIF('Balance Sheet Detail'!$B:$B,$Q771,'Balance Sheet Detail'!W:W)</f>
        <v>0</v>
      </c>
      <c r="Q771" s="753" t="s">
        <v>4035</v>
      </c>
    </row>
    <row r="772" spans="1:17">
      <c r="A772" s="760"/>
      <c r="B772" s="761">
        <v>283410</v>
      </c>
      <c r="D772" s="762" t="s">
        <v>1684</v>
      </c>
      <c r="F772" s="762" t="s">
        <v>1683</v>
      </c>
      <c r="H772" s="763" t="s">
        <v>1124</v>
      </c>
      <c r="J772" s="753" t="s">
        <v>1685</v>
      </c>
      <c r="N772" s="753" t="s">
        <v>2421</v>
      </c>
      <c r="P772" s="754">
        <f>SUMIF('Balance Sheet Detail'!$B:$B,$Q772,'Balance Sheet Detail'!W:W)</f>
        <v>0</v>
      </c>
      <c r="Q772" s="753" t="s">
        <v>4036</v>
      </c>
    </row>
    <row r="773" spans="1:17" ht="15" customHeight="1">
      <c r="D773" s="762"/>
      <c r="F773" s="762"/>
      <c r="H773" s="763"/>
      <c r="P773" s="755"/>
    </row>
    <row r="774" spans="1:17">
      <c r="A774" s="760"/>
      <c r="B774" s="764" t="s">
        <v>3320</v>
      </c>
      <c r="C774" s="814"/>
      <c r="D774" s="762"/>
      <c r="E774" s="814"/>
      <c r="F774" s="762"/>
      <c r="G774" s="814"/>
      <c r="H774" s="763"/>
      <c r="I774" s="814"/>
      <c r="K774" s="814"/>
      <c r="L774" s="814"/>
      <c r="O774" s="791" t="str">
        <f>IF(SUMIF('Balance Sheet Detail'!$H$7:$H$2493,'Items Not in Rate Base'!H769,'Balance Sheet Detail'!$W$7:$W$2493)=P774,"OK", "Missing Line Item")</f>
        <v>OK</v>
      </c>
      <c r="P774" s="756">
        <f>SUM(P769:P773)</f>
        <v>-134.029856666667</v>
      </c>
      <c r="Q774" s="791"/>
    </row>
    <row r="775" spans="1:17">
      <c r="A775" s="760"/>
      <c r="D775" s="762"/>
      <c r="F775" s="762"/>
      <c r="H775" s="763"/>
      <c r="P775" s="757"/>
    </row>
    <row r="776" spans="1:17">
      <c r="A776" s="760" t="s">
        <v>4032</v>
      </c>
      <c r="D776" s="762"/>
      <c r="F776" s="762"/>
      <c r="H776" s="763"/>
      <c r="P776" s="757"/>
    </row>
    <row r="777" spans="1:17">
      <c r="A777" s="760"/>
      <c r="B777" s="761">
        <v>188000</v>
      </c>
      <c r="D777" s="762"/>
      <c r="F777" s="762"/>
      <c r="H777" s="763" t="s">
        <v>2584</v>
      </c>
      <c r="J777" s="753" t="s">
        <v>319</v>
      </c>
      <c r="N777" s="753" t="s">
        <v>2421</v>
      </c>
      <c r="P777" s="754">
        <f>SUMIF('Balance Sheet Detail'!$B:$B,$Q777,'Balance Sheet Detail'!W:W)</f>
        <v>136.71595833333299</v>
      </c>
      <c r="Q777" s="753" t="s">
        <v>4033</v>
      </c>
    </row>
    <row r="778" spans="1:17" ht="15" customHeight="1">
      <c r="D778" s="762"/>
      <c r="F778" s="762"/>
      <c r="H778" s="763"/>
      <c r="P778" s="755"/>
    </row>
    <row r="779" spans="1:17">
      <c r="A779" s="760"/>
      <c r="B779" s="764" t="s">
        <v>4034</v>
      </c>
      <c r="C779" s="814"/>
      <c r="D779" s="762"/>
      <c r="E779" s="814"/>
      <c r="F779" s="762"/>
      <c r="G779" s="814"/>
      <c r="H779" s="763"/>
      <c r="I779" s="814"/>
      <c r="K779" s="814"/>
      <c r="L779" s="814"/>
      <c r="O779" s="791" t="str">
        <f>IF(SUMIF('Balance Sheet Detail'!$H$7:$H$2493,'Items Not in Rate Base'!H777,'Balance Sheet Detail'!$W$7:$W$2493)=P779,"OK", "Missing Line Item")</f>
        <v>OK</v>
      </c>
      <c r="P779" s="756">
        <f>SUM(P777:P778)</f>
        <v>136.71595833333299</v>
      </c>
      <c r="Q779" s="791"/>
    </row>
    <row r="780" spans="1:17">
      <c r="A780" s="760"/>
      <c r="D780" s="762"/>
      <c r="F780" s="762"/>
      <c r="H780" s="763"/>
      <c r="P780" s="757"/>
    </row>
    <row r="781" spans="1:17">
      <c r="A781" s="760" t="s">
        <v>823</v>
      </c>
      <c r="D781" s="762"/>
      <c r="F781" s="762"/>
      <c r="H781" s="763"/>
      <c r="P781" s="757"/>
    </row>
    <row r="782" spans="1:17" ht="15" customHeight="1">
      <c r="B782" s="761">
        <v>182301</v>
      </c>
      <c r="D782" s="762" t="s">
        <v>769</v>
      </c>
      <c r="F782" s="762">
        <v>601237</v>
      </c>
      <c r="H782" s="763" t="s">
        <v>823</v>
      </c>
      <c r="J782" s="753" t="s">
        <v>805</v>
      </c>
      <c r="N782" s="753" t="s">
        <v>2436</v>
      </c>
      <c r="P782" s="754">
        <f>SUMIF('Balance Sheet Detail'!$B:$B,$Q782,'Balance Sheet Detail'!W:W)</f>
        <v>0</v>
      </c>
      <c r="Q782" s="753" t="s">
        <v>3321</v>
      </c>
    </row>
    <row r="783" spans="1:17" ht="15" customHeight="1">
      <c r="B783" s="761">
        <v>182301</v>
      </c>
      <c r="D783" s="762" t="s">
        <v>769</v>
      </c>
      <c r="F783" s="762" t="s">
        <v>785</v>
      </c>
      <c r="H783" s="763" t="s">
        <v>823</v>
      </c>
      <c r="J783" s="753" t="s">
        <v>807</v>
      </c>
      <c r="N783" s="753" t="s">
        <v>2436</v>
      </c>
      <c r="P783" s="754">
        <f>SUMIF('Balance Sheet Detail'!$B:$B,$Q783,'Balance Sheet Detail'!W:W)</f>
        <v>0</v>
      </c>
      <c r="Q783" s="753" t="s">
        <v>3322</v>
      </c>
    </row>
    <row r="784" spans="1:17" ht="15" customHeight="1">
      <c r="B784" s="761">
        <v>182301</v>
      </c>
      <c r="D784" s="762" t="s">
        <v>769</v>
      </c>
      <c r="F784" s="762" t="s">
        <v>786</v>
      </c>
      <c r="H784" s="763" t="s">
        <v>823</v>
      </c>
      <c r="J784" s="753" t="s">
        <v>808</v>
      </c>
      <c r="N784" s="753" t="s">
        <v>2436</v>
      </c>
      <c r="P784" s="754">
        <f>SUMIF('Balance Sheet Detail'!$B:$B,$Q784,'Balance Sheet Detail'!W:W)</f>
        <v>2.3999999999999999E-14</v>
      </c>
      <c r="Q784" s="753" t="s">
        <v>3323</v>
      </c>
    </row>
    <row r="785" spans="2:17" ht="15" customHeight="1">
      <c r="B785" s="761">
        <v>182301</v>
      </c>
      <c r="D785" s="762" t="s">
        <v>769</v>
      </c>
      <c r="F785" s="762" t="s">
        <v>2809</v>
      </c>
      <c r="H785" s="763" t="s">
        <v>823</v>
      </c>
      <c r="J785" s="753" t="s">
        <v>2810</v>
      </c>
      <c r="N785" s="753" t="s">
        <v>2436</v>
      </c>
      <c r="P785" s="754">
        <f>SUMIF('Balance Sheet Detail'!$B:$B,$Q785,'Balance Sheet Detail'!W:W)</f>
        <v>1416.0399920833299</v>
      </c>
      <c r="Q785" s="753" t="s">
        <v>3324</v>
      </c>
    </row>
    <row r="786" spans="2:17" ht="15" customHeight="1">
      <c r="B786" s="761">
        <v>182301</v>
      </c>
      <c r="D786" s="762" t="s">
        <v>769</v>
      </c>
      <c r="F786" s="762" t="s">
        <v>4494</v>
      </c>
      <c r="H786" s="763" t="s">
        <v>823</v>
      </c>
      <c r="J786" s="753" t="s">
        <v>4495</v>
      </c>
      <c r="N786" s="753" t="s">
        <v>2436</v>
      </c>
      <c r="P786" s="754">
        <f>SUMIF('Balance Sheet Detail'!$B:$B,$Q786,'Balance Sheet Detail'!W:W)</f>
        <v>566.65470166666705</v>
      </c>
      <c r="Q786" s="753" t="s">
        <v>4512</v>
      </c>
    </row>
    <row r="787" spans="2:17" ht="15" customHeight="1">
      <c r="B787" s="761">
        <v>182303</v>
      </c>
      <c r="D787" s="762" t="s">
        <v>944</v>
      </c>
      <c r="F787" s="762" t="s">
        <v>4327</v>
      </c>
      <c r="H787" s="763" t="s">
        <v>823</v>
      </c>
      <c r="J787" s="753" t="s">
        <v>4325</v>
      </c>
      <c r="N787" s="753" t="s">
        <v>2436</v>
      </c>
      <c r="P787" s="754">
        <f>SUMIF('Balance Sheet Detail'!$B:$B,$Q787,'Balance Sheet Detail'!W:W)</f>
        <v>2224.6469699999998</v>
      </c>
      <c r="Q787" s="753" t="s">
        <v>4335</v>
      </c>
    </row>
    <row r="788" spans="2:17" ht="15" customHeight="1">
      <c r="B788" s="761">
        <v>182303</v>
      </c>
      <c r="D788" s="762" t="s">
        <v>944</v>
      </c>
      <c r="F788" s="762">
        <v>601238</v>
      </c>
      <c r="H788" s="763" t="s">
        <v>823</v>
      </c>
      <c r="J788" s="753" t="s">
        <v>1004</v>
      </c>
      <c r="N788" s="753" t="s">
        <v>2436</v>
      </c>
      <c r="P788" s="754">
        <f>SUMIF('Balance Sheet Detail'!$B:$B,$Q788,'Balance Sheet Detail'!W:W)</f>
        <v>0</v>
      </c>
      <c r="Q788" s="753" t="s">
        <v>3325</v>
      </c>
    </row>
    <row r="789" spans="2:17" ht="15" customHeight="1">
      <c r="B789" s="761">
        <v>182303</v>
      </c>
      <c r="D789" s="762" t="s">
        <v>944</v>
      </c>
      <c r="F789" s="762" t="s">
        <v>835</v>
      </c>
      <c r="H789" s="763" t="s">
        <v>823</v>
      </c>
      <c r="J789" s="753" t="s">
        <v>1007</v>
      </c>
      <c r="N789" s="753" t="s">
        <v>2436</v>
      </c>
      <c r="P789" s="754">
        <f>SUMIF('Balance Sheet Detail'!$B:$B,$Q789,'Balance Sheet Detail'!W:W)</f>
        <v>0</v>
      </c>
      <c r="Q789" s="753" t="s">
        <v>3326</v>
      </c>
    </row>
    <row r="790" spans="2:17" ht="15" customHeight="1">
      <c r="B790" s="761">
        <v>182303</v>
      </c>
      <c r="D790" s="762" t="s">
        <v>944</v>
      </c>
      <c r="F790" s="762" t="s">
        <v>836</v>
      </c>
      <c r="H790" s="763" t="s">
        <v>823</v>
      </c>
      <c r="J790" s="753" t="s">
        <v>1007</v>
      </c>
      <c r="N790" s="753" t="s">
        <v>2436</v>
      </c>
      <c r="P790" s="754">
        <f>SUMIF('Balance Sheet Detail'!$B:$B,$Q790,'Balance Sheet Detail'!W:W)</f>
        <v>-1.1550000004250001E-3</v>
      </c>
      <c r="Q790" s="753" t="s">
        <v>3327</v>
      </c>
    </row>
    <row r="791" spans="2:17" ht="15" customHeight="1">
      <c r="B791" s="761">
        <v>182303</v>
      </c>
      <c r="D791" s="762" t="s">
        <v>944</v>
      </c>
      <c r="F791" s="762" t="s">
        <v>837</v>
      </c>
      <c r="H791" s="763" t="s">
        <v>823</v>
      </c>
      <c r="J791" s="753" t="s">
        <v>1007</v>
      </c>
      <c r="N791" s="753" t="s">
        <v>2436</v>
      </c>
      <c r="P791" s="754">
        <f>SUMIF('Balance Sheet Detail'!$B:$B,$Q791,'Balance Sheet Detail'!W:W)</f>
        <v>0</v>
      </c>
      <c r="Q791" s="753" t="s">
        <v>3328</v>
      </c>
    </row>
    <row r="792" spans="2:17" ht="15" customHeight="1">
      <c r="B792" s="761">
        <v>182303</v>
      </c>
      <c r="D792" s="762" t="s">
        <v>944</v>
      </c>
      <c r="F792" s="762" t="s">
        <v>2811</v>
      </c>
      <c r="H792" s="763" t="s">
        <v>823</v>
      </c>
      <c r="J792" s="753" t="s">
        <v>1007</v>
      </c>
      <c r="N792" s="753" t="s">
        <v>2436</v>
      </c>
      <c r="P792" s="754">
        <f>SUMIF('Balance Sheet Detail'!$B:$B,$Q792,'Balance Sheet Detail'!W:W)</f>
        <v>-449.90550666666701</v>
      </c>
      <c r="Q792" s="753" t="s">
        <v>3329</v>
      </c>
    </row>
    <row r="793" spans="2:17" ht="15" customHeight="1">
      <c r="B793" s="761">
        <v>182303</v>
      </c>
      <c r="D793" s="762" t="s">
        <v>944</v>
      </c>
      <c r="F793" s="762" t="s">
        <v>4326</v>
      </c>
      <c r="H793" s="763" t="s">
        <v>823</v>
      </c>
      <c r="J793" s="753" t="s">
        <v>1007</v>
      </c>
      <c r="P793" s="754">
        <f>SUMIF('Balance Sheet Detail'!$B:$B,$Q793,'Balance Sheet Detail'!W:W)</f>
        <v>-795.07191333333401</v>
      </c>
      <c r="Q793" s="753" t="s">
        <v>4336</v>
      </c>
    </row>
    <row r="794" spans="2:17" ht="15" customHeight="1">
      <c r="B794" s="761">
        <v>182303</v>
      </c>
      <c r="D794" s="762" t="s">
        <v>1148</v>
      </c>
      <c r="F794" s="762" t="s">
        <v>4265</v>
      </c>
      <c r="H794" s="763" t="s">
        <v>823</v>
      </c>
      <c r="J794" s="753" t="s">
        <v>243</v>
      </c>
      <c r="N794" s="753" t="s">
        <v>2436</v>
      </c>
      <c r="P794" s="754">
        <f>SUMIF('Balance Sheet Detail'!$B:$B,$Q794,'Balance Sheet Detail'!W:W)</f>
        <v>2405.3880595833298</v>
      </c>
      <c r="Q794" s="753" t="s">
        <v>4270</v>
      </c>
    </row>
    <row r="795" spans="2:17" ht="15" customHeight="1">
      <c r="B795" s="761">
        <v>182303</v>
      </c>
      <c r="D795" s="762" t="s">
        <v>944</v>
      </c>
      <c r="F795" s="762" t="s">
        <v>4496</v>
      </c>
      <c r="H795" s="763" t="s">
        <v>823</v>
      </c>
      <c r="J795" s="753" t="s">
        <v>4495</v>
      </c>
      <c r="N795" s="753" t="s">
        <v>2436</v>
      </c>
      <c r="P795" s="754">
        <f>SUMIF('Balance Sheet Detail'!$B:$B,$Q795,'Balance Sheet Detail'!W:W)</f>
        <v>-135.07061958333301</v>
      </c>
      <c r="Q795" s="753" t="s">
        <v>4513</v>
      </c>
    </row>
    <row r="796" spans="2:17" ht="15" customHeight="1">
      <c r="B796" s="761">
        <v>190501</v>
      </c>
      <c r="D796" s="762" t="s">
        <v>769</v>
      </c>
      <c r="F796" s="762"/>
      <c r="H796" s="763" t="s">
        <v>823</v>
      </c>
      <c r="J796" s="753" t="s">
        <v>1979</v>
      </c>
      <c r="N796" s="753" t="s">
        <v>2436</v>
      </c>
      <c r="P796" s="754">
        <f>SUMIF('Balance Sheet Detail'!$B:$B,$Q796,'Balance Sheet Detail'!W:W)</f>
        <v>-1512.512485</v>
      </c>
      <c r="Q796" s="753" t="s">
        <v>3330</v>
      </c>
    </row>
    <row r="797" spans="2:17" ht="15" customHeight="1">
      <c r="B797" s="761">
        <v>190502</v>
      </c>
      <c r="D797" s="762" t="s">
        <v>944</v>
      </c>
      <c r="F797" s="762"/>
      <c r="H797" s="763" t="s">
        <v>823</v>
      </c>
      <c r="J797" s="753" t="s">
        <v>2028</v>
      </c>
      <c r="N797" s="753" t="s">
        <v>2436</v>
      </c>
      <c r="P797" s="754">
        <f>SUMIF('Balance Sheet Detail'!$B:$B,$Q797,'Balance Sheet Detail'!W:W)</f>
        <v>0</v>
      </c>
      <c r="Q797" s="753" t="s">
        <v>3331</v>
      </c>
    </row>
    <row r="798" spans="2:17" ht="15" customHeight="1">
      <c r="B798" s="761">
        <v>190511</v>
      </c>
      <c r="D798" s="762" t="s">
        <v>769</v>
      </c>
      <c r="F798" s="762"/>
      <c r="H798" s="763" t="s">
        <v>823</v>
      </c>
      <c r="J798" s="753" t="s">
        <v>1979</v>
      </c>
      <c r="N798" s="753" t="s">
        <v>2436</v>
      </c>
      <c r="P798" s="754">
        <f>SUMIF('Balance Sheet Detail'!$B:$B,$Q798,'Balance Sheet Detail'!W:W)</f>
        <v>-330.27336541666699</v>
      </c>
      <c r="Q798" s="753" t="s">
        <v>3332</v>
      </c>
    </row>
    <row r="799" spans="2:17" ht="15" customHeight="1">
      <c r="B799" s="761">
        <v>190512</v>
      </c>
      <c r="D799" s="762" t="s">
        <v>944</v>
      </c>
      <c r="F799" s="762"/>
      <c r="H799" s="763" t="s">
        <v>823</v>
      </c>
      <c r="J799" s="753" t="s">
        <v>2028</v>
      </c>
      <c r="N799" s="753" t="s">
        <v>2436</v>
      </c>
      <c r="P799" s="754">
        <f>SUMIF('Balance Sheet Detail'!$B:$B,$Q799,'Balance Sheet Detail'!W:W)</f>
        <v>0</v>
      </c>
      <c r="Q799" s="753" t="s">
        <v>3333</v>
      </c>
    </row>
    <row r="800" spans="2:17" ht="15" customHeight="1">
      <c r="B800" s="761">
        <v>254017</v>
      </c>
      <c r="D800" s="762" t="s">
        <v>4267</v>
      </c>
      <c r="E800" s="753" t="s">
        <v>1161</v>
      </c>
      <c r="F800" s="762" t="s">
        <v>4267</v>
      </c>
      <c r="H800" s="763" t="s">
        <v>823</v>
      </c>
      <c r="J800" s="753" t="s">
        <v>659</v>
      </c>
      <c r="N800" s="753" t="s">
        <v>2436</v>
      </c>
      <c r="P800" s="754">
        <f>SUMIF('Balance Sheet Detail'!$B:$B,$Q800,'Balance Sheet Detail'!W:W)</f>
        <v>-2350.1164341666699</v>
      </c>
      <c r="Q800" s="753" t="s">
        <v>4271</v>
      </c>
    </row>
    <row r="801" spans="1:17" ht="15" customHeight="1">
      <c r="B801" s="761">
        <v>254017</v>
      </c>
      <c r="D801" s="762" t="s">
        <v>1148</v>
      </c>
      <c r="F801" s="762" t="s">
        <v>4265</v>
      </c>
      <c r="H801" s="763" t="s">
        <v>823</v>
      </c>
      <c r="J801" s="753" t="s">
        <v>4266</v>
      </c>
      <c r="N801" s="753" t="s">
        <v>2436</v>
      </c>
      <c r="P801" s="754">
        <f>SUMIF('Balance Sheet Detail'!$B:$B,$Q801,'Balance Sheet Detail'!W:W)</f>
        <v>-55.271625416666701</v>
      </c>
      <c r="Q801" s="753" t="s">
        <v>4585</v>
      </c>
    </row>
    <row r="802" spans="1:17" ht="15" customHeight="1">
      <c r="B802" s="761">
        <v>283500</v>
      </c>
      <c r="D802" s="762" t="s">
        <v>769</v>
      </c>
      <c r="F802" s="762"/>
      <c r="H802" s="763" t="s">
        <v>823</v>
      </c>
      <c r="J802" s="753" t="s">
        <v>1979</v>
      </c>
      <c r="N802" s="753" t="s">
        <v>2421</v>
      </c>
      <c r="P802" s="754">
        <f>SUMIF('Balance Sheet Detail'!$B:$B,$Q802,'Balance Sheet Detail'!W:W)</f>
        <v>0</v>
      </c>
      <c r="Q802" s="753" t="s">
        <v>2917</v>
      </c>
    </row>
    <row r="803" spans="1:17" ht="15" customHeight="1">
      <c r="B803" s="761">
        <v>283510</v>
      </c>
      <c r="D803" s="762" t="s">
        <v>944</v>
      </c>
      <c r="F803" s="762"/>
      <c r="H803" s="763" t="s">
        <v>823</v>
      </c>
      <c r="J803" s="753" t="s">
        <v>2028</v>
      </c>
      <c r="N803" s="753" t="s">
        <v>2436</v>
      </c>
      <c r="P803" s="754">
        <f>SUMIF('Balance Sheet Detail'!$B:$B,$Q803,'Balance Sheet Detail'!W:W)</f>
        <v>831.26303041666699</v>
      </c>
      <c r="Q803" s="753" t="s">
        <v>2918</v>
      </c>
    </row>
    <row r="804" spans="1:17" ht="15" customHeight="1">
      <c r="B804" s="761">
        <v>283550</v>
      </c>
      <c r="D804" s="762" t="s">
        <v>769</v>
      </c>
      <c r="F804" s="762"/>
      <c r="H804" s="763" t="s">
        <v>823</v>
      </c>
      <c r="J804" s="753" t="s">
        <v>1979</v>
      </c>
      <c r="N804" s="753" t="s">
        <v>2421</v>
      </c>
      <c r="P804" s="754">
        <f>SUMIF('Balance Sheet Detail'!$B:$B,$Q804,'Balance Sheet Detail'!W:W)</f>
        <v>0</v>
      </c>
      <c r="Q804" s="753" t="s">
        <v>2919</v>
      </c>
    </row>
    <row r="805" spans="1:17" ht="15" customHeight="1">
      <c r="B805" s="761">
        <v>283560</v>
      </c>
      <c r="D805" s="762" t="s">
        <v>944</v>
      </c>
      <c r="F805" s="762"/>
      <c r="H805" s="763" t="s">
        <v>823</v>
      </c>
      <c r="J805" s="753" t="s">
        <v>2028</v>
      </c>
      <c r="N805" s="753" t="s">
        <v>2436</v>
      </c>
      <c r="P805" s="755">
        <f>SUMIF('Balance Sheet Detail'!$B:$B,$Q805,'Balance Sheet Detail'!W:W)</f>
        <v>181.51522875000001</v>
      </c>
      <c r="Q805" s="753" t="s">
        <v>2920</v>
      </c>
    </row>
    <row r="806" spans="1:17">
      <c r="A806" s="760"/>
      <c r="B806" s="764" t="s">
        <v>2921</v>
      </c>
      <c r="C806" s="814"/>
      <c r="D806" s="762"/>
      <c r="E806" s="814"/>
      <c r="F806" s="762"/>
      <c r="G806" s="814"/>
      <c r="H806" s="763"/>
      <c r="I806" s="814"/>
      <c r="K806" s="814"/>
      <c r="L806" s="814"/>
      <c r="O806" s="791" t="str">
        <f>IF(SUMIF('Balance Sheet Detail'!$H$7:$H$2493,'Items Not in Rate Base'!H782,'Balance Sheet Detail'!$W$7:$W$2493)=P806,"OK", "Missing Line Item")</f>
        <v>OK</v>
      </c>
      <c r="P806" s="756">
        <f>SUM(P782:P805)</f>
        <v>1997.2848779166552</v>
      </c>
      <c r="Q806" s="791"/>
    </row>
    <row r="807" spans="1:17">
      <c r="A807" s="760"/>
      <c r="D807" s="762"/>
      <c r="F807" s="762"/>
      <c r="H807" s="763"/>
      <c r="P807" s="757"/>
    </row>
    <row r="808" spans="1:17">
      <c r="A808" s="760" t="s">
        <v>1537</v>
      </c>
      <c r="D808" s="762"/>
      <c r="F808" s="762"/>
      <c r="H808" s="763"/>
      <c r="P808" s="757"/>
    </row>
    <row r="809" spans="1:17" ht="15" customHeight="1">
      <c r="B809" s="761">
        <v>186255</v>
      </c>
      <c r="D809" s="762"/>
      <c r="F809" s="762" t="s">
        <v>1511</v>
      </c>
      <c r="H809" s="763" t="s">
        <v>1537</v>
      </c>
      <c r="J809" s="753" t="s">
        <v>1512</v>
      </c>
      <c r="N809" s="753" t="s">
        <v>2421</v>
      </c>
      <c r="P809" s="754">
        <f>SUMIF('Balance Sheet Detail'!$B:$B,$Q809,'Balance Sheet Detail'!W:W)</f>
        <v>0</v>
      </c>
      <c r="Q809" s="753" t="s">
        <v>3334</v>
      </c>
    </row>
    <row r="810" spans="1:17" ht="15" customHeight="1">
      <c r="B810" s="761">
        <v>186255</v>
      </c>
      <c r="D810" s="762"/>
      <c r="F810" s="762" t="s">
        <v>1527</v>
      </c>
      <c r="H810" s="763" t="s">
        <v>1537</v>
      </c>
      <c r="J810" s="753" t="s">
        <v>1528</v>
      </c>
      <c r="N810" s="753" t="s">
        <v>2421</v>
      </c>
      <c r="P810" s="754">
        <f>SUMIF('Balance Sheet Detail'!$B:$B,$Q810,'Balance Sheet Detail'!W:W)</f>
        <v>137.585653333333</v>
      </c>
      <c r="Q810" s="753" t="s">
        <v>3335</v>
      </c>
    </row>
    <row r="811" spans="1:17" ht="15" customHeight="1">
      <c r="B811" s="761">
        <v>186255</v>
      </c>
      <c r="D811" s="762"/>
      <c r="F811" s="762" t="s">
        <v>4498</v>
      </c>
      <c r="H811" s="763" t="s">
        <v>1537</v>
      </c>
      <c r="J811" s="753" t="s">
        <v>1528</v>
      </c>
      <c r="N811" s="753" t="s">
        <v>2421</v>
      </c>
      <c r="P811" s="754">
        <f>SUMIF('Balance Sheet Detail'!$B:$B,$Q811,'Balance Sheet Detail'!W:W)</f>
        <v>32.2395833333333</v>
      </c>
      <c r="Q811" s="753" t="s">
        <v>4518</v>
      </c>
    </row>
    <row r="812" spans="1:17" ht="15" customHeight="1">
      <c r="B812" s="761">
        <v>186255</v>
      </c>
      <c r="D812" s="762"/>
      <c r="F812" s="762" t="s">
        <v>4305</v>
      </c>
      <c r="H812" s="763" t="s">
        <v>1537</v>
      </c>
      <c r="J812" s="753" t="s">
        <v>1528</v>
      </c>
      <c r="N812" s="753" t="s">
        <v>2421</v>
      </c>
      <c r="P812" s="754">
        <f>SUMIF('Balance Sheet Detail'!$B:$B,$Q812,'Balance Sheet Detail'!W:W)</f>
        <v>45.625</v>
      </c>
      <c r="Q812" s="753" t="s">
        <v>4306</v>
      </c>
    </row>
    <row r="813" spans="1:17" ht="15" customHeight="1">
      <c r="D813" s="762"/>
      <c r="F813" s="762"/>
      <c r="H813" s="763"/>
      <c r="P813" s="755"/>
    </row>
    <row r="814" spans="1:17">
      <c r="A814" s="760"/>
      <c r="B814" s="764" t="s">
        <v>3336</v>
      </c>
      <c r="C814" s="814"/>
      <c r="D814" s="762"/>
      <c r="E814" s="814"/>
      <c r="F814" s="762"/>
      <c r="G814" s="814"/>
      <c r="H814" s="763"/>
      <c r="I814" s="814"/>
      <c r="K814" s="814"/>
      <c r="L814" s="814"/>
      <c r="O814" s="791" t="str">
        <f>IF(SUMIF('Balance Sheet Detail'!$H$7:$H$2493,'Items Not in Rate Base'!H809,'Balance Sheet Detail'!$W$7:$W$2493)=P814,"OK", "Missing Line Item")</f>
        <v>OK</v>
      </c>
      <c r="P814" s="756">
        <f>SUM(P809:P813)</f>
        <v>215.45023666666629</v>
      </c>
      <c r="Q814" s="791"/>
    </row>
    <row r="815" spans="1:17">
      <c r="A815" s="760"/>
      <c r="D815" s="762"/>
      <c r="F815" s="762"/>
      <c r="H815" s="763"/>
      <c r="P815" s="757"/>
    </row>
    <row r="816" spans="1:17">
      <c r="A816" s="760" t="s">
        <v>1541</v>
      </c>
      <c r="D816" s="762"/>
      <c r="F816" s="762"/>
      <c r="H816" s="763"/>
      <c r="P816" s="757"/>
    </row>
    <row r="817" spans="1:17">
      <c r="A817" s="760"/>
      <c r="B817" s="761">
        <v>186255</v>
      </c>
      <c r="D817" s="762"/>
      <c r="F817" s="762" t="s">
        <v>1519</v>
      </c>
      <c r="H817" s="763" t="s">
        <v>1541</v>
      </c>
      <c r="J817" s="753" t="s">
        <v>1520</v>
      </c>
      <c r="N817" s="753" t="s">
        <v>2421</v>
      </c>
      <c r="P817" s="754">
        <f>SUMIF('Balance Sheet Detail'!$B:$B,$Q817,'Balance Sheet Detail'!W:W)</f>
        <v>10.112069999999999</v>
      </c>
      <c r="Q817" s="753" t="s">
        <v>3337</v>
      </c>
    </row>
    <row r="818" spans="1:17">
      <c r="A818" s="760"/>
      <c r="B818" s="761">
        <v>186255</v>
      </c>
      <c r="D818" s="762"/>
      <c r="F818" s="762" t="s">
        <v>1521</v>
      </c>
      <c r="H818" s="763" t="s">
        <v>1541</v>
      </c>
      <c r="J818" s="753" t="s">
        <v>1522</v>
      </c>
      <c r="N818" s="753" t="s">
        <v>2421</v>
      </c>
      <c r="P818" s="755">
        <f>SUMIF('Balance Sheet Detail'!$B:$B,$Q818,'Balance Sheet Detail'!W:W)</f>
        <v>29.671433749999402</v>
      </c>
      <c r="Q818" s="753" t="s">
        <v>3338</v>
      </c>
    </row>
    <row r="819" spans="1:17">
      <c r="A819" s="760"/>
      <c r="B819" s="764" t="s">
        <v>3339</v>
      </c>
      <c r="C819" s="814"/>
      <c r="D819" s="762"/>
      <c r="E819" s="814"/>
      <c r="F819" s="762"/>
      <c r="G819" s="814"/>
      <c r="H819" s="763"/>
      <c r="I819" s="814"/>
      <c r="K819" s="814"/>
      <c r="L819" s="814"/>
      <c r="O819" s="791" t="str">
        <f>IF(SUMIF('Balance Sheet Detail'!$H$7:$H$2493,'Items Not in Rate Base'!H817,'Balance Sheet Detail'!$W$7:$W$2493)=P819,"OK", "Missing Line Item")</f>
        <v>OK</v>
      </c>
      <c r="P819" s="756">
        <f>SUM(P817:P818)</f>
        <v>39.783503749999397</v>
      </c>
      <c r="Q819" s="791"/>
    </row>
    <row r="820" spans="1:17">
      <c r="A820" s="760"/>
      <c r="D820" s="762"/>
      <c r="F820" s="762"/>
      <c r="H820" s="763"/>
      <c r="P820" s="757"/>
    </row>
    <row r="821" spans="1:17">
      <c r="A821" s="760" t="s">
        <v>1122</v>
      </c>
      <c r="D821" s="762"/>
      <c r="F821" s="762"/>
      <c r="H821" s="763"/>
      <c r="P821" s="757"/>
    </row>
    <row r="822" spans="1:17">
      <c r="A822" s="760"/>
      <c r="B822" s="761">
        <v>182305</v>
      </c>
      <c r="D822" s="762" t="s">
        <v>953</v>
      </c>
      <c r="F822" s="762" t="s">
        <v>876</v>
      </c>
      <c r="H822" s="763" t="s">
        <v>1122</v>
      </c>
      <c r="J822" s="753" t="s">
        <v>1042</v>
      </c>
      <c r="N822" s="753" t="s">
        <v>2436</v>
      </c>
      <c r="P822" s="754">
        <f>SUMIF('Balance Sheet Detail'!$B:$B,$Q822,'Balance Sheet Detail'!W:W)</f>
        <v>0</v>
      </c>
      <c r="Q822" s="753" t="s">
        <v>3360</v>
      </c>
    </row>
    <row r="823" spans="1:17">
      <c r="A823" s="760"/>
      <c r="B823" s="761">
        <v>254016</v>
      </c>
      <c r="D823" s="762" t="s">
        <v>953</v>
      </c>
      <c r="F823" s="762" t="s">
        <v>876</v>
      </c>
      <c r="H823" s="763" t="s">
        <v>1122</v>
      </c>
      <c r="J823" s="753" t="s">
        <v>1160</v>
      </c>
      <c r="N823" s="753" t="s">
        <v>2421</v>
      </c>
      <c r="P823" s="754">
        <f>SUMIF('Balance Sheet Detail'!$B:$B,$Q823,'Balance Sheet Detail'!W:W)</f>
        <v>0</v>
      </c>
      <c r="Q823" s="753" t="s">
        <v>3361</v>
      </c>
    </row>
    <row r="824" spans="1:17">
      <c r="A824" s="760"/>
      <c r="B824" s="761">
        <v>254016</v>
      </c>
      <c r="D824" s="762" t="s">
        <v>1215</v>
      </c>
      <c r="F824" s="762"/>
      <c r="H824" s="763" t="s">
        <v>1122</v>
      </c>
      <c r="J824" s="753" t="s">
        <v>1216</v>
      </c>
      <c r="N824" s="753" t="s">
        <v>2421</v>
      </c>
      <c r="P824" s="754">
        <f>SUMIF('Balance Sheet Detail'!$B:$B,$Q824,'Balance Sheet Detail'!W:W)</f>
        <v>0</v>
      </c>
      <c r="Q824" s="753" t="s">
        <v>3362</v>
      </c>
    </row>
    <row r="825" spans="1:17">
      <c r="A825" s="760"/>
      <c r="B825" s="761">
        <v>254017</v>
      </c>
      <c r="D825" s="762" t="s">
        <v>1226</v>
      </c>
      <c r="F825" s="762" t="s">
        <v>1227</v>
      </c>
      <c r="H825" s="763" t="s">
        <v>1122</v>
      </c>
      <c r="J825" s="753" t="s">
        <v>1228</v>
      </c>
      <c r="N825" s="753" t="s">
        <v>2421</v>
      </c>
      <c r="P825" s="754">
        <f>SUMIF('Balance Sheet Detail'!$B:$B,$Q825,'Balance Sheet Detail'!W:W)</f>
        <v>-178.605076666667</v>
      </c>
      <c r="Q825" s="753" t="s">
        <v>3363</v>
      </c>
    </row>
    <row r="826" spans="1:17">
      <c r="A826" s="760"/>
      <c r="B826" s="761">
        <v>254017</v>
      </c>
      <c r="D826" s="762" t="s">
        <v>1226</v>
      </c>
      <c r="F826" s="762" t="s">
        <v>1229</v>
      </c>
      <c r="H826" s="763" t="s">
        <v>1122</v>
      </c>
      <c r="J826" s="753" t="s">
        <v>1230</v>
      </c>
      <c r="N826" s="753" t="s">
        <v>2421</v>
      </c>
      <c r="P826" s="754">
        <f>SUMIF('Balance Sheet Detail'!$B:$B,$Q826,'Balance Sheet Detail'!W:W)</f>
        <v>-190.24326083333301</v>
      </c>
      <c r="Q826" s="753" t="s">
        <v>3364</v>
      </c>
    </row>
    <row r="827" spans="1:17">
      <c r="A827" s="760"/>
      <c r="B827" s="761">
        <v>190501</v>
      </c>
      <c r="D827" s="762" t="s">
        <v>1990</v>
      </c>
      <c r="F827" s="762"/>
      <c r="H827" s="763" t="s">
        <v>1122</v>
      </c>
      <c r="J827" s="753" t="s">
        <v>1991</v>
      </c>
      <c r="N827" s="753" t="s">
        <v>2421</v>
      </c>
      <c r="P827" s="754">
        <f>SUMIF('Balance Sheet Detail'!$B:$B,$Q827,'Balance Sheet Detail'!W:W)</f>
        <v>0</v>
      </c>
      <c r="Q827" s="753" t="s">
        <v>3365</v>
      </c>
    </row>
    <row r="828" spans="1:17">
      <c r="A828" s="760"/>
      <c r="B828" s="761">
        <v>190502</v>
      </c>
      <c r="D828" s="762" t="s">
        <v>1990</v>
      </c>
      <c r="F828" s="762" t="s">
        <v>2032</v>
      </c>
      <c r="H828" s="763" t="s">
        <v>1122</v>
      </c>
      <c r="J828" s="753" t="s">
        <v>1991</v>
      </c>
      <c r="N828" s="753" t="s">
        <v>2421</v>
      </c>
      <c r="P828" s="754">
        <f>SUMIF('Balance Sheet Detail'!$B:$B,$Q828,'Balance Sheet Detail'!W:W)</f>
        <v>36.284900416666702</v>
      </c>
      <c r="Q828" s="753" t="s">
        <v>3366</v>
      </c>
    </row>
    <row r="829" spans="1:17">
      <c r="A829" s="760"/>
      <c r="B829" s="761">
        <v>190511</v>
      </c>
      <c r="D829" s="762" t="s">
        <v>1990</v>
      </c>
      <c r="F829" s="762"/>
      <c r="H829" s="763" t="s">
        <v>1122</v>
      </c>
      <c r="J829" s="753" t="s">
        <v>1991</v>
      </c>
      <c r="N829" s="753" t="s">
        <v>2421</v>
      </c>
      <c r="P829" s="754">
        <f>SUMIF('Balance Sheet Detail'!$B:$B,$Q829,'Balance Sheet Detail'!W:W)</f>
        <v>0</v>
      </c>
      <c r="Q829" s="753" t="s">
        <v>3367</v>
      </c>
    </row>
    <row r="830" spans="1:17">
      <c r="A830" s="760"/>
      <c r="B830" s="761">
        <v>190512</v>
      </c>
      <c r="D830" s="762" t="s">
        <v>1990</v>
      </c>
      <c r="F830" s="762" t="s">
        <v>2032</v>
      </c>
      <c r="H830" s="763" t="s">
        <v>1122</v>
      </c>
      <c r="J830" s="753" t="s">
        <v>1991</v>
      </c>
      <c r="N830" s="753" t="s">
        <v>2421</v>
      </c>
      <c r="P830" s="754">
        <f>SUMIF('Balance Sheet Detail'!$B:$B,$Q830,'Balance Sheet Detail'!W:W)</f>
        <v>7.7754958333333297</v>
      </c>
      <c r="Q830" s="753" t="s">
        <v>3368</v>
      </c>
    </row>
    <row r="831" spans="1:17" ht="15" customHeight="1">
      <c r="D831" s="762"/>
      <c r="F831" s="762"/>
      <c r="H831" s="763"/>
      <c r="P831" s="755"/>
    </row>
    <row r="832" spans="1:17">
      <c r="A832" s="760"/>
      <c r="B832" s="764" t="s">
        <v>2922</v>
      </c>
      <c r="C832" s="814"/>
      <c r="D832" s="762"/>
      <c r="E832" s="814"/>
      <c r="F832" s="762"/>
      <c r="G832" s="814"/>
      <c r="H832" s="763"/>
      <c r="I832" s="814"/>
      <c r="K832" s="814"/>
      <c r="L832" s="814"/>
      <c r="O832" s="791" t="str">
        <f>IF(SUMIF('Balance Sheet Detail'!$H$7:$H$2493,'Items Not in Rate Base'!H822,'Balance Sheet Detail'!$W$7:$W$2493)=P832,"OK", "Missing Line Item")</f>
        <v>OK</v>
      </c>
      <c r="P832" s="756">
        <f>SUM(P822:P831)</f>
        <v>-324.78794125000002</v>
      </c>
      <c r="Q832" s="791"/>
    </row>
    <row r="833" spans="1:17">
      <c r="A833" s="760"/>
      <c r="D833" s="762"/>
      <c r="F833" s="762"/>
      <c r="H833" s="763"/>
      <c r="P833" s="757"/>
    </row>
    <row r="834" spans="1:17">
      <c r="A834" s="760" t="s">
        <v>2923</v>
      </c>
      <c r="D834" s="762"/>
      <c r="F834" s="762"/>
      <c r="H834" s="763"/>
      <c r="P834" s="757"/>
    </row>
    <row r="835" spans="1:17" ht="15" customHeight="1">
      <c r="B835" s="761">
        <v>190161</v>
      </c>
      <c r="D835" s="762"/>
      <c r="F835" s="762"/>
      <c r="H835" s="763" t="s">
        <v>2923</v>
      </c>
      <c r="J835" s="753" t="s">
        <v>2552</v>
      </c>
      <c r="N835" s="753" t="s">
        <v>2423</v>
      </c>
      <c r="P835" s="754">
        <f>SUMIF('Balance Sheet Detail'!$B:$B,$Q835,'Balance Sheet Detail'!W:W)</f>
        <v>998.67090583333299</v>
      </c>
      <c r="Q835" s="753" t="s">
        <v>3369</v>
      </c>
    </row>
    <row r="836" spans="1:17" ht="15" customHeight="1">
      <c r="B836" s="761">
        <v>190162</v>
      </c>
      <c r="D836" s="762"/>
      <c r="F836" s="762"/>
      <c r="H836" s="763" t="s">
        <v>2923</v>
      </c>
      <c r="J836" s="753" t="s">
        <v>2553</v>
      </c>
      <c r="N836" s="753" t="s">
        <v>2423</v>
      </c>
      <c r="P836" s="754">
        <f>SUMIF('Balance Sheet Detail'!$B:$B,$Q836,'Balance Sheet Detail'!W:W)</f>
        <v>485.00195833333299</v>
      </c>
      <c r="Q836" s="753" t="s">
        <v>3370</v>
      </c>
    </row>
    <row r="837" spans="1:17" ht="15" customHeight="1">
      <c r="B837" s="761">
        <v>283161</v>
      </c>
      <c r="D837" s="762"/>
      <c r="F837" s="762"/>
      <c r="H837" s="763" t="s">
        <v>2923</v>
      </c>
      <c r="J837" s="753" t="s">
        <v>717</v>
      </c>
      <c r="N837" s="753" t="s">
        <v>2423</v>
      </c>
      <c r="P837" s="754">
        <f>SUMIF('Balance Sheet Detail'!$B:$B,$Q837,'Balance Sheet Detail'!W:W)</f>
        <v>-7116.6780095833301</v>
      </c>
      <c r="Q837" s="753" t="s">
        <v>3371</v>
      </c>
    </row>
    <row r="838" spans="1:17" ht="15" customHeight="1">
      <c r="B838" s="761">
        <v>283162</v>
      </c>
      <c r="D838" s="762"/>
      <c r="F838" s="762"/>
      <c r="H838" s="763" t="s">
        <v>2923</v>
      </c>
      <c r="J838" s="753" t="s">
        <v>718</v>
      </c>
      <c r="N838" s="753" t="s">
        <v>2423</v>
      </c>
      <c r="P838" s="754">
        <f>SUMIF('Balance Sheet Detail'!$B:$B,$Q838,'Balance Sheet Detail'!W:W)</f>
        <v>1610.4238487499999</v>
      </c>
      <c r="Q838" s="753" t="s">
        <v>3372</v>
      </c>
    </row>
    <row r="839" spans="1:17" ht="15" customHeight="1">
      <c r="B839" s="761">
        <v>283171</v>
      </c>
      <c r="D839" s="762"/>
      <c r="F839" s="762"/>
      <c r="H839" s="763" t="s">
        <v>2923</v>
      </c>
      <c r="J839" s="753" t="s">
        <v>720</v>
      </c>
      <c r="N839" s="753" t="s">
        <v>2423</v>
      </c>
      <c r="P839" s="754">
        <f>SUMIF('Balance Sheet Detail'!$B:$B,$Q839,'Balance Sheet Detail'!W:W)</f>
        <v>5191.0531208333296</v>
      </c>
      <c r="Q839" s="753" t="s">
        <v>3373</v>
      </c>
    </row>
    <row r="840" spans="1:17" ht="15" customHeight="1">
      <c r="B840" s="761">
        <v>283172</v>
      </c>
      <c r="D840" s="762"/>
      <c r="F840" s="762"/>
      <c r="H840" s="763" t="s">
        <v>2923</v>
      </c>
      <c r="J840" s="753" t="s">
        <v>721</v>
      </c>
      <c r="N840" s="753" t="s">
        <v>2423</v>
      </c>
      <c r="P840" s="754">
        <f>SUMIF('Balance Sheet Detail'!$B:$B,$Q840,'Balance Sheet Detail'!W:W)</f>
        <v>3433.7083220833301</v>
      </c>
      <c r="Q840" s="753" t="s">
        <v>3374</v>
      </c>
    </row>
    <row r="841" spans="1:17" ht="15" customHeight="1">
      <c r="B841" s="761">
        <v>283990</v>
      </c>
      <c r="D841" s="762"/>
      <c r="F841" s="762"/>
      <c r="H841" s="763" t="s">
        <v>2923</v>
      </c>
      <c r="J841" s="753" t="s">
        <v>740</v>
      </c>
      <c r="N841" s="753" t="s">
        <v>2423</v>
      </c>
      <c r="P841" s="754">
        <f>SUMIF('Balance Sheet Detail'!$B:$B,$Q841,'Balance Sheet Detail'!W:W)</f>
        <v>-14293.493230833299</v>
      </c>
      <c r="Q841" s="753" t="s">
        <v>2924</v>
      </c>
    </row>
    <row r="842" spans="1:17" ht="15" customHeight="1">
      <c r="B842" s="761">
        <v>283991</v>
      </c>
      <c r="D842" s="762"/>
      <c r="F842" s="762"/>
      <c r="H842" s="763" t="s">
        <v>2923</v>
      </c>
      <c r="J842" s="753" t="s">
        <v>741</v>
      </c>
      <c r="N842" s="753" t="s">
        <v>2423</v>
      </c>
      <c r="P842" s="754">
        <f>SUMIF('Balance Sheet Detail'!$B:$B,$Q842,'Balance Sheet Detail'!W:W)</f>
        <v>14293.493230833299</v>
      </c>
      <c r="Q842" s="753" t="s">
        <v>2925</v>
      </c>
    </row>
    <row r="843" spans="1:17" ht="15" customHeight="1">
      <c r="B843" s="761">
        <v>283992</v>
      </c>
      <c r="D843" s="762"/>
      <c r="F843" s="762"/>
      <c r="H843" s="763" t="s">
        <v>2923</v>
      </c>
      <c r="J843" s="753" t="s">
        <v>742</v>
      </c>
      <c r="N843" s="753" t="s">
        <v>2423</v>
      </c>
      <c r="P843" s="754">
        <f>SUMIF('Balance Sheet Detail'!$B:$B,$Q843,'Balance Sheet Detail'!W:W)</f>
        <v>0</v>
      </c>
      <c r="Q843" s="753" t="s">
        <v>3375</v>
      </c>
    </row>
    <row r="844" spans="1:17" ht="15" customHeight="1">
      <c r="B844" s="761">
        <v>283993</v>
      </c>
      <c r="D844" s="762"/>
      <c r="F844" s="762"/>
      <c r="H844" s="763" t="s">
        <v>2923</v>
      </c>
      <c r="J844" s="753" t="s">
        <v>743</v>
      </c>
      <c r="N844" s="753" t="s">
        <v>2423</v>
      </c>
      <c r="P844" s="754">
        <f>SUMIF('Balance Sheet Detail'!$B:$B,$Q844,'Balance Sheet Detail'!W:W)</f>
        <v>0</v>
      </c>
      <c r="Q844" s="753" t="s">
        <v>3376</v>
      </c>
    </row>
    <row r="845" spans="1:17" ht="15" customHeight="1">
      <c r="B845" s="761">
        <v>182344</v>
      </c>
      <c r="D845" s="762" t="s">
        <v>981</v>
      </c>
      <c r="F845" s="762"/>
      <c r="H845" s="763" t="s">
        <v>2923</v>
      </c>
      <c r="J845" s="753" t="s">
        <v>1101</v>
      </c>
      <c r="N845" s="753" t="s">
        <v>2423</v>
      </c>
      <c r="P845" s="754">
        <f>SUMIF('Balance Sheet Detail'!$B:$B,$Q845,'Balance Sheet Detail'!W:W)</f>
        <v>132460.6169625</v>
      </c>
      <c r="Q845" s="753" t="s">
        <v>3377</v>
      </c>
    </row>
    <row r="846" spans="1:17" ht="15" customHeight="1">
      <c r="B846" s="761">
        <v>254994</v>
      </c>
      <c r="D846" s="762" t="s">
        <v>1495</v>
      </c>
      <c r="F846" s="762"/>
      <c r="H846" s="763" t="s">
        <v>2923</v>
      </c>
      <c r="J846" s="753" t="s">
        <v>1496</v>
      </c>
      <c r="N846" s="753" t="s">
        <v>2423</v>
      </c>
      <c r="P846" s="754">
        <f>SUMIF('Balance Sheet Detail'!$B:$B,$Q846,'Balance Sheet Detail'!W:W)</f>
        <v>-2338.02882083333</v>
      </c>
      <c r="Q846" s="753" t="s">
        <v>3378</v>
      </c>
    </row>
    <row r="847" spans="1:17" ht="15" customHeight="1">
      <c r="B847" s="761">
        <v>254995</v>
      </c>
      <c r="D847" s="762" t="s">
        <v>1497</v>
      </c>
      <c r="F847" s="762"/>
      <c r="H847" s="763" t="s">
        <v>2923</v>
      </c>
      <c r="J847" s="753" t="s">
        <v>1496</v>
      </c>
      <c r="N847" s="753" t="s">
        <v>2423</v>
      </c>
      <c r="P847" s="754">
        <f>SUMIF('Balance Sheet Detail'!$B:$B,$Q847,'Balance Sheet Detail'!W:W)</f>
        <v>2338.02882083333</v>
      </c>
      <c r="Q847" s="753" t="s">
        <v>3379</v>
      </c>
    </row>
    <row r="848" spans="1:17" ht="15" customHeight="1">
      <c r="B848" s="761">
        <v>254996</v>
      </c>
      <c r="D848" s="762" t="s">
        <v>1498</v>
      </c>
      <c r="F848" s="762"/>
      <c r="H848" s="763" t="s">
        <v>2923</v>
      </c>
      <c r="J848" s="753" t="s">
        <v>1499</v>
      </c>
      <c r="N848" s="753" t="s">
        <v>2423</v>
      </c>
      <c r="P848" s="754">
        <f>SUMIF('Balance Sheet Detail'!$B:$B,$Q848,'Balance Sheet Detail'!W:W)</f>
        <v>0</v>
      </c>
      <c r="Q848" s="753" t="s">
        <v>3380</v>
      </c>
    </row>
    <row r="849" spans="2:17" ht="15" customHeight="1">
      <c r="B849" s="761">
        <v>190501</v>
      </c>
      <c r="D849" s="762" t="s">
        <v>1934</v>
      </c>
      <c r="F849" s="762" t="s">
        <v>1933</v>
      </c>
      <c r="H849" s="763" t="s">
        <v>2923</v>
      </c>
      <c r="J849" s="753" t="s">
        <v>1935</v>
      </c>
      <c r="N849" s="753" t="s">
        <v>2423</v>
      </c>
      <c r="P849" s="754">
        <f>SUMIF('Balance Sheet Detail'!$B:$B,$Q849,'Balance Sheet Detail'!W:W)</f>
        <v>0</v>
      </c>
      <c r="Q849" s="753" t="s">
        <v>3381</v>
      </c>
    </row>
    <row r="850" spans="2:17" ht="15" customHeight="1">
      <c r="B850" s="761">
        <v>282161</v>
      </c>
      <c r="D850" s="762"/>
      <c r="F850" s="762">
        <v>0</v>
      </c>
      <c r="H850" s="763" t="s">
        <v>2923</v>
      </c>
      <c r="J850" s="753" t="s">
        <v>2059</v>
      </c>
      <c r="N850" s="753" t="s">
        <v>2423</v>
      </c>
      <c r="P850" s="754">
        <f>SUMIF('Balance Sheet Detail'!$B:$B,$Q850,'Balance Sheet Detail'!W:W)</f>
        <v>-50106.7648904167</v>
      </c>
      <c r="Q850" s="753" t="s">
        <v>3382</v>
      </c>
    </row>
    <row r="851" spans="2:17" ht="15" customHeight="1">
      <c r="B851" s="761">
        <v>282162</v>
      </c>
      <c r="D851" s="762"/>
      <c r="F851" s="762">
        <v>0</v>
      </c>
      <c r="H851" s="763" t="s">
        <v>2923</v>
      </c>
      <c r="J851" s="753" t="s">
        <v>2059</v>
      </c>
      <c r="N851" s="753" t="s">
        <v>2423</v>
      </c>
      <c r="P851" s="754">
        <f>SUMIF('Balance Sheet Detail'!$B:$B,$Q851,'Balance Sheet Detail'!W:W)</f>
        <v>-13691.913817083299</v>
      </c>
      <c r="Q851" s="753" t="s">
        <v>3383</v>
      </c>
    </row>
    <row r="852" spans="2:17" ht="15" customHeight="1">
      <c r="B852" s="761">
        <v>282171</v>
      </c>
      <c r="D852" s="762"/>
      <c r="F852" s="762">
        <v>0</v>
      </c>
      <c r="H852" s="763" t="s">
        <v>2923</v>
      </c>
      <c r="J852" s="753" t="s">
        <v>2059</v>
      </c>
      <c r="N852" s="753" t="s">
        <v>2423</v>
      </c>
      <c r="P852" s="754">
        <f>SUMIF('Balance Sheet Detail'!$B:$B,$Q852,'Balance Sheet Detail'!W:W)</f>
        <v>-14733.325489999999</v>
      </c>
      <c r="Q852" s="753" t="s">
        <v>3384</v>
      </c>
    </row>
    <row r="853" spans="2:17" ht="15" customHeight="1">
      <c r="B853" s="761">
        <v>282172</v>
      </c>
      <c r="D853" s="762"/>
      <c r="F853" s="762">
        <v>0</v>
      </c>
      <c r="H853" s="763" t="s">
        <v>2923</v>
      </c>
      <c r="J853" s="753" t="s">
        <v>2059</v>
      </c>
      <c r="N853" s="753" t="s">
        <v>2423</v>
      </c>
      <c r="P853" s="754">
        <f>SUMIF('Balance Sheet Detail'!$B:$B,$Q853,'Balance Sheet Detail'!W:W)</f>
        <v>-6238.6826320833297</v>
      </c>
      <c r="Q853" s="753" t="s">
        <v>3385</v>
      </c>
    </row>
    <row r="854" spans="2:17" ht="15" customHeight="1">
      <c r="B854" s="761">
        <v>282200</v>
      </c>
      <c r="D854" s="762" t="s">
        <v>2075</v>
      </c>
      <c r="F854" s="762" t="s">
        <v>2074</v>
      </c>
      <c r="H854" s="763" t="s">
        <v>2923</v>
      </c>
      <c r="J854" s="753" t="s">
        <v>2076</v>
      </c>
      <c r="N854" s="753" t="s">
        <v>2423</v>
      </c>
      <c r="P854" s="754">
        <f>SUMIF('Balance Sheet Detail'!$B:$B,$Q854,'Balance Sheet Detail'!W:W)</f>
        <v>0</v>
      </c>
      <c r="Q854" s="753" t="s">
        <v>3386</v>
      </c>
    </row>
    <row r="855" spans="2:17" ht="15" customHeight="1">
      <c r="B855" s="761">
        <v>283505</v>
      </c>
      <c r="D855" s="762"/>
      <c r="F855" s="762">
        <v>0</v>
      </c>
      <c r="H855" s="763" t="s">
        <v>2923</v>
      </c>
      <c r="J855" s="753" t="s">
        <v>2059</v>
      </c>
      <c r="N855" s="753" t="s">
        <v>2423</v>
      </c>
      <c r="P855" s="754">
        <f>SUMIF('Balance Sheet Detail'!$B:$B,$Q855,'Balance Sheet Detail'!W:W)</f>
        <v>-40218.245893749998</v>
      </c>
      <c r="Q855" s="753" t="s">
        <v>3387</v>
      </c>
    </row>
    <row r="856" spans="2:17" ht="15" customHeight="1">
      <c r="B856" s="761">
        <v>283506</v>
      </c>
      <c r="D856" s="762"/>
      <c r="F856" s="762">
        <v>0</v>
      </c>
      <c r="H856" s="763" t="s">
        <v>2923</v>
      </c>
      <c r="J856" s="753" t="s">
        <v>2059</v>
      </c>
      <c r="N856" s="753" t="s">
        <v>2423</v>
      </c>
      <c r="P856" s="754">
        <f>SUMIF('Balance Sheet Detail'!$B:$B,$Q856,'Balance Sheet Detail'!W:W)</f>
        <v>-8746.08122083333</v>
      </c>
      <c r="Q856" s="753" t="s">
        <v>3388</v>
      </c>
    </row>
    <row r="857" spans="2:17" ht="15" customHeight="1">
      <c r="B857" s="761">
        <v>283515</v>
      </c>
      <c r="D857" s="762"/>
      <c r="F857" s="762">
        <v>0</v>
      </c>
      <c r="H857" s="763" t="s">
        <v>2923</v>
      </c>
      <c r="J857" s="753" t="s">
        <v>2059</v>
      </c>
      <c r="N857" s="753" t="s">
        <v>2423</v>
      </c>
      <c r="P857" s="754">
        <f>SUMIF('Balance Sheet Detail'!$B:$B,$Q857,'Balance Sheet Detail'!W:W)</f>
        <v>-3056.4090612499999</v>
      </c>
      <c r="Q857" s="753" t="s">
        <v>3389</v>
      </c>
    </row>
    <row r="858" spans="2:17" ht="15" customHeight="1">
      <c r="B858" s="761">
        <v>283516</v>
      </c>
      <c r="D858" s="762"/>
      <c r="F858" s="762">
        <v>0</v>
      </c>
      <c r="H858" s="763" t="s">
        <v>2923</v>
      </c>
      <c r="J858" s="753" t="s">
        <v>2059</v>
      </c>
      <c r="N858" s="753" t="s">
        <v>2423</v>
      </c>
      <c r="P858" s="754">
        <f>SUMIF('Balance Sheet Detail'!$B:$B,$Q858,'Balance Sheet Detail'!W:W)</f>
        <v>-224.10396333333301</v>
      </c>
      <c r="Q858" s="753" t="s">
        <v>3390</v>
      </c>
    </row>
    <row r="859" spans="2:17" ht="15" customHeight="1">
      <c r="B859" s="761">
        <v>283883</v>
      </c>
      <c r="D859" s="762" t="s">
        <v>2379</v>
      </c>
      <c r="F859" s="762">
        <v>0</v>
      </c>
      <c r="H859" s="763" t="s">
        <v>2923</v>
      </c>
      <c r="J859" s="753" t="s">
        <v>2380</v>
      </c>
      <c r="N859" s="753" t="s">
        <v>2423</v>
      </c>
      <c r="P859" s="754">
        <f>SUMIF('Balance Sheet Detail'!$B:$B,$Q859,'Balance Sheet Detail'!W:W)</f>
        <v>1862</v>
      </c>
      <c r="Q859" s="753" t="s">
        <v>3391</v>
      </c>
    </row>
    <row r="860" spans="2:17" ht="15" customHeight="1">
      <c r="B860" s="761">
        <v>283883</v>
      </c>
      <c r="D860" s="762" t="s">
        <v>2381</v>
      </c>
      <c r="F860" s="762">
        <v>0</v>
      </c>
      <c r="H860" s="763" t="s">
        <v>2923</v>
      </c>
      <c r="J860" s="753" t="s">
        <v>2380</v>
      </c>
      <c r="N860" s="753" t="s">
        <v>2423</v>
      </c>
      <c r="P860" s="754">
        <f>SUMIF('Balance Sheet Detail'!$B:$B,$Q860,'Balance Sheet Detail'!W:W)</f>
        <v>1908.3720000000001</v>
      </c>
      <c r="Q860" s="753" t="s">
        <v>3392</v>
      </c>
    </row>
    <row r="861" spans="2:17" ht="15" customHeight="1">
      <c r="B861" s="761">
        <v>283883</v>
      </c>
      <c r="D861" s="762" t="s">
        <v>2382</v>
      </c>
      <c r="F861" s="762">
        <v>0</v>
      </c>
      <c r="H861" s="763" t="s">
        <v>2923</v>
      </c>
      <c r="J861" s="753" t="s">
        <v>2380</v>
      </c>
      <c r="N861" s="753" t="s">
        <v>2423</v>
      </c>
      <c r="P861" s="754">
        <f>SUMIF('Balance Sheet Detail'!$B:$B,$Q861,'Balance Sheet Detail'!W:W)</f>
        <v>-5383.8029100000003</v>
      </c>
      <c r="Q861" s="753" t="s">
        <v>3393</v>
      </c>
    </row>
    <row r="862" spans="2:17" ht="15" customHeight="1">
      <c r="B862" s="761">
        <v>283884</v>
      </c>
      <c r="D862" s="762" t="s">
        <v>2381</v>
      </c>
      <c r="F862" s="762">
        <v>0</v>
      </c>
      <c r="H862" s="763" t="s">
        <v>2923</v>
      </c>
      <c r="J862" s="753" t="s">
        <v>2383</v>
      </c>
      <c r="N862" s="753" t="s">
        <v>2423</v>
      </c>
      <c r="P862" s="754">
        <f>SUMIF('Balance Sheet Detail'!$B:$B,$Q862,'Balance Sheet Detail'!W:W)</f>
        <v>-578</v>
      </c>
      <c r="Q862" s="753" t="s">
        <v>3394</v>
      </c>
    </row>
    <row r="863" spans="2:17" ht="15" customHeight="1">
      <c r="B863" s="761">
        <v>283884</v>
      </c>
      <c r="D863" s="762" t="s">
        <v>2382</v>
      </c>
      <c r="F863" s="762">
        <v>0</v>
      </c>
      <c r="H863" s="763" t="s">
        <v>2923</v>
      </c>
      <c r="J863" s="753" t="s">
        <v>2383</v>
      </c>
      <c r="N863" s="753" t="s">
        <v>2423</v>
      </c>
      <c r="P863" s="754">
        <f>SUMIF('Balance Sheet Detail'!$B:$B,$Q863,'Balance Sheet Detail'!W:W)</f>
        <v>-449.88009</v>
      </c>
      <c r="Q863" s="753" t="s">
        <v>3395</v>
      </c>
    </row>
    <row r="864" spans="2:17" ht="15" customHeight="1">
      <c r="B864" s="761">
        <v>283983</v>
      </c>
      <c r="D864" s="762" t="s">
        <v>2379</v>
      </c>
      <c r="F864" s="762">
        <v>0</v>
      </c>
      <c r="H864" s="763" t="s">
        <v>2923</v>
      </c>
      <c r="J864" s="753" t="s">
        <v>2380</v>
      </c>
      <c r="N864" s="753" t="s">
        <v>2423</v>
      </c>
      <c r="P864" s="754">
        <f>SUMIF('Balance Sheet Detail'!$B:$B,$Q864,'Balance Sheet Detail'!W:W)</f>
        <v>-1862</v>
      </c>
      <c r="Q864" s="753" t="s">
        <v>3396</v>
      </c>
    </row>
    <row r="865" spans="1:17" ht="15" customHeight="1">
      <c r="B865" s="761">
        <v>283983</v>
      </c>
      <c r="D865" s="762" t="s">
        <v>2381</v>
      </c>
      <c r="F865" s="762">
        <v>0</v>
      </c>
      <c r="H865" s="763" t="s">
        <v>2923</v>
      </c>
      <c r="J865" s="753" t="s">
        <v>2380</v>
      </c>
      <c r="N865" s="753" t="s">
        <v>2423</v>
      </c>
      <c r="P865" s="754">
        <f>SUMIF('Balance Sheet Detail'!$B:$B,$Q865,'Balance Sheet Detail'!W:W)</f>
        <v>-1908.3720000000001</v>
      </c>
      <c r="Q865" s="753" t="s">
        <v>3397</v>
      </c>
    </row>
    <row r="866" spans="1:17" ht="15" customHeight="1">
      <c r="B866" s="761">
        <v>283983</v>
      </c>
      <c r="D866" s="762" t="s">
        <v>2382</v>
      </c>
      <c r="F866" s="762">
        <v>0</v>
      </c>
      <c r="H866" s="763" t="s">
        <v>2923</v>
      </c>
      <c r="J866" s="753" t="s">
        <v>2380</v>
      </c>
      <c r="N866" s="753" t="s">
        <v>2423</v>
      </c>
      <c r="P866" s="754">
        <f>SUMIF('Balance Sheet Detail'!$B:$B,$Q866,'Balance Sheet Detail'!W:W)</f>
        <v>5383.8029100000003</v>
      </c>
      <c r="Q866" s="753" t="s">
        <v>3398</v>
      </c>
    </row>
    <row r="867" spans="1:17" ht="15" customHeight="1">
      <c r="B867" s="761">
        <v>283984</v>
      </c>
      <c r="D867" s="762" t="s">
        <v>2381</v>
      </c>
      <c r="F867" s="762">
        <v>0</v>
      </c>
      <c r="H867" s="763" t="s">
        <v>2923</v>
      </c>
      <c r="J867" s="753" t="s">
        <v>2383</v>
      </c>
      <c r="N867" s="753" t="s">
        <v>2423</v>
      </c>
      <c r="P867" s="754">
        <f>SUMIF('Balance Sheet Detail'!$B:$B,$Q867,'Balance Sheet Detail'!W:W)</f>
        <v>578</v>
      </c>
      <c r="Q867" s="753" t="s">
        <v>3399</v>
      </c>
    </row>
    <row r="868" spans="1:17" ht="15" customHeight="1">
      <c r="B868" s="761">
        <v>283984</v>
      </c>
      <c r="D868" s="762" t="s">
        <v>2382</v>
      </c>
      <c r="F868" s="762">
        <v>0</v>
      </c>
      <c r="H868" s="763" t="s">
        <v>2923</v>
      </c>
      <c r="J868" s="753" t="s">
        <v>2383</v>
      </c>
      <c r="N868" s="753" t="s">
        <v>2423</v>
      </c>
      <c r="P868" s="754">
        <f>SUMIF('Balance Sheet Detail'!$B:$B,$Q868,'Balance Sheet Detail'!W:W)</f>
        <v>449.88009</v>
      </c>
      <c r="Q868" s="753" t="s">
        <v>3400</v>
      </c>
    </row>
    <row r="869" spans="1:17" ht="15" customHeight="1">
      <c r="D869" s="762"/>
      <c r="F869" s="762"/>
      <c r="H869" s="763"/>
      <c r="P869" s="755"/>
    </row>
    <row r="870" spans="1:17">
      <c r="A870" s="760"/>
      <c r="B870" s="764" t="s">
        <v>2932</v>
      </c>
      <c r="C870" s="814"/>
      <c r="D870" s="762"/>
      <c r="E870" s="814"/>
      <c r="F870" s="762"/>
      <c r="G870" s="814"/>
      <c r="H870" s="763"/>
      <c r="I870" s="814"/>
      <c r="K870" s="814"/>
      <c r="L870" s="814"/>
      <c r="O870" s="791" t="str">
        <f>IF(SUMIF('Balance Sheet Detail'!$H$7:$H$2493,"SFAS 109",'Balance Sheet Detail'!$AA$7:$AA$2493)=P870,"OK", "Missing Line Item")</f>
        <v>Missing Line Item</v>
      </c>
      <c r="P870" s="756">
        <f>SUM(P835:P869)</f>
        <v>47.270140000009974</v>
      </c>
      <c r="Q870" s="791"/>
    </row>
    <row r="871" spans="1:17">
      <c r="A871" s="760"/>
      <c r="D871" s="762"/>
      <c r="F871" s="762"/>
      <c r="H871" s="763"/>
      <c r="P871" s="757"/>
    </row>
    <row r="872" spans="1:17">
      <c r="A872" s="760" t="s">
        <v>1555</v>
      </c>
      <c r="D872" s="762"/>
      <c r="F872" s="762"/>
      <c r="H872" s="763"/>
      <c r="P872" s="757"/>
    </row>
    <row r="873" spans="1:17">
      <c r="A873" s="760"/>
      <c r="B873" s="761">
        <v>253040</v>
      </c>
      <c r="D873" s="762"/>
      <c r="F873" s="762">
        <v>253160</v>
      </c>
      <c r="H873" s="763" t="s">
        <v>1555</v>
      </c>
      <c r="J873" s="753" t="s">
        <v>1554</v>
      </c>
      <c r="N873" s="753" t="s">
        <v>2421</v>
      </c>
      <c r="P873" s="754">
        <f>SUMIF('Balance Sheet Detail'!$B:$B,$Q873,'Balance Sheet Detail'!W:W)</f>
        <v>0</v>
      </c>
      <c r="Q873" s="753" t="s">
        <v>3401</v>
      </c>
    </row>
    <row r="874" spans="1:17">
      <c r="A874" s="760"/>
      <c r="B874" s="761">
        <v>190003</v>
      </c>
      <c r="D874" s="762" t="s">
        <v>1779</v>
      </c>
      <c r="F874" s="762" t="s">
        <v>1778</v>
      </c>
      <c r="H874" s="763" t="s">
        <v>1555</v>
      </c>
      <c r="J874" s="753" t="s">
        <v>1780</v>
      </c>
      <c r="N874" s="753" t="s">
        <v>2421</v>
      </c>
      <c r="P874" s="754">
        <f>SUMIF('Balance Sheet Detail'!$B:$B,$Q874,'Balance Sheet Detail'!W:W)</f>
        <v>0</v>
      </c>
      <c r="Q874" s="753" t="s">
        <v>3402</v>
      </c>
    </row>
    <row r="875" spans="1:17">
      <c r="A875" s="760"/>
      <c r="B875" s="761">
        <v>190004</v>
      </c>
      <c r="D875" s="762" t="s">
        <v>1779</v>
      </c>
      <c r="F875" s="762" t="s">
        <v>1778</v>
      </c>
      <c r="H875" s="763" t="s">
        <v>1555</v>
      </c>
      <c r="J875" s="753" t="s">
        <v>1780</v>
      </c>
      <c r="N875" s="753" t="s">
        <v>2421</v>
      </c>
      <c r="P875" s="754">
        <f>SUMIF('Balance Sheet Detail'!$B:$B,$Q875,'Balance Sheet Detail'!W:W)</f>
        <v>0</v>
      </c>
      <c r="Q875" s="753" t="s">
        <v>3403</v>
      </c>
    </row>
    <row r="876" spans="1:17" ht="15" customHeight="1">
      <c r="D876" s="762"/>
      <c r="F876" s="762"/>
      <c r="H876" s="763"/>
      <c r="P876" s="755"/>
    </row>
    <row r="877" spans="1:17">
      <c r="A877" s="760"/>
      <c r="B877" s="764" t="s">
        <v>3404</v>
      </c>
      <c r="C877" s="814"/>
      <c r="D877" s="762"/>
      <c r="E877" s="814"/>
      <c r="F877" s="762"/>
      <c r="G877" s="814"/>
      <c r="H877" s="763"/>
      <c r="I877" s="814"/>
      <c r="K877" s="814"/>
      <c r="L877" s="814"/>
      <c r="O877" s="791" t="str">
        <f>IF(SUMIF('Balance Sheet Detail'!$H$7:$H$2493,'Items Not in Rate Base'!H873,'Balance Sheet Detail'!$W$7:$W$2493)=P877,"OK", "Missing Line Item")</f>
        <v>OK</v>
      </c>
      <c r="P877" s="756">
        <f>SUM(P873:P876)</f>
        <v>0</v>
      </c>
      <c r="Q877" s="791"/>
    </row>
    <row r="878" spans="1:17">
      <c r="A878" s="760"/>
      <c r="D878" s="762"/>
      <c r="F878" s="762"/>
      <c r="H878" s="763"/>
      <c r="P878" s="757"/>
    </row>
    <row r="879" spans="1:17">
      <c r="A879" s="760" t="s">
        <v>2933</v>
      </c>
      <c r="D879" s="762"/>
      <c r="F879" s="762"/>
      <c r="H879" s="763"/>
      <c r="P879" s="757"/>
    </row>
    <row r="880" spans="1:17" ht="15" customHeight="1">
      <c r="B880" s="761">
        <v>228490</v>
      </c>
      <c r="D880" s="762"/>
      <c r="F880" s="762"/>
      <c r="H880" s="763" t="s">
        <v>1325</v>
      </c>
      <c r="J880" s="753" t="s">
        <v>434</v>
      </c>
      <c r="N880" s="753" t="s">
        <v>2436</v>
      </c>
      <c r="P880" s="754">
        <f>SUMIF('Balance Sheet Detail'!$B:$B,$Q880,'Balance Sheet Detail'!W:W)</f>
        <v>0</v>
      </c>
      <c r="Q880" s="753" t="s">
        <v>3253</v>
      </c>
    </row>
    <row r="881" spans="1:17" ht="15" customHeight="1">
      <c r="B881" s="761">
        <v>254171</v>
      </c>
      <c r="D881" s="762" t="s">
        <v>1323</v>
      </c>
      <c r="F881" s="762"/>
      <c r="H881" s="763" t="s">
        <v>1325</v>
      </c>
      <c r="J881" s="753" t="s">
        <v>1324</v>
      </c>
      <c r="N881" s="753" t="s">
        <v>2436</v>
      </c>
      <c r="P881" s="754">
        <f>SUMIF('Balance Sheet Detail'!$B:$B,$Q881,'Balance Sheet Detail'!W:W)</f>
        <v>-1235.4077858333301</v>
      </c>
      <c r="Q881" s="753" t="s">
        <v>3254</v>
      </c>
    </row>
    <row r="882" spans="1:17" ht="15" customHeight="1">
      <c r="B882" s="761">
        <v>190501</v>
      </c>
      <c r="D882" s="762" t="s">
        <v>1997</v>
      </c>
      <c r="F882" s="762" t="s">
        <v>1996</v>
      </c>
      <c r="H882" s="763" t="s">
        <v>1325</v>
      </c>
      <c r="J882" s="753" t="s">
        <v>1998</v>
      </c>
      <c r="N882" s="753" t="s">
        <v>2421</v>
      </c>
      <c r="P882" s="754">
        <f>SUMIF('Balance Sheet Detail'!$B:$B,$Q882,'Balance Sheet Detail'!W:W)</f>
        <v>401.693187916667</v>
      </c>
      <c r="Q882" s="753" t="s">
        <v>3255</v>
      </c>
    </row>
    <row r="883" spans="1:17" ht="15" customHeight="1">
      <c r="B883" s="761">
        <v>190511</v>
      </c>
      <c r="D883" s="762" t="s">
        <v>1997</v>
      </c>
      <c r="F883" s="762" t="s">
        <v>1996</v>
      </c>
      <c r="H883" s="763" t="s">
        <v>1325</v>
      </c>
      <c r="J883" s="753" t="s">
        <v>1998</v>
      </c>
      <c r="N883" s="753" t="s">
        <v>2421</v>
      </c>
      <c r="P883" s="754">
        <f>SUMIF('Balance Sheet Detail'!$B:$B,$Q883,'Balance Sheet Detail'!W:W)</f>
        <v>87.712932916666702</v>
      </c>
      <c r="Q883" s="753" t="s">
        <v>3256</v>
      </c>
    </row>
    <row r="884" spans="1:17" ht="15" customHeight="1">
      <c r="B884" s="761">
        <v>283500</v>
      </c>
      <c r="D884" s="762" t="s">
        <v>2327</v>
      </c>
      <c r="F884" s="762" t="s">
        <v>2362</v>
      </c>
      <c r="H884" s="763" t="s">
        <v>1325</v>
      </c>
      <c r="J884" s="753" t="s">
        <v>2363</v>
      </c>
      <c r="N884" s="753" t="s">
        <v>2421</v>
      </c>
      <c r="P884" s="754">
        <f>SUMIF('Balance Sheet Detail'!$B:$B,$Q884,'Balance Sheet Detail'!W:W)</f>
        <v>0</v>
      </c>
      <c r="Q884" s="753" t="s">
        <v>3257</v>
      </c>
    </row>
    <row r="885" spans="1:17" ht="15" customHeight="1">
      <c r="D885" s="762"/>
      <c r="F885" s="762"/>
      <c r="H885" s="763"/>
      <c r="P885" s="755"/>
    </row>
    <row r="886" spans="1:17">
      <c r="A886" s="760"/>
      <c r="B886" s="764" t="s">
        <v>2934</v>
      </c>
      <c r="C886" s="814"/>
      <c r="D886" s="762"/>
      <c r="E886" s="814"/>
      <c r="F886" s="762"/>
      <c r="G886" s="814"/>
      <c r="H886" s="763"/>
      <c r="I886" s="814"/>
      <c r="K886" s="814"/>
      <c r="L886" s="814"/>
      <c r="O886" s="791" t="str">
        <f>IF(SUMIF('Balance Sheet Detail'!$H$7:$H$2493,'Items Not in Rate Base'!H880,'Balance Sheet Detail'!$W$7:$W$2493)=P886,"OK", "Missing Line Item")</f>
        <v>OK</v>
      </c>
      <c r="P886" s="756">
        <f>SUM(P880:P885)</f>
        <v>-746.00166499999636</v>
      </c>
      <c r="Q886" s="791"/>
    </row>
    <row r="887" spans="1:17">
      <c r="A887" s="760"/>
      <c r="D887" s="762"/>
      <c r="F887" s="762"/>
      <c r="H887" s="763"/>
      <c r="P887" s="757"/>
    </row>
    <row r="888" spans="1:17">
      <c r="A888" s="760" t="s">
        <v>1115</v>
      </c>
      <c r="D888" s="762"/>
      <c r="F888" s="762"/>
      <c r="H888" s="763"/>
      <c r="P888" s="757"/>
    </row>
    <row r="889" spans="1:17">
      <c r="A889" s="760"/>
      <c r="B889" s="761">
        <v>182305</v>
      </c>
      <c r="D889" s="762" t="s">
        <v>947</v>
      </c>
      <c r="F889" s="762">
        <v>601263</v>
      </c>
      <c r="H889" s="763" t="s">
        <v>1115</v>
      </c>
      <c r="J889" s="753" t="s">
        <v>4294</v>
      </c>
      <c r="N889" s="753" t="s">
        <v>2436</v>
      </c>
      <c r="P889" s="754">
        <f>SUMIF('Balance Sheet Detail'!$B:$B,$Q889,'Balance Sheet Detail'!W:W)</f>
        <v>-892.88007083333298</v>
      </c>
      <c r="Q889" s="753" t="s">
        <v>4301</v>
      </c>
    </row>
    <row r="890" spans="1:17">
      <c r="A890" s="760"/>
      <c r="D890" s="762"/>
      <c r="F890" s="762"/>
      <c r="H890" s="763"/>
      <c r="P890" s="824"/>
    </row>
    <row r="891" spans="1:17">
      <c r="A891" s="760"/>
      <c r="D891" s="762"/>
      <c r="F891" s="762"/>
      <c r="H891" s="763"/>
      <c r="O891" s="791" t="str">
        <f>IF(SUMIF('Balance Sheet Detail'!$H$7:$H$2493,'Items Not in Rate Base'!H889,'Balance Sheet Detail'!$W$7:$W$2493)=P891,"OK", "Missing Line Item")</f>
        <v>OK</v>
      </c>
      <c r="P891" s="756">
        <f>SUM(P889:P890)</f>
        <v>-892.88007083333298</v>
      </c>
      <c r="Q891" s="791"/>
    </row>
    <row r="892" spans="1:17">
      <c r="A892" s="760"/>
      <c r="D892" s="762"/>
      <c r="F892" s="762"/>
      <c r="H892" s="763"/>
      <c r="P892" s="757"/>
    </row>
    <row r="893" spans="1:17">
      <c r="A893" s="760" t="s">
        <v>2130</v>
      </c>
      <c r="D893" s="762"/>
      <c r="F893" s="762"/>
      <c r="H893" s="763"/>
      <c r="P893" s="757"/>
    </row>
    <row r="894" spans="1:17">
      <c r="A894" s="760"/>
      <c r="B894" s="761">
        <v>282200</v>
      </c>
      <c r="D894" s="762" t="s">
        <v>2128</v>
      </c>
      <c r="F894" s="762"/>
      <c r="H894" s="763" t="s">
        <v>2130</v>
      </c>
      <c r="J894" s="753" t="s">
        <v>2129</v>
      </c>
      <c r="N894" s="753" t="s">
        <v>2421</v>
      </c>
      <c r="P894" s="754">
        <f>SUMIF('Balance Sheet Detail'!$B:$B,$Q894,'Balance Sheet Detail'!W:W)</f>
        <v>-33.369</v>
      </c>
      <c r="Q894" s="753" t="s">
        <v>3405</v>
      </c>
    </row>
    <row r="895" spans="1:17">
      <c r="A895" s="760"/>
      <c r="B895" s="761">
        <v>282240</v>
      </c>
      <c r="D895" s="762" t="s">
        <v>2128</v>
      </c>
      <c r="F895" s="762"/>
      <c r="H895" s="763" t="s">
        <v>2130</v>
      </c>
      <c r="J895" s="753" t="s">
        <v>2129</v>
      </c>
      <c r="N895" s="753" t="s">
        <v>2421</v>
      </c>
      <c r="P895" s="754">
        <f>SUMIF('Balance Sheet Detail'!$B:$B,$Q895,'Balance Sheet Detail'!W:W)</f>
        <v>-134.809</v>
      </c>
      <c r="Q895" s="753" t="s">
        <v>3406</v>
      </c>
    </row>
    <row r="896" spans="1:17" ht="15" customHeight="1">
      <c r="D896" s="762"/>
      <c r="F896" s="762"/>
      <c r="H896" s="763"/>
      <c r="P896" s="755"/>
    </row>
    <row r="897" spans="1:17">
      <c r="A897" s="760"/>
      <c r="B897" s="764" t="s">
        <v>3407</v>
      </c>
      <c r="C897" s="814"/>
      <c r="D897" s="762"/>
      <c r="E897" s="814"/>
      <c r="F897" s="762"/>
      <c r="G897" s="814"/>
      <c r="H897" s="763"/>
      <c r="I897" s="814"/>
      <c r="K897" s="814"/>
      <c r="L897" s="814"/>
      <c r="O897" s="791" t="str">
        <f>IF(SUMIF('Balance Sheet Detail'!$H$7:$H$2493,'Items Not in Rate Base'!H894,'Balance Sheet Detail'!$W$7:$W$2493)=P897,"OK", "Missing Line Item")</f>
        <v>OK</v>
      </c>
      <c r="P897" s="756">
        <f>SUM(P894:P896)</f>
        <v>-168.178</v>
      </c>
      <c r="Q897" s="791"/>
    </row>
    <row r="898" spans="1:17">
      <c r="A898" s="760"/>
      <c r="D898" s="762"/>
      <c r="F898" s="762"/>
      <c r="H898" s="763"/>
      <c r="P898" s="757"/>
    </row>
    <row r="899" spans="1:17">
      <c r="A899" s="760" t="s">
        <v>2700</v>
      </c>
      <c r="D899" s="762"/>
      <c r="F899" s="762"/>
      <c r="H899" s="763"/>
      <c r="P899" s="757"/>
    </row>
    <row r="900" spans="1:17" ht="15" customHeight="1">
      <c r="B900" s="761">
        <v>254016</v>
      </c>
      <c r="D900" s="762" t="s">
        <v>1207</v>
      </c>
      <c r="F900" s="762" t="s">
        <v>1208</v>
      </c>
      <c r="H900" s="763" t="s">
        <v>1210</v>
      </c>
      <c r="J900" s="753" t="s">
        <v>1209</v>
      </c>
      <c r="N900" s="753" t="s">
        <v>2436</v>
      </c>
      <c r="P900" s="754">
        <f>SUMIF('Balance Sheet Detail'!$B:$B,$Q900,'Balance Sheet Detail'!W:W)</f>
        <v>0</v>
      </c>
      <c r="Q900" s="753" t="s">
        <v>3340</v>
      </c>
    </row>
    <row r="901" spans="1:17" ht="15" customHeight="1">
      <c r="B901" s="761">
        <v>254016</v>
      </c>
      <c r="D901" s="762" t="s">
        <v>4493</v>
      </c>
      <c r="F901" s="762">
        <v>601075</v>
      </c>
      <c r="H901" s="763" t="s">
        <v>1210</v>
      </c>
      <c r="J901" s="753" t="s">
        <v>4501</v>
      </c>
      <c r="N901" s="753" t="s">
        <v>2436</v>
      </c>
      <c r="P901" s="754">
        <f>SUMIF('Balance Sheet Detail'!$B:$B,$Q901,'Balance Sheet Detail'!W:W)</f>
        <v>-46.408443750000004</v>
      </c>
      <c r="Q901" s="753" t="s">
        <v>4515</v>
      </c>
    </row>
    <row r="902" spans="1:17" ht="15" customHeight="1">
      <c r="B902" s="761">
        <v>242020</v>
      </c>
      <c r="D902" s="762"/>
      <c r="F902" s="762"/>
      <c r="H902" s="763" t="s">
        <v>4403</v>
      </c>
      <c r="N902" s="753" t="s">
        <v>2436</v>
      </c>
      <c r="P902" s="754">
        <f>SUMIF('Balance Sheet Detail'!$B:$B,$Q902,'Balance Sheet Detail'!W:W)</f>
        <v>-381.56023166666699</v>
      </c>
      <c r="Q902" s="753" t="s">
        <v>4404</v>
      </c>
    </row>
    <row r="903" spans="1:17" ht="15" customHeight="1">
      <c r="B903" s="761">
        <v>190501</v>
      </c>
      <c r="D903" s="762" t="s">
        <v>1207</v>
      </c>
      <c r="F903" s="762"/>
      <c r="H903" s="763" t="s">
        <v>1210</v>
      </c>
      <c r="J903" s="753" t="s">
        <v>1943</v>
      </c>
      <c r="N903" s="753" t="s">
        <v>2436</v>
      </c>
      <c r="P903" s="754">
        <f>SUMIF('Balance Sheet Detail'!$B:$B,$Q903,'Balance Sheet Detail'!W:W)</f>
        <v>0</v>
      </c>
      <c r="Q903" s="753" t="s">
        <v>3341</v>
      </c>
    </row>
    <row r="904" spans="1:17" ht="15" customHeight="1">
      <c r="B904" s="761">
        <v>190501</v>
      </c>
      <c r="D904" s="762" t="s">
        <v>4493</v>
      </c>
      <c r="F904" s="762"/>
      <c r="H904" s="763" t="s">
        <v>1210</v>
      </c>
      <c r="J904" s="41" t="s">
        <v>4489</v>
      </c>
      <c r="N904" s="753" t="s">
        <v>2436</v>
      </c>
      <c r="P904" s="754">
        <f>SUMIF('Balance Sheet Detail'!$B:$B,$Q904,'Balance Sheet Detail'!W:W)</f>
        <v>15.0897054166667</v>
      </c>
      <c r="Q904" s="753" t="s">
        <v>4519</v>
      </c>
    </row>
    <row r="905" spans="1:17" ht="15" customHeight="1">
      <c r="B905" s="761">
        <v>190511</v>
      </c>
      <c r="D905" s="762" t="s">
        <v>4493</v>
      </c>
      <c r="F905" s="762"/>
      <c r="H905" s="763" t="s">
        <v>1210</v>
      </c>
      <c r="J905" s="41" t="s">
        <v>4489</v>
      </c>
      <c r="N905" s="753" t="s">
        <v>2436</v>
      </c>
      <c r="P905" s="754">
        <f>SUMIF('Balance Sheet Detail'!$B:$B,$Q905,'Balance Sheet Detail'!W:W)</f>
        <v>3.2949995833333299</v>
      </c>
      <c r="Q905" s="753" t="s">
        <v>4522</v>
      </c>
    </row>
    <row r="906" spans="1:17" ht="15" customHeight="1">
      <c r="B906" s="761">
        <v>190511</v>
      </c>
      <c r="D906" s="762" t="s">
        <v>1207</v>
      </c>
      <c r="F906" s="762"/>
      <c r="H906" s="763" t="s">
        <v>1210</v>
      </c>
      <c r="J906" s="753" t="s">
        <v>1943</v>
      </c>
      <c r="N906" s="753" t="s">
        <v>2436</v>
      </c>
      <c r="P906" s="755">
        <f>SUMIF('Balance Sheet Detail'!$B:$B,$Q906,'Balance Sheet Detail'!W:W)</f>
        <v>0</v>
      </c>
      <c r="Q906" s="753" t="s">
        <v>3342</v>
      </c>
    </row>
    <row r="907" spans="1:17">
      <c r="A907" s="760"/>
      <c r="B907" s="764" t="s">
        <v>2935</v>
      </c>
      <c r="C907" s="814"/>
      <c r="D907" s="762"/>
      <c r="E907" s="814"/>
      <c r="F907" s="762"/>
      <c r="G907" s="814"/>
      <c r="H907" s="763"/>
      <c r="I907" s="814"/>
      <c r="K907" s="814"/>
      <c r="L907" s="814"/>
      <c r="O907" s="791" t="str">
        <f>IF(SUMIF('Balance Sheet Detail'!$H$7:$H$2493,'Items Not in Rate Base'!H900,'Balance Sheet Detail'!$W$7:$W$2493)=P907,"OK", "Missing Line Item")</f>
        <v>Missing Line Item</v>
      </c>
      <c r="P907" s="756">
        <f>SUM(P900:P906)</f>
        <v>-409.583970416667</v>
      </c>
      <c r="Q907" s="791"/>
    </row>
    <row r="908" spans="1:17">
      <c r="A908" s="760"/>
      <c r="D908" s="762"/>
      <c r="F908" s="762"/>
      <c r="H908" s="763"/>
      <c r="P908" s="757"/>
    </row>
    <row r="909" spans="1:17">
      <c r="A909" s="760" t="s">
        <v>2548</v>
      </c>
      <c r="D909" s="762"/>
      <c r="F909" s="762"/>
      <c r="H909" s="763"/>
      <c r="P909" s="757"/>
    </row>
    <row r="910" spans="1:17" ht="15" customHeight="1">
      <c r="B910" s="761">
        <v>136000</v>
      </c>
      <c r="D910" s="762"/>
      <c r="F910" s="762"/>
      <c r="H910" s="763" t="s">
        <v>2548</v>
      </c>
      <c r="J910" s="753" t="s">
        <v>104</v>
      </c>
      <c r="N910" s="753" t="s">
        <v>2421</v>
      </c>
      <c r="P910" s="754">
        <f>SUMIF('Balance Sheet Detail'!$B:$B,$Q910,'Balance Sheet Detail'!W:W)</f>
        <v>50731.255416666703</v>
      </c>
      <c r="Q910" s="753" t="s">
        <v>2936</v>
      </c>
    </row>
    <row r="911" spans="1:17" ht="15" customHeight="1">
      <c r="B911" s="761">
        <v>136990</v>
      </c>
      <c r="D911" s="762"/>
      <c r="F911" s="762"/>
      <c r="H911" s="763" t="s">
        <v>2548</v>
      </c>
      <c r="J911" s="753" t="s">
        <v>105</v>
      </c>
      <c r="N911" s="753" t="s">
        <v>2421</v>
      </c>
      <c r="P911" s="754">
        <f>SUMIF('Balance Sheet Detail'!$B:$B,$Q911,'Balance Sheet Detail'!W:W)</f>
        <v>-50731.25</v>
      </c>
      <c r="Q911" s="753" t="s">
        <v>2937</v>
      </c>
    </row>
    <row r="912" spans="1:17" ht="15" customHeight="1">
      <c r="B912" s="761">
        <v>136991</v>
      </c>
      <c r="D912" s="762"/>
      <c r="F912" s="762"/>
      <c r="H912" s="763" t="s">
        <v>2548</v>
      </c>
      <c r="J912" s="753" t="s">
        <v>106</v>
      </c>
      <c r="N912" s="753" t="s">
        <v>2421</v>
      </c>
      <c r="P912" s="754">
        <f>SUMIF('Balance Sheet Detail'!$B:$B,$Q912,'Balance Sheet Detail'!W:W)</f>
        <v>50731.25</v>
      </c>
      <c r="Q912" s="753" t="s">
        <v>2938</v>
      </c>
    </row>
    <row r="913" spans="1:17" ht="15" customHeight="1">
      <c r="B913" s="761">
        <v>136992</v>
      </c>
      <c r="D913" s="762"/>
      <c r="F913" s="762"/>
      <c r="H913" s="763" t="s">
        <v>2548</v>
      </c>
      <c r="J913" s="753" t="s">
        <v>107</v>
      </c>
      <c r="N913" s="753" t="s">
        <v>2421</v>
      </c>
      <c r="P913" s="755">
        <f>SUMIF('Balance Sheet Detail'!$B:$B,$Q913,'Balance Sheet Detail'!W:W)</f>
        <v>-50731.25</v>
      </c>
      <c r="Q913" s="753" t="s">
        <v>2939</v>
      </c>
    </row>
    <row r="914" spans="1:17">
      <c r="A914" s="760"/>
      <c r="B914" s="764" t="s">
        <v>2940</v>
      </c>
      <c r="C914" s="814"/>
      <c r="D914" s="762"/>
      <c r="E914" s="814"/>
      <c r="F914" s="762"/>
      <c r="G914" s="814"/>
      <c r="H914" s="763"/>
      <c r="I914" s="814"/>
      <c r="K914" s="814"/>
      <c r="L914" s="814"/>
      <c r="O914" s="791" t="str">
        <f>IF(SUMIF('Balance Sheet Detail'!$H$7:$H$2493,'Items Not in Rate Base'!H910,'Balance Sheet Detail'!$W$7:$W$2493)=P914,"OK", "Missing Line Item")</f>
        <v>OK</v>
      </c>
      <c r="P914" s="756">
        <f>SUM(P910:P913)</f>
        <v>5.4166667032404803E-3</v>
      </c>
      <c r="Q914" s="791"/>
    </row>
    <row r="915" spans="1:17">
      <c r="A915" s="760"/>
      <c r="B915" s="764"/>
      <c r="C915" s="814"/>
      <c r="D915" s="762"/>
      <c r="E915" s="814"/>
      <c r="F915" s="762"/>
      <c r="G915" s="814"/>
      <c r="H915" s="763"/>
      <c r="I915" s="814"/>
      <c r="K915" s="814"/>
      <c r="L915" s="814"/>
      <c r="P915" s="756"/>
    </row>
    <row r="916" spans="1:17">
      <c r="A916" s="760" t="s">
        <v>2816</v>
      </c>
      <c r="D916" s="762"/>
      <c r="F916" s="762"/>
      <c r="H916" s="763"/>
      <c r="P916" s="757"/>
    </row>
    <row r="917" spans="1:17" ht="15" customHeight="1">
      <c r="B917" s="761">
        <v>254016</v>
      </c>
      <c r="D917" s="762" t="s">
        <v>2812</v>
      </c>
      <c r="F917" s="762">
        <v>601242</v>
      </c>
      <c r="H917" s="763" t="s">
        <v>2816</v>
      </c>
      <c r="J917" s="753" t="s">
        <v>2815</v>
      </c>
      <c r="N917" s="753" t="s">
        <v>2436</v>
      </c>
      <c r="P917" s="754">
        <f>SUMIF('Balance Sheet Detail'!$B:$B,$Q917,'Balance Sheet Detail'!W:W)</f>
        <v>-2949.4333274999999</v>
      </c>
      <c r="Q917" s="753" t="s">
        <v>3408</v>
      </c>
    </row>
    <row r="918" spans="1:17" ht="15" customHeight="1">
      <c r="B918" s="761">
        <v>190501</v>
      </c>
      <c r="D918" s="762" t="s">
        <v>2812</v>
      </c>
      <c r="F918" s="762"/>
      <c r="H918" s="763" t="s">
        <v>2816</v>
      </c>
      <c r="J918" s="753" t="s">
        <v>4053</v>
      </c>
      <c r="N918" s="753" t="s">
        <v>2421</v>
      </c>
      <c r="P918" s="754">
        <f>SUMIF('Balance Sheet Detail'!$B:$B,$Q918,'Balance Sheet Detail'!W:W)</f>
        <v>959.00824583333304</v>
      </c>
      <c r="Q918" s="753" t="s">
        <v>4089</v>
      </c>
    </row>
    <row r="919" spans="1:17" ht="15" customHeight="1">
      <c r="B919" s="761">
        <v>282200</v>
      </c>
      <c r="D919" s="762" t="s">
        <v>4048</v>
      </c>
      <c r="F919" s="762"/>
      <c r="H919" s="763" t="s">
        <v>2816</v>
      </c>
      <c r="J919" s="753" t="s">
        <v>4050</v>
      </c>
      <c r="N919" s="753" t="s">
        <v>2421</v>
      </c>
      <c r="P919" s="754">
        <f>SUMIF('Balance Sheet Detail'!$B:$B,$Q919,'Balance Sheet Detail'!W:W)</f>
        <v>-1672.0516737499968</v>
      </c>
      <c r="Q919" s="753" t="s">
        <v>4090</v>
      </c>
    </row>
    <row r="920" spans="1:17" ht="15" customHeight="1">
      <c r="B920" s="761">
        <v>190511</v>
      </c>
      <c r="D920" s="762" t="s">
        <v>2812</v>
      </c>
      <c r="F920" s="762"/>
      <c r="H920" s="763" t="s">
        <v>2816</v>
      </c>
      <c r="J920" s="753" t="s">
        <v>4053</v>
      </c>
      <c r="N920" s="753" t="s">
        <v>2421</v>
      </c>
      <c r="P920" s="754">
        <f>SUMIF('Balance Sheet Detail'!$B:$B,$Q920,'Balance Sheet Detail'!W:W)</f>
        <v>209.40977125000001</v>
      </c>
      <c r="Q920" s="753" t="s">
        <v>4381</v>
      </c>
    </row>
    <row r="921" spans="1:17" ht="15" customHeight="1">
      <c r="B921" s="761">
        <v>282240</v>
      </c>
      <c r="D921" s="762" t="s">
        <v>4048</v>
      </c>
      <c r="F921" s="762"/>
      <c r="H921" s="763" t="s">
        <v>2816</v>
      </c>
      <c r="J921" s="753" t="s">
        <v>4049</v>
      </c>
      <c r="N921" s="753" t="s">
        <v>2421</v>
      </c>
      <c r="P921" s="755">
        <f>SUMIF('Balance Sheet Detail'!$B:$B,$Q921,'Balance Sheet Detail'!W:W)</f>
        <v>-77.709500000000006</v>
      </c>
      <c r="Q921" s="753" t="s">
        <v>4091</v>
      </c>
    </row>
    <row r="922" spans="1:17">
      <c r="A922" s="760"/>
      <c r="B922" s="764" t="s">
        <v>2941</v>
      </c>
      <c r="C922" s="814"/>
      <c r="D922" s="762"/>
      <c r="E922" s="814"/>
      <c r="F922" s="762"/>
      <c r="G922" s="814"/>
      <c r="H922" s="763"/>
      <c r="I922" s="814"/>
      <c r="K922" s="814"/>
      <c r="L922" s="814"/>
      <c r="O922" s="791" t="str">
        <f>IF(SUMIF('Balance Sheet Detail'!$H$7:$H$2493,'Items Not in Rate Base'!H917,'Balance Sheet Detail'!$W$7:$W$2493)=P922,"OK", "Missing Line Item")</f>
        <v>OK</v>
      </c>
      <c r="P922" s="756">
        <f>SUM(P917:P921)</f>
        <v>-3530.7764841666635</v>
      </c>
      <c r="Q922" s="791"/>
    </row>
    <row r="923" spans="1:17">
      <c r="A923" s="760"/>
      <c r="D923" s="762"/>
      <c r="F923" s="762"/>
      <c r="H923" s="763"/>
      <c r="P923" s="757"/>
    </row>
    <row r="924" spans="1:17">
      <c r="A924" s="760" t="s">
        <v>2549</v>
      </c>
      <c r="D924" s="762"/>
      <c r="F924" s="762"/>
      <c r="H924" s="763"/>
      <c r="P924" s="757"/>
    </row>
    <row r="925" spans="1:17" ht="15" customHeight="1">
      <c r="B925" s="761">
        <v>154975</v>
      </c>
      <c r="D925" s="762"/>
      <c r="F925" s="762"/>
      <c r="H925" s="763" t="s">
        <v>2549</v>
      </c>
      <c r="J925" s="753" t="s">
        <v>176</v>
      </c>
      <c r="N925" s="753" t="s">
        <v>2421</v>
      </c>
      <c r="P925" s="754">
        <f>SUMIF('Balance Sheet Detail'!$B:$B,$Q925,'Balance Sheet Detail'!W:W)</f>
        <v>1622.2213525</v>
      </c>
      <c r="Q925" s="753" t="s">
        <v>2942</v>
      </c>
    </row>
    <row r="926" spans="1:17" ht="15" customHeight="1">
      <c r="B926" s="761">
        <v>232029</v>
      </c>
      <c r="D926" s="762"/>
      <c r="F926" s="762"/>
      <c r="H926" s="763"/>
      <c r="J926" s="753" t="s">
        <v>456</v>
      </c>
      <c r="N926" s="753" t="s">
        <v>2421</v>
      </c>
      <c r="P926" s="754">
        <f>SUMIF('Balance Sheet Detail'!$B:$B,$Q926,'Balance Sheet Detail'!W:W)</f>
        <v>-1634.2699691666701</v>
      </c>
      <c r="Q926" s="753" t="s">
        <v>2943</v>
      </c>
    </row>
    <row r="927" spans="1:17" ht="15" customHeight="1">
      <c r="D927" s="762"/>
      <c r="F927" s="762"/>
      <c r="H927" s="763"/>
      <c r="P927" s="755"/>
    </row>
    <row r="928" spans="1:17">
      <c r="A928" s="760"/>
      <c r="B928" s="764" t="s">
        <v>2944</v>
      </c>
      <c r="C928" s="814"/>
      <c r="D928" s="762"/>
      <c r="E928" s="814"/>
      <c r="F928" s="762"/>
      <c r="G928" s="814"/>
      <c r="H928" s="763"/>
      <c r="I928" s="814"/>
      <c r="K928" s="814"/>
      <c r="L928" s="814"/>
      <c r="P928" s="756">
        <f>SUM(P925:P927)</f>
        <v>-12.048616666670114</v>
      </c>
      <c r="Q928" s="791"/>
    </row>
    <row r="929" spans="1:17">
      <c r="A929" s="760"/>
      <c r="D929" s="762"/>
      <c r="F929" s="762"/>
      <c r="H929" s="763"/>
      <c r="P929" s="757"/>
    </row>
    <row r="930" spans="1:17">
      <c r="A930" s="760" t="s">
        <v>1129</v>
      </c>
      <c r="D930" s="762"/>
      <c r="F930" s="762"/>
      <c r="H930" s="763"/>
      <c r="P930" s="757"/>
    </row>
    <row r="931" spans="1:17" ht="15" customHeight="1">
      <c r="B931" s="761">
        <v>182305</v>
      </c>
      <c r="D931" s="762" t="s">
        <v>961</v>
      </c>
      <c r="F931" s="762">
        <v>601256</v>
      </c>
      <c r="H931" s="763" t="s">
        <v>1129</v>
      </c>
      <c r="J931" s="753" t="s">
        <v>1057</v>
      </c>
      <c r="N931" s="753" t="s">
        <v>2436</v>
      </c>
      <c r="P931" s="754">
        <f>SUMIF('Balance Sheet Detail'!$B:$B,$Q931,'Balance Sheet Detail'!W:W)</f>
        <v>65.437477916666694</v>
      </c>
      <c r="Q931" s="753" t="s">
        <v>3409</v>
      </c>
    </row>
    <row r="932" spans="1:17" ht="15" customHeight="1">
      <c r="B932" s="761">
        <v>182306</v>
      </c>
      <c r="D932" s="762" t="s">
        <v>972</v>
      </c>
      <c r="F932" s="762" t="s">
        <v>923</v>
      </c>
      <c r="H932" s="763" t="s">
        <v>1129</v>
      </c>
      <c r="J932" s="753" t="s">
        <v>1057</v>
      </c>
      <c r="N932" s="753" t="s">
        <v>2436</v>
      </c>
      <c r="P932" s="754">
        <f>SUMIF('Balance Sheet Detail'!$B:$B,$Q932,'Balance Sheet Detail'!W:W)</f>
        <v>33.112927916666699</v>
      </c>
      <c r="Q932" s="753" t="s">
        <v>3410</v>
      </c>
    </row>
    <row r="933" spans="1:17" ht="15" customHeight="1">
      <c r="D933" s="762"/>
      <c r="F933" s="762"/>
      <c r="H933" s="763"/>
      <c r="P933" s="755"/>
    </row>
    <row r="934" spans="1:17">
      <c r="A934" s="760"/>
      <c r="B934" s="764" t="s">
        <v>2945</v>
      </c>
      <c r="C934" s="814"/>
      <c r="D934" s="762"/>
      <c r="E934" s="814"/>
      <c r="F934" s="762"/>
      <c r="G934" s="814"/>
      <c r="H934" s="763"/>
      <c r="I934" s="814"/>
      <c r="K934" s="814"/>
      <c r="L934" s="814"/>
      <c r="O934" s="791" t="str">
        <f>IF(SUMIF('Balance Sheet Detail'!$H$7:$H$2493,'Items Not in Rate Base'!H931,'Balance Sheet Detail'!$W$7:$W$2493)=P934,"OK", "Missing Line Item")</f>
        <v>OK</v>
      </c>
      <c r="P934" s="756">
        <f>SUM(P931:P933)</f>
        <v>98.5504058333334</v>
      </c>
      <c r="Q934" s="791"/>
    </row>
    <row r="935" spans="1:17">
      <c r="A935" s="760"/>
      <c r="B935" s="764"/>
      <c r="C935" s="814"/>
      <c r="D935" s="762"/>
      <c r="E935" s="814"/>
      <c r="F935" s="762"/>
      <c r="G935" s="814"/>
      <c r="H935" s="763"/>
      <c r="I935" s="814"/>
      <c r="K935" s="814"/>
      <c r="L935" s="814"/>
      <c r="P935" s="756"/>
    </row>
    <row r="936" spans="1:17">
      <c r="A936" s="760" t="s">
        <v>4111</v>
      </c>
      <c r="B936" s="764"/>
      <c r="C936" s="814"/>
      <c r="D936" s="762"/>
      <c r="E936" s="814"/>
      <c r="F936" s="762"/>
      <c r="G936" s="814"/>
      <c r="H936" s="763"/>
      <c r="I936" s="814"/>
      <c r="K936" s="814"/>
      <c r="L936" s="814"/>
      <c r="P936" s="756"/>
    </row>
    <row r="937" spans="1:17" ht="15" customHeight="1">
      <c r="B937" s="761">
        <v>182306</v>
      </c>
      <c r="D937" s="762" t="s">
        <v>972</v>
      </c>
      <c r="F937" s="762" t="s">
        <v>4099</v>
      </c>
      <c r="H937" s="763" t="s">
        <v>4111</v>
      </c>
      <c r="J937" s="753" t="s">
        <v>4100</v>
      </c>
      <c r="N937" s="753" t="s">
        <v>2436</v>
      </c>
      <c r="P937" s="754">
        <f>SUMIF('Balance Sheet Detail'!$B:$B,$Q937,'Balance Sheet Detail'!W:W)</f>
        <v>175</v>
      </c>
      <c r="Q937" s="753" t="s">
        <v>4112</v>
      </c>
    </row>
    <row r="938" spans="1:17" ht="15" customHeight="1">
      <c r="D938" s="762"/>
      <c r="F938" s="762"/>
      <c r="H938" s="763"/>
      <c r="P938" s="755"/>
    </row>
    <row r="939" spans="1:17">
      <c r="A939" s="760"/>
      <c r="B939" s="764" t="s">
        <v>2945</v>
      </c>
      <c r="C939" s="814"/>
      <c r="D939" s="762"/>
      <c r="E939" s="814"/>
      <c r="F939" s="762"/>
      <c r="G939" s="814"/>
      <c r="H939" s="763"/>
      <c r="I939" s="814"/>
      <c r="K939" s="814"/>
      <c r="L939" s="814"/>
      <c r="O939" s="791" t="str">
        <f>IF(SUMIF('Balance Sheet Detail'!$H$7:$H$2493,'Items Not in Rate Base'!H937,'Balance Sheet Detail'!$W$7:$W$2493)=P939,"OK", "Missing Line Item")</f>
        <v>OK</v>
      </c>
      <c r="P939" s="756">
        <f>SUM(P936:P938)</f>
        <v>175</v>
      </c>
      <c r="Q939" s="791"/>
    </row>
    <row r="940" spans="1:17">
      <c r="A940" s="760"/>
      <c r="B940" s="764"/>
      <c r="C940" s="814"/>
      <c r="D940" s="762"/>
      <c r="E940" s="814"/>
      <c r="F940" s="762"/>
      <c r="G940" s="814"/>
      <c r="H940" s="763"/>
      <c r="I940" s="814"/>
      <c r="K940" s="814"/>
      <c r="L940" s="814"/>
      <c r="P940" s="756"/>
    </row>
    <row r="941" spans="1:17">
      <c r="A941" s="760" t="s">
        <v>822</v>
      </c>
      <c r="D941" s="762"/>
      <c r="F941" s="762"/>
      <c r="H941" s="763"/>
      <c r="P941" s="757"/>
    </row>
    <row r="942" spans="1:17" ht="15" customHeight="1">
      <c r="B942" s="761">
        <v>182305</v>
      </c>
      <c r="D942" s="762" t="s">
        <v>960</v>
      </c>
      <c r="F942" s="762" t="s">
        <v>890</v>
      </c>
      <c r="H942" s="763" t="s">
        <v>822</v>
      </c>
      <c r="J942" s="753" t="s">
        <v>1056</v>
      </c>
      <c r="N942" s="753" t="s">
        <v>2436</v>
      </c>
      <c r="P942" s="754">
        <f>SUMIF('Balance Sheet Detail'!$B:$B,$Q942,'Balance Sheet Detail'!W:W)</f>
        <v>35.143324583333303</v>
      </c>
      <c r="Q942" s="753" t="s">
        <v>3411</v>
      </c>
    </row>
    <row r="943" spans="1:17" ht="15" customHeight="1">
      <c r="B943" s="761">
        <v>182306</v>
      </c>
      <c r="D943" s="762" t="s">
        <v>969</v>
      </c>
      <c r="F943" s="762" t="s">
        <v>922</v>
      </c>
      <c r="H943" s="763" t="s">
        <v>822</v>
      </c>
      <c r="J943" s="753" t="s">
        <v>1056</v>
      </c>
      <c r="N943" s="753" t="s">
        <v>2436</v>
      </c>
      <c r="P943" s="754">
        <f>SUMIF('Balance Sheet Detail'!$B:$B,$Q943,'Balance Sheet Detail'!W:W)</f>
        <v>50.7613679166667</v>
      </c>
      <c r="Q943" s="753" t="s">
        <v>3412</v>
      </c>
    </row>
    <row r="944" spans="1:17" ht="15" customHeight="1">
      <c r="B944" s="761">
        <v>283510</v>
      </c>
      <c r="D944" s="762" t="s">
        <v>943</v>
      </c>
      <c r="F944" s="762" t="s">
        <v>2374</v>
      </c>
      <c r="H944" s="763" t="s">
        <v>822</v>
      </c>
      <c r="J944" s="753" t="s">
        <v>822</v>
      </c>
      <c r="N944" s="753" t="s">
        <v>2421</v>
      </c>
      <c r="P944" s="754">
        <f>SUMIF('Balance Sheet Detail'!$B:$B,$Q944,'Balance Sheet Detail'!W:W)</f>
        <v>528.09060833333297</v>
      </c>
      <c r="Q944" s="753" t="s">
        <v>3413</v>
      </c>
    </row>
    <row r="945" spans="1:17" ht="15" customHeight="1">
      <c r="B945" s="761">
        <v>283560</v>
      </c>
      <c r="D945" s="762" t="s">
        <v>943</v>
      </c>
      <c r="F945" s="762" t="s">
        <v>2374</v>
      </c>
      <c r="H945" s="763" t="s">
        <v>822</v>
      </c>
      <c r="J945" s="753" t="s">
        <v>822</v>
      </c>
      <c r="N945" s="753" t="s">
        <v>2421</v>
      </c>
      <c r="P945" s="754">
        <f>SUMIF('Balance Sheet Detail'!$B:$B,$Q945,'Balance Sheet Detail'!W:W)</f>
        <v>115.314265833333</v>
      </c>
      <c r="Q945" s="753" t="s">
        <v>3414</v>
      </c>
    </row>
    <row r="946" spans="1:17" ht="15" customHeight="1">
      <c r="B946" s="761">
        <v>182301</v>
      </c>
      <c r="D946" s="762" t="s">
        <v>768</v>
      </c>
      <c r="F946" s="762">
        <v>610219</v>
      </c>
      <c r="H946" s="763" t="s">
        <v>822</v>
      </c>
      <c r="J946" s="753" t="s">
        <v>803</v>
      </c>
      <c r="N946" s="753" t="s">
        <v>2436</v>
      </c>
      <c r="P946" s="754">
        <f>SUMIF('Balance Sheet Detail'!$B:$B,$Q946,'Balance Sheet Detail'!W:W)</f>
        <v>-62.078632916666699</v>
      </c>
      <c r="Q946" s="753" t="s">
        <v>4435</v>
      </c>
    </row>
    <row r="947" spans="1:17" ht="15" customHeight="1">
      <c r="B947" s="761">
        <v>182303</v>
      </c>
      <c r="D947" s="762" t="s">
        <v>943</v>
      </c>
      <c r="F947" s="762">
        <v>601220</v>
      </c>
      <c r="H947" s="763" t="s">
        <v>822</v>
      </c>
      <c r="J947" s="753" t="s">
        <v>1003</v>
      </c>
      <c r="N947" s="753" t="s">
        <v>2436</v>
      </c>
      <c r="P947" s="754">
        <f>SUMIF('Balance Sheet Detail'!$B:$B,$Q947,'Balance Sheet Detail'!W:W)</f>
        <v>-29.499797916666701</v>
      </c>
      <c r="Q947" s="753" t="s">
        <v>4436</v>
      </c>
    </row>
    <row r="948" spans="1:17" ht="15" customHeight="1">
      <c r="B948" s="761">
        <v>254021</v>
      </c>
      <c r="D948" s="762" t="s">
        <v>960</v>
      </c>
      <c r="F948" s="762" t="s">
        <v>890</v>
      </c>
      <c r="H948" s="763" t="s">
        <v>822</v>
      </c>
      <c r="J948" s="753" t="s">
        <v>4431</v>
      </c>
      <c r="N948" s="753" t="s">
        <v>2436</v>
      </c>
      <c r="P948" s="754">
        <f>SUMIF('Balance Sheet Detail'!$B:$B,$Q948,'Balance Sheet Detail'!W:W)</f>
        <v>88.323852500000001</v>
      </c>
      <c r="Q948" s="753" t="s">
        <v>4437</v>
      </c>
    </row>
    <row r="949" spans="1:17" ht="15" customHeight="1">
      <c r="B949" s="761">
        <v>254021</v>
      </c>
      <c r="D949" s="762" t="s">
        <v>970</v>
      </c>
      <c r="F949" s="762" t="s">
        <v>922</v>
      </c>
      <c r="H949" s="763" t="s">
        <v>822</v>
      </c>
      <c r="J949" s="753" t="s">
        <v>4432</v>
      </c>
      <c r="N949" s="753" t="s">
        <v>2436</v>
      </c>
      <c r="P949" s="754">
        <f>SUMIF('Balance Sheet Detail'!$B:$B,$Q949,'Balance Sheet Detail'!W:W)</f>
        <v>127.575855416667</v>
      </c>
      <c r="Q949" s="753" t="s">
        <v>4438</v>
      </c>
    </row>
    <row r="950" spans="1:17" ht="15" customHeight="1">
      <c r="B950" s="761">
        <v>254021</v>
      </c>
      <c r="D950" s="762" t="s">
        <v>768</v>
      </c>
      <c r="F950" s="762">
        <v>601219</v>
      </c>
      <c r="H950" s="763" t="s">
        <v>822</v>
      </c>
      <c r="J950" s="753" t="s">
        <v>4433</v>
      </c>
      <c r="N950" s="753" t="s">
        <v>2436</v>
      </c>
      <c r="P950" s="754">
        <f>SUMIF('Balance Sheet Detail'!$B:$B,$Q950,'Balance Sheet Detail'!W:W)</f>
        <v>-224.1350075</v>
      </c>
      <c r="Q950" s="753" t="s">
        <v>4439</v>
      </c>
    </row>
    <row r="951" spans="1:17" ht="15" customHeight="1">
      <c r="B951" s="761">
        <v>254021</v>
      </c>
      <c r="D951" s="762" t="s">
        <v>943</v>
      </c>
      <c r="F951" s="762">
        <v>601220</v>
      </c>
      <c r="H951" s="763" t="s">
        <v>822</v>
      </c>
      <c r="J951" s="753" t="s">
        <v>4434</v>
      </c>
      <c r="N951" s="753" t="s">
        <v>2436</v>
      </c>
      <c r="P951" s="754">
        <f>SUMIF('Balance Sheet Detail'!$B:$B,$Q951,'Balance Sheet Detail'!W:W)</f>
        <v>-100.26125999999999</v>
      </c>
      <c r="Q951" s="753" t="s">
        <v>4440</v>
      </c>
    </row>
    <row r="952" spans="1:17" ht="15" customHeight="1">
      <c r="D952" s="762"/>
      <c r="F952" s="762"/>
      <c r="H952" s="763"/>
      <c r="P952" s="754"/>
    </row>
    <row r="953" spans="1:17" ht="15" customHeight="1">
      <c r="D953" s="762"/>
      <c r="F953" s="762"/>
      <c r="H953" s="763"/>
      <c r="P953" s="755"/>
    </row>
    <row r="954" spans="1:17">
      <c r="A954" s="760"/>
      <c r="B954" s="764" t="s">
        <v>2946</v>
      </c>
      <c r="C954" s="814"/>
      <c r="D954" s="762"/>
      <c r="E954" s="814"/>
      <c r="F954" s="762"/>
      <c r="G954" s="814"/>
      <c r="H954" s="763"/>
      <c r="I954" s="814"/>
      <c r="K954" s="814"/>
      <c r="L954" s="814"/>
      <c r="O954" s="791" t="str">
        <f>IF(SUMIF('Balance Sheet Detail'!$H$7:$H$2493,'Items Not in Rate Base'!H942,'Balance Sheet Detail'!$W$7:$W$2493)=P954,"OK", "Missing Line Item")</f>
        <v>OK</v>
      </c>
      <c r="P954" s="756">
        <f>SUM(P942:P953)</f>
        <v>529.23457624999958</v>
      </c>
      <c r="Q954" s="791"/>
    </row>
    <row r="955" spans="1:17">
      <c r="A955" s="760"/>
      <c r="D955" s="762"/>
      <c r="F955" s="762"/>
      <c r="H955" s="763"/>
      <c r="P955" s="757"/>
    </row>
    <row r="956" spans="1:17">
      <c r="A956" s="760" t="s">
        <v>1119</v>
      </c>
      <c r="D956" s="762"/>
      <c r="F956" s="762"/>
      <c r="H956" s="763"/>
      <c r="P956" s="792"/>
    </row>
    <row r="957" spans="1:17" ht="15" customHeight="1">
      <c r="B957" s="761">
        <v>182305</v>
      </c>
      <c r="D957" s="762" t="s">
        <v>951</v>
      </c>
      <c r="F957" s="762">
        <v>601088</v>
      </c>
      <c r="H957" s="763" t="s">
        <v>1119</v>
      </c>
      <c r="J957" s="753" t="s">
        <v>1031</v>
      </c>
      <c r="N957" s="753" t="s">
        <v>2436</v>
      </c>
      <c r="P957" s="754">
        <f>SUMIF('Balance Sheet Detail'!$B:$B,$Q957,'Balance Sheet Detail'!W:W)</f>
        <v>1307.50172</v>
      </c>
      <c r="Q957" s="753" t="s">
        <v>3415</v>
      </c>
    </row>
    <row r="958" spans="1:17" ht="15" customHeight="1">
      <c r="B958" s="761">
        <v>182305</v>
      </c>
      <c r="D958" s="762" t="s">
        <v>951</v>
      </c>
      <c r="F958" s="762" t="s">
        <v>865</v>
      </c>
      <c r="H958" s="763" t="s">
        <v>1119</v>
      </c>
      <c r="J958" s="753" t="s">
        <v>1032</v>
      </c>
      <c r="N958" s="753" t="s">
        <v>2436</v>
      </c>
      <c r="P958" s="754">
        <f>SUMIF('Balance Sheet Detail'!$B:$B,$Q958,'Balance Sheet Detail'!W:W)</f>
        <v>0</v>
      </c>
      <c r="Q958" s="753" t="s">
        <v>3416</v>
      </c>
    </row>
    <row r="959" spans="1:17" ht="15" customHeight="1">
      <c r="B959" s="761">
        <v>182305</v>
      </c>
      <c r="D959" s="762" t="s">
        <v>951</v>
      </c>
      <c r="F959" s="762" t="s">
        <v>866</v>
      </c>
      <c r="H959" s="763" t="s">
        <v>1119</v>
      </c>
      <c r="J959" s="753" t="s">
        <v>1033</v>
      </c>
      <c r="N959" s="753" t="s">
        <v>2436</v>
      </c>
      <c r="P959" s="754">
        <f>SUMIF('Balance Sheet Detail'!$B:$B,$Q959,'Balance Sheet Detail'!W:W)</f>
        <v>0</v>
      </c>
      <c r="Q959" s="753" t="s">
        <v>3417</v>
      </c>
    </row>
    <row r="960" spans="1:17" ht="15" customHeight="1">
      <c r="B960" s="761">
        <v>182305</v>
      </c>
      <c r="D960" s="762" t="s">
        <v>951</v>
      </c>
      <c r="F960" s="762" t="s">
        <v>867</v>
      </c>
      <c r="H960" s="763" t="s">
        <v>1119</v>
      </c>
      <c r="J960" s="753" t="s">
        <v>1034</v>
      </c>
      <c r="N960" s="753" t="s">
        <v>2436</v>
      </c>
      <c r="P960" s="754">
        <f>SUMIF('Balance Sheet Detail'!$B:$B,$Q960,'Balance Sheet Detail'!W:W)</f>
        <v>0</v>
      </c>
      <c r="Q960" s="753" t="s">
        <v>3418</v>
      </c>
    </row>
    <row r="961" spans="1:17" ht="15" customHeight="1">
      <c r="B961" s="761">
        <v>254016</v>
      </c>
      <c r="D961" s="762" t="s">
        <v>1211</v>
      </c>
      <c r="F961" s="762">
        <v>601214</v>
      </c>
      <c r="H961" s="763" t="s">
        <v>1119</v>
      </c>
      <c r="J961" s="753" t="s">
        <v>1212</v>
      </c>
      <c r="N961" s="753" t="s">
        <v>2436</v>
      </c>
      <c r="P961" s="754">
        <f>SUMIF('Balance Sheet Detail'!$B:$B,$Q961,'Balance Sheet Detail'!W:W)</f>
        <v>-307.0878525</v>
      </c>
      <c r="Q961" s="753" t="s">
        <v>3419</v>
      </c>
    </row>
    <row r="962" spans="1:17" ht="15" customHeight="1">
      <c r="B962" s="761">
        <v>254017</v>
      </c>
      <c r="D962" s="762" t="s">
        <v>1286</v>
      </c>
      <c r="F962" s="762">
        <v>601217</v>
      </c>
      <c r="H962" s="763" t="s">
        <v>1119</v>
      </c>
      <c r="J962" s="753" t="s">
        <v>1287</v>
      </c>
      <c r="N962" s="753" t="s">
        <v>2436</v>
      </c>
      <c r="P962" s="754">
        <f>SUMIF('Balance Sheet Detail'!$B:$B,$Q962,'Balance Sheet Detail'!W:W)</f>
        <v>1.46127625000001</v>
      </c>
      <c r="Q962" s="753" t="s">
        <v>3420</v>
      </c>
    </row>
    <row r="963" spans="1:17" ht="15" customHeight="1">
      <c r="B963" s="761">
        <v>190501</v>
      </c>
      <c r="D963" s="762" t="s">
        <v>1211</v>
      </c>
      <c r="F963" s="762" t="s">
        <v>2006</v>
      </c>
      <c r="H963" s="763" t="s">
        <v>1119</v>
      </c>
      <c r="J963" s="753" t="s">
        <v>2006</v>
      </c>
      <c r="N963" s="753" t="s">
        <v>2436</v>
      </c>
      <c r="P963" s="754">
        <f>SUMIF('Balance Sheet Detail'!$B:$B,$Q963,'Balance Sheet Detail'!W:W)</f>
        <v>99.849616666666705</v>
      </c>
      <c r="Q963" s="753" t="s">
        <v>3421</v>
      </c>
    </row>
    <row r="964" spans="1:17" ht="15" customHeight="1">
      <c r="B964" s="761">
        <v>190502</v>
      </c>
      <c r="D964" s="762" t="s">
        <v>1284</v>
      </c>
      <c r="F964" s="762" t="s">
        <v>2034</v>
      </c>
      <c r="H964" s="763" t="s">
        <v>1119</v>
      </c>
      <c r="J964" s="753" t="s">
        <v>2006</v>
      </c>
      <c r="N964" s="753" t="s">
        <v>2436</v>
      </c>
      <c r="P964" s="754">
        <f>SUMIF('Balance Sheet Detail'!$B:$B,$Q964,'Balance Sheet Detail'!W:W)</f>
        <v>44.513132916666699</v>
      </c>
      <c r="Q964" s="753" t="s">
        <v>3422</v>
      </c>
    </row>
    <row r="965" spans="1:17" ht="15" customHeight="1">
      <c r="B965" s="761">
        <v>190511</v>
      </c>
      <c r="D965" s="762" t="s">
        <v>1211</v>
      </c>
      <c r="F965" s="762" t="s">
        <v>2006</v>
      </c>
      <c r="H965" s="763" t="s">
        <v>1119</v>
      </c>
      <c r="J965" s="753" t="s">
        <v>2006</v>
      </c>
      <c r="N965" s="753" t="s">
        <v>2436</v>
      </c>
      <c r="P965" s="754">
        <f>SUMIF('Balance Sheet Detail'!$B:$B,$Q965,'Balance Sheet Detail'!W:W)</f>
        <v>21.803236666666699</v>
      </c>
      <c r="Q965" s="753" t="s">
        <v>3423</v>
      </c>
    </row>
    <row r="966" spans="1:17" ht="15" customHeight="1">
      <c r="B966" s="761">
        <v>190512</v>
      </c>
      <c r="D966" s="762" t="s">
        <v>1284</v>
      </c>
      <c r="F966" s="762" t="s">
        <v>2034</v>
      </c>
      <c r="H966" s="763" t="s">
        <v>1119</v>
      </c>
      <c r="J966" s="753" t="s">
        <v>2006</v>
      </c>
      <c r="N966" s="753" t="s">
        <v>2436</v>
      </c>
      <c r="P966" s="754">
        <f>SUMIF('Balance Sheet Detail'!$B:$B,$Q966,'Balance Sheet Detail'!W:W)</f>
        <v>9.7199279166666699</v>
      </c>
      <c r="Q966" s="753" t="s">
        <v>3424</v>
      </c>
    </row>
    <row r="967" spans="1:17" ht="15" customHeight="1">
      <c r="B967" s="761">
        <v>283500</v>
      </c>
      <c r="D967" s="762" t="s">
        <v>2325</v>
      </c>
      <c r="F967" s="762" t="s">
        <v>2034</v>
      </c>
      <c r="H967" s="763" t="s">
        <v>1119</v>
      </c>
      <c r="J967" s="753" t="s">
        <v>2326</v>
      </c>
      <c r="N967" s="753" t="s">
        <v>2436</v>
      </c>
      <c r="P967" s="754">
        <f>SUMIF('Balance Sheet Detail'!$B:$B,$Q967,'Balance Sheet Detail'!W:W)</f>
        <v>-425.13420500000001</v>
      </c>
      <c r="Q967" s="753" t="s">
        <v>3425</v>
      </c>
    </row>
    <row r="968" spans="1:17" ht="15" customHeight="1">
      <c r="B968" s="761">
        <v>283550</v>
      </c>
      <c r="D968" s="762" t="s">
        <v>2325</v>
      </c>
      <c r="F968" s="762" t="s">
        <v>2034</v>
      </c>
      <c r="H968" s="763" t="s">
        <v>1119</v>
      </c>
      <c r="J968" s="753" t="s">
        <v>2326</v>
      </c>
      <c r="N968" s="753" t="s">
        <v>2421</v>
      </c>
      <c r="P968" s="755">
        <f>SUMIF('Balance Sheet Detail'!$B:$B,$Q968,'Balance Sheet Detail'!W:W)</f>
        <v>-92.832628749999998</v>
      </c>
      <c r="Q968" s="753" t="s">
        <v>3426</v>
      </c>
    </row>
    <row r="969" spans="1:17">
      <c r="A969" s="760"/>
      <c r="B969" s="764" t="s">
        <v>2947</v>
      </c>
      <c r="C969" s="814"/>
      <c r="D969" s="762"/>
      <c r="E969" s="814"/>
      <c r="F969" s="762"/>
      <c r="G969" s="814"/>
      <c r="H969" s="763"/>
      <c r="I969" s="814"/>
      <c r="K969" s="814"/>
      <c r="L969" s="814"/>
      <c r="O969" s="791" t="str">
        <f>IF(SUMIF('Balance Sheet Detail'!$H$7:$H$2493,'Items Not in Rate Base'!H957,'Balance Sheet Detail'!$W$7:$W$2493)=P969,"OK", "Missing Line Item")</f>
        <v>Missing Line Item</v>
      </c>
      <c r="P969" s="756">
        <f>SUM(P957:P968)</f>
        <v>659.7942241666666</v>
      </c>
      <c r="Q969" s="791"/>
    </row>
    <row r="970" spans="1:17">
      <c r="A970" s="760"/>
      <c r="D970" s="762"/>
      <c r="F970" s="762"/>
      <c r="H970" s="763"/>
      <c r="P970" s="757"/>
    </row>
    <row r="971" spans="1:17">
      <c r="A971" s="760" t="s">
        <v>2948</v>
      </c>
      <c r="B971" s="819"/>
      <c r="C971" s="820"/>
      <c r="D971" s="819"/>
      <c r="E971" s="820"/>
      <c r="F971" s="819"/>
      <c r="G971" s="820"/>
      <c r="H971" s="820"/>
      <c r="I971" s="820"/>
      <c r="J971" s="821"/>
      <c r="K971" s="820"/>
      <c r="L971" s="820"/>
      <c r="P971" s="757"/>
    </row>
    <row r="972" spans="1:17">
      <c r="A972" s="760"/>
      <c r="B972" s="761">
        <v>145026</v>
      </c>
      <c r="D972" s="762"/>
      <c r="F972" s="762"/>
      <c r="H972" s="763"/>
      <c r="J972" s="753" t="s">
        <v>150</v>
      </c>
      <c r="N972" s="753" t="s">
        <v>2421</v>
      </c>
      <c r="P972" s="754">
        <f>SUMIF('Balance Sheet Detail'!$B:$B,$Q972,'Balance Sheet Detail'!W:W)</f>
        <v>0</v>
      </c>
      <c r="Q972" s="753" t="s">
        <v>3428</v>
      </c>
    </row>
    <row r="973" spans="1:17">
      <c r="A973" s="760"/>
      <c r="B973" s="761">
        <v>228992</v>
      </c>
      <c r="D973" s="762"/>
      <c r="F973" s="762"/>
      <c r="H973" s="763"/>
      <c r="J973" s="753" t="s">
        <v>439</v>
      </c>
      <c r="N973" s="753" t="s">
        <v>2421</v>
      </c>
      <c r="P973" s="754">
        <f>SUMIF('Balance Sheet Detail'!$B:$B,$Q973,'Balance Sheet Detail'!W:W)</f>
        <v>-5237.8925141666696</v>
      </c>
      <c r="Q973" s="753" t="s">
        <v>3429</v>
      </c>
    </row>
    <row r="974" spans="1:17">
      <c r="A974" s="760"/>
      <c r="B974" s="761">
        <v>228993</v>
      </c>
      <c r="D974" s="762"/>
      <c r="F974" s="762"/>
      <c r="H974" s="763"/>
      <c r="J974" s="753" t="s">
        <v>440</v>
      </c>
      <c r="N974" s="753" t="s">
        <v>2421</v>
      </c>
      <c r="P974" s="754">
        <f>SUMIF('Balance Sheet Detail'!$B:$B,$Q974,'Balance Sheet Detail'!W:W)</f>
        <v>5237.8925141666696</v>
      </c>
      <c r="Q974" s="753" t="s">
        <v>3430</v>
      </c>
    </row>
    <row r="975" spans="1:17">
      <c r="A975" s="760"/>
      <c r="B975" s="761">
        <v>186020</v>
      </c>
      <c r="D975" s="762"/>
      <c r="F975" s="762" t="s">
        <v>1503</v>
      </c>
      <c r="H975" s="763"/>
      <c r="J975" s="753" t="s">
        <v>1504</v>
      </c>
      <c r="N975" s="753" t="s">
        <v>2421</v>
      </c>
      <c r="P975" s="754">
        <f>SUMIF('Balance Sheet Detail'!$B:$B,$Q975,'Balance Sheet Detail'!W:W)</f>
        <v>64.847450833333298</v>
      </c>
      <c r="Q975" s="753" t="s">
        <v>3436</v>
      </c>
    </row>
    <row r="976" spans="1:17">
      <c r="A976" s="760"/>
      <c r="B976" s="761">
        <v>186110</v>
      </c>
      <c r="D976" s="762"/>
      <c r="F976" s="762" t="s">
        <v>1503</v>
      </c>
      <c r="H976" s="763"/>
      <c r="J976" s="753" t="s">
        <v>1505</v>
      </c>
      <c r="N976" s="753" t="s">
        <v>2421</v>
      </c>
      <c r="P976" s="754">
        <f>SUMIF('Balance Sheet Detail'!$B:$B,$Q976,'Balance Sheet Detail'!W:W)</f>
        <v>0</v>
      </c>
      <c r="Q976" s="753" t="s">
        <v>3437</v>
      </c>
    </row>
    <row r="977" spans="1:17">
      <c r="A977" s="760"/>
      <c r="B977" s="761">
        <v>186255</v>
      </c>
      <c r="D977" s="762" t="s">
        <v>1529</v>
      </c>
      <c r="F977" s="762"/>
      <c r="H977" s="763"/>
      <c r="J977" s="753" t="s">
        <v>1530</v>
      </c>
      <c r="N977" s="753" t="s">
        <v>2421</v>
      </c>
      <c r="P977" s="754">
        <f>SUMIF('Balance Sheet Detail'!$B:$B,$Q977,'Balance Sheet Detail'!W:W)</f>
        <v>0</v>
      </c>
      <c r="Q977" s="753" t="s">
        <v>3439</v>
      </c>
    </row>
    <row r="978" spans="1:17">
      <c r="A978" s="760"/>
      <c r="B978" s="761">
        <v>186255</v>
      </c>
      <c r="D978" s="762"/>
      <c r="F978" s="762"/>
      <c r="H978" s="763"/>
      <c r="J978" s="753" t="s">
        <v>1532</v>
      </c>
      <c r="N978" s="753" t="s">
        <v>2421</v>
      </c>
      <c r="P978" s="754">
        <f>SUMIF('Balance Sheet Detail'!$B:$B,$Q978,'Balance Sheet Detail'!W:W)</f>
        <v>0</v>
      </c>
      <c r="Q978" s="753" t="s">
        <v>3438</v>
      </c>
    </row>
    <row r="979" spans="1:17">
      <c r="A979" s="760"/>
      <c r="B979" s="761">
        <v>190502</v>
      </c>
      <c r="D979" s="762" t="s">
        <v>1684</v>
      </c>
      <c r="F979" s="762" t="s">
        <v>1683</v>
      </c>
      <c r="H979" s="763"/>
      <c r="J979" s="753" t="s">
        <v>1683</v>
      </c>
      <c r="N979" s="753" t="s">
        <v>2421</v>
      </c>
      <c r="P979" s="754">
        <f>SUMIF('Balance Sheet Detail'!$B:$B,$Q979,'Balance Sheet Detail'!W:W)</f>
        <v>0</v>
      </c>
      <c r="Q979" s="753" t="s">
        <v>3481</v>
      </c>
    </row>
    <row r="980" spans="1:17">
      <c r="A980" s="760"/>
      <c r="B980" s="761">
        <v>190511</v>
      </c>
      <c r="D980" s="762" t="s">
        <v>1909</v>
      </c>
      <c r="F980" s="762" t="s">
        <v>1908</v>
      </c>
      <c r="H980" s="763"/>
      <c r="J980" s="753" t="s">
        <v>1910</v>
      </c>
      <c r="N980" s="753" t="s">
        <v>2421</v>
      </c>
      <c r="P980" s="754">
        <f>SUMIF('Balance Sheet Detail'!$B:$B,$Q980,'Balance Sheet Detail'!W:W)</f>
        <v>0</v>
      </c>
      <c r="Q980" s="753" t="s">
        <v>3482</v>
      </c>
    </row>
    <row r="981" spans="1:17">
      <c r="A981" s="760"/>
      <c r="B981" s="761">
        <v>190511</v>
      </c>
      <c r="D981" s="762" t="s">
        <v>1620</v>
      </c>
      <c r="F981" s="762" t="s">
        <v>1914</v>
      </c>
      <c r="H981" s="763"/>
      <c r="J981" s="753" t="s">
        <v>1915</v>
      </c>
      <c r="N981" s="753" t="s">
        <v>2421</v>
      </c>
      <c r="P981" s="754">
        <f>SUMIF('Balance Sheet Detail'!$B:$B,$Q981,'Balance Sheet Detail'!W:W)</f>
        <v>0</v>
      </c>
      <c r="Q981" s="753" t="s">
        <v>3483</v>
      </c>
    </row>
    <row r="982" spans="1:17">
      <c r="A982" s="760"/>
      <c r="B982" s="761">
        <v>190511</v>
      </c>
      <c r="D982" s="762" t="s">
        <v>759</v>
      </c>
      <c r="F982" s="762" t="s">
        <v>1941</v>
      </c>
      <c r="H982" s="763"/>
      <c r="J982" s="753" t="s">
        <v>1942</v>
      </c>
      <c r="N982" s="753" t="s">
        <v>2421</v>
      </c>
      <c r="P982" s="754">
        <f>SUMIF('Balance Sheet Detail'!$B:$B,$Q982,'Balance Sheet Detail'!W:W)</f>
        <v>0</v>
      </c>
      <c r="Q982" s="753" t="s">
        <v>3484</v>
      </c>
    </row>
    <row r="983" spans="1:17">
      <c r="A983" s="760"/>
      <c r="B983" s="761">
        <v>190512</v>
      </c>
      <c r="D983" s="762" t="s">
        <v>1620</v>
      </c>
      <c r="F983" s="762" t="s">
        <v>1914</v>
      </c>
      <c r="H983" s="763"/>
      <c r="J983" s="753" t="s">
        <v>1915</v>
      </c>
      <c r="N983" s="753" t="s">
        <v>2421</v>
      </c>
      <c r="P983" s="754">
        <f>SUMIF('Balance Sheet Detail'!$B:$B,$Q983,'Balance Sheet Detail'!W:W)</f>
        <v>0</v>
      </c>
      <c r="Q983" s="753" t="s">
        <v>3485</v>
      </c>
    </row>
    <row r="984" spans="1:17">
      <c r="A984" s="760"/>
      <c r="B984" s="761">
        <v>283200</v>
      </c>
      <c r="D984" s="762">
        <v>0</v>
      </c>
      <c r="F984" s="762" t="s">
        <v>2169</v>
      </c>
      <c r="H984" s="763"/>
      <c r="J984" s="753" t="s">
        <v>2170</v>
      </c>
      <c r="N984" s="753" t="s">
        <v>2421</v>
      </c>
      <c r="P984" s="754">
        <f>SUMIF('Balance Sheet Detail'!$B:$B,$Q984,'Balance Sheet Detail'!W:W)</f>
        <v>0</v>
      </c>
      <c r="Q984" s="753" t="s">
        <v>3486</v>
      </c>
    </row>
    <row r="985" spans="1:17">
      <c r="A985" s="760"/>
      <c r="B985" s="761">
        <v>283200</v>
      </c>
      <c r="D985" s="762" t="s">
        <v>2183</v>
      </c>
      <c r="F985" s="762" t="s">
        <v>2182</v>
      </c>
      <c r="H985" s="763"/>
      <c r="J985" s="753" t="s">
        <v>2184</v>
      </c>
      <c r="N985" s="753" t="s">
        <v>2421</v>
      </c>
      <c r="P985" s="754">
        <f>SUMIF('Balance Sheet Detail'!$B:$B,$Q985,'Balance Sheet Detail'!W:W)</f>
        <v>0</v>
      </c>
      <c r="Q985" s="753" t="s">
        <v>3487</v>
      </c>
    </row>
    <row r="986" spans="1:17">
      <c r="A986" s="760"/>
      <c r="B986" s="761">
        <v>283200</v>
      </c>
      <c r="D986" s="762" t="s">
        <v>2186</v>
      </c>
      <c r="F986" s="762" t="s">
        <v>2185</v>
      </c>
      <c r="H986" s="763"/>
      <c r="J986" s="753" t="s">
        <v>2187</v>
      </c>
      <c r="N986" s="753" t="s">
        <v>2421</v>
      </c>
      <c r="P986" s="754">
        <f>SUMIF('Balance Sheet Detail'!$B:$B,$Q986,'Balance Sheet Detail'!W:W)</f>
        <v>0</v>
      </c>
      <c r="Q986" s="753" t="s">
        <v>3488</v>
      </c>
    </row>
    <row r="987" spans="1:17">
      <c r="A987" s="760"/>
      <c r="B987" s="761">
        <v>283200</v>
      </c>
      <c r="D987" s="762"/>
      <c r="F987" s="762" t="s">
        <v>2250</v>
      </c>
      <c r="H987" s="763"/>
      <c r="J987" s="753" t="s">
        <v>2251</v>
      </c>
      <c r="N987" s="753" t="s">
        <v>2421</v>
      </c>
      <c r="P987" s="754">
        <f>SUMIF('Balance Sheet Detail'!$B:$B,$Q987,'Balance Sheet Detail'!W:W)</f>
        <v>0</v>
      </c>
      <c r="Q987" s="753" t="s">
        <v>3489</v>
      </c>
    </row>
    <row r="988" spans="1:17">
      <c r="A988" s="760"/>
      <c r="B988" s="761">
        <v>283210</v>
      </c>
      <c r="D988" s="762" t="s">
        <v>2259</v>
      </c>
      <c r="F988" s="762" t="s">
        <v>2182</v>
      </c>
      <c r="H988" s="763"/>
      <c r="J988" s="753" t="s">
        <v>2184</v>
      </c>
      <c r="N988" s="753" t="s">
        <v>2421</v>
      </c>
      <c r="P988" s="754">
        <f>SUMIF('Balance Sheet Detail'!$B:$B,$Q988,'Balance Sheet Detail'!W:W)</f>
        <v>0</v>
      </c>
      <c r="Q988" s="753" t="s">
        <v>3490</v>
      </c>
    </row>
    <row r="989" spans="1:17">
      <c r="A989" s="760"/>
      <c r="B989" s="761">
        <v>283210</v>
      </c>
      <c r="D989" s="762"/>
      <c r="F989" s="762" t="s">
        <v>2250</v>
      </c>
      <c r="H989" s="763"/>
      <c r="J989" s="753" t="s">
        <v>2251</v>
      </c>
      <c r="N989" s="753" t="s">
        <v>2421</v>
      </c>
      <c r="P989" s="754">
        <f>SUMIF('Balance Sheet Detail'!$B:$B,$Q989,'Balance Sheet Detail'!W:W)</f>
        <v>0</v>
      </c>
      <c r="Q989" s="753" t="s">
        <v>3491</v>
      </c>
    </row>
    <row r="990" spans="1:17">
      <c r="A990" s="760"/>
      <c r="B990" s="761">
        <v>283400</v>
      </c>
      <c r="D990" s="762" t="s">
        <v>2291</v>
      </c>
      <c r="F990" s="762" t="s">
        <v>2169</v>
      </c>
      <c r="H990" s="763"/>
      <c r="J990" s="753" t="s">
        <v>2170</v>
      </c>
      <c r="N990" s="753" t="s">
        <v>2421</v>
      </c>
      <c r="P990" s="754">
        <f>SUMIF('Balance Sheet Detail'!$B:$B,$Q990,'Balance Sheet Detail'!W:W)</f>
        <v>0</v>
      </c>
      <c r="Q990" s="753" t="s">
        <v>3492</v>
      </c>
    </row>
    <row r="991" spans="1:17">
      <c r="A991" s="760"/>
      <c r="B991" s="761">
        <v>283400</v>
      </c>
      <c r="D991" s="762" t="s">
        <v>2183</v>
      </c>
      <c r="F991" s="762" t="s">
        <v>2185</v>
      </c>
      <c r="H991" s="763"/>
      <c r="J991" s="753" t="s">
        <v>2187</v>
      </c>
      <c r="N991" s="753" t="s">
        <v>2421</v>
      </c>
      <c r="P991" s="754">
        <f>SUMIF('Balance Sheet Detail'!$B:$B,$Q991,'Balance Sheet Detail'!W:W)</f>
        <v>0</v>
      </c>
      <c r="Q991" s="753" t="s">
        <v>3493</v>
      </c>
    </row>
    <row r="992" spans="1:17">
      <c r="A992" s="760"/>
      <c r="B992" s="761">
        <v>283400</v>
      </c>
      <c r="D992" s="762"/>
      <c r="F992" s="762" t="s">
        <v>2250</v>
      </c>
      <c r="H992" s="763"/>
      <c r="J992" s="753" t="s">
        <v>2251</v>
      </c>
      <c r="N992" s="753" t="s">
        <v>2421</v>
      </c>
      <c r="P992" s="754">
        <f>SUMIF('Balance Sheet Detail'!$B:$B,$Q992,'Balance Sheet Detail'!W:W)</f>
        <v>0</v>
      </c>
      <c r="Q992" s="753" t="s">
        <v>3494</v>
      </c>
    </row>
    <row r="993" spans="1:17">
      <c r="A993" s="760"/>
      <c r="B993" s="761">
        <v>283410</v>
      </c>
      <c r="D993" s="762" t="s">
        <v>2186</v>
      </c>
      <c r="F993" s="762" t="s">
        <v>2182</v>
      </c>
      <c r="H993" s="763"/>
      <c r="J993" s="753" t="s">
        <v>2184</v>
      </c>
      <c r="N993" s="753" t="s">
        <v>2421</v>
      </c>
      <c r="P993" s="754">
        <f>SUMIF('Balance Sheet Detail'!$B:$B,$Q993,'Balance Sheet Detail'!W:W)</f>
        <v>0</v>
      </c>
      <c r="Q993" s="753" t="s">
        <v>3495</v>
      </c>
    </row>
    <row r="994" spans="1:17">
      <c r="A994" s="760"/>
      <c r="B994" s="761">
        <v>283410</v>
      </c>
      <c r="D994" s="762" t="s">
        <v>2183</v>
      </c>
      <c r="F994" s="762"/>
      <c r="H994" s="763"/>
      <c r="J994" s="753" t="s">
        <v>2297</v>
      </c>
      <c r="N994" s="753" t="s">
        <v>2421</v>
      </c>
      <c r="P994" s="754">
        <f>SUMIF('Balance Sheet Detail'!$B:$B,$Q994,'Balance Sheet Detail'!W:W)</f>
        <v>0</v>
      </c>
      <c r="Q994" s="753" t="s">
        <v>3496</v>
      </c>
    </row>
    <row r="995" spans="1:17">
      <c r="A995" s="760"/>
      <c r="B995" s="761">
        <v>283410</v>
      </c>
      <c r="D995" s="762"/>
      <c r="F995" s="762" t="s">
        <v>2250</v>
      </c>
      <c r="H995" s="763"/>
      <c r="J995" s="753" t="s">
        <v>2251</v>
      </c>
      <c r="N995" s="753" t="s">
        <v>2421</v>
      </c>
      <c r="P995" s="754">
        <f>SUMIF('Balance Sheet Detail'!$B:$B,$Q995,'Balance Sheet Detail'!W:W)</f>
        <v>0</v>
      </c>
      <c r="Q995" s="753" t="s">
        <v>3497</v>
      </c>
    </row>
    <row r="996" spans="1:17">
      <c r="A996" s="760"/>
      <c r="B996" s="761">
        <v>283986</v>
      </c>
      <c r="D996" s="762"/>
      <c r="F996" s="762">
        <v>0</v>
      </c>
      <c r="H996" s="763"/>
      <c r="J996" s="753" t="s">
        <v>2384</v>
      </c>
      <c r="N996" s="753" t="s">
        <v>2421</v>
      </c>
      <c r="P996" s="754">
        <f>SUMIF('Balance Sheet Detail'!$B:$B,$Q996,'Balance Sheet Detail'!W:W)</f>
        <v>0</v>
      </c>
      <c r="Q996" s="753" t="s">
        <v>3500</v>
      </c>
    </row>
    <row r="997" spans="1:17">
      <c r="A997" s="760"/>
      <c r="B997" s="761">
        <v>283988</v>
      </c>
      <c r="D997" s="762"/>
      <c r="F997" s="762">
        <v>0</v>
      </c>
      <c r="H997" s="763"/>
      <c r="J997" s="753" t="s">
        <v>2384</v>
      </c>
      <c r="N997" s="753" t="s">
        <v>2421</v>
      </c>
      <c r="P997" s="754">
        <f>SUMIF('Balance Sheet Detail'!$B:$B,$Q997,'Balance Sheet Detail'!W:W)</f>
        <v>0</v>
      </c>
      <c r="Q997" s="753" t="s">
        <v>3501</v>
      </c>
    </row>
    <row r="998" spans="1:17">
      <c r="A998" s="760"/>
      <c r="B998" s="761">
        <v>253355</v>
      </c>
      <c r="D998" s="762"/>
      <c r="F998" s="762"/>
      <c r="H998" s="763"/>
      <c r="J998" s="753" t="s">
        <v>1582</v>
      </c>
      <c r="N998" s="753" t="s">
        <v>2421</v>
      </c>
      <c r="P998" s="754">
        <f>SUMIF('Balance Sheet Detail'!$B:$B,$Q998,'Balance Sheet Detail'!W:W)</f>
        <v>-1500</v>
      </c>
      <c r="Q998" s="753" t="s">
        <v>4287</v>
      </c>
    </row>
    <row r="999" spans="1:17">
      <c r="A999" s="760"/>
      <c r="B999" s="761">
        <v>190011</v>
      </c>
      <c r="D999" s="762" t="s">
        <v>1620</v>
      </c>
      <c r="F999" s="762" t="s">
        <v>1852</v>
      </c>
      <c r="H999" s="763"/>
      <c r="J999" s="753" t="s">
        <v>1853</v>
      </c>
      <c r="N999" s="753" t="s">
        <v>2421</v>
      </c>
      <c r="P999" s="754">
        <f>SUMIF('Balance Sheet Detail'!$B:$B,$Q999,'Balance Sheet Detail'!W:W)</f>
        <v>65.0833333333334</v>
      </c>
      <c r="Q999" s="753" t="s">
        <v>4288</v>
      </c>
    </row>
    <row r="1000" spans="1:17">
      <c r="A1000" s="760"/>
      <c r="B1000" s="761">
        <v>190001</v>
      </c>
      <c r="D1000" s="762" t="s">
        <v>4116</v>
      </c>
      <c r="F1000" s="762" t="s">
        <v>1852</v>
      </c>
      <c r="H1000" s="763"/>
      <c r="J1000" s="753" t="s">
        <v>1853</v>
      </c>
      <c r="N1000" s="753" t="s">
        <v>2421</v>
      </c>
      <c r="P1000" s="754">
        <f>SUMIF('Balance Sheet Detail'!$B:$B,$Q1000,'Balance Sheet Detail'!W:W)</f>
        <v>260.12</v>
      </c>
      <c r="Q1000" s="753" t="s">
        <v>4586</v>
      </c>
    </row>
    <row r="1001" spans="1:17">
      <c r="A1001" s="760"/>
      <c r="B1001" s="761">
        <v>190501</v>
      </c>
      <c r="D1001" s="762" t="s">
        <v>1909</v>
      </c>
      <c r="F1001" s="762" t="s">
        <v>1908</v>
      </c>
      <c r="H1001" s="763"/>
      <c r="J1001" s="753" t="s">
        <v>1910</v>
      </c>
      <c r="N1001" s="753" t="s">
        <v>2421</v>
      </c>
      <c r="P1001" s="754">
        <f>SUMIF('Balance Sheet Detail'!$B:$B,$Q1001,'Balance Sheet Detail'!W:W)</f>
        <v>-415.26116999999999</v>
      </c>
      <c r="Q1001" s="753" t="s">
        <v>4289</v>
      </c>
    </row>
    <row r="1002" spans="1:17">
      <c r="A1002" s="760"/>
      <c r="D1002" s="762"/>
      <c r="F1002" s="762"/>
      <c r="H1002" s="763"/>
      <c r="P1002" s="754"/>
    </row>
    <row r="1003" spans="1:17">
      <c r="A1003" s="760"/>
      <c r="D1003" s="762"/>
      <c r="F1003" s="762"/>
      <c r="H1003" s="763"/>
      <c r="P1003" s="755"/>
    </row>
    <row r="1004" spans="1:17">
      <c r="A1004" s="760"/>
      <c r="B1004" s="764" t="s">
        <v>2951</v>
      </c>
      <c r="C1004" s="814"/>
      <c r="E1004" s="814"/>
      <c r="G1004" s="814"/>
      <c r="I1004" s="814"/>
      <c r="K1004" s="814"/>
      <c r="L1004" s="814"/>
      <c r="P1004" s="756">
        <f>SUM(P972:P1003)</f>
        <v>-1525.2103858333332</v>
      </c>
      <c r="Q1004" s="791"/>
    </row>
    <row r="1005" spans="1:17">
      <c r="A1005" s="760"/>
    </row>
    <row r="1006" spans="1:17">
      <c r="A1006" s="760" t="s">
        <v>2952</v>
      </c>
    </row>
    <row r="1007" spans="1:17">
      <c r="A1007" s="760"/>
      <c r="B1007" s="761">
        <v>107010</v>
      </c>
      <c r="J1007" s="753" t="s">
        <v>26</v>
      </c>
      <c r="P1007" s="790">
        <f>(SUM('IB-CWIP'!D33:P33)-('IB-CWIP'!D33+'IB-CWIP'!P33)/2)/12</f>
        <v>175671.32112083331</v>
      </c>
      <c r="Q1007" s="753" t="s">
        <v>2953</v>
      </c>
    </row>
    <row r="1008" spans="1:17">
      <c r="A1008" s="760"/>
      <c r="B1008" s="761">
        <v>107030</v>
      </c>
      <c r="J1008" s="753" t="s">
        <v>27</v>
      </c>
      <c r="P1008" s="790">
        <f>(SUM('IB-CWIP'!D34:P34)-('IB-CWIP'!D34+'IB-CWIP'!P34)/2)/12</f>
        <v>6276.1707233333318</v>
      </c>
      <c r="Q1008" s="753" t="s">
        <v>2954</v>
      </c>
    </row>
    <row r="1009" spans="1:17">
      <c r="A1009" s="760"/>
      <c r="B1009" s="761">
        <v>107070</v>
      </c>
      <c r="J1009" s="753" t="s">
        <v>28</v>
      </c>
      <c r="P1009" s="755">
        <f>(SUM('IB-CWIP'!D35:P35)-('IB-CWIP'!D35+'IB-CWIP'!P35)/2)/12</f>
        <v>10773.112773749999</v>
      </c>
      <c r="Q1009" s="753" t="s">
        <v>2955</v>
      </c>
    </row>
    <row r="1010" spans="1:17">
      <c r="A1010" s="760"/>
      <c r="B1010" s="764" t="s">
        <v>2956</v>
      </c>
      <c r="P1010" s="913">
        <f>SUM(P1007:P1009)</f>
        <v>192720.60461791666</v>
      </c>
      <c r="Q1010" s="791"/>
    </row>
    <row r="1011" spans="1:17">
      <c r="A1011" s="760"/>
    </row>
    <row r="1012" spans="1:17">
      <c r="A1012" s="760" t="s">
        <v>2957</v>
      </c>
      <c r="P1012" s="754"/>
    </row>
    <row r="1013" spans="1:17">
      <c r="A1013" s="818"/>
      <c r="B1013" s="761" t="s">
        <v>2958</v>
      </c>
      <c r="P1013" s="754">
        <f>-'Rate Base Detail'!J149</f>
        <v>5044.1078354166675</v>
      </c>
    </row>
    <row r="1014" spans="1:17">
      <c r="A1014" s="818"/>
      <c r="B1014" s="761" t="s">
        <v>2959</v>
      </c>
      <c r="P1014" s="754">
        <f>-'Rate Base Detail'!J427</f>
        <v>-17.555336245687517</v>
      </c>
    </row>
    <row r="1015" spans="1:17">
      <c r="A1015" s="818"/>
      <c r="B1015" s="914" t="s">
        <v>4323</v>
      </c>
      <c r="P1015" s="754">
        <f>(-(SUM('PSC Assess Liab'!I39:U39)-('PSC Assess Liab'!I39+'PSC Assess Liab'!U39)/2)/12-(SUM('PSC Assess Liab'!I45:U45)-('PSC Assess Liab'!I45+'PSC Assess Liab'!U45)/2)/12)/1000</f>
        <v>51.438759583333329</v>
      </c>
    </row>
    <row r="1016" spans="1:17">
      <c r="A1016" s="818"/>
      <c r="B1016" s="761" t="s">
        <v>2960</v>
      </c>
      <c r="P1016" s="754">
        <f>-'Rate Base Detail'!J313</f>
        <v>2796</v>
      </c>
    </row>
    <row r="1017" spans="1:17">
      <c r="A1017" s="818"/>
      <c r="B1017" s="761" t="s">
        <v>2961</v>
      </c>
      <c r="P1017" s="754">
        <f>-'Rate Base Detail'!J424</f>
        <v>-1107.6354000000001</v>
      </c>
    </row>
    <row r="1018" spans="1:17">
      <c r="A1018" s="818"/>
      <c r="B1018" s="761" t="s">
        <v>2962</v>
      </c>
      <c r="P1018" s="754">
        <f>-'Rate Base Detail'!J425</f>
        <v>0</v>
      </c>
    </row>
    <row r="1019" spans="1:17">
      <c r="A1019" s="818"/>
      <c r="B1019" s="761" t="s">
        <v>3502</v>
      </c>
      <c r="P1019" s="754">
        <f>H1102</f>
        <v>16567.164133632432</v>
      </c>
    </row>
    <row r="1020" spans="1:17">
      <c r="A1020" s="818"/>
      <c r="B1020" s="761" t="s">
        <v>4028</v>
      </c>
      <c r="P1020" s="754">
        <f>-'Rate Base Detail'!I393</f>
        <v>2645</v>
      </c>
    </row>
    <row r="1021" spans="1:17">
      <c r="A1021" s="818"/>
      <c r="B1021" s="761" t="s">
        <v>3503</v>
      </c>
      <c r="P1021" s="754">
        <f>-'Rate Base Detail'!J421</f>
        <v>-1047.81675</v>
      </c>
    </row>
    <row r="1022" spans="1:17">
      <c r="A1022" s="818"/>
      <c r="B1022" s="761" t="s">
        <v>3907</v>
      </c>
      <c r="P1022" s="754">
        <f>-'Rate Base Detail'!J423</f>
        <v>652.35155073613305</v>
      </c>
    </row>
    <row r="1023" spans="1:17">
      <c r="A1023" s="818"/>
      <c r="B1023" s="761" t="s">
        <v>4017</v>
      </c>
      <c r="P1023" s="754">
        <f>-'Rate Base Detail'!J233</f>
        <v>2282.09337</v>
      </c>
    </row>
    <row r="1024" spans="1:17">
      <c r="A1024" s="818"/>
      <c r="B1024" s="761" t="s">
        <v>3908</v>
      </c>
      <c r="P1024" s="754">
        <f>-'Rate Base Detail'!J429</f>
        <v>-904.05128852550001</v>
      </c>
    </row>
    <row r="1025" spans="1:17">
      <c r="A1025" s="818"/>
      <c r="B1025" s="761" t="s">
        <v>3504</v>
      </c>
      <c r="P1025" s="754">
        <f>-'Rate Base Detail'!J428</f>
        <v>4.6111860000000006E-13</v>
      </c>
    </row>
    <row r="1026" spans="1:17">
      <c r="A1026" s="818"/>
      <c r="B1026" s="761" t="s">
        <v>3505</v>
      </c>
      <c r="P1026" s="754">
        <f>P934*-0.39615</f>
        <v>-39.040743270875026</v>
      </c>
    </row>
    <row r="1027" spans="1:17">
      <c r="A1027" s="818"/>
      <c r="B1027" s="761" t="s">
        <v>3506</v>
      </c>
      <c r="P1027" s="754">
        <f>P653*-0.39615</f>
        <v>32.609220620499933</v>
      </c>
    </row>
    <row r="1028" spans="1:17">
      <c r="A1028" s="818"/>
      <c r="B1028" s="761" t="s">
        <v>2964</v>
      </c>
      <c r="P1028" s="754">
        <f>-'Rate Base Detail'!J420</f>
        <v>-98898.25575707294</v>
      </c>
    </row>
    <row r="1029" spans="1:17">
      <c r="A1029" s="818"/>
      <c r="B1029" s="761" t="s">
        <v>2965</v>
      </c>
      <c r="P1029" s="754"/>
    </row>
    <row r="1030" spans="1:17">
      <c r="A1030" s="818"/>
      <c r="B1030" s="761" t="s">
        <v>2966</v>
      </c>
      <c r="P1030" s="754">
        <f>('EEPS Elec'!N48+'EEPS Gas'!O49)/1000</f>
        <v>-11218.289574166669</v>
      </c>
    </row>
    <row r="1031" spans="1:17">
      <c r="A1031" s="818"/>
      <c r="B1031" s="761" t="s">
        <v>4357</v>
      </c>
      <c r="P1031" s="754">
        <f>-'Rate Base Detail'!J422</f>
        <v>-197.01628120199999</v>
      </c>
    </row>
    <row r="1032" spans="1:17">
      <c r="A1032" s="818"/>
      <c r="B1032" s="761" t="s">
        <v>4356</v>
      </c>
      <c r="P1032" s="754">
        <f>-'Rate Base Detail'!J426</f>
        <v>-883.71938809918879</v>
      </c>
    </row>
    <row r="1033" spans="1:17">
      <c r="A1033" s="818"/>
      <c r="B1033" s="761" t="s">
        <v>4535</v>
      </c>
      <c r="P1033" s="754">
        <f>-'Rate Base Detail'!J431</f>
        <v>-18.383513735500127</v>
      </c>
    </row>
    <row r="1034" spans="1:17">
      <c r="A1034" s="818"/>
      <c r="B1034" s="761" t="s">
        <v>2391</v>
      </c>
      <c r="P1034" s="755">
        <v>159.34876149515731</v>
      </c>
      <c r="Q1034" s="823"/>
    </row>
    <row r="1035" spans="1:17">
      <c r="B1035" s="764" t="s">
        <v>2967</v>
      </c>
      <c r="C1035" s="814"/>
      <c r="E1035" s="814"/>
      <c r="G1035" s="814"/>
      <c r="I1035" s="814"/>
      <c r="K1035" s="814"/>
      <c r="L1035" s="814"/>
      <c r="P1035" s="756">
        <f>SUM(P1013:P1034)</f>
        <v>-84101.650400834144</v>
      </c>
      <c r="Q1035" s="823"/>
    </row>
    <row r="1036" spans="1:17">
      <c r="A1036" s="760"/>
    </row>
    <row r="1037" spans="1:17">
      <c r="A1037" s="760"/>
    </row>
    <row r="1038" spans="1:17" s="818" customFormat="1" thickBot="1">
      <c r="A1038" s="760" t="s">
        <v>2968</v>
      </c>
      <c r="B1038" s="915"/>
      <c r="D1038" s="915"/>
      <c r="F1038" s="915"/>
      <c r="P1038" s="916">
        <f>SUM(P10:P1037)/2</f>
        <v>6690.9745874574655</v>
      </c>
    </row>
    <row r="1039" spans="1:17" ht="15.75" thickTop="1">
      <c r="A1039" s="760"/>
      <c r="P1039" s="917">
        <f>+P1040-P1038</f>
        <v>0</v>
      </c>
    </row>
    <row r="1040" spans="1:17">
      <c r="A1040" s="760"/>
      <c r="D1040" s="761" t="s">
        <v>2969</v>
      </c>
      <c r="P1040" s="918">
        <f>'Rate Base'!I259</f>
        <v>6690.9745874574637</v>
      </c>
    </row>
    <row r="1041" spans="1:8">
      <c r="A1041" s="760"/>
    </row>
    <row r="1042" spans="1:8">
      <c r="A1042" s="760"/>
    </row>
    <row r="1043" spans="1:8">
      <c r="A1043" s="760"/>
    </row>
    <row r="1044" spans="1:8">
      <c r="A1044" s="760"/>
    </row>
    <row r="1045" spans="1:8">
      <c r="A1045" s="444" t="s">
        <v>3507</v>
      </c>
      <c r="B1045" s="654"/>
      <c r="C1045" s="404"/>
      <c r="D1045" s="709"/>
      <c r="E1045" s="420"/>
      <c r="F1045" s="708"/>
      <c r="G1045" s="393"/>
      <c r="H1045" s="404"/>
    </row>
    <row r="1046" spans="1:8">
      <c r="A1046" s="444"/>
      <c r="B1046" s="654"/>
      <c r="C1046" s="404"/>
      <c r="D1046" s="709"/>
      <c r="E1046" s="420"/>
      <c r="F1046" s="708"/>
      <c r="G1046" s="393"/>
      <c r="H1046" s="404"/>
    </row>
    <row r="1047" spans="1:8">
      <c r="A1047" s="444"/>
      <c r="B1047" s="654" t="s">
        <v>3508</v>
      </c>
      <c r="C1047" s="404"/>
      <c r="D1047" s="709"/>
      <c r="E1047" s="420"/>
      <c r="G1047" s="393"/>
      <c r="H1047" s="919">
        <v>20000</v>
      </c>
    </row>
    <row r="1048" spans="1:8">
      <c r="A1048" s="444"/>
      <c r="B1048" s="654" t="s">
        <v>3509</v>
      </c>
      <c r="C1048" s="404"/>
      <c r="D1048" s="709"/>
      <c r="F1048" s="920">
        <v>-895.52239992197019</v>
      </c>
      <c r="G1048" s="393"/>
      <c r="H1048" s="404"/>
    </row>
    <row r="1049" spans="1:8">
      <c r="A1049" s="444"/>
      <c r="B1049" s="654" t="s">
        <v>2597</v>
      </c>
      <c r="C1049" s="404"/>
      <c r="D1049" s="709"/>
      <c r="F1049" s="921">
        <v>12</v>
      </c>
      <c r="G1049" s="393"/>
      <c r="H1049" s="394">
        <f>F1048/F1049</f>
        <v>-74.626866660164183</v>
      </c>
    </row>
    <row r="1050" spans="1:8">
      <c r="A1050" s="444"/>
      <c r="B1050" s="922" t="s">
        <v>3510</v>
      </c>
      <c r="C1050" s="404"/>
      <c r="D1050" s="709"/>
      <c r="E1050" s="923"/>
      <c r="F1050" s="924"/>
      <c r="G1050" s="393"/>
      <c r="H1050" s="925" t="s">
        <v>2734</v>
      </c>
    </row>
    <row r="1051" spans="1:8">
      <c r="A1051" s="444"/>
      <c r="B1051" s="926" t="s">
        <v>3511</v>
      </c>
      <c r="C1051" s="404"/>
      <c r="D1051" s="927">
        <v>40451</v>
      </c>
      <c r="E1051" s="420"/>
      <c r="F1051" s="708">
        <f>SUM(H1047:H1049)</f>
        <v>19925.373133339835</v>
      </c>
      <c r="G1051" s="393"/>
      <c r="H1051" s="404" t="s">
        <v>3512</v>
      </c>
    </row>
    <row r="1052" spans="1:8">
      <c r="A1052" s="444"/>
      <c r="B1052" s="926"/>
      <c r="C1052" s="404"/>
      <c r="D1052" s="927">
        <v>40482</v>
      </c>
      <c r="E1052" s="420"/>
      <c r="F1052" s="924">
        <f>F1051+$H$1049</f>
        <v>19850.746266679671</v>
      </c>
      <c r="G1052" s="393"/>
      <c r="H1052" s="404"/>
    </row>
    <row r="1053" spans="1:8">
      <c r="A1053" s="444"/>
      <c r="B1053" s="926"/>
      <c r="C1053" s="404"/>
      <c r="D1053" s="927">
        <v>40512</v>
      </c>
      <c r="E1053" s="420"/>
      <c r="F1053" s="924">
        <f t="shared" ref="F1053:F1102" si="0">F1052+$H$1049</f>
        <v>19776.119400019506</v>
      </c>
      <c r="G1053" s="393"/>
      <c r="H1053" s="404"/>
    </row>
    <row r="1054" spans="1:8">
      <c r="A1054" s="444"/>
      <c r="B1054" s="926"/>
      <c r="C1054" s="404"/>
      <c r="D1054" s="927">
        <v>40543</v>
      </c>
      <c r="E1054" s="420"/>
      <c r="F1054" s="924">
        <f t="shared" si="0"/>
        <v>19701.492533359342</v>
      </c>
      <c r="G1054" s="393"/>
      <c r="H1054" s="404"/>
    </row>
    <row r="1055" spans="1:8">
      <c r="A1055" s="444"/>
      <c r="B1055" s="926"/>
      <c r="C1055" s="404"/>
      <c r="D1055" s="927">
        <v>40574</v>
      </c>
      <c r="E1055" s="420"/>
      <c r="F1055" s="924">
        <f t="shared" si="0"/>
        <v>19626.865666699177</v>
      </c>
      <c r="G1055" s="393"/>
      <c r="H1055" s="404"/>
    </row>
    <row r="1056" spans="1:8">
      <c r="A1056" s="444"/>
      <c r="B1056" s="926"/>
      <c r="C1056" s="404"/>
      <c r="D1056" s="927">
        <v>40602</v>
      </c>
      <c r="E1056" s="420"/>
      <c r="F1056" s="924">
        <f t="shared" si="0"/>
        <v>19552.238800039013</v>
      </c>
      <c r="G1056" s="393"/>
      <c r="H1056" s="404"/>
    </row>
    <row r="1057" spans="1:8">
      <c r="A1057" s="444"/>
      <c r="B1057" s="926"/>
      <c r="C1057" s="404"/>
      <c r="D1057" s="927">
        <v>40633</v>
      </c>
      <c r="E1057" s="420"/>
      <c r="F1057" s="924">
        <f t="shared" si="0"/>
        <v>19477.611933378848</v>
      </c>
      <c r="G1057" s="393"/>
      <c r="H1057" s="404"/>
    </row>
    <row r="1058" spans="1:8">
      <c r="A1058" s="444"/>
      <c r="B1058" s="926"/>
      <c r="C1058" s="404"/>
      <c r="D1058" s="927">
        <v>40663</v>
      </c>
      <c r="E1058" s="420"/>
      <c r="F1058" s="924">
        <f t="shared" si="0"/>
        <v>19402.985066718684</v>
      </c>
      <c r="G1058" s="393"/>
      <c r="H1058" s="404"/>
    </row>
    <row r="1059" spans="1:8">
      <c r="A1059" s="444"/>
      <c r="B1059" s="926"/>
      <c r="C1059" s="404"/>
      <c r="D1059" s="927">
        <v>40694</v>
      </c>
      <c r="E1059" s="420"/>
      <c r="F1059" s="924">
        <f t="shared" si="0"/>
        <v>19328.358200058519</v>
      </c>
      <c r="G1059" s="393"/>
      <c r="H1059" s="404"/>
    </row>
    <row r="1060" spans="1:8">
      <c r="A1060" s="444"/>
      <c r="B1060" s="926"/>
      <c r="C1060" s="404"/>
      <c r="D1060" s="927">
        <v>40724</v>
      </c>
      <c r="E1060" s="420"/>
      <c r="F1060" s="924">
        <f t="shared" si="0"/>
        <v>19253.731333398355</v>
      </c>
      <c r="G1060" s="393"/>
      <c r="H1060" s="404"/>
    </row>
    <row r="1061" spans="1:8">
      <c r="A1061" s="444"/>
      <c r="B1061" s="926"/>
      <c r="C1061" s="404"/>
      <c r="D1061" s="927">
        <v>40755</v>
      </c>
      <c r="E1061" s="420"/>
      <c r="F1061" s="924">
        <f t="shared" si="0"/>
        <v>19179.10446673819</v>
      </c>
      <c r="G1061" s="393"/>
      <c r="H1061" s="404"/>
    </row>
    <row r="1062" spans="1:8">
      <c r="A1062" s="444"/>
      <c r="B1062" s="926"/>
      <c r="C1062" s="404"/>
      <c r="D1062" s="927">
        <v>40786</v>
      </c>
      <c r="E1062" s="420"/>
      <c r="F1062" s="924">
        <f t="shared" si="0"/>
        <v>19104.477600078026</v>
      </c>
      <c r="G1062" s="393"/>
      <c r="H1062" s="928">
        <f>(SUM(F1051:F1061)+(F1062+F1050)/2)/12</f>
        <v>18718.905466705681</v>
      </c>
    </row>
    <row r="1063" spans="1:8">
      <c r="A1063" s="444"/>
      <c r="B1063" s="926"/>
      <c r="C1063" s="404"/>
      <c r="D1063" s="927">
        <v>40816</v>
      </c>
      <c r="E1063" s="420"/>
      <c r="F1063" s="924">
        <f t="shared" si="0"/>
        <v>19029.850733417861</v>
      </c>
      <c r="G1063" s="393"/>
      <c r="H1063" s="928">
        <f>(SUM(F1052:F1062)+(F1063+F1051)/2)/12</f>
        <v>19477.611933378848</v>
      </c>
    </row>
    <row r="1064" spans="1:8">
      <c r="A1064" s="444"/>
      <c r="B1064" s="926"/>
      <c r="C1064" s="404"/>
      <c r="D1064" s="927">
        <v>40847</v>
      </c>
      <c r="E1064" s="420"/>
      <c r="F1064" s="924">
        <f t="shared" si="0"/>
        <v>18955.223866757697</v>
      </c>
      <c r="G1064" s="393"/>
      <c r="H1064" s="928">
        <f>(SUM(F1053:F1063)+(F1064+F1052)/2)/12</f>
        <v>19402.985066718684</v>
      </c>
    </row>
    <row r="1065" spans="1:8">
      <c r="A1065" s="444"/>
      <c r="B1065" s="926"/>
      <c r="C1065" s="404"/>
      <c r="D1065" s="927">
        <v>40877</v>
      </c>
      <c r="E1065" s="420"/>
      <c r="F1065" s="924">
        <f t="shared" si="0"/>
        <v>18880.597000097532</v>
      </c>
      <c r="G1065" s="393"/>
      <c r="H1065" s="928">
        <f>(SUM(F1054:F1064)+(F1065+F1053)/2)/12</f>
        <v>19328.358200058519</v>
      </c>
    </row>
    <row r="1066" spans="1:8">
      <c r="A1066" s="444"/>
      <c r="B1066" s="926"/>
      <c r="C1066" s="404"/>
      <c r="D1066" s="927">
        <v>40908</v>
      </c>
      <c r="E1066" s="420"/>
      <c r="F1066" s="924">
        <f t="shared" si="0"/>
        <v>18805.970133437368</v>
      </c>
      <c r="G1066" s="393"/>
      <c r="H1066" s="928">
        <f>(SUM(F1055:F1065)+(F1066+F1054)/2)/12</f>
        <v>19253.731333398355</v>
      </c>
    </row>
    <row r="1067" spans="1:8">
      <c r="A1067" s="444"/>
      <c r="B1067" s="926"/>
      <c r="C1067" s="404"/>
      <c r="D1067" s="927">
        <v>40939</v>
      </c>
      <c r="E1067" s="420"/>
      <c r="F1067" s="924">
        <f t="shared" si="0"/>
        <v>18731.343266777203</v>
      </c>
      <c r="G1067" s="393"/>
      <c r="H1067" s="404"/>
    </row>
    <row r="1068" spans="1:8">
      <c r="A1068" s="444"/>
      <c r="B1068" s="926"/>
      <c r="C1068" s="404"/>
      <c r="D1068" s="927">
        <v>40968</v>
      </c>
      <c r="E1068" s="420"/>
      <c r="F1068" s="924">
        <f t="shared" si="0"/>
        <v>18656.716400117039</v>
      </c>
      <c r="G1068" s="393"/>
      <c r="H1068" s="404"/>
    </row>
    <row r="1069" spans="1:8">
      <c r="A1069" s="444"/>
      <c r="B1069" s="926"/>
      <c r="C1069" s="404"/>
      <c r="D1069" s="927">
        <v>40999</v>
      </c>
      <c r="E1069" s="420"/>
      <c r="F1069" s="924">
        <f t="shared" si="0"/>
        <v>18582.089533456874</v>
      </c>
      <c r="G1069" s="393"/>
      <c r="H1069" s="404"/>
    </row>
    <row r="1070" spans="1:8">
      <c r="A1070" s="444"/>
      <c r="B1070" s="926"/>
      <c r="C1070" s="404"/>
      <c r="D1070" s="927">
        <v>41029</v>
      </c>
      <c r="E1070" s="420"/>
      <c r="F1070" s="924">
        <f t="shared" si="0"/>
        <v>18507.46266679671</v>
      </c>
      <c r="G1070" s="393"/>
      <c r="H1070" s="404"/>
    </row>
    <row r="1071" spans="1:8">
      <c r="A1071" s="444"/>
      <c r="B1071" s="926"/>
      <c r="C1071" s="404"/>
      <c r="D1071" s="927">
        <v>41060</v>
      </c>
      <c r="E1071" s="420"/>
      <c r="F1071" s="924">
        <f t="shared" si="0"/>
        <v>18432.835800136545</v>
      </c>
      <c r="G1071" s="393"/>
      <c r="H1071" s="404"/>
    </row>
    <row r="1072" spans="1:8">
      <c r="A1072" s="444"/>
      <c r="B1072" s="926"/>
      <c r="C1072" s="404"/>
      <c r="D1072" s="927">
        <v>41090</v>
      </c>
      <c r="E1072" s="420"/>
      <c r="F1072" s="924">
        <f t="shared" si="0"/>
        <v>18358.20893347638</v>
      </c>
      <c r="G1072" s="393"/>
      <c r="H1072" s="928">
        <f>(SUM(F1061:F1071)+(F1072+F1060)/2)/12</f>
        <v>18805.970133437368</v>
      </c>
    </row>
    <row r="1073" spans="1:8">
      <c r="A1073" s="444"/>
      <c r="B1073" s="926"/>
      <c r="C1073" s="404"/>
      <c r="D1073" s="927">
        <v>41121</v>
      </c>
      <c r="E1073" s="420"/>
      <c r="F1073" s="924">
        <f t="shared" si="0"/>
        <v>18283.582066816216</v>
      </c>
      <c r="G1073" s="393"/>
      <c r="H1073" s="404"/>
    </row>
    <row r="1074" spans="1:8">
      <c r="A1074" s="444"/>
      <c r="B1074" s="926"/>
      <c r="C1074" s="404"/>
      <c r="D1074" s="927">
        <v>41152</v>
      </c>
      <c r="E1074" s="420"/>
      <c r="F1074" s="924">
        <f t="shared" si="0"/>
        <v>18208.955200156051</v>
      </c>
      <c r="G1074" s="393"/>
      <c r="H1074" s="404"/>
    </row>
    <row r="1075" spans="1:8">
      <c r="A1075" s="444"/>
      <c r="B1075" s="926"/>
      <c r="C1075" s="404"/>
      <c r="D1075" s="927">
        <v>41182</v>
      </c>
      <c r="E1075" s="420"/>
      <c r="F1075" s="924">
        <f t="shared" si="0"/>
        <v>18134.328333495887</v>
      </c>
      <c r="G1075" s="393"/>
      <c r="H1075" s="404"/>
    </row>
    <row r="1076" spans="1:8">
      <c r="A1076" s="444"/>
      <c r="B1076" s="926"/>
      <c r="C1076" s="404"/>
      <c r="D1076" s="927">
        <v>41213</v>
      </c>
      <c r="E1076" s="420"/>
      <c r="F1076" s="924">
        <f t="shared" si="0"/>
        <v>18059.701466835722</v>
      </c>
      <c r="G1076" s="393"/>
      <c r="H1076" s="404"/>
    </row>
    <row r="1077" spans="1:8">
      <c r="A1077" s="444"/>
      <c r="B1077" s="926"/>
      <c r="C1077" s="404"/>
      <c r="D1077" s="927">
        <v>41243</v>
      </c>
      <c r="E1077" s="420"/>
      <c r="F1077" s="924">
        <f t="shared" si="0"/>
        <v>17985.074600175558</v>
      </c>
      <c r="G1077" s="393"/>
      <c r="H1077" s="404"/>
    </row>
    <row r="1078" spans="1:8">
      <c r="A1078" s="444"/>
      <c r="B1078" s="926"/>
      <c r="C1078" s="404"/>
      <c r="D1078" s="927">
        <v>41274</v>
      </c>
      <c r="E1078" s="420"/>
      <c r="F1078" s="924">
        <f t="shared" si="0"/>
        <v>17910.447733515393</v>
      </c>
      <c r="G1078" s="393"/>
      <c r="H1078" s="928">
        <f>(SUM(F1067:F1077)+(F1078+F1066)/2)/12</f>
        <v>18358.20893347638</v>
      </c>
    </row>
    <row r="1079" spans="1:8">
      <c r="A1079" s="444"/>
      <c r="B1079" s="926"/>
      <c r="C1079" s="404"/>
      <c r="D1079" s="927">
        <v>41305</v>
      </c>
      <c r="E1079" s="420"/>
      <c r="F1079" s="924">
        <f t="shared" si="0"/>
        <v>17835.820866855229</v>
      </c>
      <c r="G1079" s="393"/>
      <c r="H1079" s="404"/>
    </row>
    <row r="1080" spans="1:8">
      <c r="A1080" s="444"/>
      <c r="B1080" s="926"/>
      <c r="C1080" s="404"/>
      <c r="D1080" s="927">
        <v>41333</v>
      </c>
      <c r="E1080" s="420"/>
      <c r="F1080" s="924">
        <f t="shared" si="0"/>
        <v>17761.194000195064</v>
      </c>
      <c r="G1080" s="393"/>
      <c r="H1080" s="404"/>
    </row>
    <row r="1081" spans="1:8">
      <c r="A1081" s="444"/>
      <c r="B1081" s="926"/>
      <c r="C1081" s="404"/>
      <c r="D1081" s="927">
        <v>41364</v>
      </c>
      <c r="E1081" s="420"/>
      <c r="F1081" s="924">
        <f t="shared" si="0"/>
        <v>17686.5671335349</v>
      </c>
      <c r="G1081" s="393"/>
      <c r="H1081" s="404"/>
    </row>
    <row r="1082" spans="1:8">
      <c r="A1082" s="444"/>
      <c r="B1082" s="926"/>
      <c r="C1082" s="404"/>
      <c r="D1082" s="927">
        <v>41394</v>
      </c>
      <c r="E1082" s="420"/>
      <c r="F1082" s="924">
        <f t="shared" si="0"/>
        <v>17611.940266874735</v>
      </c>
      <c r="G1082" s="393"/>
      <c r="H1082" s="404"/>
    </row>
    <row r="1083" spans="1:8">
      <c r="A1083" s="444"/>
      <c r="B1083" s="926"/>
      <c r="C1083" s="404"/>
      <c r="D1083" s="927">
        <v>41425</v>
      </c>
      <c r="E1083" s="420"/>
      <c r="F1083" s="924">
        <f t="shared" si="0"/>
        <v>17537.313400214571</v>
      </c>
      <c r="G1083" s="393"/>
      <c r="H1083" s="404"/>
    </row>
    <row r="1084" spans="1:8">
      <c r="A1084" s="444"/>
      <c r="B1084" s="926"/>
      <c r="C1084" s="404"/>
      <c r="D1084" s="927">
        <v>41455</v>
      </c>
      <c r="E1084" s="420"/>
      <c r="F1084" s="924">
        <f t="shared" si="0"/>
        <v>17462.686533554406</v>
      </c>
      <c r="G1084" s="393"/>
      <c r="H1084" s="404"/>
    </row>
    <row r="1085" spans="1:8">
      <c r="A1085" s="444"/>
      <c r="B1085" s="926"/>
      <c r="C1085" s="404"/>
      <c r="D1085" s="927">
        <v>41486</v>
      </c>
      <c r="E1085" s="420"/>
      <c r="F1085" s="924">
        <f t="shared" si="0"/>
        <v>17388.059666894242</v>
      </c>
      <c r="G1085" s="393"/>
      <c r="H1085" s="404"/>
    </row>
    <row r="1086" spans="1:8">
      <c r="A1086" s="444"/>
      <c r="B1086" s="926"/>
      <c r="C1086" s="404"/>
      <c r="D1086" s="927">
        <v>41517</v>
      </c>
      <c r="E1086" s="420"/>
      <c r="F1086" s="924">
        <f t="shared" si="0"/>
        <v>17313.432800234077</v>
      </c>
      <c r="G1086" s="393"/>
      <c r="H1086" s="404"/>
    </row>
    <row r="1087" spans="1:8">
      <c r="A1087" s="444"/>
      <c r="B1087" s="926"/>
      <c r="C1087" s="404"/>
      <c r="D1087" s="927">
        <v>41547</v>
      </c>
      <c r="E1087" s="420"/>
      <c r="F1087" s="924">
        <f t="shared" si="0"/>
        <v>17238.805933573913</v>
      </c>
      <c r="G1087" s="393"/>
      <c r="H1087" s="928">
        <f>(SUM(F1076:F1086)+(F1087+F1075)/2)/12</f>
        <v>17686.567133534896</v>
      </c>
    </row>
    <row r="1088" spans="1:8">
      <c r="A1088" s="444"/>
      <c r="B1088" s="926"/>
      <c r="C1088" s="404"/>
      <c r="D1088" s="927">
        <v>41578</v>
      </c>
      <c r="E1088" s="420"/>
      <c r="F1088" s="924">
        <f t="shared" si="0"/>
        <v>17164.179066913748</v>
      </c>
      <c r="G1088" s="393"/>
      <c r="H1088" s="404"/>
    </row>
    <row r="1089" spans="1:8">
      <c r="A1089" s="444"/>
      <c r="B1089" s="926"/>
      <c r="C1089" s="404"/>
      <c r="D1089" s="927">
        <v>41608</v>
      </c>
      <c r="E1089" s="420"/>
      <c r="F1089" s="924">
        <f t="shared" si="0"/>
        <v>17089.552200253584</v>
      </c>
      <c r="G1089" s="393"/>
      <c r="H1089" s="404"/>
    </row>
    <row r="1090" spans="1:8">
      <c r="A1090" s="444"/>
      <c r="B1090" s="926"/>
      <c r="C1090" s="404"/>
      <c r="D1090" s="927">
        <v>41639</v>
      </c>
      <c r="E1090" s="420"/>
      <c r="F1090" s="924">
        <f t="shared" si="0"/>
        <v>17014.925333593419</v>
      </c>
      <c r="G1090" s="393"/>
      <c r="H1090" s="928">
        <f>(SUM(F1079:F1089)+(F1090+F1078)/2)/12</f>
        <v>17462.68653355441</v>
      </c>
    </row>
    <row r="1091" spans="1:8">
      <c r="D1091" s="927">
        <v>41670</v>
      </c>
      <c r="E1091" s="420"/>
      <c r="F1091" s="924">
        <f t="shared" si="0"/>
        <v>16940.298466933255</v>
      </c>
    </row>
    <row r="1092" spans="1:8">
      <c r="D1092" s="927">
        <v>41698</v>
      </c>
      <c r="E1092" s="420"/>
      <c r="F1092" s="924">
        <f t="shared" si="0"/>
        <v>16865.67160027309</v>
      </c>
    </row>
    <row r="1093" spans="1:8">
      <c r="D1093" s="927">
        <v>41729</v>
      </c>
      <c r="F1093" s="924">
        <f t="shared" si="0"/>
        <v>16791.044733612925</v>
      </c>
      <c r="H1093" s="928">
        <f>(SUM(F1082:F1092)+(F1093+F1081)/2)/12</f>
        <v>17238.805933573913</v>
      </c>
    </row>
    <row r="1094" spans="1:8">
      <c r="D1094" s="927">
        <v>41759</v>
      </c>
      <c r="F1094" s="924">
        <f t="shared" si="0"/>
        <v>16716.417866952761</v>
      </c>
    </row>
    <row r="1095" spans="1:8">
      <c r="D1095" s="927">
        <v>41790</v>
      </c>
      <c r="F1095" s="924">
        <f t="shared" si="0"/>
        <v>16641.791000292596</v>
      </c>
    </row>
    <row r="1096" spans="1:8">
      <c r="D1096" s="927">
        <v>41820</v>
      </c>
      <c r="F1096" s="924">
        <f t="shared" si="0"/>
        <v>16567.164133632432</v>
      </c>
      <c r="H1096" s="928">
        <f>(SUM(F1085:F1095)+(F1096+F1084)/2)/12</f>
        <v>17014.925333593419</v>
      </c>
    </row>
    <row r="1097" spans="1:8">
      <c r="D1097" s="927">
        <v>41851</v>
      </c>
      <c r="F1097" s="924">
        <f t="shared" si="0"/>
        <v>16492.537266972267</v>
      </c>
    </row>
    <row r="1098" spans="1:8">
      <c r="D1098" s="927">
        <v>41882</v>
      </c>
      <c r="F1098" s="924">
        <f t="shared" si="0"/>
        <v>16417.910400312103</v>
      </c>
    </row>
    <row r="1099" spans="1:8">
      <c r="D1099" s="927">
        <v>41912</v>
      </c>
      <c r="F1099" s="924">
        <f t="shared" si="0"/>
        <v>16343.283533651938</v>
      </c>
      <c r="H1099" s="928">
        <f>(SUM(F1088:F1098)+(F1099+F1087)/2)/12</f>
        <v>16791.044733612925</v>
      </c>
    </row>
    <row r="1100" spans="1:8">
      <c r="D1100" s="927">
        <v>41943</v>
      </c>
      <c r="F1100" s="924">
        <f t="shared" si="0"/>
        <v>16268.656666991774</v>
      </c>
    </row>
    <row r="1101" spans="1:8">
      <c r="D1101" s="927">
        <v>41973</v>
      </c>
      <c r="F1101" s="924">
        <f t="shared" si="0"/>
        <v>16194.029800331609</v>
      </c>
    </row>
    <row r="1102" spans="1:8">
      <c r="D1102" s="927">
        <v>42004</v>
      </c>
      <c r="F1102" s="924">
        <f t="shared" si="0"/>
        <v>16119.402933671445</v>
      </c>
      <c r="H1102" s="928">
        <f>(SUM(F1091:F1101)+(F1102+F1090)/2)/12</f>
        <v>16567.164133632432</v>
      </c>
    </row>
  </sheetData>
  <conditionalFormatting sqref="P1039">
    <cfRule type="cellIs" dxfId="1" priority="3" operator="notEqual">
      <formula>0</formula>
    </cfRule>
  </conditionalFormatting>
  <conditionalFormatting sqref="F1048 H1049 G1045:G1090 F1045:F1046 H1047 F1050:F1102">
    <cfRule type="cellIs" dxfId="0" priority="1" stopIfTrue="1" operator="equal">
      <formula>"see detail"</formula>
    </cfRule>
  </conditionalFormatting>
  <pageMargins left="0.33" right="0.25" top="0.39" bottom="0.42" header="0.2" footer="0.18"/>
  <pageSetup scale="46" fitToHeight="11" orientation="portrait" r:id="rId1"/>
  <headerFooter>
    <oddFooter>&amp;C&amp;P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4"/>
  <sheetViews>
    <sheetView view="pageBreakPreview" zoomScale="60"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F37" sqref="F37"/>
    </sheetView>
  </sheetViews>
  <sheetFormatPr defaultRowHeight="12.75"/>
  <cols>
    <col min="1" max="1" width="9" style="272" customWidth="1"/>
    <col min="2" max="2" width="9" style="730"/>
    <col min="3" max="3" width="9" style="272"/>
    <col min="4" max="4" width="10.125" style="272" bestFit="1" customWidth="1"/>
    <col min="5" max="6" width="10.75" style="272" bestFit="1" customWidth="1"/>
    <col min="7" max="7" width="11" style="272" bestFit="1" customWidth="1"/>
    <col min="8" max="8" width="10.75" style="272" bestFit="1" customWidth="1"/>
    <col min="9" max="9" width="10.5" style="272" bestFit="1" customWidth="1"/>
    <col min="10" max="10" width="10.75" style="272" bestFit="1" customWidth="1"/>
    <col min="11" max="11" width="11.125" style="272" bestFit="1" customWidth="1"/>
    <col min="12" max="12" width="10.75" style="272" bestFit="1" customWidth="1"/>
    <col min="13" max="13" width="11.125" style="272" bestFit="1" customWidth="1"/>
    <col min="14" max="14" width="11.375" style="272" bestFit="1" customWidth="1"/>
    <col min="15" max="16" width="11.625" style="272" bestFit="1" customWidth="1"/>
    <col min="17" max="16384" width="9" style="272"/>
  </cols>
  <sheetData>
    <row r="1" spans="1:16">
      <c r="A1" s="387" t="s">
        <v>2807</v>
      </c>
    </row>
    <row r="2" spans="1:16">
      <c r="A2" s="387" t="s">
        <v>2797</v>
      </c>
    </row>
    <row r="3" spans="1:16">
      <c r="A3" s="387" t="s">
        <v>2798</v>
      </c>
    </row>
    <row r="4" spans="1:16">
      <c r="A4" s="387"/>
    </row>
    <row r="5" spans="1:16">
      <c r="A5" s="387"/>
    </row>
    <row r="6" spans="1:16">
      <c r="D6" s="273">
        <v>41609</v>
      </c>
      <c r="E6" s="273">
        <v>41640</v>
      </c>
      <c r="F6" s="273">
        <v>41671</v>
      </c>
      <c r="G6" s="273">
        <v>41699</v>
      </c>
      <c r="H6" s="273">
        <v>41730</v>
      </c>
      <c r="I6" s="273">
        <v>41760</v>
      </c>
      <c r="J6" s="273">
        <v>41791</v>
      </c>
      <c r="K6" s="273">
        <v>41821</v>
      </c>
      <c r="L6" s="273">
        <v>41852</v>
      </c>
      <c r="M6" s="273">
        <v>41883</v>
      </c>
      <c r="N6" s="273">
        <v>41913</v>
      </c>
      <c r="O6" s="273">
        <v>41944</v>
      </c>
      <c r="P6" s="273">
        <v>41974</v>
      </c>
    </row>
    <row r="8" spans="1:16">
      <c r="A8" s="272" t="s">
        <v>2799</v>
      </c>
    </row>
    <row r="9" spans="1:16">
      <c r="A9" s="382" t="s">
        <v>2473</v>
      </c>
      <c r="B9" s="731">
        <v>107010</v>
      </c>
      <c r="C9" s="81"/>
      <c r="D9" s="376">
        <f>SUMIF('Balance Sheet Detail'!$C:$C,$B9,'Balance Sheet Detail'!AC:AC)</f>
        <v>170378.69560000001</v>
      </c>
      <c r="E9" s="376">
        <f>SUMIF('Balance Sheet Detail'!$C:$C,$B9,'Balance Sheet Detail'!AD:AD)</f>
        <v>168490.40578</v>
      </c>
      <c r="F9" s="376">
        <f>SUMIF('Balance Sheet Detail'!$C:$C,$B9,'Balance Sheet Detail'!AE:AE)</f>
        <v>168920.97052999999</v>
      </c>
      <c r="G9" s="376">
        <f>SUMIF('Balance Sheet Detail'!$C:$C,$B9,'Balance Sheet Detail'!AF:AF)</f>
        <v>164118.75388999999</v>
      </c>
      <c r="H9" s="376">
        <f>SUMIF('Balance Sheet Detail'!$C:$C,$B9,'Balance Sheet Detail'!AG:AG)</f>
        <v>172251.16438</v>
      </c>
      <c r="I9" s="376">
        <f>SUMIF('Balance Sheet Detail'!$C:$C,$B9,'Balance Sheet Detail'!AH:AH)</f>
        <v>172884.11486</v>
      </c>
      <c r="J9" s="376">
        <f>SUMIF('Balance Sheet Detail'!$C:$C,$B9,'Balance Sheet Detail'!AI:AI)</f>
        <v>170549.13341000001</v>
      </c>
      <c r="K9" s="376">
        <f>SUMIF('Balance Sheet Detail'!$C:$C,$B9,'Balance Sheet Detail'!AJ:AJ)</f>
        <v>174782.36828999998</v>
      </c>
      <c r="L9" s="376">
        <f>SUMIF('Balance Sheet Detail'!$C:$C,$B9,'Balance Sheet Detail'!AK:AK)</f>
        <v>176700.92631000001</v>
      </c>
      <c r="M9" s="376">
        <f>SUMIF('Balance Sheet Detail'!$C:$C,$B9,'Balance Sheet Detail'!AL:AL)</f>
        <v>183348.63221000001</v>
      </c>
      <c r="N9" s="376">
        <f>SUMIF('Balance Sheet Detail'!$C:$C,$B9,'Balance Sheet Detail'!AM:AM)</f>
        <v>191569.24628999998</v>
      </c>
      <c r="O9" s="376">
        <f>SUMIF('Balance Sheet Detail'!$C:$C,$B9,'Balance Sheet Detail'!AN:AN)</f>
        <v>190017.45671</v>
      </c>
      <c r="P9" s="376">
        <f>SUMIF('Balance Sheet Detail'!$C:$C,$B9,'Balance Sheet Detail'!AO:AO)</f>
        <v>207911.72396999999</v>
      </c>
    </row>
    <row r="10" spans="1:16">
      <c r="A10" s="382" t="s">
        <v>2474</v>
      </c>
      <c r="B10" s="731">
        <v>107030</v>
      </c>
      <c r="C10" s="81"/>
      <c r="D10" s="376">
        <f>SUMIF('Balance Sheet Detail'!$C:$C,$B10,'Balance Sheet Detail'!AC:AC)</f>
        <v>5049.9771500000006</v>
      </c>
      <c r="E10" s="376">
        <f>SUMIF('Balance Sheet Detail'!$C:$C,$B10,'Balance Sheet Detail'!AD:AD)</f>
        <v>4907.3241399999997</v>
      </c>
      <c r="F10" s="376">
        <f>SUMIF('Balance Sheet Detail'!$C:$C,$B10,'Balance Sheet Detail'!AE:AE)</f>
        <v>5330.6414699999996</v>
      </c>
      <c r="G10" s="376">
        <f>SUMIF('Balance Sheet Detail'!$C:$C,$B10,'Balance Sheet Detail'!AF:AF)</f>
        <v>5393.1762900000003</v>
      </c>
      <c r="H10" s="376">
        <f>SUMIF('Balance Sheet Detail'!$C:$C,$B10,'Balance Sheet Detail'!AG:AG)</f>
        <v>5452.8038799999995</v>
      </c>
      <c r="I10" s="376">
        <f>SUMIF('Balance Sheet Detail'!$C:$C,$B10,'Balance Sheet Detail'!AH:AH)</f>
        <v>5401.0000300000002</v>
      </c>
      <c r="J10" s="376">
        <f>SUMIF('Balance Sheet Detail'!$C:$C,$B10,'Balance Sheet Detail'!AI:AI)</f>
        <v>6332.5996500000001</v>
      </c>
      <c r="K10" s="376">
        <f>SUMIF('Balance Sheet Detail'!$C:$C,$B10,'Balance Sheet Detail'!AJ:AJ)</f>
        <v>6621.7073099999998</v>
      </c>
      <c r="L10" s="376">
        <f>SUMIF('Balance Sheet Detail'!$C:$C,$B10,'Balance Sheet Detail'!AK:AK)</f>
        <v>8438.2021600000007</v>
      </c>
      <c r="M10" s="376">
        <f>SUMIF('Balance Sheet Detail'!$C:$C,$B10,'Balance Sheet Detail'!AL:AL)</f>
        <v>8840.5419199999997</v>
      </c>
      <c r="N10" s="376">
        <f>SUMIF('Balance Sheet Detail'!$C:$C,$B10,'Balance Sheet Detail'!AM:AM)</f>
        <v>6692.29972</v>
      </c>
      <c r="O10" s="376">
        <f>SUMIF('Balance Sheet Detail'!$C:$C,$B10,'Balance Sheet Detail'!AN:AN)</f>
        <v>6330.1527100000003</v>
      </c>
      <c r="P10" s="376">
        <f>SUMIF('Balance Sheet Detail'!$C:$C,$B10,'Balance Sheet Detail'!AO:AO)</f>
        <v>6172.4393300000002</v>
      </c>
    </row>
    <row r="11" spans="1:16" ht="15">
      <c r="A11" s="382" t="s">
        <v>2476</v>
      </c>
      <c r="B11" s="731">
        <v>107070</v>
      </c>
      <c r="C11" s="81"/>
      <c r="D11" s="388">
        <f>SUMIF('Balance Sheet Detail'!$C:$C,$B11,'Balance Sheet Detail'!AC:AC)</f>
        <v>15812.693019999999</v>
      </c>
      <c r="E11" s="388">
        <f>SUMIF('Balance Sheet Detail'!$C:$C,$B11,'Balance Sheet Detail'!AD:AD)</f>
        <v>14840.95039</v>
      </c>
      <c r="F11" s="388">
        <f>SUMIF('Balance Sheet Detail'!$C:$C,$B11,'Balance Sheet Detail'!AE:AE)</f>
        <v>11568.07978</v>
      </c>
      <c r="G11" s="388">
        <f>SUMIF('Balance Sheet Detail'!$C:$C,$B11,'Balance Sheet Detail'!AF:AF)</f>
        <v>9833.7703000000001</v>
      </c>
      <c r="H11" s="388">
        <f>SUMIF('Balance Sheet Detail'!$C:$C,$B11,'Balance Sheet Detail'!AG:AG)</f>
        <v>9376.0868399999999</v>
      </c>
      <c r="I11" s="388">
        <f>SUMIF('Balance Sheet Detail'!$C:$C,$B11,'Balance Sheet Detail'!AH:AH)</f>
        <v>10237.714039999999</v>
      </c>
      <c r="J11" s="388">
        <f>SUMIF('Balance Sheet Detail'!$C:$C,$B11,'Balance Sheet Detail'!AI:AI)</f>
        <v>10821.1949</v>
      </c>
      <c r="K11" s="388">
        <f>SUMIF('Balance Sheet Detail'!$C:$C,$B11,'Balance Sheet Detail'!AJ:AJ)</f>
        <v>11623.39553</v>
      </c>
      <c r="L11" s="388">
        <f>SUMIF('Balance Sheet Detail'!$C:$C,$B11,'Balance Sheet Detail'!AK:AK)</f>
        <v>12272.534830000001</v>
      </c>
      <c r="M11" s="388">
        <f>SUMIF('Balance Sheet Detail'!$C:$C,$B11,'Balance Sheet Detail'!AL:AL)</f>
        <v>12854.75252</v>
      </c>
      <c r="N11" s="388">
        <f>SUMIF('Balance Sheet Detail'!$C:$C,$B11,'Balance Sheet Detail'!AM:AM)</f>
        <v>14084.71759</v>
      </c>
      <c r="O11" s="388">
        <f>SUMIF('Balance Sheet Detail'!$C:$C,$B11,'Balance Sheet Detail'!AN:AN)</f>
        <v>15225.349269999999</v>
      </c>
      <c r="P11" s="388">
        <f>SUMIF('Balance Sheet Detail'!$C:$C,$B11,'Balance Sheet Detail'!AO:AO)</f>
        <v>19616.586789999998</v>
      </c>
    </row>
    <row r="12" spans="1:16">
      <c r="A12" s="382"/>
      <c r="B12" s="731"/>
      <c r="C12" s="81"/>
      <c r="D12" s="376">
        <f t="shared" ref="D12:E12" si="0">SUM(D9:D11)</f>
        <v>191241.36577</v>
      </c>
      <c r="E12" s="376">
        <f t="shared" si="0"/>
        <v>188238.68031000003</v>
      </c>
      <c r="F12" s="376">
        <f t="shared" ref="F12" si="1">SUM(F9:F11)</f>
        <v>185819.69177999999</v>
      </c>
      <c r="G12" s="376">
        <f t="shared" ref="G12" si="2">SUM(G9:G11)</f>
        <v>179345.70048</v>
      </c>
      <c r="H12" s="376">
        <f t="shared" ref="H12:I12" si="3">SUM(H9:H11)</f>
        <v>187080.0551</v>
      </c>
      <c r="I12" s="376">
        <f t="shared" si="3"/>
        <v>188522.82892999999</v>
      </c>
      <c r="J12" s="376">
        <f t="shared" ref="J12:K12" si="4">SUM(J9:J11)</f>
        <v>187702.92796</v>
      </c>
      <c r="K12" s="376">
        <f t="shared" si="4"/>
        <v>193027.47112999999</v>
      </c>
      <c r="L12" s="376">
        <f t="shared" ref="L12:M12" si="5">SUM(L9:L11)</f>
        <v>197411.66329999999</v>
      </c>
      <c r="M12" s="376">
        <f t="shared" si="5"/>
        <v>205043.92665000001</v>
      </c>
      <c r="N12" s="376">
        <f t="shared" ref="N12:O12" si="6">SUM(N9:N11)</f>
        <v>212346.26360000001</v>
      </c>
      <c r="O12" s="376">
        <f t="shared" si="6"/>
        <v>211572.95869</v>
      </c>
      <c r="P12" s="376">
        <f t="shared" ref="P12" si="7">SUM(P9:P11)</f>
        <v>233700.75008999999</v>
      </c>
    </row>
    <row r="14" spans="1:16">
      <c r="A14" s="375" t="s">
        <v>2800</v>
      </c>
    </row>
    <row r="15" spans="1:16" s="376" customFormat="1">
      <c r="A15" s="382" t="s">
        <v>2473</v>
      </c>
      <c r="B15" s="730"/>
      <c r="C15" s="272"/>
      <c r="D15" s="1046">
        <v>13340.920409999995</v>
      </c>
      <c r="E15" s="1046">
        <v>13357.06650999999</v>
      </c>
      <c r="F15" s="1046">
        <v>13304.584620000005</v>
      </c>
      <c r="G15" s="1046">
        <v>13426.894109999985</v>
      </c>
      <c r="H15" s="1046">
        <v>13371.362439999997</v>
      </c>
      <c r="I15" s="1046">
        <v>13079.269979999988</v>
      </c>
      <c r="J15" s="1046">
        <v>7011.6226800000077</v>
      </c>
      <c r="K15" s="1046">
        <v>1129.4752800000012</v>
      </c>
      <c r="L15" s="1046">
        <v>1244.7780999999941</v>
      </c>
      <c r="M15" s="1046">
        <v>3900.1634699999991</v>
      </c>
      <c r="N15" s="1046">
        <v>4673.1605800000125</v>
      </c>
      <c r="O15" s="1046">
        <v>4728.7305999999935</v>
      </c>
      <c r="P15" s="1046">
        <v>4997.6262800000013</v>
      </c>
    </row>
    <row r="16" spans="1:16" s="376" customFormat="1">
      <c r="A16" s="382" t="s">
        <v>2474</v>
      </c>
      <c r="B16" s="730"/>
      <c r="C16" s="272"/>
      <c r="D16" s="1046">
        <v>5.4000000003725287E-4</v>
      </c>
      <c r="E16" s="1046">
        <v>5.4000000003725287E-4</v>
      </c>
      <c r="F16" s="1046">
        <v>15.602040000000038</v>
      </c>
      <c r="G16" s="1046">
        <v>15.81069000000041</v>
      </c>
      <c r="H16" s="1046">
        <v>2.4699599999999626</v>
      </c>
      <c r="I16" s="1046">
        <v>0</v>
      </c>
      <c r="J16" s="1046">
        <v>0</v>
      </c>
      <c r="K16" s="1046">
        <v>0</v>
      </c>
      <c r="L16" s="1046">
        <v>3.7253399999998509</v>
      </c>
      <c r="M16" s="1046">
        <v>0</v>
      </c>
      <c r="N16" s="1046">
        <v>0</v>
      </c>
      <c r="O16" s="1046">
        <v>0</v>
      </c>
      <c r="P16" s="1046">
        <v>0</v>
      </c>
    </row>
    <row r="17" spans="1:16" s="376" customFormat="1" ht="15">
      <c r="A17" s="382" t="s">
        <v>2476</v>
      </c>
      <c r="B17" s="730"/>
      <c r="C17" s="272"/>
      <c r="D17" s="1047">
        <v>4656.46648</v>
      </c>
      <c r="E17" s="1047">
        <v>3816.4579800000006</v>
      </c>
      <c r="F17" s="1047">
        <v>3877.0223400000018</v>
      </c>
      <c r="G17" s="1047">
        <v>2147.8226700000009</v>
      </c>
      <c r="H17" s="1047">
        <v>983.06516999999997</v>
      </c>
      <c r="I17" s="1047">
        <v>993.42475000000002</v>
      </c>
      <c r="J17" s="1047">
        <v>997.41824999999994</v>
      </c>
      <c r="K17" s="1047">
        <v>1005.2558699999992</v>
      </c>
      <c r="L17" s="1047">
        <v>1082.1287799999993</v>
      </c>
      <c r="M17" s="1047">
        <v>1069.51908</v>
      </c>
      <c r="N17" s="1047">
        <v>1054.8294800000006</v>
      </c>
      <c r="O17" s="1047">
        <v>1058.8193499999995</v>
      </c>
      <c r="P17" s="1047">
        <v>1523.6713000000007</v>
      </c>
    </row>
    <row r="18" spans="1:16" s="376" customFormat="1">
      <c r="A18" s="382"/>
      <c r="B18" s="730"/>
      <c r="C18" s="272"/>
      <c r="D18" s="1048">
        <f t="shared" ref="D18:O18" si="8">SUM(D15:D17)</f>
        <v>17997.387429999995</v>
      </c>
      <c r="E18" s="1048">
        <f t="shared" si="8"/>
        <v>17173.52502999999</v>
      </c>
      <c r="F18" s="1048">
        <f t="shared" si="8"/>
        <v>17197.209000000006</v>
      </c>
      <c r="G18" s="1048">
        <f t="shared" ref="G18" si="9">SUM(G15:G17)</f>
        <v>15590.527469999986</v>
      </c>
      <c r="H18" s="1048">
        <f t="shared" si="8"/>
        <v>14356.897569999997</v>
      </c>
      <c r="I18" s="1048">
        <f t="shared" si="8"/>
        <v>14072.694729999988</v>
      </c>
      <c r="J18" s="1048">
        <f t="shared" si="8"/>
        <v>8009.0409300000074</v>
      </c>
      <c r="K18" s="1048">
        <f t="shared" ref="K18:L18" si="10">SUM(K15:K17)</f>
        <v>2134.7311500000005</v>
      </c>
      <c r="L18" s="1048">
        <f t="shared" si="10"/>
        <v>2330.6322199999931</v>
      </c>
      <c r="M18" s="1048">
        <f t="shared" ref="M18" si="11">SUM(M15:M17)</f>
        <v>4969.6825499999995</v>
      </c>
      <c r="N18" s="1048">
        <f t="shared" si="8"/>
        <v>5727.9900600000128</v>
      </c>
      <c r="O18" s="1048">
        <f t="shared" si="8"/>
        <v>5787.5499499999933</v>
      </c>
      <c r="P18" s="1048">
        <f t="shared" ref="P18" si="12">SUM(P15:P17)</f>
        <v>6521.2975800000022</v>
      </c>
    </row>
    <row r="19" spans="1:16"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</row>
    <row r="20" spans="1:16">
      <c r="A20" s="375" t="s">
        <v>2801</v>
      </c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</row>
    <row r="21" spans="1:16">
      <c r="A21" s="382" t="s">
        <v>2473</v>
      </c>
      <c r="D21" s="1046">
        <v>-12506.854509999994</v>
      </c>
      <c r="E21" s="1046">
        <v>-12506.854509999994</v>
      </c>
      <c r="F21" s="1046">
        <v>-12442.881569999992</v>
      </c>
      <c r="G21" s="1046">
        <v>-12547.987489999994</v>
      </c>
      <c r="H21" s="1046">
        <v>-12258.284519999996</v>
      </c>
      <c r="I21" s="1046">
        <v>-11960.945129999995</v>
      </c>
      <c r="J21" s="1046">
        <v>-5889.0730200000016</v>
      </c>
      <c r="K21" s="1046">
        <v>0</v>
      </c>
      <c r="L21" s="1046">
        <v>0</v>
      </c>
      <c r="M21" s="1046">
        <v>-2651.2488800000001</v>
      </c>
      <c r="N21" s="1049">
        <v>-2860.5673099999999</v>
      </c>
      <c r="O21" s="1049">
        <v>-2860.5673099999999</v>
      </c>
      <c r="P21" s="1049">
        <v>-2884.0314500000009</v>
      </c>
    </row>
    <row r="22" spans="1:16">
      <c r="A22" s="382" t="s">
        <v>2474</v>
      </c>
      <c r="D22" s="1046">
        <v>0</v>
      </c>
      <c r="E22" s="1046">
        <v>0</v>
      </c>
      <c r="F22" s="1046">
        <v>0</v>
      </c>
      <c r="G22" s="1046">
        <v>0</v>
      </c>
      <c r="H22" s="1046">
        <v>0</v>
      </c>
      <c r="I22" s="1046">
        <v>0</v>
      </c>
      <c r="J22" s="1046">
        <v>0</v>
      </c>
      <c r="K22" s="1046">
        <v>0</v>
      </c>
      <c r="L22" s="1046">
        <v>0</v>
      </c>
      <c r="M22" s="1046">
        <v>0</v>
      </c>
      <c r="N22" s="1046">
        <v>0</v>
      </c>
      <c r="O22" s="1046">
        <v>0</v>
      </c>
      <c r="P22" s="1046">
        <v>0</v>
      </c>
    </row>
    <row r="23" spans="1:16" ht="15">
      <c r="A23" s="382" t="s">
        <v>2476</v>
      </c>
      <c r="D23" s="1047">
        <v>0</v>
      </c>
      <c r="E23" s="1047">
        <v>0</v>
      </c>
      <c r="F23" s="1047">
        <v>0</v>
      </c>
      <c r="G23" s="1047">
        <v>0</v>
      </c>
      <c r="H23" s="1047">
        <v>0</v>
      </c>
      <c r="I23" s="1047">
        <v>0</v>
      </c>
      <c r="J23" s="1047">
        <v>0</v>
      </c>
      <c r="K23" s="1047">
        <v>0</v>
      </c>
      <c r="L23" s="1047">
        <v>0</v>
      </c>
      <c r="M23" s="1047">
        <v>0</v>
      </c>
      <c r="N23" s="1047">
        <v>0</v>
      </c>
      <c r="O23" s="1047">
        <v>0</v>
      </c>
      <c r="P23" s="1047">
        <v>0</v>
      </c>
    </row>
    <row r="24" spans="1:16">
      <c r="A24" s="382"/>
      <c r="D24" s="376">
        <f t="shared" ref="D24:O24" si="13">SUM(D21:D23)</f>
        <v>-12506.854509999994</v>
      </c>
      <c r="E24" s="376">
        <f t="shared" si="13"/>
        <v>-12506.854509999994</v>
      </c>
      <c r="F24" s="376">
        <f t="shared" si="13"/>
        <v>-12442.881569999992</v>
      </c>
      <c r="G24" s="376">
        <f t="shared" ref="G24" si="14">SUM(G21:G23)</f>
        <v>-12547.987489999994</v>
      </c>
      <c r="H24" s="376">
        <f t="shared" si="13"/>
        <v>-12258.284519999996</v>
      </c>
      <c r="I24" s="376">
        <f t="shared" si="13"/>
        <v>-11960.945129999995</v>
      </c>
      <c r="J24" s="376">
        <f t="shared" si="13"/>
        <v>-5889.0730200000016</v>
      </c>
      <c r="K24" s="376">
        <f t="shared" si="13"/>
        <v>0</v>
      </c>
      <c r="L24" s="376">
        <f t="shared" ref="L24" si="15">SUM(L21:L23)</f>
        <v>0</v>
      </c>
      <c r="M24" s="376">
        <f t="shared" si="13"/>
        <v>-2651.2488800000001</v>
      </c>
      <c r="N24" s="376">
        <f t="shared" si="13"/>
        <v>-2860.5673099999999</v>
      </c>
      <c r="O24" s="376">
        <f t="shared" si="13"/>
        <v>-2860.5673099999999</v>
      </c>
      <c r="P24" s="376">
        <f t="shared" ref="P24" si="16">SUM(P21:P23)</f>
        <v>-2884.0314500000009</v>
      </c>
    </row>
    <row r="26" spans="1:16">
      <c r="A26" s="375" t="s">
        <v>2802</v>
      </c>
    </row>
    <row r="27" spans="1:16">
      <c r="A27" s="382" t="s">
        <v>2473</v>
      </c>
      <c r="D27" s="376">
        <f t="shared" ref="D27:P27" si="17">+D15+D21</f>
        <v>834.06590000000142</v>
      </c>
      <c r="E27" s="376">
        <f t="shared" si="17"/>
        <v>850.2119999999959</v>
      </c>
      <c r="F27" s="376">
        <f t="shared" si="17"/>
        <v>861.70305000001281</v>
      </c>
      <c r="G27" s="376">
        <f t="shared" ref="G27" si="18">+G15+G21</f>
        <v>878.90661999999065</v>
      </c>
      <c r="H27" s="376">
        <f t="shared" si="17"/>
        <v>1113.0779200000015</v>
      </c>
      <c r="I27" s="376">
        <f t="shared" si="17"/>
        <v>1118.3248499999936</v>
      </c>
      <c r="J27" s="376">
        <f t="shared" si="17"/>
        <v>1122.549660000006</v>
      </c>
      <c r="K27" s="376">
        <f t="shared" si="17"/>
        <v>1129.4752800000012</v>
      </c>
      <c r="L27" s="376">
        <f t="shared" si="17"/>
        <v>1244.7780999999941</v>
      </c>
      <c r="M27" s="376">
        <f t="shared" si="17"/>
        <v>1248.914589999999</v>
      </c>
      <c r="N27" s="376">
        <f t="shared" si="17"/>
        <v>1812.5932700000126</v>
      </c>
      <c r="O27" s="376">
        <f t="shared" si="17"/>
        <v>1868.1632899999936</v>
      </c>
      <c r="P27" s="376">
        <f t="shared" si="17"/>
        <v>2113.5948300000005</v>
      </c>
    </row>
    <row r="28" spans="1:16">
      <c r="A28" s="382" t="s">
        <v>2474</v>
      </c>
      <c r="D28" s="376">
        <f t="shared" ref="D28:P28" si="19">+D16+D22</f>
        <v>5.4000000003725287E-4</v>
      </c>
      <c r="E28" s="376">
        <f t="shared" si="19"/>
        <v>5.4000000003725287E-4</v>
      </c>
      <c r="F28" s="376">
        <f t="shared" si="19"/>
        <v>15.602040000000038</v>
      </c>
      <c r="G28" s="376">
        <f t="shared" ref="G28" si="20">+G16+G22</f>
        <v>15.81069000000041</v>
      </c>
      <c r="H28" s="376">
        <f t="shared" si="19"/>
        <v>2.4699599999999626</v>
      </c>
      <c r="I28" s="376">
        <f t="shared" si="19"/>
        <v>0</v>
      </c>
      <c r="J28" s="376">
        <f t="shared" si="19"/>
        <v>0</v>
      </c>
      <c r="K28" s="376">
        <f t="shared" si="19"/>
        <v>0</v>
      </c>
      <c r="L28" s="376">
        <f t="shared" si="19"/>
        <v>3.7253399999998509</v>
      </c>
      <c r="M28" s="376">
        <f t="shared" si="19"/>
        <v>0</v>
      </c>
      <c r="N28" s="376">
        <f t="shared" si="19"/>
        <v>0</v>
      </c>
      <c r="O28" s="376">
        <f t="shared" si="19"/>
        <v>0</v>
      </c>
      <c r="P28" s="376">
        <f t="shared" si="19"/>
        <v>0</v>
      </c>
    </row>
    <row r="29" spans="1:16" ht="15">
      <c r="A29" s="382" t="s">
        <v>2476</v>
      </c>
      <c r="D29" s="388">
        <f t="shared" ref="D29:P29" si="21">+D17+D23</f>
        <v>4656.46648</v>
      </c>
      <c r="E29" s="388">
        <f t="shared" si="21"/>
        <v>3816.4579800000006</v>
      </c>
      <c r="F29" s="388">
        <f t="shared" si="21"/>
        <v>3877.0223400000018</v>
      </c>
      <c r="G29" s="388">
        <f t="shared" ref="G29" si="22">+G17+G23</f>
        <v>2147.8226700000009</v>
      </c>
      <c r="H29" s="388">
        <f t="shared" si="21"/>
        <v>983.06516999999997</v>
      </c>
      <c r="I29" s="388">
        <f t="shared" si="21"/>
        <v>993.42475000000002</v>
      </c>
      <c r="J29" s="388">
        <f t="shared" si="21"/>
        <v>997.41824999999994</v>
      </c>
      <c r="K29" s="388">
        <f t="shared" si="21"/>
        <v>1005.2558699999992</v>
      </c>
      <c r="L29" s="388">
        <f t="shared" si="21"/>
        <v>1082.1287799999993</v>
      </c>
      <c r="M29" s="388">
        <f t="shared" si="21"/>
        <v>1069.51908</v>
      </c>
      <c r="N29" s="388">
        <f t="shared" si="21"/>
        <v>1054.8294800000006</v>
      </c>
      <c r="O29" s="388">
        <f t="shared" si="21"/>
        <v>1058.8193499999995</v>
      </c>
      <c r="P29" s="388">
        <f t="shared" si="21"/>
        <v>1523.6713000000007</v>
      </c>
    </row>
    <row r="30" spans="1:16">
      <c r="D30" s="376">
        <f t="shared" ref="D30:E30" si="23">SUM(D27:D29)</f>
        <v>5490.5329200000015</v>
      </c>
      <c r="E30" s="376">
        <f t="shared" si="23"/>
        <v>4666.670519999996</v>
      </c>
      <c r="F30" s="376">
        <f t="shared" ref="F30" si="24">SUM(F27:F29)</f>
        <v>4754.3274300000148</v>
      </c>
      <c r="G30" s="376">
        <f t="shared" ref="G30" si="25">SUM(G27:G29)</f>
        <v>3042.5399799999918</v>
      </c>
      <c r="H30" s="376">
        <f t="shared" ref="H30:I30" si="26">SUM(H27:H29)</f>
        <v>2098.6130500000013</v>
      </c>
      <c r="I30" s="376">
        <f t="shared" si="26"/>
        <v>2111.7495999999937</v>
      </c>
      <c r="J30" s="376">
        <f t="shared" ref="J30:K30" si="27">SUM(J27:J29)</f>
        <v>2119.9679100000058</v>
      </c>
      <c r="K30" s="376">
        <f t="shared" si="27"/>
        <v>2134.7311500000005</v>
      </c>
      <c r="L30" s="376">
        <f t="shared" ref="L30:M30" si="28">SUM(L27:L29)</f>
        <v>2330.6322199999931</v>
      </c>
      <c r="M30" s="376">
        <f t="shared" si="28"/>
        <v>2318.433669999999</v>
      </c>
      <c r="N30" s="376">
        <f t="shared" ref="N30:O30" si="29">SUM(N27:N29)</f>
        <v>2867.4227500000134</v>
      </c>
      <c r="O30" s="376">
        <f t="shared" si="29"/>
        <v>2926.9826399999929</v>
      </c>
      <c r="P30" s="376">
        <f t="shared" ref="P30" si="30">SUM(P27:P29)</f>
        <v>3637.2661300000009</v>
      </c>
    </row>
    <row r="32" spans="1:16">
      <c r="A32" s="375" t="s">
        <v>2803</v>
      </c>
    </row>
    <row r="33" spans="1:16">
      <c r="A33" s="382" t="s">
        <v>2473</v>
      </c>
      <c r="D33" s="274">
        <f t="shared" ref="D33" si="31">+D9-D27</f>
        <v>169544.62969999999</v>
      </c>
      <c r="E33" s="274">
        <f t="shared" ref="E33:F33" si="32">+E9-E27</f>
        <v>167640.19378</v>
      </c>
      <c r="F33" s="274">
        <f t="shared" si="32"/>
        <v>168059.26747999998</v>
      </c>
      <c r="G33" s="274">
        <f t="shared" ref="G33" si="33">+G9-G27</f>
        <v>163239.84727</v>
      </c>
      <c r="H33" s="274">
        <f t="shared" ref="H33" si="34">+H9-H27</f>
        <v>171138.08645999999</v>
      </c>
      <c r="I33" s="274">
        <f t="shared" ref="I33:J33" si="35">+I9-I27</f>
        <v>171765.79001</v>
      </c>
      <c r="J33" s="274">
        <f t="shared" si="35"/>
        <v>169426.58374999999</v>
      </c>
      <c r="K33" s="274">
        <f t="shared" ref="K33:L33" si="36">+K9-K27</f>
        <v>173652.89300999997</v>
      </c>
      <c r="L33" s="274">
        <f t="shared" si="36"/>
        <v>175456.14821000001</v>
      </c>
      <c r="M33" s="274">
        <f t="shared" ref="M33:N33" si="37">+M9-M27</f>
        <v>182099.71762000001</v>
      </c>
      <c r="N33" s="274">
        <f t="shared" si="37"/>
        <v>189756.65301999997</v>
      </c>
      <c r="O33" s="274">
        <f t="shared" ref="O33:P33" si="38">+O9-O27</f>
        <v>188149.29342</v>
      </c>
      <c r="P33" s="274">
        <f t="shared" si="38"/>
        <v>205798.12914</v>
      </c>
    </row>
    <row r="34" spans="1:16">
      <c r="A34" s="382" t="s">
        <v>2474</v>
      </c>
      <c r="D34" s="274">
        <f t="shared" ref="D34" si="39">+D10-D28</f>
        <v>5049.9766100000006</v>
      </c>
      <c r="E34" s="274">
        <f t="shared" ref="E34:F34" si="40">+E10-E28</f>
        <v>4907.3235999999997</v>
      </c>
      <c r="F34" s="274">
        <f t="shared" si="40"/>
        <v>5315.0394299999998</v>
      </c>
      <c r="G34" s="274">
        <f t="shared" ref="G34" si="41">+G10-G28</f>
        <v>5377.3656000000001</v>
      </c>
      <c r="H34" s="274">
        <f t="shared" ref="H34" si="42">+H10-H28</f>
        <v>5450.3339199999991</v>
      </c>
      <c r="I34" s="274">
        <f t="shared" ref="I34:J34" si="43">+I10-I28</f>
        <v>5401.0000300000002</v>
      </c>
      <c r="J34" s="274">
        <f t="shared" si="43"/>
        <v>6332.5996500000001</v>
      </c>
      <c r="K34" s="274">
        <f t="shared" ref="K34:L34" si="44">+K10-K28</f>
        <v>6621.7073099999998</v>
      </c>
      <c r="L34" s="274">
        <f t="shared" si="44"/>
        <v>8434.4768200000017</v>
      </c>
      <c r="M34" s="274">
        <f t="shared" ref="M34:N34" si="45">+M10-M28</f>
        <v>8840.5419199999997</v>
      </c>
      <c r="N34" s="274">
        <f t="shared" si="45"/>
        <v>6692.29972</v>
      </c>
      <c r="O34" s="274">
        <f t="shared" ref="O34:P34" si="46">+O10-O28</f>
        <v>6330.1527100000003</v>
      </c>
      <c r="P34" s="274">
        <f t="shared" si="46"/>
        <v>6172.4393300000002</v>
      </c>
    </row>
    <row r="35" spans="1:16" ht="15">
      <c r="A35" s="382" t="s">
        <v>2476</v>
      </c>
      <c r="D35" s="383">
        <f t="shared" ref="D35" si="47">+D11-D29</f>
        <v>11156.22654</v>
      </c>
      <c r="E35" s="383">
        <f t="shared" ref="E35:F35" si="48">+E11-E29</f>
        <v>11024.492409999999</v>
      </c>
      <c r="F35" s="383">
        <f t="shared" si="48"/>
        <v>7691.0574399999987</v>
      </c>
      <c r="G35" s="383">
        <f t="shared" ref="G35" si="49">+G11-G29</f>
        <v>7685.9476299999988</v>
      </c>
      <c r="H35" s="383">
        <f t="shared" ref="H35" si="50">+H11-H29</f>
        <v>8393.0216700000001</v>
      </c>
      <c r="I35" s="383">
        <f t="shared" ref="I35:J35" si="51">+I11-I29</f>
        <v>9244.2892899999988</v>
      </c>
      <c r="J35" s="383">
        <f t="shared" si="51"/>
        <v>9823.7766499999998</v>
      </c>
      <c r="K35" s="383">
        <f t="shared" ref="K35:L35" si="52">+K11-K29</f>
        <v>10618.139660000001</v>
      </c>
      <c r="L35" s="383">
        <f t="shared" si="52"/>
        <v>11190.406050000001</v>
      </c>
      <c r="M35" s="383">
        <f t="shared" ref="M35:N35" si="53">+M11-M29</f>
        <v>11785.23344</v>
      </c>
      <c r="N35" s="383">
        <f t="shared" si="53"/>
        <v>13029.88811</v>
      </c>
      <c r="O35" s="383">
        <f t="shared" ref="O35:P35" si="54">+O11-O29</f>
        <v>14166.529919999999</v>
      </c>
      <c r="P35" s="383">
        <f t="shared" si="54"/>
        <v>18092.915489999996</v>
      </c>
    </row>
    <row r="36" spans="1:16">
      <c r="D36" s="274">
        <f t="shared" ref="D36" si="55">SUM(D33:D35)</f>
        <v>185750.83285000001</v>
      </c>
      <c r="E36" s="274">
        <f t="shared" ref="E36:F36" si="56">SUM(E33:E35)</f>
        <v>183572.00979000001</v>
      </c>
      <c r="F36" s="274">
        <f t="shared" si="56"/>
        <v>181065.36434999999</v>
      </c>
      <c r="G36" s="274">
        <f t="shared" ref="G36" si="57">SUM(G33:G35)</f>
        <v>176303.1605</v>
      </c>
      <c r="H36" s="274">
        <f t="shared" ref="H36" si="58">SUM(H33:H35)</f>
        <v>184981.44204999998</v>
      </c>
      <c r="I36" s="274">
        <f t="shared" ref="I36:J36" si="59">SUM(I33:I35)</f>
        <v>186411.07932999998</v>
      </c>
      <c r="J36" s="274">
        <f t="shared" si="59"/>
        <v>185582.96004999999</v>
      </c>
      <c r="K36" s="274">
        <f t="shared" ref="K36:L36" si="60">SUM(K33:K35)</f>
        <v>190892.73997999995</v>
      </c>
      <c r="L36" s="274">
        <f t="shared" si="60"/>
        <v>195081.03108000002</v>
      </c>
      <c r="M36" s="274">
        <f t="shared" ref="M36:N36" si="61">SUM(M33:M35)</f>
        <v>202725.49298000001</v>
      </c>
      <c r="N36" s="274">
        <f t="shared" si="61"/>
        <v>209478.84084999998</v>
      </c>
      <c r="O36" s="274">
        <f t="shared" ref="O36:P36" si="62">SUM(O33:O35)</f>
        <v>208645.97605</v>
      </c>
      <c r="P36" s="274">
        <f t="shared" si="62"/>
        <v>230063.48395999998</v>
      </c>
    </row>
    <row r="38" spans="1:16">
      <c r="A38" s="375" t="s">
        <v>2804</v>
      </c>
    </row>
    <row r="39" spans="1:16">
      <c r="A39" s="382" t="s">
        <v>2473</v>
      </c>
      <c r="D39" s="389">
        <v>0.68589999999999995</v>
      </c>
      <c r="E39" s="389">
        <v>0.68589999999999995</v>
      </c>
      <c r="F39" s="389">
        <v>0.68589999999999995</v>
      </c>
      <c r="G39" s="389">
        <v>0.68589999999999995</v>
      </c>
      <c r="H39" s="389">
        <v>0.68589999999999995</v>
      </c>
      <c r="I39" s="389">
        <v>0.68589999999999995</v>
      </c>
      <c r="J39" s="389">
        <v>0.68589999999999995</v>
      </c>
      <c r="K39" s="389">
        <v>0.68589999999999995</v>
      </c>
      <c r="L39" s="389">
        <v>0.68589999999999995</v>
      </c>
      <c r="M39" s="389">
        <v>0.68589999999999995</v>
      </c>
      <c r="N39" s="389">
        <v>0.68589999999999995</v>
      </c>
      <c r="O39" s="389">
        <v>0.68589999999999995</v>
      </c>
      <c r="P39" s="389">
        <v>0.68589999999999995</v>
      </c>
    </row>
    <row r="40" spans="1:16">
      <c r="A40" s="382" t="s">
        <v>2474</v>
      </c>
      <c r="D40" s="389">
        <v>0.31410000000000005</v>
      </c>
      <c r="E40" s="389">
        <v>0.31410000000000005</v>
      </c>
      <c r="F40" s="389">
        <v>0.31410000000000005</v>
      </c>
      <c r="G40" s="389">
        <v>0.31410000000000005</v>
      </c>
      <c r="H40" s="389">
        <v>0.31410000000000005</v>
      </c>
      <c r="I40" s="389">
        <v>0.31410000000000005</v>
      </c>
      <c r="J40" s="389">
        <v>0.31410000000000005</v>
      </c>
      <c r="K40" s="389">
        <v>0.31410000000000005</v>
      </c>
      <c r="L40" s="389">
        <v>0.31410000000000005</v>
      </c>
      <c r="M40" s="389">
        <v>0.31410000000000005</v>
      </c>
      <c r="N40" s="389">
        <v>0.31410000000000005</v>
      </c>
      <c r="O40" s="389">
        <v>0.31410000000000005</v>
      </c>
      <c r="P40" s="389">
        <v>0.31410000000000005</v>
      </c>
    </row>
    <row r="42" spans="1:16">
      <c r="A42" s="272" t="s">
        <v>2805</v>
      </c>
    </row>
    <row r="43" spans="1:16">
      <c r="A43" s="382" t="s">
        <v>2473</v>
      </c>
      <c r="D43" s="390">
        <f t="shared" ref="D43" si="63">+D33+(D35*D39)</f>
        <v>177196.68548378599</v>
      </c>
      <c r="E43" s="390">
        <f t="shared" ref="E43:F43" si="64">+E33+(E35*E39)</f>
        <v>175201.893124019</v>
      </c>
      <c r="F43" s="390">
        <f t="shared" si="64"/>
        <v>173334.56377809597</v>
      </c>
      <c r="G43" s="390">
        <f t="shared" ref="G43" si="65">+G33+(G35*G39)</f>
        <v>168511.638749417</v>
      </c>
      <c r="H43" s="390">
        <f>+H33+(H35*H39)</f>
        <v>176894.86002345299</v>
      </c>
      <c r="I43" s="390">
        <f t="shared" ref="I43:J43" si="66">+I33+(I35*I39)</f>
        <v>178106.448034011</v>
      </c>
      <c r="J43" s="390">
        <f t="shared" si="66"/>
        <v>176164.71215423499</v>
      </c>
      <c r="K43" s="390">
        <f t="shared" ref="K43:L43" si="67">+K33+(K35*K39)</f>
        <v>180935.87500279397</v>
      </c>
      <c r="L43" s="390">
        <f t="shared" si="67"/>
        <v>183131.647719695</v>
      </c>
      <c r="M43" s="390">
        <f>+M33+(M35*M39)</f>
        <v>190183.20923649601</v>
      </c>
      <c r="N43" s="390">
        <f>+N33+(N35*N39)</f>
        <v>198693.85327464898</v>
      </c>
      <c r="O43" s="390">
        <f>+O33+(O35*O39)</f>
        <v>197866.11629212799</v>
      </c>
      <c r="P43" s="390">
        <f>+P33+(P35*P39)</f>
        <v>218208.05987459101</v>
      </c>
    </row>
    <row r="44" spans="1:16" ht="15">
      <c r="A44" s="382" t="s">
        <v>2474</v>
      </c>
      <c r="D44" s="391">
        <f t="shared" ref="D44" si="68">+D34+(D35*D40)</f>
        <v>8554.1473662140015</v>
      </c>
      <c r="E44" s="391">
        <f t="shared" ref="E44:F44" si="69">+E34+(E35*E40)</f>
        <v>8370.1166659810006</v>
      </c>
      <c r="F44" s="391">
        <f t="shared" si="69"/>
        <v>7730.8005719039993</v>
      </c>
      <c r="G44" s="391">
        <f t="shared" ref="G44:H44" si="70">+G34+(G35*G40)</f>
        <v>7791.5217505830005</v>
      </c>
      <c r="H44" s="391">
        <f t="shared" si="70"/>
        <v>8086.5820265469993</v>
      </c>
      <c r="I44" s="391">
        <f t="shared" ref="I44:J44" si="71">+I34+(I35*I40)</f>
        <v>8304.6312959890001</v>
      </c>
      <c r="J44" s="391">
        <f t="shared" si="71"/>
        <v>9418.2478957650001</v>
      </c>
      <c r="K44" s="391">
        <f t="shared" ref="K44:L44" si="72">+K34+(K35*K40)</f>
        <v>9956.8649772059998</v>
      </c>
      <c r="L44" s="391">
        <f t="shared" si="72"/>
        <v>11949.383360305002</v>
      </c>
      <c r="M44" s="391">
        <f t="shared" ref="M44:N44" si="73">+M34+(M35*M40)</f>
        <v>12542.283743504</v>
      </c>
      <c r="N44" s="391">
        <f t="shared" si="73"/>
        <v>10784.987575351</v>
      </c>
      <c r="O44" s="391">
        <f t="shared" ref="O44" si="74">+O34+(O35*O40)</f>
        <v>10779.859757872</v>
      </c>
      <c r="P44" s="391">
        <f>+P34+(P35*P40)</f>
        <v>11855.424085408999</v>
      </c>
    </row>
    <row r="45" spans="1:16">
      <c r="D45" s="392">
        <f t="shared" ref="D45" si="75">SUM(D43:D44)</f>
        <v>185750.83284999998</v>
      </c>
      <c r="E45" s="392">
        <f t="shared" ref="E45:F45" si="76">SUM(E43:E44)</f>
        <v>183572.00979000001</v>
      </c>
      <c r="F45" s="392">
        <f t="shared" si="76"/>
        <v>181065.36434999996</v>
      </c>
      <c r="G45" s="392">
        <f t="shared" ref="G45:H45" si="77">SUM(G43:G44)</f>
        <v>176303.1605</v>
      </c>
      <c r="H45" s="392">
        <f t="shared" si="77"/>
        <v>184981.44204999998</v>
      </c>
      <c r="I45" s="392">
        <f t="shared" ref="I45:J45" si="78">SUM(I43:I44)</f>
        <v>186411.07933000001</v>
      </c>
      <c r="J45" s="392">
        <f t="shared" si="78"/>
        <v>185582.96004999999</v>
      </c>
      <c r="K45" s="392">
        <f t="shared" ref="K45:L45" si="79">SUM(K43:K44)</f>
        <v>190892.73997999995</v>
      </c>
      <c r="L45" s="392">
        <f t="shared" si="79"/>
        <v>195081.03108000002</v>
      </c>
      <c r="M45" s="392">
        <f t="shared" ref="M45:N45" si="80">SUM(M43:M44)</f>
        <v>202725.49298000001</v>
      </c>
      <c r="N45" s="392">
        <f t="shared" si="80"/>
        <v>209478.84084999998</v>
      </c>
      <c r="O45" s="392">
        <f t="shared" ref="O45:P45" si="81">SUM(O43:O44)</f>
        <v>208645.97605</v>
      </c>
      <c r="P45" s="392">
        <f t="shared" si="81"/>
        <v>230063.48396000001</v>
      </c>
    </row>
    <row r="47" spans="1:16">
      <c r="A47" s="272" t="s">
        <v>2806</v>
      </c>
    </row>
    <row r="48" spans="1:16">
      <c r="A48" s="382" t="s">
        <v>2473</v>
      </c>
      <c r="D48" s="274">
        <v>162112.10629856252</v>
      </c>
      <c r="E48" s="274">
        <v>162505.77509275728</v>
      </c>
      <c r="F48" s="274">
        <v>162516.98862085363</v>
      </c>
      <c r="G48" s="274">
        <v>162155.17388103594</v>
      </c>
      <c r="H48" s="274">
        <v>162706.63363490076</v>
      </c>
      <c r="I48" s="274">
        <v>164523.2208327986</v>
      </c>
      <c r="J48" s="274">
        <v>166292.38874590929</v>
      </c>
      <c r="K48" s="274">
        <v>167798.54148761768</v>
      </c>
      <c r="L48" s="274">
        <v>170084.84444672527</v>
      </c>
      <c r="M48" s="274">
        <v>173261.46589926147</v>
      </c>
      <c r="N48" s="274">
        <v>176729.98983858529</v>
      </c>
      <c r="O48" s="274">
        <v>179934.55605023415</v>
      </c>
      <c r="P48" s="274">
        <v>183060.59917234848</v>
      </c>
    </row>
    <row r="49" spans="1:16" ht="15">
      <c r="A49" s="382" t="s">
        <v>2474</v>
      </c>
      <c r="D49" s="383">
        <v>7930.0909839374581</v>
      </c>
      <c r="E49" s="383">
        <v>7865.9366289093741</v>
      </c>
      <c r="F49" s="383">
        <v>7824.9213537297073</v>
      </c>
      <c r="G49" s="383">
        <v>7793.9779706307081</v>
      </c>
      <c r="H49" s="383">
        <v>7787.1761650992485</v>
      </c>
      <c r="I49" s="383">
        <v>7807.6541388680416</v>
      </c>
      <c r="J49" s="383">
        <v>7965.5313928407086</v>
      </c>
      <c r="K49" s="383">
        <v>8221.8298019656668</v>
      </c>
      <c r="L49" s="383">
        <v>8492.3806049413761</v>
      </c>
      <c r="M49" s="383">
        <v>8826.6137153218751</v>
      </c>
      <c r="N49" s="383">
        <v>9118.3971722480401</v>
      </c>
      <c r="O49" s="383">
        <v>9380.6186272657906</v>
      </c>
      <c r="P49" s="383">
        <v>9660.0054455682093</v>
      </c>
    </row>
    <row r="50" spans="1:16">
      <c r="D50" s="274">
        <v>170042.19728249998</v>
      </c>
      <c r="E50" s="274">
        <v>170371.71172166665</v>
      </c>
      <c r="F50" s="274">
        <v>170341.90997458334</v>
      </c>
      <c r="G50" s="274">
        <v>169949.15185166665</v>
      </c>
      <c r="H50" s="274">
        <v>170493.80980000002</v>
      </c>
      <c r="I50" s="274">
        <v>172330.87497166664</v>
      </c>
      <c r="J50" s="274">
        <v>174257.92013874999</v>
      </c>
      <c r="K50" s="274">
        <v>176020.37128958336</v>
      </c>
      <c r="L50" s="274">
        <v>178577.22505166664</v>
      </c>
      <c r="M50" s="274">
        <v>182088.07961458334</v>
      </c>
      <c r="N50" s="274">
        <v>185848.38701083334</v>
      </c>
      <c r="O50" s="274">
        <v>189315.17467749995</v>
      </c>
      <c r="P50" s="274">
        <v>192720.60461791669</v>
      </c>
    </row>
    <row r="53" spans="1:16">
      <c r="M53" s="856"/>
    </row>
    <row r="54" spans="1:16">
      <c r="M54" s="856"/>
    </row>
  </sheetData>
  <pageMargins left="0.7" right="0.7" top="0.75" bottom="0.75" header="0.3" footer="0.3"/>
  <pageSetup scale="6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J48"/>
  <sheetViews>
    <sheetView view="pageBreakPreview" zoomScale="60" zoomScaleNormal="100" workbookViewId="0">
      <selection activeCell="O75" sqref="A1:O75"/>
    </sheetView>
  </sheetViews>
  <sheetFormatPr defaultRowHeight="12.75"/>
  <cols>
    <col min="1" max="2" width="9" style="82"/>
    <col min="3" max="3" width="8.75" style="82" customWidth="1"/>
    <col min="4" max="4" width="9" style="82" bestFit="1" customWidth="1"/>
    <col min="5" max="5" width="9" style="82"/>
    <col min="6" max="6" width="8.25" style="712" bestFit="1" customWidth="1"/>
    <col min="7" max="7" width="12.75" style="82" customWidth="1"/>
    <col min="8" max="16384" width="9" style="82"/>
  </cols>
  <sheetData>
    <row r="2" spans="1:7">
      <c r="A2" s="80" t="s">
        <v>2590</v>
      </c>
      <c r="B2" s="81"/>
      <c r="C2" s="81"/>
      <c r="D2" s="81"/>
      <c r="E2" s="81"/>
      <c r="F2" s="731"/>
      <c r="G2" s="81"/>
    </row>
    <row r="3" spans="1:7">
      <c r="A3" s="80" t="s">
        <v>2591</v>
      </c>
      <c r="B3" s="81"/>
      <c r="C3" s="81"/>
      <c r="D3" s="81"/>
      <c r="E3" s="81"/>
      <c r="F3" s="731"/>
      <c r="G3" s="83"/>
    </row>
    <row r="4" spans="1:7">
      <c r="A4" s="81"/>
      <c r="B4" s="81"/>
      <c r="C4" s="81"/>
      <c r="D4" s="81"/>
      <c r="E4" s="81"/>
      <c r="F4" s="731"/>
      <c r="G4" s="81"/>
    </row>
    <row r="5" spans="1:7">
      <c r="A5" s="80"/>
      <c r="B5" s="81"/>
      <c r="C5" s="81"/>
      <c r="D5" s="81"/>
      <c r="E5" s="81"/>
      <c r="F5" s="731"/>
      <c r="G5" s="81"/>
    </row>
    <row r="6" spans="1:7">
      <c r="A6" s="81"/>
      <c r="B6" s="81"/>
      <c r="C6" s="81"/>
      <c r="D6" s="81"/>
      <c r="E6" s="81"/>
      <c r="F6" s="731"/>
      <c r="G6" s="81"/>
    </row>
    <row r="7" spans="1:7">
      <c r="A7" s="81"/>
      <c r="B7" s="81"/>
      <c r="C7" s="81"/>
      <c r="D7" s="81"/>
      <c r="E7" s="81"/>
      <c r="F7" s="731"/>
      <c r="G7" s="81"/>
    </row>
    <row r="8" spans="1:7">
      <c r="A8" s="81"/>
      <c r="B8" s="81"/>
      <c r="C8" s="81"/>
      <c r="D8" s="81"/>
      <c r="E8" s="81"/>
      <c r="F8" s="731"/>
      <c r="G8" s="81"/>
    </row>
    <row r="9" spans="1:7">
      <c r="A9" s="81"/>
      <c r="B9" s="81"/>
      <c r="C9" s="81"/>
      <c r="D9" s="81"/>
      <c r="E9" s="81"/>
      <c r="F9" s="731"/>
      <c r="G9" s="84" t="s">
        <v>2592</v>
      </c>
    </row>
    <row r="10" spans="1:7">
      <c r="A10" s="81"/>
      <c r="B10" s="81"/>
      <c r="C10" s="81"/>
      <c r="D10" s="81"/>
      <c r="E10" s="81"/>
      <c r="F10" s="731"/>
      <c r="G10" s="85">
        <v>42004</v>
      </c>
    </row>
    <row r="11" spans="1:7">
      <c r="A11" s="81"/>
      <c r="B11" s="81"/>
      <c r="C11" s="81"/>
      <c r="D11" s="81"/>
      <c r="E11" s="81"/>
      <c r="F11" s="731"/>
      <c r="G11" s="81"/>
    </row>
    <row r="12" spans="1:7">
      <c r="A12" s="81"/>
      <c r="B12" s="81" t="s">
        <v>2593</v>
      </c>
      <c r="C12" s="81"/>
      <c r="D12" s="81"/>
      <c r="E12" s="81"/>
      <c r="F12" s="731"/>
      <c r="G12" s="87">
        <f>G34</f>
        <v>150174824.09</v>
      </c>
    </row>
    <row r="13" spans="1:7">
      <c r="A13" s="81"/>
      <c r="B13" s="81"/>
      <c r="C13" s="81"/>
      <c r="D13" s="81"/>
      <c r="E13" s="81"/>
      <c r="F13" s="731"/>
      <c r="G13" s="81"/>
    </row>
    <row r="14" spans="1:7">
      <c r="A14" s="81"/>
      <c r="B14" s="88" t="s">
        <v>2576</v>
      </c>
      <c r="C14" s="81"/>
      <c r="D14" s="81"/>
      <c r="E14" s="81"/>
      <c r="F14" s="731">
        <v>6</v>
      </c>
      <c r="G14" s="81"/>
    </row>
    <row r="15" spans="1:7">
      <c r="A15" s="81"/>
      <c r="B15" s="88" t="s">
        <v>2577</v>
      </c>
      <c r="C15" s="81"/>
      <c r="D15" s="81"/>
      <c r="E15" s="81"/>
      <c r="F15" s="732">
        <v>365</v>
      </c>
      <c r="G15" s="81"/>
    </row>
    <row r="16" spans="1:7">
      <c r="A16" s="81"/>
      <c r="B16" s="88" t="s">
        <v>2578</v>
      </c>
      <c r="C16" s="81"/>
      <c r="D16" s="81"/>
      <c r="E16" s="81"/>
      <c r="F16" s="731"/>
      <c r="G16" s="89">
        <f>F14/F15</f>
        <v>1.643835616438356E-2</v>
      </c>
    </row>
    <row r="17" spans="1:10">
      <c r="A17" s="81"/>
      <c r="B17" s="81"/>
      <c r="C17" s="81"/>
      <c r="D17" s="81"/>
      <c r="E17" s="81"/>
      <c r="F17" s="731"/>
      <c r="G17" s="81"/>
    </row>
    <row r="18" spans="1:10">
      <c r="A18" s="81"/>
      <c r="B18" s="81" t="s">
        <v>2594</v>
      </c>
      <c r="C18" s="81"/>
      <c r="D18" s="81"/>
      <c r="E18" s="81"/>
      <c r="F18" s="731"/>
      <c r="G18" s="90">
        <f>G12*G16</f>
        <v>2468627.2453150684</v>
      </c>
    </row>
    <row r="19" spans="1:10">
      <c r="A19" s="81"/>
      <c r="B19" s="81" t="s">
        <v>2595</v>
      </c>
      <c r="C19" s="81"/>
      <c r="D19" s="81"/>
      <c r="E19" s="81"/>
      <c r="F19" s="731"/>
      <c r="G19" s="89">
        <v>0.1162</v>
      </c>
    </row>
    <row r="20" spans="1:10">
      <c r="A20" s="81"/>
      <c r="B20" s="81"/>
      <c r="C20" s="81"/>
      <c r="D20" s="81"/>
      <c r="E20" s="81"/>
      <c r="F20" s="731"/>
      <c r="G20" s="81"/>
    </row>
    <row r="21" spans="1:10">
      <c r="A21" s="81"/>
      <c r="B21" s="81" t="s">
        <v>2596</v>
      </c>
      <c r="C21" s="81"/>
      <c r="D21" s="81"/>
      <c r="E21" s="81"/>
      <c r="F21" s="731"/>
      <c r="G21" s="91">
        <f>G18*G19</f>
        <v>286854.48590561096</v>
      </c>
    </row>
    <row r="26" spans="1:10">
      <c r="A26" s="80" t="s">
        <v>2590</v>
      </c>
      <c r="B26" s="81"/>
      <c r="C26" s="81"/>
      <c r="D26" s="81"/>
      <c r="E26" s="81"/>
      <c r="F26" s="731"/>
      <c r="G26" s="81"/>
    </row>
    <row r="27" spans="1:10">
      <c r="A27" s="80" t="s">
        <v>2591</v>
      </c>
      <c r="B27" s="81"/>
      <c r="C27" s="81"/>
      <c r="D27" s="81"/>
      <c r="E27" s="81"/>
      <c r="F27" s="731"/>
      <c r="G27" s="81"/>
    </row>
    <row r="28" spans="1:10">
      <c r="A28" s="81"/>
      <c r="B28" s="81"/>
      <c r="C28" s="81"/>
      <c r="D28" s="81"/>
      <c r="E28" s="81"/>
      <c r="F28" s="731"/>
      <c r="G28" s="81"/>
    </row>
    <row r="29" spans="1:10">
      <c r="A29" s="80"/>
      <c r="B29" s="81"/>
      <c r="C29" s="81"/>
      <c r="D29" s="81"/>
      <c r="E29" s="81"/>
      <c r="F29" s="733"/>
      <c r="G29" s="81"/>
    </row>
    <row r="30" spans="1:10">
      <c r="A30" s="81"/>
      <c r="B30" s="81"/>
      <c r="C30" s="81"/>
      <c r="D30" s="81"/>
      <c r="E30" s="81"/>
      <c r="F30" s="731"/>
      <c r="G30" s="81"/>
    </row>
    <row r="31" spans="1:10">
      <c r="A31" s="81"/>
      <c r="B31" s="81"/>
      <c r="C31" s="81"/>
      <c r="D31" s="81"/>
      <c r="E31" s="81"/>
      <c r="F31" s="731"/>
      <c r="G31" s="84" t="s">
        <v>2592</v>
      </c>
    </row>
    <row r="32" spans="1:10">
      <c r="A32" s="81"/>
      <c r="B32" s="81"/>
      <c r="C32" s="81"/>
      <c r="D32" s="81"/>
      <c r="E32" s="81"/>
      <c r="F32" s="731"/>
      <c r="G32" s="85">
        <v>42004</v>
      </c>
      <c r="H32" s="86"/>
      <c r="I32" s="86"/>
      <c r="J32" s="86"/>
    </row>
    <row r="33" spans="1:7">
      <c r="A33" s="81"/>
      <c r="B33" s="81"/>
      <c r="C33" s="81"/>
      <c r="D33" s="81"/>
      <c r="E33" s="81"/>
      <c r="F33" s="731"/>
      <c r="G33" s="81"/>
    </row>
    <row r="34" spans="1:7">
      <c r="A34" s="81"/>
      <c r="B34" s="81" t="s">
        <v>2593</v>
      </c>
      <c r="C34" s="81"/>
      <c r="D34" s="81"/>
      <c r="E34" s="81"/>
      <c r="F34" s="731"/>
      <c r="G34" s="95">
        <f>+'P12GAAP - TME 12-31-14'!O331</f>
        <v>150174824.09</v>
      </c>
    </row>
    <row r="35" spans="1:7">
      <c r="A35" s="81"/>
      <c r="B35" s="81"/>
      <c r="C35" s="81"/>
      <c r="D35" s="81"/>
      <c r="E35" s="81"/>
      <c r="F35" s="731"/>
      <c r="G35" s="81"/>
    </row>
    <row r="36" spans="1:7">
      <c r="A36" s="81"/>
      <c r="B36" s="88" t="s">
        <v>2576</v>
      </c>
      <c r="C36" s="81"/>
      <c r="D36" s="81"/>
      <c r="E36" s="81"/>
      <c r="F36" s="731">
        <v>6</v>
      </c>
      <c r="G36" s="81"/>
    </row>
    <row r="37" spans="1:7">
      <c r="A37" s="81"/>
      <c r="B37" s="88" t="s">
        <v>2577</v>
      </c>
      <c r="C37" s="81"/>
      <c r="D37" s="81"/>
      <c r="E37" s="81"/>
      <c r="F37" s="732">
        <v>365</v>
      </c>
      <c r="G37" s="81"/>
    </row>
    <row r="38" spans="1:7">
      <c r="A38" s="81"/>
      <c r="B38" s="88" t="s">
        <v>2578</v>
      </c>
      <c r="C38" s="81"/>
      <c r="D38" s="81"/>
      <c r="E38" s="81"/>
      <c r="F38" s="731"/>
      <c r="G38" s="89">
        <f>F36/F37</f>
        <v>1.643835616438356E-2</v>
      </c>
    </row>
    <row r="39" spans="1:7">
      <c r="A39" s="81"/>
      <c r="B39" s="81"/>
      <c r="C39" s="81"/>
      <c r="D39" s="81"/>
      <c r="E39" s="81"/>
      <c r="F39" s="731"/>
      <c r="G39" s="81"/>
    </row>
    <row r="40" spans="1:7">
      <c r="A40" s="81"/>
      <c r="B40" s="81" t="s">
        <v>2594</v>
      </c>
      <c r="C40" s="81"/>
      <c r="D40" s="81"/>
      <c r="E40" s="81"/>
      <c r="F40" s="731"/>
      <c r="G40" s="96">
        <f>G34*G38</f>
        <v>2468627.2453150684</v>
      </c>
    </row>
    <row r="41" spans="1:7">
      <c r="A41" s="81"/>
      <c r="B41" s="81" t="s">
        <v>2595</v>
      </c>
      <c r="C41" s="81"/>
      <c r="D41" s="81"/>
      <c r="E41" s="81"/>
      <c r="F41" s="731"/>
      <c r="G41" s="89">
        <v>0.1162</v>
      </c>
    </row>
    <row r="42" spans="1:7">
      <c r="A42" s="81"/>
      <c r="B42" s="81"/>
      <c r="C42" s="81"/>
      <c r="D42" s="81"/>
      <c r="E42" s="81"/>
      <c r="F42" s="731"/>
      <c r="G42" s="81"/>
    </row>
    <row r="43" spans="1:7">
      <c r="A43" s="81"/>
      <c r="B43" s="81" t="s">
        <v>2596</v>
      </c>
      <c r="C43" s="81"/>
      <c r="D43" s="81"/>
      <c r="E43" s="81"/>
      <c r="F43" s="731"/>
      <c r="G43" s="97">
        <f>G40*G41</f>
        <v>286854.48590561096</v>
      </c>
    </row>
    <row r="44" spans="1:7">
      <c r="A44" s="81"/>
      <c r="B44" s="81"/>
      <c r="C44" s="81"/>
      <c r="D44" s="81"/>
      <c r="E44" s="81"/>
      <c r="F44" s="731"/>
      <c r="G44" s="81"/>
    </row>
    <row r="45" spans="1:7">
      <c r="A45" s="81"/>
      <c r="B45" s="81"/>
      <c r="C45" s="81"/>
      <c r="D45" s="81"/>
      <c r="E45" s="81"/>
      <c r="F45" s="731"/>
      <c r="G45" s="81"/>
    </row>
    <row r="46" spans="1:7">
      <c r="A46" s="81"/>
      <c r="B46" s="81"/>
      <c r="C46" s="81"/>
      <c r="D46" s="81"/>
      <c r="E46" s="81"/>
      <c r="F46" s="731"/>
    </row>
    <row r="47" spans="1:7">
      <c r="A47" s="81"/>
      <c r="B47" s="81"/>
      <c r="C47" s="81"/>
      <c r="D47" s="81"/>
      <c r="E47" s="81"/>
      <c r="F47" s="731"/>
    </row>
    <row r="48" spans="1:7">
      <c r="A48" s="81"/>
      <c r="B48" s="81"/>
      <c r="C48" s="81"/>
      <c r="D48" s="81"/>
      <c r="E48" s="81"/>
      <c r="F48" s="731"/>
      <c r="G48" s="81"/>
    </row>
  </sheetData>
  <pageMargins left="0.3" right="0.27" top="1" bottom="1" header="0.5" footer="0.5"/>
  <pageSetup scale="8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8"/>
  <sheetViews>
    <sheetView view="pageBreakPreview" zoomScale="60" zoomScaleNormal="100" workbookViewId="0">
      <selection activeCell="L59" sqref="L58:L59"/>
    </sheetView>
  </sheetViews>
  <sheetFormatPr defaultRowHeight="12.75"/>
  <cols>
    <col min="1" max="2" width="3.25" style="272" customWidth="1"/>
    <col min="3" max="3" width="35" style="375" bestFit="1" customWidth="1"/>
    <col min="4" max="4" width="2.375" style="272" customWidth="1"/>
    <col min="5" max="5" width="10.375" style="272" bestFit="1" customWidth="1"/>
    <col min="6" max="6" width="10.75" style="272" bestFit="1" customWidth="1"/>
    <col min="7" max="7" width="10.125" style="272" bestFit="1" customWidth="1"/>
    <col min="8" max="8" width="10.375" style="272" bestFit="1" customWidth="1"/>
    <col min="9" max="9" width="10.75" style="272" bestFit="1" customWidth="1"/>
    <col min="10" max="10" width="10.125" style="272" bestFit="1" customWidth="1"/>
    <col min="11" max="11" width="10.75" style="272" bestFit="1" customWidth="1"/>
    <col min="12" max="12" width="11" style="272" bestFit="1" customWidth="1"/>
    <col min="13" max="16" width="10.5" style="272" bestFit="1" customWidth="1"/>
    <col min="17" max="17" width="10.375" style="272" bestFit="1" customWidth="1"/>
    <col min="18" max="16384" width="9" style="272"/>
  </cols>
  <sheetData>
    <row r="1" spans="1:17">
      <c r="A1" s="374"/>
    </row>
    <row r="2" spans="1:17">
      <c r="A2" s="374"/>
    </row>
    <row r="3" spans="1:17">
      <c r="B3" s="377" t="s">
        <v>2587</v>
      </c>
      <c r="D3" s="143"/>
    </row>
    <row r="4" spans="1:17">
      <c r="B4" s="378"/>
      <c r="D4" s="143"/>
    </row>
    <row r="5" spans="1:17">
      <c r="C5" s="272"/>
    </row>
    <row r="6" spans="1:17">
      <c r="C6" s="272"/>
    </row>
    <row r="7" spans="1:17" s="385" customFormat="1">
      <c r="A7" s="384" t="s">
        <v>2682</v>
      </c>
      <c r="E7" s="386">
        <v>41609</v>
      </c>
      <c r="F7" s="386">
        <v>41640</v>
      </c>
      <c r="G7" s="386">
        <v>41671</v>
      </c>
      <c r="H7" s="386">
        <v>41699</v>
      </c>
      <c r="I7" s="386">
        <v>41730</v>
      </c>
      <c r="J7" s="386">
        <v>41760</v>
      </c>
      <c r="K7" s="386">
        <v>41791</v>
      </c>
      <c r="L7" s="386">
        <v>41821</v>
      </c>
      <c r="M7" s="386">
        <v>41852</v>
      </c>
      <c r="N7" s="386">
        <v>41883</v>
      </c>
      <c r="O7" s="386">
        <v>41913</v>
      </c>
      <c r="P7" s="386">
        <v>41944</v>
      </c>
      <c r="Q7" s="386">
        <v>41974</v>
      </c>
    </row>
    <row r="8" spans="1:17">
      <c r="A8" s="379"/>
    </row>
    <row r="9" spans="1:17">
      <c r="A9" s="379" t="s">
        <v>2473</v>
      </c>
    </row>
    <row r="10" spans="1:17">
      <c r="B10" s="380" t="s">
        <v>2794</v>
      </c>
      <c r="C10" s="276"/>
      <c r="E10" s="744">
        <v>1547641.72</v>
      </c>
      <c r="F10" s="744">
        <v>1157690</v>
      </c>
      <c r="G10" s="744">
        <v>846732.34</v>
      </c>
      <c r="H10" s="744">
        <v>1053751.73</v>
      </c>
      <c r="I10" s="744">
        <v>-3146674.27</v>
      </c>
      <c r="J10" s="744">
        <v>-765067.79999999981</v>
      </c>
      <c r="K10" s="744">
        <v>3483832</v>
      </c>
      <c r="L10" s="744">
        <v>12104886.039999999</v>
      </c>
      <c r="M10" s="744">
        <v>8678554.5699999984</v>
      </c>
      <c r="N10" s="744">
        <v>3596647.2199999988</v>
      </c>
      <c r="O10" s="744">
        <v>4622735.2399999984</v>
      </c>
      <c r="P10" s="744">
        <v>4731947.5799999982</v>
      </c>
      <c r="Q10" s="744">
        <v>15117804.089999998</v>
      </c>
    </row>
    <row r="11" spans="1:17" ht="15">
      <c r="B11" s="223" t="s">
        <v>2795</v>
      </c>
      <c r="C11" s="272"/>
      <c r="E11" s="381">
        <v>0</v>
      </c>
      <c r="F11" s="381">
        <v>0</v>
      </c>
      <c r="G11" s="381">
        <v>0</v>
      </c>
      <c r="H11" s="381">
        <v>0</v>
      </c>
      <c r="I11" s="381">
        <v>0</v>
      </c>
      <c r="J11" s="381">
        <v>0</v>
      </c>
      <c r="K11" s="381">
        <v>0</v>
      </c>
      <c r="L11" s="381">
        <v>0</v>
      </c>
      <c r="M11" s="381">
        <v>0</v>
      </c>
      <c r="N11" s="381">
        <v>0</v>
      </c>
      <c r="O11" s="381">
        <v>0</v>
      </c>
      <c r="P11" s="381">
        <v>0</v>
      </c>
      <c r="Q11" s="381">
        <v>0</v>
      </c>
    </row>
    <row r="13" spans="1:17">
      <c r="C13" s="223" t="s">
        <v>2796</v>
      </c>
      <c r="E13" s="274">
        <v>1547641.72</v>
      </c>
      <c r="F13" s="274">
        <v>1157690</v>
      </c>
      <c r="G13" s="274">
        <v>846732.34</v>
      </c>
      <c r="H13" s="274">
        <v>1053751.73</v>
      </c>
      <c r="I13" s="274">
        <v>-3146674.27</v>
      </c>
      <c r="J13" s="274">
        <v>-765067.79999999981</v>
      </c>
      <c r="K13" s="274">
        <v>3483832</v>
      </c>
      <c r="L13" s="274">
        <v>12104886.039999999</v>
      </c>
      <c r="M13" s="274">
        <v>8678554.5699999984</v>
      </c>
      <c r="N13" s="274">
        <v>3596647.2199999988</v>
      </c>
      <c r="O13" s="274">
        <v>4622735.2399999984</v>
      </c>
      <c r="P13" s="274">
        <v>4731947.5799999982</v>
      </c>
      <c r="Q13" s="274">
        <v>15117804.089999998</v>
      </c>
    </row>
    <row r="14" spans="1:17">
      <c r="C14" s="223" t="s">
        <v>2589</v>
      </c>
      <c r="E14" s="42">
        <v>558343.49374999979</v>
      </c>
      <c r="F14" s="42">
        <v>640830.22333333315</v>
      </c>
      <c r="G14" s="42">
        <v>692086.0579166665</v>
      </c>
      <c r="H14" s="42">
        <v>738889.28083333315</v>
      </c>
      <c r="I14" s="42">
        <v>624543.89083333313</v>
      </c>
      <c r="J14" s="42">
        <v>439651.10375000001</v>
      </c>
      <c r="K14" s="42">
        <v>519215.67833333329</v>
      </c>
      <c r="L14" s="42">
        <v>1111185.93</v>
      </c>
      <c r="M14" s="42">
        <v>1916274.6712499999</v>
      </c>
      <c r="N14" s="42">
        <v>2378640.4249999998</v>
      </c>
      <c r="O14" s="42">
        <v>2652489.7408333328</v>
      </c>
      <c r="P14" s="42">
        <v>2979437.8283333327</v>
      </c>
      <c r="Q14" s="42">
        <v>3724813.1295833322</v>
      </c>
    </row>
    <row r="15" spans="1:17">
      <c r="C15" s="272"/>
      <c r="E15" s="274">
        <v>1547.6417200000001</v>
      </c>
      <c r="F15" s="274">
        <v>1157.69</v>
      </c>
      <c r="G15" s="274">
        <v>846.73234000000002</v>
      </c>
      <c r="H15" s="274">
        <v>1053.75173</v>
      </c>
      <c r="I15" s="274">
        <v>-3146.67427</v>
      </c>
      <c r="J15" s="274">
        <v>-765.06779999999981</v>
      </c>
      <c r="K15" s="274">
        <v>3483.8319999999999</v>
      </c>
      <c r="L15" s="274">
        <v>12104.886039999999</v>
      </c>
      <c r="M15" s="274">
        <v>8678.5545699999984</v>
      </c>
      <c r="N15" s="274">
        <v>3596.6472199999989</v>
      </c>
      <c r="O15" s="274">
        <v>4622.7352399999982</v>
      </c>
      <c r="P15" s="274">
        <v>4731.9475799999982</v>
      </c>
      <c r="Q15" s="274">
        <v>15117.804089999998</v>
      </c>
    </row>
    <row r="16" spans="1:17">
      <c r="C16" s="276"/>
    </row>
    <row r="17" spans="1:17">
      <c r="A17" s="379" t="s">
        <v>2474</v>
      </c>
      <c r="C17" s="272"/>
    </row>
    <row r="18" spans="1:17">
      <c r="B18" s="380" t="s">
        <v>2794</v>
      </c>
      <c r="C18" s="276"/>
      <c r="E18" s="744">
        <v>674486.28</v>
      </c>
      <c r="F18" s="744">
        <v>-1497090</v>
      </c>
      <c r="G18" s="744">
        <v>-742234.34000000008</v>
      </c>
      <c r="H18" s="744">
        <v>-102356.73000000004</v>
      </c>
      <c r="I18" s="744">
        <v>-1314786.73</v>
      </c>
      <c r="J18" s="744">
        <v>-733087</v>
      </c>
      <c r="K18" s="744">
        <v>37855</v>
      </c>
      <c r="L18" s="744">
        <v>107166.95999999996</v>
      </c>
      <c r="M18" s="744">
        <v>-675603.57000000007</v>
      </c>
      <c r="N18" s="744">
        <v>516102.77999999991</v>
      </c>
      <c r="O18" s="744">
        <v>750364.75999999978</v>
      </c>
      <c r="P18" s="744">
        <v>-819460.58000000019</v>
      </c>
      <c r="Q18" s="744">
        <v>819350</v>
      </c>
    </row>
    <row r="19" spans="1:17" ht="15">
      <c r="B19" s="223" t="s">
        <v>2795</v>
      </c>
      <c r="C19" s="272"/>
      <c r="E19" s="381">
        <v>0</v>
      </c>
      <c r="F19" s="381">
        <v>0</v>
      </c>
      <c r="G19" s="381">
        <v>0</v>
      </c>
      <c r="H19" s="381">
        <v>0</v>
      </c>
      <c r="I19" s="381">
        <v>0</v>
      </c>
      <c r="J19" s="381">
        <v>0</v>
      </c>
      <c r="K19" s="381">
        <v>0</v>
      </c>
      <c r="L19" s="381">
        <v>0</v>
      </c>
      <c r="M19" s="381">
        <v>0</v>
      </c>
      <c r="N19" s="381">
        <v>0</v>
      </c>
      <c r="O19" s="381">
        <v>0</v>
      </c>
      <c r="P19" s="381">
        <v>0</v>
      </c>
      <c r="Q19" s="381">
        <v>0</v>
      </c>
    </row>
    <row r="21" spans="1:17">
      <c r="C21" s="223" t="s">
        <v>2796</v>
      </c>
      <c r="E21" s="274">
        <v>674486.28</v>
      </c>
      <c r="F21" s="274">
        <v>-1497090</v>
      </c>
      <c r="G21" s="274">
        <v>-742234.34000000008</v>
      </c>
      <c r="H21" s="274">
        <v>-102356.73000000004</v>
      </c>
      <c r="I21" s="274">
        <v>-1314786.73</v>
      </c>
      <c r="J21" s="274">
        <v>-733087</v>
      </c>
      <c r="K21" s="274">
        <v>37855</v>
      </c>
      <c r="L21" s="274">
        <v>107166.95999999996</v>
      </c>
      <c r="M21" s="274">
        <v>-675603.57000000007</v>
      </c>
      <c r="N21" s="274">
        <v>516102.77999999991</v>
      </c>
      <c r="O21" s="274">
        <v>750364.75999999978</v>
      </c>
      <c r="P21" s="274">
        <v>-819460.58000000019</v>
      </c>
      <c r="Q21" s="274">
        <v>819350</v>
      </c>
    </row>
    <row r="22" spans="1:17">
      <c r="C22" s="223" t="s">
        <v>2589</v>
      </c>
      <c r="E22" s="42">
        <v>871164.88166666322</v>
      </c>
      <c r="F22" s="42">
        <v>734836.15916666377</v>
      </c>
      <c r="G22" s="42">
        <v>560836.23041666404</v>
      </c>
      <c r="H22" s="42">
        <v>496034.12666666438</v>
      </c>
      <c r="I22" s="42">
        <v>479380.84999999806</v>
      </c>
      <c r="J22" s="42">
        <v>438968.56208333158</v>
      </c>
      <c r="K22" s="42">
        <v>365277.74583333172</v>
      </c>
      <c r="L22" s="42">
        <v>262701.70249999868</v>
      </c>
      <c r="M22" s="42">
        <v>120771.17708333228</v>
      </c>
      <c r="N22" s="42">
        <v>-12460.027500000695</v>
      </c>
      <c r="O22" s="42">
        <v>-88950.760000000519</v>
      </c>
      <c r="P22" s="42">
        <v>-220269.16291666686</v>
      </c>
      <c r="Q22" s="42">
        <v>-310517.60916666669</v>
      </c>
    </row>
    <row r="23" spans="1:17" s="275" customFormat="1">
      <c r="C23" s="276"/>
      <c r="E23" s="274">
        <v>674.48628000000008</v>
      </c>
      <c r="F23" s="274">
        <v>-1497.09</v>
      </c>
      <c r="G23" s="274">
        <v>-742.23434000000009</v>
      </c>
      <c r="H23" s="274">
        <v>-102.35673000000004</v>
      </c>
      <c r="I23" s="274">
        <v>-1314.78673</v>
      </c>
      <c r="J23" s="274">
        <v>-733.08699999999999</v>
      </c>
      <c r="K23" s="274">
        <v>37.854999999999997</v>
      </c>
      <c r="L23" s="274">
        <v>107.16695999999996</v>
      </c>
      <c r="M23" s="274">
        <v>-675.6035700000001</v>
      </c>
      <c r="N23" s="274">
        <v>516.10277999999994</v>
      </c>
      <c r="O23" s="274">
        <v>750.36475999999982</v>
      </c>
      <c r="P23" s="274">
        <v>-819.46058000000016</v>
      </c>
      <c r="Q23" s="274">
        <v>819.35</v>
      </c>
    </row>
    <row r="24" spans="1:17">
      <c r="C24" s="272"/>
    </row>
    <row r="25" spans="1:17">
      <c r="A25" s="379" t="s">
        <v>2475</v>
      </c>
      <c r="C25" s="272"/>
    </row>
    <row r="26" spans="1:17">
      <c r="B26" s="272" t="s">
        <v>2794</v>
      </c>
      <c r="C26" s="272"/>
      <c r="E26" s="274">
        <f t="shared" ref="E26" si="0">E10+E18</f>
        <v>2222128</v>
      </c>
      <c r="F26" s="274">
        <f t="shared" ref="F26:G26" si="1">F10+F18</f>
        <v>-339400</v>
      </c>
      <c r="G26" s="274">
        <f t="shared" si="1"/>
        <v>104497.99999999988</v>
      </c>
      <c r="H26" s="274">
        <f t="shared" ref="H26:I26" si="2">H10+H18</f>
        <v>951395</v>
      </c>
      <c r="I26" s="274">
        <f t="shared" si="2"/>
        <v>-4461461</v>
      </c>
      <c r="J26" s="274">
        <f t="shared" ref="J26:K26" si="3">J10+J18</f>
        <v>-1498154.7999999998</v>
      </c>
      <c r="K26" s="274">
        <f t="shared" si="3"/>
        <v>3521687</v>
      </c>
      <c r="L26" s="274">
        <f t="shared" ref="L26:M26" si="4">L10+L18</f>
        <v>12212053</v>
      </c>
      <c r="M26" s="274">
        <f t="shared" si="4"/>
        <v>8002950.9999999981</v>
      </c>
      <c r="N26" s="274">
        <f t="shared" ref="N26:O26" si="5">N10+N18</f>
        <v>4112749.9999999986</v>
      </c>
      <c r="O26" s="274">
        <f t="shared" si="5"/>
        <v>5373099.9999999981</v>
      </c>
      <c r="P26" s="274">
        <f t="shared" ref="P26:Q26" si="6">P10+P18</f>
        <v>3912486.9999999981</v>
      </c>
      <c r="Q26" s="274">
        <f t="shared" si="6"/>
        <v>15937154.089999998</v>
      </c>
    </row>
    <row r="27" spans="1:17" ht="15">
      <c r="B27" s="272" t="s">
        <v>2795</v>
      </c>
      <c r="C27" s="382"/>
      <c r="E27" s="383">
        <f t="shared" ref="E27" si="7">E11+E19</f>
        <v>0</v>
      </c>
      <c r="F27" s="383">
        <f t="shared" ref="F27:G27" si="8">F11+F19</f>
        <v>0</v>
      </c>
      <c r="G27" s="383">
        <f t="shared" si="8"/>
        <v>0</v>
      </c>
      <c r="H27" s="383">
        <f t="shared" ref="H27:I27" si="9">H11+H19</f>
        <v>0</v>
      </c>
      <c r="I27" s="383">
        <f t="shared" si="9"/>
        <v>0</v>
      </c>
      <c r="J27" s="383">
        <f t="shared" ref="J27:K27" si="10">J11+J19</f>
        <v>0</v>
      </c>
      <c r="K27" s="383">
        <f t="shared" si="10"/>
        <v>0</v>
      </c>
      <c r="L27" s="383">
        <f t="shared" ref="L27:M27" si="11">L11+L19</f>
        <v>0</v>
      </c>
      <c r="M27" s="383">
        <f t="shared" si="11"/>
        <v>0</v>
      </c>
      <c r="N27" s="383">
        <f t="shared" ref="N27:O27" si="12">N11+N19</f>
        <v>0</v>
      </c>
      <c r="O27" s="383">
        <f t="shared" si="12"/>
        <v>0</v>
      </c>
      <c r="P27" s="383">
        <f t="shared" ref="P27:Q27" si="13">P11+P19</f>
        <v>0</v>
      </c>
      <c r="Q27" s="383">
        <f t="shared" si="13"/>
        <v>0</v>
      </c>
    </row>
    <row r="28" spans="1:17">
      <c r="C28" s="272"/>
    </row>
    <row r="29" spans="1:17">
      <c r="C29" s="272" t="s">
        <v>2796</v>
      </c>
      <c r="E29" s="274">
        <f t="shared" ref="E29" si="14">SUM(E26:E28)</f>
        <v>2222128</v>
      </c>
      <c r="F29" s="274">
        <f t="shared" ref="F29:G29" si="15">SUM(F26:F28)</f>
        <v>-339400</v>
      </c>
      <c r="G29" s="274">
        <f t="shared" si="15"/>
        <v>104497.99999999988</v>
      </c>
      <c r="H29" s="274">
        <f t="shared" ref="H29:I29" si="16">SUM(H26:H28)</f>
        <v>951395</v>
      </c>
      <c r="I29" s="274">
        <f t="shared" si="16"/>
        <v>-4461461</v>
      </c>
      <c r="J29" s="274">
        <f t="shared" ref="J29:K29" si="17">SUM(J26:J28)</f>
        <v>-1498154.7999999998</v>
      </c>
      <c r="K29" s="274">
        <f t="shared" si="17"/>
        <v>3521687</v>
      </c>
      <c r="L29" s="274">
        <f t="shared" ref="L29:M29" si="18">SUM(L26:L28)</f>
        <v>12212053</v>
      </c>
      <c r="M29" s="274">
        <f t="shared" si="18"/>
        <v>8002950.9999999981</v>
      </c>
      <c r="N29" s="274">
        <f t="shared" ref="N29:O29" si="19">SUM(N26:N28)</f>
        <v>4112749.9999999986</v>
      </c>
      <c r="O29" s="274">
        <f t="shared" si="19"/>
        <v>5373099.9999999981</v>
      </c>
      <c r="P29" s="274">
        <f t="shared" ref="P29:Q29" si="20">SUM(P26:P28)</f>
        <v>3912486.9999999981</v>
      </c>
      <c r="Q29" s="274">
        <f t="shared" si="20"/>
        <v>15937154.089999998</v>
      </c>
    </row>
    <row r="30" spans="1:17">
      <c r="C30" s="272" t="s">
        <v>2589</v>
      </c>
      <c r="E30" s="42">
        <v>1429508.3754166635</v>
      </c>
      <c r="F30" s="42">
        <v>1375666.3824999968</v>
      </c>
      <c r="G30" s="42">
        <v>1252922.2883333305</v>
      </c>
      <c r="H30" s="42">
        <v>1234923.4074999976</v>
      </c>
      <c r="I30" s="42">
        <v>1103924.7408333314</v>
      </c>
      <c r="J30" s="42">
        <v>878619.66583333164</v>
      </c>
      <c r="K30" s="42">
        <v>884493.42416666506</v>
      </c>
      <c r="L30" s="42">
        <v>1373887.6324999987</v>
      </c>
      <c r="M30" s="42">
        <v>2037045.848333332</v>
      </c>
      <c r="N30" s="42">
        <v>2366180.3974999995</v>
      </c>
      <c r="O30" s="42">
        <v>2563538.9808333325</v>
      </c>
      <c r="P30" s="42">
        <v>2759168.6654166668</v>
      </c>
      <c r="Q30" s="42">
        <v>3414295.5204166658</v>
      </c>
    </row>
    <row r="31" spans="1:17">
      <c r="C31" s="272"/>
    </row>
    <row r="32" spans="1:17">
      <c r="C32" s="272"/>
    </row>
    <row r="33" spans="3:3">
      <c r="C33" s="272"/>
    </row>
    <row r="34" spans="3:3">
      <c r="C34" s="272"/>
    </row>
    <row r="35" spans="3:3">
      <c r="C35" s="272"/>
    </row>
    <row r="36" spans="3:3">
      <c r="C36" s="272"/>
    </row>
    <row r="37" spans="3:3">
      <c r="C37" s="272"/>
    </row>
    <row r="38" spans="3:3">
      <c r="C38" s="272"/>
    </row>
    <row r="39" spans="3:3">
      <c r="C39" s="272"/>
    </row>
    <row r="40" spans="3:3">
      <c r="C40" s="272"/>
    </row>
    <row r="41" spans="3:3">
      <c r="C41" s="272"/>
    </row>
    <row r="42" spans="3:3">
      <c r="C42" s="272"/>
    </row>
    <row r="43" spans="3:3">
      <c r="C43" s="272"/>
    </row>
    <row r="44" spans="3:3">
      <c r="C44" s="272"/>
    </row>
    <row r="45" spans="3:3">
      <c r="C45" s="272"/>
    </row>
    <row r="46" spans="3:3">
      <c r="C46" s="272"/>
    </row>
    <row r="47" spans="3:3">
      <c r="C47" s="272"/>
    </row>
    <row r="48" spans="3:3">
      <c r="C48" s="272"/>
    </row>
    <row r="49" spans="3:3">
      <c r="C49" s="272"/>
    </row>
    <row r="50" spans="3:3">
      <c r="C50" s="272"/>
    </row>
    <row r="51" spans="3:3">
      <c r="C51" s="272"/>
    </row>
    <row r="52" spans="3:3">
      <c r="C52" s="272"/>
    </row>
    <row r="53" spans="3:3" ht="11.25" customHeight="1">
      <c r="C53" s="272"/>
    </row>
    <row r="54" spans="3:3">
      <c r="C54" s="272"/>
    </row>
    <row r="55" spans="3:3">
      <c r="C55" s="272"/>
    </row>
    <row r="56" spans="3:3">
      <c r="C56" s="272"/>
    </row>
    <row r="57" spans="3:3">
      <c r="C57" s="272"/>
    </row>
    <row r="58" spans="3:3">
      <c r="C58" s="272"/>
    </row>
  </sheetData>
  <printOptions horizontalCentered="1"/>
  <pageMargins left="0" right="0" top="1" bottom="0" header="0.5" footer="0.5"/>
  <pageSetup scale="72" orientation="landscape" horizontalDpi="4294967293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6"/>
  <sheetViews>
    <sheetView view="pageBreakPreview" zoomScale="60" zoomScaleNormal="85" workbookViewId="0">
      <selection activeCell="I83" sqref="A1:I83"/>
    </sheetView>
  </sheetViews>
  <sheetFormatPr defaultRowHeight="12.75"/>
  <cols>
    <col min="1" max="1" width="39.5" style="82" customWidth="1"/>
    <col min="2" max="2" width="16.125" style="82" bestFit="1" customWidth="1"/>
    <col min="3" max="3" width="16.375" style="82" bestFit="1" customWidth="1"/>
    <col min="4" max="4" width="16.625" style="82" bestFit="1" customWidth="1"/>
    <col min="5" max="5" width="16.125" style="82" bestFit="1" customWidth="1"/>
    <col min="6" max="6" width="16" style="82" bestFit="1" customWidth="1"/>
    <col min="7" max="7" width="16.125" style="82" bestFit="1" customWidth="1"/>
    <col min="8" max="8" width="16.625" style="82" bestFit="1" customWidth="1"/>
    <col min="9" max="9" width="16.125" style="82" bestFit="1" customWidth="1"/>
    <col min="10" max="10" width="16.375" style="82" bestFit="1" customWidth="1"/>
    <col min="11" max="11" width="15.75" style="82" bestFit="1" customWidth="1"/>
    <col min="12" max="12" width="16" style="82" bestFit="1" customWidth="1"/>
    <col min="13" max="13" width="15.5" style="82" bestFit="1" customWidth="1"/>
    <col min="14" max="14" width="16.125" style="82" bestFit="1" customWidth="1"/>
    <col min="15" max="16384" width="9" style="82"/>
  </cols>
  <sheetData>
    <row r="1" spans="1:14">
      <c r="A1" s="277" t="s">
        <v>2707</v>
      </c>
    </row>
    <row r="2" spans="1:14">
      <c r="A2" s="277" t="s">
        <v>2737</v>
      </c>
    </row>
    <row r="3" spans="1:14">
      <c r="A3" s="277" t="s">
        <v>2738</v>
      </c>
    </row>
    <row r="4" spans="1:14">
      <c r="A4" s="279" t="s">
        <v>2739</v>
      </c>
    </row>
    <row r="5" spans="1:14">
      <c r="A5" s="94"/>
    </row>
    <row r="6" spans="1:14" ht="18.75" thickBot="1">
      <c r="A6" s="281" t="s">
        <v>2740</v>
      </c>
      <c r="B6" s="283">
        <v>41639</v>
      </c>
      <c r="C6" s="283">
        <v>41640</v>
      </c>
      <c r="D6" s="283">
        <v>41671</v>
      </c>
      <c r="E6" s="283">
        <v>41699</v>
      </c>
      <c r="F6" s="283">
        <v>41730</v>
      </c>
      <c r="G6" s="283">
        <v>41760</v>
      </c>
      <c r="H6" s="283">
        <v>41791</v>
      </c>
      <c r="I6" s="283">
        <v>41821</v>
      </c>
      <c r="J6" s="283">
        <v>41852</v>
      </c>
      <c r="K6" s="283">
        <v>41883</v>
      </c>
      <c r="L6" s="283">
        <v>41913</v>
      </c>
      <c r="M6" s="283">
        <v>41944</v>
      </c>
      <c r="N6" s="283">
        <v>43070</v>
      </c>
    </row>
    <row r="7" spans="1:14" ht="13.5" thickBot="1">
      <c r="A7" s="711">
        <v>601118</v>
      </c>
    </row>
    <row r="8" spans="1:14">
      <c r="A8" s="284" t="s">
        <v>2741</v>
      </c>
      <c r="B8" s="288">
        <v>-1525020.33</v>
      </c>
      <c r="C8" s="288">
        <v>-1841370.19</v>
      </c>
      <c r="D8" s="288">
        <v>-2066611.16</v>
      </c>
      <c r="E8" s="288">
        <v>-1903031.58</v>
      </c>
      <c r="F8" s="288">
        <v>-1892608.48</v>
      </c>
      <c r="G8" s="288">
        <v>-1834279.77</v>
      </c>
      <c r="H8" s="288">
        <v>-1936368.02</v>
      </c>
      <c r="I8" s="288">
        <v>-2090871.6</v>
      </c>
      <c r="J8" s="288">
        <v>-2055058.05</v>
      </c>
      <c r="K8" s="288"/>
      <c r="L8" s="288"/>
      <c r="M8" s="288"/>
      <c r="N8" s="288"/>
    </row>
    <row r="9" spans="1:14">
      <c r="A9" s="289" t="s">
        <v>2742</v>
      </c>
      <c r="B9" s="288"/>
      <c r="C9" s="288"/>
      <c r="D9" s="288"/>
      <c r="E9" s="288"/>
      <c r="F9" s="288"/>
      <c r="G9" s="288"/>
      <c r="H9" s="288"/>
      <c r="I9" s="288"/>
      <c r="J9" s="288"/>
      <c r="K9" s="288"/>
      <c r="L9" s="288"/>
      <c r="M9" s="288"/>
      <c r="N9" s="288"/>
    </row>
    <row r="10" spans="1:14">
      <c r="A10" s="291" t="s">
        <v>4247</v>
      </c>
      <c r="B10" s="288">
        <v>-246095096</v>
      </c>
      <c r="C10" s="288">
        <v>-275277025</v>
      </c>
      <c r="D10" s="288">
        <v>-225251222</v>
      </c>
      <c r="E10" s="288">
        <v>-246756732</v>
      </c>
      <c r="F10" s="288">
        <v>-218951764</v>
      </c>
      <c r="G10" s="288">
        <v>-227635696</v>
      </c>
      <c r="H10" s="288">
        <v>-255521171</v>
      </c>
      <c r="I10" s="288">
        <v>-268168684</v>
      </c>
      <c r="J10" s="288">
        <v>-276955197</v>
      </c>
      <c r="K10" s="288"/>
      <c r="L10" s="288"/>
      <c r="M10" s="288"/>
      <c r="N10" s="288"/>
    </row>
    <row r="11" spans="1:14">
      <c r="A11" s="291" t="s">
        <v>4248</v>
      </c>
      <c r="B11" s="746">
        <v>2.49E-3</v>
      </c>
      <c r="C11" s="746">
        <v>3.3470000000000001E-3</v>
      </c>
      <c r="D11" s="746">
        <v>3.3470000000000001E-3</v>
      </c>
      <c r="E11" s="746">
        <v>3.3470000000000001E-3</v>
      </c>
      <c r="F11" s="746">
        <v>3.3470000000000001E-3</v>
      </c>
      <c r="G11" s="746">
        <v>3.3470000000000001E-3</v>
      </c>
      <c r="H11" s="746">
        <v>3.3470000000000001E-3</v>
      </c>
      <c r="I11" s="746">
        <v>3.3470000000000001E-3</v>
      </c>
      <c r="J11" s="746">
        <v>3.3470000000000001E-3</v>
      </c>
      <c r="K11" s="746"/>
      <c r="L11" s="746"/>
      <c r="M11" s="746"/>
      <c r="N11" s="746"/>
    </row>
    <row r="12" spans="1:14">
      <c r="A12" s="291" t="s">
        <v>4249</v>
      </c>
      <c r="B12" s="293">
        <v>-616196.20000000007</v>
      </c>
      <c r="C12" s="293">
        <v>-921352.2</v>
      </c>
      <c r="D12" s="293">
        <v>-753915.84</v>
      </c>
      <c r="E12" s="293">
        <v>-862485.83000000007</v>
      </c>
      <c r="F12" s="293">
        <v>-735882.5</v>
      </c>
      <c r="G12" s="293">
        <v>-761896.67</v>
      </c>
      <c r="H12" s="293">
        <v>-855229.36</v>
      </c>
      <c r="I12" s="293">
        <v>-897560.59</v>
      </c>
      <c r="J12" s="293">
        <v>-926969.04</v>
      </c>
      <c r="K12" s="293"/>
      <c r="L12" s="293"/>
      <c r="M12" s="293"/>
      <c r="N12" s="293"/>
    </row>
    <row r="13" spans="1:14">
      <c r="A13" s="295" t="s">
        <v>4250</v>
      </c>
      <c r="B13" s="296">
        <v>629254.76</v>
      </c>
      <c r="C13" s="296">
        <v>616196.20000000007</v>
      </c>
      <c r="D13" s="296">
        <v>921352.2</v>
      </c>
      <c r="E13" s="296">
        <v>753915.84</v>
      </c>
      <c r="F13" s="296">
        <v>862485.83000000007</v>
      </c>
      <c r="G13" s="296">
        <v>735882.5</v>
      </c>
      <c r="H13" s="296">
        <v>761896.67</v>
      </c>
      <c r="I13" s="296">
        <v>855229.36</v>
      </c>
      <c r="J13" s="296">
        <v>897560.59</v>
      </c>
      <c r="K13" s="296"/>
      <c r="L13" s="296"/>
      <c r="M13" s="296"/>
      <c r="N13" s="296"/>
    </row>
    <row r="14" spans="1:14" ht="15">
      <c r="A14" s="297" t="s">
        <v>2743</v>
      </c>
      <c r="B14" s="298">
        <v>13058.559999999939</v>
      </c>
      <c r="C14" s="298">
        <v>-305155.99999999988</v>
      </c>
      <c r="D14" s="298">
        <v>167436.35999999999</v>
      </c>
      <c r="E14" s="298">
        <v>-108569.99000000011</v>
      </c>
      <c r="F14" s="298">
        <v>126603.33000000007</v>
      </c>
      <c r="G14" s="298">
        <v>-26014.170000000042</v>
      </c>
      <c r="H14" s="298">
        <v>-93332.689999999944</v>
      </c>
      <c r="I14" s="298">
        <v>-42331.249999999978</v>
      </c>
      <c r="J14" s="298">
        <v>-29408.45000000007</v>
      </c>
      <c r="K14" s="298"/>
      <c r="L14" s="298"/>
      <c r="M14" s="298"/>
      <c r="N14" s="298"/>
    </row>
    <row r="15" spans="1:14">
      <c r="A15" s="299" t="s">
        <v>2744</v>
      </c>
      <c r="B15" s="300">
        <v>-1511961.77</v>
      </c>
      <c r="C15" s="300">
        <v>-2146526.19</v>
      </c>
      <c r="D15" s="300">
        <v>-1899174.7999999998</v>
      </c>
      <c r="E15" s="300">
        <v>-2011601.5700000003</v>
      </c>
      <c r="F15" s="300">
        <v>-1766005.15</v>
      </c>
      <c r="G15" s="300">
        <v>-1860293.94</v>
      </c>
      <c r="H15" s="300">
        <v>-2029700.71</v>
      </c>
      <c r="I15" s="300">
        <v>-2133202.85</v>
      </c>
      <c r="J15" s="300">
        <v>-2084466.5</v>
      </c>
      <c r="K15" s="300"/>
      <c r="L15" s="300"/>
      <c r="M15" s="300"/>
      <c r="N15" s="300"/>
    </row>
    <row r="16" spans="1:14">
      <c r="A16" s="299"/>
    </row>
    <row r="17" spans="1:14">
      <c r="A17" s="299" t="s">
        <v>2745</v>
      </c>
      <c r="B17" s="303"/>
      <c r="C17" s="303"/>
      <c r="D17" s="303"/>
      <c r="E17" s="303"/>
      <c r="F17" s="303"/>
      <c r="G17" s="303"/>
      <c r="H17" s="303"/>
      <c r="I17" s="303"/>
      <c r="J17" s="303"/>
      <c r="K17" s="303"/>
      <c r="L17" s="303"/>
      <c r="M17" s="303"/>
      <c r="N17" s="303"/>
    </row>
    <row r="18" spans="1:14">
      <c r="A18" s="289" t="s">
        <v>2746</v>
      </c>
      <c r="B18" s="304">
        <v>607987.99</v>
      </c>
      <c r="C18" s="304">
        <v>1090101.5</v>
      </c>
      <c r="D18" s="304">
        <v>1090101.5</v>
      </c>
      <c r="E18" s="304">
        <v>1090101.5</v>
      </c>
      <c r="F18" s="304">
        <v>1090101.5</v>
      </c>
      <c r="G18" s="304">
        <v>1090101.5</v>
      </c>
      <c r="H18" s="304">
        <v>1090101.5</v>
      </c>
      <c r="I18" s="304">
        <v>1090101.5</v>
      </c>
      <c r="J18" s="304">
        <v>1090101.5</v>
      </c>
      <c r="K18" s="304"/>
      <c r="L18" s="304"/>
      <c r="M18" s="304"/>
      <c r="N18" s="304"/>
    </row>
    <row r="19" spans="1:14">
      <c r="A19" s="289" t="s">
        <v>2747</v>
      </c>
      <c r="B19" s="306">
        <v>873506.5</v>
      </c>
      <c r="C19" s="306">
        <v>873506.5</v>
      </c>
      <c r="D19" s="306">
        <v>873506.5</v>
      </c>
      <c r="E19" s="306">
        <v>873506.5</v>
      </c>
      <c r="F19" s="306">
        <v>873506.5</v>
      </c>
      <c r="G19" s="306">
        <v>873506.5</v>
      </c>
      <c r="H19" s="306">
        <v>873506.5</v>
      </c>
      <c r="I19" s="306">
        <v>873506.5</v>
      </c>
      <c r="J19" s="306">
        <v>873506.5</v>
      </c>
      <c r="K19" s="306"/>
      <c r="L19" s="306"/>
      <c r="M19" s="306"/>
      <c r="N19" s="306"/>
    </row>
    <row r="20" spans="1:14">
      <c r="A20" s="289" t="s">
        <v>2748</v>
      </c>
      <c r="B20" s="304">
        <v>1481494.49</v>
      </c>
      <c r="C20" s="304">
        <v>1963608</v>
      </c>
      <c r="D20" s="304">
        <v>1963608</v>
      </c>
      <c r="E20" s="304">
        <v>1963608</v>
      </c>
      <c r="F20" s="304">
        <v>1963608</v>
      </c>
      <c r="G20" s="304">
        <v>1963608</v>
      </c>
      <c r="H20" s="304">
        <v>1963608</v>
      </c>
      <c r="I20" s="304">
        <v>1963608</v>
      </c>
      <c r="J20" s="304">
        <v>1963608</v>
      </c>
      <c r="K20" s="304"/>
      <c r="L20" s="304"/>
      <c r="M20" s="304"/>
      <c r="N20" s="304"/>
    </row>
    <row r="21" spans="1:14">
      <c r="A21" s="289"/>
      <c r="B21" s="304"/>
      <c r="C21" s="304"/>
      <c r="D21" s="304"/>
      <c r="E21" s="304"/>
      <c r="F21" s="304"/>
      <c r="G21" s="304"/>
      <c r="H21" s="304"/>
      <c r="I21" s="304"/>
      <c r="J21" s="304"/>
      <c r="K21" s="304"/>
      <c r="L21" s="304"/>
      <c r="M21" s="304"/>
      <c r="N21" s="304"/>
    </row>
    <row r="22" spans="1:14">
      <c r="A22" s="308" t="s">
        <v>2749</v>
      </c>
      <c r="B22" s="300">
        <v>-30467.280000000028</v>
      </c>
      <c r="C22" s="300">
        <v>-182918.18999999994</v>
      </c>
      <c r="D22" s="300">
        <v>64433.200000000186</v>
      </c>
      <c r="E22" s="300">
        <v>-47993.570000000298</v>
      </c>
      <c r="F22" s="300">
        <v>197602.85000000009</v>
      </c>
      <c r="G22" s="300">
        <v>103314.06000000006</v>
      </c>
      <c r="H22" s="300">
        <v>-66092.709999999963</v>
      </c>
      <c r="I22" s="300">
        <v>-169594.85000000009</v>
      </c>
      <c r="J22" s="300">
        <v>-120858.5</v>
      </c>
      <c r="K22" s="300"/>
      <c r="L22" s="300"/>
      <c r="M22" s="300"/>
      <c r="N22" s="300"/>
    </row>
    <row r="23" spans="1:14">
      <c r="A23" s="308"/>
    </row>
    <row r="24" spans="1:14">
      <c r="A24" s="309" t="s">
        <v>2750</v>
      </c>
      <c r="B24" s="310">
        <v>465932.40092947497</v>
      </c>
      <c r="C24" s="310">
        <v>283014.21092947503</v>
      </c>
      <c r="D24" s="310">
        <v>347447.41092947521</v>
      </c>
      <c r="E24" s="310">
        <v>299453.84092947491</v>
      </c>
      <c r="F24" s="310">
        <v>497056.69092947501</v>
      </c>
      <c r="G24" s="310">
        <v>600370.75092947506</v>
      </c>
      <c r="H24" s="310">
        <v>534278.0409294751</v>
      </c>
      <c r="I24" s="310">
        <v>364683.19092947501</v>
      </c>
      <c r="J24" s="310">
        <v>243824.69092947501</v>
      </c>
      <c r="K24" s="310"/>
      <c r="L24" s="310"/>
      <c r="M24" s="310"/>
      <c r="N24" s="310"/>
    </row>
    <row r="25" spans="1:14">
      <c r="A25" s="311" t="s">
        <v>2751</v>
      </c>
      <c r="B25" s="302">
        <v>465932.42</v>
      </c>
      <c r="C25" s="302">
        <v>283014.23</v>
      </c>
      <c r="D25" s="302">
        <v>347447.43</v>
      </c>
      <c r="E25" s="302">
        <v>299453.86</v>
      </c>
      <c r="F25" s="302">
        <v>497056.71</v>
      </c>
      <c r="G25" s="302">
        <v>600370.77</v>
      </c>
      <c r="H25" s="302">
        <v>534278.06000000006</v>
      </c>
      <c r="I25" s="302">
        <v>364683.21</v>
      </c>
      <c r="J25" s="302">
        <v>243824.71</v>
      </c>
      <c r="K25" s="302"/>
      <c r="L25" s="302"/>
      <c r="M25" s="302"/>
      <c r="N25" s="302"/>
    </row>
    <row r="26" spans="1:14" ht="24.75" customHeight="1" thickBot="1">
      <c r="A26" s="312" t="s">
        <v>2543</v>
      </c>
      <c r="B26" s="313">
        <v>-1.9070525013376027E-2</v>
      </c>
      <c r="C26" s="313">
        <v>-1.9070524955168366E-2</v>
      </c>
      <c r="D26" s="313">
        <v>-1.9070524780545384E-2</v>
      </c>
      <c r="E26" s="313">
        <v>-1.9070525071583688E-2</v>
      </c>
      <c r="F26" s="313">
        <v>-1.9070525013376027E-2</v>
      </c>
      <c r="G26" s="313">
        <v>-1.9070524955168366E-2</v>
      </c>
      <c r="H26" s="313">
        <v>-1.9070524955168366E-2</v>
      </c>
      <c r="I26" s="313">
        <v>-1.9070525013376027E-2</v>
      </c>
      <c r="J26" s="313">
        <v>-1.9070524984272197E-2</v>
      </c>
      <c r="K26" s="313"/>
      <c r="L26" s="313"/>
      <c r="M26" s="313"/>
      <c r="N26" s="313"/>
    </row>
    <row r="27" spans="1:14" ht="13.5" thickBot="1">
      <c r="A27" s="278"/>
    </row>
    <row r="28" spans="1:14">
      <c r="A28" s="711">
        <v>601119</v>
      </c>
    </row>
    <row r="29" spans="1:14">
      <c r="A29" s="311" t="s">
        <v>2752</v>
      </c>
      <c r="B29" s="316">
        <v>-607987.99</v>
      </c>
      <c r="C29" s="316">
        <v>-1090101.5</v>
      </c>
      <c r="D29" s="316">
        <v>-1090101.5</v>
      </c>
      <c r="E29" s="316">
        <v>-1090101.5</v>
      </c>
      <c r="F29" s="316">
        <v>-1090101.5</v>
      </c>
      <c r="G29" s="316">
        <v>-1090101.5</v>
      </c>
      <c r="H29" s="316">
        <v>-1090101.5</v>
      </c>
      <c r="I29" s="316">
        <v>-1090101.5</v>
      </c>
      <c r="J29" s="316">
        <v>-1090101.5</v>
      </c>
      <c r="K29" s="316"/>
      <c r="L29" s="316"/>
      <c r="M29" s="316"/>
      <c r="N29" s="316"/>
    </row>
    <row r="30" spans="1:14">
      <c r="A30" s="307" t="s">
        <v>2753</v>
      </c>
      <c r="B30" s="316">
        <v>-1447569</v>
      </c>
      <c r="C30" s="316"/>
      <c r="D30" s="316"/>
      <c r="E30" s="316"/>
      <c r="F30" s="316"/>
      <c r="G30" s="316"/>
      <c r="H30" s="316"/>
      <c r="I30" s="316"/>
      <c r="J30" s="316"/>
      <c r="K30" s="316"/>
      <c r="L30" s="316"/>
      <c r="M30" s="316"/>
      <c r="N30" s="316"/>
    </row>
    <row r="31" spans="1:14">
      <c r="A31" s="311" t="s">
        <v>2754</v>
      </c>
      <c r="B31" s="318">
        <v>945349.5</v>
      </c>
      <c r="C31" s="318">
        <v>869942.21</v>
      </c>
      <c r="D31" s="318">
        <v>0</v>
      </c>
      <c r="E31" s="318">
        <v>4661757.25</v>
      </c>
      <c r="F31" s="318">
        <v>56116.25</v>
      </c>
      <c r="G31" s="318">
        <v>0</v>
      </c>
      <c r="H31" s="318">
        <v>3214188.25</v>
      </c>
      <c r="I31" s="318">
        <v>56116.25</v>
      </c>
      <c r="J31" s="318">
        <v>0</v>
      </c>
      <c r="K31" s="318"/>
      <c r="L31" s="318"/>
      <c r="M31" s="318"/>
      <c r="N31" s="318"/>
    </row>
    <row r="32" spans="1:14">
      <c r="A32" s="309" t="s">
        <v>2755</v>
      </c>
      <c r="B32" s="310">
        <v>-2326183.4999999981</v>
      </c>
      <c r="C32" s="310">
        <v>-2546342.7899999982</v>
      </c>
      <c r="D32" s="310">
        <v>-3636444.2899999982</v>
      </c>
      <c r="E32" s="310">
        <v>-64788.539999998175</v>
      </c>
      <c r="F32" s="310">
        <v>-1098773.7899999982</v>
      </c>
      <c r="G32" s="310">
        <v>-2188875.2899999982</v>
      </c>
      <c r="H32" s="310">
        <v>-64788.539999998175</v>
      </c>
      <c r="I32" s="310">
        <v>-1098773.7899999982</v>
      </c>
      <c r="J32" s="310">
        <v>-2188875.2899999982</v>
      </c>
      <c r="K32" s="310"/>
      <c r="L32" s="310"/>
      <c r="M32" s="310"/>
      <c r="N32" s="310"/>
    </row>
    <row r="33" spans="1:14">
      <c r="A33" s="299"/>
    </row>
    <row r="34" spans="1:14">
      <c r="A34" s="311" t="s">
        <v>2751</v>
      </c>
      <c r="B34" s="302">
        <v>-2326183.5099999998</v>
      </c>
      <c r="C34" s="302">
        <v>-2546342.7999999998</v>
      </c>
      <c r="D34" s="302">
        <v>-3636444.3</v>
      </c>
      <c r="E34" s="302">
        <v>-64788.550000000047</v>
      </c>
      <c r="F34" s="302">
        <v>-1098773.8</v>
      </c>
      <c r="G34" s="302">
        <v>-2188875.2999999998</v>
      </c>
      <c r="H34" s="302">
        <v>-64788.55</v>
      </c>
      <c r="I34" s="302">
        <v>-1098773.8</v>
      </c>
      <c r="J34" s="302">
        <v>-2188875.2999999998</v>
      </c>
      <c r="K34" s="302"/>
      <c r="L34" s="302"/>
      <c r="M34" s="302"/>
      <c r="N34" s="302"/>
    </row>
    <row r="35" spans="1:14" ht="13.5" thickBot="1">
      <c r="A35" s="312" t="s">
        <v>2543</v>
      </c>
      <c r="B35" s="313">
        <v>1.0000001639127731E-2</v>
      </c>
      <c r="C35" s="313">
        <v>1.0000001639127731E-2</v>
      </c>
      <c r="D35" s="313">
        <v>1.0000001639127731E-2</v>
      </c>
      <c r="E35" s="313">
        <v>1.0000001871958375E-2</v>
      </c>
      <c r="F35" s="313">
        <v>1.0000001871958375E-2</v>
      </c>
      <c r="G35" s="313">
        <v>1.0000001639127731E-2</v>
      </c>
      <c r="H35" s="313">
        <v>1.0000001828302629E-2</v>
      </c>
      <c r="I35" s="313">
        <v>1.0000001871958375E-2</v>
      </c>
      <c r="J35" s="313">
        <v>1.0000001639127731E-2</v>
      </c>
      <c r="K35" s="313"/>
      <c r="L35" s="313"/>
      <c r="M35" s="313"/>
      <c r="N35" s="313"/>
    </row>
    <row r="36" spans="1:14" ht="13.5" thickBot="1">
      <c r="A36" s="278"/>
    </row>
    <row r="37" spans="1:14">
      <c r="A37" s="711">
        <v>601120</v>
      </c>
    </row>
    <row r="38" spans="1:14">
      <c r="A38" s="311" t="s">
        <v>2783</v>
      </c>
      <c r="B38" s="316">
        <v>-873506.5</v>
      </c>
      <c r="C38" s="316">
        <v>-873506.5</v>
      </c>
      <c r="D38" s="316">
        <v>-873506.5</v>
      </c>
      <c r="E38" s="316">
        <v>-873506.5</v>
      </c>
      <c r="F38" s="316">
        <v>-873506.5</v>
      </c>
      <c r="G38" s="316">
        <v>-873506.5</v>
      </c>
      <c r="H38" s="316">
        <v>-873506.5</v>
      </c>
      <c r="I38" s="316">
        <v>-873506.5</v>
      </c>
      <c r="J38" s="316">
        <v>-873506.5</v>
      </c>
      <c r="K38" s="316"/>
      <c r="L38" s="316"/>
      <c r="M38" s="316"/>
      <c r="N38" s="316"/>
    </row>
    <row r="39" spans="1:14">
      <c r="A39" s="307" t="s">
        <v>2753</v>
      </c>
      <c r="B39" s="316">
        <v>1447569</v>
      </c>
      <c r="C39" s="316"/>
      <c r="D39" s="316"/>
      <c r="E39" s="316"/>
      <c r="F39" s="316"/>
      <c r="G39" s="316"/>
      <c r="H39" s="316"/>
      <c r="I39" s="316"/>
      <c r="J39" s="316"/>
      <c r="K39" s="316"/>
      <c r="L39" s="316"/>
      <c r="M39" s="316"/>
      <c r="N39" s="316"/>
    </row>
    <row r="40" spans="1:14">
      <c r="A40" s="289" t="s">
        <v>4251</v>
      </c>
      <c r="B40" s="319">
        <v>622392.04</v>
      </c>
      <c r="C40" s="319">
        <v>780677.92</v>
      </c>
      <c r="D40" s="319">
        <v>603565.39</v>
      </c>
      <c r="E40" s="319">
        <v>543457.63</v>
      </c>
      <c r="F40" s="319">
        <v>736337.79</v>
      </c>
      <c r="G40" s="319">
        <v>527509.06000000006</v>
      </c>
      <c r="H40" s="319">
        <v>763118.06</v>
      </c>
      <c r="I40" s="319">
        <v>724527.82</v>
      </c>
      <c r="J40" s="319">
        <v>783418.14</v>
      </c>
      <c r="K40" s="319"/>
      <c r="L40" s="319"/>
      <c r="M40" s="319"/>
      <c r="N40" s="319"/>
    </row>
    <row r="41" spans="1:14">
      <c r="A41" s="745"/>
      <c r="B41" s="317">
        <v>1196454.54</v>
      </c>
      <c r="C41" s="317">
        <v>-92828.579999999958</v>
      </c>
      <c r="D41" s="317">
        <v>-269941.11</v>
      </c>
      <c r="E41" s="317">
        <v>-330048.87</v>
      </c>
      <c r="F41" s="317">
        <v>-137168.70999999996</v>
      </c>
      <c r="G41" s="317">
        <v>-345997.43999999994</v>
      </c>
      <c r="H41" s="317">
        <v>-110388.43999999994</v>
      </c>
      <c r="I41" s="317">
        <v>-148978.68000000005</v>
      </c>
      <c r="J41" s="317">
        <v>-90088.359999999986</v>
      </c>
      <c r="K41" s="317"/>
      <c r="L41" s="317"/>
      <c r="M41" s="317"/>
      <c r="N41" s="317"/>
    </row>
    <row r="42" spans="1:14">
      <c r="A42" s="321" t="s">
        <v>2756</v>
      </c>
      <c r="B42" s="316"/>
      <c r="C42" s="316"/>
      <c r="D42" s="316"/>
      <c r="E42" s="316"/>
      <c r="F42" s="316"/>
      <c r="G42" s="316"/>
      <c r="H42" s="316"/>
      <c r="I42" s="316"/>
      <c r="J42" s="316"/>
      <c r="K42" s="316"/>
      <c r="L42" s="316"/>
      <c r="M42" s="316"/>
      <c r="N42" s="316"/>
    </row>
    <row r="43" spans="1:14">
      <c r="A43" s="372"/>
      <c r="B43" s="316">
        <v>-6982035.3099999996</v>
      </c>
      <c r="C43" s="316">
        <v>-7074863.8899999997</v>
      </c>
      <c r="D43" s="316">
        <v>-7344805</v>
      </c>
      <c r="E43" s="316">
        <v>-7674853.8700000001</v>
      </c>
      <c r="F43" s="316">
        <v>-7812022.5800000001</v>
      </c>
      <c r="G43" s="316">
        <v>-8158020.0199999996</v>
      </c>
      <c r="H43" s="316">
        <v>-8268408.459999999</v>
      </c>
      <c r="I43" s="316">
        <v>-8417387.1400000006</v>
      </c>
      <c r="J43" s="316">
        <v>-8507475.5</v>
      </c>
      <c r="K43" s="316"/>
      <c r="L43" s="316"/>
      <c r="M43" s="316"/>
      <c r="N43" s="316"/>
    </row>
    <row r="44" spans="1:14">
      <c r="A44" s="309" t="s">
        <v>2785</v>
      </c>
      <c r="B44" s="310"/>
      <c r="C44" s="310"/>
      <c r="D44" s="310"/>
      <c r="E44" s="310"/>
      <c r="F44" s="310"/>
      <c r="G44" s="310"/>
      <c r="H44" s="310"/>
      <c r="I44" s="310"/>
      <c r="J44" s="310"/>
      <c r="K44" s="310"/>
      <c r="L44" s="310"/>
      <c r="M44" s="310"/>
      <c r="N44" s="310"/>
    </row>
    <row r="45" spans="1:14">
      <c r="A45" s="311" t="s">
        <v>2751</v>
      </c>
      <c r="B45" s="302">
        <v>-6982035.3099999996</v>
      </c>
      <c r="C45" s="302">
        <v>-7074863.8899999997</v>
      </c>
      <c r="D45" s="302">
        <v>-7344805</v>
      </c>
      <c r="E45" s="302">
        <v>-7674853.8700000001</v>
      </c>
      <c r="F45" s="302">
        <v>-7812022.5800000001</v>
      </c>
      <c r="G45" s="302">
        <v>-8158020.0199999996</v>
      </c>
      <c r="H45" s="302">
        <v>-8268408.46</v>
      </c>
      <c r="I45" s="302">
        <v>-8417387.1400000006</v>
      </c>
      <c r="J45" s="302">
        <v>-8507475.5</v>
      </c>
      <c r="K45" s="302"/>
      <c r="L45" s="302"/>
      <c r="M45" s="302"/>
      <c r="N45" s="302"/>
    </row>
    <row r="46" spans="1:14" ht="13.5" thickBot="1">
      <c r="A46" s="312" t="s">
        <v>2543</v>
      </c>
      <c r="B46" s="313">
        <v>0</v>
      </c>
      <c r="C46" s="313">
        <v>0</v>
      </c>
      <c r="D46" s="313">
        <v>0</v>
      </c>
      <c r="E46" s="313">
        <v>0</v>
      </c>
      <c r="F46" s="313">
        <v>0</v>
      </c>
      <c r="G46" s="313">
        <v>0</v>
      </c>
      <c r="H46" s="313">
        <v>0</v>
      </c>
      <c r="I46" s="313">
        <v>0</v>
      </c>
      <c r="J46" s="313">
        <v>0</v>
      </c>
      <c r="K46" s="313"/>
      <c r="L46" s="313"/>
      <c r="M46" s="313"/>
      <c r="N46" s="313"/>
    </row>
    <row r="47" spans="1:14" ht="13.5" thickBot="1">
      <c r="A47" s="278"/>
      <c r="B47" s="323">
        <f t="shared" ref="B47:C47" si="0">B50+B60</f>
        <v>-8041949.7599999998</v>
      </c>
      <c r="C47" s="323">
        <f t="shared" si="0"/>
        <v>-8154708.0099999998</v>
      </c>
      <c r="D47" s="323">
        <f t="shared" ref="D47:E47" si="1">D50+D60</f>
        <v>-8445069.129999999</v>
      </c>
      <c r="E47" s="323">
        <f t="shared" si="1"/>
        <v>-8796327.629999999</v>
      </c>
      <c r="F47" s="323">
        <f t="shared" ref="F47:G47" si="2">F50+F60</f>
        <v>-8955333.4499999993</v>
      </c>
      <c r="G47" s="323">
        <f t="shared" si="2"/>
        <v>-9323816.8899999987</v>
      </c>
      <c r="H47" s="323">
        <f t="shared" ref="H47" si="3">H50+H60</f>
        <v>-9457308.7699999996</v>
      </c>
      <c r="I47" s="323">
        <f t="shared" ref="I47:J47" si="4">I50+I60</f>
        <v>-9629766.9500000011</v>
      </c>
      <c r="J47" s="323">
        <f t="shared" si="4"/>
        <v>-9743687.0500000007</v>
      </c>
      <c r="K47" s="323"/>
      <c r="L47" s="323"/>
      <c r="M47" s="323"/>
      <c r="N47" s="323"/>
    </row>
    <row r="48" spans="1:14">
      <c r="A48" s="284" t="s">
        <v>2757</v>
      </c>
      <c r="B48" s="325">
        <v>-8331680.489583333</v>
      </c>
      <c r="C48" s="325">
        <v>-8384170.3387500001</v>
      </c>
      <c r="D48" s="325">
        <v>-8412726.6883333325</v>
      </c>
      <c r="E48" s="325">
        <v>-8429413.7483333331</v>
      </c>
      <c r="F48" s="325">
        <v>-8495975.5666666683</v>
      </c>
      <c r="G48" s="325">
        <v>-8616573.163333334</v>
      </c>
      <c r="H48" s="325">
        <v>-8724295.8258333318</v>
      </c>
      <c r="I48" s="325">
        <v>-8824593.1129166652</v>
      </c>
      <c r="J48" s="325">
        <v>-8920280.7837499995</v>
      </c>
      <c r="K48" s="325">
        <v>-8595885.5624999981</v>
      </c>
      <c r="L48" s="325">
        <v>-7855033.0383333312</v>
      </c>
      <c r="M48" s="325">
        <v>-7096641.7674999982</v>
      </c>
      <c r="N48" s="325">
        <v>-6377249.3966666674</v>
      </c>
    </row>
    <row r="49" spans="1:14">
      <c r="A49" s="326"/>
    </row>
    <row r="50" spans="1:14">
      <c r="A50" s="327" t="s">
        <v>2758</v>
      </c>
      <c r="B50" s="316">
        <v>-6982035.3099999996</v>
      </c>
      <c r="C50" s="316">
        <v>-7074863.8899999997</v>
      </c>
      <c r="D50" s="316">
        <v>-7344805</v>
      </c>
      <c r="E50" s="316">
        <v>-7674853.8700000001</v>
      </c>
      <c r="F50" s="316">
        <v>-7812022.5800000001</v>
      </c>
      <c r="G50" s="316">
        <v>-8158020.0199999996</v>
      </c>
      <c r="H50" s="316">
        <v>-8268408.459999999</v>
      </c>
      <c r="I50" s="316">
        <v>-8417387.1400000006</v>
      </c>
      <c r="J50" s="316">
        <v>-8507475.5</v>
      </c>
      <c r="K50" s="316">
        <v>-8638220.1799999997</v>
      </c>
      <c r="L50" s="316"/>
      <c r="M50" s="316"/>
      <c r="N50" s="316"/>
    </row>
    <row r="51" spans="1:14">
      <c r="A51" s="327" t="s">
        <v>2759</v>
      </c>
      <c r="B51" s="320">
        <v>-1044977.29</v>
      </c>
      <c r="C51" s="320">
        <v>-1059914.45</v>
      </c>
      <c r="D51" s="320">
        <v>-1079844.1199999999</v>
      </c>
      <c r="E51" s="320">
        <v>-1100264.1299999999</v>
      </c>
      <c r="F51" s="320">
        <v>-1121473.7599999998</v>
      </c>
      <c r="G51" s="320">
        <v>-1143310.8699999999</v>
      </c>
      <c r="H51" s="320">
        <v>-1165796.8699999999</v>
      </c>
      <c r="I51" s="320">
        <v>-1188900.3099999998</v>
      </c>
      <c r="J51" s="320">
        <v>-1212379.8099999998</v>
      </c>
      <c r="K51" s="320">
        <v>-1236211.5499999998</v>
      </c>
      <c r="L51" s="320"/>
      <c r="M51" s="320"/>
      <c r="N51" s="320"/>
    </row>
    <row r="52" spans="1:14">
      <c r="A52" s="327" t="s">
        <v>2760</v>
      </c>
      <c r="B52" s="316">
        <v>-8027012.5999999996</v>
      </c>
      <c r="C52" s="316">
        <v>-8134778.3399999999</v>
      </c>
      <c r="D52" s="316">
        <v>-8424649.1199999992</v>
      </c>
      <c r="E52" s="316">
        <v>-8775118</v>
      </c>
      <c r="F52" s="316">
        <v>-8933496.3399999999</v>
      </c>
      <c r="G52" s="316">
        <v>-9301330.8899999987</v>
      </c>
      <c r="H52" s="316">
        <v>-9434205.3299999982</v>
      </c>
      <c r="I52" s="316">
        <v>-9606287.4500000011</v>
      </c>
      <c r="J52" s="316">
        <v>-9719855.3100000005</v>
      </c>
      <c r="K52" s="316">
        <v>-9874431.7300000004</v>
      </c>
      <c r="L52" s="316"/>
      <c r="M52" s="316"/>
      <c r="N52" s="316"/>
    </row>
    <row r="53" spans="1:14">
      <c r="A53" s="301" t="s">
        <v>2761</v>
      </c>
      <c r="B53" s="300">
        <v>-8617365.8849999998</v>
      </c>
      <c r="C53" s="300">
        <v>-8080895.4699999997</v>
      </c>
      <c r="D53" s="300">
        <v>-8279713.7299999995</v>
      </c>
      <c r="E53" s="300">
        <v>-8599883.5599999987</v>
      </c>
      <c r="F53" s="300">
        <v>-8854307.1699999999</v>
      </c>
      <c r="G53" s="300">
        <v>-9117413.6149999984</v>
      </c>
      <c r="H53" s="300">
        <v>-9367768.1099999994</v>
      </c>
      <c r="I53" s="300">
        <v>-9520246.3900000006</v>
      </c>
      <c r="J53" s="300">
        <v>-9663071.3800000008</v>
      </c>
      <c r="K53" s="300">
        <v>-9797143.5199999996</v>
      </c>
      <c r="L53" s="300"/>
      <c r="M53" s="300"/>
      <c r="N53" s="300"/>
    </row>
    <row r="54" spans="1:14">
      <c r="A54" s="301"/>
    </row>
    <row r="55" spans="1:14">
      <c r="A55" s="289" t="s">
        <v>2762</v>
      </c>
      <c r="B55" s="328">
        <v>1.7333788325861043E-3</v>
      </c>
      <c r="C55" s="328">
        <v>2.4662697723612593E-3</v>
      </c>
      <c r="D55" s="328">
        <v>2.4662697723612593E-3</v>
      </c>
      <c r="E55" s="328">
        <v>2.4662697723612593E-3</v>
      </c>
      <c r="F55" s="328">
        <v>2.4662697723612593E-3</v>
      </c>
      <c r="G55" s="328">
        <v>2.4662697723612593E-3</v>
      </c>
      <c r="H55" s="328">
        <v>2.4662697723612593E-3</v>
      </c>
      <c r="I55" s="328">
        <v>2.4662697723612593E-3</v>
      </c>
      <c r="J55" s="328">
        <v>2.4662697723612593E-3</v>
      </c>
      <c r="K55" s="328">
        <v>2.4662697723612593E-3</v>
      </c>
      <c r="L55" s="328"/>
      <c r="M55" s="328"/>
      <c r="N55" s="328"/>
    </row>
    <row r="56" spans="1:14">
      <c r="A56" s="329" t="s">
        <v>4262</v>
      </c>
    </row>
    <row r="57" spans="1:14">
      <c r="A57" s="289"/>
    </row>
    <row r="58" spans="1:14">
      <c r="A58" s="330" t="s">
        <v>2764</v>
      </c>
      <c r="B58" s="290">
        <v>-14937.16</v>
      </c>
      <c r="C58" s="290">
        <v>-19929.669999999998</v>
      </c>
      <c r="D58" s="290">
        <v>-20420.009999999998</v>
      </c>
      <c r="E58" s="290">
        <v>-21209.63</v>
      </c>
      <c r="F58" s="290">
        <v>-21837.11</v>
      </c>
      <c r="G58" s="290">
        <v>-22486</v>
      </c>
      <c r="H58" s="290">
        <v>-23103.439999999999</v>
      </c>
      <c r="I58" s="290">
        <v>-23479.5</v>
      </c>
      <c r="J58" s="290">
        <v>-23831.74</v>
      </c>
      <c r="K58" s="290">
        <v>-24162.400000000001</v>
      </c>
      <c r="L58" s="290"/>
      <c r="M58" s="290"/>
      <c r="N58" s="290"/>
    </row>
    <row r="59" spans="1:14">
      <c r="A59" s="311" t="s">
        <v>2753</v>
      </c>
      <c r="B59" s="747"/>
      <c r="C59" s="747"/>
      <c r="D59" s="747"/>
      <c r="E59" s="747"/>
      <c r="F59" s="747"/>
      <c r="G59" s="747"/>
      <c r="H59" s="747"/>
      <c r="I59" s="747"/>
      <c r="J59" s="747"/>
      <c r="K59" s="747"/>
      <c r="L59" s="747"/>
      <c r="M59" s="747"/>
      <c r="N59" s="747"/>
    </row>
    <row r="60" spans="1:14">
      <c r="A60" s="309" t="s">
        <v>2765</v>
      </c>
      <c r="B60" s="310">
        <v>-1059914.45</v>
      </c>
      <c r="C60" s="310">
        <v>-1079844.1199999999</v>
      </c>
      <c r="D60" s="310">
        <v>-1100264.1299999999</v>
      </c>
      <c r="E60" s="310">
        <v>-1121473.7599999998</v>
      </c>
      <c r="F60" s="310">
        <v>-1143310.8699999999</v>
      </c>
      <c r="G60" s="310">
        <v>-1165796.8699999999</v>
      </c>
      <c r="H60" s="310">
        <v>-1188900.3099999998</v>
      </c>
      <c r="I60" s="310">
        <v>-1212379.8099999998</v>
      </c>
      <c r="J60" s="310">
        <v>-1236211.5499999998</v>
      </c>
      <c r="K60" s="310">
        <v>-1260373.9499999997</v>
      </c>
      <c r="L60" s="310"/>
      <c r="M60" s="310"/>
      <c r="N60" s="310"/>
    </row>
    <row r="61" spans="1:14">
      <c r="A61" s="311" t="s">
        <v>2751</v>
      </c>
      <c r="B61" s="302">
        <v>-1059914.45</v>
      </c>
      <c r="C61" s="302">
        <v>-1079844.1200000001</v>
      </c>
      <c r="D61" s="302">
        <v>-1100264.1299999999</v>
      </c>
      <c r="E61" s="302">
        <v>-1121473.76</v>
      </c>
      <c r="F61" s="302">
        <v>-1143310.8700000001</v>
      </c>
      <c r="G61" s="302">
        <v>-1165796.8700000001</v>
      </c>
      <c r="H61" s="302">
        <v>-1188900.31</v>
      </c>
      <c r="I61" s="302">
        <v>-1212379.81</v>
      </c>
      <c r="J61" s="302">
        <v>-1236211.55</v>
      </c>
      <c r="K61" s="302">
        <v>-1260373.95</v>
      </c>
      <c r="L61" s="302"/>
      <c r="M61" s="302"/>
      <c r="N61" s="302"/>
    </row>
    <row r="62" spans="1:14" ht="13.5" thickBot="1">
      <c r="A62" s="312" t="s">
        <v>2543</v>
      </c>
      <c r="B62" s="313">
        <v>0</v>
      </c>
      <c r="C62" s="313">
        <v>0</v>
      </c>
      <c r="D62" s="313">
        <v>0</v>
      </c>
      <c r="E62" s="313"/>
      <c r="F62" s="313">
        <v>0</v>
      </c>
      <c r="G62" s="313">
        <v>0</v>
      </c>
      <c r="H62" s="313">
        <v>0</v>
      </c>
      <c r="I62" s="313">
        <v>0</v>
      </c>
      <c r="J62" s="313">
        <v>0</v>
      </c>
      <c r="K62" s="313">
        <v>0</v>
      </c>
      <c r="L62" s="313">
        <v>0</v>
      </c>
      <c r="M62" s="313">
        <v>0</v>
      </c>
      <c r="N62" s="313">
        <v>0</v>
      </c>
    </row>
    <row r="63" spans="1:14">
      <c r="A63" s="278"/>
      <c r="B63" s="322">
        <f t="shared" ref="B63" si="5">+B44+B60</f>
        <v>-1059914.45</v>
      </c>
      <c r="C63" s="322">
        <f t="shared" ref="C63:D63" si="6">+C44+C60</f>
        <v>-1079844.1199999999</v>
      </c>
      <c r="D63" s="322">
        <f t="shared" si="6"/>
        <v>-1100264.1299999999</v>
      </c>
      <c r="E63" s="322">
        <f t="shared" ref="E63:F63" si="7">+E44+E60</f>
        <v>-1121473.7599999998</v>
      </c>
      <c r="F63" s="322">
        <f t="shared" si="7"/>
        <v>-1143310.8699999999</v>
      </c>
      <c r="G63" s="322">
        <f t="shared" ref="G63:H63" si="8">+G44+G60</f>
        <v>-1165796.8699999999</v>
      </c>
      <c r="H63" s="322">
        <f t="shared" si="8"/>
        <v>-1188900.3099999998</v>
      </c>
      <c r="I63" s="322">
        <f t="shared" ref="I63:N63" si="9">+I44+I60</f>
        <v>-1212379.8099999998</v>
      </c>
      <c r="J63" s="322">
        <f t="shared" si="9"/>
        <v>-1236211.5499999998</v>
      </c>
      <c r="K63" s="322">
        <f t="shared" si="9"/>
        <v>-1260373.9499999997</v>
      </c>
      <c r="L63" s="322">
        <f t="shared" si="9"/>
        <v>0</v>
      </c>
      <c r="M63" s="322">
        <f t="shared" si="9"/>
        <v>0</v>
      </c>
      <c r="N63" s="322">
        <f t="shared" si="9"/>
        <v>0</v>
      </c>
    </row>
    <row r="64" spans="1:14">
      <c r="A64" s="278"/>
    </row>
    <row r="65" spans="1:14">
      <c r="A65" s="278"/>
      <c r="B65" s="322">
        <f t="shared" ref="B65" si="10">B63-B64</f>
        <v>-1059914.45</v>
      </c>
      <c r="C65" s="322">
        <f t="shared" ref="C65:D65" si="11">C63-C64</f>
        <v>-1079844.1199999999</v>
      </c>
      <c r="D65" s="322">
        <f t="shared" si="11"/>
        <v>-1100264.1299999999</v>
      </c>
      <c r="E65" s="322">
        <f t="shared" ref="E65:F65" si="12">E63-E64</f>
        <v>-1121473.7599999998</v>
      </c>
      <c r="F65" s="322">
        <f t="shared" si="12"/>
        <v>-1143310.8699999999</v>
      </c>
      <c r="G65" s="322">
        <f t="shared" ref="G65:H65" si="13">G63-G64</f>
        <v>-1165796.8699999999</v>
      </c>
      <c r="H65" s="322">
        <f t="shared" si="13"/>
        <v>-1188900.3099999998</v>
      </c>
      <c r="I65" s="322">
        <f t="shared" ref="I65:J65" si="14">I63-I64</f>
        <v>-1212379.8099999998</v>
      </c>
      <c r="J65" s="322">
        <f t="shared" si="14"/>
        <v>-1236211.5499999998</v>
      </c>
      <c r="K65" s="322">
        <f t="shared" ref="K65:L65" si="15">K63-K64</f>
        <v>-1260373.9499999997</v>
      </c>
      <c r="L65" s="322">
        <f t="shared" si="15"/>
        <v>0</v>
      </c>
      <c r="M65" s="322">
        <f t="shared" ref="M65:N65" si="16">M63-M64</f>
        <v>0</v>
      </c>
      <c r="N65" s="322">
        <f t="shared" si="16"/>
        <v>0</v>
      </c>
    </row>
    <row r="66" spans="1:14">
      <c r="A66" s="331" t="s">
        <v>2766</v>
      </c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</row>
    <row r="67" spans="1:14">
      <c r="A67" s="332" t="s">
        <v>2767</v>
      </c>
      <c r="B67" s="333">
        <v>-1093566.9566666677</v>
      </c>
      <c r="C67" s="333">
        <v>33652.506666667759</v>
      </c>
      <c r="D67" s="333">
        <v>-1113496.6266666676</v>
      </c>
      <c r="E67" s="333">
        <v>13232.49666666775</v>
      </c>
      <c r="F67" s="333">
        <v>-1134706.2566666675</v>
      </c>
      <c r="G67" s="333">
        <v>-8604.6133333323523</v>
      </c>
      <c r="H67" s="333">
        <v>-1157192.2566666675</v>
      </c>
      <c r="I67" s="333">
        <v>-31708.053333332296</v>
      </c>
      <c r="J67" s="333">
        <v>-1180671.7566666675</v>
      </c>
      <c r="K67" s="333">
        <v>-55539.793333332287</v>
      </c>
      <c r="L67" s="333">
        <v>-1204834.1566666674</v>
      </c>
      <c r="M67" s="333">
        <v>1204834.1566666674</v>
      </c>
      <c r="N67" s="333">
        <v>-1204834.1566666674</v>
      </c>
    </row>
    <row r="68" spans="1:14" ht="15">
      <c r="A68" s="332" t="s">
        <v>2768</v>
      </c>
      <c r="B68" s="334">
        <v>-7374718.2194893621</v>
      </c>
      <c r="C68" s="334">
        <v>-8956584.8576283623</v>
      </c>
      <c r="D68" s="334">
        <v>-10393132.783590361</v>
      </c>
      <c r="E68" s="334">
        <v>-9842172.8676533625</v>
      </c>
      <c r="F68" s="334">
        <v>-10436689.799426362</v>
      </c>
      <c r="G68" s="334">
        <v>-10406293.106195362</v>
      </c>
      <c r="H68" s="334">
        <v>-10406293.106195362</v>
      </c>
      <c r="I68" s="334">
        <v>0</v>
      </c>
      <c r="J68" s="334">
        <v>0</v>
      </c>
      <c r="K68" s="334">
        <v>0</v>
      </c>
      <c r="L68" s="334">
        <v>0</v>
      </c>
      <c r="M68" s="334">
        <v>0</v>
      </c>
      <c r="N68" s="334">
        <v>0</v>
      </c>
    </row>
    <row r="69" spans="1:14">
      <c r="A69" s="332" t="s">
        <v>2769</v>
      </c>
      <c r="B69" s="335">
        <f t="shared" ref="B69" si="17">SUM(B67:B68)</f>
        <v>-8468285.1761560291</v>
      </c>
      <c r="C69" s="335">
        <f t="shared" ref="C69:D69" si="18">SUM(C67:C68)</f>
        <v>-8922932.3509616945</v>
      </c>
      <c r="D69" s="335">
        <f t="shared" si="18"/>
        <v>-11506629.410257028</v>
      </c>
      <c r="E69" s="335">
        <f t="shared" ref="E69:F69" si="19">SUM(E67:E68)</f>
        <v>-9828940.3709866945</v>
      </c>
      <c r="F69" s="335">
        <f t="shared" si="19"/>
        <v>-11571396.05609303</v>
      </c>
      <c r="G69" s="335">
        <f t="shared" ref="G69:H69" si="20">SUM(G67:G68)</f>
        <v>-10414897.719528694</v>
      </c>
      <c r="H69" s="335">
        <f t="shared" si="20"/>
        <v>-11563485.36286203</v>
      </c>
      <c r="I69" s="335">
        <f t="shared" ref="I69:J69" si="21">SUM(I67:I68)</f>
        <v>-31708.053333332296</v>
      </c>
      <c r="J69" s="335">
        <f t="shared" si="21"/>
        <v>-1180671.7566666675</v>
      </c>
      <c r="K69" s="335">
        <f t="shared" ref="K69:L69" si="22">SUM(K67:K68)</f>
        <v>-55539.793333332287</v>
      </c>
      <c r="L69" s="335">
        <f t="shared" si="22"/>
        <v>-1204834.1566666674</v>
      </c>
      <c r="M69" s="335">
        <f t="shared" ref="M69:N69" si="23">SUM(M67:M68)</f>
        <v>1204834.1566666674</v>
      </c>
      <c r="N69" s="335">
        <f t="shared" si="23"/>
        <v>-1204834.1566666674</v>
      </c>
    </row>
    <row r="70" spans="1:14">
      <c r="A70" s="332"/>
    </row>
    <row r="71" spans="1:14">
      <c r="A71" s="94"/>
      <c r="B71" s="751"/>
      <c r="C71" s="751"/>
      <c r="D71" s="751"/>
      <c r="E71" s="751"/>
      <c r="F71" s="751"/>
      <c r="G71" s="751"/>
      <c r="H71" s="751"/>
      <c r="I71" s="751"/>
      <c r="J71" s="751"/>
      <c r="K71" s="751"/>
      <c r="L71" s="751"/>
      <c r="M71" s="751"/>
      <c r="N71" s="751"/>
    </row>
    <row r="72" spans="1:14">
      <c r="A72" s="94"/>
      <c r="B72" s="751"/>
      <c r="C72" s="751"/>
      <c r="D72" s="751"/>
      <c r="E72" s="751"/>
      <c r="F72" s="751"/>
      <c r="G72" s="751"/>
      <c r="H72" s="751"/>
      <c r="I72" s="751"/>
      <c r="J72" s="751"/>
      <c r="K72" s="751"/>
      <c r="L72" s="751"/>
      <c r="M72" s="751"/>
      <c r="N72" s="751"/>
    </row>
    <row r="73" spans="1:14">
      <c r="A73" s="94"/>
      <c r="B73" s="751"/>
      <c r="C73" s="751"/>
      <c r="D73" s="751"/>
      <c r="E73" s="751"/>
      <c r="F73" s="751"/>
      <c r="G73" s="751"/>
      <c r="H73" s="751"/>
      <c r="I73" s="751"/>
      <c r="J73" s="751"/>
      <c r="K73" s="751"/>
      <c r="L73" s="751"/>
      <c r="M73" s="751"/>
      <c r="N73" s="751"/>
    </row>
    <row r="74" spans="1:14">
      <c r="A74" s="94"/>
      <c r="B74" s="751"/>
      <c r="C74" s="751"/>
      <c r="D74" s="751"/>
      <c r="E74" s="751"/>
      <c r="F74" s="751"/>
      <c r="G74" s="751"/>
      <c r="H74" s="751"/>
      <c r="I74" s="751"/>
      <c r="J74" s="751"/>
      <c r="K74" s="751"/>
      <c r="L74" s="751"/>
      <c r="M74" s="751"/>
      <c r="N74" s="751"/>
    </row>
    <row r="75" spans="1:14">
      <c r="A75" s="94"/>
      <c r="B75" s="751"/>
      <c r="C75" s="751"/>
      <c r="D75" s="751"/>
      <c r="E75" s="751"/>
      <c r="F75" s="751"/>
      <c r="G75" s="751"/>
      <c r="H75" s="751"/>
      <c r="I75" s="751"/>
      <c r="J75" s="751"/>
      <c r="K75" s="751"/>
      <c r="L75" s="751"/>
      <c r="M75" s="751"/>
      <c r="N75" s="751"/>
    </row>
    <row r="76" spans="1:14">
      <c r="A76" s="94"/>
      <c r="B76" s="751"/>
      <c r="C76" s="751"/>
      <c r="D76" s="751"/>
      <c r="E76" s="751"/>
      <c r="F76" s="751"/>
      <c r="G76" s="751"/>
      <c r="H76" s="751"/>
      <c r="I76" s="751"/>
      <c r="J76" s="751"/>
      <c r="K76" s="751"/>
      <c r="L76" s="751"/>
      <c r="M76" s="751"/>
      <c r="N76" s="751"/>
    </row>
  </sheetData>
  <pageMargins left="0.25" right="0.25" top="0.5" bottom="0.35" header="0.5" footer="0.17"/>
  <pageSetup scale="42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19</vt:i4>
      </vt:variant>
    </vt:vector>
  </HeadingPairs>
  <TitlesOfParts>
    <vt:vector size="36" baseType="lpstr">
      <vt:lpstr>Rate Base</vt:lpstr>
      <vt:lpstr>Capitalization</vt:lpstr>
      <vt:lpstr>Rate Base Detail</vt:lpstr>
      <vt:lpstr>Balance Sheet Detail</vt:lpstr>
      <vt:lpstr>Items Not in Rate Base</vt:lpstr>
      <vt:lpstr>IB-CWIP</vt:lpstr>
      <vt:lpstr>WC_Purch Power</vt:lpstr>
      <vt:lpstr>Hedge Margin</vt:lpstr>
      <vt:lpstr>EEPS Elec</vt:lpstr>
      <vt:lpstr>EEPS Gas</vt:lpstr>
      <vt:lpstr>PSC Assess Liab</vt:lpstr>
      <vt:lpstr>Bonus Depr ADIT</vt:lpstr>
      <vt:lpstr>P12GAAP - TME 12-31-14</vt:lpstr>
      <vt:lpstr>Allocators</vt:lpstr>
      <vt:lpstr>Categories</vt:lpstr>
      <vt:lpstr>591040 (2014)</vt:lpstr>
      <vt:lpstr>591050 (2014)</vt:lpstr>
      <vt:lpstr>'591040 (2014)'!Print_Area</vt:lpstr>
      <vt:lpstr>Allocators!Print_Area</vt:lpstr>
      <vt:lpstr>'Balance Sheet Detail'!Print_Area</vt:lpstr>
      <vt:lpstr>'Bonus Depr ADIT'!Print_Area</vt:lpstr>
      <vt:lpstr>Capitalization!Print_Area</vt:lpstr>
      <vt:lpstr>'EEPS Elec'!Print_Area</vt:lpstr>
      <vt:lpstr>'EEPS Gas'!Print_Area</vt:lpstr>
      <vt:lpstr>'Hedge Margin'!Print_Area</vt:lpstr>
      <vt:lpstr>'Items Not in Rate Base'!Print_Area</vt:lpstr>
      <vt:lpstr>'P12GAAP - TME 12-31-14'!Print_Area</vt:lpstr>
      <vt:lpstr>'Rate Base'!Print_Area</vt:lpstr>
      <vt:lpstr>'Rate Base Detail'!Print_Area</vt:lpstr>
      <vt:lpstr>'Balance Sheet Detail'!Print_Titles</vt:lpstr>
      <vt:lpstr>Capitalization!Print_Titles</vt:lpstr>
      <vt:lpstr>'EEPS Elec'!Print_Titles</vt:lpstr>
      <vt:lpstr>'EEPS Gas'!Print_Titles</vt:lpstr>
      <vt:lpstr>'Items Not in Rate Base'!Print_Titles</vt:lpstr>
      <vt:lpstr>'P12GAAP - TME 12-31-14'!Print_Titles</vt:lpstr>
      <vt:lpstr>'Rate Base'!Print_Titles</vt:lpstr>
    </vt:vector>
  </TitlesOfParts>
  <Company>Iberdrola USA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Pelletik</dc:creator>
  <cp:lastModifiedBy>AsselinK</cp:lastModifiedBy>
  <cp:lastPrinted>2015-02-16T13:54:52Z</cp:lastPrinted>
  <dcterms:created xsi:type="dcterms:W3CDTF">2012-08-14T16:53:14Z</dcterms:created>
  <dcterms:modified xsi:type="dcterms:W3CDTF">2015-03-18T18:44:44Z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-719712424</vt:i4>
  </property>
  <property fmtid="{D5CDD505-2E9C-101B-9397-08002B2CF9AE}" pid="3" name="_NewReviewCycle">
    <vt:lpwstr/>
  </property>
  <property fmtid="{D5CDD505-2E9C-101B-9397-08002B2CF9AE}" pid="4" name="_EmailSubject">
    <vt:lpwstr>ACF Rate Base</vt:lpwstr>
  </property>
  <property fmtid="{D5CDD505-2E9C-101B-9397-08002B2CF9AE}" pid="5" name="_AuthorEmail">
    <vt:lpwstr>Kathleen.Duffey@iberdrolausa.com</vt:lpwstr>
  </property>
  <property fmtid="{D5CDD505-2E9C-101B-9397-08002B2CF9AE}" pid="6" name="_AuthorEmailDisplayName">
    <vt:lpwstr>Duffey, Kathleen A.</vt:lpwstr>
  </property>
</Properties>
</file>